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2"/>
  </bookViews>
  <sheets>
    <sheet name="Sheet1" sheetId="1" r:id="rId1"/>
    <sheet name="Sheet2" sheetId="2" r:id="rId2"/>
    <sheet name="OVAL Results" sheetId="3" r:id="rId3"/>
  </sheets>
  <calcPr calcId="125725"/>
</workbook>
</file>

<file path=xl/calcChain.xml><?xml version="1.0" encoding="utf-8"?>
<calcChain xmlns="http://schemas.openxmlformats.org/spreadsheetml/2006/main">
  <c r="D2" i="1"/>
  <c r="E2"/>
  <c r="D3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D92"/>
  <c r="E92"/>
  <c r="D93"/>
  <c r="E93"/>
  <c r="D94"/>
  <c r="E94"/>
  <c r="D95"/>
  <c r="E95"/>
  <c r="D96"/>
  <c r="E96"/>
  <c r="D97"/>
  <c r="E97"/>
  <c r="D98"/>
  <c r="E98"/>
  <c r="D99"/>
  <c r="E99"/>
  <c r="D100"/>
  <c r="E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D110"/>
  <c r="E110"/>
  <c r="D111"/>
  <c r="E111"/>
  <c r="D112"/>
  <c r="E112"/>
  <c r="D113"/>
  <c r="E113"/>
  <c r="D114"/>
  <c r="E114"/>
  <c r="D115"/>
  <c r="E115"/>
  <c r="D116"/>
  <c r="E116"/>
  <c r="D117"/>
  <c r="E117"/>
  <c r="D118"/>
  <c r="E118"/>
  <c r="D119"/>
  <c r="E119"/>
  <c r="D120"/>
  <c r="E120"/>
  <c r="D121"/>
  <c r="E121"/>
  <c r="D122"/>
  <c r="E122"/>
  <c r="D123"/>
  <c r="E123"/>
  <c r="D124"/>
  <c r="E124"/>
  <c r="D125"/>
  <c r="E125"/>
  <c r="D126"/>
  <c r="E126"/>
  <c r="D127"/>
  <c r="E127"/>
  <c r="D128"/>
  <c r="E128"/>
  <c r="D129"/>
  <c r="E129"/>
  <c r="D130"/>
  <c r="E130"/>
  <c r="D131"/>
  <c r="E131"/>
  <c r="D132"/>
  <c r="E132"/>
  <c r="D133"/>
  <c r="E133"/>
  <c r="D134"/>
  <c r="E134"/>
  <c r="D135"/>
  <c r="E135"/>
  <c r="D136"/>
  <c r="E136"/>
  <c r="D137"/>
  <c r="E137"/>
  <c r="D138"/>
  <c r="E138"/>
  <c r="D139"/>
  <c r="E139"/>
  <c r="D140"/>
  <c r="E140"/>
  <c r="D141"/>
  <c r="E141"/>
  <c r="D142"/>
  <c r="E142"/>
  <c r="D143"/>
  <c r="E143"/>
  <c r="D144"/>
  <c r="E144"/>
  <c r="D145"/>
  <c r="E145"/>
  <c r="D146"/>
  <c r="E146"/>
  <c r="D147"/>
  <c r="E147"/>
  <c r="D148"/>
  <c r="E148"/>
  <c r="D149"/>
  <c r="E149"/>
  <c r="D150"/>
  <c r="E150"/>
  <c r="D151"/>
  <c r="E151"/>
  <c r="D152"/>
  <c r="E152"/>
  <c r="D153"/>
  <c r="E153"/>
  <c r="D154"/>
  <c r="E154"/>
  <c r="D155"/>
  <c r="E155"/>
  <c r="D156"/>
  <c r="E156"/>
  <c r="D157"/>
  <c r="E157"/>
  <c r="D158"/>
  <c r="E158"/>
  <c r="D159"/>
  <c r="E159"/>
  <c r="D160"/>
  <c r="E160"/>
  <c r="D161"/>
  <c r="E161"/>
  <c r="D162"/>
  <c r="E162"/>
  <c r="D163"/>
  <c r="E163"/>
  <c r="D164"/>
  <c r="E164"/>
  <c r="D165"/>
  <c r="E165"/>
  <c r="D166"/>
  <c r="E166"/>
  <c r="D167"/>
  <c r="E167"/>
  <c r="D168"/>
  <c r="E168"/>
  <c r="D169"/>
  <c r="E169"/>
  <c r="D170"/>
  <c r="E170"/>
  <c r="D171"/>
  <c r="E171"/>
  <c r="D172"/>
  <c r="E172"/>
  <c r="D173"/>
  <c r="E173"/>
  <c r="D174"/>
  <c r="E174"/>
  <c r="D175"/>
  <c r="E175"/>
  <c r="D176"/>
  <c r="E176"/>
  <c r="D177"/>
  <c r="E177"/>
  <c r="D178"/>
  <c r="E178"/>
  <c r="D179"/>
  <c r="E179"/>
  <c r="D180"/>
  <c r="E180"/>
  <c r="D181"/>
  <c r="E181"/>
  <c r="D182"/>
  <c r="E182"/>
  <c r="D183"/>
  <c r="E183"/>
  <c r="D184"/>
  <c r="E184"/>
  <c r="D185"/>
  <c r="E185"/>
  <c r="D186"/>
  <c r="E186"/>
  <c r="D187"/>
  <c r="E187"/>
  <c r="D188"/>
  <c r="E188"/>
  <c r="D189"/>
  <c r="E189"/>
  <c r="D190"/>
  <c r="E190"/>
  <c r="D191"/>
  <c r="E191"/>
  <c r="D192"/>
  <c r="E192"/>
  <c r="D193"/>
  <c r="E193"/>
  <c r="D194"/>
  <c r="E194"/>
  <c r="D195"/>
  <c r="E195"/>
  <c r="D196"/>
  <c r="E196"/>
  <c r="D197"/>
  <c r="E197"/>
  <c r="D198"/>
  <c r="E198"/>
  <c r="D199"/>
  <c r="E199"/>
  <c r="D200"/>
  <c r="E200"/>
  <c r="D201"/>
  <c r="E201"/>
  <c r="D202"/>
  <c r="E202"/>
  <c r="D203"/>
  <c r="E203"/>
  <c r="D204"/>
  <c r="E204"/>
  <c r="D205"/>
  <c r="E205"/>
  <c r="D206"/>
  <c r="E206"/>
  <c r="D207"/>
  <c r="E207"/>
  <c r="D208"/>
  <c r="E208"/>
  <c r="D209"/>
  <c r="E209"/>
  <c r="D210"/>
  <c r="E210"/>
  <c r="D211"/>
  <c r="E211"/>
  <c r="D212"/>
  <c r="E212"/>
  <c r="D213"/>
  <c r="E213"/>
  <c r="D214"/>
  <c r="E214"/>
  <c r="D215"/>
  <c r="E215"/>
  <c r="D216"/>
  <c r="E216"/>
  <c r="D217"/>
  <c r="E217"/>
  <c r="D218"/>
  <c r="E218"/>
  <c r="D219"/>
  <c r="E219"/>
  <c r="D220"/>
  <c r="E220"/>
  <c r="D221"/>
  <c r="E221"/>
  <c r="D222"/>
  <c r="E222"/>
  <c r="D223"/>
  <c r="E223"/>
  <c r="D224"/>
  <c r="E224"/>
  <c r="D225"/>
  <c r="E225"/>
  <c r="D226"/>
  <c r="E226"/>
  <c r="D227"/>
  <c r="E227"/>
  <c r="D228"/>
  <c r="E228"/>
  <c r="D229"/>
  <c r="E229"/>
  <c r="D230"/>
  <c r="E230"/>
  <c r="D231"/>
  <c r="E231"/>
  <c r="D232"/>
  <c r="E232"/>
  <c r="D233"/>
  <c r="E233"/>
  <c r="D234"/>
  <c r="E234"/>
  <c r="D235"/>
  <c r="E235"/>
  <c r="D236"/>
  <c r="E236"/>
  <c r="D237"/>
  <c r="E237"/>
  <c r="D238"/>
  <c r="E238"/>
  <c r="D239"/>
  <c r="E239"/>
  <c r="D240"/>
  <c r="E240"/>
  <c r="D241"/>
  <c r="E241"/>
  <c r="D242"/>
  <c r="E242"/>
  <c r="D243"/>
  <c r="E243"/>
  <c r="D244"/>
  <c r="E244"/>
  <c r="D245"/>
  <c r="E245"/>
  <c r="D246"/>
  <c r="E246"/>
  <c r="D247"/>
  <c r="E247"/>
  <c r="D248"/>
  <c r="E248"/>
  <c r="D249"/>
  <c r="E249"/>
  <c r="D250"/>
  <c r="E250"/>
  <c r="D251"/>
  <c r="E251"/>
  <c r="D252"/>
  <c r="E252"/>
  <c r="D253"/>
  <c r="E253"/>
  <c r="D254"/>
  <c r="E254"/>
  <c r="D255"/>
  <c r="E255"/>
  <c r="D256"/>
  <c r="E256"/>
  <c r="D257"/>
  <c r="E257"/>
  <c r="D258"/>
  <c r="E258"/>
  <c r="D259"/>
  <c r="E259"/>
  <c r="D260"/>
  <c r="E260"/>
  <c r="D261"/>
  <c r="E261"/>
  <c r="D262"/>
  <c r="E262"/>
  <c r="D263"/>
  <c r="E263"/>
  <c r="D264"/>
  <c r="E264"/>
  <c r="D265"/>
  <c r="E265"/>
  <c r="D266"/>
  <c r="E266"/>
  <c r="D267"/>
  <c r="E267"/>
  <c r="D268"/>
  <c r="E268"/>
  <c r="D269"/>
  <c r="E269"/>
  <c r="D270"/>
  <c r="E270"/>
  <c r="D271"/>
  <c r="E271"/>
  <c r="D272"/>
  <c r="E272"/>
  <c r="D273"/>
  <c r="E273"/>
  <c r="D274"/>
  <c r="E274"/>
  <c r="D275"/>
  <c r="E275"/>
  <c r="D276"/>
  <c r="E276"/>
  <c r="D277"/>
  <c r="E277"/>
  <c r="D278"/>
  <c r="E278"/>
  <c r="D279"/>
  <c r="E279"/>
  <c r="D280"/>
  <c r="E280"/>
  <c r="D281"/>
  <c r="E281"/>
  <c r="D282"/>
  <c r="E282"/>
  <c r="D283"/>
  <c r="E283"/>
  <c r="D284"/>
  <c r="E284"/>
  <c r="D285"/>
  <c r="E285"/>
  <c r="D286"/>
  <c r="E286"/>
  <c r="D287"/>
  <c r="E287"/>
  <c r="D288"/>
  <c r="E288"/>
  <c r="D289"/>
  <c r="E289"/>
  <c r="D290"/>
  <c r="E290"/>
  <c r="D291"/>
  <c r="E291"/>
  <c r="D292"/>
  <c r="E292"/>
  <c r="D293"/>
  <c r="E293"/>
  <c r="D294"/>
  <c r="E294"/>
  <c r="D295"/>
  <c r="E295"/>
  <c r="D296"/>
  <c r="E296"/>
  <c r="D297"/>
  <c r="E297"/>
  <c r="D298"/>
  <c r="E298"/>
  <c r="D299"/>
  <c r="E299"/>
  <c r="D300"/>
  <c r="E300"/>
  <c r="D301"/>
  <c r="E301"/>
  <c r="D302"/>
  <c r="E302"/>
  <c r="D303"/>
  <c r="E303"/>
  <c r="D304"/>
  <c r="E304"/>
  <c r="D305"/>
  <c r="E305"/>
  <c r="D306"/>
  <c r="E306"/>
  <c r="D307"/>
  <c r="E307"/>
  <c r="D308"/>
  <c r="E308"/>
  <c r="D309"/>
  <c r="E309"/>
  <c r="D310"/>
  <c r="E310"/>
  <c r="D311"/>
  <c r="E311"/>
  <c r="D312"/>
  <c r="E312"/>
  <c r="D313"/>
  <c r="E313"/>
  <c r="D314"/>
  <c r="E314"/>
  <c r="D315"/>
  <c r="E315"/>
  <c r="D316"/>
  <c r="E316"/>
  <c r="D317"/>
  <c r="E317"/>
  <c r="D318"/>
  <c r="E318"/>
  <c r="D319"/>
  <c r="E319"/>
  <c r="D320"/>
  <c r="E320"/>
  <c r="D321"/>
  <c r="E321"/>
  <c r="D322"/>
  <c r="E322"/>
  <c r="D323"/>
  <c r="E323"/>
  <c r="D324"/>
  <c r="E324"/>
  <c r="D325"/>
  <c r="E325"/>
  <c r="D326"/>
  <c r="E326"/>
  <c r="D327"/>
  <c r="E327"/>
  <c r="D328"/>
  <c r="E328"/>
  <c r="D329"/>
  <c r="E329"/>
  <c r="D330"/>
  <c r="E330"/>
  <c r="D331"/>
  <c r="E331"/>
  <c r="D332"/>
  <c r="E332"/>
  <c r="D333"/>
  <c r="E333"/>
  <c r="D334"/>
  <c r="E334"/>
  <c r="D335"/>
  <c r="E335"/>
  <c r="D336"/>
  <c r="E336"/>
  <c r="D337"/>
  <c r="E337"/>
  <c r="D338"/>
  <c r="E338"/>
  <c r="D339"/>
  <c r="E339"/>
  <c r="D340"/>
  <c r="E340"/>
  <c r="D341"/>
  <c r="E341"/>
  <c r="D342"/>
  <c r="E342"/>
  <c r="D343"/>
  <c r="E343"/>
  <c r="D344"/>
  <c r="E344"/>
  <c r="D345"/>
  <c r="E345"/>
  <c r="D346"/>
  <c r="E346"/>
  <c r="D347"/>
  <c r="E347"/>
  <c r="D348"/>
  <c r="E348"/>
  <c r="D349"/>
  <c r="E349"/>
  <c r="D350"/>
  <c r="E350"/>
  <c r="D351"/>
  <c r="E351"/>
  <c r="D352"/>
  <c r="E352"/>
  <c r="D353"/>
  <c r="E353"/>
  <c r="D354"/>
  <c r="E354"/>
  <c r="D355"/>
  <c r="E355"/>
  <c r="D356"/>
  <c r="E356"/>
  <c r="D357"/>
  <c r="E357"/>
  <c r="D358"/>
  <c r="E358"/>
  <c r="D359"/>
  <c r="E359"/>
  <c r="D360"/>
  <c r="E360"/>
  <c r="D361"/>
  <c r="E361"/>
  <c r="D362"/>
  <c r="E362"/>
  <c r="D363"/>
  <c r="E363"/>
  <c r="D364"/>
  <c r="E364"/>
  <c r="D365"/>
  <c r="E365"/>
  <c r="D366"/>
  <c r="E366"/>
  <c r="D367"/>
  <c r="E367"/>
  <c r="D368"/>
  <c r="E368"/>
  <c r="D369"/>
  <c r="E369"/>
  <c r="D370"/>
  <c r="E370"/>
  <c r="D371"/>
  <c r="E371"/>
  <c r="D372"/>
  <c r="E372"/>
  <c r="D373"/>
  <c r="E373"/>
  <c r="D374"/>
  <c r="E374"/>
  <c r="D375"/>
  <c r="E375"/>
  <c r="D376"/>
  <c r="E376"/>
  <c r="D377"/>
  <c r="E377"/>
  <c r="D378"/>
  <c r="E378"/>
  <c r="D379"/>
  <c r="E379"/>
  <c r="D380"/>
  <c r="E380"/>
  <c r="D381"/>
  <c r="E381"/>
  <c r="D382"/>
  <c r="E382"/>
  <c r="D383"/>
  <c r="E383"/>
  <c r="D384"/>
  <c r="E384"/>
  <c r="D385"/>
  <c r="E385"/>
  <c r="D386"/>
  <c r="E386"/>
  <c r="D387"/>
  <c r="E387"/>
  <c r="D388"/>
  <c r="E388"/>
  <c r="D389"/>
  <c r="E389"/>
  <c r="D390"/>
  <c r="E390"/>
  <c r="D391"/>
  <c r="E391"/>
  <c r="D392"/>
  <c r="E392"/>
  <c r="D393"/>
  <c r="E393"/>
  <c r="D394"/>
  <c r="E394"/>
  <c r="D395"/>
  <c r="E395"/>
  <c r="D396"/>
  <c r="E396"/>
  <c r="D397"/>
  <c r="E397"/>
  <c r="D398"/>
  <c r="E398"/>
  <c r="D399"/>
  <c r="E399"/>
  <c r="D400"/>
  <c r="E400"/>
  <c r="D401"/>
  <c r="E401"/>
  <c r="D402"/>
  <c r="E402"/>
  <c r="D403"/>
  <c r="E403"/>
  <c r="D404"/>
  <c r="E404"/>
  <c r="D405"/>
  <c r="E405"/>
  <c r="D406"/>
  <c r="E406"/>
  <c r="D407"/>
  <c r="E407"/>
  <c r="D408"/>
  <c r="E408"/>
  <c r="D409"/>
  <c r="E409"/>
  <c r="D410"/>
  <c r="E410"/>
  <c r="D411"/>
  <c r="E411"/>
  <c r="D412"/>
  <c r="E412"/>
  <c r="D413"/>
  <c r="E413"/>
  <c r="D414"/>
  <c r="E414"/>
  <c r="D415"/>
  <c r="E415"/>
  <c r="D416"/>
  <c r="E416"/>
  <c r="D417"/>
  <c r="E417"/>
  <c r="D418"/>
  <c r="E418"/>
  <c r="D419"/>
  <c r="E419"/>
  <c r="D420"/>
  <c r="E420"/>
  <c r="D421"/>
  <c r="E421"/>
  <c r="D422"/>
  <c r="E422"/>
  <c r="D423"/>
  <c r="E423"/>
  <c r="D424"/>
  <c r="E424"/>
  <c r="D425"/>
  <c r="E425"/>
  <c r="D426"/>
  <c r="E426"/>
  <c r="D427"/>
  <c r="E427"/>
  <c r="D428"/>
  <c r="E428"/>
  <c r="D429"/>
  <c r="E429"/>
  <c r="D430"/>
  <c r="E430"/>
  <c r="D431"/>
  <c r="E431"/>
  <c r="D432"/>
  <c r="E432"/>
  <c r="D433"/>
  <c r="E433"/>
  <c r="D434"/>
  <c r="E434"/>
  <c r="D435"/>
  <c r="E435"/>
  <c r="D436"/>
  <c r="E436"/>
  <c r="D437"/>
  <c r="E437"/>
  <c r="D438"/>
  <c r="E438"/>
  <c r="D439"/>
  <c r="E439"/>
  <c r="D440"/>
  <c r="E440"/>
  <c r="D441"/>
  <c r="E441"/>
  <c r="D442"/>
  <c r="E442"/>
  <c r="D443"/>
  <c r="E443"/>
  <c r="D444"/>
  <c r="E444"/>
  <c r="D445"/>
  <c r="E445"/>
  <c r="D446"/>
  <c r="E446"/>
  <c r="D447"/>
  <c r="E447"/>
  <c r="D448"/>
  <c r="E448"/>
  <c r="D449"/>
  <c r="E449"/>
  <c r="D450"/>
  <c r="E450"/>
  <c r="D451"/>
  <c r="E451"/>
  <c r="D452"/>
  <c r="E452"/>
  <c r="D453"/>
  <c r="E453"/>
  <c r="D454"/>
  <c r="E454"/>
  <c r="D455"/>
  <c r="E455"/>
  <c r="D456"/>
  <c r="E456"/>
  <c r="D457"/>
  <c r="E457"/>
  <c r="D458"/>
  <c r="E458"/>
  <c r="D459"/>
  <c r="E459"/>
  <c r="D460"/>
  <c r="E460"/>
  <c r="D461"/>
  <c r="E461"/>
  <c r="D462"/>
  <c r="E462"/>
  <c r="D463"/>
  <c r="E463"/>
  <c r="D464"/>
  <c r="E464"/>
  <c r="D465"/>
  <c r="E465"/>
  <c r="D466"/>
  <c r="E466"/>
  <c r="D467"/>
  <c r="E467"/>
  <c r="D468"/>
  <c r="E468"/>
  <c r="D469"/>
  <c r="E469"/>
  <c r="D470"/>
  <c r="E470"/>
  <c r="D471"/>
  <c r="E471"/>
  <c r="D472"/>
  <c r="E472"/>
  <c r="D473"/>
  <c r="E473"/>
  <c r="D474"/>
  <c r="E474"/>
  <c r="D475"/>
  <c r="E475"/>
  <c r="D476"/>
  <c r="E476"/>
  <c r="D477"/>
  <c r="E477"/>
  <c r="D478"/>
  <c r="E478"/>
  <c r="D479"/>
  <c r="E479"/>
  <c r="D480"/>
  <c r="E480"/>
  <c r="D481"/>
  <c r="E481"/>
  <c r="D482"/>
  <c r="E482"/>
  <c r="D483"/>
  <c r="E483"/>
  <c r="D484"/>
  <c r="E484"/>
  <c r="D485"/>
  <c r="E485"/>
  <c r="D486"/>
  <c r="E486"/>
  <c r="D487"/>
  <c r="E487"/>
  <c r="D488"/>
  <c r="E488"/>
  <c r="D489"/>
  <c r="E489"/>
  <c r="D490"/>
  <c r="E490"/>
  <c r="D491"/>
  <c r="E491"/>
  <c r="D492"/>
  <c r="E492"/>
  <c r="D493"/>
  <c r="E493"/>
  <c r="D494"/>
  <c r="E494"/>
  <c r="D495"/>
  <c r="E495"/>
  <c r="D496"/>
  <c r="E496"/>
  <c r="D497"/>
  <c r="E497"/>
  <c r="D498"/>
  <c r="E498"/>
  <c r="D499"/>
  <c r="E499"/>
  <c r="D500"/>
  <c r="E500"/>
  <c r="D501"/>
  <c r="E501"/>
  <c r="D502"/>
  <c r="E502"/>
  <c r="D503"/>
  <c r="E503"/>
  <c r="D504"/>
  <c r="E504"/>
  <c r="D505"/>
  <c r="E505"/>
  <c r="D506"/>
  <c r="E506"/>
  <c r="D507"/>
  <c r="E507"/>
  <c r="D508"/>
  <c r="E508"/>
  <c r="D509"/>
  <c r="E509"/>
  <c r="D510"/>
  <c r="E510"/>
  <c r="D511"/>
  <c r="E511"/>
  <c r="D512"/>
  <c r="E512"/>
  <c r="D513"/>
  <c r="E513"/>
  <c r="D514"/>
  <c r="E514"/>
  <c r="D515"/>
  <c r="E515"/>
  <c r="D516"/>
  <c r="E516"/>
  <c r="D517"/>
  <c r="E517"/>
  <c r="D518"/>
  <c r="E518"/>
  <c r="D519"/>
  <c r="E519"/>
  <c r="D520"/>
  <c r="E520"/>
  <c r="D521"/>
  <c r="E521"/>
  <c r="D522"/>
  <c r="E522"/>
  <c r="D523"/>
  <c r="E523"/>
  <c r="D524"/>
  <c r="E524"/>
  <c r="D525"/>
  <c r="E525"/>
  <c r="D526"/>
  <c r="E526"/>
  <c r="D527"/>
  <c r="E527"/>
  <c r="D528"/>
  <c r="E528"/>
  <c r="D529"/>
  <c r="E529"/>
  <c r="D530"/>
  <c r="E530"/>
  <c r="D531"/>
  <c r="E531"/>
  <c r="D532"/>
  <c r="E532"/>
  <c r="D533"/>
  <c r="E533"/>
  <c r="D534"/>
  <c r="E534"/>
  <c r="D535"/>
  <c r="E535"/>
  <c r="D536"/>
  <c r="E536"/>
  <c r="D537"/>
  <c r="E537"/>
  <c r="D538"/>
  <c r="E538"/>
  <c r="D539"/>
  <c r="E539"/>
  <c r="D540"/>
  <c r="E540"/>
  <c r="D541"/>
  <c r="E541"/>
  <c r="D542"/>
  <c r="E542"/>
  <c r="D543"/>
  <c r="E543"/>
  <c r="D544"/>
  <c r="E544"/>
  <c r="D545"/>
  <c r="E545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699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CA2"/>
  <c r="CA3"/>
  <c r="CA4"/>
  <c r="CA5"/>
  <c r="CA6"/>
  <c r="CA7"/>
  <c r="CA8"/>
  <c r="CA9"/>
  <c r="CA10"/>
  <c r="CA11"/>
  <c r="CA12"/>
  <c r="CA13"/>
  <c r="CA14"/>
  <c r="CA15"/>
  <c r="CA16"/>
  <c r="CA17"/>
  <c r="CA18"/>
  <c r="CA19"/>
  <c r="CA20"/>
  <c r="CA21"/>
  <c r="CA22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69"/>
  <c r="CA70"/>
  <c r="CA71"/>
  <c r="CA72"/>
  <c r="CA73"/>
  <c r="CA74"/>
  <c r="CA75"/>
  <c r="CA76"/>
  <c r="CA77"/>
  <c r="CA78"/>
  <c r="CA79"/>
  <c r="CA80"/>
  <c r="CA81"/>
  <c r="CA82"/>
  <c r="CA83"/>
  <c r="CA84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105"/>
  <c r="CA106"/>
  <c r="CA107"/>
  <c r="CA108"/>
  <c r="CA109"/>
  <c r="CA110"/>
  <c r="CA111"/>
  <c r="CA112"/>
  <c r="CA113"/>
  <c r="CA114"/>
  <c r="CA115"/>
  <c r="CA116"/>
  <c r="CA117"/>
  <c r="CA118"/>
  <c r="CA119"/>
  <c r="CA120"/>
  <c r="CA121"/>
  <c r="CA122"/>
  <c r="CA123"/>
  <c r="CA124"/>
  <c r="CA125"/>
  <c r="CA126"/>
  <c r="CA127"/>
  <c r="CA128"/>
  <c r="CA129"/>
  <c r="CA130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5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2"/>
  <c r="CA183"/>
  <c r="CA184"/>
  <c r="CA185"/>
  <c r="CA186"/>
  <c r="CA187"/>
  <c r="CA188"/>
  <c r="CA189"/>
  <c r="CA190"/>
  <c r="CA191"/>
  <c r="CA192"/>
  <c r="CA193"/>
  <c r="CA194"/>
  <c r="CA195"/>
  <c r="CA196"/>
  <c r="CA197"/>
  <c r="CA198"/>
  <c r="CA199"/>
  <c r="CA200"/>
  <c r="CA201"/>
  <c r="CA202"/>
  <c r="CA203"/>
  <c r="CA204"/>
  <c r="CA205"/>
  <c r="CA206"/>
  <c r="CA207"/>
  <c r="CA208"/>
  <c r="CA209"/>
  <c r="CA210"/>
  <c r="CA211"/>
  <c r="CA212"/>
  <c r="CA213"/>
  <c r="CA214"/>
  <c r="CA215"/>
  <c r="CA216"/>
  <c r="CA217"/>
  <c r="CA218"/>
  <c r="CA219"/>
  <c r="CA220"/>
  <c r="CA221"/>
  <c r="CA222"/>
  <c r="CA223"/>
  <c r="CA224"/>
  <c r="CA225"/>
  <c r="CA226"/>
  <c r="CA227"/>
  <c r="CA228"/>
  <c r="CA229"/>
  <c r="CA230"/>
  <c r="CA231"/>
  <c r="CA232"/>
  <c r="CA233"/>
  <c r="CA234"/>
  <c r="CA235"/>
  <c r="CA236"/>
  <c r="CA237"/>
  <c r="CA238"/>
  <c r="CA239"/>
  <c r="CA240"/>
  <c r="CA241"/>
  <c r="CA242"/>
  <c r="CA243"/>
  <c r="CA244"/>
  <c r="CA245"/>
  <c r="CA246"/>
  <c r="CA247"/>
  <c r="CA248"/>
  <c r="CA249"/>
  <c r="CA250"/>
  <c r="CA251"/>
  <c r="CA252"/>
  <c r="CA253"/>
  <c r="CA254"/>
  <c r="CA255"/>
  <c r="CA256"/>
  <c r="CA257"/>
  <c r="CA258"/>
  <c r="CA259"/>
  <c r="CA260"/>
  <c r="CA261"/>
  <c r="CA262"/>
  <c r="CA263"/>
  <c r="CA264"/>
  <c r="CA265"/>
  <c r="CA266"/>
  <c r="CA267"/>
  <c r="CA268"/>
  <c r="CA269"/>
  <c r="CA270"/>
  <c r="CA271"/>
  <c r="CA272"/>
  <c r="CA273"/>
  <c r="CA274"/>
  <c r="CA275"/>
  <c r="CA276"/>
  <c r="CA277"/>
  <c r="CA278"/>
  <c r="CA279"/>
  <c r="CA280"/>
  <c r="CA281"/>
  <c r="CA282"/>
  <c r="CA283"/>
  <c r="CA284"/>
  <c r="CA285"/>
  <c r="CA286"/>
  <c r="CA287"/>
  <c r="CA288"/>
  <c r="CA289"/>
  <c r="CA290"/>
  <c r="CA291"/>
  <c r="CA292"/>
  <c r="CA293"/>
  <c r="CA294"/>
  <c r="CA295"/>
  <c r="CA296"/>
  <c r="CA297"/>
  <c r="CA298"/>
  <c r="CA299"/>
  <c r="CA300"/>
  <c r="CA301"/>
  <c r="CA302"/>
  <c r="CA303"/>
  <c r="CA304"/>
  <c r="CA305"/>
  <c r="CA306"/>
  <c r="CA307"/>
  <c r="CA308"/>
  <c r="CA309"/>
  <c r="CA310"/>
  <c r="CA311"/>
  <c r="CA312"/>
  <c r="CA313"/>
  <c r="CA314"/>
  <c r="CA315"/>
  <c r="CA316"/>
  <c r="CA317"/>
  <c r="CA318"/>
  <c r="CA319"/>
  <c r="CA320"/>
  <c r="CA321"/>
  <c r="CA322"/>
  <c r="CA323"/>
  <c r="CA324"/>
  <c r="CA325"/>
  <c r="CA326"/>
  <c r="CA327"/>
  <c r="CA328"/>
  <c r="CA329"/>
  <c r="CA330"/>
  <c r="CA331"/>
  <c r="CA332"/>
  <c r="CA333"/>
  <c r="CA334"/>
  <c r="CA335"/>
  <c r="CA336"/>
  <c r="CA337"/>
  <c r="CA338"/>
  <c r="CA339"/>
  <c r="CA340"/>
  <c r="CA341"/>
  <c r="CA342"/>
  <c r="CA343"/>
  <c r="CA344"/>
  <c r="CA345"/>
  <c r="CA346"/>
  <c r="CA347"/>
  <c r="CA348"/>
  <c r="CA349"/>
  <c r="CA350"/>
  <c r="CA351"/>
  <c r="CA352"/>
  <c r="CA353"/>
  <c r="CA354"/>
  <c r="CA355"/>
  <c r="CA356"/>
  <c r="CA357"/>
  <c r="CA358"/>
  <c r="CA359"/>
  <c r="CA360"/>
  <c r="CA361"/>
  <c r="CA362"/>
  <c r="CA363"/>
  <c r="CA364"/>
  <c r="CA365"/>
  <c r="CA366"/>
  <c r="CA367"/>
  <c r="CA368"/>
  <c r="CA369"/>
  <c r="CA370"/>
  <c r="CA371"/>
  <c r="CA372"/>
  <c r="CA373"/>
  <c r="CA374"/>
  <c r="CA375"/>
  <c r="CA376"/>
  <c r="CA377"/>
  <c r="CA378"/>
  <c r="CA379"/>
  <c r="CA380"/>
  <c r="CA381"/>
  <c r="CA382"/>
  <c r="CA383"/>
  <c r="CA384"/>
  <c r="CA385"/>
  <c r="CA386"/>
  <c r="CA387"/>
  <c r="CA388"/>
  <c r="CA389"/>
  <c r="CA390"/>
  <c r="CA391"/>
  <c r="CA392"/>
  <c r="CA393"/>
  <c r="CA394"/>
  <c r="CA395"/>
  <c r="CA396"/>
  <c r="CA397"/>
  <c r="CA398"/>
  <c r="CA399"/>
  <c r="CA400"/>
  <c r="CA401"/>
  <c r="CA402"/>
  <c r="CA403"/>
  <c r="CA404"/>
  <c r="CA405"/>
  <c r="CA406"/>
  <c r="CA407"/>
  <c r="CA408"/>
  <c r="CA409"/>
  <c r="CA410"/>
  <c r="CA411"/>
  <c r="CA412"/>
  <c r="CA413"/>
  <c r="CA414"/>
  <c r="CA415"/>
  <c r="CA416"/>
  <c r="CA417"/>
  <c r="CA418"/>
  <c r="CA419"/>
  <c r="CA420"/>
  <c r="CA421"/>
  <c r="CA422"/>
  <c r="CA423"/>
  <c r="CA424"/>
  <c r="CA425"/>
  <c r="CA426"/>
  <c r="CA427"/>
  <c r="CA428"/>
  <c r="CA429"/>
  <c r="CA430"/>
  <c r="CA431"/>
  <c r="CA432"/>
  <c r="CA433"/>
  <c r="CA434"/>
  <c r="CA435"/>
  <c r="CA436"/>
  <c r="CA437"/>
  <c r="CA438"/>
  <c r="CA439"/>
  <c r="CA440"/>
  <c r="CA441"/>
  <c r="CA442"/>
  <c r="CA443"/>
  <c r="CA444"/>
  <c r="CA445"/>
  <c r="CA446"/>
  <c r="CA447"/>
  <c r="CA448"/>
  <c r="CA449"/>
  <c r="CA450"/>
  <c r="CA451"/>
  <c r="CA452"/>
  <c r="CA453"/>
  <c r="CA454"/>
  <c r="CA455"/>
  <c r="CA456"/>
  <c r="CA457"/>
  <c r="CA458"/>
  <c r="CA459"/>
  <c r="CA460"/>
  <c r="CA461"/>
  <c r="CA462"/>
  <c r="CA463"/>
  <c r="CA464"/>
  <c r="CA465"/>
  <c r="CA466"/>
  <c r="CA467"/>
  <c r="CA468"/>
  <c r="CA469"/>
  <c r="CA470"/>
  <c r="CA471"/>
  <c r="CA472"/>
  <c r="CA473"/>
  <c r="CA474"/>
  <c r="CA475"/>
  <c r="CA476"/>
  <c r="CA477"/>
  <c r="CA478"/>
  <c r="CA479"/>
  <c r="CA480"/>
  <c r="CA481"/>
  <c r="CA482"/>
  <c r="CA483"/>
  <c r="CA484"/>
  <c r="CA485"/>
  <c r="CA486"/>
  <c r="CA487"/>
  <c r="CA488"/>
  <c r="CA489"/>
  <c r="CA490"/>
  <c r="CA491"/>
  <c r="CA492"/>
  <c r="CA493"/>
  <c r="CA494"/>
  <c r="CA495"/>
  <c r="CA496"/>
  <c r="CA497"/>
  <c r="CA498"/>
  <c r="CA499"/>
  <c r="CA500"/>
  <c r="CA501"/>
  <c r="CA502"/>
  <c r="CA503"/>
  <c r="CA504"/>
  <c r="CA505"/>
  <c r="CA506"/>
  <c r="CA507"/>
  <c r="CA508"/>
  <c r="CA509"/>
  <c r="CA510"/>
  <c r="CA511"/>
  <c r="CA512"/>
  <c r="CA513"/>
  <c r="CA514"/>
  <c r="CA515"/>
  <c r="CA516"/>
  <c r="CA517"/>
  <c r="CA518"/>
  <c r="CA519"/>
  <c r="CA520"/>
  <c r="CA521"/>
  <c r="CA522"/>
  <c r="CA523"/>
  <c r="CA524"/>
  <c r="CA525"/>
  <c r="CA526"/>
  <c r="CA527"/>
  <c r="CA528"/>
  <c r="CA529"/>
  <c r="CA530"/>
  <c r="CA531"/>
  <c r="CA532"/>
  <c r="CA533"/>
  <c r="CA534"/>
  <c r="CA535"/>
  <c r="CA536"/>
  <c r="CA537"/>
  <c r="CA538"/>
  <c r="CA539"/>
  <c r="CA540"/>
  <c r="CA541"/>
  <c r="CA542"/>
  <c r="CA543"/>
  <c r="CA544"/>
  <c r="CA545"/>
  <c r="CA546"/>
  <c r="CA547"/>
  <c r="CA548"/>
  <c r="CA549"/>
  <c r="CA550"/>
  <c r="CA551"/>
  <c r="CA552"/>
  <c r="CA553"/>
  <c r="CA554"/>
  <c r="CA555"/>
  <c r="CA556"/>
  <c r="CA557"/>
  <c r="CA558"/>
  <c r="CA559"/>
  <c r="CA560"/>
  <c r="CA561"/>
  <c r="CA562"/>
  <c r="CA563"/>
  <c r="CA564"/>
  <c r="CA565"/>
  <c r="CA566"/>
  <c r="CA567"/>
  <c r="CA568"/>
  <c r="CA569"/>
  <c r="CA570"/>
  <c r="CA571"/>
  <c r="CA572"/>
  <c r="CA573"/>
  <c r="CA574"/>
  <c r="CA575"/>
  <c r="CA576"/>
  <c r="CA577"/>
  <c r="CA578"/>
  <c r="CA579"/>
  <c r="CA580"/>
  <c r="CA581"/>
  <c r="CA582"/>
  <c r="CA583"/>
  <c r="CA584"/>
  <c r="CA585"/>
  <c r="CA586"/>
  <c r="CA587"/>
  <c r="CA588"/>
  <c r="CA589"/>
  <c r="CA590"/>
  <c r="CA591"/>
  <c r="CA592"/>
  <c r="CA593"/>
  <c r="CA594"/>
  <c r="CA595"/>
  <c r="CA596"/>
  <c r="CA597"/>
  <c r="CA598"/>
  <c r="CA599"/>
  <c r="CA600"/>
  <c r="CA601"/>
  <c r="CA602"/>
  <c r="CA603"/>
  <c r="CA604"/>
  <c r="CA605"/>
  <c r="CA606"/>
  <c r="CA607"/>
  <c r="CA608"/>
  <c r="CA609"/>
  <c r="CA610"/>
  <c r="CA611"/>
  <c r="CA612"/>
  <c r="CA613"/>
  <c r="CA614"/>
  <c r="CA615"/>
  <c r="CA616"/>
  <c r="CA617"/>
  <c r="CA618"/>
  <c r="CA619"/>
  <c r="CA620"/>
  <c r="CA621"/>
  <c r="CA622"/>
  <c r="CA623"/>
  <c r="CA624"/>
  <c r="CA625"/>
  <c r="CA626"/>
  <c r="CA627"/>
  <c r="CA628"/>
  <c r="CA629"/>
  <c r="CA630"/>
  <c r="CA631"/>
  <c r="CA632"/>
  <c r="CA633"/>
  <c r="CA634"/>
  <c r="CA635"/>
  <c r="CA636"/>
  <c r="CA637"/>
  <c r="CA638"/>
  <c r="CA639"/>
  <c r="CA640"/>
  <c r="CA641"/>
  <c r="CA642"/>
  <c r="CA643"/>
  <c r="CA644"/>
  <c r="CA645"/>
  <c r="CA646"/>
  <c r="CA647"/>
  <c r="CA648"/>
  <c r="CA649"/>
  <c r="CA650"/>
  <c r="CA651"/>
  <c r="CA652"/>
  <c r="CA653"/>
  <c r="CA654"/>
  <c r="CA655"/>
  <c r="CA656"/>
  <c r="CA657"/>
  <c r="CA658"/>
  <c r="CA659"/>
  <c r="CA660"/>
  <c r="CA661"/>
  <c r="CA662"/>
  <c r="CA663"/>
  <c r="CA664"/>
  <c r="CA665"/>
  <c r="CA666"/>
  <c r="CA667"/>
  <c r="CA668"/>
  <c r="CA669"/>
  <c r="CA670"/>
  <c r="CA671"/>
  <c r="CA672"/>
  <c r="CA673"/>
  <c r="CA674"/>
  <c r="CA675"/>
  <c r="CA676"/>
  <c r="CA677"/>
  <c r="CA678"/>
  <c r="CA679"/>
  <c r="CA680"/>
  <c r="CA681"/>
  <c r="CA682"/>
  <c r="CA683"/>
  <c r="CA684"/>
  <c r="CA685"/>
  <c r="CA686"/>
  <c r="CA687"/>
  <c r="CA688"/>
  <c r="CA689"/>
  <c r="CA690"/>
  <c r="CA691"/>
  <c r="CA692"/>
  <c r="CA693"/>
  <c r="CA694"/>
  <c r="CA695"/>
  <c r="CA696"/>
  <c r="CA697"/>
  <c r="CA698"/>
  <c r="CA699"/>
  <c r="CA700"/>
  <c r="CA701"/>
  <c r="CA702"/>
  <c r="CA703"/>
  <c r="CA704"/>
  <c r="CA705"/>
  <c r="CA706"/>
  <c r="CA707"/>
  <c r="CA708"/>
  <c r="CA709"/>
  <c r="CA710"/>
  <c r="CA711"/>
  <c r="CA712"/>
  <c r="CA713"/>
  <c r="CA714"/>
  <c r="CA715"/>
  <c r="CA716"/>
  <c r="CA717"/>
  <c r="CA718"/>
  <c r="CA719"/>
  <c r="CA720"/>
  <c r="CA721"/>
  <c r="CA722"/>
  <c r="CA723"/>
  <c r="CA724"/>
  <c r="CA725"/>
  <c r="CA726"/>
  <c r="CA727"/>
  <c r="CA728"/>
  <c r="CA729"/>
  <c r="CA730"/>
  <c r="CA731"/>
  <c r="CA732"/>
  <c r="CA733"/>
  <c r="CA734"/>
  <c r="CA735"/>
  <c r="CA736"/>
  <c r="CA737"/>
  <c r="CA738"/>
  <c r="CA739"/>
  <c r="CA740"/>
  <c r="CA741"/>
  <c r="CA742"/>
  <c r="CA743"/>
  <c r="CA744"/>
  <c r="CA745"/>
  <c r="CA746"/>
  <c r="CA747"/>
  <c r="CA748"/>
  <c r="CA749"/>
  <c r="CA750"/>
  <c r="CA751"/>
  <c r="CA752"/>
  <c r="CA753"/>
  <c r="CA754"/>
  <c r="CA755"/>
  <c r="CA756"/>
  <c r="CA757"/>
  <c r="CA758"/>
  <c r="CA759"/>
  <c r="CA760"/>
  <c r="CA761"/>
  <c r="CA762"/>
  <c r="CA763"/>
  <c r="CA764"/>
  <c r="CA765"/>
  <c r="CA766"/>
  <c r="CA767"/>
  <c r="CA768"/>
  <c r="CA769"/>
  <c r="CA770"/>
  <c r="CA771"/>
  <c r="CA772"/>
  <c r="CA773"/>
  <c r="CA774"/>
  <c r="CA775"/>
  <c r="CA776"/>
  <c r="CA777"/>
  <c r="CA778"/>
  <c r="CA779"/>
  <c r="CA780"/>
  <c r="CA781"/>
  <c r="CA782"/>
  <c r="CA783"/>
  <c r="CA784"/>
  <c r="CA785"/>
  <c r="CA786"/>
  <c r="CA787"/>
  <c r="CA788"/>
  <c r="CA789"/>
  <c r="CA790"/>
  <c r="CA791"/>
  <c r="CA792"/>
  <c r="CA793"/>
  <c r="CA794"/>
  <c r="CA795"/>
  <c r="CA796"/>
  <c r="CA797"/>
  <c r="CA798"/>
  <c r="BZ2"/>
  <c r="BZ3"/>
  <c r="BZ4"/>
  <c r="BZ5"/>
  <c r="BZ6"/>
  <c r="BZ7"/>
  <c r="BZ8"/>
  <c r="BZ9"/>
  <c r="BZ10"/>
  <c r="BZ11"/>
  <c r="BZ12"/>
  <c r="BZ13"/>
  <c r="BZ14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223"/>
  <c r="BZ224"/>
  <c r="BZ225"/>
  <c r="BZ226"/>
  <c r="BZ227"/>
  <c r="BZ228"/>
  <c r="BZ229"/>
  <c r="BZ230"/>
  <c r="BZ231"/>
  <c r="BZ232"/>
  <c r="BZ233"/>
  <c r="BZ234"/>
  <c r="BZ235"/>
  <c r="BZ236"/>
  <c r="BZ237"/>
  <c r="BZ238"/>
  <c r="BZ239"/>
  <c r="BZ240"/>
  <c r="BZ241"/>
  <c r="BZ242"/>
  <c r="BZ243"/>
  <c r="BZ244"/>
  <c r="BZ245"/>
  <c r="BZ246"/>
  <c r="BZ247"/>
  <c r="BZ248"/>
  <c r="BZ249"/>
  <c r="BZ250"/>
  <c r="BZ251"/>
  <c r="BZ252"/>
  <c r="BZ253"/>
  <c r="BZ254"/>
  <c r="BZ255"/>
  <c r="BZ256"/>
  <c r="BZ257"/>
  <c r="BZ258"/>
  <c r="BZ259"/>
  <c r="BZ260"/>
  <c r="BZ261"/>
  <c r="BZ262"/>
  <c r="BZ263"/>
  <c r="BZ264"/>
  <c r="BZ265"/>
  <c r="BZ266"/>
  <c r="BZ267"/>
  <c r="BZ268"/>
  <c r="BZ269"/>
  <c r="BZ270"/>
  <c r="BZ271"/>
  <c r="BZ272"/>
  <c r="BZ273"/>
  <c r="BZ274"/>
  <c r="BZ275"/>
  <c r="BZ276"/>
  <c r="BZ277"/>
  <c r="BZ278"/>
  <c r="BZ279"/>
  <c r="BZ280"/>
  <c r="BZ281"/>
  <c r="BZ282"/>
  <c r="BZ283"/>
  <c r="BZ284"/>
  <c r="BZ285"/>
  <c r="BZ286"/>
  <c r="BZ287"/>
  <c r="BZ288"/>
  <c r="BZ289"/>
  <c r="BZ290"/>
  <c r="BZ291"/>
  <c r="BZ292"/>
  <c r="BZ293"/>
  <c r="BZ294"/>
  <c r="BZ295"/>
  <c r="BZ296"/>
  <c r="BZ297"/>
  <c r="BZ298"/>
  <c r="BZ299"/>
  <c r="BZ300"/>
  <c r="BZ301"/>
  <c r="BZ302"/>
  <c r="BZ303"/>
  <c r="BZ304"/>
  <c r="BZ305"/>
  <c r="BZ306"/>
  <c r="BZ307"/>
  <c r="BZ308"/>
  <c r="BZ309"/>
  <c r="BZ310"/>
  <c r="BZ311"/>
  <c r="BZ312"/>
  <c r="BZ313"/>
  <c r="BZ314"/>
  <c r="BZ315"/>
  <c r="BZ316"/>
  <c r="BZ317"/>
  <c r="BZ318"/>
  <c r="BZ319"/>
  <c r="BZ320"/>
  <c r="BZ321"/>
  <c r="BZ322"/>
  <c r="BZ323"/>
  <c r="BZ324"/>
  <c r="BZ325"/>
  <c r="BZ326"/>
  <c r="BZ327"/>
  <c r="BZ328"/>
  <c r="BZ329"/>
  <c r="BZ330"/>
  <c r="BZ331"/>
  <c r="BZ332"/>
  <c r="BZ333"/>
  <c r="BZ334"/>
  <c r="BZ335"/>
  <c r="BZ336"/>
  <c r="BZ337"/>
  <c r="BZ338"/>
  <c r="BZ339"/>
  <c r="BZ340"/>
  <c r="BZ341"/>
  <c r="BZ342"/>
  <c r="BZ343"/>
  <c r="BZ344"/>
  <c r="BZ345"/>
  <c r="BZ346"/>
  <c r="BZ347"/>
  <c r="BZ348"/>
  <c r="BZ349"/>
  <c r="BZ350"/>
  <c r="BZ351"/>
  <c r="BZ352"/>
  <c r="BZ353"/>
  <c r="BZ354"/>
  <c r="BZ355"/>
  <c r="BZ356"/>
  <c r="BZ357"/>
  <c r="BZ358"/>
  <c r="BZ359"/>
  <c r="BZ360"/>
  <c r="BZ361"/>
  <c r="BZ362"/>
  <c r="BZ363"/>
  <c r="BZ364"/>
  <c r="BZ365"/>
  <c r="BZ366"/>
  <c r="BZ367"/>
  <c r="BZ368"/>
  <c r="BZ369"/>
  <c r="BZ370"/>
  <c r="BZ371"/>
  <c r="BZ372"/>
  <c r="BZ373"/>
  <c r="BZ374"/>
  <c r="BZ375"/>
  <c r="BZ376"/>
  <c r="BZ377"/>
  <c r="BZ378"/>
  <c r="BZ379"/>
  <c r="BZ380"/>
  <c r="BZ381"/>
  <c r="BZ382"/>
  <c r="BZ383"/>
  <c r="BZ384"/>
  <c r="BZ385"/>
  <c r="BZ386"/>
  <c r="BZ387"/>
  <c r="BZ388"/>
  <c r="BZ389"/>
  <c r="BZ390"/>
  <c r="BZ391"/>
  <c r="BZ392"/>
  <c r="BZ393"/>
  <c r="BZ394"/>
  <c r="BZ395"/>
  <c r="BZ396"/>
  <c r="BZ397"/>
  <c r="BZ398"/>
  <c r="BZ399"/>
  <c r="BZ400"/>
  <c r="BZ401"/>
  <c r="BZ402"/>
  <c r="BZ403"/>
  <c r="BZ404"/>
  <c r="BZ405"/>
  <c r="BZ406"/>
  <c r="BZ407"/>
  <c r="BZ408"/>
  <c r="BZ409"/>
  <c r="BZ410"/>
  <c r="BZ411"/>
  <c r="BZ412"/>
  <c r="BZ413"/>
  <c r="BZ414"/>
  <c r="BZ415"/>
  <c r="BZ416"/>
  <c r="BZ417"/>
  <c r="BZ418"/>
  <c r="BZ419"/>
  <c r="BZ420"/>
  <c r="BZ421"/>
  <c r="BZ422"/>
  <c r="BZ423"/>
  <c r="BZ424"/>
  <c r="BZ425"/>
  <c r="BZ426"/>
  <c r="BZ427"/>
  <c r="BZ428"/>
  <c r="BZ429"/>
  <c r="BZ430"/>
  <c r="BZ431"/>
  <c r="BZ432"/>
  <c r="BZ433"/>
  <c r="BZ434"/>
  <c r="BZ435"/>
  <c r="BZ436"/>
  <c r="BZ437"/>
  <c r="BZ438"/>
  <c r="BZ439"/>
  <c r="BZ440"/>
  <c r="BZ441"/>
  <c r="BZ442"/>
  <c r="BZ443"/>
  <c r="BZ444"/>
  <c r="BZ445"/>
  <c r="BZ446"/>
  <c r="BZ447"/>
  <c r="BZ448"/>
  <c r="BZ449"/>
  <c r="BZ450"/>
  <c r="BZ451"/>
  <c r="BZ452"/>
  <c r="BZ453"/>
  <c r="BZ454"/>
  <c r="BZ455"/>
  <c r="BZ456"/>
  <c r="BZ457"/>
  <c r="BZ458"/>
  <c r="BZ459"/>
  <c r="BZ460"/>
  <c r="BZ461"/>
  <c r="BZ462"/>
  <c r="BZ463"/>
  <c r="BZ464"/>
  <c r="BZ465"/>
  <c r="BZ466"/>
  <c r="BZ467"/>
  <c r="BZ468"/>
  <c r="BZ469"/>
  <c r="BZ470"/>
  <c r="BZ471"/>
  <c r="BZ472"/>
  <c r="BZ473"/>
  <c r="BZ474"/>
  <c r="BZ475"/>
  <c r="BZ476"/>
  <c r="BZ477"/>
  <c r="BZ478"/>
  <c r="BZ479"/>
  <c r="BZ480"/>
  <c r="BZ481"/>
  <c r="BZ482"/>
  <c r="BZ483"/>
  <c r="BZ484"/>
  <c r="BZ485"/>
  <c r="BZ486"/>
  <c r="BZ487"/>
  <c r="BZ488"/>
  <c r="BZ489"/>
  <c r="BZ490"/>
  <c r="BZ491"/>
  <c r="BZ492"/>
  <c r="BZ493"/>
  <c r="BZ494"/>
  <c r="BZ495"/>
  <c r="BZ496"/>
  <c r="BZ497"/>
  <c r="BZ498"/>
  <c r="BZ499"/>
  <c r="BZ500"/>
  <c r="BZ501"/>
  <c r="BZ502"/>
  <c r="BZ503"/>
  <c r="BZ504"/>
  <c r="BZ505"/>
  <c r="BZ506"/>
  <c r="BZ507"/>
  <c r="BZ508"/>
  <c r="BZ509"/>
  <c r="BZ510"/>
  <c r="BZ511"/>
  <c r="BZ512"/>
  <c r="BZ513"/>
  <c r="BZ514"/>
  <c r="BZ515"/>
  <c r="BZ516"/>
  <c r="BZ517"/>
  <c r="BZ518"/>
  <c r="BZ519"/>
  <c r="BZ520"/>
  <c r="BZ521"/>
  <c r="BZ522"/>
  <c r="BZ523"/>
  <c r="BZ524"/>
  <c r="BZ525"/>
  <c r="BZ526"/>
  <c r="BZ527"/>
  <c r="BZ528"/>
  <c r="BZ529"/>
  <c r="BZ530"/>
  <c r="BZ531"/>
  <c r="BZ532"/>
  <c r="BZ533"/>
  <c r="BZ534"/>
  <c r="BZ535"/>
  <c r="BZ536"/>
  <c r="BZ537"/>
  <c r="BZ538"/>
  <c r="BZ539"/>
  <c r="BZ540"/>
  <c r="BZ541"/>
  <c r="BZ542"/>
  <c r="BZ543"/>
  <c r="BZ544"/>
  <c r="BZ545"/>
  <c r="BZ546"/>
  <c r="BZ547"/>
  <c r="BZ548"/>
  <c r="BZ549"/>
  <c r="BZ550"/>
  <c r="BZ551"/>
  <c r="BZ552"/>
  <c r="BZ553"/>
  <c r="BZ554"/>
  <c r="BZ555"/>
  <c r="BZ556"/>
  <c r="BZ557"/>
  <c r="BZ558"/>
  <c r="BZ559"/>
  <c r="BZ560"/>
  <c r="BZ561"/>
  <c r="BZ562"/>
  <c r="BZ563"/>
  <c r="BZ564"/>
  <c r="BZ565"/>
  <c r="BZ566"/>
  <c r="BZ567"/>
  <c r="BZ568"/>
  <c r="BZ569"/>
  <c r="BZ570"/>
  <c r="BZ571"/>
  <c r="BZ572"/>
  <c r="BZ573"/>
  <c r="BZ574"/>
  <c r="BZ575"/>
  <c r="BZ576"/>
  <c r="BZ577"/>
  <c r="BZ578"/>
  <c r="BZ579"/>
  <c r="BZ580"/>
  <c r="BZ581"/>
  <c r="BZ582"/>
  <c r="BZ583"/>
  <c r="BZ584"/>
  <c r="BZ585"/>
  <c r="BZ586"/>
  <c r="BZ587"/>
  <c r="BZ588"/>
  <c r="BZ589"/>
  <c r="BZ590"/>
  <c r="BZ591"/>
  <c r="BZ592"/>
  <c r="BZ593"/>
  <c r="BZ594"/>
  <c r="BZ595"/>
  <c r="BZ596"/>
  <c r="BZ597"/>
  <c r="BZ598"/>
  <c r="BZ599"/>
  <c r="BZ600"/>
  <c r="BZ601"/>
  <c r="BZ602"/>
  <c r="BZ603"/>
  <c r="BZ604"/>
  <c r="BZ605"/>
  <c r="BZ606"/>
  <c r="BZ607"/>
  <c r="BZ608"/>
  <c r="BZ609"/>
  <c r="BZ610"/>
  <c r="BZ611"/>
  <c r="BZ612"/>
  <c r="BZ613"/>
  <c r="BZ614"/>
  <c r="BZ615"/>
  <c r="BZ616"/>
  <c r="BZ617"/>
  <c r="BZ618"/>
  <c r="BZ619"/>
  <c r="BZ620"/>
  <c r="BZ621"/>
  <c r="BZ622"/>
  <c r="BZ623"/>
  <c r="BZ624"/>
  <c r="BZ625"/>
  <c r="BZ626"/>
  <c r="BZ627"/>
  <c r="BZ628"/>
  <c r="BZ629"/>
  <c r="BZ630"/>
  <c r="BZ631"/>
  <c r="BZ632"/>
  <c r="BZ633"/>
  <c r="BZ634"/>
  <c r="BZ635"/>
  <c r="BZ636"/>
  <c r="BZ637"/>
  <c r="BZ638"/>
  <c r="BZ639"/>
  <c r="BZ640"/>
  <c r="BZ641"/>
  <c r="BZ642"/>
  <c r="BZ643"/>
  <c r="BZ644"/>
  <c r="BZ645"/>
  <c r="BZ646"/>
  <c r="BZ647"/>
  <c r="BZ648"/>
  <c r="BZ649"/>
  <c r="BZ650"/>
  <c r="BZ651"/>
  <c r="BZ652"/>
  <c r="BZ653"/>
  <c r="BZ654"/>
  <c r="BZ655"/>
  <c r="BZ656"/>
  <c r="BZ657"/>
  <c r="BZ658"/>
  <c r="BZ659"/>
  <c r="BZ660"/>
  <c r="BZ661"/>
  <c r="BZ662"/>
  <c r="BZ663"/>
  <c r="BZ664"/>
  <c r="BZ665"/>
  <c r="BZ666"/>
  <c r="BZ667"/>
  <c r="BZ668"/>
  <c r="BZ669"/>
  <c r="BZ670"/>
  <c r="BZ671"/>
  <c r="BZ672"/>
  <c r="BZ673"/>
  <c r="BZ674"/>
  <c r="BZ675"/>
  <c r="BZ676"/>
  <c r="BZ677"/>
  <c r="BZ678"/>
  <c r="BZ679"/>
  <c r="BZ680"/>
  <c r="BZ681"/>
  <c r="BZ682"/>
  <c r="BZ683"/>
  <c r="BZ684"/>
  <c r="BZ685"/>
  <c r="BZ686"/>
  <c r="BZ687"/>
  <c r="BZ688"/>
  <c r="BZ689"/>
  <c r="BZ690"/>
  <c r="BZ691"/>
  <c r="BZ692"/>
  <c r="BZ693"/>
  <c r="BZ694"/>
  <c r="BZ695"/>
  <c r="BZ696"/>
  <c r="BZ697"/>
  <c r="BZ698"/>
  <c r="BZ699"/>
  <c r="BZ700"/>
  <c r="BZ701"/>
  <c r="BZ702"/>
  <c r="BZ703"/>
  <c r="BZ704"/>
  <c r="BZ705"/>
  <c r="BZ706"/>
  <c r="BZ707"/>
  <c r="BZ708"/>
  <c r="BZ709"/>
  <c r="BZ710"/>
  <c r="BZ711"/>
  <c r="BZ712"/>
  <c r="BZ713"/>
  <c r="BZ714"/>
  <c r="BZ715"/>
  <c r="BZ716"/>
  <c r="BZ717"/>
  <c r="BZ718"/>
  <c r="BZ719"/>
  <c r="BZ720"/>
  <c r="BZ721"/>
  <c r="BZ722"/>
  <c r="BZ723"/>
  <c r="BZ724"/>
  <c r="BZ725"/>
  <c r="BZ726"/>
  <c r="BZ727"/>
  <c r="BZ728"/>
  <c r="BZ729"/>
  <c r="BZ730"/>
  <c r="BZ731"/>
  <c r="BZ732"/>
  <c r="BZ733"/>
  <c r="BZ734"/>
  <c r="BZ735"/>
  <c r="BZ736"/>
  <c r="BZ737"/>
  <c r="BZ738"/>
  <c r="BZ739"/>
  <c r="BZ740"/>
  <c r="BZ741"/>
  <c r="BZ742"/>
  <c r="BZ743"/>
  <c r="BZ744"/>
  <c r="BZ745"/>
  <c r="BZ746"/>
  <c r="BZ747"/>
  <c r="BZ748"/>
  <c r="BZ749"/>
  <c r="BZ750"/>
  <c r="BZ751"/>
  <c r="BZ752"/>
  <c r="BZ753"/>
  <c r="BZ754"/>
  <c r="BZ755"/>
  <c r="BZ756"/>
  <c r="BZ757"/>
  <c r="BZ758"/>
  <c r="BZ759"/>
  <c r="BZ760"/>
  <c r="BZ761"/>
  <c r="BZ762"/>
  <c r="BZ763"/>
  <c r="BZ764"/>
  <c r="BZ765"/>
  <c r="BZ766"/>
  <c r="BZ767"/>
  <c r="BZ768"/>
  <c r="BZ769"/>
  <c r="BZ770"/>
  <c r="BZ771"/>
  <c r="BZ772"/>
  <c r="BZ773"/>
  <c r="BZ774"/>
  <c r="BZ775"/>
  <c r="BZ776"/>
  <c r="BZ777"/>
  <c r="BZ778"/>
  <c r="BZ779"/>
  <c r="BZ780"/>
  <c r="BZ781"/>
  <c r="BZ782"/>
  <c r="BZ783"/>
  <c r="BZ784"/>
  <c r="BZ785"/>
  <c r="BZ786"/>
  <c r="BZ787"/>
  <c r="BZ788"/>
  <c r="BZ789"/>
  <c r="BZ790"/>
  <c r="BZ791"/>
  <c r="BZ792"/>
  <c r="BZ793"/>
  <c r="BZ794"/>
  <c r="BZ795"/>
  <c r="BZ796"/>
  <c r="BZ797"/>
  <c r="BZ798"/>
  <c r="BY2"/>
  <c r="BY3"/>
  <c r="BY4"/>
  <c r="BY5"/>
  <c r="BY6"/>
  <c r="BY7"/>
  <c r="BY8"/>
  <c r="BY9"/>
  <c r="BY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184"/>
  <c r="BY185"/>
  <c r="BY186"/>
  <c r="BY187"/>
  <c r="BY188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223"/>
  <c r="BY224"/>
  <c r="BY225"/>
  <c r="BY226"/>
  <c r="BY227"/>
  <c r="BY228"/>
  <c r="BY229"/>
  <c r="BY230"/>
  <c r="BY231"/>
  <c r="BY232"/>
  <c r="BY233"/>
  <c r="BY234"/>
  <c r="BY235"/>
  <c r="BY236"/>
  <c r="BY237"/>
  <c r="BY238"/>
  <c r="BY239"/>
  <c r="BY240"/>
  <c r="BY241"/>
  <c r="BY242"/>
  <c r="BY243"/>
  <c r="BY244"/>
  <c r="BY245"/>
  <c r="BY246"/>
  <c r="BY247"/>
  <c r="BY248"/>
  <c r="BY249"/>
  <c r="BY250"/>
  <c r="BY251"/>
  <c r="BY252"/>
  <c r="BY253"/>
  <c r="BY254"/>
  <c r="BY255"/>
  <c r="BY256"/>
  <c r="BY257"/>
  <c r="BY258"/>
  <c r="BY259"/>
  <c r="BY260"/>
  <c r="BY261"/>
  <c r="BY262"/>
  <c r="BY263"/>
  <c r="BY264"/>
  <c r="BY265"/>
  <c r="BY266"/>
  <c r="BY267"/>
  <c r="BY268"/>
  <c r="BY269"/>
  <c r="BY270"/>
  <c r="BY271"/>
  <c r="BY272"/>
  <c r="BY273"/>
  <c r="BY274"/>
  <c r="BY275"/>
  <c r="BY276"/>
  <c r="BY277"/>
  <c r="BY278"/>
  <c r="BY279"/>
  <c r="BY280"/>
  <c r="BY281"/>
  <c r="BY282"/>
  <c r="BY283"/>
  <c r="BY284"/>
  <c r="BY285"/>
  <c r="BY286"/>
  <c r="BY287"/>
  <c r="BY288"/>
  <c r="BY289"/>
  <c r="BY290"/>
  <c r="BY291"/>
  <c r="BY292"/>
  <c r="BY293"/>
  <c r="BY294"/>
  <c r="BY295"/>
  <c r="BY296"/>
  <c r="BY297"/>
  <c r="BY298"/>
  <c r="BY299"/>
  <c r="BY300"/>
  <c r="BY301"/>
  <c r="BY302"/>
  <c r="BY303"/>
  <c r="BY304"/>
  <c r="BY305"/>
  <c r="BY306"/>
  <c r="BY307"/>
  <c r="BY308"/>
  <c r="BY309"/>
  <c r="BY310"/>
  <c r="BY311"/>
  <c r="BY312"/>
  <c r="BY313"/>
  <c r="BY314"/>
  <c r="BY315"/>
  <c r="BY316"/>
  <c r="BY317"/>
  <c r="BY318"/>
  <c r="BY319"/>
  <c r="BY320"/>
  <c r="BY321"/>
  <c r="BY322"/>
  <c r="BY323"/>
  <c r="BY324"/>
  <c r="BY325"/>
  <c r="BY326"/>
  <c r="BY327"/>
  <c r="BY328"/>
  <c r="BY329"/>
  <c r="BY330"/>
  <c r="BY331"/>
  <c r="BY332"/>
  <c r="BY333"/>
  <c r="BY334"/>
  <c r="BY335"/>
  <c r="BY336"/>
  <c r="BY337"/>
  <c r="BY338"/>
  <c r="BY339"/>
  <c r="BY340"/>
  <c r="BY341"/>
  <c r="BY342"/>
  <c r="BY343"/>
  <c r="BY344"/>
  <c r="BY345"/>
  <c r="BY346"/>
  <c r="BY347"/>
  <c r="BY348"/>
  <c r="BY349"/>
  <c r="BY350"/>
  <c r="BY351"/>
  <c r="BY352"/>
  <c r="BY353"/>
  <c r="BY354"/>
  <c r="BY355"/>
  <c r="BY356"/>
  <c r="BY357"/>
  <c r="BY358"/>
  <c r="BY359"/>
  <c r="BY360"/>
  <c r="BY361"/>
  <c r="BY362"/>
  <c r="BY363"/>
  <c r="BY364"/>
  <c r="BY365"/>
  <c r="BY366"/>
  <c r="BY367"/>
  <c r="BY368"/>
  <c r="BY369"/>
  <c r="BY370"/>
  <c r="BY371"/>
  <c r="BY372"/>
  <c r="BY373"/>
  <c r="BY374"/>
  <c r="BY375"/>
  <c r="BY376"/>
  <c r="BY377"/>
  <c r="BY378"/>
  <c r="BY379"/>
  <c r="BY380"/>
  <c r="BY381"/>
  <c r="BY382"/>
  <c r="BY383"/>
  <c r="BY384"/>
  <c r="BY385"/>
  <c r="BY386"/>
  <c r="BY387"/>
  <c r="BY388"/>
  <c r="BY389"/>
  <c r="BY390"/>
  <c r="BY391"/>
  <c r="BY392"/>
  <c r="BY393"/>
  <c r="BY394"/>
  <c r="BY395"/>
  <c r="BY396"/>
  <c r="BY397"/>
  <c r="BY398"/>
  <c r="BY399"/>
  <c r="BY400"/>
  <c r="BY401"/>
  <c r="BY402"/>
  <c r="BY403"/>
  <c r="BY404"/>
  <c r="BY405"/>
  <c r="BY406"/>
  <c r="BY407"/>
  <c r="BY408"/>
  <c r="BY409"/>
  <c r="BY410"/>
  <c r="BY411"/>
  <c r="BY412"/>
  <c r="BY413"/>
  <c r="BY414"/>
  <c r="BY415"/>
  <c r="BY416"/>
  <c r="BY417"/>
  <c r="BY418"/>
  <c r="BY419"/>
  <c r="BY420"/>
  <c r="BY421"/>
  <c r="BY422"/>
  <c r="BY423"/>
  <c r="BY424"/>
  <c r="BY425"/>
  <c r="BY426"/>
  <c r="BY427"/>
  <c r="BY428"/>
  <c r="BY429"/>
  <c r="BY430"/>
  <c r="BY431"/>
  <c r="BY432"/>
  <c r="BY433"/>
  <c r="BY434"/>
  <c r="BY435"/>
  <c r="BY436"/>
  <c r="BY437"/>
  <c r="BY438"/>
  <c r="BY439"/>
  <c r="BY440"/>
  <c r="BY441"/>
  <c r="BY442"/>
  <c r="BY443"/>
  <c r="BY444"/>
  <c r="BY445"/>
  <c r="BY446"/>
  <c r="BY447"/>
  <c r="BY448"/>
  <c r="BY449"/>
  <c r="BY450"/>
  <c r="BY451"/>
  <c r="BY452"/>
  <c r="BY453"/>
  <c r="BY454"/>
  <c r="BY455"/>
  <c r="BY456"/>
  <c r="BY457"/>
  <c r="BY458"/>
  <c r="BY459"/>
  <c r="BY460"/>
  <c r="BY461"/>
  <c r="BY462"/>
  <c r="BY463"/>
  <c r="BY464"/>
  <c r="BY465"/>
  <c r="BY466"/>
  <c r="BY467"/>
  <c r="BY468"/>
  <c r="BY469"/>
  <c r="BY470"/>
  <c r="BY471"/>
  <c r="BY472"/>
  <c r="BY473"/>
  <c r="BY474"/>
  <c r="BY475"/>
  <c r="BY476"/>
  <c r="BY477"/>
  <c r="BY478"/>
  <c r="BY479"/>
  <c r="BY480"/>
  <c r="BY481"/>
  <c r="BY482"/>
  <c r="BY483"/>
  <c r="BY484"/>
  <c r="BY485"/>
  <c r="BY486"/>
  <c r="BY487"/>
  <c r="BY488"/>
  <c r="BY489"/>
  <c r="BY490"/>
  <c r="BY491"/>
  <c r="BY492"/>
  <c r="BY493"/>
  <c r="BY494"/>
  <c r="BY495"/>
  <c r="BY496"/>
  <c r="BY497"/>
  <c r="BY498"/>
  <c r="BY499"/>
  <c r="BY500"/>
  <c r="BY501"/>
  <c r="BY502"/>
  <c r="BY503"/>
  <c r="BY504"/>
  <c r="BY505"/>
  <c r="BY506"/>
  <c r="BY507"/>
  <c r="BY508"/>
  <c r="BY509"/>
  <c r="BY510"/>
  <c r="BY511"/>
  <c r="BY512"/>
  <c r="BY513"/>
  <c r="BY514"/>
  <c r="BY515"/>
  <c r="BY516"/>
  <c r="BY517"/>
  <c r="BY518"/>
  <c r="BY519"/>
  <c r="BY520"/>
  <c r="BY521"/>
  <c r="BY522"/>
  <c r="BY523"/>
  <c r="BY524"/>
  <c r="BY525"/>
  <c r="BY526"/>
  <c r="BY527"/>
  <c r="BY528"/>
  <c r="BY529"/>
  <c r="BY530"/>
  <c r="BY531"/>
  <c r="BY532"/>
  <c r="BY533"/>
  <c r="BY534"/>
  <c r="BY535"/>
  <c r="BY536"/>
  <c r="BY537"/>
  <c r="BY538"/>
  <c r="BY539"/>
  <c r="BY540"/>
  <c r="BY541"/>
  <c r="BY542"/>
  <c r="BY543"/>
  <c r="BY544"/>
  <c r="BY545"/>
  <c r="BY546"/>
  <c r="BY547"/>
  <c r="BY548"/>
  <c r="BY549"/>
  <c r="BY550"/>
  <c r="BY551"/>
  <c r="BY552"/>
  <c r="BY553"/>
  <c r="BY554"/>
  <c r="BY555"/>
  <c r="BY556"/>
  <c r="BY557"/>
  <c r="BY558"/>
  <c r="BY559"/>
  <c r="BY560"/>
  <c r="BY561"/>
  <c r="BY562"/>
  <c r="BY563"/>
  <c r="BY564"/>
  <c r="BY565"/>
  <c r="BY566"/>
  <c r="BY567"/>
  <c r="BY568"/>
  <c r="BY569"/>
  <c r="BY570"/>
  <c r="BY571"/>
  <c r="BY572"/>
  <c r="BY573"/>
  <c r="BY574"/>
  <c r="BY575"/>
  <c r="BY576"/>
  <c r="BY577"/>
  <c r="BY578"/>
  <c r="BY579"/>
  <c r="BY580"/>
  <c r="BY581"/>
  <c r="BY582"/>
  <c r="BY583"/>
  <c r="BY584"/>
  <c r="BY585"/>
  <c r="BY586"/>
  <c r="BY587"/>
  <c r="BY588"/>
  <c r="BY589"/>
  <c r="BY590"/>
  <c r="BY591"/>
  <c r="BY592"/>
  <c r="BY593"/>
  <c r="BY594"/>
  <c r="BY595"/>
  <c r="BY596"/>
  <c r="BY597"/>
  <c r="BY598"/>
  <c r="BY599"/>
  <c r="BY600"/>
  <c r="BY601"/>
  <c r="BY602"/>
  <c r="BY603"/>
  <c r="BY604"/>
  <c r="BY605"/>
  <c r="BY606"/>
  <c r="BY607"/>
  <c r="BY608"/>
  <c r="BY609"/>
  <c r="BY610"/>
  <c r="BY611"/>
  <c r="BY612"/>
  <c r="BY613"/>
  <c r="BY614"/>
  <c r="BY615"/>
  <c r="BY616"/>
  <c r="BY617"/>
  <c r="BY618"/>
  <c r="BY619"/>
  <c r="BY620"/>
  <c r="BY621"/>
  <c r="BY622"/>
  <c r="BY623"/>
  <c r="BY624"/>
  <c r="BY625"/>
  <c r="BY626"/>
  <c r="BY627"/>
  <c r="BY628"/>
  <c r="BY629"/>
  <c r="BY630"/>
  <c r="BY631"/>
  <c r="BY632"/>
  <c r="BY633"/>
  <c r="BY634"/>
  <c r="BY635"/>
  <c r="BY636"/>
  <c r="BY637"/>
  <c r="BY638"/>
  <c r="BY639"/>
  <c r="BY640"/>
  <c r="BY641"/>
  <c r="BY642"/>
  <c r="BY643"/>
  <c r="BY644"/>
  <c r="BY645"/>
  <c r="BY646"/>
  <c r="BY647"/>
  <c r="BY648"/>
  <c r="BY649"/>
  <c r="BY650"/>
  <c r="BY651"/>
  <c r="BY652"/>
  <c r="BY653"/>
  <c r="BY654"/>
  <c r="BY655"/>
  <c r="BY656"/>
  <c r="BY657"/>
  <c r="BY658"/>
  <c r="BY659"/>
  <c r="BY660"/>
  <c r="BY661"/>
  <c r="BY662"/>
  <c r="BY663"/>
  <c r="BY664"/>
  <c r="BY665"/>
  <c r="BY666"/>
  <c r="BY667"/>
  <c r="BY668"/>
  <c r="BY669"/>
  <c r="BY670"/>
  <c r="BY671"/>
  <c r="BY672"/>
  <c r="BY673"/>
  <c r="BY674"/>
  <c r="BY675"/>
  <c r="BY676"/>
  <c r="BY677"/>
  <c r="BY678"/>
  <c r="BY679"/>
  <c r="BY680"/>
  <c r="BY681"/>
  <c r="BY682"/>
  <c r="BY683"/>
  <c r="BY684"/>
  <c r="BY685"/>
  <c r="BY686"/>
  <c r="BY687"/>
  <c r="BY688"/>
  <c r="BY689"/>
  <c r="BY690"/>
  <c r="BY691"/>
  <c r="BY692"/>
  <c r="BY693"/>
  <c r="BY694"/>
  <c r="BY695"/>
  <c r="BY696"/>
  <c r="BY697"/>
  <c r="BY698"/>
  <c r="BY699"/>
  <c r="BY700"/>
  <c r="BY701"/>
  <c r="BY702"/>
  <c r="BY703"/>
  <c r="BY704"/>
  <c r="BY705"/>
  <c r="BY706"/>
  <c r="BY707"/>
  <c r="BY708"/>
  <c r="BY709"/>
  <c r="BY710"/>
  <c r="BY711"/>
  <c r="BY712"/>
  <c r="BY713"/>
  <c r="BY714"/>
  <c r="BY715"/>
  <c r="BY716"/>
  <c r="BY717"/>
  <c r="BY718"/>
  <c r="BY719"/>
  <c r="BY720"/>
  <c r="BY721"/>
  <c r="BY722"/>
  <c r="BY723"/>
  <c r="BY724"/>
  <c r="BY725"/>
  <c r="BY726"/>
  <c r="BY727"/>
  <c r="BY728"/>
  <c r="BY729"/>
  <c r="BY730"/>
  <c r="BY731"/>
  <c r="BY732"/>
  <c r="BY733"/>
  <c r="BY734"/>
  <c r="BY735"/>
  <c r="BY736"/>
  <c r="BY737"/>
  <c r="BY738"/>
  <c r="BY739"/>
  <c r="BY740"/>
  <c r="BY741"/>
  <c r="BY742"/>
  <c r="BY743"/>
  <c r="BY744"/>
  <c r="BY745"/>
  <c r="BY746"/>
  <c r="BY747"/>
  <c r="BY748"/>
  <c r="BY749"/>
  <c r="BY750"/>
  <c r="BY751"/>
  <c r="BY752"/>
  <c r="BY753"/>
  <c r="BY754"/>
  <c r="BY755"/>
  <c r="BY756"/>
  <c r="BY757"/>
  <c r="BY758"/>
  <c r="BY759"/>
  <c r="BY760"/>
  <c r="BY761"/>
  <c r="BY762"/>
  <c r="BY763"/>
  <c r="BY764"/>
  <c r="BY765"/>
  <c r="BY766"/>
  <c r="BY767"/>
  <c r="BY768"/>
  <c r="BY769"/>
  <c r="BY770"/>
  <c r="BY771"/>
  <c r="BY772"/>
  <c r="BY773"/>
  <c r="BY774"/>
  <c r="BY775"/>
  <c r="BY776"/>
  <c r="BY777"/>
  <c r="BY778"/>
  <c r="BY779"/>
  <c r="BY780"/>
  <c r="BY781"/>
  <c r="BY782"/>
  <c r="BY783"/>
  <c r="BY784"/>
  <c r="BY785"/>
  <c r="BY786"/>
  <c r="BY787"/>
  <c r="BY788"/>
  <c r="BY789"/>
  <c r="BY790"/>
  <c r="BY791"/>
  <c r="BY792"/>
  <c r="BY793"/>
  <c r="BY794"/>
  <c r="BY795"/>
  <c r="BY796"/>
  <c r="BY797"/>
  <c r="BY798"/>
  <c r="B17"/>
  <c r="BX2"/>
  <c r="BX3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X186"/>
  <c r="BX187"/>
  <c r="BX188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223"/>
  <c r="BX224"/>
  <c r="BX225"/>
  <c r="BX226"/>
  <c r="BX227"/>
  <c r="BX228"/>
  <c r="BX229"/>
  <c r="BX230"/>
  <c r="BX231"/>
  <c r="BX232"/>
  <c r="BX233"/>
  <c r="BX234"/>
  <c r="BX235"/>
  <c r="BX236"/>
  <c r="BX237"/>
  <c r="BX238"/>
  <c r="BX239"/>
  <c r="BX240"/>
  <c r="BX241"/>
  <c r="BX242"/>
  <c r="BX243"/>
  <c r="BX244"/>
  <c r="BX245"/>
  <c r="BX246"/>
  <c r="BX247"/>
  <c r="BX248"/>
  <c r="BX249"/>
  <c r="BX250"/>
  <c r="BX251"/>
  <c r="BX252"/>
  <c r="BX253"/>
  <c r="BX254"/>
  <c r="BX255"/>
  <c r="BX256"/>
  <c r="BX257"/>
  <c r="BX258"/>
  <c r="BX259"/>
  <c r="BX260"/>
  <c r="BX261"/>
  <c r="BX262"/>
  <c r="BX263"/>
  <c r="BX264"/>
  <c r="BX265"/>
  <c r="BX266"/>
  <c r="BX267"/>
  <c r="BX268"/>
  <c r="BX269"/>
  <c r="BX270"/>
  <c r="BX271"/>
  <c r="BX272"/>
  <c r="BX273"/>
  <c r="BX274"/>
  <c r="BX275"/>
  <c r="BX276"/>
  <c r="BX277"/>
  <c r="BX278"/>
  <c r="BX279"/>
  <c r="BX280"/>
  <c r="BX281"/>
  <c r="BX282"/>
  <c r="BX283"/>
  <c r="BX284"/>
  <c r="BX285"/>
  <c r="BX286"/>
  <c r="BX287"/>
  <c r="BX288"/>
  <c r="BX289"/>
  <c r="BX290"/>
  <c r="BX291"/>
  <c r="BX292"/>
  <c r="BX293"/>
  <c r="BX294"/>
  <c r="BX295"/>
  <c r="BX296"/>
  <c r="BX297"/>
  <c r="BX298"/>
  <c r="BX299"/>
  <c r="BX300"/>
  <c r="BX301"/>
  <c r="BX302"/>
  <c r="BX303"/>
  <c r="BX304"/>
  <c r="BX305"/>
  <c r="BX306"/>
  <c r="BX307"/>
  <c r="BX308"/>
  <c r="BX309"/>
  <c r="BX310"/>
  <c r="BX311"/>
  <c r="BX312"/>
  <c r="BX313"/>
  <c r="BX314"/>
  <c r="BX315"/>
  <c r="BX316"/>
  <c r="BX317"/>
  <c r="BX318"/>
  <c r="BX319"/>
  <c r="BX320"/>
  <c r="BX321"/>
  <c r="BX322"/>
  <c r="BX323"/>
  <c r="BX324"/>
  <c r="BX325"/>
  <c r="BX326"/>
  <c r="BX327"/>
  <c r="BX328"/>
  <c r="BX329"/>
  <c r="BX330"/>
  <c r="BX331"/>
  <c r="BX332"/>
  <c r="BX333"/>
  <c r="BX334"/>
  <c r="BX335"/>
  <c r="BX336"/>
  <c r="BX337"/>
  <c r="BX338"/>
  <c r="BX339"/>
  <c r="BX340"/>
  <c r="BX341"/>
  <c r="BX342"/>
  <c r="BX343"/>
  <c r="BX344"/>
  <c r="BX345"/>
  <c r="BX346"/>
  <c r="BX347"/>
  <c r="BX348"/>
  <c r="BX349"/>
  <c r="BX350"/>
  <c r="BX351"/>
  <c r="BX352"/>
  <c r="BX353"/>
  <c r="BX354"/>
  <c r="BX355"/>
  <c r="BX356"/>
  <c r="BX357"/>
  <c r="BX358"/>
  <c r="BX359"/>
  <c r="BX360"/>
  <c r="BX361"/>
  <c r="BX362"/>
  <c r="BX363"/>
  <c r="BX364"/>
  <c r="BX365"/>
  <c r="BX366"/>
  <c r="BX367"/>
  <c r="BX368"/>
  <c r="BX369"/>
  <c r="BX370"/>
  <c r="BX371"/>
  <c r="BX372"/>
  <c r="BX373"/>
  <c r="BX374"/>
  <c r="BX375"/>
  <c r="BX376"/>
  <c r="BX377"/>
  <c r="BX378"/>
  <c r="BX379"/>
  <c r="BX380"/>
  <c r="BX381"/>
  <c r="BX382"/>
  <c r="BX383"/>
  <c r="BX384"/>
  <c r="BX385"/>
  <c r="BX386"/>
  <c r="BX387"/>
  <c r="BX388"/>
  <c r="BX389"/>
  <c r="BX390"/>
  <c r="BX391"/>
  <c r="BX392"/>
  <c r="BX393"/>
  <c r="BX394"/>
  <c r="BX395"/>
  <c r="BX396"/>
  <c r="BX397"/>
  <c r="BX398"/>
  <c r="BX399"/>
  <c r="BX400"/>
  <c r="BX401"/>
  <c r="BX402"/>
  <c r="BX403"/>
  <c r="BX404"/>
  <c r="BX405"/>
  <c r="BX406"/>
  <c r="BX407"/>
  <c r="BX408"/>
  <c r="BX409"/>
  <c r="BX410"/>
  <c r="BX411"/>
  <c r="BX412"/>
  <c r="BX413"/>
  <c r="BX414"/>
  <c r="BX415"/>
  <c r="BX416"/>
  <c r="BX417"/>
  <c r="BX418"/>
  <c r="BX419"/>
  <c r="BX420"/>
  <c r="BX421"/>
  <c r="BX422"/>
  <c r="BX423"/>
  <c r="BX424"/>
  <c r="BX425"/>
  <c r="BX426"/>
  <c r="BX427"/>
  <c r="BX428"/>
  <c r="BX429"/>
  <c r="BX430"/>
  <c r="BX431"/>
  <c r="BX432"/>
  <c r="BX433"/>
  <c r="BX434"/>
  <c r="BX435"/>
  <c r="BX436"/>
  <c r="BX437"/>
  <c r="BX438"/>
  <c r="BX439"/>
  <c r="BX440"/>
  <c r="BX441"/>
  <c r="BX442"/>
  <c r="BX443"/>
  <c r="BX444"/>
  <c r="BX445"/>
  <c r="BX446"/>
  <c r="BX447"/>
  <c r="BX448"/>
  <c r="BX449"/>
  <c r="BX450"/>
  <c r="BX451"/>
  <c r="BX452"/>
  <c r="BX453"/>
  <c r="BX454"/>
  <c r="BX455"/>
  <c r="BX456"/>
  <c r="BX457"/>
  <c r="BX458"/>
  <c r="BX459"/>
  <c r="BX460"/>
  <c r="BX461"/>
  <c r="BX462"/>
  <c r="BX463"/>
  <c r="BX464"/>
  <c r="BX465"/>
  <c r="BX466"/>
  <c r="BX467"/>
  <c r="BX468"/>
  <c r="BX469"/>
  <c r="BX470"/>
  <c r="BX471"/>
  <c r="BX472"/>
  <c r="BX473"/>
  <c r="BX474"/>
  <c r="BX475"/>
  <c r="BX476"/>
  <c r="BX477"/>
  <c r="BX478"/>
  <c r="BX479"/>
  <c r="BX480"/>
  <c r="BX481"/>
  <c r="BX482"/>
  <c r="BX483"/>
  <c r="BX484"/>
  <c r="BX485"/>
  <c r="BX486"/>
  <c r="BX487"/>
  <c r="BX488"/>
  <c r="BX489"/>
  <c r="BX490"/>
  <c r="BX491"/>
  <c r="BX492"/>
  <c r="BX493"/>
  <c r="BX494"/>
  <c r="BX495"/>
  <c r="BX496"/>
  <c r="BX497"/>
  <c r="BX498"/>
  <c r="BX499"/>
  <c r="BX500"/>
  <c r="BX501"/>
  <c r="BX502"/>
  <c r="BX503"/>
  <c r="BX504"/>
  <c r="BX505"/>
  <c r="BX506"/>
  <c r="BX507"/>
  <c r="BX508"/>
  <c r="BX509"/>
  <c r="BX510"/>
  <c r="BX511"/>
  <c r="BX512"/>
  <c r="BX513"/>
  <c r="BX514"/>
  <c r="BX515"/>
  <c r="BX516"/>
  <c r="BX517"/>
  <c r="BX518"/>
  <c r="BX519"/>
  <c r="BX520"/>
  <c r="BX521"/>
  <c r="BX522"/>
  <c r="BX523"/>
  <c r="BX524"/>
  <c r="BX525"/>
  <c r="BX526"/>
  <c r="BX527"/>
  <c r="BX528"/>
  <c r="BX529"/>
  <c r="BX530"/>
  <c r="BX531"/>
  <c r="BX532"/>
  <c r="BX533"/>
  <c r="BX534"/>
  <c r="BX535"/>
  <c r="BX536"/>
  <c r="BX537"/>
  <c r="BX538"/>
  <c r="BX539"/>
  <c r="BX540"/>
  <c r="BX541"/>
  <c r="BX542"/>
  <c r="BX543"/>
  <c r="BX544"/>
  <c r="BX545"/>
  <c r="BX546"/>
  <c r="BX547"/>
  <c r="BX548"/>
  <c r="BX549"/>
  <c r="BX550"/>
  <c r="BX551"/>
  <c r="BX552"/>
  <c r="BX553"/>
  <c r="BX554"/>
  <c r="BX555"/>
  <c r="BX556"/>
  <c r="BX557"/>
  <c r="BX558"/>
  <c r="BX559"/>
  <c r="BX560"/>
  <c r="BX561"/>
  <c r="BX562"/>
  <c r="BX563"/>
  <c r="BX564"/>
  <c r="BX565"/>
  <c r="BX566"/>
  <c r="BX567"/>
  <c r="BX568"/>
  <c r="BX569"/>
  <c r="BX570"/>
  <c r="BX571"/>
  <c r="BX572"/>
  <c r="BX573"/>
  <c r="BX574"/>
  <c r="BX575"/>
  <c r="BX576"/>
  <c r="BX577"/>
  <c r="BX578"/>
  <c r="BX579"/>
  <c r="BX580"/>
  <c r="BX581"/>
  <c r="BX582"/>
  <c r="BX583"/>
  <c r="BX584"/>
  <c r="BX585"/>
  <c r="BX586"/>
  <c r="BX587"/>
  <c r="BX588"/>
  <c r="BX589"/>
  <c r="BX590"/>
  <c r="BX591"/>
  <c r="BX592"/>
  <c r="BX593"/>
  <c r="BX594"/>
  <c r="BX595"/>
  <c r="BX596"/>
  <c r="BX597"/>
  <c r="BX598"/>
  <c r="BX599"/>
  <c r="BX600"/>
  <c r="BX601"/>
  <c r="BX602"/>
  <c r="BX603"/>
  <c r="BX604"/>
  <c r="BX605"/>
  <c r="BX606"/>
  <c r="BX607"/>
  <c r="BX608"/>
  <c r="BX609"/>
  <c r="BX610"/>
  <c r="BX611"/>
  <c r="BX612"/>
  <c r="BX613"/>
  <c r="BX614"/>
  <c r="BX615"/>
  <c r="BX616"/>
  <c r="BX617"/>
  <c r="BX618"/>
  <c r="BX619"/>
  <c r="BX620"/>
  <c r="BX621"/>
  <c r="BX622"/>
  <c r="BX623"/>
  <c r="BX624"/>
  <c r="BX625"/>
  <c r="BX626"/>
  <c r="BX627"/>
  <c r="BX628"/>
  <c r="BX629"/>
  <c r="BX630"/>
  <c r="BX631"/>
  <c r="BX632"/>
  <c r="BX633"/>
  <c r="BX634"/>
  <c r="BX635"/>
  <c r="BX636"/>
  <c r="BX637"/>
  <c r="BX638"/>
  <c r="BX639"/>
  <c r="BX640"/>
  <c r="BX641"/>
  <c r="BX642"/>
  <c r="BX643"/>
  <c r="BX644"/>
  <c r="BX645"/>
  <c r="BX646"/>
  <c r="BX647"/>
  <c r="BX648"/>
  <c r="BX649"/>
  <c r="BX650"/>
  <c r="BX651"/>
  <c r="BX652"/>
  <c r="BX653"/>
  <c r="BX654"/>
  <c r="BX655"/>
  <c r="BX656"/>
  <c r="BX657"/>
  <c r="BX658"/>
  <c r="BX659"/>
  <c r="BX660"/>
  <c r="BX661"/>
  <c r="BX662"/>
  <c r="BX663"/>
  <c r="BX664"/>
  <c r="BX665"/>
  <c r="BX666"/>
  <c r="BX667"/>
  <c r="BX668"/>
  <c r="BX669"/>
  <c r="BX670"/>
  <c r="BX671"/>
  <c r="BX672"/>
  <c r="BX673"/>
  <c r="BX674"/>
  <c r="BX675"/>
  <c r="BX676"/>
  <c r="BX677"/>
  <c r="BX678"/>
  <c r="BX679"/>
  <c r="BX680"/>
  <c r="BX681"/>
  <c r="BX682"/>
  <c r="BX683"/>
  <c r="BX684"/>
  <c r="BX685"/>
  <c r="BX686"/>
  <c r="BX687"/>
  <c r="BX688"/>
  <c r="BX689"/>
  <c r="BX690"/>
  <c r="BX691"/>
  <c r="BX692"/>
  <c r="BX693"/>
  <c r="BX694"/>
  <c r="BX695"/>
  <c r="BX696"/>
  <c r="BX697"/>
  <c r="BX698"/>
  <c r="BX699"/>
  <c r="BX700"/>
  <c r="BX701"/>
  <c r="BX702"/>
  <c r="BX703"/>
  <c r="BX704"/>
  <c r="BX705"/>
  <c r="BX706"/>
  <c r="BX707"/>
  <c r="BX708"/>
  <c r="BX709"/>
  <c r="BX710"/>
  <c r="BX711"/>
  <c r="BX712"/>
  <c r="BX713"/>
  <c r="BX714"/>
  <c r="BX715"/>
  <c r="BX716"/>
  <c r="BX717"/>
  <c r="BX718"/>
  <c r="BX719"/>
  <c r="BX720"/>
  <c r="BX721"/>
  <c r="BX722"/>
  <c r="BX723"/>
  <c r="BX724"/>
  <c r="BX725"/>
  <c r="BX726"/>
  <c r="BX727"/>
  <c r="BX728"/>
  <c r="BX729"/>
  <c r="BX730"/>
  <c r="BX731"/>
  <c r="BX732"/>
  <c r="BX733"/>
  <c r="BX734"/>
  <c r="BX735"/>
  <c r="BX736"/>
  <c r="BX737"/>
  <c r="BX738"/>
  <c r="BX739"/>
  <c r="BX740"/>
  <c r="BX741"/>
  <c r="BX742"/>
  <c r="BX743"/>
  <c r="BX744"/>
  <c r="BX745"/>
  <c r="BX746"/>
  <c r="BX747"/>
  <c r="BX748"/>
  <c r="BX749"/>
  <c r="BX750"/>
  <c r="BX751"/>
  <c r="BX752"/>
  <c r="BX753"/>
  <c r="BX754"/>
  <c r="BX755"/>
  <c r="BX756"/>
  <c r="BX757"/>
  <c r="BX758"/>
  <c r="BX759"/>
  <c r="BX760"/>
  <c r="BX761"/>
  <c r="BX762"/>
  <c r="BX763"/>
  <c r="BX764"/>
  <c r="BX765"/>
  <c r="BX766"/>
  <c r="BX767"/>
  <c r="BX768"/>
  <c r="BX769"/>
  <c r="BX770"/>
  <c r="BX771"/>
  <c r="BX772"/>
  <c r="BX773"/>
  <c r="BX774"/>
  <c r="BX775"/>
  <c r="BX776"/>
  <c r="BX777"/>
  <c r="BX778"/>
  <c r="BX779"/>
  <c r="BX780"/>
  <c r="BX781"/>
  <c r="BX782"/>
  <c r="BX783"/>
  <c r="BX784"/>
  <c r="BX785"/>
  <c r="BX786"/>
  <c r="BX787"/>
  <c r="BX788"/>
  <c r="BX789"/>
  <c r="BX790"/>
  <c r="BX791"/>
  <c r="BX792"/>
  <c r="BX793"/>
  <c r="BX794"/>
  <c r="BX795"/>
  <c r="BX796"/>
  <c r="BX797"/>
  <c r="BX798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49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783"/>
  <c r="AN784"/>
  <c r="AN785"/>
  <c r="AN786"/>
  <c r="AN787"/>
  <c r="AN788"/>
  <c r="AN789"/>
  <c r="AN790"/>
  <c r="AN791"/>
  <c r="AN792"/>
  <c r="AN793"/>
  <c r="AN794"/>
  <c r="AN795"/>
  <c r="AN796"/>
  <c r="AN797"/>
  <c r="AN798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783"/>
  <c r="AQ784"/>
  <c r="AQ785"/>
  <c r="AQ786"/>
  <c r="AQ787"/>
  <c r="AQ788"/>
  <c r="AQ789"/>
  <c r="AQ790"/>
  <c r="AQ791"/>
  <c r="AQ792"/>
  <c r="AQ793"/>
  <c r="AQ794"/>
  <c r="AQ795"/>
  <c r="AQ796"/>
  <c r="AQ797"/>
  <c r="AQ798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783"/>
  <c r="AT784"/>
  <c r="AT785"/>
  <c r="AT786"/>
  <c r="AT787"/>
  <c r="AT788"/>
  <c r="AT789"/>
  <c r="AT790"/>
  <c r="AT791"/>
  <c r="AT792"/>
  <c r="AT793"/>
  <c r="AT794"/>
  <c r="AT795"/>
  <c r="AT796"/>
  <c r="AT797"/>
  <c r="AT798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68"/>
  <c r="AU569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783"/>
  <c r="AU784"/>
  <c r="AU785"/>
  <c r="AU786"/>
  <c r="AU787"/>
  <c r="AU788"/>
  <c r="AU789"/>
  <c r="AU790"/>
  <c r="AU791"/>
  <c r="AU792"/>
  <c r="AU793"/>
  <c r="AU794"/>
  <c r="AU795"/>
  <c r="AU796"/>
  <c r="AU797"/>
  <c r="AU798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425"/>
  <c r="AV426"/>
  <c r="AV427"/>
  <c r="AV428"/>
  <c r="AV429"/>
  <c r="AV430"/>
  <c r="AV431"/>
  <c r="AV432"/>
  <c r="AV433"/>
  <c r="AV434"/>
  <c r="AV435"/>
  <c r="AV436"/>
  <c r="AV437"/>
  <c r="AV438"/>
  <c r="AV439"/>
  <c r="AV440"/>
  <c r="AV441"/>
  <c r="AV442"/>
  <c r="AV443"/>
  <c r="AV444"/>
  <c r="AV445"/>
  <c r="AV446"/>
  <c r="AV447"/>
  <c r="AV448"/>
  <c r="AV449"/>
  <c r="AV450"/>
  <c r="AV451"/>
  <c r="AV452"/>
  <c r="AV453"/>
  <c r="AV454"/>
  <c r="AV455"/>
  <c r="AV456"/>
  <c r="AV457"/>
  <c r="AV458"/>
  <c r="AV459"/>
  <c r="AV460"/>
  <c r="AV461"/>
  <c r="AV462"/>
  <c r="AV463"/>
  <c r="AV464"/>
  <c r="AV465"/>
  <c r="AV466"/>
  <c r="AV467"/>
  <c r="AV468"/>
  <c r="AV469"/>
  <c r="AV470"/>
  <c r="AV471"/>
  <c r="AV472"/>
  <c r="AV473"/>
  <c r="AV474"/>
  <c r="AV475"/>
  <c r="AV476"/>
  <c r="AV477"/>
  <c r="AV478"/>
  <c r="AV479"/>
  <c r="AV480"/>
  <c r="AV481"/>
  <c r="AV482"/>
  <c r="AV483"/>
  <c r="AV484"/>
  <c r="AV485"/>
  <c r="AV486"/>
  <c r="AV487"/>
  <c r="AV488"/>
  <c r="AV489"/>
  <c r="AV490"/>
  <c r="AV491"/>
  <c r="AV492"/>
  <c r="AV493"/>
  <c r="AV494"/>
  <c r="AV495"/>
  <c r="AV496"/>
  <c r="AV497"/>
  <c r="AV498"/>
  <c r="AV499"/>
  <c r="AV500"/>
  <c r="AV501"/>
  <c r="AV502"/>
  <c r="AV503"/>
  <c r="AV504"/>
  <c r="AV505"/>
  <c r="AV506"/>
  <c r="AV507"/>
  <c r="AV508"/>
  <c r="AV509"/>
  <c r="AV510"/>
  <c r="AV511"/>
  <c r="AV512"/>
  <c r="AV513"/>
  <c r="AV514"/>
  <c r="AV515"/>
  <c r="AV516"/>
  <c r="AV517"/>
  <c r="AV518"/>
  <c r="AV519"/>
  <c r="AV520"/>
  <c r="AV521"/>
  <c r="AV522"/>
  <c r="AV523"/>
  <c r="AV524"/>
  <c r="AV525"/>
  <c r="AV526"/>
  <c r="AV527"/>
  <c r="AV528"/>
  <c r="AV529"/>
  <c r="AV530"/>
  <c r="AV531"/>
  <c r="AV532"/>
  <c r="AV533"/>
  <c r="AV534"/>
  <c r="AV535"/>
  <c r="AV536"/>
  <c r="AV537"/>
  <c r="AV538"/>
  <c r="AV539"/>
  <c r="AV540"/>
  <c r="AV541"/>
  <c r="AV542"/>
  <c r="AV543"/>
  <c r="AV544"/>
  <c r="AV545"/>
  <c r="AV546"/>
  <c r="AV547"/>
  <c r="AV548"/>
  <c r="AV549"/>
  <c r="AV550"/>
  <c r="AV551"/>
  <c r="AV552"/>
  <c r="AV553"/>
  <c r="AV554"/>
  <c r="AV555"/>
  <c r="AV556"/>
  <c r="AV557"/>
  <c r="AV558"/>
  <c r="AV559"/>
  <c r="AV560"/>
  <c r="AV561"/>
  <c r="AV562"/>
  <c r="AV563"/>
  <c r="AV564"/>
  <c r="AV565"/>
  <c r="AV566"/>
  <c r="AV567"/>
  <c r="AV568"/>
  <c r="AV569"/>
  <c r="AV570"/>
  <c r="AV571"/>
  <c r="AV572"/>
  <c r="AV573"/>
  <c r="AV574"/>
  <c r="AV575"/>
  <c r="AV576"/>
  <c r="AV577"/>
  <c r="AV578"/>
  <c r="AV579"/>
  <c r="AV580"/>
  <c r="AV581"/>
  <c r="AV582"/>
  <c r="AV583"/>
  <c r="AV584"/>
  <c r="AV585"/>
  <c r="AV586"/>
  <c r="AV587"/>
  <c r="AV588"/>
  <c r="AV589"/>
  <c r="AV590"/>
  <c r="AV591"/>
  <c r="AV592"/>
  <c r="AV593"/>
  <c r="AV594"/>
  <c r="AV595"/>
  <c r="AV596"/>
  <c r="AV597"/>
  <c r="AV598"/>
  <c r="AV599"/>
  <c r="AV600"/>
  <c r="AV601"/>
  <c r="AV602"/>
  <c r="AV603"/>
  <c r="AV604"/>
  <c r="AV605"/>
  <c r="AV606"/>
  <c r="AV607"/>
  <c r="AV608"/>
  <c r="AV609"/>
  <c r="AV610"/>
  <c r="AV611"/>
  <c r="AV612"/>
  <c r="AV613"/>
  <c r="AV614"/>
  <c r="AV615"/>
  <c r="AV616"/>
  <c r="AV617"/>
  <c r="AV618"/>
  <c r="AV619"/>
  <c r="AV620"/>
  <c r="AV621"/>
  <c r="AV622"/>
  <c r="AV623"/>
  <c r="AV624"/>
  <c r="AV625"/>
  <c r="AV626"/>
  <c r="AV627"/>
  <c r="AV628"/>
  <c r="AV629"/>
  <c r="AV630"/>
  <c r="AV631"/>
  <c r="AV632"/>
  <c r="AV633"/>
  <c r="AV634"/>
  <c r="AV635"/>
  <c r="AV636"/>
  <c r="AV637"/>
  <c r="AV638"/>
  <c r="AV639"/>
  <c r="AV640"/>
  <c r="AV641"/>
  <c r="AV642"/>
  <c r="AV643"/>
  <c r="AV644"/>
  <c r="AV645"/>
  <c r="AV646"/>
  <c r="AV647"/>
  <c r="AV648"/>
  <c r="AV649"/>
  <c r="AV650"/>
  <c r="AV651"/>
  <c r="AV652"/>
  <c r="AV653"/>
  <c r="AV654"/>
  <c r="AV655"/>
  <c r="AV656"/>
  <c r="AV657"/>
  <c r="AV658"/>
  <c r="AV659"/>
  <c r="AV660"/>
  <c r="AV661"/>
  <c r="AV662"/>
  <c r="AV663"/>
  <c r="AV664"/>
  <c r="AV665"/>
  <c r="AV666"/>
  <c r="AV667"/>
  <c r="AV668"/>
  <c r="AV669"/>
  <c r="AV670"/>
  <c r="AV671"/>
  <c r="AV672"/>
  <c r="AV673"/>
  <c r="AV674"/>
  <c r="AV675"/>
  <c r="AV676"/>
  <c r="AV677"/>
  <c r="AV678"/>
  <c r="AV679"/>
  <c r="AV680"/>
  <c r="AV681"/>
  <c r="AV682"/>
  <c r="AV683"/>
  <c r="AV684"/>
  <c r="AV685"/>
  <c r="AV686"/>
  <c r="AV687"/>
  <c r="AV688"/>
  <c r="AV689"/>
  <c r="AV690"/>
  <c r="AV691"/>
  <c r="AV692"/>
  <c r="AV693"/>
  <c r="AV694"/>
  <c r="AV695"/>
  <c r="AV696"/>
  <c r="AV697"/>
  <c r="AV698"/>
  <c r="AV699"/>
  <c r="AV700"/>
  <c r="AV701"/>
  <c r="AV702"/>
  <c r="AV703"/>
  <c r="AV704"/>
  <c r="AV705"/>
  <c r="AV706"/>
  <c r="AV707"/>
  <c r="AV708"/>
  <c r="AV709"/>
  <c r="AV710"/>
  <c r="AV711"/>
  <c r="AV712"/>
  <c r="AV713"/>
  <c r="AV714"/>
  <c r="AV715"/>
  <c r="AV716"/>
  <c r="AV717"/>
  <c r="AV718"/>
  <c r="AV719"/>
  <c r="AV720"/>
  <c r="AV721"/>
  <c r="AV722"/>
  <c r="AV723"/>
  <c r="AV724"/>
  <c r="AV725"/>
  <c r="AV726"/>
  <c r="AV727"/>
  <c r="AV728"/>
  <c r="AV729"/>
  <c r="AV730"/>
  <c r="AV731"/>
  <c r="AV732"/>
  <c r="AV733"/>
  <c r="AV734"/>
  <c r="AV735"/>
  <c r="AV736"/>
  <c r="AV737"/>
  <c r="AV738"/>
  <c r="AV739"/>
  <c r="AV740"/>
  <c r="AV741"/>
  <c r="AV742"/>
  <c r="AV743"/>
  <c r="AV744"/>
  <c r="AV745"/>
  <c r="AV746"/>
  <c r="AV747"/>
  <c r="AV748"/>
  <c r="AV749"/>
  <c r="AV750"/>
  <c r="AV751"/>
  <c r="AV752"/>
  <c r="AV753"/>
  <c r="AV754"/>
  <c r="AV755"/>
  <c r="AV756"/>
  <c r="AV757"/>
  <c r="AV758"/>
  <c r="AV759"/>
  <c r="AV760"/>
  <c r="AV761"/>
  <c r="AV762"/>
  <c r="AV763"/>
  <c r="AV764"/>
  <c r="AV765"/>
  <c r="AV766"/>
  <c r="AV767"/>
  <c r="AV768"/>
  <c r="AV769"/>
  <c r="AV770"/>
  <c r="AV771"/>
  <c r="AV772"/>
  <c r="AV773"/>
  <c r="AV774"/>
  <c r="AV775"/>
  <c r="AV776"/>
  <c r="AV777"/>
  <c r="AV778"/>
  <c r="AV779"/>
  <c r="AV780"/>
  <c r="AV781"/>
  <c r="AV782"/>
  <c r="AV783"/>
  <c r="AV784"/>
  <c r="AV785"/>
  <c r="AV786"/>
  <c r="AV787"/>
  <c r="AV788"/>
  <c r="AV789"/>
  <c r="AV790"/>
  <c r="AV791"/>
  <c r="AV792"/>
  <c r="AV793"/>
  <c r="AV794"/>
  <c r="AV795"/>
  <c r="AV796"/>
  <c r="AV797"/>
  <c r="AV798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0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09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783"/>
  <c r="AW784"/>
  <c r="AW785"/>
  <c r="AW786"/>
  <c r="AW787"/>
  <c r="AW788"/>
  <c r="AW789"/>
  <c r="AW790"/>
  <c r="AW791"/>
  <c r="AW792"/>
  <c r="AW793"/>
  <c r="AW794"/>
  <c r="AW795"/>
  <c r="AW796"/>
  <c r="AW797"/>
  <c r="AW798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783"/>
  <c r="AX784"/>
  <c r="AX785"/>
  <c r="AX786"/>
  <c r="AX787"/>
  <c r="AX788"/>
  <c r="AX789"/>
  <c r="AX790"/>
  <c r="AX791"/>
  <c r="AX792"/>
  <c r="AX793"/>
  <c r="AX794"/>
  <c r="AX795"/>
  <c r="AX796"/>
  <c r="AX797"/>
  <c r="AX798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3"/>
  <c r="BC224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480"/>
  <c r="BC481"/>
  <c r="BC482"/>
  <c r="BC483"/>
  <c r="BC484"/>
  <c r="BC485"/>
  <c r="BC486"/>
  <c r="BC487"/>
  <c r="BC488"/>
  <c r="BC489"/>
  <c r="BC490"/>
  <c r="BC491"/>
  <c r="BC492"/>
  <c r="BC493"/>
  <c r="BC494"/>
  <c r="BC495"/>
  <c r="BC496"/>
  <c r="BC497"/>
  <c r="BC498"/>
  <c r="BC499"/>
  <c r="BC500"/>
  <c r="BC501"/>
  <c r="BC502"/>
  <c r="BC503"/>
  <c r="BC504"/>
  <c r="BC505"/>
  <c r="BC506"/>
  <c r="BC507"/>
  <c r="BC508"/>
  <c r="BC509"/>
  <c r="BC510"/>
  <c r="BC511"/>
  <c r="BC512"/>
  <c r="BC513"/>
  <c r="BC514"/>
  <c r="BC515"/>
  <c r="BC516"/>
  <c r="BC517"/>
  <c r="BC518"/>
  <c r="BC519"/>
  <c r="BC520"/>
  <c r="BC521"/>
  <c r="BC522"/>
  <c r="BC523"/>
  <c r="BC524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79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783"/>
  <c r="BC784"/>
  <c r="BC785"/>
  <c r="BC786"/>
  <c r="BC787"/>
  <c r="BC788"/>
  <c r="BC789"/>
  <c r="BC790"/>
  <c r="BC791"/>
  <c r="BC792"/>
  <c r="BC793"/>
  <c r="BC794"/>
  <c r="BC795"/>
  <c r="BC796"/>
  <c r="BC797"/>
  <c r="BC798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1"/>
  <c r="BD432"/>
  <c r="BD433"/>
  <c r="BD434"/>
  <c r="BD435"/>
  <c r="BD436"/>
  <c r="BD437"/>
  <c r="BD438"/>
  <c r="BD439"/>
  <c r="BD440"/>
  <c r="BD441"/>
  <c r="BD442"/>
  <c r="BD443"/>
  <c r="BD444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2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2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09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4"/>
  <c r="BD545"/>
  <c r="BD546"/>
  <c r="BD547"/>
  <c r="BD548"/>
  <c r="BD549"/>
  <c r="BD550"/>
  <c r="BD551"/>
  <c r="BD552"/>
  <c r="BD553"/>
  <c r="BD554"/>
  <c r="BD555"/>
  <c r="BD556"/>
  <c r="BD557"/>
  <c r="BD558"/>
  <c r="BD559"/>
  <c r="BD560"/>
  <c r="BD561"/>
  <c r="BD562"/>
  <c r="BD563"/>
  <c r="BD564"/>
  <c r="BD565"/>
  <c r="BD566"/>
  <c r="BD567"/>
  <c r="BD568"/>
  <c r="BD569"/>
  <c r="BD570"/>
  <c r="BD571"/>
  <c r="BD572"/>
  <c r="BD573"/>
  <c r="BD574"/>
  <c r="BD575"/>
  <c r="BD576"/>
  <c r="BD577"/>
  <c r="BD578"/>
  <c r="BD579"/>
  <c r="BD580"/>
  <c r="BD581"/>
  <c r="BD582"/>
  <c r="BD583"/>
  <c r="BD584"/>
  <c r="BD585"/>
  <c r="BD586"/>
  <c r="BD587"/>
  <c r="BD588"/>
  <c r="BD589"/>
  <c r="BD590"/>
  <c r="BD591"/>
  <c r="BD592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79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4"/>
  <c r="BD785"/>
  <c r="BD786"/>
  <c r="BD787"/>
  <c r="BD788"/>
  <c r="BD789"/>
  <c r="BD790"/>
  <c r="BD791"/>
  <c r="BD792"/>
  <c r="BD793"/>
  <c r="BD794"/>
  <c r="BD795"/>
  <c r="BD796"/>
  <c r="BD797"/>
  <c r="BD798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0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5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783"/>
  <c r="BE784"/>
  <c r="BE785"/>
  <c r="BE786"/>
  <c r="BE787"/>
  <c r="BE788"/>
  <c r="BE789"/>
  <c r="BE790"/>
  <c r="BE791"/>
  <c r="BE792"/>
  <c r="BE793"/>
  <c r="BE794"/>
  <c r="BE795"/>
  <c r="BE796"/>
  <c r="BE797"/>
  <c r="BE798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425"/>
  <c r="BF426"/>
  <c r="BF427"/>
  <c r="BF428"/>
  <c r="BF429"/>
  <c r="BF430"/>
  <c r="BF431"/>
  <c r="BF432"/>
  <c r="BF433"/>
  <c r="BF434"/>
  <c r="BF435"/>
  <c r="BF436"/>
  <c r="BF437"/>
  <c r="BF438"/>
  <c r="BF439"/>
  <c r="BF440"/>
  <c r="BF441"/>
  <c r="BF442"/>
  <c r="BF443"/>
  <c r="BF444"/>
  <c r="BF445"/>
  <c r="BF446"/>
  <c r="BF447"/>
  <c r="BF448"/>
  <c r="BF449"/>
  <c r="BF450"/>
  <c r="BF451"/>
  <c r="BF452"/>
  <c r="BF453"/>
  <c r="BF454"/>
  <c r="BF455"/>
  <c r="BF456"/>
  <c r="BF457"/>
  <c r="BF458"/>
  <c r="BF459"/>
  <c r="BF460"/>
  <c r="BF461"/>
  <c r="BF462"/>
  <c r="BF463"/>
  <c r="BF464"/>
  <c r="BF465"/>
  <c r="BF466"/>
  <c r="BF467"/>
  <c r="BF468"/>
  <c r="BF469"/>
  <c r="BF470"/>
  <c r="BF471"/>
  <c r="BF472"/>
  <c r="BF473"/>
  <c r="BF474"/>
  <c r="BF475"/>
  <c r="BF476"/>
  <c r="BF477"/>
  <c r="BF478"/>
  <c r="BF479"/>
  <c r="BF480"/>
  <c r="BF481"/>
  <c r="BF482"/>
  <c r="BF483"/>
  <c r="BF484"/>
  <c r="BF485"/>
  <c r="BF486"/>
  <c r="BF487"/>
  <c r="BF488"/>
  <c r="BF489"/>
  <c r="BF490"/>
  <c r="BF491"/>
  <c r="BF492"/>
  <c r="BF493"/>
  <c r="BF494"/>
  <c r="BF495"/>
  <c r="BF496"/>
  <c r="BF497"/>
  <c r="BF498"/>
  <c r="BF499"/>
  <c r="BF500"/>
  <c r="BF501"/>
  <c r="BF502"/>
  <c r="BF503"/>
  <c r="BF504"/>
  <c r="BF505"/>
  <c r="BF506"/>
  <c r="BF507"/>
  <c r="BF508"/>
  <c r="BF509"/>
  <c r="BF510"/>
  <c r="BF511"/>
  <c r="BF512"/>
  <c r="BF513"/>
  <c r="BF514"/>
  <c r="BF515"/>
  <c r="BF516"/>
  <c r="BF517"/>
  <c r="BF518"/>
  <c r="BF519"/>
  <c r="BF520"/>
  <c r="BF521"/>
  <c r="BF522"/>
  <c r="BF523"/>
  <c r="BF524"/>
  <c r="BF525"/>
  <c r="BF526"/>
  <c r="BF527"/>
  <c r="BF528"/>
  <c r="BF529"/>
  <c r="BF530"/>
  <c r="BF531"/>
  <c r="BF532"/>
  <c r="BF533"/>
  <c r="BF534"/>
  <c r="BF535"/>
  <c r="BF536"/>
  <c r="BF537"/>
  <c r="BF538"/>
  <c r="BF539"/>
  <c r="BF540"/>
  <c r="BF541"/>
  <c r="BF542"/>
  <c r="BF543"/>
  <c r="BF544"/>
  <c r="BF545"/>
  <c r="BF546"/>
  <c r="BF547"/>
  <c r="BF548"/>
  <c r="BF549"/>
  <c r="BF550"/>
  <c r="BF551"/>
  <c r="BF552"/>
  <c r="BF553"/>
  <c r="BF554"/>
  <c r="BF555"/>
  <c r="BF556"/>
  <c r="BF557"/>
  <c r="BF558"/>
  <c r="BF559"/>
  <c r="BF560"/>
  <c r="BF561"/>
  <c r="BF562"/>
  <c r="BF563"/>
  <c r="BF564"/>
  <c r="BF565"/>
  <c r="BF566"/>
  <c r="BF567"/>
  <c r="BF568"/>
  <c r="BF569"/>
  <c r="BF570"/>
  <c r="BF571"/>
  <c r="BF572"/>
  <c r="BF573"/>
  <c r="BF574"/>
  <c r="BF575"/>
  <c r="BF576"/>
  <c r="BF577"/>
  <c r="BF578"/>
  <c r="BF579"/>
  <c r="BF580"/>
  <c r="BF581"/>
  <c r="BF582"/>
  <c r="BF583"/>
  <c r="BF584"/>
  <c r="BF585"/>
  <c r="BF586"/>
  <c r="BF587"/>
  <c r="BF588"/>
  <c r="BF589"/>
  <c r="BF590"/>
  <c r="BF591"/>
  <c r="BF592"/>
  <c r="BF593"/>
  <c r="BF594"/>
  <c r="BF595"/>
  <c r="BF596"/>
  <c r="BF597"/>
  <c r="BF598"/>
  <c r="BF599"/>
  <c r="BF600"/>
  <c r="BF601"/>
  <c r="BF602"/>
  <c r="BF603"/>
  <c r="BF604"/>
  <c r="BF605"/>
  <c r="BF606"/>
  <c r="BF607"/>
  <c r="BF608"/>
  <c r="BF609"/>
  <c r="BF610"/>
  <c r="BF611"/>
  <c r="BF612"/>
  <c r="BF613"/>
  <c r="BF614"/>
  <c r="BF615"/>
  <c r="BF616"/>
  <c r="BF617"/>
  <c r="BF618"/>
  <c r="BF619"/>
  <c r="BF620"/>
  <c r="BF621"/>
  <c r="BF622"/>
  <c r="BF623"/>
  <c r="BF624"/>
  <c r="BF625"/>
  <c r="BF626"/>
  <c r="BF627"/>
  <c r="BF628"/>
  <c r="BF629"/>
  <c r="BF630"/>
  <c r="BF631"/>
  <c r="BF632"/>
  <c r="BF633"/>
  <c r="BF634"/>
  <c r="BF635"/>
  <c r="BF636"/>
  <c r="BF637"/>
  <c r="BF638"/>
  <c r="BF639"/>
  <c r="BF640"/>
  <c r="BF641"/>
  <c r="BF642"/>
  <c r="BF643"/>
  <c r="BF644"/>
  <c r="BF645"/>
  <c r="BF646"/>
  <c r="BF647"/>
  <c r="BF648"/>
  <c r="BF649"/>
  <c r="BF650"/>
  <c r="BF651"/>
  <c r="BF652"/>
  <c r="BF653"/>
  <c r="BF654"/>
  <c r="BF655"/>
  <c r="BF656"/>
  <c r="BF657"/>
  <c r="BF658"/>
  <c r="BF659"/>
  <c r="BF660"/>
  <c r="BF661"/>
  <c r="BF662"/>
  <c r="BF663"/>
  <c r="BF664"/>
  <c r="BF665"/>
  <c r="BF666"/>
  <c r="BF667"/>
  <c r="BF668"/>
  <c r="BF669"/>
  <c r="BF670"/>
  <c r="BF671"/>
  <c r="BF672"/>
  <c r="BF673"/>
  <c r="BF674"/>
  <c r="BF675"/>
  <c r="BF676"/>
  <c r="BF677"/>
  <c r="BF678"/>
  <c r="BF679"/>
  <c r="BF680"/>
  <c r="BF681"/>
  <c r="BF682"/>
  <c r="BF683"/>
  <c r="BF684"/>
  <c r="BF685"/>
  <c r="BF686"/>
  <c r="BF687"/>
  <c r="BF688"/>
  <c r="BF689"/>
  <c r="BF690"/>
  <c r="BF691"/>
  <c r="BF692"/>
  <c r="BF693"/>
  <c r="BF694"/>
  <c r="BF695"/>
  <c r="BF696"/>
  <c r="BF697"/>
  <c r="BF698"/>
  <c r="BF699"/>
  <c r="BF700"/>
  <c r="BF701"/>
  <c r="BF702"/>
  <c r="BF703"/>
  <c r="BF704"/>
  <c r="BF705"/>
  <c r="BF706"/>
  <c r="BF707"/>
  <c r="BF708"/>
  <c r="BF709"/>
  <c r="BF710"/>
  <c r="BF711"/>
  <c r="BF712"/>
  <c r="BF713"/>
  <c r="BF714"/>
  <c r="BF715"/>
  <c r="BF716"/>
  <c r="BF717"/>
  <c r="BF718"/>
  <c r="BF719"/>
  <c r="BF720"/>
  <c r="BF721"/>
  <c r="BF722"/>
  <c r="BF723"/>
  <c r="BF724"/>
  <c r="BF725"/>
  <c r="BF726"/>
  <c r="BF727"/>
  <c r="BF728"/>
  <c r="BF729"/>
  <c r="BF730"/>
  <c r="BF731"/>
  <c r="BF732"/>
  <c r="BF733"/>
  <c r="BF734"/>
  <c r="BF735"/>
  <c r="BF736"/>
  <c r="BF737"/>
  <c r="BF738"/>
  <c r="BF739"/>
  <c r="BF740"/>
  <c r="BF741"/>
  <c r="BF742"/>
  <c r="BF743"/>
  <c r="BF744"/>
  <c r="BF745"/>
  <c r="BF746"/>
  <c r="BF747"/>
  <c r="BF748"/>
  <c r="BF749"/>
  <c r="BF750"/>
  <c r="BF751"/>
  <c r="BF752"/>
  <c r="BF753"/>
  <c r="BF754"/>
  <c r="BF755"/>
  <c r="BF756"/>
  <c r="BF757"/>
  <c r="BF758"/>
  <c r="BF759"/>
  <c r="BF760"/>
  <c r="BF761"/>
  <c r="BF762"/>
  <c r="BF763"/>
  <c r="BF764"/>
  <c r="BF765"/>
  <c r="BF766"/>
  <c r="BF767"/>
  <c r="BF768"/>
  <c r="BF769"/>
  <c r="BF770"/>
  <c r="BF771"/>
  <c r="BF772"/>
  <c r="BF773"/>
  <c r="BF774"/>
  <c r="BF775"/>
  <c r="BF776"/>
  <c r="BF777"/>
  <c r="BF778"/>
  <c r="BF779"/>
  <c r="BF780"/>
  <c r="BF781"/>
  <c r="BF782"/>
  <c r="BF783"/>
  <c r="BF784"/>
  <c r="BF785"/>
  <c r="BF786"/>
  <c r="BF787"/>
  <c r="BF788"/>
  <c r="BF789"/>
  <c r="BF790"/>
  <c r="BF791"/>
  <c r="BF792"/>
  <c r="BF793"/>
  <c r="BF794"/>
  <c r="BF795"/>
  <c r="BF796"/>
  <c r="BF797"/>
  <c r="BF798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223"/>
  <c r="BG224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425"/>
  <c r="BG426"/>
  <c r="BG427"/>
  <c r="BG428"/>
  <c r="BG429"/>
  <c r="BG430"/>
  <c r="BG431"/>
  <c r="BG432"/>
  <c r="BG433"/>
  <c r="BG434"/>
  <c r="BG435"/>
  <c r="BG436"/>
  <c r="BG437"/>
  <c r="BG438"/>
  <c r="BG439"/>
  <c r="BG440"/>
  <c r="BG441"/>
  <c r="BG442"/>
  <c r="BG443"/>
  <c r="BG444"/>
  <c r="BG445"/>
  <c r="BG446"/>
  <c r="BG447"/>
  <c r="BG448"/>
  <c r="BG449"/>
  <c r="BG450"/>
  <c r="BG451"/>
  <c r="BG452"/>
  <c r="BG453"/>
  <c r="BG454"/>
  <c r="BG455"/>
  <c r="BG456"/>
  <c r="BG457"/>
  <c r="BG458"/>
  <c r="BG459"/>
  <c r="BG460"/>
  <c r="BG461"/>
  <c r="BG462"/>
  <c r="BG463"/>
  <c r="BG464"/>
  <c r="BG465"/>
  <c r="BG466"/>
  <c r="BG467"/>
  <c r="BG468"/>
  <c r="BG469"/>
  <c r="BG470"/>
  <c r="BG471"/>
  <c r="BG472"/>
  <c r="BG473"/>
  <c r="BG474"/>
  <c r="BG475"/>
  <c r="BG476"/>
  <c r="BG477"/>
  <c r="BG478"/>
  <c r="BG479"/>
  <c r="BG480"/>
  <c r="BG481"/>
  <c r="BG482"/>
  <c r="BG483"/>
  <c r="BG484"/>
  <c r="BG485"/>
  <c r="BG486"/>
  <c r="BG487"/>
  <c r="BG488"/>
  <c r="BG489"/>
  <c r="BG490"/>
  <c r="BG491"/>
  <c r="BG492"/>
  <c r="BG493"/>
  <c r="BG494"/>
  <c r="BG495"/>
  <c r="BG496"/>
  <c r="BG497"/>
  <c r="BG498"/>
  <c r="BG499"/>
  <c r="BG500"/>
  <c r="BG501"/>
  <c r="BG502"/>
  <c r="BG503"/>
  <c r="BG504"/>
  <c r="BG505"/>
  <c r="BG506"/>
  <c r="BG507"/>
  <c r="BG508"/>
  <c r="BG509"/>
  <c r="BG510"/>
  <c r="BG511"/>
  <c r="BG512"/>
  <c r="BG513"/>
  <c r="BG514"/>
  <c r="BG515"/>
  <c r="BG516"/>
  <c r="BG517"/>
  <c r="BG518"/>
  <c r="BG519"/>
  <c r="BG520"/>
  <c r="BG521"/>
  <c r="BG522"/>
  <c r="BG523"/>
  <c r="BG524"/>
  <c r="BG525"/>
  <c r="BG526"/>
  <c r="BG527"/>
  <c r="BG528"/>
  <c r="BG529"/>
  <c r="BG530"/>
  <c r="BG531"/>
  <c r="BG532"/>
  <c r="BG533"/>
  <c r="BG534"/>
  <c r="BG535"/>
  <c r="BG536"/>
  <c r="BG537"/>
  <c r="BG538"/>
  <c r="BG539"/>
  <c r="BG540"/>
  <c r="BG541"/>
  <c r="BG542"/>
  <c r="BG543"/>
  <c r="BG544"/>
  <c r="BG545"/>
  <c r="BG546"/>
  <c r="BG547"/>
  <c r="BG548"/>
  <c r="BG549"/>
  <c r="BG550"/>
  <c r="BG551"/>
  <c r="BG552"/>
  <c r="BG553"/>
  <c r="BG554"/>
  <c r="BG555"/>
  <c r="BG556"/>
  <c r="BG557"/>
  <c r="BG558"/>
  <c r="BG559"/>
  <c r="BG560"/>
  <c r="BG561"/>
  <c r="BG562"/>
  <c r="BG563"/>
  <c r="BG564"/>
  <c r="BG565"/>
  <c r="BG566"/>
  <c r="BG567"/>
  <c r="BG568"/>
  <c r="BG569"/>
  <c r="BG570"/>
  <c r="BG571"/>
  <c r="BG572"/>
  <c r="BG573"/>
  <c r="BG574"/>
  <c r="BG575"/>
  <c r="BG576"/>
  <c r="BG577"/>
  <c r="BG578"/>
  <c r="BG579"/>
  <c r="BG580"/>
  <c r="BG581"/>
  <c r="BG582"/>
  <c r="BG583"/>
  <c r="BG584"/>
  <c r="BG585"/>
  <c r="BG586"/>
  <c r="BG587"/>
  <c r="BG588"/>
  <c r="BG589"/>
  <c r="BG590"/>
  <c r="BG591"/>
  <c r="BG592"/>
  <c r="BG593"/>
  <c r="BG594"/>
  <c r="BG595"/>
  <c r="BG596"/>
  <c r="BG597"/>
  <c r="BG598"/>
  <c r="BG599"/>
  <c r="BG600"/>
  <c r="BG601"/>
  <c r="BG602"/>
  <c r="BG603"/>
  <c r="BG604"/>
  <c r="BG605"/>
  <c r="BG606"/>
  <c r="BG607"/>
  <c r="BG608"/>
  <c r="BG609"/>
  <c r="BG610"/>
  <c r="BG611"/>
  <c r="BG612"/>
  <c r="BG613"/>
  <c r="BG614"/>
  <c r="BG615"/>
  <c r="BG616"/>
  <c r="BG617"/>
  <c r="BG618"/>
  <c r="BG619"/>
  <c r="BG620"/>
  <c r="BG621"/>
  <c r="BG622"/>
  <c r="BG623"/>
  <c r="BG624"/>
  <c r="BG625"/>
  <c r="BG626"/>
  <c r="BG627"/>
  <c r="BG628"/>
  <c r="BG629"/>
  <c r="BG630"/>
  <c r="BG631"/>
  <c r="BG632"/>
  <c r="BG633"/>
  <c r="BG634"/>
  <c r="BG635"/>
  <c r="BG636"/>
  <c r="BG637"/>
  <c r="BG638"/>
  <c r="BG639"/>
  <c r="BG640"/>
  <c r="BG641"/>
  <c r="BG642"/>
  <c r="BG643"/>
  <c r="BG644"/>
  <c r="BG645"/>
  <c r="BG646"/>
  <c r="BG647"/>
  <c r="BG648"/>
  <c r="BG649"/>
  <c r="BG650"/>
  <c r="BG651"/>
  <c r="BG652"/>
  <c r="BG653"/>
  <c r="BG654"/>
  <c r="BG655"/>
  <c r="BG656"/>
  <c r="BG657"/>
  <c r="BG658"/>
  <c r="BG659"/>
  <c r="BG660"/>
  <c r="BG661"/>
  <c r="BG662"/>
  <c r="BG663"/>
  <c r="BG664"/>
  <c r="BG665"/>
  <c r="BG666"/>
  <c r="BG667"/>
  <c r="BG668"/>
  <c r="BG669"/>
  <c r="BG670"/>
  <c r="BG671"/>
  <c r="BG672"/>
  <c r="BG673"/>
  <c r="BG674"/>
  <c r="BG675"/>
  <c r="BG676"/>
  <c r="BG677"/>
  <c r="BG678"/>
  <c r="BG679"/>
  <c r="BG680"/>
  <c r="BG681"/>
  <c r="BG682"/>
  <c r="BG683"/>
  <c r="BG684"/>
  <c r="BG685"/>
  <c r="BG686"/>
  <c r="BG687"/>
  <c r="BG688"/>
  <c r="BG689"/>
  <c r="BG690"/>
  <c r="BG691"/>
  <c r="BG692"/>
  <c r="BG693"/>
  <c r="BG694"/>
  <c r="BG695"/>
  <c r="BG696"/>
  <c r="BG697"/>
  <c r="BG698"/>
  <c r="BG699"/>
  <c r="BG700"/>
  <c r="BG701"/>
  <c r="BG702"/>
  <c r="BG703"/>
  <c r="BG704"/>
  <c r="BG705"/>
  <c r="BG706"/>
  <c r="BG707"/>
  <c r="BG708"/>
  <c r="BG709"/>
  <c r="BG710"/>
  <c r="BG711"/>
  <c r="BG712"/>
  <c r="BG713"/>
  <c r="BG714"/>
  <c r="BG715"/>
  <c r="BG716"/>
  <c r="BG717"/>
  <c r="BG718"/>
  <c r="BG719"/>
  <c r="BG720"/>
  <c r="BG721"/>
  <c r="BG722"/>
  <c r="BG723"/>
  <c r="BG724"/>
  <c r="BG725"/>
  <c r="BG726"/>
  <c r="BG727"/>
  <c r="BG728"/>
  <c r="BG729"/>
  <c r="BG730"/>
  <c r="BG731"/>
  <c r="BG732"/>
  <c r="BG733"/>
  <c r="BG734"/>
  <c r="BG735"/>
  <c r="BG736"/>
  <c r="BG737"/>
  <c r="BG738"/>
  <c r="BG739"/>
  <c r="BG740"/>
  <c r="BG741"/>
  <c r="BG742"/>
  <c r="BG743"/>
  <c r="BG744"/>
  <c r="BG745"/>
  <c r="BG746"/>
  <c r="BG747"/>
  <c r="BG748"/>
  <c r="BG749"/>
  <c r="BG750"/>
  <c r="BG751"/>
  <c r="BG752"/>
  <c r="BG753"/>
  <c r="BG754"/>
  <c r="BG755"/>
  <c r="BG756"/>
  <c r="BG757"/>
  <c r="BG758"/>
  <c r="BG759"/>
  <c r="BG760"/>
  <c r="BG761"/>
  <c r="BG762"/>
  <c r="BG763"/>
  <c r="BG764"/>
  <c r="BG765"/>
  <c r="BG766"/>
  <c r="BG767"/>
  <c r="BG768"/>
  <c r="BG769"/>
  <c r="BG770"/>
  <c r="BG771"/>
  <c r="BG772"/>
  <c r="BG773"/>
  <c r="BG774"/>
  <c r="BG775"/>
  <c r="BG776"/>
  <c r="BG777"/>
  <c r="BG778"/>
  <c r="BG779"/>
  <c r="BG780"/>
  <c r="BG781"/>
  <c r="BG782"/>
  <c r="BG783"/>
  <c r="BG784"/>
  <c r="BG785"/>
  <c r="BG786"/>
  <c r="BG787"/>
  <c r="BG788"/>
  <c r="BG789"/>
  <c r="BG790"/>
  <c r="BG791"/>
  <c r="BG792"/>
  <c r="BG793"/>
  <c r="BG794"/>
  <c r="BG795"/>
  <c r="BG796"/>
  <c r="BG797"/>
  <c r="BG798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5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783"/>
  <c r="BH784"/>
  <c r="BH785"/>
  <c r="BH786"/>
  <c r="BH787"/>
  <c r="BH788"/>
  <c r="BH789"/>
  <c r="BH790"/>
  <c r="BH791"/>
  <c r="BH792"/>
  <c r="BH793"/>
  <c r="BH794"/>
  <c r="BH795"/>
  <c r="BH796"/>
  <c r="BH797"/>
  <c r="BH798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425"/>
  <c r="BK426"/>
  <c r="BK427"/>
  <c r="BK428"/>
  <c r="BK429"/>
  <c r="BK430"/>
  <c r="BK431"/>
  <c r="BK432"/>
  <c r="BK433"/>
  <c r="BK434"/>
  <c r="BK435"/>
  <c r="BK436"/>
  <c r="BK437"/>
  <c r="BK438"/>
  <c r="BK439"/>
  <c r="BK440"/>
  <c r="BK441"/>
  <c r="BK442"/>
  <c r="BK443"/>
  <c r="BK444"/>
  <c r="BK445"/>
  <c r="BK446"/>
  <c r="BK447"/>
  <c r="BK448"/>
  <c r="BK449"/>
  <c r="BK450"/>
  <c r="BK451"/>
  <c r="BK452"/>
  <c r="BK453"/>
  <c r="BK454"/>
  <c r="BK455"/>
  <c r="BK456"/>
  <c r="BK457"/>
  <c r="BK458"/>
  <c r="BK459"/>
  <c r="BK460"/>
  <c r="BK461"/>
  <c r="BK462"/>
  <c r="BK463"/>
  <c r="BK464"/>
  <c r="BK465"/>
  <c r="BK466"/>
  <c r="BK467"/>
  <c r="BK468"/>
  <c r="BK469"/>
  <c r="BK470"/>
  <c r="BK471"/>
  <c r="BK472"/>
  <c r="BK473"/>
  <c r="BK474"/>
  <c r="BK475"/>
  <c r="BK476"/>
  <c r="BK477"/>
  <c r="BK478"/>
  <c r="BK479"/>
  <c r="BK480"/>
  <c r="BK481"/>
  <c r="BK482"/>
  <c r="BK483"/>
  <c r="BK484"/>
  <c r="BK485"/>
  <c r="BK486"/>
  <c r="BK487"/>
  <c r="BK488"/>
  <c r="BK489"/>
  <c r="BK490"/>
  <c r="BK491"/>
  <c r="BK492"/>
  <c r="BK493"/>
  <c r="BK494"/>
  <c r="BK495"/>
  <c r="BK496"/>
  <c r="BK497"/>
  <c r="BK498"/>
  <c r="BK499"/>
  <c r="BK500"/>
  <c r="BK501"/>
  <c r="BK502"/>
  <c r="BK503"/>
  <c r="BK504"/>
  <c r="BK505"/>
  <c r="BK506"/>
  <c r="BK507"/>
  <c r="BK508"/>
  <c r="BK509"/>
  <c r="BK510"/>
  <c r="BK511"/>
  <c r="BK512"/>
  <c r="BK513"/>
  <c r="BK514"/>
  <c r="BK515"/>
  <c r="BK516"/>
  <c r="BK517"/>
  <c r="BK518"/>
  <c r="BK519"/>
  <c r="BK520"/>
  <c r="BK521"/>
  <c r="BK522"/>
  <c r="BK523"/>
  <c r="BK524"/>
  <c r="BK525"/>
  <c r="BK526"/>
  <c r="BK527"/>
  <c r="BK528"/>
  <c r="BK529"/>
  <c r="BK530"/>
  <c r="BK531"/>
  <c r="BK532"/>
  <c r="BK533"/>
  <c r="BK534"/>
  <c r="BK535"/>
  <c r="BK536"/>
  <c r="BK537"/>
  <c r="BK538"/>
  <c r="BK539"/>
  <c r="BK540"/>
  <c r="BK541"/>
  <c r="BK542"/>
  <c r="BK543"/>
  <c r="BK544"/>
  <c r="BK545"/>
  <c r="BK546"/>
  <c r="BK547"/>
  <c r="BK548"/>
  <c r="BK549"/>
  <c r="BK550"/>
  <c r="BK551"/>
  <c r="BK552"/>
  <c r="BK553"/>
  <c r="BK554"/>
  <c r="BK555"/>
  <c r="BK556"/>
  <c r="BK557"/>
  <c r="BK558"/>
  <c r="BK559"/>
  <c r="BK560"/>
  <c r="BK561"/>
  <c r="BK562"/>
  <c r="BK563"/>
  <c r="BK564"/>
  <c r="BK565"/>
  <c r="BK566"/>
  <c r="BK567"/>
  <c r="BK568"/>
  <c r="BK569"/>
  <c r="BK570"/>
  <c r="BK571"/>
  <c r="BK572"/>
  <c r="BK573"/>
  <c r="BK574"/>
  <c r="BK575"/>
  <c r="BK576"/>
  <c r="BK577"/>
  <c r="BK578"/>
  <c r="BK579"/>
  <c r="BK580"/>
  <c r="BK581"/>
  <c r="BK582"/>
  <c r="BK583"/>
  <c r="BK584"/>
  <c r="BK585"/>
  <c r="BK586"/>
  <c r="BK587"/>
  <c r="BK588"/>
  <c r="BK589"/>
  <c r="BK590"/>
  <c r="BK591"/>
  <c r="BK592"/>
  <c r="BK593"/>
  <c r="BK594"/>
  <c r="BK595"/>
  <c r="BK596"/>
  <c r="BK597"/>
  <c r="BK598"/>
  <c r="BK599"/>
  <c r="BK600"/>
  <c r="BK601"/>
  <c r="BK602"/>
  <c r="BK603"/>
  <c r="BK604"/>
  <c r="BK605"/>
  <c r="BK606"/>
  <c r="BK607"/>
  <c r="BK608"/>
  <c r="BK609"/>
  <c r="BK610"/>
  <c r="BK611"/>
  <c r="BK612"/>
  <c r="BK613"/>
  <c r="BK614"/>
  <c r="BK615"/>
  <c r="BK616"/>
  <c r="BK617"/>
  <c r="BK618"/>
  <c r="BK619"/>
  <c r="BK620"/>
  <c r="BK621"/>
  <c r="BK622"/>
  <c r="BK623"/>
  <c r="BK624"/>
  <c r="BK625"/>
  <c r="BK626"/>
  <c r="BK627"/>
  <c r="BK628"/>
  <c r="BK629"/>
  <c r="BK630"/>
  <c r="BK631"/>
  <c r="BK632"/>
  <c r="BK633"/>
  <c r="BK634"/>
  <c r="BK635"/>
  <c r="BK636"/>
  <c r="BK637"/>
  <c r="BK638"/>
  <c r="BK639"/>
  <c r="BK640"/>
  <c r="BK641"/>
  <c r="BK642"/>
  <c r="BK643"/>
  <c r="BK644"/>
  <c r="BK645"/>
  <c r="BK646"/>
  <c r="BK647"/>
  <c r="BK648"/>
  <c r="BK649"/>
  <c r="BK650"/>
  <c r="BK651"/>
  <c r="BK652"/>
  <c r="BK653"/>
  <c r="BK654"/>
  <c r="BK655"/>
  <c r="BK656"/>
  <c r="BK657"/>
  <c r="BK658"/>
  <c r="BK659"/>
  <c r="BK660"/>
  <c r="BK661"/>
  <c r="BK662"/>
  <c r="BK663"/>
  <c r="BK664"/>
  <c r="BK665"/>
  <c r="BK666"/>
  <c r="BK667"/>
  <c r="BK668"/>
  <c r="BK669"/>
  <c r="BK670"/>
  <c r="BK671"/>
  <c r="BK672"/>
  <c r="BK673"/>
  <c r="BK674"/>
  <c r="BK675"/>
  <c r="BK676"/>
  <c r="BK677"/>
  <c r="BK678"/>
  <c r="BK679"/>
  <c r="BK680"/>
  <c r="BK681"/>
  <c r="BK682"/>
  <c r="BK683"/>
  <c r="BK684"/>
  <c r="BK685"/>
  <c r="BK686"/>
  <c r="BK687"/>
  <c r="BK688"/>
  <c r="BK689"/>
  <c r="BK690"/>
  <c r="BK691"/>
  <c r="BK692"/>
  <c r="BK693"/>
  <c r="BK694"/>
  <c r="BK695"/>
  <c r="BK696"/>
  <c r="BK697"/>
  <c r="BK698"/>
  <c r="BK699"/>
  <c r="BK700"/>
  <c r="BK701"/>
  <c r="BK702"/>
  <c r="BK703"/>
  <c r="BK704"/>
  <c r="BK705"/>
  <c r="BK706"/>
  <c r="BK707"/>
  <c r="BK708"/>
  <c r="BK709"/>
  <c r="BK710"/>
  <c r="BK711"/>
  <c r="BK712"/>
  <c r="BK713"/>
  <c r="BK714"/>
  <c r="BK715"/>
  <c r="BK716"/>
  <c r="BK717"/>
  <c r="BK718"/>
  <c r="BK719"/>
  <c r="BK720"/>
  <c r="BK721"/>
  <c r="BK722"/>
  <c r="BK723"/>
  <c r="BK724"/>
  <c r="BK725"/>
  <c r="BK726"/>
  <c r="BK727"/>
  <c r="BK728"/>
  <c r="BK729"/>
  <c r="BK730"/>
  <c r="BK731"/>
  <c r="BK732"/>
  <c r="BK733"/>
  <c r="BK734"/>
  <c r="BK735"/>
  <c r="BK736"/>
  <c r="BK737"/>
  <c r="BK738"/>
  <c r="BK739"/>
  <c r="BK740"/>
  <c r="BK741"/>
  <c r="BK742"/>
  <c r="BK743"/>
  <c r="BK744"/>
  <c r="BK745"/>
  <c r="BK746"/>
  <c r="BK747"/>
  <c r="BK748"/>
  <c r="BK749"/>
  <c r="BK750"/>
  <c r="BK751"/>
  <c r="BK752"/>
  <c r="BK753"/>
  <c r="BK754"/>
  <c r="BK755"/>
  <c r="BK756"/>
  <c r="BK757"/>
  <c r="BK758"/>
  <c r="BK759"/>
  <c r="BK760"/>
  <c r="BK761"/>
  <c r="BK762"/>
  <c r="BK763"/>
  <c r="BK764"/>
  <c r="BK765"/>
  <c r="BK766"/>
  <c r="BK767"/>
  <c r="BK768"/>
  <c r="BK769"/>
  <c r="BK770"/>
  <c r="BK771"/>
  <c r="BK772"/>
  <c r="BK773"/>
  <c r="BK774"/>
  <c r="BK775"/>
  <c r="BK776"/>
  <c r="BK777"/>
  <c r="BK778"/>
  <c r="BK779"/>
  <c r="BK780"/>
  <c r="BK781"/>
  <c r="BK782"/>
  <c r="BK783"/>
  <c r="BK784"/>
  <c r="BK785"/>
  <c r="BK786"/>
  <c r="BK787"/>
  <c r="BK788"/>
  <c r="BK789"/>
  <c r="BK790"/>
  <c r="BK791"/>
  <c r="BK792"/>
  <c r="BK793"/>
  <c r="BK794"/>
  <c r="BK795"/>
  <c r="BK796"/>
  <c r="BK797"/>
  <c r="BK798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3"/>
  <c r="BL224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425"/>
  <c r="BL426"/>
  <c r="BL427"/>
  <c r="BL428"/>
  <c r="BL429"/>
  <c r="BL430"/>
  <c r="BL431"/>
  <c r="BL432"/>
  <c r="BL433"/>
  <c r="BL434"/>
  <c r="BL435"/>
  <c r="BL436"/>
  <c r="BL437"/>
  <c r="BL438"/>
  <c r="BL439"/>
  <c r="BL440"/>
  <c r="BL441"/>
  <c r="BL442"/>
  <c r="BL443"/>
  <c r="BL444"/>
  <c r="BL445"/>
  <c r="BL446"/>
  <c r="BL447"/>
  <c r="BL448"/>
  <c r="BL449"/>
  <c r="BL450"/>
  <c r="BL451"/>
  <c r="BL452"/>
  <c r="BL453"/>
  <c r="BL454"/>
  <c r="BL455"/>
  <c r="BL456"/>
  <c r="BL457"/>
  <c r="BL458"/>
  <c r="BL459"/>
  <c r="BL460"/>
  <c r="BL461"/>
  <c r="BL462"/>
  <c r="BL463"/>
  <c r="BL464"/>
  <c r="BL465"/>
  <c r="BL466"/>
  <c r="BL467"/>
  <c r="BL468"/>
  <c r="BL469"/>
  <c r="BL470"/>
  <c r="BL471"/>
  <c r="BL472"/>
  <c r="BL473"/>
  <c r="BL474"/>
  <c r="BL475"/>
  <c r="BL476"/>
  <c r="BL477"/>
  <c r="BL478"/>
  <c r="BL479"/>
  <c r="BL480"/>
  <c r="BL481"/>
  <c r="BL482"/>
  <c r="BL483"/>
  <c r="BL484"/>
  <c r="BL485"/>
  <c r="BL486"/>
  <c r="BL487"/>
  <c r="BL488"/>
  <c r="BL489"/>
  <c r="BL490"/>
  <c r="BL491"/>
  <c r="BL492"/>
  <c r="BL493"/>
  <c r="BL494"/>
  <c r="BL495"/>
  <c r="BL496"/>
  <c r="BL497"/>
  <c r="BL498"/>
  <c r="BL499"/>
  <c r="BL500"/>
  <c r="BL501"/>
  <c r="BL502"/>
  <c r="BL503"/>
  <c r="BL504"/>
  <c r="BL505"/>
  <c r="BL506"/>
  <c r="BL507"/>
  <c r="BL508"/>
  <c r="BL509"/>
  <c r="BL510"/>
  <c r="BL511"/>
  <c r="BL512"/>
  <c r="BL513"/>
  <c r="BL514"/>
  <c r="BL515"/>
  <c r="BL516"/>
  <c r="BL517"/>
  <c r="BL518"/>
  <c r="BL519"/>
  <c r="BL520"/>
  <c r="BL521"/>
  <c r="BL522"/>
  <c r="BL523"/>
  <c r="BL524"/>
  <c r="BL525"/>
  <c r="BL526"/>
  <c r="BL527"/>
  <c r="BL528"/>
  <c r="BL529"/>
  <c r="BL530"/>
  <c r="BL531"/>
  <c r="BL532"/>
  <c r="BL533"/>
  <c r="BL534"/>
  <c r="BL535"/>
  <c r="BL536"/>
  <c r="BL537"/>
  <c r="BL538"/>
  <c r="BL539"/>
  <c r="BL540"/>
  <c r="BL541"/>
  <c r="BL542"/>
  <c r="BL543"/>
  <c r="BL544"/>
  <c r="BL545"/>
  <c r="BL546"/>
  <c r="BL547"/>
  <c r="BL548"/>
  <c r="BL549"/>
  <c r="BL550"/>
  <c r="BL551"/>
  <c r="BL552"/>
  <c r="BL553"/>
  <c r="BL554"/>
  <c r="BL555"/>
  <c r="BL556"/>
  <c r="BL557"/>
  <c r="BL558"/>
  <c r="BL559"/>
  <c r="BL560"/>
  <c r="BL561"/>
  <c r="BL562"/>
  <c r="BL563"/>
  <c r="BL564"/>
  <c r="BL565"/>
  <c r="BL566"/>
  <c r="BL567"/>
  <c r="BL568"/>
  <c r="BL569"/>
  <c r="BL570"/>
  <c r="BL571"/>
  <c r="BL572"/>
  <c r="BL573"/>
  <c r="BL574"/>
  <c r="BL575"/>
  <c r="BL576"/>
  <c r="BL577"/>
  <c r="BL578"/>
  <c r="BL579"/>
  <c r="BL580"/>
  <c r="BL581"/>
  <c r="BL582"/>
  <c r="BL583"/>
  <c r="BL584"/>
  <c r="BL585"/>
  <c r="BL586"/>
  <c r="BL587"/>
  <c r="BL588"/>
  <c r="BL589"/>
  <c r="BL590"/>
  <c r="BL591"/>
  <c r="BL592"/>
  <c r="BL593"/>
  <c r="BL594"/>
  <c r="BL595"/>
  <c r="BL596"/>
  <c r="BL597"/>
  <c r="BL598"/>
  <c r="BL599"/>
  <c r="BL600"/>
  <c r="BL601"/>
  <c r="BL602"/>
  <c r="BL603"/>
  <c r="BL604"/>
  <c r="BL605"/>
  <c r="BL606"/>
  <c r="BL607"/>
  <c r="BL608"/>
  <c r="BL609"/>
  <c r="BL610"/>
  <c r="BL611"/>
  <c r="BL612"/>
  <c r="BL613"/>
  <c r="BL614"/>
  <c r="BL615"/>
  <c r="BL616"/>
  <c r="BL617"/>
  <c r="BL618"/>
  <c r="BL619"/>
  <c r="BL620"/>
  <c r="BL621"/>
  <c r="BL622"/>
  <c r="BL623"/>
  <c r="BL624"/>
  <c r="BL625"/>
  <c r="BL626"/>
  <c r="BL627"/>
  <c r="BL628"/>
  <c r="BL629"/>
  <c r="BL630"/>
  <c r="BL631"/>
  <c r="BL632"/>
  <c r="BL633"/>
  <c r="BL634"/>
  <c r="BL635"/>
  <c r="BL636"/>
  <c r="BL637"/>
  <c r="BL638"/>
  <c r="BL639"/>
  <c r="BL640"/>
  <c r="BL641"/>
  <c r="BL642"/>
  <c r="BL643"/>
  <c r="BL644"/>
  <c r="BL645"/>
  <c r="BL646"/>
  <c r="BL647"/>
  <c r="BL648"/>
  <c r="BL649"/>
  <c r="BL650"/>
  <c r="BL651"/>
  <c r="BL652"/>
  <c r="BL653"/>
  <c r="BL654"/>
  <c r="BL655"/>
  <c r="BL656"/>
  <c r="BL657"/>
  <c r="BL658"/>
  <c r="BL659"/>
  <c r="BL660"/>
  <c r="BL661"/>
  <c r="BL662"/>
  <c r="BL663"/>
  <c r="BL664"/>
  <c r="BL665"/>
  <c r="BL666"/>
  <c r="BL667"/>
  <c r="BL668"/>
  <c r="BL669"/>
  <c r="BL670"/>
  <c r="BL671"/>
  <c r="BL672"/>
  <c r="BL673"/>
  <c r="BL674"/>
  <c r="BL675"/>
  <c r="BL676"/>
  <c r="BL677"/>
  <c r="BL678"/>
  <c r="BL679"/>
  <c r="BL680"/>
  <c r="BL681"/>
  <c r="BL682"/>
  <c r="BL683"/>
  <c r="BL684"/>
  <c r="BL685"/>
  <c r="BL686"/>
  <c r="BL687"/>
  <c r="BL688"/>
  <c r="BL689"/>
  <c r="BL690"/>
  <c r="BL691"/>
  <c r="BL692"/>
  <c r="BL693"/>
  <c r="BL694"/>
  <c r="BL695"/>
  <c r="BL696"/>
  <c r="BL697"/>
  <c r="BL698"/>
  <c r="BL699"/>
  <c r="BL700"/>
  <c r="BL701"/>
  <c r="BL702"/>
  <c r="BL703"/>
  <c r="BL704"/>
  <c r="BL705"/>
  <c r="BL706"/>
  <c r="BL707"/>
  <c r="BL708"/>
  <c r="BL709"/>
  <c r="BL710"/>
  <c r="BL711"/>
  <c r="BL712"/>
  <c r="BL713"/>
  <c r="BL714"/>
  <c r="BL715"/>
  <c r="BL716"/>
  <c r="BL717"/>
  <c r="BL718"/>
  <c r="BL719"/>
  <c r="BL720"/>
  <c r="BL721"/>
  <c r="BL722"/>
  <c r="BL723"/>
  <c r="BL724"/>
  <c r="BL725"/>
  <c r="BL726"/>
  <c r="BL727"/>
  <c r="BL728"/>
  <c r="BL729"/>
  <c r="BL730"/>
  <c r="BL731"/>
  <c r="BL732"/>
  <c r="BL733"/>
  <c r="BL734"/>
  <c r="BL735"/>
  <c r="BL736"/>
  <c r="BL737"/>
  <c r="BL738"/>
  <c r="BL739"/>
  <c r="BL740"/>
  <c r="BL741"/>
  <c r="BL742"/>
  <c r="BL743"/>
  <c r="BL744"/>
  <c r="BL745"/>
  <c r="BL746"/>
  <c r="BL747"/>
  <c r="BL748"/>
  <c r="BL749"/>
  <c r="BL750"/>
  <c r="BL751"/>
  <c r="BL752"/>
  <c r="BL753"/>
  <c r="BL754"/>
  <c r="BL755"/>
  <c r="BL756"/>
  <c r="BL757"/>
  <c r="BL758"/>
  <c r="BL759"/>
  <c r="BL760"/>
  <c r="BL761"/>
  <c r="BL762"/>
  <c r="BL763"/>
  <c r="BL764"/>
  <c r="BL765"/>
  <c r="BL766"/>
  <c r="BL767"/>
  <c r="BL768"/>
  <c r="BL769"/>
  <c r="BL770"/>
  <c r="BL771"/>
  <c r="BL772"/>
  <c r="BL773"/>
  <c r="BL774"/>
  <c r="BL775"/>
  <c r="BL776"/>
  <c r="BL777"/>
  <c r="BL778"/>
  <c r="BL779"/>
  <c r="BL780"/>
  <c r="BL781"/>
  <c r="BL782"/>
  <c r="BL783"/>
  <c r="BL784"/>
  <c r="BL785"/>
  <c r="BL786"/>
  <c r="BL787"/>
  <c r="BL788"/>
  <c r="BL789"/>
  <c r="BL790"/>
  <c r="BL791"/>
  <c r="BL792"/>
  <c r="BL793"/>
  <c r="BL794"/>
  <c r="BL795"/>
  <c r="BL796"/>
  <c r="BL797"/>
  <c r="BL798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425"/>
  <c r="BM426"/>
  <c r="BM427"/>
  <c r="BM428"/>
  <c r="BM429"/>
  <c r="BM430"/>
  <c r="BM431"/>
  <c r="BM432"/>
  <c r="BM433"/>
  <c r="BM434"/>
  <c r="BM435"/>
  <c r="BM436"/>
  <c r="BM437"/>
  <c r="BM438"/>
  <c r="BM439"/>
  <c r="BM440"/>
  <c r="BM441"/>
  <c r="BM442"/>
  <c r="BM443"/>
  <c r="BM444"/>
  <c r="BM445"/>
  <c r="BM446"/>
  <c r="BM447"/>
  <c r="BM448"/>
  <c r="BM449"/>
  <c r="BM450"/>
  <c r="BM451"/>
  <c r="BM452"/>
  <c r="BM453"/>
  <c r="BM454"/>
  <c r="BM455"/>
  <c r="BM456"/>
  <c r="BM457"/>
  <c r="BM458"/>
  <c r="BM459"/>
  <c r="BM460"/>
  <c r="BM461"/>
  <c r="BM462"/>
  <c r="BM463"/>
  <c r="BM464"/>
  <c r="BM465"/>
  <c r="BM466"/>
  <c r="BM467"/>
  <c r="BM468"/>
  <c r="BM469"/>
  <c r="BM470"/>
  <c r="BM471"/>
  <c r="BM472"/>
  <c r="BM473"/>
  <c r="BM474"/>
  <c r="BM475"/>
  <c r="BM476"/>
  <c r="BM477"/>
  <c r="BM478"/>
  <c r="BM479"/>
  <c r="BM480"/>
  <c r="BM481"/>
  <c r="BM482"/>
  <c r="BM483"/>
  <c r="BM484"/>
  <c r="BM485"/>
  <c r="BM486"/>
  <c r="BM487"/>
  <c r="BM488"/>
  <c r="BM489"/>
  <c r="BM490"/>
  <c r="BM491"/>
  <c r="BM492"/>
  <c r="BM493"/>
  <c r="BM494"/>
  <c r="BM495"/>
  <c r="BM496"/>
  <c r="BM497"/>
  <c r="BM498"/>
  <c r="BM499"/>
  <c r="BM500"/>
  <c r="BM501"/>
  <c r="BM502"/>
  <c r="BM503"/>
  <c r="BM504"/>
  <c r="BM505"/>
  <c r="BM506"/>
  <c r="BM507"/>
  <c r="BM508"/>
  <c r="BM509"/>
  <c r="BM510"/>
  <c r="BM511"/>
  <c r="BM512"/>
  <c r="BM513"/>
  <c r="BM514"/>
  <c r="BM515"/>
  <c r="BM516"/>
  <c r="BM517"/>
  <c r="BM518"/>
  <c r="BM519"/>
  <c r="BM520"/>
  <c r="BM521"/>
  <c r="BM522"/>
  <c r="BM523"/>
  <c r="BM524"/>
  <c r="BM525"/>
  <c r="BM526"/>
  <c r="BM527"/>
  <c r="BM528"/>
  <c r="BM529"/>
  <c r="BM530"/>
  <c r="BM531"/>
  <c r="BM532"/>
  <c r="BM533"/>
  <c r="BM534"/>
  <c r="BM535"/>
  <c r="BM536"/>
  <c r="BM537"/>
  <c r="BM538"/>
  <c r="BM539"/>
  <c r="BM540"/>
  <c r="BM541"/>
  <c r="BM542"/>
  <c r="BM543"/>
  <c r="BM544"/>
  <c r="BM545"/>
  <c r="BM546"/>
  <c r="BM547"/>
  <c r="BM548"/>
  <c r="BM549"/>
  <c r="BM550"/>
  <c r="BM551"/>
  <c r="BM552"/>
  <c r="BM553"/>
  <c r="BM554"/>
  <c r="BM555"/>
  <c r="BM556"/>
  <c r="BM557"/>
  <c r="BM558"/>
  <c r="BM559"/>
  <c r="BM560"/>
  <c r="BM561"/>
  <c r="BM562"/>
  <c r="BM563"/>
  <c r="BM564"/>
  <c r="BM565"/>
  <c r="BM566"/>
  <c r="BM567"/>
  <c r="BM568"/>
  <c r="BM569"/>
  <c r="BM570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M690"/>
  <c r="BM691"/>
  <c r="BM692"/>
  <c r="BM693"/>
  <c r="BM694"/>
  <c r="BM695"/>
  <c r="BM696"/>
  <c r="BM697"/>
  <c r="BM698"/>
  <c r="BM699"/>
  <c r="BM700"/>
  <c r="BM701"/>
  <c r="BM702"/>
  <c r="BM703"/>
  <c r="BM704"/>
  <c r="BM705"/>
  <c r="BM706"/>
  <c r="BM707"/>
  <c r="BM708"/>
  <c r="BM709"/>
  <c r="BM710"/>
  <c r="BM711"/>
  <c r="BM712"/>
  <c r="BM713"/>
  <c r="BM714"/>
  <c r="BM715"/>
  <c r="BM716"/>
  <c r="BM717"/>
  <c r="BM718"/>
  <c r="BM719"/>
  <c r="BM720"/>
  <c r="BM721"/>
  <c r="BM722"/>
  <c r="BM723"/>
  <c r="BM724"/>
  <c r="BM725"/>
  <c r="BM726"/>
  <c r="BM727"/>
  <c r="BM728"/>
  <c r="BM729"/>
  <c r="BM730"/>
  <c r="BM731"/>
  <c r="BM732"/>
  <c r="BM733"/>
  <c r="BM734"/>
  <c r="BM735"/>
  <c r="BM736"/>
  <c r="BM737"/>
  <c r="BM738"/>
  <c r="BM739"/>
  <c r="BM740"/>
  <c r="BM741"/>
  <c r="BM742"/>
  <c r="BM743"/>
  <c r="BM744"/>
  <c r="BM745"/>
  <c r="BM746"/>
  <c r="BM747"/>
  <c r="BM748"/>
  <c r="BM749"/>
  <c r="BM750"/>
  <c r="BM751"/>
  <c r="BM752"/>
  <c r="BM753"/>
  <c r="BM754"/>
  <c r="BM755"/>
  <c r="BM756"/>
  <c r="BM757"/>
  <c r="BM758"/>
  <c r="BM759"/>
  <c r="BM760"/>
  <c r="BM761"/>
  <c r="BM762"/>
  <c r="BM763"/>
  <c r="BM764"/>
  <c r="BM765"/>
  <c r="BM766"/>
  <c r="BM767"/>
  <c r="BM768"/>
  <c r="BM769"/>
  <c r="BM770"/>
  <c r="BM771"/>
  <c r="BM772"/>
  <c r="BM773"/>
  <c r="BM774"/>
  <c r="BM775"/>
  <c r="BM776"/>
  <c r="BM777"/>
  <c r="BM778"/>
  <c r="BM779"/>
  <c r="BM780"/>
  <c r="BM781"/>
  <c r="BM782"/>
  <c r="BM783"/>
  <c r="BM784"/>
  <c r="BM785"/>
  <c r="BM786"/>
  <c r="BM787"/>
  <c r="BM788"/>
  <c r="BM789"/>
  <c r="BM790"/>
  <c r="BM791"/>
  <c r="BM792"/>
  <c r="BM793"/>
  <c r="BM794"/>
  <c r="BM795"/>
  <c r="BM796"/>
  <c r="BM797"/>
  <c r="BM798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425"/>
  <c r="BN426"/>
  <c r="BN427"/>
  <c r="BN428"/>
  <c r="BN429"/>
  <c r="BN430"/>
  <c r="BN431"/>
  <c r="BN432"/>
  <c r="BN433"/>
  <c r="BN434"/>
  <c r="BN435"/>
  <c r="BN436"/>
  <c r="BN437"/>
  <c r="BN438"/>
  <c r="BN439"/>
  <c r="BN440"/>
  <c r="BN441"/>
  <c r="BN442"/>
  <c r="BN443"/>
  <c r="BN444"/>
  <c r="BN445"/>
  <c r="BN446"/>
  <c r="BN447"/>
  <c r="BN448"/>
  <c r="BN449"/>
  <c r="BN450"/>
  <c r="BN451"/>
  <c r="BN452"/>
  <c r="BN453"/>
  <c r="BN454"/>
  <c r="BN455"/>
  <c r="BN456"/>
  <c r="BN457"/>
  <c r="BN458"/>
  <c r="BN459"/>
  <c r="BN460"/>
  <c r="BN461"/>
  <c r="BN462"/>
  <c r="BN463"/>
  <c r="BN464"/>
  <c r="BN465"/>
  <c r="BN466"/>
  <c r="BN467"/>
  <c r="BN468"/>
  <c r="BN469"/>
  <c r="BN470"/>
  <c r="BN471"/>
  <c r="BN472"/>
  <c r="BN473"/>
  <c r="BN474"/>
  <c r="BN475"/>
  <c r="BN476"/>
  <c r="BN477"/>
  <c r="BN478"/>
  <c r="BN479"/>
  <c r="BN480"/>
  <c r="BN481"/>
  <c r="BN482"/>
  <c r="BN483"/>
  <c r="BN484"/>
  <c r="BN485"/>
  <c r="BN486"/>
  <c r="BN487"/>
  <c r="BN488"/>
  <c r="BN489"/>
  <c r="BN490"/>
  <c r="BN491"/>
  <c r="BN492"/>
  <c r="BN493"/>
  <c r="BN494"/>
  <c r="BN495"/>
  <c r="BN496"/>
  <c r="BN497"/>
  <c r="BN498"/>
  <c r="BN499"/>
  <c r="BN500"/>
  <c r="BN501"/>
  <c r="BN502"/>
  <c r="BN503"/>
  <c r="BN504"/>
  <c r="BN505"/>
  <c r="BN506"/>
  <c r="BN507"/>
  <c r="BN508"/>
  <c r="BN509"/>
  <c r="BN510"/>
  <c r="BN511"/>
  <c r="BN512"/>
  <c r="BN513"/>
  <c r="BN514"/>
  <c r="BN515"/>
  <c r="BN516"/>
  <c r="BN517"/>
  <c r="BN518"/>
  <c r="BN519"/>
  <c r="BN520"/>
  <c r="BN521"/>
  <c r="BN522"/>
  <c r="BN523"/>
  <c r="BN524"/>
  <c r="BN525"/>
  <c r="BN526"/>
  <c r="BN527"/>
  <c r="BN528"/>
  <c r="BN529"/>
  <c r="BN530"/>
  <c r="BN531"/>
  <c r="BN532"/>
  <c r="BN533"/>
  <c r="BN534"/>
  <c r="BN535"/>
  <c r="BN536"/>
  <c r="BN537"/>
  <c r="BN538"/>
  <c r="BN539"/>
  <c r="BN540"/>
  <c r="BN541"/>
  <c r="BN542"/>
  <c r="BN543"/>
  <c r="BN544"/>
  <c r="BN545"/>
  <c r="BN546"/>
  <c r="BN547"/>
  <c r="BN548"/>
  <c r="BN549"/>
  <c r="BN550"/>
  <c r="BN551"/>
  <c r="BN552"/>
  <c r="BN553"/>
  <c r="BN554"/>
  <c r="BN555"/>
  <c r="BN556"/>
  <c r="BN557"/>
  <c r="BN558"/>
  <c r="BN559"/>
  <c r="BN560"/>
  <c r="BN561"/>
  <c r="BN562"/>
  <c r="BN563"/>
  <c r="BN564"/>
  <c r="BN565"/>
  <c r="BN566"/>
  <c r="BN567"/>
  <c r="BN568"/>
  <c r="BN569"/>
  <c r="BN570"/>
  <c r="BN571"/>
  <c r="BN572"/>
  <c r="BN573"/>
  <c r="BN574"/>
  <c r="BN575"/>
  <c r="BN576"/>
  <c r="BN577"/>
  <c r="BN578"/>
  <c r="BN579"/>
  <c r="BN580"/>
  <c r="BN581"/>
  <c r="BN582"/>
  <c r="BN583"/>
  <c r="BN584"/>
  <c r="BN585"/>
  <c r="BN586"/>
  <c r="BN587"/>
  <c r="BN588"/>
  <c r="BN589"/>
  <c r="BN590"/>
  <c r="BN591"/>
  <c r="BN592"/>
  <c r="BN593"/>
  <c r="BN594"/>
  <c r="BN595"/>
  <c r="BN596"/>
  <c r="BN597"/>
  <c r="BN598"/>
  <c r="BN599"/>
  <c r="BN600"/>
  <c r="BN601"/>
  <c r="BN602"/>
  <c r="BN603"/>
  <c r="BN604"/>
  <c r="BN605"/>
  <c r="BN606"/>
  <c r="BN607"/>
  <c r="BN608"/>
  <c r="BN609"/>
  <c r="BN610"/>
  <c r="BN611"/>
  <c r="BN612"/>
  <c r="BN613"/>
  <c r="BN614"/>
  <c r="BN615"/>
  <c r="BN616"/>
  <c r="BN617"/>
  <c r="BN618"/>
  <c r="BN619"/>
  <c r="BN620"/>
  <c r="BN621"/>
  <c r="BN622"/>
  <c r="BN623"/>
  <c r="BN624"/>
  <c r="BN625"/>
  <c r="BN626"/>
  <c r="BN627"/>
  <c r="BN628"/>
  <c r="BN629"/>
  <c r="BN630"/>
  <c r="BN631"/>
  <c r="BN632"/>
  <c r="BN633"/>
  <c r="BN634"/>
  <c r="BN635"/>
  <c r="BN636"/>
  <c r="BN637"/>
  <c r="BN638"/>
  <c r="BN639"/>
  <c r="BN640"/>
  <c r="BN641"/>
  <c r="BN642"/>
  <c r="BN643"/>
  <c r="BN644"/>
  <c r="BN645"/>
  <c r="BN646"/>
  <c r="BN647"/>
  <c r="BN648"/>
  <c r="BN649"/>
  <c r="BN650"/>
  <c r="BN651"/>
  <c r="BN652"/>
  <c r="BN653"/>
  <c r="BN654"/>
  <c r="BN655"/>
  <c r="BN656"/>
  <c r="BN657"/>
  <c r="BN658"/>
  <c r="BN659"/>
  <c r="BN660"/>
  <c r="BN661"/>
  <c r="BN662"/>
  <c r="BN663"/>
  <c r="BN664"/>
  <c r="BN665"/>
  <c r="BN666"/>
  <c r="BN667"/>
  <c r="BN668"/>
  <c r="BN669"/>
  <c r="BN670"/>
  <c r="BN671"/>
  <c r="BN672"/>
  <c r="BN673"/>
  <c r="BN674"/>
  <c r="BN675"/>
  <c r="BN676"/>
  <c r="BN677"/>
  <c r="BN678"/>
  <c r="BN679"/>
  <c r="BN680"/>
  <c r="BN681"/>
  <c r="BN682"/>
  <c r="BN683"/>
  <c r="BN684"/>
  <c r="BN685"/>
  <c r="BN686"/>
  <c r="BN687"/>
  <c r="BN688"/>
  <c r="BN689"/>
  <c r="BN690"/>
  <c r="BN691"/>
  <c r="BN692"/>
  <c r="BN693"/>
  <c r="BN694"/>
  <c r="BN695"/>
  <c r="BN696"/>
  <c r="BN697"/>
  <c r="BN698"/>
  <c r="BN699"/>
  <c r="BN700"/>
  <c r="BN701"/>
  <c r="BN702"/>
  <c r="BN703"/>
  <c r="BN704"/>
  <c r="BN705"/>
  <c r="BN706"/>
  <c r="BN707"/>
  <c r="BN708"/>
  <c r="BN709"/>
  <c r="BN710"/>
  <c r="BN711"/>
  <c r="BN712"/>
  <c r="BN713"/>
  <c r="BN714"/>
  <c r="BN715"/>
  <c r="BN716"/>
  <c r="BN717"/>
  <c r="BN718"/>
  <c r="BN719"/>
  <c r="BN720"/>
  <c r="BN721"/>
  <c r="BN722"/>
  <c r="BN723"/>
  <c r="BN724"/>
  <c r="BN725"/>
  <c r="BN726"/>
  <c r="BN727"/>
  <c r="BN728"/>
  <c r="BN729"/>
  <c r="BN730"/>
  <c r="BN731"/>
  <c r="BN732"/>
  <c r="BN733"/>
  <c r="BN734"/>
  <c r="BN735"/>
  <c r="BN736"/>
  <c r="BN737"/>
  <c r="BN738"/>
  <c r="BN739"/>
  <c r="BN740"/>
  <c r="BN741"/>
  <c r="BN742"/>
  <c r="BN743"/>
  <c r="BN744"/>
  <c r="BN745"/>
  <c r="BN746"/>
  <c r="BN747"/>
  <c r="BN748"/>
  <c r="BN749"/>
  <c r="BN750"/>
  <c r="BN751"/>
  <c r="BN752"/>
  <c r="BN753"/>
  <c r="BN754"/>
  <c r="BN755"/>
  <c r="BN756"/>
  <c r="BN757"/>
  <c r="BN758"/>
  <c r="BN759"/>
  <c r="BN760"/>
  <c r="BN761"/>
  <c r="BN762"/>
  <c r="BN763"/>
  <c r="BN764"/>
  <c r="BN765"/>
  <c r="BN766"/>
  <c r="BN767"/>
  <c r="BN768"/>
  <c r="BN769"/>
  <c r="BN770"/>
  <c r="BN771"/>
  <c r="BN772"/>
  <c r="BN773"/>
  <c r="BN774"/>
  <c r="BN775"/>
  <c r="BN776"/>
  <c r="BN777"/>
  <c r="BN778"/>
  <c r="BN779"/>
  <c r="BN780"/>
  <c r="BN781"/>
  <c r="BN782"/>
  <c r="BN783"/>
  <c r="BN784"/>
  <c r="BN785"/>
  <c r="BN786"/>
  <c r="BN787"/>
  <c r="BN788"/>
  <c r="BN789"/>
  <c r="BN790"/>
  <c r="BN791"/>
  <c r="BN792"/>
  <c r="BN793"/>
  <c r="BN794"/>
  <c r="BN795"/>
  <c r="BN796"/>
  <c r="BN797"/>
  <c r="BN798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49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223"/>
  <c r="BO224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7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425"/>
  <c r="BO426"/>
  <c r="BO427"/>
  <c r="BO428"/>
  <c r="BO429"/>
  <c r="BO430"/>
  <c r="BO431"/>
  <c r="BO432"/>
  <c r="BO433"/>
  <c r="BO434"/>
  <c r="BO435"/>
  <c r="BO436"/>
  <c r="BO437"/>
  <c r="BO438"/>
  <c r="BO439"/>
  <c r="BO440"/>
  <c r="BO441"/>
  <c r="BO442"/>
  <c r="BO443"/>
  <c r="BO444"/>
  <c r="BO445"/>
  <c r="BO446"/>
  <c r="BO447"/>
  <c r="BO448"/>
  <c r="BO449"/>
  <c r="BO450"/>
  <c r="BO451"/>
  <c r="BO452"/>
  <c r="BO453"/>
  <c r="BO454"/>
  <c r="BO455"/>
  <c r="BO456"/>
  <c r="BO457"/>
  <c r="BO458"/>
  <c r="BO459"/>
  <c r="BO460"/>
  <c r="BO461"/>
  <c r="BO462"/>
  <c r="BO463"/>
  <c r="BO464"/>
  <c r="BO465"/>
  <c r="BO466"/>
  <c r="BO467"/>
  <c r="BO468"/>
  <c r="BO469"/>
  <c r="BO470"/>
  <c r="BO471"/>
  <c r="BO472"/>
  <c r="BO473"/>
  <c r="BO474"/>
  <c r="BO475"/>
  <c r="BO476"/>
  <c r="BO477"/>
  <c r="BO478"/>
  <c r="BO479"/>
  <c r="BO480"/>
  <c r="BO481"/>
  <c r="BO482"/>
  <c r="BO483"/>
  <c r="BO484"/>
  <c r="BO485"/>
  <c r="BO486"/>
  <c r="BO487"/>
  <c r="BO488"/>
  <c r="BO489"/>
  <c r="BO490"/>
  <c r="BO491"/>
  <c r="BO492"/>
  <c r="BO493"/>
  <c r="BO494"/>
  <c r="BO495"/>
  <c r="BO496"/>
  <c r="BO497"/>
  <c r="BO498"/>
  <c r="BO499"/>
  <c r="BO500"/>
  <c r="BO501"/>
  <c r="BO502"/>
  <c r="BO503"/>
  <c r="BO504"/>
  <c r="BO505"/>
  <c r="BO506"/>
  <c r="BO507"/>
  <c r="BO508"/>
  <c r="BO509"/>
  <c r="BO510"/>
  <c r="BO511"/>
  <c r="BO512"/>
  <c r="BO513"/>
  <c r="BO514"/>
  <c r="BO515"/>
  <c r="BO516"/>
  <c r="BO517"/>
  <c r="BO518"/>
  <c r="BO519"/>
  <c r="BO520"/>
  <c r="BO521"/>
  <c r="BO522"/>
  <c r="BO523"/>
  <c r="BO524"/>
  <c r="BO525"/>
  <c r="BO526"/>
  <c r="BO527"/>
  <c r="BO528"/>
  <c r="BO529"/>
  <c r="BO530"/>
  <c r="BO531"/>
  <c r="BO532"/>
  <c r="BO533"/>
  <c r="BO534"/>
  <c r="BO535"/>
  <c r="BO536"/>
  <c r="BO537"/>
  <c r="BO538"/>
  <c r="BO539"/>
  <c r="BO540"/>
  <c r="BO541"/>
  <c r="BO542"/>
  <c r="BO543"/>
  <c r="BO544"/>
  <c r="BO545"/>
  <c r="BO546"/>
  <c r="BO547"/>
  <c r="BO548"/>
  <c r="BO549"/>
  <c r="BO550"/>
  <c r="BO551"/>
  <c r="BO552"/>
  <c r="BO553"/>
  <c r="BO554"/>
  <c r="BO555"/>
  <c r="BO556"/>
  <c r="BO557"/>
  <c r="BO558"/>
  <c r="BO559"/>
  <c r="BO560"/>
  <c r="BO561"/>
  <c r="BO562"/>
  <c r="BO563"/>
  <c r="BO564"/>
  <c r="BO565"/>
  <c r="BO566"/>
  <c r="BO567"/>
  <c r="BO568"/>
  <c r="BO569"/>
  <c r="BO570"/>
  <c r="BO571"/>
  <c r="BO572"/>
  <c r="BO573"/>
  <c r="BO574"/>
  <c r="BO575"/>
  <c r="BO576"/>
  <c r="BO577"/>
  <c r="BO578"/>
  <c r="BO579"/>
  <c r="BO580"/>
  <c r="BO581"/>
  <c r="BO582"/>
  <c r="BO583"/>
  <c r="BO584"/>
  <c r="BO585"/>
  <c r="BO586"/>
  <c r="BO587"/>
  <c r="BO588"/>
  <c r="BO589"/>
  <c r="BO590"/>
  <c r="BO591"/>
  <c r="BO592"/>
  <c r="BO593"/>
  <c r="BO594"/>
  <c r="BO595"/>
  <c r="BO596"/>
  <c r="BO597"/>
  <c r="BO598"/>
  <c r="BO599"/>
  <c r="BO600"/>
  <c r="BO601"/>
  <c r="BO602"/>
  <c r="BO603"/>
  <c r="BO604"/>
  <c r="BO605"/>
  <c r="BO606"/>
  <c r="BO607"/>
  <c r="BO608"/>
  <c r="BO609"/>
  <c r="BO610"/>
  <c r="BO611"/>
  <c r="BO612"/>
  <c r="BO613"/>
  <c r="BO614"/>
  <c r="BO615"/>
  <c r="BO616"/>
  <c r="BO617"/>
  <c r="BO618"/>
  <c r="BO619"/>
  <c r="BO620"/>
  <c r="BO621"/>
  <c r="BO622"/>
  <c r="BO623"/>
  <c r="BO624"/>
  <c r="BO625"/>
  <c r="BO626"/>
  <c r="BO627"/>
  <c r="BO628"/>
  <c r="BO629"/>
  <c r="BO630"/>
  <c r="BO631"/>
  <c r="BO632"/>
  <c r="BO633"/>
  <c r="BO634"/>
  <c r="BO635"/>
  <c r="BO636"/>
  <c r="BO637"/>
  <c r="BO638"/>
  <c r="BO639"/>
  <c r="BO640"/>
  <c r="BO641"/>
  <c r="BO642"/>
  <c r="BO643"/>
  <c r="BO644"/>
  <c r="BO645"/>
  <c r="BO646"/>
  <c r="BO647"/>
  <c r="BO648"/>
  <c r="BO649"/>
  <c r="BO650"/>
  <c r="BO651"/>
  <c r="BO652"/>
  <c r="BO653"/>
  <c r="BO654"/>
  <c r="BO655"/>
  <c r="BO656"/>
  <c r="BO657"/>
  <c r="BO658"/>
  <c r="BO659"/>
  <c r="BO660"/>
  <c r="BO661"/>
  <c r="BO662"/>
  <c r="BO663"/>
  <c r="BO664"/>
  <c r="BO665"/>
  <c r="BO666"/>
  <c r="BO667"/>
  <c r="BO668"/>
  <c r="BO669"/>
  <c r="BO670"/>
  <c r="BO671"/>
  <c r="BO672"/>
  <c r="BO673"/>
  <c r="BO674"/>
  <c r="BO675"/>
  <c r="BO676"/>
  <c r="BO677"/>
  <c r="BO678"/>
  <c r="BO679"/>
  <c r="BO680"/>
  <c r="BO681"/>
  <c r="BO682"/>
  <c r="BO683"/>
  <c r="BO684"/>
  <c r="BO685"/>
  <c r="BO686"/>
  <c r="BO687"/>
  <c r="BO688"/>
  <c r="BO689"/>
  <c r="BO690"/>
  <c r="BO691"/>
  <c r="BO692"/>
  <c r="BO693"/>
  <c r="BO694"/>
  <c r="BO695"/>
  <c r="BO696"/>
  <c r="BO697"/>
  <c r="BO698"/>
  <c r="BO699"/>
  <c r="BO700"/>
  <c r="BO701"/>
  <c r="BO702"/>
  <c r="BO703"/>
  <c r="BO704"/>
  <c r="BO705"/>
  <c r="BO706"/>
  <c r="BO707"/>
  <c r="BO708"/>
  <c r="BO709"/>
  <c r="BO710"/>
  <c r="BO711"/>
  <c r="BO712"/>
  <c r="BO713"/>
  <c r="BO714"/>
  <c r="BO715"/>
  <c r="BO716"/>
  <c r="BO717"/>
  <c r="BO718"/>
  <c r="BO719"/>
  <c r="BO720"/>
  <c r="BO721"/>
  <c r="BO722"/>
  <c r="BO723"/>
  <c r="BO724"/>
  <c r="BO725"/>
  <c r="BO726"/>
  <c r="BO727"/>
  <c r="BO728"/>
  <c r="BO729"/>
  <c r="BO730"/>
  <c r="BO731"/>
  <c r="BO732"/>
  <c r="BO733"/>
  <c r="BO734"/>
  <c r="BO735"/>
  <c r="BO736"/>
  <c r="BO737"/>
  <c r="BO738"/>
  <c r="BO739"/>
  <c r="BO740"/>
  <c r="BO741"/>
  <c r="BO742"/>
  <c r="BO743"/>
  <c r="BO744"/>
  <c r="BO745"/>
  <c r="BO746"/>
  <c r="BO747"/>
  <c r="BO748"/>
  <c r="BO749"/>
  <c r="BO750"/>
  <c r="BO751"/>
  <c r="BO752"/>
  <c r="BO753"/>
  <c r="BO754"/>
  <c r="BO755"/>
  <c r="BO756"/>
  <c r="BO757"/>
  <c r="BO758"/>
  <c r="BO759"/>
  <c r="BO760"/>
  <c r="BO761"/>
  <c r="BO762"/>
  <c r="BO763"/>
  <c r="BO764"/>
  <c r="BO765"/>
  <c r="BO766"/>
  <c r="BO767"/>
  <c r="BO768"/>
  <c r="BO769"/>
  <c r="BO770"/>
  <c r="BO771"/>
  <c r="BO772"/>
  <c r="BO773"/>
  <c r="BO774"/>
  <c r="BO775"/>
  <c r="BO776"/>
  <c r="BO777"/>
  <c r="BO778"/>
  <c r="BO779"/>
  <c r="BO780"/>
  <c r="BO781"/>
  <c r="BO782"/>
  <c r="BO783"/>
  <c r="BO784"/>
  <c r="BO785"/>
  <c r="BO786"/>
  <c r="BO787"/>
  <c r="BO788"/>
  <c r="BO789"/>
  <c r="BO790"/>
  <c r="BO791"/>
  <c r="BO792"/>
  <c r="BO793"/>
  <c r="BO794"/>
  <c r="BO795"/>
  <c r="BO796"/>
  <c r="BO797"/>
  <c r="BO798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5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783"/>
  <c r="BP784"/>
  <c r="BP785"/>
  <c r="BP786"/>
  <c r="BP787"/>
  <c r="BP788"/>
  <c r="BP789"/>
  <c r="BP790"/>
  <c r="BP791"/>
  <c r="BP792"/>
  <c r="BP793"/>
  <c r="BP794"/>
  <c r="BP795"/>
  <c r="BP796"/>
  <c r="BP797"/>
  <c r="BP798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223"/>
  <c r="BQ224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425"/>
  <c r="BQ426"/>
  <c r="BQ427"/>
  <c r="BQ428"/>
  <c r="BQ429"/>
  <c r="BQ430"/>
  <c r="BQ431"/>
  <c r="BQ432"/>
  <c r="BQ433"/>
  <c r="BQ434"/>
  <c r="BQ435"/>
  <c r="BQ436"/>
  <c r="BQ437"/>
  <c r="BQ438"/>
  <c r="BQ439"/>
  <c r="BQ440"/>
  <c r="BQ441"/>
  <c r="BQ442"/>
  <c r="BQ443"/>
  <c r="BQ444"/>
  <c r="BQ445"/>
  <c r="BQ446"/>
  <c r="BQ447"/>
  <c r="BQ448"/>
  <c r="BQ449"/>
  <c r="BQ450"/>
  <c r="BQ451"/>
  <c r="BQ452"/>
  <c r="BQ453"/>
  <c r="BQ454"/>
  <c r="BQ455"/>
  <c r="BQ456"/>
  <c r="BQ457"/>
  <c r="BQ458"/>
  <c r="BQ459"/>
  <c r="BQ460"/>
  <c r="BQ461"/>
  <c r="BQ462"/>
  <c r="BQ463"/>
  <c r="BQ464"/>
  <c r="BQ465"/>
  <c r="BQ466"/>
  <c r="BQ467"/>
  <c r="BQ468"/>
  <c r="BQ469"/>
  <c r="BQ470"/>
  <c r="BQ471"/>
  <c r="BQ472"/>
  <c r="BQ473"/>
  <c r="BQ474"/>
  <c r="BQ475"/>
  <c r="BQ476"/>
  <c r="BQ477"/>
  <c r="BQ478"/>
  <c r="BQ479"/>
  <c r="BQ480"/>
  <c r="BQ481"/>
  <c r="BQ482"/>
  <c r="BQ483"/>
  <c r="BQ484"/>
  <c r="BQ485"/>
  <c r="BQ486"/>
  <c r="BQ487"/>
  <c r="BQ488"/>
  <c r="BQ489"/>
  <c r="BQ490"/>
  <c r="BQ491"/>
  <c r="BQ492"/>
  <c r="BQ493"/>
  <c r="BQ494"/>
  <c r="BQ495"/>
  <c r="BQ496"/>
  <c r="BQ497"/>
  <c r="BQ498"/>
  <c r="BQ499"/>
  <c r="BQ500"/>
  <c r="BQ501"/>
  <c r="BQ502"/>
  <c r="BQ503"/>
  <c r="BQ504"/>
  <c r="BQ505"/>
  <c r="BQ506"/>
  <c r="BQ507"/>
  <c r="BQ508"/>
  <c r="BQ509"/>
  <c r="BQ510"/>
  <c r="BQ511"/>
  <c r="BQ512"/>
  <c r="BQ513"/>
  <c r="BQ514"/>
  <c r="BQ515"/>
  <c r="BQ516"/>
  <c r="BQ517"/>
  <c r="BQ518"/>
  <c r="BQ519"/>
  <c r="BQ520"/>
  <c r="BQ521"/>
  <c r="BQ522"/>
  <c r="BQ523"/>
  <c r="BQ524"/>
  <c r="BQ525"/>
  <c r="BQ526"/>
  <c r="BQ527"/>
  <c r="BQ528"/>
  <c r="BQ529"/>
  <c r="BQ530"/>
  <c r="BQ531"/>
  <c r="BQ532"/>
  <c r="BQ533"/>
  <c r="BQ534"/>
  <c r="BQ535"/>
  <c r="BQ536"/>
  <c r="BQ537"/>
  <c r="BQ538"/>
  <c r="BQ539"/>
  <c r="BQ540"/>
  <c r="BQ541"/>
  <c r="BQ542"/>
  <c r="BQ543"/>
  <c r="BQ544"/>
  <c r="BQ545"/>
  <c r="BQ546"/>
  <c r="BQ547"/>
  <c r="BQ548"/>
  <c r="BQ549"/>
  <c r="BQ550"/>
  <c r="BQ551"/>
  <c r="BQ552"/>
  <c r="BQ553"/>
  <c r="BQ554"/>
  <c r="BQ555"/>
  <c r="BQ556"/>
  <c r="BQ557"/>
  <c r="BQ558"/>
  <c r="BQ559"/>
  <c r="BQ560"/>
  <c r="BQ561"/>
  <c r="BQ562"/>
  <c r="BQ563"/>
  <c r="BQ564"/>
  <c r="BQ565"/>
  <c r="BQ566"/>
  <c r="BQ567"/>
  <c r="BQ568"/>
  <c r="BQ569"/>
  <c r="BQ570"/>
  <c r="BQ571"/>
  <c r="BQ572"/>
  <c r="BQ573"/>
  <c r="BQ574"/>
  <c r="BQ575"/>
  <c r="BQ576"/>
  <c r="BQ577"/>
  <c r="BQ578"/>
  <c r="BQ579"/>
  <c r="BQ580"/>
  <c r="BQ581"/>
  <c r="BQ582"/>
  <c r="BQ583"/>
  <c r="BQ584"/>
  <c r="BQ585"/>
  <c r="BQ586"/>
  <c r="BQ587"/>
  <c r="BQ588"/>
  <c r="BQ589"/>
  <c r="BQ590"/>
  <c r="BQ591"/>
  <c r="BQ592"/>
  <c r="BQ593"/>
  <c r="BQ594"/>
  <c r="BQ595"/>
  <c r="BQ596"/>
  <c r="BQ597"/>
  <c r="BQ598"/>
  <c r="BQ599"/>
  <c r="BQ600"/>
  <c r="BQ601"/>
  <c r="BQ602"/>
  <c r="BQ603"/>
  <c r="BQ604"/>
  <c r="BQ605"/>
  <c r="BQ606"/>
  <c r="BQ607"/>
  <c r="BQ608"/>
  <c r="BQ609"/>
  <c r="BQ610"/>
  <c r="BQ611"/>
  <c r="BQ612"/>
  <c r="BQ613"/>
  <c r="BQ614"/>
  <c r="BQ615"/>
  <c r="BQ616"/>
  <c r="BQ617"/>
  <c r="BQ618"/>
  <c r="BQ619"/>
  <c r="BQ620"/>
  <c r="BQ621"/>
  <c r="BQ622"/>
  <c r="BQ623"/>
  <c r="BQ624"/>
  <c r="BQ625"/>
  <c r="BQ626"/>
  <c r="BQ627"/>
  <c r="BQ628"/>
  <c r="BQ629"/>
  <c r="BQ630"/>
  <c r="BQ631"/>
  <c r="BQ632"/>
  <c r="BQ633"/>
  <c r="BQ634"/>
  <c r="BQ635"/>
  <c r="BQ636"/>
  <c r="BQ637"/>
  <c r="BQ638"/>
  <c r="BQ639"/>
  <c r="BQ640"/>
  <c r="BQ641"/>
  <c r="BQ642"/>
  <c r="BQ643"/>
  <c r="BQ644"/>
  <c r="BQ645"/>
  <c r="BQ646"/>
  <c r="BQ647"/>
  <c r="BQ648"/>
  <c r="BQ649"/>
  <c r="BQ650"/>
  <c r="BQ651"/>
  <c r="BQ652"/>
  <c r="BQ653"/>
  <c r="BQ654"/>
  <c r="BQ655"/>
  <c r="BQ656"/>
  <c r="BQ657"/>
  <c r="BQ658"/>
  <c r="BQ659"/>
  <c r="BQ660"/>
  <c r="BQ661"/>
  <c r="BQ662"/>
  <c r="BQ663"/>
  <c r="BQ664"/>
  <c r="BQ665"/>
  <c r="BQ666"/>
  <c r="BQ667"/>
  <c r="BQ668"/>
  <c r="BQ669"/>
  <c r="BQ670"/>
  <c r="BQ671"/>
  <c r="BQ672"/>
  <c r="BQ673"/>
  <c r="BQ674"/>
  <c r="BQ675"/>
  <c r="BQ676"/>
  <c r="BQ677"/>
  <c r="BQ678"/>
  <c r="BQ679"/>
  <c r="BQ680"/>
  <c r="BQ681"/>
  <c r="BQ682"/>
  <c r="BQ683"/>
  <c r="BQ684"/>
  <c r="BQ685"/>
  <c r="BQ686"/>
  <c r="BQ687"/>
  <c r="BQ688"/>
  <c r="BQ689"/>
  <c r="BQ690"/>
  <c r="BQ691"/>
  <c r="BQ692"/>
  <c r="BQ693"/>
  <c r="BQ694"/>
  <c r="BQ695"/>
  <c r="BQ696"/>
  <c r="BQ697"/>
  <c r="BQ698"/>
  <c r="BQ699"/>
  <c r="BQ700"/>
  <c r="BQ701"/>
  <c r="BQ702"/>
  <c r="BQ703"/>
  <c r="BQ704"/>
  <c r="BQ705"/>
  <c r="BQ706"/>
  <c r="BQ707"/>
  <c r="BQ708"/>
  <c r="BQ709"/>
  <c r="BQ710"/>
  <c r="BQ711"/>
  <c r="BQ712"/>
  <c r="BQ713"/>
  <c r="BQ714"/>
  <c r="BQ715"/>
  <c r="BQ716"/>
  <c r="BQ717"/>
  <c r="BQ718"/>
  <c r="BQ719"/>
  <c r="BQ720"/>
  <c r="BQ721"/>
  <c r="BQ722"/>
  <c r="BQ723"/>
  <c r="BQ724"/>
  <c r="BQ725"/>
  <c r="BQ726"/>
  <c r="BQ727"/>
  <c r="BQ728"/>
  <c r="BQ729"/>
  <c r="BQ730"/>
  <c r="BQ731"/>
  <c r="BQ732"/>
  <c r="BQ733"/>
  <c r="BQ734"/>
  <c r="BQ735"/>
  <c r="BQ736"/>
  <c r="BQ737"/>
  <c r="BQ738"/>
  <c r="BQ739"/>
  <c r="BQ740"/>
  <c r="BQ741"/>
  <c r="BQ742"/>
  <c r="BQ743"/>
  <c r="BQ744"/>
  <c r="BQ745"/>
  <c r="BQ746"/>
  <c r="BQ747"/>
  <c r="BQ748"/>
  <c r="BQ749"/>
  <c r="BQ750"/>
  <c r="BQ751"/>
  <c r="BQ752"/>
  <c r="BQ753"/>
  <c r="BQ754"/>
  <c r="BQ755"/>
  <c r="BQ756"/>
  <c r="BQ757"/>
  <c r="BQ758"/>
  <c r="BQ759"/>
  <c r="BQ760"/>
  <c r="BQ761"/>
  <c r="BQ762"/>
  <c r="BQ763"/>
  <c r="BQ764"/>
  <c r="BQ765"/>
  <c r="BQ766"/>
  <c r="BQ767"/>
  <c r="BQ768"/>
  <c r="BQ769"/>
  <c r="BQ770"/>
  <c r="BQ771"/>
  <c r="BQ772"/>
  <c r="BQ773"/>
  <c r="BQ774"/>
  <c r="BQ775"/>
  <c r="BQ776"/>
  <c r="BQ777"/>
  <c r="BQ778"/>
  <c r="BQ779"/>
  <c r="BQ780"/>
  <c r="BQ781"/>
  <c r="BQ782"/>
  <c r="BQ783"/>
  <c r="BQ784"/>
  <c r="BQ785"/>
  <c r="BQ786"/>
  <c r="BQ787"/>
  <c r="BQ788"/>
  <c r="BQ789"/>
  <c r="BQ790"/>
  <c r="BQ791"/>
  <c r="BQ792"/>
  <c r="BQ793"/>
  <c r="BQ794"/>
  <c r="BQ795"/>
  <c r="BQ796"/>
  <c r="BQ797"/>
  <c r="BQ798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3"/>
  <c r="BR224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425"/>
  <c r="BR426"/>
  <c r="BR427"/>
  <c r="BR428"/>
  <c r="BR429"/>
  <c r="BR430"/>
  <c r="BR431"/>
  <c r="BR432"/>
  <c r="BR433"/>
  <c r="BR434"/>
  <c r="BR435"/>
  <c r="BR436"/>
  <c r="BR437"/>
  <c r="BR438"/>
  <c r="BR439"/>
  <c r="BR440"/>
  <c r="BR441"/>
  <c r="BR442"/>
  <c r="BR443"/>
  <c r="BR444"/>
  <c r="BR445"/>
  <c r="BR446"/>
  <c r="BR447"/>
  <c r="BR448"/>
  <c r="BR449"/>
  <c r="BR450"/>
  <c r="BR451"/>
  <c r="BR452"/>
  <c r="BR453"/>
  <c r="BR454"/>
  <c r="BR455"/>
  <c r="BR456"/>
  <c r="BR457"/>
  <c r="BR458"/>
  <c r="BR459"/>
  <c r="BR460"/>
  <c r="BR461"/>
  <c r="BR462"/>
  <c r="BR463"/>
  <c r="BR464"/>
  <c r="BR465"/>
  <c r="BR466"/>
  <c r="BR467"/>
  <c r="BR468"/>
  <c r="BR469"/>
  <c r="BR470"/>
  <c r="BR471"/>
  <c r="BR472"/>
  <c r="BR473"/>
  <c r="BR474"/>
  <c r="BR475"/>
  <c r="BR476"/>
  <c r="BR477"/>
  <c r="BR478"/>
  <c r="BR479"/>
  <c r="BR480"/>
  <c r="BR481"/>
  <c r="BR482"/>
  <c r="BR483"/>
  <c r="BR484"/>
  <c r="BR485"/>
  <c r="BR486"/>
  <c r="BR487"/>
  <c r="BR488"/>
  <c r="BR489"/>
  <c r="BR490"/>
  <c r="BR491"/>
  <c r="BR492"/>
  <c r="BR493"/>
  <c r="BR494"/>
  <c r="BR495"/>
  <c r="BR496"/>
  <c r="BR497"/>
  <c r="BR498"/>
  <c r="BR499"/>
  <c r="BR500"/>
  <c r="BR501"/>
  <c r="BR502"/>
  <c r="BR503"/>
  <c r="BR504"/>
  <c r="BR505"/>
  <c r="BR506"/>
  <c r="BR507"/>
  <c r="BR508"/>
  <c r="BR509"/>
  <c r="BR510"/>
  <c r="BR511"/>
  <c r="BR512"/>
  <c r="BR513"/>
  <c r="BR514"/>
  <c r="BR515"/>
  <c r="BR516"/>
  <c r="BR517"/>
  <c r="BR518"/>
  <c r="BR519"/>
  <c r="BR520"/>
  <c r="BR521"/>
  <c r="BR522"/>
  <c r="BR523"/>
  <c r="BR524"/>
  <c r="BR525"/>
  <c r="BR526"/>
  <c r="BR527"/>
  <c r="BR528"/>
  <c r="BR529"/>
  <c r="BR530"/>
  <c r="BR531"/>
  <c r="BR532"/>
  <c r="BR533"/>
  <c r="BR534"/>
  <c r="BR535"/>
  <c r="BR536"/>
  <c r="BR537"/>
  <c r="BR538"/>
  <c r="BR539"/>
  <c r="BR540"/>
  <c r="BR541"/>
  <c r="BR542"/>
  <c r="BR543"/>
  <c r="BR544"/>
  <c r="BR545"/>
  <c r="BR546"/>
  <c r="BR547"/>
  <c r="BR548"/>
  <c r="BR549"/>
  <c r="BR550"/>
  <c r="BR551"/>
  <c r="BR552"/>
  <c r="BR553"/>
  <c r="BR554"/>
  <c r="BR555"/>
  <c r="BR556"/>
  <c r="BR557"/>
  <c r="BR558"/>
  <c r="BR559"/>
  <c r="BR560"/>
  <c r="BR561"/>
  <c r="BR562"/>
  <c r="BR563"/>
  <c r="BR564"/>
  <c r="BR565"/>
  <c r="BR566"/>
  <c r="BR567"/>
  <c r="BR568"/>
  <c r="BR569"/>
  <c r="BR570"/>
  <c r="BR571"/>
  <c r="BR572"/>
  <c r="BR573"/>
  <c r="BR574"/>
  <c r="BR575"/>
  <c r="BR576"/>
  <c r="BR577"/>
  <c r="BR578"/>
  <c r="BR579"/>
  <c r="BR580"/>
  <c r="BR581"/>
  <c r="BR582"/>
  <c r="BR583"/>
  <c r="BR584"/>
  <c r="BR585"/>
  <c r="BR586"/>
  <c r="BR587"/>
  <c r="BR588"/>
  <c r="BR589"/>
  <c r="BR590"/>
  <c r="BR591"/>
  <c r="BR592"/>
  <c r="BR593"/>
  <c r="BR594"/>
  <c r="BR595"/>
  <c r="BR596"/>
  <c r="BR597"/>
  <c r="BR598"/>
  <c r="BR599"/>
  <c r="BR600"/>
  <c r="BR601"/>
  <c r="BR602"/>
  <c r="BR603"/>
  <c r="BR604"/>
  <c r="BR605"/>
  <c r="BR606"/>
  <c r="BR607"/>
  <c r="BR608"/>
  <c r="BR609"/>
  <c r="BR610"/>
  <c r="BR611"/>
  <c r="BR612"/>
  <c r="BR613"/>
  <c r="BR614"/>
  <c r="BR615"/>
  <c r="BR616"/>
  <c r="BR617"/>
  <c r="BR618"/>
  <c r="BR619"/>
  <c r="BR620"/>
  <c r="BR621"/>
  <c r="BR622"/>
  <c r="BR623"/>
  <c r="BR624"/>
  <c r="BR625"/>
  <c r="BR626"/>
  <c r="BR627"/>
  <c r="BR628"/>
  <c r="BR629"/>
  <c r="BR630"/>
  <c r="BR631"/>
  <c r="BR632"/>
  <c r="BR633"/>
  <c r="BR634"/>
  <c r="BR635"/>
  <c r="BR636"/>
  <c r="BR637"/>
  <c r="BR638"/>
  <c r="BR639"/>
  <c r="BR640"/>
  <c r="BR641"/>
  <c r="BR642"/>
  <c r="BR643"/>
  <c r="BR644"/>
  <c r="BR645"/>
  <c r="BR646"/>
  <c r="BR647"/>
  <c r="BR648"/>
  <c r="BR649"/>
  <c r="BR650"/>
  <c r="BR651"/>
  <c r="BR652"/>
  <c r="BR653"/>
  <c r="BR654"/>
  <c r="BR655"/>
  <c r="BR656"/>
  <c r="BR657"/>
  <c r="BR658"/>
  <c r="BR659"/>
  <c r="BR660"/>
  <c r="BR661"/>
  <c r="BR662"/>
  <c r="BR663"/>
  <c r="BR664"/>
  <c r="BR665"/>
  <c r="BR666"/>
  <c r="BR667"/>
  <c r="BR668"/>
  <c r="BR669"/>
  <c r="BR670"/>
  <c r="BR671"/>
  <c r="BR672"/>
  <c r="BR673"/>
  <c r="BR674"/>
  <c r="BR675"/>
  <c r="BR676"/>
  <c r="BR677"/>
  <c r="BR678"/>
  <c r="BR679"/>
  <c r="BR680"/>
  <c r="BR681"/>
  <c r="BR682"/>
  <c r="BR683"/>
  <c r="BR684"/>
  <c r="BR685"/>
  <c r="BR686"/>
  <c r="BR687"/>
  <c r="BR688"/>
  <c r="BR689"/>
  <c r="BR690"/>
  <c r="BR691"/>
  <c r="BR692"/>
  <c r="BR693"/>
  <c r="BR694"/>
  <c r="BR695"/>
  <c r="BR696"/>
  <c r="BR697"/>
  <c r="BR698"/>
  <c r="BR699"/>
  <c r="BR700"/>
  <c r="BR701"/>
  <c r="BR702"/>
  <c r="BR703"/>
  <c r="BR704"/>
  <c r="BR705"/>
  <c r="BR706"/>
  <c r="BR707"/>
  <c r="BR708"/>
  <c r="BR709"/>
  <c r="BR710"/>
  <c r="BR711"/>
  <c r="BR712"/>
  <c r="BR713"/>
  <c r="BR714"/>
  <c r="BR715"/>
  <c r="BR716"/>
  <c r="BR717"/>
  <c r="BR718"/>
  <c r="BR719"/>
  <c r="BR720"/>
  <c r="BR721"/>
  <c r="BR722"/>
  <c r="BR723"/>
  <c r="BR724"/>
  <c r="BR725"/>
  <c r="BR726"/>
  <c r="BR727"/>
  <c r="BR728"/>
  <c r="BR729"/>
  <c r="BR730"/>
  <c r="BR731"/>
  <c r="BR732"/>
  <c r="BR733"/>
  <c r="BR734"/>
  <c r="BR735"/>
  <c r="BR736"/>
  <c r="BR737"/>
  <c r="BR738"/>
  <c r="BR739"/>
  <c r="BR740"/>
  <c r="BR741"/>
  <c r="BR742"/>
  <c r="BR743"/>
  <c r="BR744"/>
  <c r="BR745"/>
  <c r="BR746"/>
  <c r="BR747"/>
  <c r="BR748"/>
  <c r="BR749"/>
  <c r="BR750"/>
  <c r="BR751"/>
  <c r="BR752"/>
  <c r="BR753"/>
  <c r="BR754"/>
  <c r="BR755"/>
  <c r="BR756"/>
  <c r="BR757"/>
  <c r="BR758"/>
  <c r="BR759"/>
  <c r="BR760"/>
  <c r="BR761"/>
  <c r="BR762"/>
  <c r="BR763"/>
  <c r="BR764"/>
  <c r="BR765"/>
  <c r="BR766"/>
  <c r="BR767"/>
  <c r="BR768"/>
  <c r="BR769"/>
  <c r="BR770"/>
  <c r="BR771"/>
  <c r="BR772"/>
  <c r="BR773"/>
  <c r="BR774"/>
  <c r="BR775"/>
  <c r="BR776"/>
  <c r="BR777"/>
  <c r="BR778"/>
  <c r="BR779"/>
  <c r="BR780"/>
  <c r="BR781"/>
  <c r="BR782"/>
  <c r="BR783"/>
  <c r="BR784"/>
  <c r="BR785"/>
  <c r="BR786"/>
  <c r="BR787"/>
  <c r="BR788"/>
  <c r="BR789"/>
  <c r="BR790"/>
  <c r="BR791"/>
  <c r="BR792"/>
  <c r="BR793"/>
  <c r="BR794"/>
  <c r="BR795"/>
  <c r="BR796"/>
  <c r="BR797"/>
  <c r="BR798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425"/>
  <c r="BS426"/>
  <c r="BS427"/>
  <c r="BS428"/>
  <c r="BS429"/>
  <c r="BS430"/>
  <c r="BS431"/>
  <c r="BS432"/>
  <c r="BS433"/>
  <c r="BS434"/>
  <c r="BS435"/>
  <c r="BS436"/>
  <c r="BS437"/>
  <c r="BS438"/>
  <c r="BS439"/>
  <c r="BS440"/>
  <c r="BS441"/>
  <c r="BS442"/>
  <c r="BS443"/>
  <c r="BS444"/>
  <c r="BS445"/>
  <c r="BS446"/>
  <c r="BS447"/>
  <c r="BS448"/>
  <c r="BS449"/>
  <c r="BS450"/>
  <c r="BS451"/>
  <c r="BS452"/>
  <c r="BS453"/>
  <c r="BS454"/>
  <c r="BS455"/>
  <c r="BS456"/>
  <c r="BS457"/>
  <c r="BS458"/>
  <c r="BS459"/>
  <c r="BS460"/>
  <c r="BS461"/>
  <c r="BS462"/>
  <c r="BS463"/>
  <c r="BS464"/>
  <c r="BS465"/>
  <c r="BS466"/>
  <c r="BS467"/>
  <c r="BS468"/>
  <c r="BS469"/>
  <c r="BS470"/>
  <c r="BS471"/>
  <c r="BS472"/>
  <c r="BS473"/>
  <c r="BS474"/>
  <c r="BS475"/>
  <c r="BS476"/>
  <c r="BS477"/>
  <c r="BS478"/>
  <c r="BS479"/>
  <c r="BS480"/>
  <c r="BS481"/>
  <c r="BS482"/>
  <c r="BS483"/>
  <c r="BS484"/>
  <c r="BS485"/>
  <c r="BS486"/>
  <c r="BS487"/>
  <c r="BS488"/>
  <c r="BS489"/>
  <c r="BS490"/>
  <c r="BS491"/>
  <c r="BS492"/>
  <c r="BS493"/>
  <c r="BS494"/>
  <c r="BS495"/>
  <c r="BS496"/>
  <c r="BS497"/>
  <c r="BS498"/>
  <c r="BS499"/>
  <c r="BS500"/>
  <c r="BS501"/>
  <c r="BS502"/>
  <c r="BS503"/>
  <c r="BS504"/>
  <c r="BS505"/>
  <c r="BS506"/>
  <c r="BS507"/>
  <c r="BS508"/>
  <c r="BS509"/>
  <c r="BS510"/>
  <c r="BS511"/>
  <c r="BS512"/>
  <c r="BS513"/>
  <c r="BS514"/>
  <c r="BS515"/>
  <c r="BS516"/>
  <c r="BS517"/>
  <c r="BS518"/>
  <c r="BS519"/>
  <c r="BS520"/>
  <c r="BS521"/>
  <c r="BS522"/>
  <c r="BS523"/>
  <c r="BS524"/>
  <c r="BS525"/>
  <c r="BS526"/>
  <c r="BS527"/>
  <c r="BS528"/>
  <c r="BS529"/>
  <c r="BS530"/>
  <c r="BS531"/>
  <c r="BS532"/>
  <c r="BS533"/>
  <c r="BS534"/>
  <c r="BS535"/>
  <c r="BS536"/>
  <c r="BS537"/>
  <c r="BS538"/>
  <c r="BS539"/>
  <c r="BS540"/>
  <c r="BS541"/>
  <c r="BS542"/>
  <c r="BS543"/>
  <c r="BS544"/>
  <c r="BS545"/>
  <c r="BS546"/>
  <c r="BS547"/>
  <c r="BS548"/>
  <c r="BS549"/>
  <c r="BS550"/>
  <c r="BS551"/>
  <c r="BS552"/>
  <c r="BS553"/>
  <c r="BS554"/>
  <c r="BS555"/>
  <c r="BS556"/>
  <c r="BS557"/>
  <c r="BS558"/>
  <c r="BS559"/>
  <c r="BS560"/>
  <c r="BS561"/>
  <c r="BS562"/>
  <c r="BS563"/>
  <c r="BS564"/>
  <c r="BS565"/>
  <c r="BS566"/>
  <c r="BS567"/>
  <c r="BS568"/>
  <c r="BS569"/>
  <c r="BS570"/>
  <c r="BS571"/>
  <c r="BS572"/>
  <c r="BS573"/>
  <c r="BS574"/>
  <c r="BS575"/>
  <c r="BS576"/>
  <c r="BS577"/>
  <c r="BS578"/>
  <c r="BS579"/>
  <c r="BS580"/>
  <c r="BS581"/>
  <c r="BS582"/>
  <c r="BS583"/>
  <c r="BS584"/>
  <c r="BS585"/>
  <c r="BS586"/>
  <c r="BS587"/>
  <c r="BS588"/>
  <c r="BS589"/>
  <c r="BS590"/>
  <c r="BS591"/>
  <c r="BS592"/>
  <c r="BS593"/>
  <c r="BS594"/>
  <c r="BS595"/>
  <c r="BS596"/>
  <c r="BS597"/>
  <c r="BS598"/>
  <c r="BS599"/>
  <c r="BS600"/>
  <c r="BS601"/>
  <c r="BS602"/>
  <c r="BS603"/>
  <c r="BS604"/>
  <c r="BS605"/>
  <c r="BS606"/>
  <c r="BS607"/>
  <c r="BS608"/>
  <c r="BS609"/>
  <c r="BS610"/>
  <c r="BS611"/>
  <c r="BS612"/>
  <c r="BS613"/>
  <c r="BS614"/>
  <c r="BS615"/>
  <c r="BS616"/>
  <c r="BS617"/>
  <c r="BS618"/>
  <c r="BS619"/>
  <c r="BS620"/>
  <c r="BS621"/>
  <c r="BS622"/>
  <c r="BS623"/>
  <c r="BS624"/>
  <c r="BS625"/>
  <c r="BS626"/>
  <c r="BS627"/>
  <c r="BS628"/>
  <c r="BS629"/>
  <c r="BS630"/>
  <c r="BS631"/>
  <c r="BS632"/>
  <c r="BS633"/>
  <c r="BS634"/>
  <c r="BS635"/>
  <c r="BS636"/>
  <c r="BS637"/>
  <c r="BS638"/>
  <c r="BS639"/>
  <c r="BS640"/>
  <c r="BS641"/>
  <c r="BS642"/>
  <c r="BS643"/>
  <c r="BS644"/>
  <c r="BS645"/>
  <c r="BS646"/>
  <c r="BS647"/>
  <c r="BS648"/>
  <c r="BS649"/>
  <c r="BS650"/>
  <c r="BS651"/>
  <c r="BS652"/>
  <c r="BS653"/>
  <c r="BS654"/>
  <c r="BS655"/>
  <c r="BS656"/>
  <c r="BS657"/>
  <c r="BS658"/>
  <c r="BS659"/>
  <c r="BS660"/>
  <c r="BS661"/>
  <c r="BS662"/>
  <c r="BS663"/>
  <c r="BS664"/>
  <c r="BS665"/>
  <c r="BS666"/>
  <c r="BS667"/>
  <c r="BS668"/>
  <c r="BS669"/>
  <c r="BS670"/>
  <c r="BS671"/>
  <c r="BS672"/>
  <c r="BS673"/>
  <c r="BS674"/>
  <c r="BS675"/>
  <c r="BS676"/>
  <c r="BS677"/>
  <c r="BS678"/>
  <c r="BS679"/>
  <c r="BS680"/>
  <c r="BS681"/>
  <c r="BS682"/>
  <c r="BS683"/>
  <c r="BS684"/>
  <c r="BS685"/>
  <c r="BS686"/>
  <c r="BS687"/>
  <c r="BS688"/>
  <c r="BS689"/>
  <c r="BS690"/>
  <c r="BS691"/>
  <c r="BS692"/>
  <c r="BS693"/>
  <c r="BS694"/>
  <c r="BS695"/>
  <c r="BS696"/>
  <c r="BS697"/>
  <c r="BS698"/>
  <c r="BS699"/>
  <c r="BS700"/>
  <c r="BS701"/>
  <c r="BS702"/>
  <c r="BS703"/>
  <c r="BS704"/>
  <c r="BS705"/>
  <c r="BS706"/>
  <c r="BS707"/>
  <c r="BS708"/>
  <c r="BS709"/>
  <c r="BS710"/>
  <c r="BS711"/>
  <c r="BS712"/>
  <c r="BS713"/>
  <c r="BS714"/>
  <c r="BS715"/>
  <c r="BS716"/>
  <c r="BS717"/>
  <c r="BS718"/>
  <c r="BS719"/>
  <c r="BS720"/>
  <c r="BS721"/>
  <c r="BS722"/>
  <c r="BS723"/>
  <c r="BS724"/>
  <c r="BS725"/>
  <c r="BS726"/>
  <c r="BS727"/>
  <c r="BS728"/>
  <c r="BS729"/>
  <c r="BS730"/>
  <c r="BS731"/>
  <c r="BS732"/>
  <c r="BS733"/>
  <c r="BS734"/>
  <c r="BS735"/>
  <c r="BS736"/>
  <c r="BS737"/>
  <c r="BS738"/>
  <c r="BS739"/>
  <c r="BS740"/>
  <c r="BS741"/>
  <c r="BS742"/>
  <c r="BS743"/>
  <c r="BS744"/>
  <c r="BS745"/>
  <c r="BS746"/>
  <c r="BS747"/>
  <c r="BS748"/>
  <c r="BS749"/>
  <c r="BS750"/>
  <c r="BS751"/>
  <c r="BS752"/>
  <c r="BS753"/>
  <c r="BS754"/>
  <c r="BS755"/>
  <c r="BS756"/>
  <c r="BS757"/>
  <c r="BS758"/>
  <c r="BS759"/>
  <c r="BS760"/>
  <c r="BS761"/>
  <c r="BS762"/>
  <c r="BS763"/>
  <c r="BS764"/>
  <c r="BS765"/>
  <c r="BS766"/>
  <c r="BS767"/>
  <c r="BS768"/>
  <c r="BS769"/>
  <c r="BS770"/>
  <c r="BS771"/>
  <c r="BS772"/>
  <c r="BS773"/>
  <c r="BS774"/>
  <c r="BS775"/>
  <c r="BS776"/>
  <c r="BS777"/>
  <c r="BS778"/>
  <c r="BS779"/>
  <c r="BS780"/>
  <c r="BS781"/>
  <c r="BS782"/>
  <c r="BS783"/>
  <c r="BS784"/>
  <c r="BS785"/>
  <c r="BS786"/>
  <c r="BS787"/>
  <c r="BS788"/>
  <c r="BS789"/>
  <c r="BS790"/>
  <c r="BS791"/>
  <c r="BS792"/>
  <c r="BS793"/>
  <c r="BS794"/>
  <c r="BS795"/>
  <c r="BS796"/>
  <c r="BS797"/>
  <c r="BS798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3"/>
  <c r="BT224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2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425"/>
  <c r="BT426"/>
  <c r="BT427"/>
  <c r="BT428"/>
  <c r="BT429"/>
  <c r="BT430"/>
  <c r="BT431"/>
  <c r="BT432"/>
  <c r="BT433"/>
  <c r="BT434"/>
  <c r="BT435"/>
  <c r="BT436"/>
  <c r="BT437"/>
  <c r="BT438"/>
  <c r="BT439"/>
  <c r="BT440"/>
  <c r="BT441"/>
  <c r="BT442"/>
  <c r="BT443"/>
  <c r="BT444"/>
  <c r="BT445"/>
  <c r="BT446"/>
  <c r="BT447"/>
  <c r="BT448"/>
  <c r="BT449"/>
  <c r="BT450"/>
  <c r="BT451"/>
  <c r="BT452"/>
  <c r="BT453"/>
  <c r="BT454"/>
  <c r="BT455"/>
  <c r="BT456"/>
  <c r="BT457"/>
  <c r="BT458"/>
  <c r="BT459"/>
  <c r="BT460"/>
  <c r="BT461"/>
  <c r="BT462"/>
  <c r="BT463"/>
  <c r="BT464"/>
  <c r="BT465"/>
  <c r="BT466"/>
  <c r="BT467"/>
  <c r="BT468"/>
  <c r="BT469"/>
  <c r="BT470"/>
  <c r="BT471"/>
  <c r="BT472"/>
  <c r="BT473"/>
  <c r="BT474"/>
  <c r="BT475"/>
  <c r="BT476"/>
  <c r="BT477"/>
  <c r="BT478"/>
  <c r="BT479"/>
  <c r="BT480"/>
  <c r="BT481"/>
  <c r="BT482"/>
  <c r="BT483"/>
  <c r="BT484"/>
  <c r="BT485"/>
  <c r="BT486"/>
  <c r="BT487"/>
  <c r="BT488"/>
  <c r="BT489"/>
  <c r="BT490"/>
  <c r="BT491"/>
  <c r="BT492"/>
  <c r="BT493"/>
  <c r="BT494"/>
  <c r="BT495"/>
  <c r="BT496"/>
  <c r="BT497"/>
  <c r="BT498"/>
  <c r="BT499"/>
  <c r="BT500"/>
  <c r="BT501"/>
  <c r="BT502"/>
  <c r="BT503"/>
  <c r="BT504"/>
  <c r="BT505"/>
  <c r="BT506"/>
  <c r="BT507"/>
  <c r="BT508"/>
  <c r="BT509"/>
  <c r="BT510"/>
  <c r="BT511"/>
  <c r="BT512"/>
  <c r="BT513"/>
  <c r="BT514"/>
  <c r="BT515"/>
  <c r="BT516"/>
  <c r="BT517"/>
  <c r="BT518"/>
  <c r="BT519"/>
  <c r="BT520"/>
  <c r="BT521"/>
  <c r="BT522"/>
  <c r="BT523"/>
  <c r="BT524"/>
  <c r="BT525"/>
  <c r="BT526"/>
  <c r="BT527"/>
  <c r="BT528"/>
  <c r="BT529"/>
  <c r="BT530"/>
  <c r="BT531"/>
  <c r="BT532"/>
  <c r="BT533"/>
  <c r="BT534"/>
  <c r="BT535"/>
  <c r="BT536"/>
  <c r="BT537"/>
  <c r="BT538"/>
  <c r="BT539"/>
  <c r="BT540"/>
  <c r="BT541"/>
  <c r="BT542"/>
  <c r="BT543"/>
  <c r="BT544"/>
  <c r="BT545"/>
  <c r="BT546"/>
  <c r="BT547"/>
  <c r="BT548"/>
  <c r="BT549"/>
  <c r="BT550"/>
  <c r="BT551"/>
  <c r="BT552"/>
  <c r="BT553"/>
  <c r="BT554"/>
  <c r="BT555"/>
  <c r="BT556"/>
  <c r="BT557"/>
  <c r="BT558"/>
  <c r="BT559"/>
  <c r="BT560"/>
  <c r="BT561"/>
  <c r="BT562"/>
  <c r="BT563"/>
  <c r="BT564"/>
  <c r="BT565"/>
  <c r="BT566"/>
  <c r="BT567"/>
  <c r="BT568"/>
  <c r="BT569"/>
  <c r="BT570"/>
  <c r="BT571"/>
  <c r="BT572"/>
  <c r="BT573"/>
  <c r="BT574"/>
  <c r="BT575"/>
  <c r="BT576"/>
  <c r="BT577"/>
  <c r="BT578"/>
  <c r="BT579"/>
  <c r="BT580"/>
  <c r="BT581"/>
  <c r="BT582"/>
  <c r="BT583"/>
  <c r="BT584"/>
  <c r="BT585"/>
  <c r="BT586"/>
  <c r="BT587"/>
  <c r="BT588"/>
  <c r="BT589"/>
  <c r="BT590"/>
  <c r="BT591"/>
  <c r="BT592"/>
  <c r="BT593"/>
  <c r="BT594"/>
  <c r="BT595"/>
  <c r="BT596"/>
  <c r="BT597"/>
  <c r="BT598"/>
  <c r="BT599"/>
  <c r="BT600"/>
  <c r="BT601"/>
  <c r="BT602"/>
  <c r="BT603"/>
  <c r="BT604"/>
  <c r="BT605"/>
  <c r="BT606"/>
  <c r="BT607"/>
  <c r="BT608"/>
  <c r="BT609"/>
  <c r="BT610"/>
  <c r="BT611"/>
  <c r="BT612"/>
  <c r="BT613"/>
  <c r="BT614"/>
  <c r="BT615"/>
  <c r="BT616"/>
  <c r="BT617"/>
  <c r="BT618"/>
  <c r="BT619"/>
  <c r="BT620"/>
  <c r="BT621"/>
  <c r="BT622"/>
  <c r="BT623"/>
  <c r="BT624"/>
  <c r="BT625"/>
  <c r="BT626"/>
  <c r="BT627"/>
  <c r="BT628"/>
  <c r="BT629"/>
  <c r="BT630"/>
  <c r="BT631"/>
  <c r="BT632"/>
  <c r="BT633"/>
  <c r="BT634"/>
  <c r="BT635"/>
  <c r="BT636"/>
  <c r="BT637"/>
  <c r="BT638"/>
  <c r="BT639"/>
  <c r="BT640"/>
  <c r="BT641"/>
  <c r="BT642"/>
  <c r="BT643"/>
  <c r="BT644"/>
  <c r="BT645"/>
  <c r="BT646"/>
  <c r="BT647"/>
  <c r="BT648"/>
  <c r="BT649"/>
  <c r="BT650"/>
  <c r="BT651"/>
  <c r="BT652"/>
  <c r="BT653"/>
  <c r="BT654"/>
  <c r="BT655"/>
  <c r="BT656"/>
  <c r="BT657"/>
  <c r="BT658"/>
  <c r="BT659"/>
  <c r="BT660"/>
  <c r="BT661"/>
  <c r="BT662"/>
  <c r="BT663"/>
  <c r="BT664"/>
  <c r="BT665"/>
  <c r="BT666"/>
  <c r="BT667"/>
  <c r="BT668"/>
  <c r="BT669"/>
  <c r="BT670"/>
  <c r="BT671"/>
  <c r="BT672"/>
  <c r="BT673"/>
  <c r="BT674"/>
  <c r="BT675"/>
  <c r="BT676"/>
  <c r="BT677"/>
  <c r="BT678"/>
  <c r="BT679"/>
  <c r="BT680"/>
  <c r="BT681"/>
  <c r="BT682"/>
  <c r="BT683"/>
  <c r="BT684"/>
  <c r="BT685"/>
  <c r="BT686"/>
  <c r="BT687"/>
  <c r="BT688"/>
  <c r="BT689"/>
  <c r="BT690"/>
  <c r="BT691"/>
  <c r="BT692"/>
  <c r="BT693"/>
  <c r="BT694"/>
  <c r="BT695"/>
  <c r="BT696"/>
  <c r="BT697"/>
  <c r="BT698"/>
  <c r="BT699"/>
  <c r="BT700"/>
  <c r="BT701"/>
  <c r="BT702"/>
  <c r="BT703"/>
  <c r="BT704"/>
  <c r="BT705"/>
  <c r="BT706"/>
  <c r="BT707"/>
  <c r="BT708"/>
  <c r="BT709"/>
  <c r="BT710"/>
  <c r="BT711"/>
  <c r="BT712"/>
  <c r="BT713"/>
  <c r="BT714"/>
  <c r="BT715"/>
  <c r="BT716"/>
  <c r="BT717"/>
  <c r="BT718"/>
  <c r="BT719"/>
  <c r="BT720"/>
  <c r="BT721"/>
  <c r="BT722"/>
  <c r="BT723"/>
  <c r="BT724"/>
  <c r="BT725"/>
  <c r="BT726"/>
  <c r="BT727"/>
  <c r="BT728"/>
  <c r="BT729"/>
  <c r="BT730"/>
  <c r="BT731"/>
  <c r="BT732"/>
  <c r="BT733"/>
  <c r="BT734"/>
  <c r="BT735"/>
  <c r="BT736"/>
  <c r="BT737"/>
  <c r="BT738"/>
  <c r="BT739"/>
  <c r="BT740"/>
  <c r="BT741"/>
  <c r="BT742"/>
  <c r="BT743"/>
  <c r="BT744"/>
  <c r="BT745"/>
  <c r="BT746"/>
  <c r="BT747"/>
  <c r="BT748"/>
  <c r="BT749"/>
  <c r="BT750"/>
  <c r="BT751"/>
  <c r="BT752"/>
  <c r="BT753"/>
  <c r="BT754"/>
  <c r="BT755"/>
  <c r="BT756"/>
  <c r="BT757"/>
  <c r="BT758"/>
  <c r="BT759"/>
  <c r="BT760"/>
  <c r="BT761"/>
  <c r="BT762"/>
  <c r="BT763"/>
  <c r="BT764"/>
  <c r="BT765"/>
  <c r="BT766"/>
  <c r="BT767"/>
  <c r="BT768"/>
  <c r="BT769"/>
  <c r="BT770"/>
  <c r="BT771"/>
  <c r="BT772"/>
  <c r="BT773"/>
  <c r="BT774"/>
  <c r="BT775"/>
  <c r="BT776"/>
  <c r="BT777"/>
  <c r="BT778"/>
  <c r="BT779"/>
  <c r="BT780"/>
  <c r="BT781"/>
  <c r="BT782"/>
  <c r="BT783"/>
  <c r="BT784"/>
  <c r="BT785"/>
  <c r="BT786"/>
  <c r="BT787"/>
  <c r="BT788"/>
  <c r="BT789"/>
  <c r="BT790"/>
  <c r="BT791"/>
  <c r="BT792"/>
  <c r="BT793"/>
  <c r="BT794"/>
  <c r="BT795"/>
  <c r="BT796"/>
  <c r="BT797"/>
  <c r="BT798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223"/>
  <c r="BU224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425"/>
  <c r="BU426"/>
  <c r="BU427"/>
  <c r="BU428"/>
  <c r="BU429"/>
  <c r="BU430"/>
  <c r="BU431"/>
  <c r="BU432"/>
  <c r="BU433"/>
  <c r="BU434"/>
  <c r="BU435"/>
  <c r="BU436"/>
  <c r="BU437"/>
  <c r="BU438"/>
  <c r="BU439"/>
  <c r="BU440"/>
  <c r="BU441"/>
  <c r="BU442"/>
  <c r="BU443"/>
  <c r="BU444"/>
  <c r="BU445"/>
  <c r="BU446"/>
  <c r="BU447"/>
  <c r="BU448"/>
  <c r="BU449"/>
  <c r="BU450"/>
  <c r="BU451"/>
  <c r="BU452"/>
  <c r="BU453"/>
  <c r="BU454"/>
  <c r="BU455"/>
  <c r="BU456"/>
  <c r="BU457"/>
  <c r="BU458"/>
  <c r="BU459"/>
  <c r="BU460"/>
  <c r="BU461"/>
  <c r="BU462"/>
  <c r="BU463"/>
  <c r="BU464"/>
  <c r="BU465"/>
  <c r="BU466"/>
  <c r="BU467"/>
  <c r="BU468"/>
  <c r="BU469"/>
  <c r="BU470"/>
  <c r="BU471"/>
  <c r="BU472"/>
  <c r="BU473"/>
  <c r="BU474"/>
  <c r="BU475"/>
  <c r="BU476"/>
  <c r="BU477"/>
  <c r="BU478"/>
  <c r="BU479"/>
  <c r="BU480"/>
  <c r="BU481"/>
  <c r="BU482"/>
  <c r="BU483"/>
  <c r="BU484"/>
  <c r="BU485"/>
  <c r="BU486"/>
  <c r="BU487"/>
  <c r="BU488"/>
  <c r="BU489"/>
  <c r="BU490"/>
  <c r="BU491"/>
  <c r="BU492"/>
  <c r="BU493"/>
  <c r="BU494"/>
  <c r="BU495"/>
  <c r="BU496"/>
  <c r="BU497"/>
  <c r="BU498"/>
  <c r="BU499"/>
  <c r="BU500"/>
  <c r="BU501"/>
  <c r="BU502"/>
  <c r="BU503"/>
  <c r="BU504"/>
  <c r="BU505"/>
  <c r="BU506"/>
  <c r="BU507"/>
  <c r="BU508"/>
  <c r="BU509"/>
  <c r="BU510"/>
  <c r="BU511"/>
  <c r="BU512"/>
  <c r="BU513"/>
  <c r="BU514"/>
  <c r="BU515"/>
  <c r="BU516"/>
  <c r="BU517"/>
  <c r="BU518"/>
  <c r="BU519"/>
  <c r="BU520"/>
  <c r="BU521"/>
  <c r="BU522"/>
  <c r="BU523"/>
  <c r="BU524"/>
  <c r="BU525"/>
  <c r="BU526"/>
  <c r="BU527"/>
  <c r="BU528"/>
  <c r="BU529"/>
  <c r="BU530"/>
  <c r="BU531"/>
  <c r="BU532"/>
  <c r="BU533"/>
  <c r="BU534"/>
  <c r="BU535"/>
  <c r="BU536"/>
  <c r="BU537"/>
  <c r="BU538"/>
  <c r="BU539"/>
  <c r="BU540"/>
  <c r="BU541"/>
  <c r="BU542"/>
  <c r="BU543"/>
  <c r="BU544"/>
  <c r="BU545"/>
  <c r="BU546"/>
  <c r="BU547"/>
  <c r="BU548"/>
  <c r="BU549"/>
  <c r="BU550"/>
  <c r="BU551"/>
  <c r="BU552"/>
  <c r="BU553"/>
  <c r="BU554"/>
  <c r="BU555"/>
  <c r="BU556"/>
  <c r="BU557"/>
  <c r="BU558"/>
  <c r="BU559"/>
  <c r="BU560"/>
  <c r="BU561"/>
  <c r="BU562"/>
  <c r="BU563"/>
  <c r="BU564"/>
  <c r="BU565"/>
  <c r="BU566"/>
  <c r="BU567"/>
  <c r="BU568"/>
  <c r="BU569"/>
  <c r="BU570"/>
  <c r="BU571"/>
  <c r="BU572"/>
  <c r="BU573"/>
  <c r="BU574"/>
  <c r="BU575"/>
  <c r="BU576"/>
  <c r="BU577"/>
  <c r="BU578"/>
  <c r="BU579"/>
  <c r="BU580"/>
  <c r="BU581"/>
  <c r="BU582"/>
  <c r="BU583"/>
  <c r="BU584"/>
  <c r="BU585"/>
  <c r="BU586"/>
  <c r="BU587"/>
  <c r="BU588"/>
  <c r="BU589"/>
  <c r="BU590"/>
  <c r="BU591"/>
  <c r="BU592"/>
  <c r="BU593"/>
  <c r="BU594"/>
  <c r="BU595"/>
  <c r="BU596"/>
  <c r="BU597"/>
  <c r="BU598"/>
  <c r="BU599"/>
  <c r="BU600"/>
  <c r="BU601"/>
  <c r="BU602"/>
  <c r="BU603"/>
  <c r="BU604"/>
  <c r="BU605"/>
  <c r="BU606"/>
  <c r="BU607"/>
  <c r="BU608"/>
  <c r="BU609"/>
  <c r="BU610"/>
  <c r="BU611"/>
  <c r="BU612"/>
  <c r="BU613"/>
  <c r="BU614"/>
  <c r="BU615"/>
  <c r="BU616"/>
  <c r="BU617"/>
  <c r="BU618"/>
  <c r="BU619"/>
  <c r="BU620"/>
  <c r="BU621"/>
  <c r="BU622"/>
  <c r="BU623"/>
  <c r="BU624"/>
  <c r="BU625"/>
  <c r="BU626"/>
  <c r="BU627"/>
  <c r="BU628"/>
  <c r="BU629"/>
  <c r="BU630"/>
  <c r="BU631"/>
  <c r="BU632"/>
  <c r="BU633"/>
  <c r="BU634"/>
  <c r="BU635"/>
  <c r="BU636"/>
  <c r="BU637"/>
  <c r="BU638"/>
  <c r="BU639"/>
  <c r="BU640"/>
  <c r="BU641"/>
  <c r="BU642"/>
  <c r="BU643"/>
  <c r="BU644"/>
  <c r="BU645"/>
  <c r="BU646"/>
  <c r="BU647"/>
  <c r="BU648"/>
  <c r="BU649"/>
  <c r="BU650"/>
  <c r="BU651"/>
  <c r="BU652"/>
  <c r="BU653"/>
  <c r="BU654"/>
  <c r="BU655"/>
  <c r="BU656"/>
  <c r="BU657"/>
  <c r="BU658"/>
  <c r="BU659"/>
  <c r="BU660"/>
  <c r="BU661"/>
  <c r="BU662"/>
  <c r="BU663"/>
  <c r="BU664"/>
  <c r="BU665"/>
  <c r="BU666"/>
  <c r="BU667"/>
  <c r="BU668"/>
  <c r="BU669"/>
  <c r="BU670"/>
  <c r="BU671"/>
  <c r="BU672"/>
  <c r="BU673"/>
  <c r="BU674"/>
  <c r="BU675"/>
  <c r="BU676"/>
  <c r="BU677"/>
  <c r="BU678"/>
  <c r="BU679"/>
  <c r="BU680"/>
  <c r="BU681"/>
  <c r="BU682"/>
  <c r="BU683"/>
  <c r="BU684"/>
  <c r="BU685"/>
  <c r="BU686"/>
  <c r="BU687"/>
  <c r="BU688"/>
  <c r="BU689"/>
  <c r="BU690"/>
  <c r="BU691"/>
  <c r="BU692"/>
  <c r="BU693"/>
  <c r="BU694"/>
  <c r="BU695"/>
  <c r="BU696"/>
  <c r="BU697"/>
  <c r="BU698"/>
  <c r="BU699"/>
  <c r="BU700"/>
  <c r="BU701"/>
  <c r="BU702"/>
  <c r="BU703"/>
  <c r="BU704"/>
  <c r="BU705"/>
  <c r="BU706"/>
  <c r="BU707"/>
  <c r="BU708"/>
  <c r="BU709"/>
  <c r="BU710"/>
  <c r="BU711"/>
  <c r="BU712"/>
  <c r="BU713"/>
  <c r="BU714"/>
  <c r="BU715"/>
  <c r="BU716"/>
  <c r="BU717"/>
  <c r="BU718"/>
  <c r="BU719"/>
  <c r="BU720"/>
  <c r="BU721"/>
  <c r="BU722"/>
  <c r="BU723"/>
  <c r="BU724"/>
  <c r="BU725"/>
  <c r="BU726"/>
  <c r="BU727"/>
  <c r="BU728"/>
  <c r="BU729"/>
  <c r="BU730"/>
  <c r="BU731"/>
  <c r="BU732"/>
  <c r="BU733"/>
  <c r="BU734"/>
  <c r="BU735"/>
  <c r="BU736"/>
  <c r="BU737"/>
  <c r="BU738"/>
  <c r="BU739"/>
  <c r="BU740"/>
  <c r="BU741"/>
  <c r="BU742"/>
  <c r="BU743"/>
  <c r="BU744"/>
  <c r="BU745"/>
  <c r="BU746"/>
  <c r="BU747"/>
  <c r="BU748"/>
  <c r="BU749"/>
  <c r="BU750"/>
  <c r="BU751"/>
  <c r="BU752"/>
  <c r="BU753"/>
  <c r="BU754"/>
  <c r="BU755"/>
  <c r="BU756"/>
  <c r="BU757"/>
  <c r="BU758"/>
  <c r="BU759"/>
  <c r="BU760"/>
  <c r="BU761"/>
  <c r="BU762"/>
  <c r="BU763"/>
  <c r="BU764"/>
  <c r="BU765"/>
  <c r="BU766"/>
  <c r="BU767"/>
  <c r="BU768"/>
  <c r="BU769"/>
  <c r="BU770"/>
  <c r="BU771"/>
  <c r="BU772"/>
  <c r="BU773"/>
  <c r="BU774"/>
  <c r="BU775"/>
  <c r="BU776"/>
  <c r="BU777"/>
  <c r="BU778"/>
  <c r="BU779"/>
  <c r="BU780"/>
  <c r="BU781"/>
  <c r="BU782"/>
  <c r="BU783"/>
  <c r="BU784"/>
  <c r="BU785"/>
  <c r="BU786"/>
  <c r="BU787"/>
  <c r="BU788"/>
  <c r="BU789"/>
  <c r="BU790"/>
  <c r="BU791"/>
  <c r="BU792"/>
  <c r="BU793"/>
  <c r="BU794"/>
  <c r="BU795"/>
  <c r="BU796"/>
  <c r="BU797"/>
  <c r="BU798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223"/>
  <c r="BV224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425"/>
  <c r="BV426"/>
  <c r="BV427"/>
  <c r="BV428"/>
  <c r="BV429"/>
  <c r="BV430"/>
  <c r="BV431"/>
  <c r="BV432"/>
  <c r="BV433"/>
  <c r="BV434"/>
  <c r="BV435"/>
  <c r="BV436"/>
  <c r="BV437"/>
  <c r="BV438"/>
  <c r="BV439"/>
  <c r="BV440"/>
  <c r="BV441"/>
  <c r="BV442"/>
  <c r="BV443"/>
  <c r="BV444"/>
  <c r="BV445"/>
  <c r="BV446"/>
  <c r="BV447"/>
  <c r="BV448"/>
  <c r="BV449"/>
  <c r="BV450"/>
  <c r="BV451"/>
  <c r="BV452"/>
  <c r="BV453"/>
  <c r="BV454"/>
  <c r="BV455"/>
  <c r="BV456"/>
  <c r="BV457"/>
  <c r="BV458"/>
  <c r="BV459"/>
  <c r="BV460"/>
  <c r="BV461"/>
  <c r="BV462"/>
  <c r="BV463"/>
  <c r="BV464"/>
  <c r="BV465"/>
  <c r="BV466"/>
  <c r="BV467"/>
  <c r="BV468"/>
  <c r="BV469"/>
  <c r="BV470"/>
  <c r="BV471"/>
  <c r="BV472"/>
  <c r="BV473"/>
  <c r="BV474"/>
  <c r="BV475"/>
  <c r="BV476"/>
  <c r="BV477"/>
  <c r="BV478"/>
  <c r="BV479"/>
  <c r="BV480"/>
  <c r="BV481"/>
  <c r="BV482"/>
  <c r="BV483"/>
  <c r="BV484"/>
  <c r="BV485"/>
  <c r="BV486"/>
  <c r="BV487"/>
  <c r="BV488"/>
  <c r="BV489"/>
  <c r="BV490"/>
  <c r="BV491"/>
  <c r="BV492"/>
  <c r="BV493"/>
  <c r="BV494"/>
  <c r="BV495"/>
  <c r="BV496"/>
  <c r="BV497"/>
  <c r="BV498"/>
  <c r="BV499"/>
  <c r="BV500"/>
  <c r="BV501"/>
  <c r="BV502"/>
  <c r="BV503"/>
  <c r="BV504"/>
  <c r="BV505"/>
  <c r="BV506"/>
  <c r="BV507"/>
  <c r="BV508"/>
  <c r="BV509"/>
  <c r="BV510"/>
  <c r="BV511"/>
  <c r="BV512"/>
  <c r="BV513"/>
  <c r="BV514"/>
  <c r="BV515"/>
  <c r="BV516"/>
  <c r="BV517"/>
  <c r="BV518"/>
  <c r="BV519"/>
  <c r="BV520"/>
  <c r="BV521"/>
  <c r="BV522"/>
  <c r="BV523"/>
  <c r="BV524"/>
  <c r="BV525"/>
  <c r="BV526"/>
  <c r="BV527"/>
  <c r="BV528"/>
  <c r="BV529"/>
  <c r="BV530"/>
  <c r="BV531"/>
  <c r="BV532"/>
  <c r="BV533"/>
  <c r="BV534"/>
  <c r="BV535"/>
  <c r="BV536"/>
  <c r="BV537"/>
  <c r="BV538"/>
  <c r="BV539"/>
  <c r="BV540"/>
  <c r="BV541"/>
  <c r="BV542"/>
  <c r="BV543"/>
  <c r="BV544"/>
  <c r="BV545"/>
  <c r="BV546"/>
  <c r="BV547"/>
  <c r="BV548"/>
  <c r="BV549"/>
  <c r="BV550"/>
  <c r="BV551"/>
  <c r="BV552"/>
  <c r="BV553"/>
  <c r="BV554"/>
  <c r="BV555"/>
  <c r="BV556"/>
  <c r="BV557"/>
  <c r="BV558"/>
  <c r="BV559"/>
  <c r="BV560"/>
  <c r="BV561"/>
  <c r="BV562"/>
  <c r="BV563"/>
  <c r="BV564"/>
  <c r="BV565"/>
  <c r="BV566"/>
  <c r="BV567"/>
  <c r="BV568"/>
  <c r="BV569"/>
  <c r="BV570"/>
  <c r="BV571"/>
  <c r="BV572"/>
  <c r="BV573"/>
  <c r="BV574"/>
  <c r="BV575"/>
  <c r="BV576"/>
  <c r="BV577"/>
  <c r="BV578"/>
  <c r="BV579"/>
  <c r="BV580"/>
  <c r="BV581"/>
  <c r="BV582"/>
  <c r="BV583"/>
  <c r="BV584"/>
  <c r="BV585"/>
  <c r="BV586"/>
  <c r="BV587"/>
  <c r="BV588"/>
  <c r="BV589"/>
  <c r="BV590"/>
  <c r="BV591"/>
  <c r="BV592"/>
  <c r="BV593"/>
  <c r="BV594"/>
  <c r="BV595"/>
  <c r="BV596"/>
  <c r="BV597"/>
  <c r="BV598"/>
  <c r="BV599"/>
  <c r="BV600"/>
  <c r="BV601"/>
  <c r="BV602"/>
  <c r="BV603"/>
  <c r="BV604"/>
  <c r="BV605"/>
  <c r="BV606"/>
  <c r="BV607"/>
  <c r="BV608"/>
  <c r="BV609"/>
  <c r="BV610"/>
  <c r="BV611"/>
  <c r="BV612"/>
  <c r="BV613"/>
  <c r="BV614"/>
  <c r="BV615"/>
  <c r="BV616"/>
  <c r="BV617"/>
  <c r="BV618"/>
  <c r="BV619"/>
  <c r="BV620"/>
  <c r="BV621"/>
  <c r="BV622"/>
  <c r="BV623"/>
  <c r="BV624"/>
  <c r="BV625"/>
  <c r="BV626"/>
  <c r="BV627"/>
  <c r="BV628"/>
  <c r="BV629"/>
  <c r="BV630"/>
  <c r="BV631"/>
  <c r="BV632"/>
  <c r="BV633"/>
  <c r="BV634"/>
  <c r="BV635"/>
  <c r="BV636"/>
  <c r="BV637"/>
  <c r="BV638"/>
  <c r="BV639"/>
  <c r="BV640"/>
  <c r="BV641"/>
  <c r="BV642"/>
  <c r="BV643"/>
  <c r="BV644"/>
  <c r="BV645"/>
  <c r="BV646"/>
  <c r="BV647"/>
  <c r="BV648"/>
  <c r="BV649"/>
  <c r="BV650"/>
  <c r="BV651"/>
  <c r="BV652"/>
  <c r="BV653"/>
  <c r="BV654"/>
  <c r="BV655"/>
  <c r="BV656"/>
  <c r="BV657"/>
  <c r="BV658"/>
  <c r="BV659"/>
  <c r="BV660"/>
  <c r="BV661"/>
  <c r="BV662"/>
  <c r="BV663"/>
  <c r="BV664"/>
  <c r="BV665"/>
  <c r="BV666"/>
  <c r="BV667"/>
  <c r="BV668"/>
  <c r="BV669"/>
  <c r="BV670"/>
  <c r="BV671"/>
  <c r="BV672"/>
  <c r="BV673"/>
  <c r="BV674"/>
  <c r="BV675"/>
  <c r="BV676"/>
  <c r="BV677"/>
  <c r="BV678"/>
  <c r="BV679"/>
  <c r="BV680"/>
  <c r="BV681"/>
  <c r="BV682"/>
  <c r="BV683"/>
  <c r="BV684"/>
  <c r="BV685"/>
  <c r="BV686"/>
  <c r="BV687"/>
  <c r="BV688"/>
  <c r="BV689"/>
  <c r="BV690"/>
  <c r="BV691"/>
  <c r="BV692"/>
  <c r="BV693"/>
  <c r="BV694"/>
  <c r="BV695"/>
  <c r="BV696"/>
  <c r="BV697"/>
  <c r="BV698"/>
  <c r="BV699"/>
  <c r="BV700"/>
  <c r="BV701"/>
  <c r="BV702"/>
  <c r="BV703"/>
  <c r="BV704"/>
  <c r="BV705"/>
  <c r="BV706"/>
  <c r="BV707"/>
  <c r="BV708"/>
  <c r="BV709"/>
  <c r="BV710"/>
  <c r="BV711"/>
  <c r="BV712"/>
  <c r="BV713"/>
  <c r="BV714"/>
  <c r="BV715"/>
  <c r="BV716"/>
  <c r="BV717"/>
  <c r="BV718"/>
  <c r="BV719"/>
  <c r="BV720"/>
  <c r="BV721"/>
  <c r="BV722"/>
  <c r="BV723"/>
  <c r="BV724"/>
  <c r="BV725"/>
  <c r="BV726"/>
  <c r="BV727"/>
  <c r="BV728"/>
  <c r="BV729"/>
  <c r="BV730"/>
  <c r="BV731"/>
  <c r="BV732"/>
  <c r="BV733"/>
  <c r="BV734"/>
  <c r="BV735"/>
  <c r="BV736"/>
  <c r="BV737"/>
  <c r="BV738"/>
  <c r="BV739"/>
  <c r="BV740"/>
  <c r="BV741"/>
  <c r="BV742"/>
  <c r="BV743"/>
  <c r="BV744"/>
  <c r="BV745"/>
  <c r="BV746"/>
  <c r="BV747"/>
  <c r="BV748"/>
  <c r="BV749"/>
  <c r="BV750"/>
  <c r="BV751"/>
  <c r="BV752"/>
  <c r="BV753"/>
  <c r="BV754"/>
  <c r="BV755"/>
  <c r="BV756"/>
  <c r="BV757"/>
  <c r="BV758"/>
  <c r="BV759"/>
  <c r="BV760"/>
  <c r="BV761"/>
  <c r="BV762"/>
  <c r="BV763"/>
  <c r="BV764"/>
  <c r="BV765"/>
  <c r="BV766"/>
  <c r="BV767"/>
  <c r="BV768"/>
  <c r="BV769"/>
  <c r="BV770"/>
  <c r="BV771"/>
  <c r="BV772"/>
  <c r="BV773"/>
  <c r="BV774"/>
  <c r="BV775"/>
  <c r="BV776"/>
  <c r="BV777"/>
  <c r="BV778"/>
  <c r="BV779"/>
  <c r="BV780"/>
  <c r="BV781"/>
  <c r="BV782"/>
  <c r="BV783"/>
  <c r="BV784"/>
  <c r="BV785"/>
  <c r="BV786"/>
  <c r="BV787"/>
  <c r="BV788"/>
  <c r="BV789"/>
  <c r="BV790"/>
  <c r="BV791"/>
  <c r="BV792"/>
  <c r="BV793"/>
  <c r="BV794"/>
  <c r="BV795"/>
  <c r="BV796"/>
  <c r="BV797"/>
  <c r="BV798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223"/>
  <c r="BW224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425"/>
  <c r="BW426"/>
  <c r="BW427"/>
  <c r="BW428"/>
  <c r="BW429"/>
  <c r="BW430"/>
  <c r="BW431"/>
  <c r="BW432"/>
  <c r="BW433"/>
  <c r="BW434"/>
  <c r="BW435"/>
  <c r="BW436"/>
  <c r="BW437"/>
  <c r="BW438"/>
  <c r="BW439"/>
  <c r="BW440"/>
  <c r="BW441"/>
  <c r="BW442"/>
  <c r="BW443"/>
  <c r="BW444"/>
  <c r="BW445"/>
  <c r="BW446"/>
  <c r="BW447"/>
  <c r="BW448"/>
  <c r="BW449"/>
  <c r="BW450"/>
  <c r="BW451"/>
  <c r="BW452"/>
  <c r="BW453"/>
  <c r="BW454"/>
  <c r="BW455"/>
  <c r="BW456"/>
  <c r="BW457"/>
  <c r="BW458"/>
  <c r="BW459"/>
  <c r="BW460"/>
  <c r="BW461"/>
  <c r="BW462"/>
  <c r="BW463"/>
  <c r="BW464"/>
  <c r="BW465"/>
  <c r="BW466"/>
  <c r="BW467"/>
  <c r="BW468"/>
  <c r="BW469"/>
  <c r="BW470"/>
  <c r="BW471"/>
  <c r="BW472"/>
  <c r="BW473"/>
  <c r="BW474"/>
  <c r="BW475"/>
  <c r="BW476"/>
  <c r="BW477"/>
  <c r="BW478"/>
  <c r="BW479"/>
  <c r="BW480"/>
  <c r="BW481"/>
  <c r="BW482"/>
  <c r="BW483"/>
  <c r="BW484"/>
  <c r="BW485"/>
  <c r="BW486"/>
  <c r="BW487"/>
  <c r="BW488"/>
  <c r="BW489"/>
  <c r="BW490"/>
  <c r="BW491"/>
  <c r="BW492"/>
  <c r="BW493"/>
  <c r="BW494"/>
  <c r="BW495"/>
  <c r="BW496"/>
  <c r="BW497"/>
  <c r="BW498"/>
  <c r="BW499"/>
  <c r="BW500"/>
  <c r="BW501"/>
  <c r="BW502"/>
  <c r="BW503"/>
  <c r="BW504"/>
  <c r="BW505"/>
  <c r="BW506"/>
  <c r="BW507"/>
  <c r="BW508"/>
  <c r="BW509"/>
  <c r="BW510"/>
  <c r="BW511"/>
  <c r="BW512"/>
  <c r="BW513"/>
  <c r="BW514"/>
  <c r="BW515"/>
  <c r="BW516"/>
  <c r="BW517"/>
  <c r="BW518"/>
  <c r="BW519"/>
  <c r="BW520"/>
  <c r="BW521"/>
  <c r="BW522"/>
  <c r="BW523"/>
  <c r="BW524"/>
  <c r="BW525"/>
  <c r="BW526"/>
  <c r="BW527"/>
  <c r="BW528"/>
  <c r="BW529"/>
  <c r="BW530"/>
  <c r="BW531"/>
  <c r="BW532"/>
  <c r="BW533"/>
  <c r="BW534"/>
  <c r="BW535"/>
  <c r="BW536"/>
  <c r="BW537"/>
  <c r="BW538"/>
  <c r="BW539"/>
  <c r="BW540"/>
  <c r="BW541"/>
  <c r="BW542"/>
  <c r="BW543"/>
  <c r="BW544"/>
  <c r="BW545"/>
  <c r="BW546"/>
  <c r="BW547"/>
  <c r="BW548"/>
  <c r="BW549"/>
  <c r="BW550"/>
  <c r="BW551"/>
  <c r="BW552"/>
  <c r="BW553"/>
  <c r="BW554"/>
  <c r="BW555"/>
  <c r="BW556"/>
  <c r="BW557"/>
  <c r="BW558"/>
  <c r="BW559"/>
  <c r="BW560"/>
  <c r="BW561"/>
  <c r="BW562"/>
  <c r="BW563"/>
  <c r="BW564"/>
  <c r="BW565"/>
  <c r="BW566"/>
  <c r="BW567"/>
  <c r="BW568"/>
  <c r="BW569"/>
  <c r="BW570"/>
  <c r="BW571"/>
  <c r="BW572"/>
  <c r="BW573"/>
  <c r="BW574"/>
  <c r="BW575"/>
  <c r="BW576"/>
  <c r="BW577"/>
  <c r="BW578"/>
  <c r="BW579"/>
  <c r="BW580"/>
  <c r="BW581"/>
  <c r="BW582"/>
  <c r="BW583"/>
  <c r="BW584"/>
  <c r="BW585"/>
  <c r="BW586"/>
  <c r="BW587"/>
  <c r="BW588"/>
  <c r="BW589"/>
  <c r="BW590"/>
  <c r="BW591"/>
  <c r="BW592"/>
  <c r="BW593"/>
  <c r="BW594"/>
  <c r="BW595"/>
  <c r="BW596"/>
  <c r="BW597"/>
  <c r="BW598"/>
  <c r="BW599"/>
  <c r="BW600"/>
  <c r="BW601"/>
  <c r="BW602"/>
  <c r="BW603"/>
  <c r="BW604"/>
  <c r="BW605"/>
  <c r="BW606"/>
  <c r="BW607"/>
  <c r="BW608"/>
  <c r="BW609"/>
  <c r="BW610"/>
  <c r="BW611"/>
  <c r="BW612"/>
  <c r="BW613"/>
  <c r="BW614"/>
  <c r="BW615"/>
  <c r="BW616"/>
  <c r="BW617"/>
  <c r="BW618"/>
  <c r="BW619"/>
  <c r="BW620"/>
  <c r="BW621"/>
  <c r="BW622"/>
  <c r="BW623"/>
  <c r="BW624"/>
  <c r="BW625"/>
  <c r="BW626"/>
  <c r="BW627"/>
  <c r="BW628"/>
  <c r="BW629"/>
  <c r="BW630"/>
  <c r="BW631"/>
  <c r="BW632"/>
  <c r="BW633"/>
  <c r="BW634"/>
  <c r="BW635"/>
  <c r="BW636"/>
  <c r="BW637"/>
  <c r="BW638"/>
  <c r="BW639"/>
  <c r="BW640"/>
  <c r="BW641"/>
  <c r="BW642"/>
  <c r="BW643"/>
  <c r="BW644"/>
  <c r="BW645"/>
  <c r="BW646"/>
  <c r="BW647"/>
  <c r="BW648"/>
  <c r="BW649"/>
  <c r="BW650"/>
  <c r="BW651"/>
  <c r="BW652"/>
  <c r="BW653"/>
  <c r="BW654"/>
  <c r="BW655"/>
  <c r="BW656"/>
  <c r="BW657"/>
  <c r="BW658"/>
  <c r="BW659"/>
  <c r="BW660"/>
  <c r="BW661"/>
  <c r="BW662"/>
  <c r="BW663"/>
  <c r="BW664"/>
  <c r="BW665"/>
  <c r="BW666"/>
  <c r="BW667"/>
  <c r="BW668"/>
  <c r="BW669"/>
  <c r="BW670"/>
  <c r="BW671"/>
  <c r="BW672"/>
  <c r="BW673"/>
  <c r="BW674"/>
  <c r="BW675"/>
  <c r="BW676"/>
  <c r="BW677"/>
  <c r="BW678"/>
  <c r="BW679"/>
  <c r="BW680"/>
  <c r="BW681"/>
  <c r="BW682"/>
  <c r="BW683"/>
  <c r="BW684"/>
  <c r="BW685"/>
  <c r="BW686"/>
  <c r="BW687"/>
  <c r="BW688"/>
  <c r="BW689"/>
  <c r="BW690"/>
  <c r="BW691"/>
  <c r="BW692"/>
  <c r="BW693"/>
  <c r="BW694"/>
  <c r="BW695"/>
  <c r="BW696"/>
  <c r="BW697"/>
  <c r="BW698"/>
  <c r="BW699"/>
  <c r="BW700"/>
  <c r="BW701"/>
  <c r="BW702"/>
  <c r="BW703"/>
  <c r="BW704"/>
  <c r="BW705"/>
  <c r="BW706"/>
  <c r="BW707"/>
  <c r="BW708"/>
  <c r="BW709"/>
  <c r="BW710"/>
  <c r="BW711"/>
  <c r="BW712"/>
  <c r="BW713"/>
  <c r="BW714"/>
  <c r="BW715"/>
  <c r="BW716"/>
  <c r="BW717"/>
  <c r="BW718"/>
  <c r="BW719"/>
  <c r="BW720"/>
  <c r="BW721"/>
  <c r="BW722"/>
  <c r="BW723"/>
  <c r="BW724"/>
  <c r="BW725"/>
  <c r="BW726"/>
  <c r="BW727"/>
  <c r="BW728"/>
  <c r="BW729"/>
  <c r="BW730"/>
  <c r="BW731"/>
  <c r="BW732"/>
  <c r="BW733"/>
  <c r="BW734"/>
  <c r="BW735"/>
  <c r="BW736"/>
  <c r="BW737"/>
  <c r="BW738"/>
  <c r="BW739"/>
  <c r="BW740"/>
  <c r="BW741"/>
  <c r="BW742"/>
  <c r="BW743"/>
  <c r="BW744"/>
  <c r="BW745"/>
  <c r="BW746"/>
  <c r="BW747"/>
  <c r="BW748"/>
  <c r="BW749"/>
  <c r="BW750"/>
  <c r="BW751"/>
  <c r="BW752"/>
  <c r="BW753"/>
  <c r="BW754"/>
  <c r="BW755"/>
  <c r="BW756"/>
  <c r="BW757"/>
  <c r="BW758"/>
  <c r="BW759"/>
  <c r="BW760"/>
  <c r="BW761"/>
  <c r="BW762"/>
  <c r="BW763"/>
  <c r="BW764"/>
  <c r="BW765"/>
  <c r="BW766"/>
  <c r="BW767"/>
  <c r="BW768"/>
  <c r="BW769"/>
  <c r="BW770"/>
  <c r="BW771"/>
  <c r="BW772"/>
  <c r="BW773"/>
  <c r="BW774"/>
  <c r="BW775"/>
  <c r="BW776"/>
  <c r="BW777"/>
  <c r="BW778"/>
  <c r="BW779"/>
  <c r="BW780"/>
  <c r="BW781"/>
  <c r="BW782"/>
  <c r="BW783"/>
  <c r="BW784"/>
  <c r="BW785"/>
  <c r="BW786"/>
  <c r="BW787"/>
  <c r="BW788"/>
  <c r="BW789"/>
  <c r="BW790"/>
  <c r="BW791"/>
  <c r="BW792"/>
  <c r="BW793"/>
  <c r="BW794"/>
  <c r="BW795"/>
  <c r="BW796"/>
  <c r="BW797"/>
  <c r="BW798"/>
  <c r="BW2"/>
  <c r="BW3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V65"/>
  <c r="BV3"/>
  <c r="BV9"/>
  <c r="BV50"/>
  <c r="BV29"/>
  <c r="BV4"/>
  <c r="BV8"/>
  <c r="BV42"/>
  <c r="BV56"/>
  <c r="BV51"/>
  <c r="BV10"/>
  <c r="BV57"/>
  <c r="BV25"/>
  <c r="BV30"/>
  <c r="BV66"/>
  <c r="BV61"/>
  <c r="BV31"/>
  <c r="BV54"/>
  <c r="BV48"/>
  <c r="BV41"/>
  <c r="BV11"/>
  <c r="BV26"/>
  <c r="BV59"/>
  <c r="BV67"/>
  <c r="BV5"/>
  <c r="BV6"/>
  <c r="BV49"/>
  <c r="BV60"/>
  <c r="BV47"/>
  <c r="BV12"/>
  <c r="BV13"/>
  <c r="BV14"/>
  <c r="BV15"/>
  <c r="BV16"/>
  <c r="BV32"/>
  <c r="BV17"/>
  <c r="BV18"/>
  <c r="BV19"/>
  <c r="BV33"/>
  <c r="BV63"/>
  <c r="BV7"/>
  <c r="BV37"/>
  <c r="BV34"/>
  <c r="BV55"/>
  <c r="BV40"/>
  <c r="BV38"/>
  <c r="BV27"/>
  <c r="BV64"/>
  <c r="BV43"/>
  <c r="BV35"/>
  <c r="BV52"/>
  <c r="BV28"/>
  <c r="BV53"/>
  <c r="BV46"/>
  <c r="BV39"/>
  <c r="BV20"/>
  <c r="BV58"/>
  <c r="BV21"/>
  <c r="BV22"/>
  <c r="BV36"/>
  <c r="BV2"/>
  <c r="BV62"/>
  <c r="BV23"/>
  <c r="BV24"/>
  <c r="BV45"/>
  <c r="BV44"/>
  <c r="BU65"/>
  <c r="BU3"/>
  <c r="BU9"/>
  <c r="BU50"/>
  <c r="BU29"/>
  <c r="BU4"/>
  <c r="BU8"/>
  <c r="BU42"/>
  <c r="BU56"/>
  <c r="BU51"/>
  <c r="BU10"/>
  <c r="BU57"/>
  <c r="BU25"/>
  <c r="BU30"/>
  <c r="BU66"/>
  <c r="BU61"/>
  <c r="BU31"/>
  <c r="BU54"/>
  <c r="BU48"/>
  <c r="BU41"/>
  <c r="BU11"/>
  <c r="BU26"/>
  <c r="BU59"/>
  <c r="BU67"/>
  <c r="BU5"/>
  <c r="BU6"/>
  <c r="BU49"/>
  <c r="BU60"/>
  <c r="BU47"/>
  <c r="BU12"/>
  <c r="BU13"/>
  <c r="BU14"/>
  <c r="BU15"/>
  <c r="BU16"/>
  <c r="BU32"/>
  <c r="BU17"/>
  <c r="BU18"/>
  <c r="BU19"/>
  <c r="BU33"/>
  <c r="BU63"/>
  <c r="BU7"/>
  <c r="BU37"/>
  <c r="BU34"/>
  <c r="BU55"/>
  <c r="BU40"/>
  <c r="BU38"/>
  <c r="BU27"/>
  <c r="BU64"/>
  <c r="BU43"/>
  <c r="BU35"/>
  <c r="BU52"/>
  <c r="BU28"/>
  <c r="BU53"/>
  <c r="BU46"/>
  <c r="BU39"/>
  <c r="BU20"/>
  <c r="BU58"/>
  <c r="BU21"/>
  <c r="BU22"/>
  <c r="BU36"/>
  <c r="BU2"/>
  <c r="BU62"/>
  <c r="BU23"/>
  <c r="BU24"/>
  <c r="BU45"/>
  <c r="BU44"/>
  <c r="BT65"/>
  <c r="BT3"/>
  <c r="BT9"/>
  <c r="BT50"/>
  <c r="BT29"/>
  <c r="BT4"/>
  <c r="BT8"/>
  <c r="BT42"/>
  <c r="BT56"/>
  <c r="BT51"/>
  <c r="BT10"/>
  <c r="BT57"/>
  <c r="BT25"/>
  <c r="BT30"/>
  <c r="BT66"/>
  <c r="BT61"/>
  <c r="BT31"/>
  <c r="BT54"/>
  <c r="BT48"/>
  <c r="BT41"/>
  <c r="BT11"/>
  <c r="BT26"/>
  <c r="BT59"/>
  <c r="BT67"/>
  <c r="BT5"/>
  <c r="BT6"/>
  <c r="BT49"/>
  <c r="BT60"/>
  <c r="BT47"/>
  <c r="BT12"/>
  <c r="BT13"/>
  <c r="BT14"/>
  <c r="BT15"/>
  <c r="BT16"/>
  <c r="BT32"/>
  <c r="BT17"/>
  <c r="BT18"/>
  <c r="BT19"/>
  <c r="BT33"/>
  <c r="BT63"/>
  <c r="BT7"/>
  <c r="BT37"/>
  <c r="BT34"/>
  <c r="BT55"/>
  <c r="BT40"/>
  <c r="BT38"/>
  <c r="BT27"/>
  <c r="BT64"/>
  <c r="BT43"/>
  <c r="BT35"/>
  <c r="BT52"/>
  <c r="BT28"/>
  <c r="BT53"/>
  <c r="BT46"/>
  <c r="BT39"/>
  <c r="BT20"/>
  <c r="BT58"/>
  <c r="BT21"/>
  <c r="BT22"/>
  <c r="BT36"/>
  <c r="BT2"/>
  <c r="BT62"/>
  <c r="BT23"/>
  <c r="BT24"/>
  <c r="BT45"/>
  <c r="BT44"/>
  <c r="BS65"/>
  <c r="BS3"/>
  <c r="BS9"/>
  <c r="BS50"/>
  <c r="BS29"/>
  <c r="BS4"/>
  <c r="BS8"/>
  <c r="BS42"/>
  <c r="BS56"/>
  <c r="BS51"/>
  <c r="BS10"/>
  <c r="BS57"/>
  <c r="BS25"/>
  <c r="BS30"/>
  <c r="BS66"/>
  <c r="BS61"/>
  <c r="BS31"/>
  <c r="BS54"/>
  <c r="BS48"/>
  <c r="BS41"/>
  <c r="BS11"/>
  <c r="BS26"/>
  <c r="BS59"/>
  <c r="BS67"/>
  <c r="BS5"/>
  <c r="BS6"/>
  <c r="BS49"/>
  <c r="BS60"/>
  <c r="BS47"/>
  <c r="BS12"/>
  <c r="BS13"/>
  <c r="BS14"/>
  <c r="BS15"/>
  <c r="BS16"/>
  <c r="BS32"/>
  <c r="BS17"/>
  <c r="BS18"/>
  <c r="BS19"/>
  <c r="BS33"/>
  <c r="BS63"/>
  <c r="BS7"/>
  <c r="BS37"/>
  <c r="BS34"/>
  <c r="BS55"/>
  <c r="BS40"/>
  <c r="BS38"/>
  <c r="BS27"/>
  <c r="BS64"/>
  <c r="BS43"/>
  <c r="BS35"/>
  <c r="BS52"/>
  <c r="BS28"/>
  <c r="BS53"/>
  <c r="BS46"/>
  <c r="BS39"/>
  <c r="BS20"/>
  <c r="BS58"/>
  <c r="BS21"/>
  <c r="BS22"/>
  <c r="BS36"/>
  <c r="BS2"/>
  <c r="BS62"/>
  <c r="BS23"/>
  <c r="BS24"/>
  <c r="BS45"/>
  <c r="BS44"/>
  <c r="BR65"/>
  <c r="BR3"/>
  <c r="BR9"/>
  <c r="BR50"/>
  <c r="BR29"/>
  <c r="BR4"/>
  <c r="BR8"/>
  <c r="BR42"/>
  <c r="BR56"/>
  <c r="BR51"/>
  <c r="BR10"/>
  <c r="BR57"/>
  <c r="BR25"/>
  <c r="BR30"/>
  <c r="BR66"/>
  <c r="BR61"/>
  <c r="BR31"/>
  <c r="BR54"/>
  <c r="BR48"/>
  <c r="BR41"/>
  <c r="BR11"/>
  <c r="BR26"/>
  <c r="BR59"/>
  <c r="BR67"/>
  <c r="BR5"/>
  <c r="BR6"/>
  <c r="BR49"/>
  <c r="BR60"/>
  <c r="BR47"/>
  <c r="BR12"/>
  <c r="BR13"/>
  <c r="BR14"/>
  <c r="BR15"/>
  <c r="BR16"/>
  <c r="BR32"/>
  <c r="BR17"/>
  <c r="BR18"/>
  <c r="BR19"/>
  <c r="BR33"/>
  <c r="BR63"/>
  <c r="BR7"/>
  <c r="BR37"/>
  <c r="BR34"/>
  <c r="BR55"/>
  <c r="BR40"/>
  <c r="BR38"/>
  <c r="BR27"/>
  <c r="BR64"/>
  <c r="BR43"/>
  <c r="BR35"/>
  <c r="BR52"/>
  <c r="BR28"/>
  <c r="BR53"/>
  <c r="BR46"/>
  <c r="BR39"/>
  <c r="BR20"/>
  <c r="BR58"/>
  <c r="BR21"/>
  <c r="BR22"/>
  <c r="BR36"/>
  <c r="BR2"/>
  <c r="BR62"/>
  <c r="BR23"/>
  <c r="BR24"/>
  <c r="BR45"/>
  <c r="BR44"/>
  <c r="BQ65"/>
  <c r="BQ3"/>
  <c r="BQ9"/>
  <c r="BQ50"/>
  <c r="BQ29"/>
  <c r="BQ4"/>
  <c r="BQ8"/>
  <c r="BQ42"/>
  <c r="BQ56"/>
  <c r="BQ51"/>
  <c r="BQ10"/>
  <c r="BQ57"/>
  <c r="BQ25"/>
  <c r="BQ30"/>
  <c r="BQ66"/>
  <c r="BQ61"/>
  <c r="BQ31"/>
  <c r="BQ54"/>
  <c r="BQ48"/>
  <c r="BQ41"/>
  <c r="BQ11"/>
  <c r="BQ26"/>
  <c r="BQ59"/>
  <c r="BQ67"/>
  <c r="BQ5"/>
  <c r="BQ6"/>
  <c r="BQ49"/>
  <c r="BQ60"/>
  <c r="BQ47"/>
  <c r="BQ12"/>
  <c r="BQ13"/>
  <c r="BQ14"/>
  <c r="BQ15"/>
  <c r="BQ16"/>
  <c r="BQ32"/>
  <c r="BQ17"/>
  <c r="BQ18"/>
  <c r="BQ19"/>
  <c r="BQ33"/>
  <c r="BQ63"/>
  <c r="BQ7"/>
  <c r="BQ37"/>
  <c r="BQ34"/>
  <c r="BQ55"/>
  <c r="BQ40"/>
  <c r="BQ38"/>
  <c r="BQ27"/>
  <c r="BQ64"/>
  <c r="BQ43"/>
  <c r="BQ35"/>
  <c r="BQ52"/>
  <c r="BQ28"/>
  <c r="BQ53"/>
  <c r="BQ46"/>
  <c r="BQ39"/>
  <c r="BQ20"/>
  <c r="BQ58"/>
  <c r="BQ21"/>
  <c r="BQ22"/>
  <c r="BQ36"/>
  <c r="BQ2"/>
  <c r="BQ62"/>
  <c r="BQ23"/>
  <c r="BQ24"/>
  <c r="BQ45"/>
  <c r="BQ44"/>
  <c r="BP65"/>
  <c r="BP3"/>
  <c r="BP9"/>
  <c r="BP50"/>
  <c r="BP29"/>
  <c r="BP4"/>
  <c r="BP8"/>
  <c r="BP42"/>
  <c r="BP56"/>
  <c r="BP51"/>
  <c r="BP10"/>
  <c r="BP57"/>
  <c r="BP25"/>
  <c r="BP30"/>
  <c r="BP66"/>
  <c r="BP61"/>
  <c r="BP31"/>
  <c r="BP54"/>
  <c r="BP48"/>
  <c r="BP41"/>
  <c r="BP11"/>
  <c r="BP26"/>
  <c r="BP59"/>
  <c r="BP67"/>
  <c r="BP5"/>
  <c r="BP6"/>
  <c r="BP49"/>
  <c r="BP60"/>
  <c r="BP47"/>
  <c r="BP12"/>
  <c r="BP13"/>
  <c r="BP14"/>
  <c r="BP15"/>
  <c r="BP16"/>
  <c r="BP32"/>
  <c r="BP17"/>
  <c r="BP18"/>
  <c r="BP19"/>
  <c r="BP33"/>
  <c r="BP63"/>
  <c r="BP7"/>
  <c r="BP37"/>
  <c r="BP34"/>
  <c r="BP55"/>
  <c r="BP40"/>
  <c r="BP38"/>
  <c r="BP27"/>
  <c r="BP64"/>
  <c r="BP43"/>
  <c r="BP35"/>
  <c r="BP52"/>
  <c r="BP28"/>
  <c r="BP53"/>
  <c r="BP46"/>
  <c r="BP39"/>
  <c r="BP20"/>
  <c r="BP58"/>
  <c r="BP21"/>
  <c r="BP22"/>
  <c r="BP36"/>
  <c r="BP2"/>
  <c r="BP62"/>
  <c r="BP23"/>
  <c r="BP24"/>
  <c r="BP45"/>
  <c r="BP44"/>
  <c r="BO65"/>
  <c r="BO3"/>
  <c r="BO9"/>
  <c r="BO50"/>
  <c r="BO29"/>
  <c r="BO4"/>
  <c r="BO8"/>
  <c r="BO42"/>
  <c r="BO56"/>
  <c r="BO51"/>
  <c r="BO10"/>
  <c r="BO57"/>
  <c r="BO25"/>
  <c r="BO30"/>
  <c r="BO66"/>
  <c r="BO61"/>
  <c r="BO31"/>
  <c r="BO54"/>
  <c r="BO48"/>
  <c r="BO41"/>
  <c r="BO11"/>
  <c r="BO26"/>
  <c r="BO59"/>
  <c r="BO67"/>
  <c r="BO5"/>
  <c r="BO6"/>
  <c r="BO49"/>
  <c r="BO60"/>
  <c r="BO47"/>
  <c r="BO12"/>
  <c r="BO13"/>
  <c r="BO14"/>
  <c r="BO15"/>
  <c r="BO16"/>
  <c r="BO32"/>
  <c r="BO17"/>
  <c r="BO18"/>
  <c r="BO19"/>
  <c r="BO33"/>
  <c r="BO63"/>
  <c r="BO7"/>
  <c r="BO37"/>
  <c r="BO34"/>
  <c r="BO55"/>
  <c r="BO40"/>
  <c r="BO38"/>
  <c r="BO27"/>
  <c r="BO64"/>
  <c r="BO43"/>
  <c r="BO35"/>
  <c r="BO52"/>
  <c r="BO28"/>
  <c r="BO53"/>
  <c r="BO46"/>
  <c r="BO39"/>
  <c r="BO20"/>
  <c r="BO58"/>
  <c r="BO21"/>
  <c r="BO22"/>
  <c r="BO36"/>
  <c r="BO2"/>
  <c r="BO62"/>
  <c r="BO23"/>
  <c r="BO24"/>
  <c r="BO45"/>
  <c r="BO44"/>
  <c r="BN65"/>
  <c r="BN3"/>
  <c r="BN9"/>
  <c r="BN50"/>
  <c r="BN29"/>
  <c r="BN4"/>
  <c r="BN8"/>
  <c r="BN42"/>
  <c r="BN56"/>
  <c r="BN51"/>
  <c r="BN10"/>
  <c r="BN57"/>
  <c r="BN25"/>
  <c r="BN30"/>
  <c r="BN66"/>
  <c r="BN61"/>
  <c r="BN31"/>
  <c r="BN54"/>
  <c r="BN48"/>
  <c r="BN41"/>
  <c r="BN11"/>
  <c r="BN26"/>
  <c r="BN59"/>
  <c r="BN67"/>
  <c r="BN5"/>
  <c r="BN6"/>
  <c r="BN49"/>
  <c r="BN60"/>
  <c r="BN47"/>
  <c r="BN12"/>
  <c r="BN13"/>
  <c r="BN14"/>
  <c r="BN15"/>
  <c r="BN16"/>
  <c r="BN32"/>
  <c r="BN17"/>
  <c r="BN18"/>
  <c r="BN19"/>
  <c r="BN33"/>
  <c r="BN63"/>
  <c r="BN7"/>
  <c r="BN37"/>
  <c r="BN34"/>
  <c r="BN55"/>
  <c r="BN40"/>
  <c r="BN38"/>
  <c r="BN27"/>
  <c r="BN64"/>
  <c r="BN43"/>
  <c r="BN35"/>
  <c r="BN52"/>
  <c r="BN28"/>
  <c r="BN53"/>
  <c r="BN46"/>
  <c r="BN39"/>
  <c r="BN20"/>
  <c r="BN58"/>
  <c r="BN21"/>
  <c r="BN22"/>
  <c r="BN36"/>
  <c r="BN2"/>
  <c r="BN62"/>
  <c r="BN23"/>
  <c r="BN24"/>
  <c r="BN45"/>
  <c r="BN44"/>
  <c r="BM65"/>
  <c r="BM3"/>
  <c r="BM9"/>
  <c r="BM50"/>
  <c r="BM29"/>
  <c r="BM4"/>
  <c r="BM8"/>
  <c r="BM42"/>
  <c r="BM56"/>
  <c r="BM51"/>
  <c r="BM10"/>
  <c r="BM57"/>
  <c r="BM25"/>
  <c r="BM30"/>
  <c r="BM66"/>
  <c r="BM61"/>
  <c r="BM31"/>
  <c r="BM54"/>
  <c r="BM48"/>
  <c r="BM41"/>
  <c r="BM11"/>
  <c r="BM26"/>
  <c r="BM59"/>
  <c r="BM67"/>
  <c r="BM5"/>
  <c r="BM6"/>
  <c r="BM49"/>
  <c r="BM60"/>
  <c r="BM47"/>
  <c r="BM12"/>
  <c r="BM13"/>
  <c r="BM14"/>
  <c r="BM15"/>
  <c r="BM16"/>
  <c r="BM32"/>
  <c r="BM17"/>
  <c r="BM18"/>
  <c r="BM19"/>
  <c r="BM33"/>
  <c r="BM63"/>
  <c r="BM7"/>
  <c r="BM37"/>
  <c r="BM34"/>
  <c r="BM55"/>
  <c r="BM40"/>
  <c r="BM38"/>
  <c r="BM27"/>
  <c r="BM64"/>
  <c r="BM43"/>
  <c r="BM35"/>
  <c r="BM52"/>
  <c r="BM28"/>
  <c r="BM53"/>
  <c r="BM46"/>
  <c r="BM39"/>
  <c r="BM20"/>
  <c r="BM58"/>
  <c r="BM21"/>
  <c r="BM22"/>
  <c r="BM36"/>
  <c r="BM2"/>
  <c r="BM62"/>
  <c r="BM23"/>
  <c r="BM24"/>
  <c r="BM45"/>
  <c r="BM44"/>
  <c r="BL65"/>
  <c r="BL3"/>
  <c r="BL9"/>
  <c r="BL50"/>
  <c r="BL29"/>
  <c r="BL4"/>
  <c r="BL8"/>
  <c r="BL42"/>
  <c r="BL56"/>
  <c r="BL51"/>
  <c r="BL10"/>
  <c r="BL57"/>
  <c r="BL25"/>
  <c r="BL30"/>
  <c r="BL66"/>
  <c r="BL61"/>
  <c r="BL31"/>
  <c r="BL54"/>
  <c r="BL48"/>
  <c r="BL41"/>
  <c r="BL11"/>
  <c r="BL26"/>
  <c r="BL59"/>
  <c r="BL67"/>
  <c r="BL5"/>
  <c r="BL6"/>
  <c r="BL49"/>
  <c r="BL60"/>
  <c r="BL47"/>
  <c r="BL12"/>
  <c r="BL13"/>
  <c r="BL14"/>
  <c r="BL15"/>
  <c r="BL16"/>
  <c r="BL32"/>
  <c r="BL17"/>
  <c r="BL18"/>
  <c r="BL19"/>
  <c r="BL33"/>
  <c r="BL63"/>
  <c r="BL7"/>
  <c r="BL37"/>
  <c r="BL34"/>
  <c r="BL55"/>
  <c r="BL40"/>
  <c r="BL38"/>
  <c r="BL27"/>
  <c r="BL64"/>
  <c r="BL43"/>
  <c r="BL35"/>
  <c r="BL52"/>
  <c r="BL28"/>
  <c r="BL53"/>
  <c r="BL46"/>
  <c r="BL39"/>
  <c r="BL20"/>
  <c r="BL58"/>
  <c r="BL21"/>
  <c r="BL22"/>
  <c r="BL36"/>
  <c r="BL2"/>
  <c r="BL62"/>
  <c r="BL23"/>
  <c r="BL24"/>
  <c r="BL45"/>
  <c r="BL44"/>
  <c r="BK65"/>
  <c r="BK3"/>
  <c r="BK9"/>
  <c r="BK50"/>
  <c r="BK29"/>
  <c r="BK4"/>
  <c r="BK8"/>
  <c r="BK42"/>
  <c r="BK56"/>
  <c r="BK51"/>
  <c r="BK10"/>
  <c r="BK57"/>
  <c r="BK25"/>
  <c r="BK30"/>
  <c r="BK66"/>
  <c r="BK61"/>
  <c r="BK31"/>
  <c r="BK54"/>
  <c r="BK48"/>
  <c r="BK41"/>
  <c r="BK11"/>
  <c r="BK26"/>
  <c r="BK59"/>
  <c r="BK67"/>
  <c r="BK5"/>
  <c r="BK6"/>
  <c r="BK49"/>
  <c r="BK60"/>
  <c r="BK47"/>
  <c r="BK12"/>
  <c r="BK13"/>
  <c r="BK14"/>
  <c r="BK15"/>
  <c r="BK16"/>
  <c r="BK32"/>
  <c r="BK17"/>
  <c r="BK18"/>
  <c r="BK19"/>
  <c r="BK33"/>
  <c r="BK63"/>
  <c r="BK7"/>
  <c r="BK37"/>
  <c r="BK34"/>
  <c r="BK55"/>
  <c r="BK40"/>
  <c r="BK38"/>
  <c r="BK27"/>
  <c r="BK64"/>
  <c r="BK43"/>
  <c r="BK35"/>
  <c r="BK52"/>
  <c r="BK28"/>
  <c r="BK53"/>
  <c r="BK46"/>
  <c r="BK39"/>
  <c r="BK20"/>
  <c r="BK58"/>
  <c r="BK21"/>
  <c r="BK22"/>
  <c r="BK36"/>
  <c r="BK2"/>
  <c r="BK62"/>
  <c r="BK23"/>
  <c r="BK24"/>
  <c r="BK45"/>
  <c r="BK44"/>
  <c r="BJ65"/>
  <c r="BJ3"/>
  <c r="BJ9"/>
  <c r="BJ50"/>
  <c r="BJ29"/>
  <c r="BJ4"/>
  <c r="BJ8"/>
  <c r="BJ42"/>
  <c r="BJ56"/>
  <c r="BJ51"/>
  <c r="BJ10"/>
  <c r="BJ57"/>
  <c r="BJ25"/>
  <c r="BJ30"/>
  <c r="BJ66"/>
  <c r="BJ61"/>
  <c r="BJ31"/>
  <c r="BJ54"/>
  <c r="BJ48"/>
  <c r="BJ41"/>
  <c r="BJ11"/>
  <c r="BJ26"/>
  <c r="BJ59"/>
  <c r="BJ67"/>
  <c r="BJ5"/>
  <c r="BJ6"/>
  <c r="BJ49"/>
  <c r="BJ60"/>
  <c r="BJ47"/>
  <c r="BJ12"/>
  <c r="BJ13"/>
  <c r="BJ14"/>
  <c r="BJ15"/>
  <c r="BJ16"/>
  <c r="BJ32"/>
  <c r="BJ17"/>
  <c r="BJ18"/>
  <c r="BJ19"/>
  <c r="BJ33"/>
  <c r="BJ63"/>
  <c r="BJ7"/>
  <c r="BJ37"/>
  <c r="BJ34"/>
  <c r="BJ55"/>
  <c r="BJ40"/>
  <c r="BJ38"/>
  <c r="BJ27"/>
  <c r="BJ64"/>
  <c r="BJ43"/>
  <c r="BJ35"/>
  <c r="BJ52"/>
  <c r="BJ28"/>
  <c r="BJ53"/>
  <c r="BJ46"/>
  <c r="BJ39"/>
  <c r="BJ20"/>
  <c r="BJ58"/>
  <c r="BJ21"/>
  <c r="BJ22"/>
  <c r="BJ36"/>
  <c r="BJ2"/>
  <c r="BJ62"/>
  <c r="BJ23"/>
  <c r="BJ24"/>
  <c r="BJ45"/>
  <c r="BJ44"/>
  <c r="BI65"/>
  <c r="BI3"/>
  <c r="BI9"/>
  <c r="BI50"/>
  <c r="BI29"/>
  <c r="BI4"/>
  <c r="BI8"/>
  <c r="BI42"/>
  <c r="BI56"/>
  <c r="BI51"/>
  <c r="BI10"/>
  <c r="BI57"/>
  <c r="BI25"/>
  <c r="BI30"/>
  <c r="BI66"/>
  <c r="BI61"/>
  <c r="BI31"/>
  <c r="BI54"/>
  <c r="BI48"/>
  <c r="BI41"/>
  <c r="BI11"/>
  <c r="BI26"/>
  <c r="BI59"/>
  <c r="BI67"/>
  <c r="BI5"/>
  <c r="BI6"/>
  <c r="BI49"/>
  <c r="BI60"/>
  <c r="BI47"/>
  <c r="BI12"/>
  <c r="BI13"/>
  <c r="BI14"/>
  <c r="BI15"/>
  <c r="BI16"/>
  <c r="BI32"/>
  <c r="BI17"/>
  <c r="BI18"/>
  <c r="BI19"/>
  <c r="BI33"/>
  <c r="BI63"/>
  <c r="BI7"/>
  <c r="BI37"/>
  <c r="BI34"/>
  <c r="BI55"/>
  <c r="BI40"/>
  <c r="BI38"/>
  <c r="BI27"/>
  <c r="BI64"/>
  <c r="BI43"/>
  <c r="BI35"/>
  <c r="BI52"/>
  <c r="BI28"/>
  <c r="BI53"/>
  <c r="BI46"/>
  <c r="BI39"/>
  <c r="BI20"/>
  <c r="BI58"/>
  <c r="BI21"/>
  <c r="BI22"/>
  <c r="BI36"/>
  <c r="BI2"/>
  <c r="BI62"/>
  <c r="BI23"/>
  <c r="BI24"/>
  <c r="BI45"/>
  <c r="BI44"/>
  <c r="BH65"/>
  <c r="BH3"/>
  <c r="BH9"/>
  <c r="BH50"/>
  <c r="BH29"/>
  <c r="BH4"/>
  <c r="BH8"/>
  <c r="BH42"/>
  <c r="BH56"/>
  <c r="BH51"/>
  <c r="BH10"/>
  <c r="BH57"/>
  <c r="BH25"/>
  <c r="BH30"/>
  <c r="BH66"/>
  <c r="BH61"/>
  <c r="BH31"/>
  <c r="BH54"/>
  <c r="BH48"/>
  <c r="BH41"/>
  <c r="BH11"/>
  <c r="BH26"/>
  <c r="BH59"/>
  <c r="BH67"/>
  <c r="BH5"/>
  <c r="BH6"/>
  <c r="BH49"/>
  <c r="BH60"/>
  <c r="BH47"/>
  <c r="BH12"/>
  <c r="BH13"/>
  <c r="BH14"/>
  <c r="BH15"/>
  <c r="BH16"/>
  <c r="BH32"/>
  <c r="BH17"/>
  <c r="BH18"/>
  <c r="BH19"/>
  <c r="BH33"/>
  <c r="BH63"/>
  <c r="BH7"/>
  <c r="BH37"/>
  <c r="BH34"/>
  <c r="BH55"/>
  <c r="BH40"/>
  <c r="BH38"/>
  <c r="BH27"/>
  <c r="BH64"/>
  <c r="BH43"/>
  <c r="BH35"/>
  <c r="BH52"/>
  <c r="BH28"/>
  <c r="BH53"/>
  <c r="BH46"/>
  <c r="BH39"/>
  <c r="BH20"/>
  <c r="BH58"/>
  <c r="BH21"/>
  <c r="BH22"/>
  <c r="BH36"/>
  <c r="BH2"/>
  <c r="BH62"/>
  <c r="BH23"/>
  <c r="BH24"/>
  <c r="BH45"/>
  <c r="BH44"/>
  <c r="BG65"/>
  <c r="BG3"/>
  <c r="BG9"/>
  <c r="BG50"/>
  <c r="BG29"/>
  <c r="BG4"/>
  <c r="BG8"/>
  <c r="BG42"/>
  <c r="BG56"/>
  <c r="BG51"/>
  <c r="BG10"/>
  <c r="BG57"/>
  <c r="BG25"/>
  <c r="BG30"/>
  <c r="BG66"/>
  <c r="BG61"/>
  <c r="BG31"/>
  <c r="BG54"/>
  <c r="BG48"/>
  <c r="BG41"/>
  <c r="BG11"/>
  <c r="BG26"/>
  <c r="BG59"/>
  <c r="BG67"/>
  <c r="BG5"/>
  <c r="BG6"/>
  <c r="BG49"/>
  <c r="BG60"/>
  <c r="BG47"/>
  <c r="BG12"/>
  <c r="BG13"/>
  <c r="BG14"/>
  <c r="BG15"/>
  <c r="BG16"/>
  <c r="BG32"/>
  <c r="BG17"/>
  <c r="BG18"/>
  <c r="BG19"/>
  <c r="BG33"/>
  <c r="BG63"/>
  <c r="BG7"/>
  <c r="BG37"/>
  <c r="BG34"/>
  <c r="BG55"/>
  <c r="BG40"/>
  <c r="BG38"/>
  <c r="BG27"/>
  <c r="BG64"/>
  <c r="BG43"/>
  <c r="BG35"/>
  <c r="BG52"/>
  <c r="BG28"/>
  <c r="BG53"/>
  <c r="BG46"/>
  <c r="BG39"/>
  <c r="BG20"/>
  <c r="BG58"/>
  <c r="BG21"/>
  <c r="BG22"/>
  <c r="BG36"/>
  <c r="BG2"/>
  <c r="BG62"/>
  <c r="BG23"/>
  <c r="BG24"/>
  <c r="BG45"/>
  <c r="BG44"/>
  <c r="BF65"/>
  <c r="BF3"/>
  <c r="BF9"/>
  <c r="BF50"/>
  <c r="BF29"/>
  <c r="BF4"/>
  <c r="BF8"/>
  <c r="BF42"/>
  <c r="BF56"/>
  <c r="BF51"/>
  <c r="BF10"/>
  <c r="BF57"/>
  <c r="BF25"/>
  <c r="BF30"/>
  <c r="BF66"/>
  <c r="BF61"/>
  <c r="BF31"/>
  <c r="BF54"/>
  <c r="BF48"/>
  <c r="BF41"/>
  <c r="BF11"/>
  <c r="BF26"/>
  <c r="BF59"/>
  <c r="BF67"/>
  <c r="BF5"/>
  <c r="BF6"/>
  <c r="BF49"/>
  <c r="BF60"/>
  <c r="BF47"/>
  <c r="BF12"/>
  <c r="BF13"/>
  <c r="BF14"/>
  <c r="BF15"/>
  <c r="BF16"/>
  <c r="BF32"/>
  <c r="BF17"/>
  <c r="BF18"/>
  <c r="BF19"/>
  <c r="BF33"/>
  <c r="BF63"/>
  <c r="BF7"/>
  <c r="BF37"/>
  <c r="BF34"/>
  <c r="BF55"/>
  <c r="BF40"/>
  <c r="BF38"/>
  <c r="BF27"/>
  <c r="BF64"/>
  <c r="BF43"/>
  <c r="BF35"/>
  <c r="BF52"/>
  <c r="BF28"/>
  <c r="BF53"/>
  <c r="BF46"/>
  <c r="BF39"/>
  <c r="BF20"/>
  <c r="BF58"/>
  <c r="BF21"/>
  <c r="BF22"/>
  <c r="BF36"/>
  <c r="BF2"/>
  <c r="BF62"/>
  <c r="BF23"/>
  <c r="BF24"/>
  <c r="BF45"/>
  <c r="BF44"/>
  <c r="BE65"/>
  <c r="BE3"/>
  <c r="BE9"/>
  <c r="BE50"/>
  <c r="BE29"/>
  <c r="BE4"/>
  <c r="BE8"/>
  <c r="BE42"/>
  <c r="BE56"/>
  <c r="BE51"/>
  <c r="BE10"/>
  <c r="BE57"/>
  <c r="BE25"/>
  <c r="BE30"/>
  <c r="BE66"/>
  <c r="BE61"/>
  <c r="BE31"/>
  <c r="BE54"/>
  <c r="BE48"/>
  <c r="BE41"/>
  <c r="BE11"/>
  <c r="BE26"/>
  <c r="BE59"/>
  <c r="BE67"/>
  <c r="BE5"/>
  <c r="BE6"/>
  <c r="BE49"/>
  <c r="BE60"/>
  <c r="BE47"/>
  <c r="BE12"/>
  <c r="BE13"/>
  <c r="BE14"/>
  <c r="BE15"/>
  <c r="BE16"/>
  <c r="BE32"/>
  <c r="BE17"/>
  <c r="BE18"/>
  <c r="BE19"/>
  <c r="BE33"/>
  <c r="BE63"/>
  <c r="BE7"/>
  <c r="BE37"/>
  <c r="BE34"/>
  <c r="BE55"/>
  <c r="BE40"/>
  <c r="BE38"/>
  <c r="BE27"/>
  <c r="BE64"/>
  <c r="BE43"/>
  <c r="BE35"/>
  <c r="BE52"/>
  <c r="BE28"/>
  <c r="BE53"/>
  <c r="BE46"/>
  <c r="BE39"/>
  <c r="BE20"/>
  <c r="BE58"/>
  <c r="BE21"/>
  <c r="BE22"/>
  <c r="BE36"/>
  <c r="BE2"/>
  <c r="BE62"/>
  <c r="BE23"/>
  <c r="BE24"/>
  <c r="BE45"/>
  <c r="BE44"/>
  <c r="BD65"/>
  <c r="BD3"/>
  <c r="BD9"/>
  <c r="BD50"/>
  <c r="BD29"/>
  <c r="BD4"/>
  <c r="BD8"/>
  <c r="BD42"/>
  <c r="BD56"/>
  <c r="BD51"/>
  <c r="BD10"/>
  <c r="BD57"/>
  <c r="BD25"/>
  <c r="BD30"/>
  <c r="BD66"/>
  <c r="BD61"/>
  <c r="BD31"/>
  <c r="BD54"/>
  <c r="BD48"/>
  <c r="BD41"/>
  <c r="BD11"/>
  <c r="BD26"/>
  <c r="BD59"/>
  <c r="BD67"/>
  <c r="BD5"/>
  <c r="BD6"/>
  <c r="BD49"/>
  <c r="BD60"/>
  <c r="BD47"/>
  <c r="BD12"/>
  <c r="BD13"/>
  <c r="BD14"/>
  <c r="BD15"/>
  <c r="BD16"/>
  <c r="BD32"/>
  <c r="BD17"/>
  <c r="BD18"/>
  <c r="BD19"/>
  <c r="BD33"/>
  <c r="BD63"/>
  <c r="BD7"/>
  <c r="BD37"/>
  <c r="BD34"/>
  <c r="BD55"/>
  <c r="BD40"/>
  <c r="BD38"/>
  <c r="BD27"/>
  <c r="BD64"/>
  <c r="BD43"/>
  <c r="BD35"/>
  <c r="BD52"/>
  <c r="BD28"/>
  <c r="BD53"/>
  <c r="BD46"/>
  <c r="BD39"/>
  <c r="BD20"/>
  <c r="BD58"/>
  <c r="BD21"/>
  <c r="BD22"/>
  <c r="BD36"/>
  <c r="BD2"/>
  <c r="BD62"/>
  <c r="BD23"/>
  <c r="BD24"/>
  <c r="BD45"/>
  <c r="BD44"/>
  <c r="BC65"/>
  <c r="BC3"/>
  <c r="BC9"/>
  <c r="BC50"/>
  <c r="BC29"/>
  <c r="BC4"/>
  <c r="BC8"/>
  <c r="BC42"/>
  <c r="BC56"/>
  <c r="BC51"/>
  <c r="BC10"/>
  <c r="BC57"/>
  <c r="BC25"/>
  <c r="BC30"/>
  <c r="BC66"/>
  <c r="BC61"/>
  <c r="BC31"/>
  <c r="BC54"/>
  <c r="BC48"/>
  <c r="BC41"/>
  <c r="BC11"/>
  <c r="BC26"/>
  <c r="BC59"/>
  <c r="BC67"/>
  <c r="BC5"/>
  <c r="BC6"/>
  <c r="BC49"/>
  <c r="BC60"/>
  <c r="BC47"/>
  <c r="BC12"/>
  <c r="BC13"/>
  <c r="BC14"/>
  <c r="BC15"/>
  <c r="BC16"/>
  <c r="BC32"/>
  <c r="BC17"/>
  <c r="BC18"/>
  <c r="BC19"/>
  <c r="BC33"/>
  <c r="BC63"/>
  <c r="BC7"/>
  <c r="BC37"/>
  <c r="BC34"/>
  <c r="BC55"/>
  <c r="BC40"/>
  <c r="BC38"/>
  <c r="BC27"/>
  <c r="BC64"/>
  <c r="BC43"/>
  <c r="BC35"/>
  <c r="BC52"/>
  <c r="BC28"/>
  <c r="BC53"/>
  <c r="BC46"/>
  <c r="BC39"/>
  <c r="BC20"/>
  <c r="BC58"/>
  <c r="BC21"/>
  <c r="BC22"/>
  <c r="BC36"/>
  <c r="BC2"/>
  <c r="BC62"/>
  <c r="BC23"/>
  <c r="BC24"/>
  <c r="BC45"/>
  <c r="BC44"/>
  <c r="BB65"/>
  <c r="BB3"/>
  <c r="BB9"/>
  <c r="BB50"/>
  <c r="BB29"/>
  <c r="BB4"/>
  <c r="BB8"/>
  <c r="BB42"/>
  <c r="BB56"/>
  <c r="BB51"/>
  <c r="BB10"/>
  <c r="BB57"/>
  <c r="BB25"/>
  <c r="BB30"/>
  <c r="BB66"/>
  <c r="BB61"/>
  <c r="BB31"/>
  <c r="BB54"/>
  <c r="BB48"/>
  <c r="BB41"/>
  <c r="BB11"/>
  <c r="BB26"/>
  <c r="BB59"/>
  <c r="BB67"/>
  <c r="BB5"/>
  <c r="BB6"/>
  <c r="BB49"/>
  <c r="BB60"/>
  <c r="BB47"/>
  <c r="BB12"/>
  <c r="BB13"/>
  <c r="BB14"/>
  <c r="BB15"/>
  <c r="BB16"/>
  <c r="BB32"/>
  <c r="BB17"/>
  <c r="BB18"/>
  <c r="BB19"/>
  <c r="BB33"/>
  <c r="BB63"/>
  <c r="BB7"/>
  <c r="BB37"/>
  <c r="BB34"/>
  <c r="BB55"/>
  <c r="BB40"/>
  <c r="BB38"/>
  <c r="BB27"/>
  <c r="BB64"/>
  <c r="BB43"/>
  <c r="BB35"/>
  <c r="BB52"/>
  <c r="BB28"/>
  <c r="BB53"/>
  <c r="BB46"/>
  <c r="BB39"/>
  <c r="BB20"/>
  <c r="BB58"/>
  <c r="BB21"/>
  <c r="BB22"/>
  <c r="BB36"/>
  <c r="BB2"/>
  <c r="BB62"/>
  <c r="BB23"/>
  <c r="BB24"/>
  <c r="BB45"/>
  <c r="BB44"/>
  <c r="BA65"/>
  <c r="BA3"/>
  <c r="BA9"/>
  <c r="BA50"/>
  <c r="BA29"/>
  <c r="BA4"/>
  <c r="BA8"/>
  <c r="BA42"/>
  <c r="BA56"/>
  <c r="BA51"/>
  <c r="BA10"/>
  <c r="BA57"/>
  <c r="BA25"/>
  <c r="BA30"/>
  <c r="BA66"/>
  <c r="BA61"/>
  <c r="BA31"/>
  <c r="BA54"/>
  <c r="BA48"/>
  <c r="BA41"/>
  <c r="BA11"/>
  <c r="BA26"/>
  <c r="BA59"/>
  <c r="BA67"/>
  <c r="BA5"/>
  <c r="BA6"/>
  <c r="BA49"/>
  <c r="BA60"/>
  <c r="BA47"/>
  <c r="BA12"/>
  <c r="BA13"/>
  <c r="BA14"/>
  <c r="BA15"/>
  <c r="BA16"/>
  <c r="BA32"/>
  <c r="BA17"/>
  <c r="BA18"/>
  <c r="BA19"/>
  <c r="BA33"/>
  <c r="BA63"/>
  <c r="BA7"/>
  <c r="BA37"/>
  <c r="BA34"/>
  <c r="BA55"/>
  <c r="BA40"/>
  <c r="BA38"/>
  <c r="BA27"/>
  <c r="BA64"/>
  <c r="BA43"/>
  <c r="BA35"/>
  <c r="BA52"/>
  <c r="BA28"/>
  <c r="BA53"/>
  <c r="BA46"/>
  <c r="BA39"/>
  <c r="BA20"/>
  <c r="BA58"/>
  <c r="BA21"/>
  <c r="BA22"/>
  <c r="BA36"/>
  <c r="BA2"/>
  <c r="BA62"/>
  <c r="BA23"/>
  <c r="BA24"/>
  <c r="BA45"/>
  <c r="BA44"/>
  <c r="AZ65"/>
  <c r="AZ3"/>
  <c r="AZ9"/>
  <c r="AZ50"/>
  <c r="AZ29"/>
  <c r="AZ4"/>
  <c r="AZ8"/>
  <c r="AZ42"/>
  <c r="AZ56"/>
  <c r="AZ51"/>
  <c r="AZ10"/>
  <c r="AZ57"/>
  <c r="AZ25"/>
  <c r="AZ30"/>
  <c r="AZ66"/>
  <c r="AZ61"/>
  <c r="AZ31"/>
  <c r="AZ54"/>
  <c r="AZ48"/>
  <c r="AZ41"/>
  <c r="AZ11"/>
  <c r="AZ26"/>
  <c r="AZ59"/>
  <c r="AZ67"/>
  <c r="AZ5"/>
  <c r="AZ6"/>
  <c r="AZ49"/>
  <c r="AZ60"/>
  <c r="AZ47"/>
  <c r="AZ12"/>
  <c r="AZ13"/>
  <c r="AZ14"/>
  <c r="AZ15"/>
  <c r="AZ16"/>
  <c r="AZ32"/>
  <c r="AZ17"/>
  <c r="AZ18"/>
  <c r="AZ19"/>
  <c r="AZ33"/>
  <c r="AZ63"/>
  <c r="AZ7"/>
  <c r="AZ37"/>
  <c r="AZ34"/>
  <c r="AZ55"/>
  <c r="AZ40"/>
  <c r="AZ38"/>
  <c r="AZ27"/>
  <c r="AZ64"/>
  <c r="AZ43"/>
  <c r="AZ35"/>
  <c r="AZ52"/>
  <c r="AZ28"/>
  <c r="AZ53"/>
  <c r="AZ46"/>
  <c r="AZ39"/>
  <c r="AZ20"/>
  <c r="AZ58"/>
  <c r="AZ21"/>
  <c r="AZ22"/>
  <c r="AZ36"/>
  <c r="AZ2"/>
  <c r="AZ62"/>
  <c r="AZ23"/>
  <c r="AZ24"/>
  <c r="AZ45"/>
  <c r="AZ44"/>
  <c r="AY65"/>
  <c r="AY3"/>
  <c r="AY9"/>
  <c r="AY50"/>
  <c r="AY29"/>
  <c r="AY4"/>
  <c r="AY8"/>
  <c r="AY42"/>
  <c r="AY56"/>
  <c r="AY51"/>
  <c r="AY10"/>
  <c r="AY57"/>
  <c r="AY25"/>
  <c r="AY30"/>
  <c r="AY66"/>
  <c r="AY61"/>
  <c r="AY31"/>
  <c r="AY54"/>
  <c r="AY48"/>
  <c r="AY41"/>
  <c r="AY11"/>
  <c r="AY26"/>
  <c r="AY59"/>
  <c r="AY67"/>
  <c r="AY5"/>
  <c r="AY6"/>
  <c r="AY49"/>
  <c r="AY60"/>
  <c r="AY47"/>
  <c r="AY12"/>
  <c r="AY13"/>
  <c r="AY14"/>
  <c r="AY15"/>
  <c r="AY16"/>
  <c r="AY32"/>
  <c r="AY17"/>
  <c r="AY18"/>
  <c r="AY19"/>
  <c r="AY33"/>
  <c r="AY63"/>
  <c r="AY7"/>
  <c r="AY37"/>
  <c r="AY34"/>
  <c r="AY55"/>
  <c r="AY40"/>
  <c r="AY38"/>
  <c r="AY27"/>
  <c r="AY64"/>
  <c r="AY43"/>
  <c r="AY35"/>
  <c r="AY52"/>
  <c r="AY28"/>
  <c r="AY53"/>
  <c r="AY46"/>
  <c r="AY39"/>
  <c r="AY20"/>
  <c r="AY58"/>
  <c r="AY21"/>
  <c r="AY22"/>
  <c r="AY36"/>
  <c r="AY2"/>
  <c r="AY62"/>
  <c r="AY23"/>
  <c r="AY24"/>
  <c r="AY45"/>
  <c r="AY44"/>
  <c r="AX65"/>
  <c r="AX3"/>
  <c r="AX9"/>
  <c r="AX50"/>
  <c r="AX29"/>
  <c r="AX4"/>
  <c r="AX8"/>
  <c r="AX42"/>
  <c r="AX56"/>
  <c r="AX51"/>
  <c r="AX10"/>
  <c r="AX57"/>
  <c r="AX25"/>
  <c r="AX30"/>
  <c r="AX66"/>
  <c r="AX61"/>
  <c r="AX31"/>
  <c r="AX54"/>
  <c r="AX48"/>
  <c r="AX41"/>
  <c r="AX11"/>
  <c r="AX26"/>
  <c r="AX59"/>
  <c r="AX67"/>
  <c r="AX5"/>
  <c r="AX6"/>
  <c r="AX49"/>
  <c r="AX60"/>
  <c r="AX47"/>
  <c r="AX12"/>
  <c r="AX13"/>
  <c r="AX14"/>
  <c r="AX15"/>
  <c r="AX16"/>
  <c r="AX32"/>
  <c r="AX17"/>
  <c r="AX18"/>
  <c r="AX19"/>
  <c r="AX33"/>
  <c r="AX63"/>
  <c r="AX7"/>
  <c r="AX37"/>
  <c r="AX34"/>
  <c r="AX55"/>
  <c r="AX40"/>
  <c r="AX38"/>
  <c r="AX27"/>
  <c r="AX64"/>
  <c r="AX43"/>
  <c r="AX35"/>
  <c r="AX52"/>
  <c r="AX28"/>
  <c r="AX53"/>
  <c r="AX46"/>
  <c r="AX39"/>
  <c r="AX20"/>
  <c r="AX58"/>
  <c r="AX21"/>
  <c r="AX22"/>
  <c r="AX36"/>
  <c r="AX2"/>
  <c r="AX62"/>
  <c r="AX23"/>
  <c r="AX24"/>
  <c r="AX45"/>
  <c r="AX44"/>
  <c r="AW65"/>
  <c r="AW3"/>
  <c r="AW9"/>
  <c r="AW50"/>
  <c r="AW29"/>
  <c r="AW4"/>
  <c r="AW8"/>
  <c r="AW42"/>
  <c r="AW56"/>
  <c r="AW51"/>
  <c r="AW10"/>
  <c r="AW57"/>
  <c r="AW25"/>
  <c r="AW30"/>
  <c r="AW66"/>
  <c r="AW61"/>
  <c r="AW31"/>
  <c r="AW54"/>
  <c r="AW48"/>
  <c r="AW41"/>
  <c r="AW11"/>
  <c r="AW26"/>
  <c r="AW59"/>
  <c r="AW67"/>
  <c r="AW5"/>
  <c r="AW6"/>
  <c r="AW49"/>
  <c r="AW60"/>
  <c r="AW47"/>
  <c r="AW12"/>
  <c r="AW13"/>
  <c r="AW14"/>
  <c r="AW15"/>
  <c r="AW16"/>
  <c r="AW32"/>
  <c r="AW17"/>
  <c r="AW18"/>
  <c r="AW19"/>
  <c r="AW33"/>
  <c r="AW63"/>
  <c r="AW7"/>
  <c r="AW37"/>
  <c r="AW34"/>
  <c r="AW55"/>
  <c r="AW40"/>
  <c r="AW38"/>
  <c r="AW27"/>
  <c r="AW64"/>
  <c r="AW43"/>
  <c r="AW35"/>
  <c r="AW52"/>
  <c r="AW28"/>
  <c r="AW53"/>
  <c r="AW46"/>
  <c r="AW39"/>
  <c r="AW20"/>
  <c r="AW58"/>
  <c r="AW21"/>
  <c r="AW22"/>
  <c r="AW36"/>
  <c r="AW2"/>
  <c r="AW62"/>
  <c r="AW23"/>
  <c r="AW24"/>
  <c r="AW45"/>
  <c r="AW44"/>
  <c r="AV65"/>
  <c r="AV3"/>
  <c r="AV9"/>
  <c r="AV50"/>
  <c r="AV29"/>
  <c r="AV4"/>
  <c r="AV8"/>
  <c r="AV42"/>
  <c r="AV56"/>
  <c r="AV51"/>
  <c r="AV10"/>
  <c r="AV57"/>
  <c r="AV25"/>
  <c r="AV30"/>
  <c r="AV66"/>
  <c r="AV61"/>
  <c r="AV31"/>
  <c r="AV54"/>
  <c r="AV48"/>
  <c r="AV41"/>
  <c r="AV11"/>
  <c r="AV26"/>
  <c r="AV59"/>
  <c r="AV67"/>
  <c r="AV5"/>
  <c r="AV6"/>
  <c r="AV49"/>
  <c r="AV60"/>
  <c r="AV47"/>
  <c r="AV12"/>
  <c r="AV13"/>
  <c r="AV14"/>
  <c r="AV15"/>
  <c r="AV16"/>
  <c r="AV32"/>
  <c r="AV17"/>
  <c r="AV18"/>
  <c r="AV19"/>
  <c r="AV33"/>
  <c r="AV63"/>
  <c r="AV7"/>
  <c r="AV37"/>
  <c r="AV34"/>
  <c r="AV55"/>
  <c r="AV40"/>
  <c r="AV38"/>
  <c r="AV27"/>
  <c r="AV64"/>
  <c r="AV43"/>
  <c r="AV35"/>
  <c r="AV52"/>
  <c r="AV28"/>
  <c r="AV53"/>
  <c r="AV46"/>
  <c r="AV39"/>
  <c r="AV20"/>
  <c r="AV58"/>
  <c r="AV21"/>
  <c r="AV22"/>
  <c r="AV36"/>
  <c r="AV2"/>
  <c r="AV62"/>
  <c r="AV23"/>
  <c r="AV24"/>
  <c r="AV45"/>
  <c r="AV44"/>
  <c r="AU65"/>
  <c r="AU3"/>
  <c r="AU9"/>
  <c r="AU50"/>
  <c r="AU29"/>
  <c r="AU4"/>
  <c r="AU8"/>
  <c r="AU42"/>
  <c r="AU56"/>
  <c r="AU51"/>
  <c r="AU10"/>
  <c r="AU57"/>
  <c r="AU25"/>
  <c r="AU30"/>
  <c r="AU66"/>
  <c r="AU61"/>
  <c r="AU31"/>
  <c r="AU54"/>
  <c r="AU48"/>
  <c r="AU41"/>
  <c r="AU11"/>
  <c r="AU26"/>
  <c r="AU59"/>
  <c r="AU67"/>
  <c r="AU5"/>
  <c r="AU6"/>
  <c r="AU49"/>
  <c r="AU60"/>
  <c r="AU47"/>
  <c r="AU12"/>
  <c r="AU13"/>
  <c r="AU14"/>
  <c r="AU15"/>
  <c r="AU16"/>
  <c r="AU32"/>
  <c r="AU17"/>
  <c r="AU18"/>
  <c r="AU19"/>
  <c r="AU33"/>
  <c r="AU63"/>
  <c r="AU7"/>
  <c r="AU37"/>
  <c r="AU34"/>
  <c r="AU55"/>
  <c r="AU40"/>
  <c r="AU38"/>
  <c r="AU27"/>
  <c r="AU64"/>
  <c r="AU43"/>
  <c r="AU35"/>
  <c r="AU52"/>
  <c r="AU28"/>
  <c r="AU53"/>
  <c r="AU46"/>
  <c r="AU39"/>
  <c r="AU20"/>
  <c r="AU58"/>
  <c r="AU21"/>
  <c r="AU22"/>
  <c r="AU36"/>
  <c r="AU2"/>
  <c r="AU62"/>
  <c r="AU23"/>
  <c r="AU24"/>
  <c r="AU45"/>
  <c r="AU44"/>
  <c r="AT65"/>
  <c r="AT3"/>
  <c r="AT9"/>
  <c r="AT50"/>
  <c r="AT29"/>
  <c r="AT4"/>
  <c r="AT8"/>
  <c r="AT42"/>
  <c r="AT56"/>
  <c r="AT51"/>
  <c r="AT10"/>
  <c r="AT57"/>
  <c r="AT25"/>
  <c r="AT30"/>
  <c r="AT66"/>
  <c r="AT61"/>
  <c r="AT31"/>
  <c r="AT54"/>
  <c r="AT48"/>
  <c r="AT41"/>
  <c r="AT11"/>
  <c r="AT26"/>
  <c r="AT59"/>
  <c r="AT67"/>
  <c r="AT5"/>
  <c r="AT6"/>
  <c r="AT49"/>
  <c r="AT60"/>
  <c r="AT47"/>
  <c r="AT12"/>
  <c r="AT13"/>
  <c r="AT14"/>
  <c r="AT15"/>
  <c r="AT16"/>
  <c r="AT32"/>
  <c r="AT17"/>
  <c r="AT18"/>
  <c r="AT19"/>
  <c r="AT33"/>
  <c r="AT63"/>
  <c r="AT7"/>
  <c r="AT37"/>
  <c r="AT34"/>
  <c r="AT55"/>
  <c r="AT40"/>
  <c r="AT38"/>
  <c r="AT27"/>
  <c r="AT64"/>
  <c r="AT43"/>
  <c r="AT35"/>
  <c r="AT52"/>
  <c r="AT28"/>
  <c r="AT53"/>
  <c r="AT46"/>
  <c r="AT39"/>
  <c r="AT20"/>
  <c r="AT58"/>
  <c r="AT21"/>
  <c r="AT22"/>
  <c r="AT36"/>
  <c r="AT2"/>
  <c r="AT62"/>
  <c r="AT23"/>
  <c r="AT24"/>
  <c r="AT45"/>
  <c r="AT44"/>
  <c r="AS65"/>
  <c r="AS3"/>
  <c r="AS9"/>
  <c r="AS50"/>
  <c r="AS29"/>
  <c r="AS4"/>
  <c r="AS8"/>
  <c r="AS42"/>
  <c r="AS56"/>
  <c r="AS51"/>
  <c r="AS10"/>
  <c r="AS57"/>
  <c r="AS25"/>
  <c r="AS30"/>
  <c r="AS66"/>
  <c r="AS61"/>
  <c r="AS31"/>
  <c r="AS54"/>
  <c r="AS48"/>
  <c r="AS41"/>
  <c r="AS11"/>
  <c r="AS26"/>
  <c r="AS59"/>
  <c r="AS67"/>
  <c r="AS5"/>
  <c r="AS6"/>
  <c r="AS49"/>
  <c r="AS60"/>
  <c r="AS47"/>
  <c r="AS12"/>
  <c r="AS13"/>
  <c r="AS14"/>
  <c r="AS15"/>
  <c r="AS16"/>
  <c r="AS32"/>
  <c r="AS17"/>
  <c r="AS18"/>
  <c r="AS19"/>
  <c r="AS33"/>
  <c r="AS63"/>
  <c r="AS7"/>
  <c r="AS37"/>
  <c r="AS34"/>
  <c r="AS55"/>
  <c r="AS40"/>
  <c r="AS38"/>
  <c r="AS27"/>
  <c r="AS64"/>
  <c r="AS43"/>
  <c r="AS35"/>
  <c r="AS52"/>
  <c r="AS28"/>
  <c r="AS53"/>
  <c r="AS46"/>
  <c r="AS39"/>
  <c r="AS20"/>
  <c r="AS58"/>
  <c r="AS21"/>
  <c r="AS22"/>
  <c r="AS36"/>
  <c r="AS2"/>
  <c r="AS62"/>
  <c r="AS23"/>
  <c r="AS24"/>
  <c r="AS45"/>
  <c r="AS44"/>
  <c r="AR65"/>
  <c r="AR3"/>
  <c r="AR9"/>
  <c r="AR50"/>
  <c r="AR29"/>
  <c r="AR4"/>
  <c r="AR8"/>
  <c r="AR42"/>
  <c r="AR56"/>
  <c r="AR51"/>
  <c r="AR10"/>
  <c r="AR57"/>
  <c r="AR25"/>
  <c r="AR30"/>
  <c r="AR66"/>
  <c r="AR61"/>
  <c r="AR31"/>
  <c r="AR54"/>
  <c r="AR48"/>
  <c r="AR41"/>
  <c r="AR11"/>
  <c r="AR26"/>
  <c r="AR59"/>
  <c r="AR67"/>
  <c r="AR5"/>
  <c r="AR6"/>
  <c r="AR49"/>
  <c r="AR60"/>
  <c r="AR47"/>
  <c r="AR12"/>
  <c r="AR13"/>
  <c r="AR14"/>
  <c r="AR15"/>
  <c r="AR16"/>
  <c r="AR32"/>
  <c r="AR17"/>
  <c r="AR18"/>
  <c r="AR19"/>
  <c r="AR33"/>
  <c r="AR63"/>
  <c r="AR7"/>
  <c r="AR37"/>
  <c r="AR34"/>
  <c r="AR55"/>
  <c r="AR40"/>
  <c r="AR38"/>
  <c r="AR27"/>
  <c r="AR64"/>
  <c r="AR43"/>
  <c r="AR35"/>
  <c r="AR52"/>
  <c r="AR28"/>
  <c r="AR53"/>
  <c r="AR46"/>
  <c r="AR39"/>
  <c r="AR20"/>
  <c r="AR58"/>
  <c r="AR21"/>
  <c r="AR22"/>
  <c r="AR36"/>
  <c r="AR2"/>
  <c r="AR62"/>
  <c r="AR23"/>
  <c r="AR24"/>
  <c r="AR45"/>
  <c r="AR44"/>
  <c r="AQ65"/>
  <c r="AQ3"/>
  <c r="AQ9"/>
  <c r="AQ50"/>
  <c r="AQ29"/>
  <c r="AQ4"/>
  <c r="AQ8"/>
  <c r="AQ42"/>
  <c r="AQ56"/>
  <c r="AQ51"/>
  <c r="AQ10"/>
  <c r="AQ57"/>
  <c r="AQ25"/>
  <c r="AQ30"/>
  <c r="AQ66"/>
  <c r="AQ61"/>
  <c r="AQ31"/>
  <c r="AQ54"/>
  <c r="AQ48"/>
  <c r="AQ41"/>
  <c r="AQ11"/>
  <c r="AQ26"/>
  <c r="AQ59"/>
  <c r="AQ67"/>
  <c r="AQ5"/>
  <c r="AQ6"/>
  <c r="AQ49"/>
  <c r="AQ60"/>
  <c r="AQ47"/>
  <c r="AQ12"/>
  <c r="AQ13"/>
  <c r="AQ14"/>
  <c r="AQ15"/>
  <c r="AQ16"/>
  <c r="AQ32"/>
  <c r="AQ17"/>
  <c r="AQ18"/>
  <c r="AQ19"/>
  <c r="AQ33"/>
  <c r="AQ63"/>
  <c r="AQ7"/>
  <c r="AQ37"/>
  <c r="AQ34"/>
  <c r="AQ55"/>
  <c r="AQ40"/>
  <c r="AQ38"/>
  <c r="AQ27"/>
  <c r="AQ64"/>
  <c r="AQ43"/>
  <c r="AQ35"/>
  <c r="AQ52"/>
  <c r="AQ28"/>
  <c r="AQ53"/>
  <c r="AQ46"/>
  <c r="AQ39"/>
  <c r="AQ20"/>
  <c r="AQ58"/>
  <c r="AQ21"/>
  <c r="AQ22"/>
  <c r="AQ36"/>
  <c r="AQ2"/>
  <c r="AQ62"/>
  <c r="AQ23"/>
  <c r="AQ24"/>
  <c r="AQ45"/>
  <c r="AQ44"/>
  <c r="AP65"/>
  <c r="AP3"/>
  <c r="AP9"/>
  <c r="AP50"/>
  <c r="AP29"/>
  <c r="AP4"/>
  <c r="AP8"/>
  <c r="AP42"/>
  <c r="AP56"/>
  <c r="AP51"/>
  <c r="AP10"/>
  <c r="AP57"/>
  <c r="AP25"/>
  <c r="AP30"/>
  <c r="AP66"/>
  <c r="AP61"/>
  <c r="AP31"/>
  <c r="AP54"/>
  <c r="AP48"/>
  <c r="AP41"/>
  <c r="AP11"/>
  <c r="AP26"/>
  <c r="AP59"/>
  <c r="AP67"/>
  <c r="AP5"/>
  <c r="AP6"/>
  <c r="AP49"/>
  <c r="AP60"/>
  <c r="AP47"/>
  <c r="AP12"/>
  <c r="AP13"/>
  <c r="AP14"/>
  <c r="AP15"/>
  <c r="AP16"/>
  <c r="AP32"/>
  <c r="AP17"/>
  <c r="AP18"/>
  <c r="AP19"/>
  <c r="AP33"/>
  <c r="AP63"/>
  <c r="AP7"/>
  <c r="AP37"/>
  <c r="AP34"/>
  <c r="AP55"/>
  <c r="AP40"/>
  <c r="AP38"/>
  <c r="AP27"/>
  <c r="AP64"/>
  <c r="AP43"/>
  <c r="AP35"/>
  <c r="AP52"/>
  <c r="AP28"/>
  <c r="AP53"/>
  <c r="AP46"/>
  <c r="AP39"/>
  <c r="AP20"/>
  <c r="AP58"/>
  <c r="AP21"/>
  <c r="AP22"/>
  <c r="AP36"/>
  <c r="AP2"/>
  <c r="AP62"/>
  <c r="AP23"/>
  <c r="AP24"/>
  <c r="AP45"/>
  <c r="AP44"/>
  <c r="AO65"/>
  <c r="AO3"/>
  <c r="AO9"/>
  <c r="AO50"/>
  <c r="AO29"/>
  <c r="AO4"/>
  <c r="AO8"/>
  <c r="AO42"/>
  <c r="AO56"/>
  <c r="AO51"/>
  <c r="AO10"/>
  <c r="AO57"/>
  <c r="AO25"/>
  <c r="AO30"/>
  <c r="AO66"/>
  <c r="AO61"/>
  <c r="AO31"/>
  <c r="AO54"/>
  <c r="AO48"/>
  <c r="AO41"/>
  <c r="AO11"/>
  <c r="AO26"/>
  <c r="AO59"/>
  <c r="AO67"/>
  <c r="AO5"/>
  <c r="AO6"/>
  <c r="AO49"/>
  <c r="AO60"/>
  <c r="AO47"/>
  <c r="AO12"/>
  <c r="AO13"/>
  <c r="AO14"/>
  <c r="AO15"/>
  <c r="AO16"/>
  <c r="AO32"/>
  <c r="AO17"/>
  <c r="AO18"/>
  <c r="AO19"/>
  <c r="AO33"/>
  <c r="AO63"/>
  <c r="AO7"/>
  <c r="AO37"/>
  <c r="AO34"/>
  <c r="AO55"/>
  <c r="AO40"/>
  <c r="AO38"/>
  <c r="AO27"/>
  <c r="AO64"/>
  <c r="AO43"/>
  <c r="AO35"/>
  <c r="AO52"/>
  <c r="AO28"/>
  <c r="AO53"/>
  <c r="AO46"/>
  <c r="AO39"/>
  <c r="AO20"/>
  <c r="AO58"/>
  <c r="AO21"/>
  <c r="AO22"/>
  <c r="AO36"/>
  <c r="AO2"/>
  <c r="AO62"/>
  <c r="AO23"/>
  <c r="AO24"/>
  <c r="AO45"/>
  <c r="AO44"/>
  <c r="AN65"/>
  <c r="AN3"/>
  <c r="AN9"/>
  <c r="AN50"/>
  <c r="AN29"/>
  <c r="AN4"/>
  <c r="AN8"/>
  <c r="AN42"/>
  <c r="AN56"/>
  <c r="AN51"/>
  <c r="AN10"/>
  <c r="AN57"/>
  <c r="AN25"/>
  <c r="AN30"/>
  <c r="AN66"/>
  <c r="AN61"/>
  <c r="AN31"/>
  <c r="AN54"/>
  <c r="AN48"/>
  <c r="AN41"/>
  <c r="AN11"/>
  <c r="AN26"/>
  <c r="AN59"/>
  <c r="AN67"/>
  <c r="AN5"/>
  <c r="AN6"/>
  <c r="AN49"/>
  <c r="AN60"/>
  <c r="AN47"/>
  <c r="AN12"/>
  <c r="AN13"/>
  <c r="AN14"/>
  <c r="AN15"/>
  <c r="AN16"/>
  <c r="AN32"/>
  <c r="AN17"/>
  <c r="AN18"/>
  <c r="AN19"/>
  <c r="AN33"/>
  <c r="AN63"/>
  <c r="AN7"/>
  <c r="AN37"/>
  <c r="AN34"/>
  <c r="AN55"/>
  <c r="AN40"/>
  <c r="AN38"/>
  <c r="AN27"/>
  <c r="AN64"/>
  <c r="AN43"/>
  <c r="AN35"/>
  <c r="AN52"/>
  <c r="AN28"/>
  <c r="AN53"/>
  <c r="AN46"/>
  <c r="AN39"/>
  <c r="AN20"/>
  <c r="AN58"/>
  <c r="AN21"/>
  <c r="AN22"/>
  <c r="AN36"/>
  <c r="AN2"/>
  <c r="AN62"/>
  <c r="AN23"/>
  <c r="AN24"/>
  <c r="AN45"/>
  <c r="AN44"/>
  <c r="AM65"/>
  <c r="AM3"/>
  <c r="AM9"/>
  <c r="AM50"/>
  <c r="AM29"/>
  <c r="AM4"/>
  <c r="AM8"/>
  <c r="AM42"/>
  <c r="AM56"/>
  <c r="AM51"/>
  <c r="AM10"/>
  <c r="AM57"/>
  <c r="AM25"/>
  <c r="AM30"/>
  <c r="AM66"/>
  <c r="AM61"/>
  <c r="AM31"/>
  <c r="AM54"/>
  <c r="AM48"/>
  <c r="AM41"/>
  <c r="AM11"/>
  <c r="AM26"/>
  <c r="AM59"/>
  <c r="AM67"/>
  <c r="AM5"/>
  <c r="AM6"/>
  <c r="AM49"/>
  <c r="AM60"/>
  <c r="AM47"/>
  <c r="AM12"/>
  <c r="AM13"/>
  <c r="AM14"/>
  <c r="AM15"/>
  <c r="AM16"/>
  <c r="AM32"/>
  <c r="AM17"/>
  <c r="AM18"/>
  <c r="AM19"/>
  <c r="AM33"/>
  <c r="AM63"/>
  <c r="AM7"/>
  <c r="AM37"/>
  <c r="AM34"/>
  <c r="AM55"/>
  <c r="AM40"/>
  <c r="AM38"/>
  <c r="AM27"/>
  <c r="AM64"/>
  <c r="AM43"/>
  <c r="AM35"/>
  <c r="AM52"/>
  <c r="AM28"/>
  <c r="AM53"/>
  <c r="AM46"/>
  <c r="AM39"/>
  <c r="AM20"/>
  <c r="AM58"/>
  <c r="AM21"/>
  <c r="AM22"/>
  <c r="AM36"/>
  <c r="AM2"/>
  <c r="AM62"/>
  <c r="AM23"/>
  <c r="AM24"/>
  <c r="AM45"/>
  <c r="AM44"/>
  <c r="AL65"/>
  <c r="AL3"/>
  <c r="AL9"/>
  <c r="AL50"/>
  <c r="AL29"/>
  <c r="AL4"/>
  <c r="AL8"/>
  <c r="AL42"/>
  <c r="AL56"/>
  <c r="AL51"/>
  <c r="AL10"/>
  <c r="AL57"/>
  <c r="AL25"/>
  <c r="AL30"/>
  <c r="AL66"/>
  <c r="AL61"/>
  <c r="AL31"/>
  <c r="AL54"/>
  <c r="AL48"/>
  <c r="AL41"/>
  <c r="AL11"/>
  <c r="AL26"/>
  <c r="AL59"/>
  <c r="AL67"/>
  <c r="AL5"/>
  <c r="AL6"/>
  <c r="AL49"/>
  <c r="AL60"/>
  <c r="AL47"/>
  <c r="AL12"/>
  <c r="AL13"/>
  <c r="AL14"/>
  <c r="AL15"/>
  <c r="AL16"/>
  <c r="AL32"/>
  <c r="AL17"/>
  <c r="AL18"/>
  <c r="AL19"/>
  <c r="AL33"/>
  <c r="AL63"/>
  <c r="AL7"/>
  <c r="AL37"/>
  <c r="AL34"/>
  <c r="AL55"/>
  <c r="AL40"/>
  <c r="AL38"/>
  <c r="AL27"/>
  <c r="AL64"/>
  <c r="AL43"/>
  <c r="AL35"/>
  <c r="AL52"/>
  <c r="AL28"/>
  <c r="AL53"/>
  <c r="AL46"/>
  <c r="AL39"/>
  <c r="AL20"/>
  <c r="AL58"/>
  <c r="AL21"/>
  <c r="AL22"/>
  <c r="AL36"/>
  <c r="AL2"/>
  <c r="AL62"/>
  <c r="AL23"/>
  <c r="AL24"/>
  <c r="AL45"/>
  <c r="AL44"/>
  <c r="AK65"/>
  <c r="AK3"/>
  <c r="AK9"/>
  <c r="AK50"/>
  <c r="AK29"/>
  <c r="AK4"/>
  <c r="AK8"/>
  <c r="AK42"/>
  <c r="AK56"/>
  <c r="AK51"/>
  <c r="AK10"/>
  <c r="AK57"/>
  <c r="AK25"/>
  <c r="AK30"/>
  <c r="AK66"/>
  <c r="AK61"/>
  <c r="AK31"/>
  <c r="AK54"/>
  <c r="AK48"/>
  <c r="AK41"/>
  <c r="AK11"/>
  <c r="AK26"/>
  <c r="AK59"/>
  <c r="AK67"/>
  <c r="AK5"/>
  <c r="AK6"/>
  <c r="AK49"/>
  <c r="AK60"/>
  <c r="AK47"/>
  <c r="AK12"/>
  <c r="AK13"/>
  <c r="AK14"/>
  <c r="AK15"/>
  <c r="AK16"/>
  <c r="AK32"/>
  <c r="AK17"/>
  <c r="AK18"/>
  <c r="AK19"/>
  <c r="AK33"/>
  <c r="AK63"/>
  <c r="AK7"/>
  <c r="AK37"/>
  <c r="AK34"/>
  <c r="AK55"/>
  <c r="AK40"/>
  <c r="AK38"/>
  <c r="AK27"/>
  <c r="AK64"/>
  <c r="AK43"/>
  <c r="AK35"/>
  <c r="AK52"/>
  <c r="AK28"/>
  <c r="AK53"/>
  <c r="AK46"/>
  <c r="AK39"/>
  <c r="AK20"/>
  <c r="AK58"/>
  <c r="AK21"/>
  <c r="AK22"/>
  <c r="AK36"/>
  <c r="AK2"/>
  <c r="AK62"/>
  <c r="AK23"/>
  <c r="AK24"/>
  <c r="AK45"/>
  <c r="AK44"/>
  <c r="AJ65"/>
  <c r="AJ3"/>
  <c r="AJ9"/>
  <c r="AJ50"/>
  <c r="AJ29"/>
  <c r="AJ4"/>
  <c r="AJ8"/>
  <c r="AJ42"/>
  <c r="AJ56"/>
  <c r="AJ51"/>
  <c r="AJ10"/>
  <c r="AJ57"/>
  <c r="AJ25"/>
  <c r="AJ30"/>
  <c r="AJ66"/>
  <c r="AJ61"/>
  <c r="AJ31"/>
  <c r="AJ54"/>
  <c r="AJ48"/>
  <c r="AJ41"/>
  <c r="AJ11"/>
  <c r="AJ26"/>
  <c r="AJ59"/>
  <c r="AJ67"/>
  <c r="AJ5"/>
  <c r="AJ6"/>
  <c r="AJ49"/>
  <c r="AJ60"/>
  <c r="AJ47"/>
  <c r="AJ12"/>
  <c r="AJ13"/>
  <c r="AJ14"/>
  <c r="AJ15"/>
  <c r="AJ16"/>
  <c r="AJ32"/>
  <c r="AJ17"/>
  <c r="AJ18"/>
  <c r="AJ19"/>
  <c r="AJ33"/>
  <c r="AJ63"/>
  <c r="AJ7"/>
  <c r="AJ37"/>
  <c r="AJ34"/>
  <c r="AJ55"/>
  <c r="AJ40"/>
  <c r="AJ38"/>
  <c r="AJ27"/>
  <c r="AJ64"/>
  <c r="AJ43"/>
  <c r="AJ35"/>
  <c r="AJ52"/>
  <c r="AJ28"/>
  <c r="AJ53"/>
  <c r="AJ46"/>
  <c r="AJ39"/>
  <c r="AJ20"/>
  <c r="AJ58"/>
  <c r="AJ21"/>
  <c r="AJ22"/>
  <c r="AJ36"/>
  <c r="AJ2"/>
  <c r="AJ62"/>
  <c r="AJ23"/>
  <c r="AJ24"/>
  <c r="AJ45"/>
  <c r="AJ44"/>
  <c r="AI65"/>
  <c r="AI3"/>
  <c r="AI9"/>
  <c r="AI50"/>
  <c r="AI29"/>
  <c r="AI4"/>
  <c r="AI8"/>
  <c r="AI42"/>
  <c r="AI56"/>
  <c r="AI51"/>
  <c r="AI10"/>
  <c r="AI57"/>
  <c r="AI25"/>
  <c r="AI30"/>
  <c r="AI66"/>
  <c r="AI61"/>
  <c r="AI31"/>
  <c r="AI54"/>
  <c r="AI48"/>
  <c r="AI41"/>
  <c r="AI11"/>
  <c r="AI26"/>
  <c r="AI59"/>
  <c r="AI67"/>
  <c r="AI5"/>
  <c r="AI6"/>
  <c r="AI49"/>
  <c r="AI60"/>
  <c r="AI47"/>
  <c r="AI12"/>
  <c r="AI13"/>
  <c r="AI14"/>
  <c r="AI15"/>
  <c r="AI16"/>
  <c r="AI32"/>
  <c r="AI17"/>
  <c r="AI18"/>
  <c r="AI19"/>
  <c r="AI33"/>
  <c r="AI63"/>
  <c r="AI7"/>
  <c r="AI37"/>
  <c r="AI34"/>
  <c r="AI55"/>
  <c r="AI40"/>
  <c r="AI38"/>
  <c r="AI27"/>
  <c r="AI64"/>
  <c r="AI43"/>
  <c r="AI35"/>
  <c r="AI52"/>
  <c r="AI28"/>
  <c r="AI53"/>
  <c r="AI46"/>
  <c r="AI39"/>
  <c r="AI20"/>
  <c r="AI58"/>
  <c r="AI21"/>
  <c r="AI22"/>
  <c r="AI36"/>
  <c r="AI2"/>
  <c r="AI62"/>
  <c r="AI23"/>
  <c r="AI24"/>
  <c r="AI45"/>
  <c r="AI44"/>
  <c r="AH65"/>
  <c r="AH3"/>
  <c r="AH9"/>
  <c r="AH50"/>
  <c r="AH29"/>
  <c r="AH4"/>
  <c r="AH8"/>
  <c r="AH42"/>
  <c r="AH56"/>
  <c r="AH51"/>
  <c r="AH10"/>
  <c r="AH57"/>
  <c r="AH25"/>
  <c r="AH30"/>
  <c r="AH66"/>
  <c r="AH61"/>
  <c r="AH31"/>
  <c r="AH54"/>
  <c r="AH48"/>
  <c r="AH41"/>
  <c r="AH11"/>
  <c r="AH26"/>
  <c r="AH59"/>
  <c r="AH67"/>
  <c r="AH5"/>
  <c r="AH6"/>
  <c r="AH49"/>
  <c r="AH60"/>
  <c r="AH47"/>
  <c r="AH12"/>
  <c r="AH13"/>
  <c r="AH14"/>
  <c r="AH15"/>
  <c r="AH16"/>
  <c r="AH32"/>
  <c r="AH17"/>
  <c r="AH18"/>
  <c r="AH19"/>
  <c r="AH33"/>
  <c r="AH63"/>
  <c r="AH7"/>
  <c r="AH37"/>
  <c r="AH34"/>
  <c r="AH55"/>
  <c r="AH40"/>
  <c r="AH38"/>
  <c r="AH27"/>
  <c r="AH64"/>
  <c r="AH43"/>
  <c r="AH35"/>
  <c r="AH52"/>
  <c r="AH28"/>
  <c r="AH53"/>
  <c r="AH46"/>
  <c r="AH39"/>
  <c r="AH20"/>
  <c r="AH58"/>
  <c r="AH21"/>
  <c r="AH22"/>
  <c r="AH36"/>
  <c r="AH2"/>
  <c r="AH62"/>
  <c r="AH23"/>
  <c r="AH24"/>
  <c r="AH45"/>
  <c r="AH44"/>
  <c r="AG65"/>
  <c r="AG3"/>
  <c r="AG9"/>
  <c r="AG50"/>
  <c r="AG29"/>
  <c r="AG4"/>
  <c r="AG8"/>
  <c r="AG42"/>
  <c r="AG56"/>
  <c r="AG51"/>
  <c r="AG10"/>
  <c r="AG57"/>
  <c r="AG25"/>
  <c r="AG30"/>
  <c r="AG66"/>
  <c r="AG61"/>
  <c r="AG31"/>
  <c r="AG54"/>
  <c r="AG48"/>
  <c r="AG41"/>
  <c r="AG11"/>
  <c r="AG26"/>
  <c r="AG59"/>
  <c r="AG67"/>
  <c r="AG5"/>
  <c r="AG6"/>
  <c r="AG49"/>
  <c r="AG60"/>
  <c r="AG47"/>
  <c r="AG12"/>
  <c r="AG13"/>
  <c r="AG14"/>
  <c r="AG15"/>
  <c r="AG16"/>
  <c r="AG32"/>
  <c r="AG17"/>
  <c r="AG18"/>
  <c r="AG19"/>
  <c r="AG33"/>
  <c r="AG63"/>
  <c r="AG7"/>
  <c r="AG37"/>
  <c r="AG34"/>
  <c r="AG55"/>
  <c r="AG40"/>
  <c r="AG38"/>
  <c r="AG27"/>
  <c r="AG64"/>
  <c r="AG43"/>
  <c r="AG35"/>
  <c r="AG52"/>
  <c r="AG28"/>
  <c r="AG53"/>
  <c r="AG46"/>
  <c r="AG39"/>
  <c r="AG20"/>
  <c r="AG58"/>
  <c r="AG21"/>
  <c r="AG22"/>
  <c r="AG36"/>
  <c r="AG2"/>
  <c r="AG62"/>
  <c r="AG23"/>
  <c r="AG24"/>
  <c r="AG45"/>
  <c r="AG44"/>
  <c r="AF65"/>
  <c r="AF3"/>
  <c r="AF9"/>
  <c r="AF50"/>
  <c r="AF29"/>
  <c r="AF4"/>
  <c r="AF8"/>
  <c r="AF42"/>
  <c r="AF56"/>
  <c r="AF51"/>
  <c r="AF10"/>
  <c r="AF57"/>
  <c r="AF25"/>
  <c r="AF30"/>
  <c r="AF66"/>
  <c r="AF61"/>
  <c r="AF31"/>
  <c r="AF54"/>
  <c r="AF48"/>
  <c r="AF41"/>
  <c r="AF11"/>
  <c r="AF26"/>
  <c r="AF59"/>
  <c r="AF67"/>
  <c r="AF5"/>
  <c r="AF6"/>
  <c r="AF49"/>
  <c r="AF60"/>
  <c r="AF47"/>
  <c r="AF12"/>
  <c r="AF13"/>
  <c r="AF14"/>
  <c r="AF15"/>
  <c r="AF16"/>
  <c r="AF32"/>
  <c r="AF17"/>
  <c r="AF18"/>
  <c r="AF19"/>
  <c r="AF33"/>
  <c r="AF63"/>
  <c r="AF7"/>
  <c r="AF37"/>
  <c r="AF34"/>
  <c r="AF55"/>
  <c r="AF40"/>
  <c r="AF38"/>
  <c r="AF27"/>
  <c r="AF64"/>
  <c r="AF43"/>
  <c r="AF35"/>
  <c r="AF52"/>
  <c r="AF28"/>
  <c r="AF53"/>
  <c r="AF46"/>
  <c r="AF39"/>
  <c r="AF20"/>
  <c r="AF58"/>
  <c r="AF21"/>
  <c r="AF22"/>
  <c r="AF36"/>
  <c r="AF2"/>
  <c r="AF62"/>
  <c r="AF23"/>
  <c r="AF24"/>
  <c r="AF45"/>
  <c r="AF44"/>
  <c r="AE65"/>
  <c r="AE3"/>
  <c r="AE9"/>
  <c r="AE50"/>
  <c r="AE29"/>
  <c r="AE4"/>
  <c r="AE8"/>
  <c r="AE42"/>
  <c r="AE56"/>
  <c r="AE51"/>
  <c r="AE10"/>
  <c r="AE57"/>
  <c r="AE25"/>
  <c r="AE30"/>
  <c r="AE66"/>
  <c r="AE61"/>
  <c r="AE31"/>
  <c r="AE54"/>
  <c r="AE48"/>
  <c r="AE41"/>
  <c r="AE11"/>
  <c r="AE26"/>
  <c r="AE59"/>
  <c r="AE67"/>
  <c r="AE5"/>
  <c r="AE6"/>
  <c r="AE49"/>
  <c r="AE60"/>
  <c r="AE47"/>
  <c r="AE12"/>
  <c r="AE13"/>
  <c r="AE14"/>
  <c r="AE15"/>
  <c r="AE16"/>
  <c r="AE32"/>
  <c r="AE17"/>
  <c r="AE18"/>
  <c r="AE19"/>
  <c r="AE33"/>
  <c r="AE63"/>
  <c r="AE7"/>
  <c r="AE37"/>
  <c r="AE34"/>
  <c r="AE55"/>
  <c r="AE40"/>
  <c r="AE38"/>
  <c r="AE27"/>
  <c r="AE64"/>
  <c r="AE43"/>
  <c r="AE35"/>
  <c r="AE52"/>
  <c r="AE28"/>
  <c r="AE53"/>
  <c r="AE46"/>
  <c r="AE39"/>
  <c r="AE20"/>
  <c r="AE58"/>
  <c r="AE21"/>
  <c r="AE22"/>
  <c r="AE36"/>
  <c r="AE2"/>
  <c r="AE62"/>
  <c r="AE23"/>
  <c r="AE24"/>
  <c r="AE45"/>
  <c r="AE44"/>
  <c r="AD65"/>
  <c r="AD3"/>
  <c r="AD9"/>
  <c r="AD50"/>
  <c r="AD29"/>
  <c r="AD4"/>
  <c r="AD8"/>
  <c r="AD42"/>
  <c r="AD56"/>
  <c r="AD51"/>
  <c r="AD10"/>
  <c r="AD57"/>
  <c r="AD25"/>
  <c r="AD30"/>
  <c r="AD66"/>
  <c r="AD61"/>
  <c r="AD31"/>
  <c r="AD54"/>
  <c r="AD48"/>
  <c r="AD41"/>
  <c r="AD11"/>
  <c r="AD26"/>
  <c r="AD59"/>
  <c r="AD67"/>
  <c r="AD5"/>
  <c r="AD6"/>
  <c r="AD49"/>
  <c r="AD60"/>
  <c r="AD47"/>
  <c r="AD12"/>
  <c r="AD13"/>
  <c r="AD14"/>
  <c r="AD15"/>
  <c r="AD16"/>
  <c r="AD32"/>
  <c r="AD17"/>
  <c r="AD18"/>
  <c r="AD19"/>
  <c r="AD33"/>
  <c r="AD63"/>
  <c r="AD7"/>
  <c r="AD37"/>
  <c r="AD34"/>
  <c r="AD55"/>
  <c r="AD40"/>
  <c r="AD38"/>
  <c r="AD27"/>
  <c r="AD64"/>
  <c r="AD43"/>
  <c r="AD35"/>
  <c r="AD52"/>
  <c r="AD28"/>
  <c r="AD53"/>
  <c r="AD46"/>
  <c r="AD39"/>
  <c r="AD20"/>
  <c r="AD58"/>
  <c r="AD21"/>
  <c r="AD22"/>
  <c r="AD36"/>
  <c r="AD2"/>
  <c r="AD62"/>
  <c r="AD23"/>
  <c r="AD24"/>
  <c r="AD45"/>
  <c r="AD44"/>
  <c r="AC65"/>
  <c r="AC3"/>
  <c r="AC9"/>
  <c r="AC50"/>
  <c r="AC29"/>
  <c r="AC4"/>
  <c r="AC8"/>
  <c r="AC42"/>
  <c r="AC56"/>
  <c r="AC51"/>
  <c r="AC10"/>
  <c r="AC57"/>
  <c r="AC25"/>
  <c r="AC30"/>
  <c r="AC66"/>
  <c r="AC61"/>
  <c r="AC31"/>
  <c r="AC54"/>
  <c r="AC48"/>
  <c r="AC41"/>
  <c r="AC11"/>
  <c r="AC26"/>
  <c r="AC59"/>
  <c r="AC67"/>
  <c r="AC5"/>
  <c r="AC6"/>
  <c r="AC49"/>
  <c r="AC60"/>
  <c r="AC47"/>
  <c r="AC12"/>
  <c r="AC13"/>
  <c r="AC14"/>
  <c r="AC15"/>
  <c r="AC16"/>
  <c r="AC32"/>
  <c r="AC17"/>
  <c r="AC18"/>
  <c r="AC19"/>
  <c r="AC33"/>
  <c r="AC63"/>
  <c r="AC7"/>
  <c r="AC37"/>
  <c r="AC34"/>
  <c r="AC55"/>
  <c r="AC40"/>
  <c r="AC38"/>
  <c r="AC27"/>
  <c r="AC64"/>
  <c r="AC43"/>
  <c r="AC35"/>
  <c r="AC52"/>
  <c r="AC28"/>
  <c r="AC53"/>
  <c r="AC46"/>
  <c r="AC39"/>
  <c r="AC20"/>
  <c r="AC58"/>
  <c r="AC21"/>
  <c r="AC22"/>
  <c r="AC36"/>
  <c r="AC2"/>
  <c r="AC62"/>
  <c r="AC23"/>
  <c r="AC24"/>
  <c r="AC45"/>
  <c r="AC44"/>
  <c r="AB65"/>
  <c r="AB3"/>
  <c r="AB9"/>
  <c r="AB50"/>
  <c r="AB29"/>
  <c r="AB4"/>
  <c r="AB8"/>
  <c r="AB42"/>
  <c r="AB56"/>
  <c r="AB51"/>
  <c r="AB10"/>
  <c r="AB57"/>
  <c r="AB25"/>
  <c r="AB30"/>
  <c r="AB66"/>
  <c r="AB61"/>
  <c r="AB31"/>
  <c r="AB54"/>
  <c r="AB48"/>
  <c r="AB41"/>
  <c r="AB11"/>
  <c r="AB26"/>
  <c r="AB59"/>
  <c r="AB67"/>
  <c r="AB5"/>
  <c r="AB6"/>
  <c r="AB49"/>
  <c r="AB60"/>
  <c r="AB47"/>
  <c r="AB12"/>
  <c r="AB13"/>
  <c r="AB14"/>
  <c r="AB15"/>
  <c r="AB16"/>
  <c r="AB32"/>
  <c r="AB17"/>
  <c r="AB18"/>
  <c r="AB19"/>
  <c r="AB33"/>
  <c r="AB63"/>
  <c r="AB7"/>
  <c r="AB37"/>
  <c r="AB34"/>
  <c r="AB55"/>
  <c r="AB40"/>
  <c r="AB38"/>
  <c r="AB27"/>
  <c r="AB64"/>
  <c r="AB43"/>
  <c r="AB35"/>
  <c r="AB52"/>
  <c r="AB28"/>
  <c r="AB53"/>
  <c r="AB46"/>
  <c r="AB39"/>
  <c r="AB20"/>
  <c r="AB58"/>
  <c r="AB21"/>
  <c r="AB22"/>
  <c r="AB36"/>
  <c r="AB2"/>
  <c r="AB62"/>
  <c r="AB23"/>
  <c r="AB24"/>
  <c r="AB45"/>
  <c r="AB44"/>
  <c r="AA65"/>
  <c r="AA3"/>
  <c r="AA9"/>
  <c r="AA50"/>
  <c r="AA29"/>
  <c r="AA4"/>
  <c r="AA8"/>
  <c r="AA42"/>
  <c r="AA56"/>
  <c r="AA51"/>
  <c r="AA10"/>
  <c r="AA57"/>
  <c r="AA25"/>
  <c r="AA30"/>
  <c r="AA66"/>
  <c r="AA61"/>
  <c r="AA31"/>
  <c r="AA54"/>
  <c r="AA48"/>
  <c r="AA41"/>
  <c r="AA11"/>
  <c r="AA26"/>
  <c r="AA59"/>
  <c r="AA67"/>
  <c r="AA5"/>
  <c r="AA6"/>
  <c r="AA49"/>
  <c r="AA60"/>
  <c r="AA47"/>
  <c r="AA12"/>
  <c r="AA13"/>
  <c r="AA14"/>
  <c r="AA15"/>
  <c r="AA16"/>
  <c r="AA32"/>
  <c r="AA17"/>
  <c r="AA18"/>
  <c r="AA19"/>
  <c r="AA33"/>
  <c r="AA63"/>
  <c r="AA7"/>
  <c r="AA37"/>
  <c r="AA34"/>
  <c r="AA55"/>
  <c r="AA40"/>
  <c r="AA38"/>
  <c r="AA27"/>
  <c r="AA64"/>
  <c r="AA43"/>
  <c r="AA35"/>
  <c r="AA52"/>
  <c r="AA28"/>
  <c r="AA53"/>
  <c r="AA46"/>
  <c r="AA39"/>
  <c r="AA20"/>
  <c r="AA58"/>
  <c r="AA21"/>
  <c r="AA22"/>
  <c r="AA36"/>
  <c r="AA2"/>
  <c r="AA62"/>
  <c r="AA23"/>
  <c r="AA24"/>
  <c r="AA45"/>
  <c r="AA44"/>
  <c r="Z65"/>
  <c r="Z3"/>
  <c r="Z9"/>
  <c r="Z50"/>
  <c r="Z29"/>
  <c r="Z4"/>
  <c r="Z8"/>
  <c r="Z42"/>
  <c r="Z56"/>
  <c r="Z51"/>
  <c r="Z10"/>
  <c r="Z57"/>
  <c r="Z25"/>
  <c r="Z30"/>
  <c r="Z66"/>
  <c r="Z61"/>
  <c r="Z31"/>
  <c r="Z54"/>
  <c r="Z48"/>
  <c r="Z41"/>
  <c r="Z11"/>
  <c r="Z26"/>
  <c r="Z59"/>
  <c r="Z67"/>
  <c r="Z5"/>
  <c r="Z6"/>
  <c r="Z49"/>
  <c r="Z60"/>
  <c r="Z47"/>
  <c r="Z12"/>
  <c r="Z13"/>
  <c r="Z14"/>
  <c r="Z15"/>
  <c r="Z16"/>
  <c r="Z32"/>
  <c r="Z17"/>
  <c r="Z18"/>
  <c r="Z19"/>
  <c r="Z33"/>
  <c r="Z63"/>
  <c r="Z7"/>
  <c r="Z37"/>
  <c r="Z34"/>
  <c r="Z55"/>
  <c r="Z40"/>
  <c r="Z38"/>
  <c r="Z27"/>
  <c r="Z64"/>
  <c r="Z43"/>
  <c r="Z35"/>
  <c r="Z52"/>
  <c r="Z28"/>
  <c r="Z53"/>
  <c r="Z46"/>
  <c r="Z39"/>
  <c r="Z20"/>
  <c r="Z58"/>
  <c r="Z21"/>
  <c r="Z22"/>
  <c r="Z36"/>
  <c r="Z2"/>
  <c r="Z62"/>
  <c r="Z23"/>
  <c r="Z24"/>
  <c r="Z45"/>
  <c r="Z44"/>
  <c r="Y65"/>
  <c r="Y3"/>
  <c r="Y9"/>
  <c r="Y50"/>
  <c r="Y29"/>
  <c r="Y4"/>
  <c r="Y8"/>
  <c r="Y42"/>
  <c r="Y56"/>
  <c r="Y51"/>
  <c r="Y10"/>
  <c r="Y57"/>
  <c r="Y25"/>
  <c r="Y30"/>
  <c r="Y66"/>
  <c r="Y61"/>
  <c r="Y31"/>
  <c r="Y54"/>
  <c r="Y48"/>
  <c r="Y41"/>
  <c r="Y11"/>
  <c r="Y26"/>
  <c r="Y59"/>
  <c r="Y67"/>
  <c r="Y5"/>
  <c r="Y6"/>
  <c r="Y49"/>
  <c r="Y60"/>
  <c r="Y47"/>
  <c r="Y12"/>
  <c r="Y13"/>
  <c r="Y14"/>
  <c r="Y15"/>
  <c r="Y16"/>
  <c r="Y32"/>
  <c r="Y17"/>
  <c r="Y18"/>
  <c r="Y19"/>
  <c r="Y33"/>
  <c r="Y63"/>
  <c r="Y7"/>
  <c r="Y37"/>
  <c r="Y34"/>
  <c r="Y55"/>
  <c r="Y40"/>
  <c r="Y38"/>
  <c r="Y27"/>
  <c r="Y64"/>
  <c r="Y43"/>
  <c r="Y35"/>
  <c r="Y52"/>
  <c r="Y28"/>
  <c r="Y53"/>
  <c r="Y46"/>
  <c r="Y39"/>
  <c r="Y20"/>
  <c r="Y58"/>
  <c r="Y21"/>
  <c r="Y22"/>
  <c r="Y36"/>
  <c r="Y2"/>
  <c r="Y62"/>
  <c r="Y23"/>
  <c r="Y24"/>
  <c r="Y45"/>
  <c r="Y44"/>
  <c r="X65"/>
  <c r="X3"/>
  <c r="X9"/>
  <c r="X50"/>
  <c r="X29"/>
  <c r="X4"/>
  <c r="X8"/>
  <c r="X42"/>
  <c r="X56"/>
  <c r="X51"/>
  <c r="X10"/>
  <c r="X57"/>
  <c r="X25"/>
  <c r="X30"/>
  <c r="X66"/>
  <c r="X61"/>
  <c r="X31"/>
  <c r="X54"/>
  <c r="X48"/>
  <c r="X41"/>
  <c r="X11"/>
  <c r="X26"/>
  <c r="X59"/>
  <c r="X67"/>
  <c r="X5"/>
  <c r="X6"/>
  <c r="X49"/>
  <c r="X60"/>
  <c r="X47"/>
  <c r="X12"/>
  <c r="X13"/>
  <c r="X14"/>
  <c r="X15"/>
  <c r="X16"/>
  <c r="X32"/>
  <c r="X17"/>
  <c r="X18"/>
  <c r="X19"/>
  <c r="X33"/>
  <c r="X63"/>
  <c r="X7"/>
  <c r="X37"/>
  <c r="X34"/>
  <c r="X55"/>
  <c r="X40"/>
  <c r="X38"/>
  <c r="X27"/>
  <c r="X64"/>
  <c r="X43"/>
  <c r="X35"/>
  <c r="X52"/>
  <c r="X28"/>
  <c r="X53"/>
  <c r="X46"/>
  <c r="X39"/>
  <c r="X20"/>
  <c r="X58"/>
  <c r="X21"/>
  <c r="X22"/>
  <c r="X36"/>
  <c r="X2"/>
  <c r="X62"/>
  <c r="X23"/>
  <c r="X24"/>
  <c r="X45"/>
  <c r="X44"/>
  <c r="W65"/>
  <c r="W3"/>
  <c r="W9"/>
  <c r="W50"/>
  <c r="W29"/>
  <c r="W4"/>
  <c r="W8"/>
  <c r="W42"/>
  <c r="W56"/>
  <c r="W51"/>
  <c r="W10"/>
  <c r="W57"/>
  <c r="W25"/>
  <c r="W30"/>
  <c r="W66"/>
  <c r="W61"/>
  <c r="W31"/>
  <c r="W54"/>
  <c r="W48"/>
  <c r="W41"/>
  <c r="W11"/>
  <c r="W26"/>
  <c r="W59"/>
  <c r="W67"/>
  <c r="W5"/>
  <c r="W6"/>
  <c r="W49"/>
  <c r="W60"/>
  <c r="W47"/>
  <c r="W12"/>
  <c r="W13"/>
  <c r="W14"/>
  <c r="W15"/>
  <c r="W16"/>
  <c r="W32"/>
  <c r="W17"/>
  <c r="W18"/>
  <c r="W19"/>
  <c r="W33"/>
  <c r="W63"/>
  <c r="W7"/>
  <c r="W37"/>
  <c r="W34"/>
  <c r="W55"/>
  <c r="W40"/>
  <c r="W38"/>
  <c r="W27"/>
  <c r="W64"/>
  <c r="W43"/>
  <c r="W35"/>
  <c r="W52"/>
  <c r="W28"/>
  <c r="W53"/>
  <c r="W46"/>
  <c r="W39"/>
  <c r="W20"/>
  <c r="W58"/>
  <c r="W21"/>
  <c r="W22"/>
  <c r="W36"/>
  <c r="W2"/>
  <c r="W62"/>
  <c r="W23"/>
  <c r="W24"/>
  <c r="W45"/>
  <c r="W44"/>
  <c r="V65"/>
  <c r="V3"/>
  <c r="V9"/>
  <c r="V50"/>
  <c r="V29"/>
  <c r="V4"/>
  <c r="V8"/>
  <c r="V42"/>
  <c r="V56"/>
  <c r="V51"/>
  <c r="V10"/>
  <c r="V57"/>
  <c r="V25"/>
  <c r="V30"/>
  <c r="V66"/>
  <c r="V61"/>
  <c r="V31"/>
  <c r="V54"/>
  <c r="V48"/>
  <c r="V41"/>
  <c r="V11"/>
  <c r="V26"/>
  <c r="V59"/>
  <c r="V67"/>
  <c r="V5"/>
  <c r="V6"/>
  <c r="V49"/>
  <c r="V60"/>
  <c r="V47"/>
  <c r="V12"/>
  <c r="V13"/>
  <c r="V14"/>
  <c r="V15"/>
  <c r="V16"/>
  <c r="V32"/>
  <c r="V17"/>
  <c r="V18"/>
  <c r="V19"/>
  <c r="V33"/>
  <c r="V63"/>
  <c r="V7"/>
  <c r="V37"/>
  <c r="V34"/>
  <c r="V55"/>
  <c r="V40"/>
  <c r="V38"/>
  <c r="V27"/>
  <c r="V64"/>
  <c r="V43"/>
  <c r="V35"/>
  <c r="V52"/>
  <c r="V28"/>
  <c r="V53"/>
  <c r="V46"/>
  <c r="V39"/>
  <c r="V20"/>
  <c r="V58"/>
  <c r="V21"/>
  <c r="V22"/>
  <c r="V36"/>
  <c r="V2"/>
  <c r="V62"/>
  <c r="V23"/>
  <c r="V24"/>
  <c r="V45"/>
  <c r="V44"/>
  <c r="U65"/>
  <c r="U3"/>
  <c r="U9"/>
  <c r="U50"/>
  <c r="U29"/>
  <c r="U4"/>
  <c r="U8"/>
  <c r="U42"/>
  <c r="U56"/>
  <c r="U51"/>
  <c r="U10"/>
  <c r="U57"/>
  <c r="U25"/>
  <c r="U30"/>
  <c r="U66"/>
  <c r="U61"/>
  <c r="U31"/>
  <c r="U54"/>
  <c r="U48"/>
  <c r="U41"/>
  <c r="U11"/>
  <c r="U26"/>
  <c r="U59"/>
  <c r="U67"/>
  <c r="U5"/>
  <c r="U6"/>
  <c r="U49"/>
  <c r="U60"/>
  <c r="U47"/>
  <c r="U12"/>
  <c r="U13"/>
  <c r="U14"/>
  <c r="U15"/>
  <c r="U16"/>
  <c r="U32"/>
  <c r="U17"/>
  <c r="U18"/>
  <c r="U19"/>
  <c r="U33"/>
  <c r="U63"/>
  <c r="U7"/>
  <c r="U37"/>
  <c r="U34"/>
  <c r="U55"/>
  <c r="U40"/>
  <c r="U38"/>
  <c r="U27"/>
  <c r="U64"/>
  <c r="U43"/>
  <c r="U35"/>
  <c r="U52"/>
  <c r="U28"/>
  <c r="U53"/>
  <c r="U46"/>
  <c r="U39"/>
  <c r="U20"/>
  <c r="U58"/>
  <c r="U21"/>
  <c r="U22"/>
  <c r="U36"/>
  <c r="U2"/>
  <c r="U62"/>
  <c r="U23"/>
  <c r="U24"/>
  <c r="U45"/>
  <c r="U44"/>
  <c r="T65"/>
  <c r="T3"/>
  <c r="T9"/>
  <c r="T50"/>
  <c r="T29"/>
  <c r="T4"/>
  <c r="T8"/>
  <c r="T42"/>
  <c r="T56"/>
  <c r="T51"/>
  <c r="T10"/>
  <c r="T57"/>
  <c r="T25"/>
  <c r="T30"/>
  <c r="T66"/>
  <c r="T61"/>
  <c r="T31"/>
  <c r="T54"/>
  <c r="T48"/>
  <c r="T41"/>
  <c r="T11"/>
  <c r="T26"/>
  <c r="T59"/>
  <c r="T67"/>
  <c r="T5"/>
  <c r="T6"/>
  <c r="T49"/>
  <c r="T60"/>
  <c r="T47"/>
  <c r="T12"/>
  <c r="T13"/>
  <c r="T14"/>
  <c r="T15"/>
  <c r="T16"/>
  <c r="T32"/>
  <c r="T17"/>
  <c r="T18"/>
  <c r="T19"/>
  <c r="T33"/>
  <c r="T63"/>
  <c r="T7"/>
  <c r="T37"/>
  <c r="T34"/>
  <c r="T55"/>
  <c r="T40"/>
  <c r="T38"/>
  <c r="T27"/>
  <c r="T64"/>
  <c r="T43"/>
  <c r="T35"/>
  <c r="T52"/>
  <c r="T28"/>
  <c r="T53"/>
  <c r="T46"/>
  <c r="T39"/>
  <c r="T20"/>
  <c r="T58"/>
  <c r="T21"/>
  <c r="T22"/>
  <c r="T36"/>
  <c r="T2"/>
  <c r="T62"/>
  <c r="T23"/>
  <c r="T24"/>
  <c r="T45"/>
  <c r="T44"/>
  <c r="S65"/>
  <c r="S3"/>
  <c r="S9"/>
  <c r="S50"/>
  <c r="S29"/>
  <c r="S4"/>
  <c r="S8"/>
  <c r="S42"/>
  <c r="S56"/>
  <c r="S51"/>
  <c r="S10"/>
  <c r="S57"/>
  <c r="S25"/>
  <c r="S30"/>
  <c r="S66"/>
  <c r="S61"/>
  <c r="S31"/>
  <c r="S54"/>
  <c r="S48"/>
  <c r="S41"/>
  <c r="S11"/>
  <c r="S26"/>
  <c r="S59"/>
  <c r="S67"/>
  <c r="S5"/>
  <c r="S6"/>
  <c r="S49"/>
  <c r="S60"/>
  <c r="S47"/>
  <c r="S12"/>
  <c r="S13"/>
  <c r="S14"/>
  <c r="S15"/>
  <c r="S16"/>
  <c r="S32"/>
  <c r="S17"/>
  <c r="S18"/>
  <c r="S19"/>
  <c r="S33"/>
  <c r="S63"/>
  <c r="S7"/>
  <c r="S37"/>
  <c r="S34"/>
  <c r="S55"/>
  <c r="S40"/>
  <c r="S38"/>
  <c r="S27"/>
  <c r="S64"/>
  <c r="S43"/>
  <c r="S35"/>
  <c r="S52"/>
  <c r="S28"/>
  <c r="S53"/>
  <c r="S46"/>
  <c r="S39"/>
  <c r="S20"/>
  <c r="S58"/>
  <c r="S21"/>
  <c r="S22"/>
  <c r="S36"/>
  <c r="S2"/>
  <c r="S62"/>
  <c r="S23"/>
  <c r="S24"/>
  <c r="S45"/>
  <c r="S44"/>
  <c r="R65"/>
  <c r="R3"/>
  <c r="R9"/>
  <c r="R50"/>
  <c r="R29"/>
  <c r="R4"/>
  <c r="R8"/>
  <c r="R42"/>
  <c r="R56"/>
  <c r="R51"/>
  <c r="R10"/>
  <c r="R57"/>
  <c r="R25"/>
  <c r="R30"/>
  <c r="R66"/>
  <c r="R61"/>
  <c r="R31"/>
  <c r="R54"/>
  <c r="R48"/>
  <c r="R41"/>
  <c r="R11"/>
  <c r="R26"/>
  <c r="R59"/>
  <c r="R67"/>
  <c r="R5"/>
  <c r="R6"/>
  <c r="R49"/>
  <c r="R60"/>
  <c r="R47"/>
  <c r="R12"/>
  <c r="R13"/>
  <c r="R14"/>
  <c r="R15"/>
  <c r="R16"/>
  <c r="R32"/>
  <c r="R17"/>
  <c r="R18"/>
  <c r="R19"/>
  <c r="R33"/>
  <c r="R63"/>
  <c r="R7"/>
  <c r="R37"/>
  <c r="R34"/>
  <c r="R55"/>
  <c r="R40"/>
  <c r="R38"/>
  <c r="R27"/>
  <c r="R64"/>
  <c r="R43"/>
  <c r="R35"/>
  <c r="R52"/>
  <c r="R28"/>
  <c r="R53"/>
  <c r="R46"/>
  <c r="R39"/>
  <c r="R20"/>
  <c r="R58"/>
  <c r="R21"/>
  <c r="R22"/>
  <c r="R36"/>
  <c r="R2"/>
  <c r="R62"/>
  <c r="R23"/>
  <c r="R24"/>
  <c r="R45"/>
  <c r="R44"/>
  <c r="Q65"/>
  <c r="Q3"/>
  <c r="Q9"/>
  <c r="Q50"/>
  <c r="Q29"/>
  <c r="Q4"/>
  <c r="Q8"/>
  <c r="Q42"/>
  <c r="Q56"/>
  <c r="Q51"/>
  <c r="Q10"/>
  <c r="Q57"/>
  <c r="Q25"/>
  <c r="Q30"/>
  <c r="Q66"/>
  <c r="Q61"/>
  <c r="Q31"/>
  <c r="Q54"/>
  <c r="Q48"/>
  <c r="Q41"/>
  <c r="Q11"/>
  <c r="Q26"/>
  <c r="Q59"/>
  <c r="Q67"/>
  <c r="Q5"/>
  <c r="Q6"/>
  <c r="Q49"/>
  <c r="Q60"/>
  <c r="Q47"/>
  <c r="Q12"/>
  <c r="Q13"/>
  <c r="Q14"/>
  <c r="Q15"/>
  <c r="Q16"/>
  <c r="Q32"/>
  <c r="Q17"/>
  <c r="Q18"/>
  <c r="Q19"/>
  <c r="Q33"/>
  <c r="Q63"/>
  <c r="Q7"/>
  <c r="Q37"/>
  <c r="Q34"/>
  <c r="Q55"/>
  <c r="Q40"/>
  <c r="Q38"/>
  <c r="Q27"/>
  <c r="Q64"/>
  <c r="Q43"/>
  <c r="Q35"/>
  <c r="Q52"/>
  <c r="Q28"/>
  <c r="Q53"/>
  <c r="Q46"/>
  <c r="Q39"/>
  <c r="Q20"/>
  <c r="Q58"/>
  <c r="Q21"/>
  <c r="Q22"/>
  <c r="Q36"/>
  <c r="Q2"/>
  <c r="Q62"/>
  <c r="Q23"/>
  <c r="Q24"/>
  <c r="Q45"/>
  <c r="Q44"/>
  <c r="P65"/>
  <c r="P3"/>
  <c r="P9"/>
  <c r="P50"/>
  <c r="P29"/>
  <c r="P4"/>
  <c r="P8"/>
  <c r="P42"/>
  <c r="P56"/>
  <c r="P51"/>
  <c r="P10"/>
  <c r="P57"/>
  <c r="P25"/>
  <c r="P30"/>
  <c r="P66"/>
  <c r="P61"/>
  <c r="P31"/>
  <c r="P54"/>
  <c r="P48"/>
  <c r="P41"/>
  <c r="P11"/>
  <c r="P26"/>
  <c r="P59"/>
  <c r="P67"/>
  <c r="P5"/>
  <c r="P6"/>
  <c r="P49"/>
  <c r="P60"/>
  <c r="P47"/>
  <c r="P12"/>
  <c r="P13"/>
  <c r="P14"/>
  <c r="P15"/>
  <c r="P16"/>
  <c r="P32"/>
  <c r="P17"/>
  <c r="P18"/>
  <c r="P19"/>
  <c r="P33"/>
  <c r="P63"/>
  <c r="P7"/>
  <c r="P37"/>
  <c r="P34"/>
  <c r="P55"/>
  <c r="P40"/>
  <c r="P38"/>
  <c r="P27"/>
  <c r="P64"/>
  <c r="P43"/>
  <c r="P35"/>
  <c r="P52"/>
  <c r="P28"/>
  <c r="P53"/>
  <c r="P46"/>
  <c r="P39"/>
  <c r="P20"/>
  <c r="P58"/>
  <c r="P21"/>
  <c r="P22"/>
  <c r="P36"/>
  <c r="P2"/>
  <c r="P62"/>
  <c r="P23"/>
  <c r="P24"/>
  <c r="P45"/>
  <c r="P44"/>
  <c r="O65"/>
  <c r="O3"/>
  <c r="O9"/>
  <c r="O50"/>
  <c r="O29"/>
  <c r="O4"/>
  <c r="O8"/>
  <c r="O42"/>
  <c r="O56"/>
  <c r="O51"/>
  <c r="O10"/>
  <c r="O57"/>
  <c r="O25"/>
  <c r="O30"/>
  <c r="O66"/>
  <c r="O61"/>
  <c r="O31"/>
  <c r="O54"/>
  <c r="O48"/>
  <c r="O41"/>
  <c r="O11"/>
  <c r="O26"/>
  <c r="O59"/>
  <c r="O67"/>
  <c r="O5"/>
  <c r="O6"/>
  <c r="O49"/>
  <c r="O60"/>
  <c r="O47"/>
  <c r="O12"/>
  <c r="O13"/>
  <c r="O14"/>
  <c r="O15"/>
  <c r="O16"/>
  <c r="O32"/>
  <c r="O17"/>
  <c r="O18"/>
  <c r="O19"/>
  <c r="O33"/>
  <c r="O63"/>
  <c r="O7"/>
  <c r="O37"/>
  <c r="O34"/>
  <c r="O55"/>
  <c r="O40"/>
  <c r="O38"/>
  <c r="O27"/>
  <c r="O64"/>
  <c r="O43"/>
  <c r="O35"/>
  <c r="O52"/>
  <c r="O28"/>
  <c r="O53"/>
  <c r="O46"/>
  <c r="O39"/>
  <c r="O20"/>
  <c r="O58"/>
  <c r="O21"/>
  <c r="O22"/>
  <c r="O36"/>
  <c r="O2"/>
  <c r="O62"/>
  <c r="O23"/>
  <c r="O24"/>
  <c r="O45"/>
  <c r="O44"/>
  <c r="N65"/>
  <c r="N3"/>
  <c r="N9"/>
  <c r="N50"/>
  <c r="N29"/>
  <c r="N4"/>
  <c r="N8"/>
  <c r="N42"/>
  <c r="N56"/>
  <c r="N51"/>
  <c r="N10"/>
  <c r="N57"/>
  <c r="N25"/>
  <c r="N30"/>
  <c r="N66"/>
  <c r="N61"/>
  <c r="N31"/>
  <c r="N54"/>
  <c r="N48"/>
  <c r="N41"/>
  <c r="N11"/>
  <c r="N26"/>
  <c r="N59"/>
  <c r="N67"/>
  <c r="N5"/>
  <c r="N6"/>
  <c r="N49"/>
  <c r="N60"/>
  <c r="N47"/>
  <c r="N12"/>
  <c r="N13"/>
  <c r="N14"/>
  <c r="N15"/>
  <c r="N16"/>
  <c r="N32"/>
  <c r="N17"/>
  <c r="N18"/>
  <c r="N19"/>
  <c r="N33"/>
  <c r="N63"/>
  <c r="N7"/>
  <c r="N37"/>
  <c r="N34"/>
  <c r="N55"/>
  <c r="N40"/>
  <c r="N38"/>
  <c r="N27"/>
  <c r="N64"/>
  <c r="N43"/>
  <c r="N35"/>
  <c r="N52"/>
  <c r="N28"/>
  <c r="N53"/>
  <c r="N46"/>
  <c r="N39"/>
  <c r="N20"/>
  <c r="N58"/>
  <c r="N21"/>
  <c r="N22"/>
  <c r="N36"/>
  <c r="N2"/>
  <c r="N62"/>
  <c r="N23"/>
  <c r="N24"/>
  <c r="N45"/>
  <c r="N44"/>
  <c r="M65"/>
  <c r="M3"/>
  <c r="M9"/>
  <c r="M50"/>
  <c r="M29"/>
  <c r="M4"/>
  <c r="M8"/>
  <c r="M42"/>
  <c r="M56"/>
  <c r="M51"/>
  <c r="M10"/>
  <c r="M57"/>
  <c r="M25"/>
  <c r="M30"/>
  <c r="M66"/>
  <c r="M61"/>
  <c r="M31"/>
  <c r="M54"/>
  <c r="M48"/>
  <c r="M41"/>
  <c r="M11"/>
  <c r="M26"/>
  <c r="M59"/>
  <c r="M67"/>
  <c r="M5"/>
  <c r="M6"/>
  <c r="M49"/>
  <c r="M60"/>
  <c r="M47"/>
  <c r="M12"/>
  <c r="M13"/>
  <c r="M14"/>
  <c r="M15"/>
  <c r="M16"/>
  <c r="M32"/>
  <c r="M17"/>
  <c r="M18"/>
  <c r="M19"/>
  <c r="M33"/>
  <c r="M63"/>
  <c r="M7"/>
  <c r="M37"/>
  <c r="M34"/>
  <c r="M55"/>
  <c r="M40"/>
  <c r="M38"/>
  <c r="M27"/>
  <c r="M64"/>
  <c r="M43"/>
  <c r="M35"/>
  <c r="M52"/>
  <c r="M28"/>
  <c r="M53"/>
  <c r="M46"/>
  <c r="M39"/>
  <c r="M20"/>
  <c r="M58"/>
  <c r="M21"/>
  <c r="M22"/>
  <c r="M36"/>
  <c r="M2"/>
  <c r="M62"/>
  <c r="M23"/>
  <c r="M24"/>
  <c r="M45"/>
  <c r="M44"/>
  <c r="L65"/>
  <c r="L3"/>
  <c r="L9"/>
  <c r="L50"/>
  <c r="L29"/>
  <c r="L4"/>
  <c r="L8"/>
  <c r="L42"/>
  <c r="L56"/>
  <c r="L51"/>
  <c r="L10"/>
  <c r="L57"/>
  <c r="L25"/>
  <c r="L30"/>
  <c r="L66"/>
  <c r="L61"/>
  <c r="L31"/>
  <c r="L54"/>
  <c r="L48"/>
  <c r="L41"/>
  <c r="L11"/>
  <c r="L26"/>
  <c r="L59"/>
  <c r="L67"/>
  <c r="L5"/>
  <c r="L6"/>
  <c r="L49"/>
  <c r="L60"/>
  <c r="L47"/>
  <c r="L12"/>
  <c r="L13"/>
  <c r="L14"/>
  <c r="L15"/>
  <c r="L16"/>
  <c r="L32"/>
  <c r="L17"/>
  <c r="L18"/>
  <c r="L19"/>
  <c r="L33"/>
  <c r="L63"/>
  <c r="L7"/>
  <c r="L37"/>
  <c r="L34"/>
  <c r="L55"/>
  <c r="L40"/>
  <c r="L38"/>
  <c r="L27"/>
  <c r="L64"/>
  <c r="L43"/>
  <c r="L35"/>
  <c r="L52"/>
  <c r="L28"/>
  <c r="L53"/>
  <c r="L46"/>
  <c r="L39"/>
  <c r="L20"/>
  <c r="L58"/>
  <c r="L21"/>
  <c r="L22"/>
  <c r="L36"/>
  <c r="L2"/>
  <c r="L62"/>
  <c r="L23"/>
  <c r="L24"/>
  <c r="L45"/>
  <c r="L44"/>
  <c r="K65"/>
  <c r="K3"/>
  <c r="K9"/>
  <c r="K50"/>
  <c r="K29"/>
  <c r="K4"/>
  <c r="K8"/>
  <c r="K42"/>
  <c r="K56"/>
  <c r="K51"/>
  <c r="K10"/>
  <c r="K57"/>
  <c r="K25"/>
  <c r="K30"/>
  <c r="K66"/>
  <c r="K61"/>
  <c r="K31"/>
  <c r="K54"/>
  <c r="K48"/>
  <c r="K41"/>
  <c r="K11"/>
  <c r="K26"/>
  <c r="K59"/>
  <c r="K67"/>
  <c r="K5"/>
  <c r="K6"/>
  <c r="K49"/>
  <c r="K60"/>
  <c r="K47"/>
  <c r="K12"/>
  <c r="K13"/>
  <c r="K14"/>
  <c r="K15"/>
  <c r="K16"/>
  <c r="K32"/>
  <c r="K17"/>
  <c r="K18"/>
  <c r="K19"/>
  <c r="K33"/>
  <c r="K63"/>
  <c r="K7"/>
  <c r="K37"/>
  <c r="K34"/>
  <c r="K55"/>
  <c r="K40"/>
  <c r="K38"/>
  <c r="K27"/>
  <c r="K64"/>
  <c r="K43"/>
  <c r="K35"/>
  <c r="K52"/>
  <c r="K28"/>
  <c r="K53"/>
  <c r="K46"/>
  <c r="K39"/>
  <c r="K20"/>
  <c r="K58"/>
  <c r="K21"/>
  <c r="K22"/>
  <c r="K36"/>
  <c r="K2"/>
  <c r="K62"/>
  <c r="K23"/>
  <c r="K24"/>
  <c r="K45"/>
  <c r="K44"/>
  <c r="J65"/>
  <c r="J3"/>
  <c r="J9"/>
  <c r="J50"/>
  <c r="J29"/>
  <c r="J4"/>
  <c r="J8"/>
  <c r="J42"/>
  <c r="J56"/>
  <c r="J51"/>
  <c r="J10"/>
  <c r="J57"/>
  <c r="J25"/>
  <c r="J30"/>
  <c r="J66"/>
  <c r="J61"/>
  <c r="J31"/>
  <c r="J54"/>
  <c r="J48"/>
  <c r="J41"/>
  <c r="J11"/>
  <c r="J26"/>
  <c r="J59"/>
  <c r="J67"/>
  <c r="J5"/>
  <c r="J6"/>
  <c r="J49"/>
  <c r="J60"/>
  <c r="J47"/>
  <c r="J12"/>
  <c r="J13"/>
  <c r="J14"/>
  <c r="J15"/>
  <c r="J16"/>
  <c r="J32"/>
  <c r="J17"/>
  <c r="J18"/>
  <c r="J19"/>
  <c r="J33"/>
  <c r="J63"/>
  <c r="J7"/>
  <c r="J37"/>
  <c r="J34"/>
  <c r="J55"/>
  <c r="J40"/>
  <c r="J38"/>
  <c r="J27"/>
  <c r="J64"/>
  <c r="J43"/>
  <c r="J35"/>
  <c r="J52"/>
  <c r="J28"/>
  <c r="J53"/>
  <c r="J46"/>
  <c r="J39"/>
  <c r="J20"/>
  <c r="J58"/>
  <c r="J21"/>
  <c r="J22"/>
  <c r="J36"/>
  <c r="J2"/>
  <c r="J62"/>
  <c r="J23"/>
  <c r="J24"/>
  <c r="J45"/>
  <c r="J44"/>
  <c r="I65"/>
  <c r="I3"/>
  <c r="I9"/>
  <c r="I50"/>
  <c r="I29"/>
  <c r="I4"/>
  <c r="I8"/>
  <c r="I42"/>
  <c r="I56"/>
  <c r="I51"/>
  <c r="I10"/>
  <c r="I57"/>
  <c r="I25"/>
  <c r="I30"/>
  <c r="I66"/>
  <c r="I61"/>
  <c r="I31"/>
  <c r="I54"/>
  <c r="I48"/>
  <c r="I41"/>
  <c r="I11"/>
  <c r="I26"/>
  <c r="I59"/>
  <c r="I67"/>
  <c r="I5"/>
  <c r="I6"/>
  <c r="I49"/>
  <c r="I60"/>
  <c r="I47"/>
  <c r="I12"/>
  <c r="I13"/>
  <c r="I14"/>
  <c r="I15"/>
  <c r="I16"/>
  <c r="I32"/>
  <c r="I17"/>
  <c r="I18"/>
  <c r="I19"/>
  <c r="I33"/>
  <c r="I63"/>
  <c r="I7"/>
  <c r="I37"/>
  <c r="I34"/>
  <c r="I55"/>
  <c r="I40"/>
  <c r="I38"/>
  <c r="I27"/>
  <c r="I64"/>
  <c r="I43"/>
  <c r="I35"/>
  <c r="I52"/>
  <c r="I28"/>
  <c r="I53"/>
  <c r="I46"/>
  <c r="I39"/>
  <c r="I20"/>
  <c r="I58"/>
  <c r="I21"/>
  <c r="I22"/>
  <c r="I36"/>
  <c r="I2"/>
  <c r="I62"/>
  <c r="I23"/>
  <c r="I24"/>
  <c r="I45"/>
  <c r="I44"/>
  <c r="H65"/>
  <c r="H3"/>
  <c r="H9"/>
  <c r="H50"/>
  <c r="H29"/>
  <c r="H4"/>
  <c r="H8"/>
  <c r="H42"/>
  <c r="H56"/>
  <c r="H51"/>
  <c r="H10"/>
  <c r="H57"/>
  <c r="H25"/>
  <c r="H30"/>
  <c r="H66"/>
  <c r="H61"/>
  <c r="H31"/>
  <c r="H54"/>
  <c r="H48"/>
  <c r="H41"/>
  <c r="H11"/>
  <c r="H26"/>
  <c r="H59"/>
  <c r="H67"/>
  <c r="H5"/>
  <c r="H6"/>
  <c r="H49"/>
  <c r="H60"/>
  <c r="H47"/>
  <c r="H12"/>
  <c r="H13"/>
  <c r="H14"/>
  <c r="H15"/>
  <c r="H16"/>
  <c r="H32"/>
  <c r="H17"/>
  <c r="H18"/>
  <c r="H19"/>
  <c r="H33"/>
  <c r="H63"/>
  <c r="H7"/>
  <c r="H37"/>
  <c r="H34"/>
  <c r="H55"/>
  <c r="H40"/>
  <c r="H38"/>
  <c r="H27"/>
  <c r="H64"/>
  <c r="H43"/>
  <c r="H35"/>
  <c r="H52"/>
  <c r="H28"/>
  <c r="H53"/>
  <c r="H46"/>
  <c r="H39"/>
  <c r="H20"/>
  <c r="H58"/>
  <c r="H21"/>
  <c r="H22"/>
  <c r="H36"/>
  <c r="H2"/>
  <c r="H62"/>
  <c r="H23"/>
  <c r="H24"/>
  <c r="H45"/>
  <c r="H44"/>
  <c r="G65"/>
  <c r="G3"/>
  <c r="G9"/>
  <c r="G50"/>
  <c r="G29"/>
  <c r="G4"/>
  <c r="G8"/>
  <c r="G42"/>
  <c r="G56"/>
  <c r="G51"/>
  <c r="G10"/>
  <c r="G57"/>
  <c r="G25"/>
  <c r="G30"/>
  <c r="G66"/>
  <c r="G61"/>
  <c r="G31"/>
  <c r="G54"/>
  <c r="G48"/>
  <c r="G41"/>
  <c r="G11"/>
  <c r="G26"/>
  <c r="G59"/>
  <c r="G67"/>
  <c r="G5"/>
  <c r="G6"/>
  <c r="G49"/>
  <c r="G60"/>
  <c r="G47"/>
  <c r="G12"/>
  <c r="G13"/>
  <c r="G14"/>
  <c r="G15"/>
  <c r="G16"/>
  <c r="G32"/>
  <c r="G17"/>
  <c r="G18"/>
  <c r="G19"/>
  <c r="G33"/>
  <c r="G63"/>
  <c r="G7"/>
  <c r="G37"/>
  <c r="G34"/>
  <c r="G55"/>
  <c r="G40"/>
  <c r="G38"/>
  <c r="G27"/>
  <c r="G64"/>
  <c r="G43"/>
  <c r="G35"/>
  <c r="G52"/>
  <c r="G28"/>
  <c r="G53"/>
  <c r="G46"/>
  <c r="G39"/>
  <c r="G20"/>
  <c r="G58"/>
  <c r="G21"/>
  <c r="G22"/>
  <c r="G36"/>
  <c r="G2"/>
  <c r="G62"/>
  <c r="G23"/>
  <c r="G24"/>
  <c r="G45"/>
  <c r="G44"/>
  <c r="F65"/>
  <c r="F3"/>
  <c r="F9"/>
  <c r="F50"/>
  <c r="F29"/>
  <c r="F4"/>
  <c r="F8"/>
  <c r="F42"/>
  <c r="F56"/>
  <c r="F51"/>
  <c r="F10"/>
  <c r="F57"/>
  <c r="F25"/>
  <c r="F30"/>
  <c r="F66"/>
  <c r="F61"/>
  <c r="F31"/>
  <c r="F54"/>
  <c r="F48"/>
  <c r="F41"/>
  <c r="F11"/>
  <c r="F26"/>
  <c r="F59"/>
  <c r="F67"/>
  <c r="F5"/>
  <c r="F6"/>
  <c r="F49"/>
  <c r="F60"/>
  <c r="F47"/>
  <c r="F12"/>
  <c r="F13"/>
  <c r="F14"/>
  <c r="F15"/>
  <c r="F16"/>
  <c r="F32"/>
  <c r="F17"/>
  <c r="F18"/>
  <c r="F19"/>
  <c r="F33"/>
  <c r="F63"/>
  <c r="F7"/>
  <c r="F37"/>
  <c r="F34"/>
  <c r="F55"/>
  <c r="F40"/>
  <c r="F38"/>
  <c r="F27"/>
  <c r="F64"/>
  <c r="F43"/>
  <c r="F35"/>
  <c r="F52"/>
  <c r="F28"/>
  <c r="F53"/>
  <c r="F46"/>
  <c r="F39"/>
  <c r="F20"/>
  <c r="F58"/>
  <c r="F21"/>
  <c r="F22"/>
  <c r="F36"/>
  <c r="F2"/>
  <c r="F62"/>
  <c r="F23"/>
  <c r="F24"/>
  <c r="F45"/>
  <c r="F44"/>
  <c r="B65"/>
  <c r="B3"/>
  <c r="B9"/>
  <c r="B50"/>
  <c r="B29"/>
  <c r="B4"/>
  <c r="B8"/>
  <c r="B42"/>
  <c r="B56"/>
  <c r="B51"/>
  <c r="B10"/>
  <c r="B57"/>
  <c r="B25"/>
  <c r="B30"/>
  <c r="B66"/>
  <c r="B61"/>
  <c r="B31"/>
  <c r="B54"/>
  <c r="B48"/>
  <c r="B41"/>
  <c r="B11"/>
  <c r="B26"/>
  <c r="B59"/>
  <c r="B67"/>
  <c r="B5"/>
  <c r="B6"/>
  <c r="B49"/>
  <c r="B60"/>
  <c r="B47"/>
  <c r="B12"/>
  <c r="B13"/>
  <c r="B14"/>
  <c r="B15"/>
  <c r="B16"/>
  <c r="B32"/>
  <c r="B18"/>
  <c r="B19"/>
  <c r="B33"/>
  <c r="B63"/>
  <c r="B7"/>
  <c r="B37"/>
  <c r="B34"/>
  <c r="B55"/>
  <c r="B40"/>
  <c r="B38"/>
  <c r="B27"/>
  <c r="B64"/>
  <c r="B43"/>
  <c r="B35"/>
  <c r="B52"/>
  <c r="B28"/>
  <c r="B53"/>
  <c r="B46"/>
  <c r="B39"/>
  <c r="B20"/>
  <c r="B58"/>
  <c r="B21"/>
  <c r="B22"/>
  <c r="B36"/>
  <c r="B2"/>
  <c r="B62"/>
  <c r="B23"/>
  <c r="B24"/>
  <c r="B45"/>
  <c r="B44"/>
  <c r="C65"/>
  <c r="C3"/>
  <c r="C9"/>
  <c r="C50"/>
  <c r="C29"/>
  <c r="C4"/>
  <c r="C8"/>
  <c r="C42"/>
  <c r="C56"/>
  <c r="C51"/>
  <c r="C10"/>
  <c r="C57"/>
  <c r="C25"/>
  <c r="C30"/>
  <c r="C66"/>
  <c r="C61"/>
  <c r="C31"/>
  <c r="C54"/>
  <c r="C48"/>
  <c r="C41"/>
  <c r="C11"/>
  <c r="C26"/>
  <c r="C59"/>
  <c r="C67"/>
  <c r="C5"/>
  <c r="C6"/>
  <c r="C49"/>
  <c r="C60"/>
  <c r="C47"/>
  <c r="C12"/>
  <c r="C13"/>
  <c r="C14"/>
  <c r="C15"/>
  <c r="C16"/>
  <c r="C32"/>
  <c r="C17"/>
  <c r="C18"/>
  <c r="C19"/>
  <c r="C33"/>
  <c r="C63"/>
  <c r="C7"/>
  <c r="C37"/>
  <c r="C34"/>
  <c r="C55"/>
  <c r="C40"/>
  <c r="C38"/>
  <c r="C27"/>
  <c r="C64"/>
  <c r="C43"/>
  <c r="C35"/>
  <c r="C52"/>
  <c r="C28"/>
  <c r="C53"/>
  <c r="C46"/>
  <c r="C39"/>
  <c r="C20"/>
  <c r="C58"/>
  <c r="C21"/>
  <c r="C22"/>
  <c r="C36"/>
  <c r="C2"/>
  <c r="C62"/>
  <c r="C23"/>
  <c r="C24"/>
  <c r="C45"/>
  <c r="C44"/>
</calcChain>
</file>

<file path=xl/sharedStrings.xml><?xml version="1.0" encoding="utf-8"?>
<sst xmlns="http://schemas.openxmlformats.org/spreadsheetml/2006/main" count="26279" uniqueCount="748">
  <si>
    <t>RH</t>
  </si>
  <si>
    <t>SFMPP</t>
  </si>
  <si>
    <t xml:space="preserve"> 8 ft.- 0"</t>
  </si>
  <si>
    <t xml:space="preserve"> 9 ft.- 6"</t>
  </si>
  <si>
    <t xml:space="preserve"> 8 ft.- 4 1/ 2"</t>
  </si>
  <si>
    <t xml:space="preserve"> 8 ft.- 3"</t>
  </si>
  <si>
    <t>Null</t>
  </si>
  <si>
    <t xml:space="preserve"> 22 ft.- 0"</t>
  </si>
  <si>
    <t xml:space="preserve"> 16 ft.- 0"</t>
  </si>
  <si>
    <t>WL1-4 11/16-E</t>
  </si>
  <si>
    <t xml:space="preserve"> 17 ft.- 8"</t>
  </si>
  <si>
    <t xml:space="preserve"> 16 ft.- 4 1/ 2"</t>
  </si>
  <si>
    <t xml:space="preserve"> 16 ft.- 3"</t>
  </si>
  <si>
    <t>LH</t>
  </si>
  <si>
    <t xml:space="preserve"> 14 ft.- 3"</t>
  </si>
  <si>
    <t>6 INCH TUBE</t>
  </si>
  <si>
    <t xml:space="preserve"> 19 ft.- 1 7/ 8"</t>
  </si>
  <si>
    <t xml:space="preserve"> 15 ft.- 11"</t>
  </si>
  <si>
    <t xml:space="preserve"> 14 ft.- 7 1/ 2"</t>
  </si>
  <si>
    <t xml:space="preserve"> 14 ft.- 6"</t>
  </si>
  <si>
    <t>6 INCH PIPE</t>
  </si>
  <si>
    <t xml:space="preserve"> 19 ft.- 8 7/ 8"</t>
  </si>
  <si>
    <t>jobnumber</t>
  </si>
  <si>
    <t>Hand</t>
  </si>
  <si>
    <t>Model</t>
  </si>
  <si>
    <t>width</t>
  </si>
  <si>
    <t>stopheight</t>
  </si>
  <si>
    <t>Between Brackets</t>
  </si>
  <si>
    <t>Support Tubes</t>
  </si>
  <si>
    <t>Upset</t>
  </si>
  <si>
    <t>Guide Type</t>
  </si>
  <si>
    <t>Wall Angle</t>
  </si>
  <si>
    <t>Middle Angle</t>
  </si>
  <si>
    <t>Front Angle</t>
  </si>
  <si>
    <t>Pipe Center Line</t>
  </si>
  <si>
    <t>Heat Expansion Gap</t>
  </si>
  <si>
    <t>Hanging Weight Closed</t>
  </si>
  <si>
    <t>Hanging Weight Open</t>
  </si>
  <si>
    <t>Initial Lever Arm</t>
  </si>
  <si>
    <t>Turns to Raise</t>
  </si>
  <si>
    <t>Final Lever Arm</t>
  </si>
  <si>
    <t>Torque Required Closed</t>
  </si>
  <si>
    <t>Torque Required Open</t>
  </si>
  <si>
    <t>Pre Turns</t>
  </si>
  <si>
    <t>Required Torque Per Turn</t>
  </si>
  <si>
    <t>Total Turns</t>
  </si>
  <si>
    <t>Grille Vision Section</t>
  </si>
  <si>
    <t>Grille Amount</t>
  </si>
  <si>
    <t>Grille Center</t>
  </si>
  <si>
    <t>Grille Pattern</t>
  </si>
  <si>
    <t>Grille First Tube</t>
  </si>
  <si>
    <t>Grille Standard Tube</t>
  </si>
  <si>
    <t>Grille Total Links</t>
  </si>
  <si>
    <t>Grille Rods</t>
  </si>
  <si>
    <t>Grille Rod Length</t>
  </si>
  <si>
    <t>slattype</t>
  </si>
  <si>
    <t>slatgage</t>
  </si>
  <si>
    <t>Numer of Top Slats</t>
  </si>
  <si>
    <t>Number of Bottom Slats</t>
  </si>
  <si>
    <t>Solid Bottom Height</t>
  </si>
  <si>
    <t>slatlength</t>
  </si>
  <si>
    <t>Bottom Slat Length</t>
  </si>
  <si>
    <t>Number of Perferated Slats</t>
  </si>
  <si>
    <t>First Preferated Slat From End</t>
  </si>
  <si>
    <t>First Preferated Slat From Bottom</t>
  </si>
  <si>
    <t>Total Number of Slats</t>
  </si>
  <si>
    <t>Bottom Bar Slope</t>
  </si>
  <si>
    <t>Bottom Bar Weight</t>
  </si>
  <si>
    <t>Outer Spring Gage</t>
  </si>
  <si>
    <t>Outer Spring OD</t>
  </si>
  <si>
    <t>Outer Spring Length</t>
  </si>
  <si>
    <t>Outer Spring Stretch</t>
  </si>
  <si>
    <t>Outer Spring Torque</t>
  </si>
  <si>
    <t>Outer Spring Max Turns</t>
  </si>
  <si>
    <t>Outer Spring Weight</t>
  </si>
  <si>
    <t>Inner Spring Gage</t>
  </si>
  <si>
    <t>Inner Spring OD</t>
  </si>
  <si>
    <t>Inner Spring Length</t>
  </si>
  <si>
    <t>Inner Spring Stretch</t>
  </si>
  <si>
    <t>Inner Spring Torque</t>
  </si>
  <si>
    <t>Inner Spring Max Turns</t>
  </si>
  <si>
    <t>Inner Spring Weight</t>
  </si>
  <si>
    <t>Cycles</t>
  </si>
  <si>
    <t>Total Spring Torque</t>
  </si>
  <si>
    <t>Total Spring Weight</t>
  </si>
  <si>
    <t>Pipe Weight</t>
  </si>
  <si>
    <t>Max Pipe Deflection</t>
  </si>
  <si>
    <t>Number Non-Insulated Wrap Slats</t>
  </si>
  <si>
    <t>Number of Insolated Top Slats</t>
  </si>
  <si>
    <t>Insolated Total Slats</t>
  </si>
  <si>
    <t>Number of Slats</t>
  </si>
  <si>
    <t>Wrap</t>
  </si>
  <si>
    <t>Wall Angle Thickness</t>
  </si>
  <si>
    <t>windlocks</t>
  </si>
  <si>
    <t xml:space="preserve"> 18 ft.- 5"</t>
  </si>
  <si>
    <t xml:space="preserve"> 18 ft.- 2"</t>
  </si>
  <si>
    <t xml:space="preserve"> 10 ft.- 0"</t>
  </si>
  <si>
    <t xml:space="preserve"> 18 ft.- 7 7/ 8"</t>
  </si>
  <si>
    <t xml:space="preserve"> 18 ft.- 1 3/ 8"</t>
  </si>
  <si>
    <t xml:space="preserve"> 11 ft.- 6"</t>
  </si>
  <si>
    <t xml:space="preserve"> 10 ft.- 4 1/ 2"</t>
  </si>
  <si>
    <t xml:space="preserve"> 10 ft.- 3"</t>
  </si>
  <si>
    <t xml:space="preserve"> 18 ft.- 5 7/ 8"</t>
  </si>
  <si>
    <t xml:space="preserve"> 13 ft.- 0"</t>
  </si>
  <si>
    <t xml:space="preserve"> 15 ft.- 0"</t>
  </si>
  <si>
    <t xml:space="preserve"> 13 ft.- 5 7/ 8"</t>
  </si>
  <si>
    <t>4 INCH TUBE</t>
  </si>
  <si>
    <t xml:space="preserve"> 12 ft.- 11 3/ 8"</t>
  </si>
  <si>
    <t>SN2-4 5/8-E</t>
  </si>
  <si>
    <t xml:space="preserve"> 16 ft.- 8"</t>
  </si>
  <si>
    <t xml:space="preserve"> 15 ft.- 4 1/ 2"</t>
  </si>
  <si>
    <t xml:space="preserve"> 15 ft.- 3"</t>
  </si>
  <si>
    <t xml:space="preserve"> 13 ft.- 3 7/ 8"</t>
  </si>
  <si>
    <t xml:space="preserve"> 14 ft.- 0"</t>
  </si>
  <si>
    <t xml:space="preserve"> 14 ft.- 11 7/ 8"</t>
  </si>
  <si>
    <t xml:space="preserve"> 14 ft.- 5 3/ 8"</t>
  </si>
  <si>
    <t xml:space="preserve"> 15 ft.- 8"</t>
  </si>
  <si>
    <t xml:space="preserve"> 14 ft.- 4 1/ 2"</t>
  </si>
  <si>
    <t xml:space="preserve"> 14 ft.- 9 7/ 8"</t>
  </si>
  <si>
    <t xml:space="preserve"> 9 ft.- 9"</t>
  </si>
  <si>
    <t xml:space="preserve"> 12 ft.- 10"</t>
  </si>
  <si>
    <t xml:space="preserve"> 10 ft.- 2 1/ 2"</t>
  </si>
  <si>
    <t xml:space="preserve"> 9 ft.- 8"</t>
  </si>
  <si>
    <t xml:space="preserve"> 14 ft.- 4"</t>
  </si>
  <si>
    <t xml:space="preserve"> 13 ft.- 2 1/ 2"</t>
  </si>
  <si>
    <t xml:space="preserve"> 13 ft.- 1"</t>
  </si>
  <si>
    <t xml:space="preserve"> 10 ft.- 0 1/ 2"</t>
  </si>
  <si>
    <t xml:space="preserve"> 8 ft.- 8"</t>
  </si>
  <si>
    <t xml:space="preserve"> 10 ft.- 9"</t>
  </si>
  <si>
    <t xml:space="preserve"> 9 ft.- 1 1/ 2"</t>
  </si>
  <si>
    <t xml:space="preserve"> 8 ft.- 7"</t>
  </si>
  <si>
    <t xml:space="preserve"> 12 ft.- 3"</t>
  </si>
  <si>
    <t xml:space="preserve"> 11 ft.- 1 1/ 2"</t>
  </si>
  <si>
    <t xml:space="preserve"> 11 ft.- 0"</t>
  </si>
  <si>
    <t xml:space="preserve"> 8 ft.- 11 1/ 2"</t>
  </si>
  <si>
    <t xml:space="preserve"> 5 ft.- 0"</t>
  </si>
  <si>
    <t xml:space="preserve"> 6 ft.- 8"</t>
  </si>
  <si>
    <t xml:space="preserve"> 5 ft.- 5 1/ 2"</t>
  </si>
  <si>
    <t xml:space="preserve"> 4 ft.- 11"</t>
  </si>
  <si>
    <t xml:space="preserve"> 8 ft.- 2"</t>
  </si>
  <si>
    <t xml:space="preserve"> 7 ft.- 0 1/ 2"</t>
  </si>
  <si>
    <t xml:space="preserve"> 6 ft.- 11"</t>
  </si>
  <si>
    <t xml:space="preserve"> 5 ft.- 3 1/ 2"</t>
  </si>
  <si>
    <t xml:space="preserve"> 12 ft.- 0"</t>
  </si>
  <si>
    <t xml:space="preserve"> 12 ft.- 5 1/ 2"</t>
  </si>
  <si>
    <t xml:space="preserve"> 11 ft.- 11"</t>
  </si>
  <si>
    <t>SN1-4 5/8-E</t>
  </si>
  <si>
    <t xml:space="preserve"> 14 ft.- 8 1/ 2"</t>
  </si>
  <si>
    <t xml:space="preserve"> 14 ft.- 7"</t>
  </si>
  <si>
    <t xml:space="preserve"> 12 ft.- 3 1/ 2"</t>
  </si>
  <si>
    <t xml:space="preserve"> 8 ft.- 4"</t>
  </si>
  <si>
    <t xml:space="preserve"> 8 ft.- 1"</t>
  </si>
  <si>
    <t xml:space="preserve"> 8 ft.- 9 1/ 2"</t>
  </si>
  <si>
    <t xml:space="preserve"> 9 ft.- 7"</t>
  </si>
  <si>
    <t xml:space="preserve"> 8 ft.- 5 1/ 2"</t>
  </si>
  <si>
    <t xml:space="preserve"> 8 ft.- 7 1/ 2"</t>
  </si>
  <si>
    <t xml:space="preserve"> 15 ft.- 8 7/ 8"</t>
  </si>
  <si>
    <t xml:space="preserve"> 15 ft.- 2 3/ 8"</t>
  </si>
  <si>
    <t xml:space="preserve"> 9 ft.- 10"</t>
  </si>
  <si>
    <t xml:space="preserve"> 8 ft.- 8 1/ 2"</t>
  </si>
  <si>
    <t xml:space="preserve"> 15 ft.- 6 7/ 8"</t>
  </si>
  <si>
    <t xml:space="preserve"> 15 ft.- 5"</t>
  </si>
  <si>
    <t xml:space="preserve"> 9 ft.- 11"</t>
  </si>
  <si>
    <t xml:space="preserve"> 15 ft.- 10 7/ 8"</t>
  </si>
  <si>
    <t xml:space="preserve"> 15 ft.- 4 3/ 8"</t>
  </si>
  <si>
    <t xml:space="preserve"> 11 ft.- 5"</t>
  </si>
  <si>
    <t xml:space="preserve"> 10 ft.- 3 1/ 2"</t>
  </si>
  <si>
    <t xml:space="preserve"> 10 ft.- 2"</t>
  </si>
  <si>
    <t xml:space="preserve"> 14 ft.- 10"</t>
  </si>
  <si>
    <t xml:space="preserve"> 9 ft.- 0"</t>
  </si>
  <si>
    <t xml:space="preserve"> 15 ft.- 3 7/ 8"</t>
  </si>
  <si>
    <t xml:space="preserve"> 14 ft.- 9 3/ 8"</t>
  </si>
  <si>
    <t xml:space="preserve"> 10 ft.- 6"</t>
  </si>
  <si>
    <t xml:space="preserve"> 9 ft.- 4 1/ 2"</t>
  </si>
  <si>
    <t xml:space="preserve"> 9 ft.- 3"</t>
  </si>
  <si>
    <t xml:space="preserve"> 15 ft.- 1 7/ 8"</t>
  </si>
  <si>
    <t xml:space="preserve"> 8 ft.- 6"</t>
  </si>
  <si>
    <t xml:space="preserve"> 8 ft.- 5"</t>
  </si>
  <si>
    <t xml:space="preserve"> 7 ft.- 0"</t>
  </si>
  <si>
    <t xml:space="preserve"> 7 ft.- 4 1/ 2"</t>
  </si>
  <si>
    <t xml:space="preserve"> 7 ft.- 3"</t>
  </si>
  <si>
    <t xml:space="preserve"> 12 ft.- 6"</t>
  </si>
  <si>
    <t xml:space="preserve"> 12 ft.- 11 7/ 8"</t>
  </si>
  <si>
    <t xml:space="preserve"> 12 ft.- 5 3/ 8"</t>
  </si>
  <si>
    <t xml:space="preserve"> 11 ft.- 10 1/ 2"</t>
  </si>
  <si>
    <t xml:space="preserve"> 11 ft.- 9"</t>
  </si>
  <si>
    <t xml:space="preserve"> 12 ft.- 9 7/ 8"</t>
  </si>
  <si>
    <t xml:space="preserve"> 18 ft.- 11"</t>
  </si>
  <si>
    <t xml:space="preserve"> 19 ft.- 5 1/ 2"</t>
  </si>
  <si>
    <t xml:space="preserve"> 9 ft.- 0 1/ 2"</t>
  </si>
  <si>
    <t xml:space="preserve"> 8 ft.- 11"</t>
  </si>
  <si>
    <t xml:space="preserve"> 19 ft.- 2 7/ 8"</t>
  </si>
  <si>
    <t xml:space="preserve"> 14 ft.- 8 7/ 8"</t>
  </si>
  <si>
    <t xml:space="preserve"> 14 ft.- 2 3/ 8"</t>
  </si>
  <si>
    <t xml:space="preserve"> 11 ft.- 4 1/ 2"</t>
  </si>
  <si>
    <t xml:space="preserve"> 11 ft.- 3"</t>
  </si>
  <si>
    <t xml:space="preserve"> 14 ft.- 6 7/ 8"</t>
  </si>
  <si>
    <t xml:space="preserve"> 13 ft.- 6"</t>
  </si>
  <si>
    <t xml:space="preserve"> 10 ft.- 5 1/ 2"</t>
  </si>
  <si>
    <t xml:space="preserve"> 15 ft.- 2"</t>
  </si>
  <si>
    <t xml:space="preserve"> 13 ft.- 10 1/ 2"</t>
  </si>
  <si>
    <t xml:space="preserve"> 13 ft.- 9"</t>
  </si>
  <si>
    <t xml:space="preserve"> 14 ft.- 2"</t>
  </si>
  <si>
    <t xml:space="preserve"> 15 ft.- 10"</t>
  </si>
  <si>
    <t xml:space="preserve"> 14 ft.- 6 1/ 2"</t>
  </si>
  <si>
    <t xml:space="preserve"> 14 ft.- 5"</t>
  </si>
  <si>
    <t xml:space="preserve"> 12 ft.- 4 1/ 2"</t>
  </si>
  <si>
    <t xml:space="preserve"> 11 ft.- 10"</t>
  </si>
  <si>
    <t xml:space="preserve"> 16 ft.- 6"</t>
  </si>
  <si>
    <t xml:space="preserve"> 15 ft.- 2 1/ 2"</t>
  </si>
  <si>
    <t xml:space="preserve"> 15 ft.- 1"</t>
  </si>
  <si>
    <t xml:space="preserve"> 12 ft.- 2 1/ 2"</t>
  </si>
  <si>
    <t xml:space="preserve"> 15 ft.- 4"</t>
  </si>
  <si>
    <t xml:space="preserve"> 15 ft.- 9 7/ 8"</t>
  </si>
  <si>
    <t>4 INCH PIPE</t>
  </si>
  <si>
    <t xml:space="preserve"> 15 ft.- 3 3/ 8"</t>
  </si>
  <si>
    <t xml:space="preserve"> 15 ft.- 7 7/ 8"</t>
  </si>
  <si>
    <t xml:space="preserve"> 7 ft.- 11"</t>
  </si>
  <si>
    <t xml:space="preserve"> 8 ft.- 3 1/ 2"</t>
  </si>
  <si>
    <t xml:space="preserve"> 7 ft.- 6"</t>
  </si>
  <si>
    <t xml:space="preserve"> 7 ft.- 10 1/ 2"</t>
  </si>
  <si>
    <t xml:space="preserve"> 7 ft.- 9"</t>
  </si>
  <si>
    <t xml:space="preserve"> 5 ft.- 9"</t>
  </si>
  <si>
    <t xml:space="preserve"> 6 ft.- 2 1/ 2"</t>
  </si>
  <si>
    <t xml:space="preserve"> 5 ft.- 8"</t>
  </si>
  <si>
    <t xml:space="preserve"> 6 ft.- 0 1/ 2"</t>
  </si>
  <si>
    <t xml:space="preserve"> 8 ft.- 10 1/ 2"</t>
  </si>
  <si>
    <t xml:space="preserve"> 8 ft.- 9"</t>
  </si>
  <si>
    <t xml:space="preserve"> 7 ft.- 7"</t>
  </si>
  <si>
    <t xml:space="preserve"> 9 ft.- 1"</t>
  </si>
  <si>
    <t xml:space="preserve"> 7 ft.- 11 1/ 2"</t>
  </si>
  <si>
    <t xml:space="preserve"> 7 ft.- 10"</t>
  </si>
  <si>
    <t xml:space="preserve"> 12 ft.- 8 1/ 2"</t>
  </si>
  <si>
    <t xml:space="preserve"> 12 ft.- 2"</t>
  </si>
  <si>
    <t xml:space="preserve"> 11 ft.- 4"</t>
  </si>
  <si>
    <t xml:space="preserve"> 10 ft.- 1"</t>
  </si>
  <si>
    <t xml:space="preserve"> 12 ft.- 6 1/ 2"</t>
  </si>
  <si>
    <t xml:space="preserve"> 16 ft.- 11 7/ 8"</t>
  </si>
  <si>
    <t xml:space="preserve"> 16 ft.- 5 3/ 8"</t>
  </si>
  <si>
    <t xml:space="preserve"> 16 ft.- 9 7/ 8"</t>
  </si>
  <si>
    <t xml:space="preserve"> 4 ft.- 10"</t>
  </si>
  <si>
    <t xml:space="preserve"> 6 ft.- 5"</t>
  </si>
  <si>
    <t xml:space="preserve"> 4 ft.- 9"</t>
  </si>
  <si>
    <t xml:space="preserve"> 6 ft.- 9 1/ 2"</t>
  </si>
  <si>
    <t xml:space="preserve"> 5 ft.- 1 1/ 2"</t>
  </si>
  <si>
    <t xml:space="preserve"> 17 ft.- 3"</t>
  </si>
  <si>
    <t xml:space="preserve"> 16 ft.- 5 7/ 8"</t>
  </si>
  <si>
    <t xml:space="preserve"> 15 ft.- 11 3/ 8"</t>
  </si>
  <si>
    <t xml:space="preserve"> 17 ft.- 7 1/ 2"</t>
  </si>
  <si>
    <t xml:space="preserve"> 17 ft.- 6"</t>
  </si>
  <si>
    <t xml:space="preserve"> 16 ft.- 3 7/ 8"</t>
  </si>
  <si>
    <t xml:space="preserve"> 13 ft.- 10"</t>
  </si>
  <si>
    <t xml:space="preserve"> 11 ft.- 9 1/ 2"</t>
  </si>
  <si>
    <t xml:space="preserve"> 15 ft.- 6"</t>
  </si>
  <si>
    <t xml:space="preserve"> 14 ft.- 2 1/ 2"</t>
  </si>
  <si>
    <t xml:space="preserve"> 14 ft.- 1"</t>
  </si>
  <si>
    <t xml:space="preserve"> 11 ft.- 7 1/ 2"</t>
  </si>
  <si>
    <t xml:space="preserve"> 10 ft.- 11"</t>
  </si>
  <si>
    <t xml:space="preserve"> 12 ft.- 7"</t>
  </si>
  <si>
    <t xml:space="preserve"> 10 ft.- 10"</t>
  </si>
  <si>
    <t xml:space="preserve"> 12 ft.- 11 1/ 2"</t>
  </si>
  <si>
    <t xml:space="preserve"> 11 ft.- 2 1/ 2"</t>
  </si>
  <si>
    <t xml:space="preserve"> 14 ft.- 5 7/ 8"</t>
  </si>
  <si>
    <t xml:space="preserve"> 13 ft.- 11 3/ 8"</t>
  </si>
  <si>
    <t xml:space="preserve"> 16 ft.- 10"</t>
  </si>
  <si>
    <t xml:space="preserve"> 15 ft.- 6 1/ 2"</t>
  </si>
  <si>
    <t xml:space="preserve"> 14 ft.- 3 7/ 8"</t>
  </si>
  <si>
    <t xml:space="preserve"> 12 ft.- 4"</t>
  </si>
  <si>
    <t xml:space="preserve"> 9 ft.- 4"</t>
  </si>
  <si>
    <t xml:space="preserve"> 12 ft.- 9 1/ 2"</t>
  </si>
  <si>
    <t xml:space="preserve"> 9 ft.- 8 1/ 2"</t>
  </si>
  <si>
    <t xml:space="preserve"> 12 ft.- 7 1/ 2"</t>
  </si>
  <si>
    <t xml:space="preserve"> 12 ft.- 5"</t>
  </si>
  <si>
    <t xml:space="preserve"> 12 ft.- 10 7/ 8"</t>
  </si>
  <si>
    <t xml:space="preserve"> 12 ft.- 4 3/ 8"</t>
  </si>
  <si>
    <t xml:space="preserve"> 12 ft.- 8 7/ 8"</t>
  </si>
  <si>
    <t xml:space="preserve"> 15 ft.- 9"</t>
  </si>
  <si>
    <t xml:space="preserve"> 14 ft.- 5 1/ 2"</t>
  </si>
  <si>
    <t xml:space="preserve"> 16 ft.- 4"</t>
  </si>
  <si>
    <t xml:space="preserve"> 12 ft.- 1"</t>
  </si>
  <si>
    <t xml:space="preserve"> 18 ft.- 0"</t>
  </si>
  <si>
    <t xml:space="preserve"> 16 ft.- 8 1/ 2"</t>
  </si>
  <si>
    <t xml:space="preserve"> 16 ft.- 7"</t>
  </si>
  <si>
    <t xml:space="preserve"> 6 ft.- 4"</t>
  </si>
  <si>
    <t xml:space="preserve"> 6 ft.- 3"</t>
  </si>
  <si>
    <t xml:space="preserve"> 6 ft.- 7 1/ 2"</t>
  </si>
  <si>
    <t xml:space="preserve"> 10 ft.- 1 1/ 2"</t>
  </si>
  <si>
    <t xml:space="preserve"> 17 ft.- 2"</t>
  </si>
  <si>
    <t xml:space="preserve"> 17 ft.- 7 7/ 8"</t>
  </si>
  <si>
    <t xml:space="preserve"> 17 ft.- 1 3/ 8"</t>
  </si>
  <si>
    <t xml:space="preserve"> 17 ft.- 5 7/ 8"</t>
  </si>
  <si>
    <t xml:space="preserve"> 13 ft.- 9 3/ 8"</t>
  </si>
  <si>
    <t xml:space="preserve"> 14 ft.- 1 7/ 8"</t>
  </si>
  <si>
    <t xml:space="preserve"> 11 ft.- 8"</t>
  </si>
  <si>
    <t xml:space="preserve"> 12 ft.- 1 1/ 2"</t>
  </si>
  <si>
    <t xml:space="preserve"> 11 ft.- 7"</t>
  </si>
  <si>
    <t xml:space="preserve"> 11 ft.- 11 1/ 2"</t>
  </si>
  <si>
    <t xml:space="preserve"> 13 ft.- 8"</t>
  </si>
  <si>
    <t xml:space="preserve"> 11 ft.- 5 1/ 2"</t>
  </si>
  <si>
    <t xml:space="preserve"> 14 ft.- 0 1/ 2"</t>
  </si>
  <si>
    <t xml:space="preserve"> 13 ft.- 11"</t>
  </si>
  <si>
    <t xml:space="preserve"> 11 ft.- 3 1/ 2"</t>
  </si>
  <si>
    <t xml:space="preserve"> 16 ft.- 2"</t>
  </si>
  <si>
    <t xml:space="preserve"> 17 ft.- 10"</t>
  </si>
  <si>
    <t xml:space="preserve"> 16 ft.- 6 1/ 2"</t>
  </si>
  <si>
    <t xml:space="preserve"> 16 ft.- 5"</t>
  </si>
  <si>
    <t xml:space="preserve"> 9 ft.- 11 1/ 2"</t>
  </si>
  <si>
    <t xml:space="preserve"> 9 ft.- 5"</t>
  </si>
  <si>
    <t xml:space="preserve"> 9 ft.- 9 1/ 2"</t>
  </si>
  <si>
    <t xml:space="preserve"> 17 ft.- 11 7/ 8"</t>
  </si>
  <si>
    <t xml:space="preserve"> 17 ft.- 5 3/ 8"</t>
  </si>
  <si>
    <t xml:space="preserve"> 17 ft.- 9 7/ 8"</t>
  </si>
  <si>
    <t xml:space="preserve"> 9 ft.- 7 1/ 2"</t>
  </si>
  <si>
    <t xml:space="preserve"> 12 ft.- 10 1/ 2"</t>
  </si>
  <si>
    <t xml:space="preserve"> 12 ft.- 9"</t>
  </si>
  <si>
    <t xml:space="preserve"> 13 ft.- 4 1/ 2"</t>
  </si>
  <si>
    <t xml:space="preserve"> 13 ft.- 3"</t>
  </si>
  <si>
    <t xml:space="preserve"> 7 ft.- 4"</t>
  </si>
  <si>
    <t xml:space="preserve"> 7 ft.- 9 1/ 2"</t>
  </si>
  <si>
    <t xml:space="preserve"> 7 ft.- 7 1/ 2"</t>
  </si>
  <si>
    <t xml:space="preserve"> 4 ft.- 0"</t>
  </si>
  <si>
    <t xml:space="preserve"> 4 ft.- 5 1/ 2"</t>
  </si>
  <si>
    <t xml:space="preserve"> 3 ft.- 11"</t>
  </si>
  <si>
    <t xml:space="preserve"> 4 ft.- 3 1/ 2"</t>
  </si>
  <si>
    <t xml:space="preserve"> 19 ft.- 8"</t>
  </si>
  <si>
    <t xml:space="preserve"> 20 ft.- 2 1/ 2"</t>
  </si>
  <si>
    <t xml:space="preserve"> 19 ft.- 11 7/ 8"</t>
  </si>
  <si>
    <t xml:space="preserve"> 10 ft.- 6 1/ 2"</t>
  </si>
  <si>
    <t xml:space="preserve"> 20 ft.- 0"</t>
  </si>
  <si>
    <t xml:space="preserve"> 20 ft.- 6 1/ 2"</t>
  </si>
  <si>
    <t xml:space="preserve"> 10 ft.- 5"</t>
  </si>
  <si>
    <t xml:space="preserve"> 20 ft.- 3 7/ 8"</t>
  </si>
  <si>
    <t xml:space="preserve"> 5 ft.- 6"</t>
  </si>
  <si>
    <t xml:space="preserve"> 5 ft.- 11 1/ 2"</t>
  </si>
  <si>
    <t xml:space="preserve"> 5 ft.- 5"</t>
  </si>
  <si>
    <t xml:space="preserve"> 5 ft.- 9 1/ 2"</t>
  </si>
  <si>
    <t xml:space="preserve"> 15 ft.- 1 3/ 8"</t>
  </si>
  <si>
    <t xml:space="preserve"> 15 ft.- 5 7/ 8"</t>
  </si>
  <si>
    <t xml:space="preserve"> 10 ft.- 4"</t>
  </si>
  <si>
    <t xml:space="preserve"> 10 ft.- 8 1/ 2"</t>
  </si>
  <si>
    <t xml:space="preserve"> 10 ft.- 7"</t>
  </si>
  <si>
    <t xml:space="preserve"> 6 ft.- 0"</t>
  </si>
  <si>
    <t xml:space="preserve"> 6 ft.- 6"</t>
  </si>
  <si>
    <t xml:space="preserve"> 6 ft.- 5 1/ 2"</t>
  </si>
  <si>
    <t xml:space="preserve"> 5 ft.- 11"</t>
  </si>
  <si>
    <t xml:space="preserve"> 6 ft.- 10 1/ 2"</t>
  </si>
  <si>
    <t xml:space="preserve"> 6 ft.- 9"</t>
  </si>
  <si>
    <t xml:space="preserve"> 6 ft.- 3 1/ 2"</t>
  </si>
  <si>
    <t xml:space="preserve"> 13 ft.- 7"</t>
  </si>
  <si>
    <t xml:space="preserve"> 13 ft.- 8 7/ 8"</t>
  </si>
  <si>
    <t xml:space="preserve"> 13 ft.- 2 3/ 8"</t>
  </si>
  <si>
    <t xml:space="preserve"> 13 ft.- 11 1/ 2"</t>
  </si>
  <si>
    <t xml:space="preserve"> 13 ft.- 6 7/ 8"</t>
  </si>
  <si>
    <t xml:space="preserve"> 12 ft.- 8"</t>
  </si>
  <si>
    <t xml:space="preserve"> 7 ft.- 2 1/ 2"</t>
  </si>
  <si>
    <t xml:space="preserve"> 6 ft.- 1 1/ 2"</t>
  </si>
  <si>
    <t xml:space="preserve"> 5 ft.- 7"</t>
  </si>
  <si>
    <t xml:space="preserve"> 14 ft.- 7 7/ 8"</t>
  </si>
  <si>
    <t xml:space="preserve"> 14 ft.- 1 3/ 8"</t>
  </si>
  <si>
    <t xml:space="preserve"> 10 ft.- 11 1/ 2"</t>
  </si>
  <si>
    <t xml:space="preserve"> 10 ft.- 9 1/ 2"</t>
  </si>
  <si>
    <t xml:space="preserve"> 5 ft.- 4 1/ 2"</t>
  </si>
  <si>
    <t xml:space="preserve"> 5 ft.- 2 1/ 2"</t>
  </si>
  <si>
    <t xml:space="preserve"> 11 ft.- 2"</t>
  </si>
  <si>
    <t xml:space="preserve"> 11 ft.- 1"</t>
  </si>
  <si>
    <t xml:space="preserve"> 3 ft.- 6"</t>
  </si>
  <si>
    <t xml:space="preserve"> 7 ft.- 8"</t>
  </si>
  <si>
    <t xml:space="preserve"> 3 ft.- 11 1/ 2"</t>
  </si>
  <si>
    <t xml:space="preserve"> 3 ft.- 5"</t>
  </si>
  <si>
    <t xml:space="preserve"> 9 ft.- 2"</t>
  </si>
  <si>
    <t xml:space="preserve"> 8 ft.- 0 1/ 2"</t>
  </si>
  <si>
    <t xml:space="preserve"> 3 ft.- 9 1/ 2"</t>
  </si>
  <si>
    <t xml:space="preserve"> 5 ft.- 10 1/ 2"</t>
  </si>
  <si>
    <t xml:space="preserve"> 5 ft.- 4"</t>
  </si>
  <si>
    <t xml:space="preserve"> 6 ft.- 8 1/ 2"</t>
  </si>
  <si>
    <t xml:space="preserve"> 6 ft.- 7"</t>
  </si>
  <si>
    <t xml:space="preserve"> 5 ft.- 8 1/ 2"</t>
  </si>
  <si>
    <t xml:space="preserve"> 20 ft.- 2"</t>
  </si>
  <si>
    <t xml:space="preserve"> 20 ft.- 8 1/ 2"</t>
  </si>
  <si>
    <t xml:space="preserve"> 8 ft.- 1 1/ 2"</t>
  </si>
  <si>
    <t xml:space="preserve"> 20 ft.- 5 7/ 8"</t>
  </si>
  <si>
    <t xml:space="preserve"> 10 ft.- 8"</t>
  </si>
  <si>
    <t xml:space="preserve"> 7 ft.- 5"</t>
  </si>
  <si>
    <t xml:space="preserve"> 9 ft.- 10 1/ 2"</t>
  </si>
  <si>
    <t xml:space="preserve"> 11 ft.- 0 1/ 2"</t>
  </si>
  <si>
    <t xml:space="preserve"> 8 ft.- 6 1/ 2"</t>
  </si>
  <si>
    <t xml:space="preserve"> 14 ft.- 3 3/ 8"</t>
  </si>
  <si>
    <t xml:space="preserve"> 16 ft.- 8 7/ 8"</t>
  </si>
  <si>
    <t xml:space="preserve"> 16 ft.- 2 3/ 8"</t>
  </si>
  <si>
    <t xml:space="preserve"> 16 ft.- 6 7/ 8"</t>
  </si>
  <si>
    <t xml:space="preserve"> 13 ft.- 11 7/ 8"</t>
  </si>
  <si>
    <t xml:space="preserve"> 13 ft.- 5 3/ 8"</t>
  </si>
  <si>
    <t xml:space="preserve"> 13 ft.- 9 7/ 8"</t>
  </si>
  <si>
    <t xml:space="preserve"> 13 ft.- 2"</t>
  </si>
  <si>
    <t xml:space="preserve"> 13 ft.- 7 7/ 8"</t>
  </si>
  <si>
    <t xml:space="preserve"> 13 ft.- 1 3/ 8"</t>
  </si>
  <si>
    <t xml:space="preserve"> 16 ft.- 10 1/ 2"</t>
  </si>
  <si>
    <t xml:space="preserve"> 16 ft.- 9"</t>
  </si>
  <si>
    <t xml:space="preserve"> 14 ft.- 11 3/ 8"</t>
  </si>
  <si>
    <t xml:space="preserve"> 8 ft.- 10"</t>
  </si>
  <si>
    <t xml:space="preserve"> 7 ft.- 8 1/ 2"</t>
  </si>
  <si>
    <t xml:space="preserve"> 16 ft.- 7 7/ 8"</t>
  </si>
  <si>
    <t xml:space="preserve"> 16 ft.- 1 3/ 8"</t>
  </si>
  <si>
    <t xml:space="preserve"> 10 ft.- 7 1/ 2"</t>
  </si>
  <si>
    <t xml:space="preserve"> 9 ft.- 5 1/ 2"</t>
  </si>
  <si>
    <t xml:space="preserve"> 8 ft.- 2 1/ 2"</t>
  </si>
  <si>
    <t xml:space="preserve"> 9 ft.- 3 1/ 2"</t>
  </si>
  <si>
    <t xml:space="preserve"> 7 ft.- 1 1/ 2"</t>
  </si>
  <si>
    <t xml:space="preserve"> 7 ft.- 5 1/ 2"</t>
  </si>
  <si>
    <t xml:space="preserve"> 7 ft.- 3 1/ 2"</t>
  </si>
  <si>
    <t xml:space="preserve"> 14 ft.- 0 3/ 8"</t>
  </si>
  <si>
    <t xml:space="preserve"> 14 ft.- 4 7/ 8"</t>
  </si>
  <si>
    <t xml:space="preserve"> 5 ft.- 3"</t>
  </si>
  <si>
    <t xml:space="preserve"> 5 ft.- 7 1/ 2"</t>
  </si>
  <si>
    <t xml:space="preserve"> 20 ft.- 3 1/ 2"</t>
  </si>
  <si>
    <t xml:space="preserve"> 16 ft.- 2 7/ 8"</t>
  </si>
  <si>
    <t xml:space="preserve"> 15 ft.- 8 3/ 8"</t>
  </si>
  <si>
    <t xml:space="preserve"> 16 ft.- 0 7/ 8"</t>
  </si>
  <si>
    <t xml:space="preserve"> 16 ft.- 4 7/ 8"</t>
  </si>
  <si>
    <t xml:space="preserve"> 15 ft.- 10 3/ 8"</t>
  </si>
  <si>
    <t xml:space="preserve"> 18 ft.- 8"</t>
  </si>
  <si>
    <t xml:space="preserve"> 19 ft.- 2 1/ 2"</t>
  </si>
  <si>
    <t xml:space="preserve"> 18 ft.- 11 7/ 8"</t>
  </si>
  <si>
    <t xml:space="preserve"> 17 ft.- 11 3/ 8"</t>
  </si>
  <si>
    <t xml:space="preserve"> 18 ft.- 3 7/ 8"</t>
  </si>
  <si>
    <t xml:space="preserve"> 17 ft.- 0"</t>
  </si>
  <si>
    <t xml:space="preserve"> 16 ft.- 11 3/ 8"</t>
  </si>
  <si>
    <t xml:space="preserve"> 17 ft.- 3 7/ 8"</t>
  </si>
  <si>
    <t xml:space="preserve"> 17 ft.- 1 7/ 8"</t>
  </si>
  <si>
    <t xml:space="preserve"> 16 ft.- 7 3/ 8"</t>
  </si>
  <si>
    <t xml:space="preserve"> 4 ft.- 6"</t>
  </si>
  <si>
    <t xml:space="preserve"> 4 ft.- 10 1/ 2"</t>
  </si>
  <si>
    <t xml:space="preserve"> 21 ft.- 0"</t>
  </si>
  <si>
    <t xml:space="preserve"> 14 ft.- 10 1/ 2"</t>
  </si>
  <si>
    <t xml:space="preserve"> 14 ft.- 9"</t>
  </si>
  <si>
    <t xml:space="preserve"> 11 ft.- 8 1/ 2"</t>
  </si>
  <si>
    <t xml:space="preserve"> 18 ft.- 11 1/ 2"</t>
  </si>
  <si>
    <t xml:space="preserve"> 18 ft.- 8 7/ 8"</t>
  </si>
  <si>
    <t xml:space="preserve"> 7 ft.- 2"</t>
  </si>
  <si>
    <t xml:space="preserve"> 21 ft.- 10"</t>
  </si>
  <si>
    <t>SPECIAL-4 5/8-E</t>
  </si>
  <si>
    <t xml:space="preserve"> 23 ft.- 8"</t>
  </si>
  <si>
    <t xml:space="preserve"> 22 ft.- 2 1/ 2"</t>
  </si>
  <si>
    <t xml:space="preserve"> 22 ft.- 1"</t>
  </si>
  <si>
    <t>?</t>
  </si>
  <si>
    <t xml:space="preserve"> 4 ft.- 11 1/ 2"</t>
  </si>
  <si>
    <t xml:space="preserve"> 4 ft.- 5"</t>
  </si>
  <si>
    <t xml:space="preserve"> 4 ft.- 9 1/ 2"</t>
  </si>
  <si>
    <t xml:space="preserve"> 6 ft.- 2"</t>
  </si>
  <si>
    <t xml:space="preserve"> 6 ft.- 1"</t>
  </si>
  <si>
    <t xml:space="preserve"> 17 ft.- 0 7/ 8"</t>
  </si>
  <si>
    <t xml:space="preserve"> 16 ft.- 6 3/ 8"</t>
  </si>
  <si>
    <t xml:space="preserve"> 16 ft.- 10 7/ 8"</t>
  </si>
  <si>
    <t xml:space="preserve"> 15 ft.- 8 1/ 2"</t>
  </si>
  <si>
    <t xml:space="preserve"> 15 ft.- 7"</t>
  </si>
  <si>
    <t xml:space="preserve"> 14 ft.- 8"</t>
  </si>
  <si>
    <t xml:space="preserve"> 15 ft.- 0 1/ 2"</t>
  </si>
  <si>
    <t xml:space="preserve"> 14 ft.- 11"</t>
  </si>
  <si>
    <t xml:space="preserve"> 16 ft.- 3 3/ 8"</t>
  </si>
  <si>
    <t xml:space="preserve"> 16 ft.- 1"</t>
  </si>
  <si>
    <t xml:space="preserve"> 16 ft.- 0 3/ 8"</t>
  </si>
  <si>
    <t xml:space="preserve"> 11 ft.- 6 1/ 2"</t>
  </si>
  <si>
    <t xml:space="preserve"> 5 ft.- 10"</t>
  </si>
  <si>
    <t xml:space="preserve"> 9 ft.- 2 1/ 2"</t>
  </si>
  <si>
    <t xml:space="preserve"> 7 ft.- 1"</t>
  </si>
  <si>
    <t xml:space="preserve"> 12 ft.- 0 1/ 2"</t>
  </si>
  <si>
    <t xml:space="preserve"> 13 ft.- 5"</t>
  </si>
  <si>
    <t xml:space="preserve"> 7 ft.- 6 1/ 2"</t>
  </si>
  <si>
    <t xml:space="preserve"> 19 ft.- 5"</t>
  </si>
  <si>
    <t xml:space="preserve"> 19 ft.- 11 1/ 2"</t>
  </si>
  <si>
    <t xml:space="preserve"> 19 ft.- 0"</t>
  </si>
  <si>
    <t xml:space="preserve"> 20 ft.- 8"</t>
  </si>
  <si>
    <t xml:space="preserve"> 19 ft.- 4 1/ 2"</t>
  </si>
  <si>
    <t xml:space="preserve"> 19 ft.- 3"</t>
  </si>
  <si>
    <t xml:space="preserve"> 13 ft.- 7 3/ 8"</t>
  </si>
  <si>
    <t xml:space="preserve"> 13 ft.- 6 1/ 2"</t>
  </si>
  <si>
    <t xml:space="preserve"> 12 ft.- 11"</t>
  </si>
  <si>
    <t xml:space="preserve"> 13 ft.- 4 7/ 8"</t>
  </si>
  <si>
    <t xml:space="preserve"> 12 ft.- 10 3/ 8"</t>
  </si>
  <si>
    <t xml:space="preserve"> 13 ft.- 2 7/ 8"</t>
  </si>
  <si>
    <t xml:space="preserve"> 9 ft.- 6 1/ 2"</t>
  </si>
  <si>
    <t xml:space="preserve"> 6 ft.- 6 1/ 2"</t>
  </si>
  <si>
    <t xml:space="preserve"> 22 ft.- 4 1/ 2"</t>
  </si>
  <si>
    <t xml:space="preserve"> 22 ft.- 3"</t>
  </si>
  <si>
    <t xml:space="preserve"> 6 ft.- 11 1/ 2"</t>
  </si>
  <si>
    <t xml:space="preserve"> 13 ft.- 10 3/ 8"</t>
  </si>
  <si>
    <t xml:space="preserve"> 14 ft.- 2 7/ 8"</t>
  </si>
  <si>
    <t xml:space="preserve"> 19 ft.- 6"</t>
  </si>
  <si>
    <t xml:space="preserve"> 20 ft.- 0 1/ 2"</t>
  </si>
  <si>
    <t xml:space="preserve"> 19 ft.- 9 7/ 8"</t>
  </si>
  <si>
    <t xml:space="preserve"> 10 ft.- 10 1/ 2"</t>
  </si>
  <si>
    <t xml:space="preserve"> 3 ft.- 0"</t>
  </si>
  <si>
    <t xml:space="preserve"> 3 ft.- 4 1/ 2"</t>
  </si>
  <si>
    <t xml:space="preserve"> 3 ft.- 3"</t>
  </si>
  <si>
    <t xml:space="preserve"> 15 ft.- 2 7/ 8"</t>
  </si>
  <si>
    <t xml:space="preserve"> 14 ft.- 8 3/ 8"</t>
  </si>
  <si>
    <t xml:space="preserve"> 15 ft.- 0 7/ 8"</t>
  </si>
  <si>
    <t xml:space="preserve"> 15 ft.- 6 3/ 8"</t>
  </si>
  <si>
    <t xml:space="preserve"> 15 ft.- 11 1/ 2"</t>
  </si>
  <si>
    <t xml:space="preserve"> 6 ft.- 4 1/ 2"</t>
  </si>
  <si>
    <t xml:space="preserve"> 4 ft.- 4 1/ 2"</t>
  </si>
  <si>
    <t xml:space="preserve"> 4 ft.- 3"</t>
  </si>
  <si>
    <t xml:space="preserve"> 20 ft.- 1"</t>
  </si>
  <si>
    <t xml:space="preserve"> 20 ft.- 7 1/ 2"</t>
  </si>
  <si>
    <t xml:space="preserve"> 20 ft.- 4 7/ 8"</t>
  </si>
  <si>
    <t xml:space="preserve"> 3 ft.- 9"</t>
  </si>
  <si>
    <t xml:space="preserve"> 4 ft.- 2 1/ 2"</t>
  </si>
  <si>
    <t xml:space="preserve"> 3 ft.- 8"</t>
  </si>
  <si>
    <t xml:space="preserve"> 4 ft.- 0 1/ 2"</t>
  </si>
  <si>
    <t xml:space="preserve"> 13 ft.- 0 1/ 2"</t>
  </si>
  <si>
    <t xml:space="preserve"> 6 ft.- 10"</t>
  </si>
  <si>
    <t xml:space="preserve"> 16 ft.- 9 3/ 8"</t>
  </si>
  <si>
    <t xml:space="preserve"> 5 ft.- 1"</t>
  </si>
  <si>
    <t xml:space="preserve"> 5 ft.- 6 1/ 2"</t>
  </si>
  <si>
    <t xml:space="preserve"> 18 ft.- 9"</t>
  </si>
  <si>
    <t xml:space="preserve"> 19 ft.- 3 1/ 2"</t>
  </si>
  <si>
    <t xml:space="preserve"> 19 ft.- 0 7/ 8"</t>
  </si>
  <si>
    <t xml:space="preserve"> 13 ft.- 1 7/ 8"</t>
  </si>
  <si>
    <t xml:space="preserve"> 12 ft.- 7 3/ 8"</t>
  </si>
  <si>
    <t xml:space="preserve"> 19 ft.- 7"</t>
  </si>
  <si>
    <t xml:space="preserve"> 20 ft.- 1 1/ 2"</t>
  </si>
  <si>
    <t xml:space="preserve"> 19 ft.- 10 7/ 8"</t>
  </si>
  <si>
    <t xml:space="preserve"> 19 ft.- 1"</t>
  </si>
  <si>
    <t xml:space="preserve"> 15 ft.- 4 7/ 8"</t>
  </si>
  <si>
    <t xml:space="preserve"> 14 ft.- 10 3/ 8"</t>
  </si>
  <si>
    <t xml:space="preserve"> 17 ft.- 1"</t>
  </si>
  <si>
    <t xml:space="preserve"> 17 ft.- 6 7/ 8"</t>
  </si>
  <si>
    <t xml:space="preserve"> 17 ft.- 0 3/ 8"</t>
  </si>
  <si>
    <t xml:space="preserve"> 17 ft.- 4 7/ 8"</t>
  </si>
  <si>
    <t xml:space="preserve"> 14 ft.- 11 1/ 2"</t>
  </si>
  <si>
    <t xml:space="preserve"> 3 ft.- 1"</t>
  </si>
  <si>
    <t xml:space="preserve"> 3 ft.- 6 1/ 2"</t>
  </si>
  <si>
    <t xml:space="preserve"> 17 ft.- 5"</t>
  </si>
  <si>
    <t xml:space="preserve"> 17 ft.- 10 7/ 8"</t>
  </si>
  <si>
    <t xml:space="preserve"> 17 ft.- 4 3/ 8"</t>
  </si>
  <si>
    <t xml:space="preserve"> 17 ft.- 8 7/ 8"</t>
  </si>
  <si>
    <t xml:space="preserve"> 3 ft.- 2"</t>
  </si>
  <si>
    <t xml:space="preserve"> 4 ft.- 8"</t>
  </si>
  <si>
    <t xml:space="preserve"> 15 ft.- 9 3/ 8"</t>
  </si>
  <si>
    <t xml:space="preserve"> 16 ft.- 1 7/ 8"</t>
  </si>
  <si>
    <t xml:space="preserve"> 5 ft.- 2"</t>
  </si>
  <si>
    <t xml:space="preserve"> 4 ft.- 7"</t>
  </si>
  <si>
    <t xml:space="preserve"> 21 ft.- 3"</t>
  </si>
  <si>
    <t xml:space="preserve"> 21 ft.- 9 1/ 2"</t>
  </si>
  <si>
    <t xml:space="preserve"> 18 ft.- 4 1/ 2"</t>
  </si>
  <si>
    <t xml:space="preserve"> 18 ft.- 3"</t>
  </si>
  <si>
    <t xml:space="preserve"> 21 ft.- 5"</t>
  </si>
  <si>
    <t xml:space="preserve"> 21 ft.- 8"</t>
  </si>
  <si>
    <t xml:space="preserve"> 18 ft.- 2 3/ 8"</t>
  </si>
  <si>
    <t xml:space="preserve"> 18 ft.- 6 7/ 8"</t>
  </si>
  <si>
    <t xml:space="preserve"> 13 ft.- 3 1/ 2"</t>
  </si>
  <si>
    <t xml:space="preserve"> 13 ft.- 5 1/ 2"</t>
  </si>
  <si>
    <t xml:space="preserve"> 13 ft.- 4"</t>
  </si>
  <si>
    <t xml:space="preserve"> 19 ft.- 10"</t>
  </si>
  <si>
    <t xml:space="preserve"> 2 ft.- 9"</t>
  </si>
  <si>
    <t xml:space="preserve"> 3 ft.- 2 1/ 2"</t>
  </si>
  <si>
    <t xml:space="preserve"> 2 ft.- 8"</t>
  </si>
  <si>
    <t xml:space="preserve"> 3 ft.- 0 1/ 2"</t>
  </si>
  <si>
    <t xml:space="preserve"> 14 ft.- 1 1/ 2"</t>
  </si>
  <si>
    <t xml:space="preserve"> 4 ft.- 2"</t>
  </si>
  <si>
    <t xml:space="preserve"> 4 ft.- 7 1/ 2"</t>
  </si>
  <si>
    <t xml:space="preserve"> 4 ft.- 1"</t>
  </si>
  <si>
    <t xml:space="preserve"> 15 ft.- 3 1/ 2"</t>
  </si>
  <si>
    <t xml:space="preserve"> 13 ft.- 3 3/ 8"</t>
  </si>
  <si>
    <t xml:space="preserve"> 15 ft.- 1 1/ 2"</t>
  </si>
  <si>
    <t xml:space="preserve"> 18 ft.- 6"</t>
  </si>
  <si>
    <t xml:space="preserve"> 19 ft.- 0 1/ 2"</t>
  </si>
  <si>
    <t xml:space="preserve"> 18 ft.- 9 7/ 8"</t>
  </si>
  <si>
    <t xml:space="preserve"> 17 ft.- 7"</t>
  </si>
  <si>
    <t xml:space="preserve"> 18 ft.- 0 7/ 8"</t>
  </si>
  <si>
    <t xml:space="preserve"> 17 ft.- 6 3/ 8"</t>
  </si>
  <si>
    <t xml:space="preserve"> 13 ft.- 0 7/ 8"</t>
  </si>
  <si>
    <t xml:space="preserve"> 12 ft.- 6 3/ 8"</t>
  </si>
  <si>
    <t xml:space="preserve"> 14 ft.- 10 7/ 8"</t>
  </si>
  <si>
    <t xml:space="preserve"> 14 ft.- 4 3/ 8"</t>
  </si>
  <si>
    <t xml:space="preserve"> 13 ft.- 8 3/ 8"</t>
  </si>
  <si>
    <t xml:space="preserve"> 14 ft.- 0 7/ 8"</t>
  </si>
  <si>
    <t xml:space="preserve"> 13 ft.- 6 3/ 8"</t>
  </si>
  <si>
    <t xml:space="preserve"> 13 ft.- 10 7/ 8"</t>
  </si>
  <si>
    <t xml:space="preserve"> 3 ft.- 10 1/ 2"</t>
  </si>
  <si>
    <t xml:space="preserve"> 3 ft.- 4"</t>
  </si>
  <si>
    <t xml:space="preserve"> 3 ft.- 8 1/ 2"</t>
  </si>
  <si>
    <t xml:space="preserve"> 18 ft.- 6 1/ 2"</t>
  </si>
  <si>
    <t xml:space="preserve"> 17 ft.- 2 3/ 8"</t>
  </si>
  <si>
    <t xml:space="preserve"> 4 ft.- 1 1/ 2"</t>
  </si>
  <si>
    <t xml:space="preserve"> 14 ft.- 6 3/ 8"</t>
  </si>
  <si>
    <t xml:space="preserve"> 17 ft.- 4 1/ 2"</t>
  </si>
  <si>
    <t xml:space="preserve"> 19 ft.- 6 1/ 2"</t>
  </si>
  <si>
    <t xml:space="preserve"> 19 ft.- 3 7/ 8"</t>
  </si>
  <si>
    <t xml:space="preserve"> 14 ft.- 3 1/ 2"</t>
  </si>
  <si>
    <t xml:space="preserve"> 12 ft.- 9 3/ 8"</t>
  </si>
  <si>
    <t xml:space="preserve"> 13 ft.- 7 1/ 2"</t>
  </si>
  <si>
    <t xml:space="preserve"> 3 ft.- 7 1/ 2"</t>
  </si>
  <si>
    <t xml:space="preserve"> 13 ft.- 9 1/ 2"</t>
  </si>
  <si>
    <t xml:space="preserve"> 12 ft.- 8 3/ 8"</t>
  </si>
  <si>
    <t xml:space="preserve"> 20 ft.- 5 1/ 2"</t>
  </si>
  <si>
    <t xml:space="preserve"> 20 ft.- 4"</t>
  </si>
  <si>
    <t xml:space="preserve"> 3 ft.- 5 1/ 2"</t>
  </si>
  <si>
    <t xml:space="preserve"> 2 ft.- 11"</t>
  </si>
  <si>
    <t xml:space="preserve"> 3 ft.- 3 1/ 2"</t>
  </si>
  <si>
    <t xml:space="preserve"> 13 ft.- 8 1/ 2"</t>
  </si>
  <si>
    <t xml:space="preserve"> 14 ft.- 9 1/ 2"</t>
  </si>
  <si>
    <t xml:space="preserve"> 3 ft.- 7"</t>
  </si>
  <si>
    <t xml:space="preserve"> 13 ft.- 1 1/ 2"</t>
  </si>
  <si>
    <t xml:space="preserve"> 15 ft.- 5 1/ 2"</t>
  </si>
  <si>
    <t xml:space="preserve"> 18 ft.- 10"</t>
  </si>
  <si>
    <t xml:space="preserve"> 5 ft.- 0 1/ 2"</t>
  </si>
  <si>
    <t xml:space="preserve"> 13 ft.- 4 3/ 8"</t>
  </si>
  <si>
    <t xml:space="preserve"> 15 ft.- 9 1/ 2"</t>
  </si>
  <si>
    <t xml:space="preserve"> 17 ft.- 9 3/ 8"</t>
  </si>
  <si>
    <t xml:space="preserve"> 18 ft.- 1 7/ 8"</t>
  </si>
  <si>
    <t xml:space="preserve"> 21 ft.- 4 1/ 2"</t>
  </si>
  <si>
    <t xml:space="preserve"> 16 ft.- 11"</t>
  </si>
  <si>
    <t xml:space="preserve"> 15 ft.- 7 1/ 2"</t>
  </si>
  <si>
    <t xml:space="preserve"> 20 ft.- 4 1/ 2"</t>
  </si>
  <si>
    <t xml:space="preserve"> 20 ft.- 3"</t>
  </si>
  <si>
    <t xml:space="preserve"> 17 ft.- 4"</t>
  </si>
  <si>
    <t xml:space="preserve"> 17 ft.- 3 3/ 8"</t>
  </si>
  <si>
    <t xml:space="preserve"> 16 ft.- 0 1/ 2"</t>
  </si>
  <si>
    <t xml:space="preserve"> 18 ft.- 4"</t>
  </si>
  <si>
    <t xml:space="preserve"> 17 ft.- 0 1/ 2"</t>
  </si>
  <si>
    <t xml:space="preserve"> 18 ft.- 1"</t>
  </si>
  <si>
    <t xml:space="preserve"> 18 ft.- 0 3/ 8"</t>
  </si>
  <si>
    <t xml:space="preserve"> 18 ft.- 4 7/ 8"</t>
  </si>
  <si>
    <t xml:space="preserve"> 4 ft.- 6 1/ 2"</t>
  </si>
  <si>
    <t xml:space="preserve"> 17 ft.- 2 7/ 8"</t>
  </si>
  <si>
    <t xml:space="preserve"> 16 ft.- 8 3/ 8"</t>
  </si>
  <si>
    <t xml:space="preserve"> 18 ft.- 8 1/ 2"</t>
  </si>
  <si>
    <t xml:space="preserve"> 18 ft.- 7"</t>
  </si>
  <si>
    <t xml:space="preserve"> 16 ft.- 3 1/ 2"</t>
  </si>
  <si>
    <t xml:space="preserve"> 19 ft.- 4"</t>
  </si>
  <si>
    <t xml:space="preserve"> 19 ft.- 10 1/ 2"</t>
  </si>
  <si>
    <t xml:space="preserve"> 19 ft.- 7 7/ 8"</t>
  </si>
  <si>
    <t xml:space="preserve"> 15 ft.- 10 1/ 2"</t>
  </si>
  <si>
    <t xml:space="preserve"> 19 ft.- 11"</t>
  </si>
  <si>
    <t xml:space="preserve"> 21 ft.- 9"</t>
  </si>
  <si>
    <t xml:space="preserve"> 15 ft.- 11 7/ 8"</t>
  </si>
  <si>
    <t xml:space="preserve"> 15 ft.- 5 3/ 8"</t>
  </si>
  <si>
    <t xml:space="preserve"> 18 ft.- 3 3/ 8"</t>
  </si>
  <si>
    <t xml:space="preserve"> 16 ft.- 4 3/ 8"</t>
  </si>
  <si>
    <t xml:space="preserve"> 17 ft.- 8 1/ 2"</t>
  </si>
  <si>
    <t xml:space="preserve"> 4 ft.- 4"</t>
  </si>
  <si>
    <t xml:space="preserve"> 4 ft.- 8 1/ 2"</t>
  </si>
  <si>
    <t xml:space="preserve"> 3 ft.- 10"</t>
  </si>
  <si>
    <t xml:space="preserve"> 20 ft.- 10 1/ 2"</t>
  </si>
  <si>
    <t xml:space="preserve"> 20 ft.- 7 7/ 8"</t>
  </si>
  <si>
    <t xml:space="preserve"> 17 ft.- 7 3/ 8"</t>
  </si>
  <si>
    <t xml:space="preserve"> 15 ft.- 7 3/ 8"</t>
  </si>
  <si>
    <t xml:space="preserve"> 16 ft.- 2 1/ 2"</t>
  </si>
  <si>
    <t xml:space="preserve"> 17 ft.- 11"</t>
  </si>
  <si>
    <t xml:space="preserve"> 16 ft.- 7 1/ 2"</t>
  </si>
  <si>
    <t xml:space="preserve"> 20 ft.- 2 7/ 8"</t>
  </si>
  <si>
    <t xml:space="preserve"> 17 ft.- 9 1/ 2"</t>
  </si>
  <si>
    <t xml:space="preserve"> 14 ft.- 7 3/ 8"</t>
  </si>
  <si>
    <t>bottombartype</t>
  </si>
  <si>
    <t>SPECIAL</t>
  </si>
  <si>
    <t>endlockweight</t>
  </si>
  <si>
    <t>Endlock Total Weight</t>
  </si>
  <si>
    <t>Grille Weight</t>
  </si>
  <si>
    <t>pipewidth</t>
  </si>
  <si>
    <t>shell</t>
  </si>
  <si>
    <t>barrelrings</t>
  </si>
  <si>
    <t>increaseradius</t>
  </si>
  <si>
    <t>slatweight</t>
  </si>
  <si>
    <t>slatheight</t>
  </si>
  <si>
    <t>bottombarheight</t>
  </si>
  <si>
    <t xml:space="preserve"> 25 ft.- 0"</t>
  </si>
  <si>
    <t xml:space="preserve"> 25 ft.- 7 1/ 2"</t>
  </si>
  <si>
    <t>WL2-4 11/16-E</t>
  </si>
  <si>
    <t xml:space="preserve"> 25 ft.- 4 7/ 8"</t>
  </si>
  <si>
    <t xml:space="preserve"> 22 ft.- 6 1/ 2"</t>
  </si>
  <si>
    <t xml:space="preserve"> 22 ft.- 3 7/ 8"</t>
  </si>
  <si>
    <t xml:space="preserve"> 19 ft.- 2"</t>
  </si>
  <si>
    <t xml:space="preserve"> 19 ft.- 8 1/ 2"</t>
  </si>
  <si>
    <t xml:space="preserve"> 19 ft.- 5 7/ 8"</t>
  </si>
  <si>
    <t xml:space="preserve"> 19 ft.- 9"</t>
  </si>
  <si>
    <t xml:space="preserve"> 20 ft.- 0 7/ 8"</t>
  </si>
  <si>
    <t xml:space="preserve"> 21 ft.- 6 1/ 2"</t>
  </si>
  <si>
    <t xml:space="preserve"> 21 ft.- 3 7/ 8"</t>
  </si>
  <si>
    <t xml:space="preserve"> 22 ft.- 4"</t>
  </si>
  <si>
    <t xml:space="preserve"> 22 ft.- 10 1/ 2"</t>
  </si>
  <si>
    <t xml:space="preserve"> 22 ft.- 7 7/ 8"</t>
  </si>
  <si>
    <t xml:space="preserve"> 23 ft.- 6"</t>
  </si>
  <si>
    <t xml:space="preserve"> 22 ft.- 5"</t>
  </si>
  <si>
    <t xml:space="preserve"> 22 ft.- 11 1/ 2"</t>
  </si>
  <si>
    <t xml:space="preserve"> 22 ft.- 8 7/ 8"</t>
  </si>
  <si>
    <t xml:space="preserve"> 17 ft.- 9"</t>
  </si>
  <si>
    <t xml:space="preserve"> 16 ft.- 5 1/ 2"</t>
  </si>
  <si>
    <t xml:space="preserve"> 22 ft.- 8"</t>
  </si>
  <si>
    <t xml:space="preserve"> 23 ft.- 2 1/ 2"</t>
  </si>
  <si>
    <t xml:space="preserve"> 22 ft.- 11 7/ 8"</t>
  </si>
  <si>
    <t xml:space="preserve"> 19 ft.- 7 1/ 2"</t>
  </si>
  <si>
    <t xml:space="preserve"> 24 ft.- 0"</t>
  </si>
  <si>
    <t xml:space="preserve"> 22 ft.- 8 1/ 2"</t>
  </si>
  <si>
    <t xml:space="preserve"> 22 ft.- 7"</t>
  </si>
  <si>
    <t xml:space="preserve"> 19 ft.- 4 7/ 8"</t>
  </si>
  <si>
    <t xml:space="preserve"> 22 ft.- 9 1/ 2"</t>
  </si>
  <si>
    <t xml:space="preserve"> 22 ft.- 6 7/ 8"</t>
  </si>
  <si>
    <t xml:space="preserve"> 21 ft.- 6 7/ 8"</t>
  </si>
  <si>
    <t xml:space="preserve"> 21 ft.- 2 1/ 2"</t>
  </si>
  <si>
    <t xml:space="preserve"> 20 ft.- 11 7/ 8"</t>
  </si>
  <si>
    <t xml:space="preserve"> 23 ft.- 1"</t>
  </si>
  <si>
    <t xml:space="preserve"> 22 ft.- 6"</t>
  </si>
  <si>
    <t xml:space="preserve"> 23 ft.- 0 1/ 2"</t>
  </si>
  <si>
    <t xml:space="preserve"> 22 ft.- 9 7/ 8"</t>
  </si>
  <si>
    <t xml:space="preserve"> 25 ft.- 8"</t>
  </si>
  <si>
    <t xml:space="preserve"> 26 ft.- 3 1/ 2"</t>
  </si>
  <si>
    <t xml:space="preserve"> 26 ft.- 0 7/ 8"</t>
  </si>
  <si>
    <t xml:space="preserve"> 21 ft.- 2"</t>
  </si>
  <si>
    <t xml:space="preserve"> 21 ft.- 8 1/ 2"</t>
  </si>
  <si>
    <t xml:space="preserve"> 21 ft.- 5 7/ 8"</t>
  </si>
  <si>
    <t xml:space="preserve"> 24 ft.- 4 1/ 2"</t>
  </si>
  <si>
    <t xml:space="preserve"> 24 ft.- 3"</t>
  </si>
  <si>
    <t xml:space="preserve"> 20 ft.- 7"</t>
  </si>
  <si>
    <t xml:space="preserve"> 21 ft.- 7"</t>
  </si>
  <si>
    <t xml:space="preserve"> 19 ft.- 1 1/ 2"</t>
  </si>
  <si>
    <t xml:space="preserve"> 18 ft.- 10 7/ 8"</t>
  </si>
  <si>
    <t xml:space="preserve"> 24 ft.- 6 1/ 2"</t>
  </si>
  <si>
    <t xml:space="preserve"> 24 ft.- 3 7/ 8"</t>
  </si>
  <si>
    <t xml:space="preserve"> 20 ft.- 6"</t>
  </si>
  <si>
    <t xml:space="preserve"> 21 ft.- 0 1/ 2"</t>
  </si>
  <si>
    <t xml:space="preserve"> 20 ft.- 9 7/ 8"</t>
  </si>
  <si>
    <t xml:space="preserve"> 21 ft.- 1 1/ 2"</t>
  </si>
  <si>
    <t xml:space="preserve"> 20 ft.- 10 7/ 8"</t>
  </si>
  <si>
    <t xml:space="preserve"> 20 ft.- 10"</t>
  </si>
  <si>
    <t xml:space="preserve"> 21 ft.- 1 7/ 8"</t>
  </si>
  <si>
    <t xml:space="preserve"> 22 ft.- 1 7/ 8"</t>
  </si>
  <si>
    <t xml:space="preserve"> 20 ft.- 5"</t>
  </si>
  <si>
    <t xml:space="preserve"> 20 ft.- 11 1/ 2"</t>
  </si>
  <si>
    <t xml:space="preserve"> 20 ft.- 8 7/ 8"</t>
  </si>
  <si>
    <t xml:space="preserve"> 24 ft.- 0 1/ 2"</t>
  </si>
  <si>
    <t xml:space="preserve"> 23 ft.- 9 7/ 8"</t>
  </si>
  <si>
    <t xml:space="preserve"> 21 ft.- 1"</t>
  </si>
  <si>
    <t xml:space="preserve"> 21 ft.- 7 1/ 2"</t>
  </si>
  <si>
    <t xml:space="preserve"> 21 ft.- 4 7/ 8"</t>
  </si>
  <si>
    <t>8 INCH PIPE</t>
  </si>
  <si>
    <t xml:space="preserve"> 25 ft.- 0 1/ 2"</t>
  </si>
  <si>
    <t xml:space="preserve"> 21 ft.- 11 1/ 2"</t>
  </si>
  <si>
    <t xml:space="preserve"> 22 ft.- 7 1/ 2"</t>
  </si>
  <si>
    <t xml:space="preserve"> 25 ft.- 8 1/ 2"</t>
  </si>
  <si>
    <t xml:space="preserve"> 23 ft.- 11 1/ 2"</t>
  </si>
  <si>
    <t>bracketplateheight</t>
  </si>
  <si>
    <t>adjuster</t>
  </si>
  <si>
    <t>adjusterratio</t>
  </si>
  <si>
    <t>Slats to Centerline</t>
  </si>
  <si>
    <t>totalnumberslats</t>
  </si>
  <si>
    <t>slatweight to Centerline</t>
  </si>
  <si>
    <t>bottombar angleweightperfoot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</si>
</sst>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79">
    <dxf>
      <numFmt numFmtId="15" formatCode="0.00E+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CA798" totalsRowShown="0">
  <autoFilter ref="A1:CA798">
    <filterColumn colId="74"/>
    <filterColumn colId="75"/>
    <filterColumn colId="76"/>
    <filterColumn colId="77"/>
    <filterColumn colId="78"/>
  </autoFilter>
  <sortState ref="A2:BV67">
    <sortCondition ref="D1:D67"/>
  </sortState>
  <tableColumns count="79">
    <tableColumn id="1" name="jobnumber"/>
    <tableColumn id="2" name="Hand" dataDxfId="78">
      <calculatedColumnFormula>VLOOKUP([jobnumber],OvalData[],MATCH(Table2[[#Headers],[Hand]],Table2[#Headers],0),0)</calculatedColumnFormula>
    </tableColumn>
    <tableColumn id="3" name="Model" dataDxfId="77">
      <calculatedColumnFormula>VLOOKUP([jobnumber],OvalData[],MATCH(Table2[[#Headers],[Model]],Table2[#Headers],0),0)</calculatedColumnFormula>
    </tableColumn>
    <tableColumn id="4" name="width" dataDxfId="76">
      <calculatedColumnFormula>VLOOKUP([jobnumber],OvalData[],MATCH(Table2[[#Headers],[width]],Table2[#Headers],0),0)</calculatedColumnFormula>
    </tableColumn>
    <tableColumn id="5" name="stopheight" dataDxfId="75">
      <calculatedColumnFormula>VLOOKUP([jobnumber],OvalData[],MATCH(Table2[[#Headers],[stopheight]],Table2[#Headers],0),0)</calculatedColumnFormula>
    </tableColumn>
    <tableColumn id="6" name="Between Brackets" dataDxfId="74">
      <calculatedColumnFormula>VLOOKUP([jobnumber],OvalData[],MATCH(Table2[[#Headers],[Between Brackets]],Table2[#Headers],0),0)</calculatedColumnFormula>
    </tableColumn>
    <tableColumn id="7" name="shell" dataDxfId="73">
      <calculatedColumnFormula>VLOOKUP([jobnumber],OvalData[],MATCH(Table2[[#Headers],[shell]],Table2[#Headers],0),0)</calculatedColumnFormula>
    </tableColumn>
    <tableColumn id="8" name="pipewidth" dataDxfId="72">
      <calculatedColumnFormula>VLOOKUP([jobnumber],OvalData[],MATCH(Table2[[#Headers],[pipewidth]],Table2[#Headers],0),0)</calculatedColumnFormula>
    </tableColumn>
    <tableColumn id="9" name="Support Tubes" dataDxfId="71">
      <calculatedColumnFormula>VLOOKUP([jobnumber],OvalData[],MATCH(Table2[[#Headers],[Support Tubes]],Table2[#Headers],0),0)</calculatedColumnFormula>
    </tableColumn>
    <tableColumn id="10" name="Upset" dataDxfId="70">
      <calculatedColumnFormula>VLOOKUP([jobnumber],OvalData[],MATCH(Table2[[#Headers],[Upset]],Table2[#Headers],0),0)</calculatedColumnFormula>
    </tableColumn>
    <tableColumn id="11" name="Guide Type" dataDxfId="69">
      <calculatedColumnFormula>VLOOKUP([jobnumber],OvalData[],MATCH(Table2[[#Headers],[Guide Type]],Table2[#Headers],0),0)</calculatedColumnFormula>
    </tableColumn>
    <tableColumn id="12" name="Wall Angle" dataDxfId="68">
      <calculatedColumnFormula>VLOOKUP([jobnumber],OvalData[],MATCH(Table2[[#Headers],[Wall Angle]],Table2[#Headers],0),0)</calculatedColumnFormula>
    </tableColumn>
    <tableColumn id="13" name="Middle Angle" dataDxfId="67">
      <calculatedColumnFormula>VLOOKUP([jobnumber],OvalData[],MATCH(Table2[[#Headers],[Middle Angle]],Table2[#Headers],0),0)</calculatedColumnFormula>
    </tableColumn>
    <tableColumn id="14" name="Front Angle" dataDxfId="66">
      <calculatedColumnFormula>VLOOKUP([jobnumber],OvalData[],MATCH(Table2[[#Headers],[Front Angle]],Table2[#Headers],0),0)</calculatedColumnFormula>
    </tableColumn>
    <tableColumn id="15" name="Pipe Center Line" dataDxfId="65">
      <calculatedColumnFormula>VLOOKUP([jobnumber],OvalData[],MATCH(Table2[[#Headers],[Pipe Center Line]],Table2[#Headers],0),0)</calculatedColumnFormula>
    </tableColumn>
    <tableColumn id="16" name="Heat Expansion Gap" dataDxfId="64">
      <calculatedColumnFormula>VLOOKUP([jobnumber],OvalData[],MATCH(Table2[[#Headers],[Heat Expansion Gap]],Table2[#Headers],0),0)</calculatedColumnFormula>
    </tableColumn>
    <tableColumn id="17" name="Hanging Weight Closed" dataDxfId="63">
      <calculatedColumnFormula>VLOOKUP([jobnumber],OvalData[],MATCH(Table2[[#Headers],[Hanging Weight Closed]],Table2[#Headers],0),0)</calculatedColumnFormula>
    </tableColumn>
    <tableColumn id="18" name="Hanging Weight Open" dataDxfId="62">
      <calculatedColumnFormula>VLOOKUP([jobnumber],OvalData[],MATCH(Table2[[#Headers],[Hanging Weight Open]],Table2[#Headers],0),0)</calculatedColumnFormula>
    </tableColumn>
    <tableColumn id="19" name="Initial Lever Arm" dataDxfId="61">
      <calculatedColumnFormula>VLOOKUP([jobnumber],OvalData[],MATCH(Table2[[#Headers],[Initial Lever Arm]],Table2[#Headers],0),0)</calculatedColumnFormula>
    </tableColumn>
    <tableColumn id="20" name="Turns to Raise" dataDxfId="60">
      <calculatedColumnFormula>VLOOKUP([jobnumber],OvalData[],MATCH(Table2[[#Headers],[Turns to Raise]],Table2[#Headers],0),0)</calculatedColumnFormula>
    </tableColumn>
    <tableColumn id="21" name="Final Lever Arm" dataDxfId="59">
      <calculatedColumnFormula>VLOOKUP([jobnumber],OvalData[],MATCH(Table2[[#Headers],[Final Lever Arm]],Table2[#Headers],0),0)</calculatedColumnFormula>
    </tableColumn>
    <tableColumn id="22" name="Torque Required Closed" dataDxfId="58">
      <calculatedColumnFormula>VLOOKUP([jobnumber],OvalData[],MATCH(Table2[[#Headers],[Torque Required Closed]],Table2[#Headers],0),0)</calculatedColumnFormula>
    </tableColumn>
    <tableColumn id="23" name="Torque Required Open" dataDxfId="57">
      <calculatedColumnFormula>VLOOKUP([jobnumber],OvalData[],MATCH(Table2[[#Headers],[Torque Required Open]],Table2[#Headers],0),0)</calculatedColumnFormula>
    </tableColumn>
    <tableColumn id="24" name="Pre Turns" dataDxfId="56">
      <calculatedColumnFormula>VLOOKUP([jobnumber],OvalData[],MATCH(Table2[[#Headers],[Pre Turns]],Table2[#Headers],0),0)</calculatedColumnFormula>
    </tableColumn>
    <tableColumn id="25" name="Required Torque Per Turn" dataDxfId="55">
      <calculatedColumnFormula>VLOOKUP([jobnumber],OvalData[],MATCH(Table2[[#Headers],[Required Torque Per Turn]],Table2[#Headers],0),0)</calculatedColumnFormula>
    </tableColumn>
    <tableColumn id="26" name="Total Turns" dataDxfId="54">
      <calculatedColumnFormula>VLOOKUP([jobnumber],OvalData[],MATCH(Table2[[#Headers],[Total Turns]],Table2[#Headers],0),0)</calculatedColumnFormula>
    </tableColumn>
    <tableColumn id="27" name="Grille Vision Section" dataDxfId="53">
      <calculatedColumnFormula>VLOOKUP([jobnumber],OvalData[],MATCH(Table2[[#Headers],[Grille Vision Section]],Table2[#Headers],0),0)</calculatedColumnFormula>
    </tableColumn>
    <tableColumn id="28" name="Grille Amount" dataDxfId="52">
      <calculatedColumnFormula>VLOOKUP([jobnumber],OvalData[],MATCH(Table2[[#Headers],[Grille Amount]],Table2[#Headers],0),0)</calculatedColumnFormula>
    </tableColumn>
    <tableColumn id="29" name="Grille Center" dataDxfId="51">
      <calculatedColumnFormula>VLOOKUP([jobnumber],OvalData[],MATCH(Table2[[#Headers],[Grille Center]],Table2[#Headers],0),0)</calculatedColumnFormula>
    </tableColumn>
    <tableColumn id="30" name="Grille Pattern" dataDxfId="50">
      <calculatedColumnFormula>VLOOKUP([jobnumber],OvalData[],MATCH(Table2[[#Headers],[Grille Pattern]],Table2[#Headers],0),0)</calculatedColumnFormula>
    </tableColumn>
    <tableColumn id="31" name="Grille First Tube" dataDxfId="49">
      <calculatedColumnFormula>VLOOKUP([jobnumber],OvalData[],MATCH(Table2[[#Headers],[Grille First Tube]],Table2[#Headers],0),0)</calculatedColumnFormula>
    </tableColumn>
    <tableColumn id="32" name="Grille Standard Tube" dataDxfId="48">
      <calculatedColumnFormula>VLOOKUP([jobnumber],OvalData[],MATCH(Table2[[#Headers],[Grille Standard Tube]],Table2[#Headers],0),0)</calculatedColumnFormula>
    </tableColumn>
    <tableColumn id="33" name="Grille Total Links" dataDxfId="47">
      <calculatedColumnFormula>VLOOKUP([jobnumber],OvalData[],MATCH(Table2[[#Headers],[Grille Total Links]],Table2[#Headers],0),0)</calculatedColumnFormula>
    </tableColumn>
    <tableColumn id="34" name="Grille Rods" dataDxfId="46">
      <calculatedColumnFormula>VLOOKUP([jobnumber],OvalData[],MATCH(Table2[[#Headers],[Grille Rods]],Table2[#Headers],0),0)</calculatedColumnFormula>
    </tableColumn>
    <tableColumn id="35" name="Grille Rod Length" dataDxfId="45">
      <calculatedColumnFormula>VLOOKUP([jobnumber],OvalData[],MATCH(Table2[[#Headers],[Grille Rod Length]],Table2[#Headers],0),0)</calculatedColumnFormula>
    </tableColumn>
    <tableColumn id="36" name="slattype" dataDxfId="44">
      <calculatedColumnFormula>VLOOKUP([jobnumber],OvalData[],MATCH(Table2[[#Headers],[slattype]],Table2[#Headers],0),0)</calculatedColumnFormula>
    </tableColumn>
    <tableColumn id="37" name="slatgage" dataDxfId="43">
      <calculatedColumnFormula>VLOOKUP([jobnumber],OvalData[],MATCH(Table2[[#Headers],[slatgage]],Table2[#Headers],0),0)</calculatedColumnFormula>
    </tableColumn>
    <tableColumn id="38" name="Numer of Top Slats" dataDxfId="42">
      <calculatedColumnFormula>VLOOKUP([jobnumber],OvalData[],MATCH(Table2[[#Headers],[Numer of Top Slats]],Table2[#Headers],0),0)</calculatedColumnFormula>
    </tableColumn>
    <tableColumn id="39" name="Number of Bottom Slats" dataDxfId="41">
      <calculatedColumnFormula>VLOOKUP([jobnumber],OvalData[],MATCH(Table2[[#Headers],[Number of Bottom Slats]],Table2[#Headers],0),0)</calculatedColumnFormula>
    </tableColumn>
    <tableColumn id="40" name="Solid Bottom Height" dataDxfId="40">
      <calculatedColumnFormula>VLOOKUP([jobnumber],OvalData[],MATCH(Table2[[#Headers],[Solid Bottom Height]],Table2[#Headers],0),0)</calculatedColumnFormula>
    </tableColumn>
    <tableColumn id="41" name="slatlength" dataDxfId="39">
      <calculatedColumnFormula>VLOOKUP([jobnumber],OvalData[],MATCH(Table2[[#Headers],[slatlength]],Table2[#Headers],0),0)</calculatedColumnFormula>
    </tableColumn>
    <tableColumn id="42" name="Bottom Slat Length" dataDxfId="38">
      <calculatedColumnFormula>VLOOKUP([jobnumber],OvalData[],MATCH(Table2[[#Headers],[Bottom Slat Length]],Table2[#Headers],0),0)</calculatedColumnFormula>
    </tableColumn>
    <tableColumn id="43" name="Number of Perferated Slats" dataDxfId="37">
      <calculatedColumnFormula>VLOOKUP([jobnumber],OvalData[],MATCH(Table2[[#Headers],[Number of Perferated Slats]],Table2[#Headers],0),0)</calculatedColumnFormula>
    </tableColumn>
    <tableColumn id="44" name="First Preferated Slat From End" dataDxfId="36">
      <calculatedColumnFormula>VLOOKUP([jobnumber],OvalData[],MATCH(Table2[[#Headers],[First Preferated Slat From End]],Table2[#Headers],0),0)</calculatedColumnFormula>
    </tableColumn>
    <tableColumn id="45" name="First Preferated Slat From Bottom" dataDxfId="35">
      <calculatedColumnFormula>VLOOKUP([jobnumber],OvalData[],MATCH(Table2[[#Headers],[First Preferated Slat From Bottom]],Table2[#Headers],0),0)</calculatedColumnFormula>
    </tableColumn>
    <tableColumn id="46" name="Total Number of Slats" dataDxfId="34">
      <calculatedColumnFormula>VLOOKUP([jobnumber],OvalData[],MATCH(Table2[[#Headers],[Total Number of Slats]],Table2[#Headers],0),0)</calculatedColumnFormula>
    </tableColumn>
    <tableColumn id="47" name="Bottom Bar Slope" dataDxfId="33">
      <calculatedColumnFormula>VLOOKUP([jobnumber],OvalData[],MATCH(Table2[[#Headers],[Bottom Bar Slope]],Table2[#Headers],0),0)</calculatedColumnFormula>
    </tableColumn>
    <tableColumn id="48" name="Bottom Bar Weight" dataDxfId="32">
      <calculatedColumnFormula>VLOOKUP([jobnumber],OvalData[],MATCH(Table2[[#Headers],[Bottom Bar Weight]],Table2[#Headers],0),0)</calculatedColumnFormula>
    </tableColumn>
    <tableColumn id="49" name="Outer Spring Gage" dataDxfId="31">
      <calculatedColumnFormula>VLOOKUP([jobnumber],OvalData[],MATCH(Table2[[#Headers],[Outer Spring Gage]],Table2[#Headers],0),0)</calculatedColumnFormula>
    </tableColumn>
    <tableColumn id="50" name="Outer Spring OD" dataDxfId="30">
      <calculatedColumnFormula>VLOOKUP([jobnumber],OvalData[],MATCH(Table2[[#Headers],[Outer Spring OD]],Table2[#Headers],0),0)</calculatedColumnFormula>
    </tableColumn>
    <tableColumn id="51" name="Outer Spring Length" dataDxfId="29">
      <calculatedColumnFormula>VLOOKUP([jobnumber],OvalData[],MATCH(Table2[[#Headers],[Outer Spring Length]],Table2[#Headers],0),0)</calculatedColumnFormula>
    </tableColumn>
    <tableColumn id="52" name="Outer Spring Stretch" dataDxfId="28">
      <calculatedColumnFormula>VLOOKUP([jobnumber],OvalData[],MATCH(Table2[[#Headers],[Outer Spring Stretch]],Table2[#Headers],0),0)</calculatedColumnFormula>
    </tableColumn>
    <tableColumn id="53" name="Outer Spring Torque" dataDxfId="27">
      <calculatedColumnFormula>VLOOKUP([jobnumber],OvalData[],MATCH(Table2[[#Headers],[Outer Spring Torque]],Table2[#Headers],0),0)</calculatedColumnFormula>
    </tableColumn>
    <tableColumn id="54" name="Outer Spring Max Turns" dataDxfId="26">
      <calculatedColumnFormula>VLOOKUP([jobnumber],OvalData[],MATCH(Table2[[#Headers],[Outer Spring Max Turns]],Table2[#Headers],0),0)</calculatedColumnFormula>
    </tableColumn>
    <tableColumn id="55" name="Outer Spring Weight" dataDxfId="25">
      <calculatedColumnFormula>VLOOKUP([jobnumber],OvalData[],MATCH(Table2[[#Headers],[Outer Spring Weight]],Table2[#Headers],0),0)</calculatedColumnFormula>
    </tableColumn>
    <tableColumn id="56" name="Inner Spring Gage" dataDxfId="24">
      <calculatedColumnFormula>VLOOKUP([jobnumber],OvalData[],MATCH(Table2[[#Headers],[Inner Spring Gage]],Table2[#Headers],0),0)</calculatedColumnFormula>
    </tableColumn>
    <tableColumn id="57" name="Inner Spring OD" dataDxfId="23">
      <calculatedColumnFormula>VLOOKUP([jobnumber],OvalData[],MATCH(Table2[[#Headers],[Inner Spring OD]],Table2[#Headers],0),0)</calculatedColumnFormula>
    </tableColumn>
    <tableColumn id="58" name="Inner Spring Length" dataDxfId="22">
      <calculatedColumnFormula>VLOOKUP([jobnumber],OvalData[],MATCH(Table2[[#Headers],[Inner Spring Length]],Table2[#Headers],0),0)</calculatedColumnFormula>
    </tableColumn>
    <tableColumn id="59" name="Inner Spring Stretch" dataDxfId="21">
      <calculatedColumnFormula>VLOOKUP([jobnumber],OvalData[],MATCH(Table2[[#Headers],[Inner Spring Stretch]],Table2[#Headers],0),0)</calculatedColumnFormula>
    </tableColumn>
    <tableColumn id="60" name="Inner Spring Torque" dataDxfId="20">
      <calculatedColumnFormula>VLOOKUP([jobnumber],OvalData[],MATCH(Table2[[#Headers],[Inner Spring Torque]],Table2[#Headers],0),0)</calculatedColumnFormula>
    </tableColumn>
    <tableColumn id="61" name="Inner Spring Max Turns" dataDxfId="19">
      <calculatedColumnFormula>VLOOKUP([jobnumber],OvalData[],MATCH(Table2[[#Headers],[Inner Spring Max Turns]],Table2[#Headers],0),0)</calculatedColumnFormula>
    </tableColumn>
    <tableColumn id="62" name="Inner Spring Weight" dataDxfId="18">
      <calculatedColumnFormula>VLOOKUP([jobnumber],OvalData[],MATCH(Table2[[#Headers],[Inner Spring Weight]],Table2[#Headers],0),0)</calculatedColumnFormula>
    </tableColumn>
    <tableColumn id="63" name="Cycles" dataDxfId="17">
      <calculatedColumnFormula>VLOOKUP([jobnumber],OvalData[],MATCH(Table2[[#Headers],[Cycles]],Table2[#Headers],0),0)</calculatedColumnFormula>
    </tableColumn>
    <tableColumn id="64" name="Total Spring Torque" dataDxfId="16">
      <calculatedColumnFormula>VLOOKUP([jobnumber],OvalData[],MATCH(Table2[[#Headers],[Total Spring Torque]],Table2[#Headers],0),0)</calculatedColumnFormula>
    </tableColumn>
    <tableColumn id="65" name="Total Spring Weight" dataDxfId="15">
      <calculatedColumnFormula>VLOOKUP([jobnumber],OvalData[],MATCH(Table2[[#Headers],[Total Spring Weight]],Table2[#Headers],0),0)</calculatedColumnFormula>
    </tableColumn>
    <tableColumn id="66" name="Pipe Weight" dataDxfId="14">
      <calculatedColumnFormula>VLOOKUP([jobnumber],OvalData[],MATCH(Table2[[#Headers],[Pipe Weight]],Table2[#Headers],0),0)</calculatedColumnFormula>
    </tableColumn>
    <tableColumn id="67" name="Max Pipe Deflection" dataDxfId="13">
      <calculatedColumnFormula>VLOOKUP([jobnumber],OvalData[],MATCH(Table2[[#Headers],[Max Pipe Deflection]],Table2[#Headers],0),0)</calculatedColumnFormula>
    </tableColumn>
    <tableColumn id="68" name="Number Non-Insulated Wrap Slats" dataDxfId="12">
      <calculatedColumnFormula>VLOOKUP([jobnumber],OvalData[],MATCH(Table2[[#Headers],[Number Non-Insulated Wrap Slats]],Table2[#Headers],0),0)</calculatedColumnFormula>
    </tableColumn>
    <tableColumn id="69" name="Number of Insolated Top Slats" dataDxfId="11">
      <calculatedColumnFormula>VLOOKUP([jobnumber],OvalData[],MATCH(Table2[[#Headers],[Number of Insolated Top Slats]],Table2[#Headers],0),0)</calculatedColumnFormula>
    </tableColumn>
    <tableColumn id="70" name="Insolated Total Slats" dataDxfId="10">
      <calculatedColumnFormula>VLOOKUP([jobnumber],OvalData[],MATCH(Table2[[#Headers],[Insolated Total Slats]],Table2[#Headers],0),0)</calculatedColumnFormula>
    </tableColumn>
    <tableColumn id="71" name="Number of Slats" dataDxfId="9">
      <calculatedColumnFormula>VLOOKUP([jobnumber],OvalData[],MATCH(Table2[[#Headers],[Number of Slats]],Table2[#Headers],0),0)</calculatedColumnFormula>
    </tableColumn>
    <tableColumn id="72" name="Wrap" dataDxfId="8">
      <calculatedColumnFormula>VLOOKUP([jobnumber],OvalData[],MATCH(Table2[[#Headers],[Wrap]],Table2[#Headers],0),0)</calculatedColumnFormula>
    </tableColumn>
    <tableColumn id="73" name="Wall Angle Thickness" dataDxfId="7">
      <calculatedColumnFormula>VLOOKUP([jobnumber],OvalData[],MATCH(Table2[[#Headers],[Wall Angle Thickness]],Table2[#Headers],0),0)</calculatedColumnFormula>
    </tableColumn>
    <tableColumn id="74" name="windlocks" dataDxfId="6">
      <calculatedColumnFormula>VLOOKUP([jobnumber],OvalData[],MATCH(Table2[[#Headers],[windlocks]],Table2[#Headers],0),0)</calculatedColumnFormula>
    </tableColumn>
    <tableColumn id="75" name="bottombartype" dataDxfId="5">
      <calculatedColumnFormula>VLOOKUP([jobnumber],OvalData[],MATCH(Table2[[#Headers],[bottombartype]],Table2[#Headers],0),0)</calculatedColumnFormula>
    </tableColumn>
    <tableColumn id="76" name="endlockweight" dataDxfId="4">
      <calculatedColumnFormula>VLOOKUP([jobnumber],OvalData[],MATCH(Table2[[#Headers],[endlockweight]],Table2[#Headers],0),0)</calculatedColumnFormula>
    </tableColumn>
    <tableColumn id="77" name="Endlock Total Weight" dataDxfId="3">
      <calculatedColumnFormula>VLOOKUP([jobnumber],OvalData[],MATCH(Table2[[#Headers],[Endlock Total Weight]],Table2[#Headers],0),0)</calculatedColumnFormula>
    </tableColumn>
    <tableColumn id="78" name="Grille Weight" dataDxfId="2">
      <calculatedColumnFormula>VLOOKUP([jobnumber],OvalData[],MATCH(Table2[[#Headers],[Grille Weight]],Table2[#Headers],0),0)</calculatedColumnFormula>
    </tableColumn>
    <tableColumn id="79" name="barrelrings" dataDxfId="1">
      <calculatedColumnFormula>VLOOKUP([jobnumber],OvalData[],MATCH(Table2[[#Headers],[barrelrings]],Table2[#Headers],0),0)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1" name="OvalData" displayName="OvalData" ref="A1:CK1617" totalsRowShown="0">
  <autoFilter ref="A1:CK1617">
    <filterColumn colId="74"/>
    <filterColumn colId="75"/>
    <filterColumn colId="76"/>
    <filterColumn colId="77"/>
    <filterColumn colId="78"/>
    <filterColumn colId="79"/>
    <filterColumn colId="80"/>
    <filterColumn colId="81"/>
    <filterColumn colId="82"/>
    <filterColumn colId="83"/>
    <filterColumn colId="84"/>
    <filterColumn colId="85"/>
    <filterColumn colId="86"/>
    <filterColumn colId="87"/>
    <filterColumn colId="88"/>
  </autoFilter>
  <sortState ref="A2:BX1553">
    <sortCondition ref="A1:A1617"/>
  </sortState>
  <tableColumns count="89">
    <tableColumn id="1" name="jobnumber"/>
    <tableColumn id="2" name="Hand"/>
    <tableColumn id="3" name="Model"/>
    <tableColumn id="4" name="width"/>
    <tableColumn id="5" name="stopheight"/>
    <tableColumn id="6" name="Between Brackets"/>
    <tableColumn id="7" name="shell"/>
    <tableColumn id="8" name="pipewidth"/>
    <tableColumn id="9" name="Support Tubes"/>
    <tableColumn id="10" name="Upset"/>
    <tableColumn id="11" name="Guide Type"/>
    <tableColumn id="12" name="Wall Angle"/>
    <tableColumn id="13" name="Middle Angle"/>
    <tableColumn id="14" name="Front Angle"/>
    <tableColumn id="15" name="Pipe Center Line"/>
    <tableColumn id="16" name="Heat Expansion Gap"/>
    <tableColumn id="17" name="Hanging Weight Closed"/>
    <tableColumn id="18" name="Hanging Weight Open"/>
    <tableColumn id="19" name="Initial Lever Arm"/>
    <tableColumn id="20" name="Turns to Raise"/>
    <tableColumn id="21" name="Final Lever Arm"/>
    <tableColumn id="22" name="Torque Required Closed"/>
    <tableColumn id="23" name="Torque Required Open"/>
    <tableColumn id="24" name="Pre Turns"/>
    <tableColumn id="25" name="Required Torque Per Turn"/>
    <tableColumn id="26" name="Total Turns"/>
    <tableColumn id="27" name="Grille Vision Section"/>
    <tableColumn id="28" name="Grille Amount"/>
    <tableColumn id="29" name="Grille Center"/>
    <tableColumn id="30" name="Grille Pattern"/>
    <tableColumn id="31" name="Grille First Tube"/>
    <tableColumn id="32" name="Grille Standard Tube"/>
    <tableColumn id="33" name="Grille Total Links"/>
    <tableColumn id="34" name="Grille Rods"/>
    <tableColumn id="35" name="Grille Rod Length"/>
    <tableColumn id="36" name="slattype"/>
    <tableColumn id="37" name="slatgage"/>
    <tableColumn id="38" name="Numer of Top Slats"/>
    <tableColumn id="39" name="Number of Bottom Slats"/>
    <tableColumn id="40" name="Solid Bottom Height"/>
    <tableColumn id="41" name="slatlength"/>
    <tableColumn id="42" name="Bottom Slat Length"/>
    <tableColumn id="43" name="Number of Perferated Slats"/>
    <tableColumn id="44" name="First Preferated Slat From End"/>
    <tableColumn id="45" name="First Preferated Slat From Bottom"/>
    <tableColumn id="46" name="Total Number of Slats"/>
    <tableColumn id="47" name="Bottom Bar Slope"/>
    <tableColumn id="48" name="Bottom Bar Weight"/>
    <tableColumn id="49" name="Outer Spring Gage"/>
    <tableColumn id="50" name="Outer Spring OD"/>
    <tableColumn id="51" name="Outer Spring Length"/>
    <tableColumn id="52" name="Outer Spring Stretch"/>
    <tableColumn id="53" name="Outer Spring Torque"/>
    <tableColumn id="54" name="Outer Spring Max Turns"/>
    <tableColumn id="55" name="Outer Spring Weight"/>
    <tableColumn id="56" name="Inner Spring Gage"/>
    <tableColumn id="57" name="Inner Spring OD"/>
    <tableColumn id="58" name="Inner Spring Length"/>
    <tableColumn id="59" name="Inner Spring Stretch"/>
    <tableColumn id="60" name="Inner Spring Torque"/>
    <tableColumn id="61" name="Inner Spring Max Turns"/>
    <tableColumn id="62" name="Inner Spring Weight"/>
    <tableColumn id="63" name="Cycles"/>
    <tableColumn id="64" name="Total Spring Torque"/>
    <tableColumn id="65" name="Total Spring Weight"/>
    <tableColumn id="66" name="Pipe Weight"/>
    <tableColumn id="67" name="Max Pipe Deflection"/>
    <tableColumn id="68" name="Number Non-Insulated Wrap Slats"/>
    <tableColumn id="69" name="Number of Insolated Top Slats"/>
    <tableColumn id="70" name="Insolated Total Slats"/>
    <tableColumn id="71" name="Slats to Centerline"/>
    <tableColumn id="72" name="Wrap"/>
    <tableColumn id="73" name="Wall Angle Thickness"/>
    <tableColumn id="74" name="windlocks"/>
    <tableColumn id="75" name="bottombartype"/>
    <tableColumn id="76" name="endlockweight"/>
    <tableColumn id="77" name="Endlock Total Weight"/>
    <tableColumn id="78" name="Grille Weight"/>
    <tableColumn id="79" name="barrelrings"/>
    <tableColumn id="80" name="increaseradius"/>
    <tableColumn id="81" name="slatweight" dataDxfId="0"/>
    <tableColumn id="82" name="slatheight"/>
    <tableColumn id="83" name="bottombarheight"/>
    <tableColumn id="84" name="bracketplateheight"/>
    <tableColumn id="85" name="adjuster"/>
    <tableColumn id="86" name="adjusterratio"/>
    <tableColumn id="87" name="totalnumberslats"/>
    <tableColumn id="88" name="slatweight to Centerline"/>
    <tableColumn id="89" name="bottombar angleweightperfoo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A798"/>
  <sheetViews>
    <sheetView workbookViewId="0">
      <pane xSplit="1" topLeftCell="B1" activePane="topRight" state="frozen"/>
      <selection pane="topRight" activeCell="A2" sqref="A2"/>
    </sheetView>
  </sheetViews>
  <sheetFormatPr defaultRowHeight="15"/>
  <cols>
    <col min="1" max="1" width="13" customWidth="1"/>
    <col min="5" max="5" width="12.7109375" customWidth="1"/>
    <col min="6" max="6" width="19" customWidth="1"/>
    <col min="7" max="7" width="12.42578125" customWidth="1"/>
    <col min="8" max="8" width="13" customWidth="1"/>
    <col min="9" max="9" width="15.85546875" customWidth="1"/>
    <col min="11" max="11" width="13.140625" customWidth="1"/>
    <col min="12" max="12" width="12.7109375" customWidth="1"/>
    <col min="13" max="13" width="15" customWidth="1"/>
    <col min="14" max="14" width="13.42578125" customWidth="1"/>
    <col min="15" max="15" width="17.7109375" customWidth="1"/>
    <col min="16" max="16" width="20.5703125" customWidth="1"/>
    <col min="17" max="17" width="23.5703125" customWidth="1"/>
    <col min="18" max="18" width="22.42578125" customWidth="1"/>
    <col min="19" max="19" width="17.7109375" customWidth="1"/>
    <col min="20" max="20" width="15.42578125" customWidth="1"/>
    <col min="21" max="21" width="16.85546875" customWidth="1"/>
    <col min="22" max="22" width="24.42578125" customWidth="1"/>
    <col min="23" max="23" width="23.28515625" customWidth="1"/>
    <col min="24" max="24" width="11.42578125" customWidth="1"/>
    <col min="25" max="25" width="25.85546875" customWidth="1"/>
    <col min="26" max="26" width="12.85546875" customWidth="1"/>
    <col min="27" max="27" width="21" customWidth="1"/>
    <col min="28" max="28" width="15.5703125" customWidth="1"/>
    <col min="29" max="29" width="14.42578125" customWidth="1"/>
    <col min="30" max="30" width="15" customWidth="1"/>
    <col min="31" max="31" width="17.140625" customWidth="1"/>
    <col min="32" max="32" width="21.140625" customWidth="1"/>
    <col min="33" max="33" width="17.7109375" customWidth="1"/>
    <col min="34" max="34" width="12.7109375" customWidth="1"/>
    <col min="35" max="35" width="18.28515625" customWidth="1"/>
    <col min="36" max="36" width="10.28515625" customWidth="1"/>
    <col min="37" max="37" width="10.42578125" customWidth="1"/>
    <col min="38" max="38" width="19.85546875" customWidth="1"/>
    <col min="39" max="39" width="24.28515625" customWidth="1"/>
    <col min="40" max="40" width="20.85546875" customWidth="1"/>
    <col min="41" max="41" width="12" customWidth="1"/>
    <col min="42" max="42" width="19.85546875" customWidth="1"/>
    <col min="43" max="43" width="27.28515625" customWidth="1"/>
    <col min="44" max="44" width="29.42578125" customWidth="1"/>
    <col min="45" max="45" width="32.7109375" customWidth="1"/>
    <col min="46" max="46" width="22.140625" customWidth="1"/>
    <col min="47" max="47" width="18.42578125" customWidth="1"/>
    <col min="48" max="48" width="19.85546875" customWidth="1"/>
    <col min="49" max="49" width="19.140625" customWidth="1"/>
    <col min="50" max="50" width="17.42578125" customWidth="1"/>
    <col min="51" max="51" width="20.7109375" customWidth="1"/>
    <col min="52" max="53" width="21" customWidth="1"/>
    <col min="54" max="54" width="23.7109375" customWidth="1"/>
    <col min="55" max="55" width="21.140625" customWidth="1"/>
    <col min="56" max="56" width="18.7109375" customWidth="1"/>
    <col min="57" max="57" width="17" customWidth="1"/>
    <col min="58" max="58" width="20.28515625" customWidth="1"/>
    <col min="59" max="60" width="20.5703125" customWidth="1"/>
    <col min="61" max="61" width="23.28515625" customWidth="1"/>
    <col min="62" max="62" width="20.7109375" customWidth="1"/>
    <col min="64" max="64" width="20.28515625" customWidth="1"/>
    <col min="65" max="65" width="20.42578125" customWidth="1"/>
    <col min="66" max="66" width="14" customWidth="1"/>
    <col min="67" max="67" width="21" customWidth="1"/>
    <col min="68" max="68" width="33.28515625" customWidth="1"/>
    <col min="69" max="69" width="29.7109375" customWidth="1"/>
    <col min="70" max="70" width="20.85546875" customWidth="1"/>
    <col min="71" max="71" width="17.28515625" customWidth="1"/>
    <col min="73" max="73" width="21.7109375" customWidth="1"/>
    <col min="74" max="74" width="12" customWidth="1"/>
  </cols>
  <sheetData>
    <row r="1" spans="1:79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660</v>
      </c>
      <c r="H1" t="s">
        <v>659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90</v>
      </c>
      <c r="BT1" t="s">
        <v>91</v>
      </c>
      <c r="BU1" t="s">
        <v>92</v>
      </c>
      <c r="BV1" t="s">
        <v>93</v>
      </c>
      <c r="BW1" t="s">
        <v>654</v>
      </c>
      <c r="BX1" t="s">
        <v>656</v>
      </c>
      <c r="BY1" t="s">
        <v>657</v>
      </c>
      <c r="BZ1" t="s">
        <v>658</v>
      </c>
      <c r="CA1" t="s">
        <v>661</v>
      </c>
    </row>
    <row r="2" spans="1:79">
      <c r="A2" s="2">
        <v>293</v>
      </c>
      <c r="B2" s="2" t="str">
        <f>VLOOKUP([jobnumber],OvalData[],MATCH(Table2[[#Headers],[Hand]],Table2[#Headers],0),0)</f>
        <v>RH</v>
      </c>
      <c r="C2" s="2" t="str">
        <f>VLOOKUP([jobnumber],OvalData[],MATCH(Table2[[#Headers],[Model]],Table2[#Headers],0),0)</f>
        <v>SFMPP</v>
      </c>
      <c r="D2" s="2" t="str">
        <f>VLOOKUP([jobnumber],OvalData[],MATCH(Table2[[#Headers],[width]],Table2[#Headers],0),0)</f>
        <v xml:space="preserve"> 8 ft.- 0"</v>
      </c>
      <c r="E2" s="2" t="str">
        <f>VLOOKUP([jobnumber],OvalData[],MATCH(Table2[[#Headers],[stopheight]],Table2[#Headers],0),0)</f>
        <v xml:space="preserve"> 7 ft.- 2"</v>
      </c>
      <c r="F2" s="2" t="str">
        <f>VLOOKUP([jobnumber],OvalData[],MATCH(Table2[[#Headers],[Between Brackets]],Table2[#Headers],0),0)</f>
        <v xml:space="preserve"> 8 ft.- 5 1/ 2"</v>
      </c>
      <c r="G2" s="2" t="str">
        <f>VLOOKUP([jobnumber],OvalData[],MATCH(Table2[[#Headers],[shell]],Table2[#Headers],0),0)</f>
        <v>4 INCH TUBE</v>
      </c>
      <c r="H2" s="2" t="str">
        <f>VLOOKUP([jobnumber],OvalData[],MATCH(Table2[[#Headers],[pipewidth]],Table2[#Headers],0),0)</f>
        <v xml:space="preserve"> 7 ft.- 11"</v>
      </c>
      <c r="I2" s="2">
        <f>VLOOKUP([jobnumber],OvalData[],MATCH(Table2[[#Headers],[Support Tubes]],Table2[#Headers],0),0)</f>
        <v>0</v>
      </c>
      <c r="J2" s="2">
        <f>VLOOKUP([jobnumber],OvalData[],MATCH(Table2[[#Headers],[Upset]],Table2[#Headers],0),0)</f>
        <v>2</v>
      </c>
      <c r="K2" s="2" t="str">
        <f>VLOOKUP([jobnumber],OvalData[],MATCH(Table2[[#Headers],[Guide Type]],Table2[#Headers],0),0)</f>
        <v>SN1-4 5/8-E</v>
      </c>
      <c r="L2" s="2" t="str">
        <f>VLOOKUP([jobnumber],OvalData[],MATCH(Table2[[#Headers],[Wall Angle]],Table2[#Headers],0),0)</f>
        <v xml:space="preserve"> 8 ft.- 10"</v>
      </c>
      <c r="M2" s="2" t="str">
        <f>VLOOKUP([jobnumber],OvalData[],MATCH(Table2[[#Headers],[Middle Angle]],Table2[#Headers],0),0)</f>
        <v xml:space="preserve"> 7 ft.- 6 1/ 2"</v>
      </c>
      <c r="N2" s="2" t="str">
        <f>VLOOKUP([jobnumber],OvalData[],MATCH(Table2[[#Headers],[Front Angle]],Table2[#Headers],0),0)</f>
        <v xml:space="preserve"> 7 ft.- 5"</v>
      </c>
      <c r="O2" s="2">
        <f>VLOOKUP([jobnumber],OvalData[],MATCH(Table2[[#Headers],[Pipe Center Line]],Table2[#Headers],0),0)</f>
        <v>97</v>
      </c>
      <c r="P2" s="2">
        <f>VLOOKUP([jobnumber],OvalData[],MATCH(Table2[[#Headers],[Heat Expansion Gap]],Table2[#Headers],0),0)</f>
        <v>0</v>
      </c>
      <c r="Q2" s="2">
        <f>VLOOKUP([jobnumber],OvalData[],MATCH(Table2[[#Headers],[Hanging Weight Closed]],Table2[#Headers],0),0)</f>
        <v>275</v>
      </c>
      <c r="R2" s="2">
        <f>VLOOKUP([jobnumber],OvalData[],MATCH(Table2[[#Headers],[Hanging Weight Open]],Table2[#Headers],0),0)</f>
        <v>67</v>
      </c>
      <c r="S2" s="2">
        <f>VLOOKUP([jobnumber],OvalData[],MATCH(Table2[[#Headers],[Initial Lever Arm]],Table2[#Headers],0),0)</f>
        <v>4.25</v>
      </c>
      <c r="T2" s="2">
        <f>VLOOKUP([jobnumber],OvalData[],MATCH(Table2[[#Headers],[Turns to Raise]],Table2[#Headers],0),0)</f>
        <v>2.7040000000000002</v>
      </c>
      <c r="U2" s="2">
        <f>VLOOKUP([jobnumber],OvalData[],MATCH(Table2[[#Headers],[Final Lever Arm]],Table2[#Headers],0),0)</f>
        <v>5.85</v>
      </c>
      <c r="V2" s="2">
        <f>VLOOKUP([jobnumber],OvalData[],MATCH(Table2[[#Headers],[Torque Required Closed]],Table2[#Headers],0),0)</f>
        <v>1167.51</v>
      </c>
      <c r="W2" s="2">
        <f>VLOOKUP([jobnumber],OvalData[],MATCH(Table2[[#Headers],[Torque Required Open]],Table2[#Headers],0),0)</f>
        <v>392</v>
      </c>
      <c r="X2" s="2">
        <f>VLOOKUP([jobnumber],OvalData[],MATCH(Table2[[#Headers],[Pre Turns]],Table2[#Headers],0),0)</f>
        <v>1.3332999999999999</v>
      </c>
      <c r="Y2" s="2">
        <f>VLOOKUP([jobnumber],OvalData[],MATCH(Table2[[#Headers],[Required Torque Per Turn]],Table2[#Headers],0),0)</f>
        <v>290</v>
      </c>
      <c r="Z2" s="2">
        <f>VLOOKUP([jobnumber],OvalData[],MATCH(Table2[[#Headers],[Total Turns]],Table2[#Headers],0),0)</f>
        <v>4.03</v>
      </c>
      <c r="AA2" s="2">
        <f>VLOOKUP([jobnumber],OvalData[],MATCH(Table2[[#Headers],[Grille Vision Section]],Table2[#Headers],0),0)</f>
        <v>0</v>
      </c>
      <c r="AB2" s="2">
        <f>VLOOKUP([jobnumber],OvalData[],MATCH(Table2[[#Headers],[Grille Amount]],Table2[#Headers],0),0)</f>
        <v>0</v>
      </c>
      <c r="AC2" s="2">
        <f>VLOOKUP([jobnumber],OvalData[],MATCH(Table2[[#Headers],[Grille Center]],Table2[#Headers],0),0)</f>
        <v>0</v>
      </c>
      <c r="AD2" s="2">
        <f>VLOOKUP([jobnumber],OvalData[],MATCH(Table2[[#Headers],[Grille Pattern]],Table2[#Headers],0),0)</f>
        <v>0</v>
      </c>
      <c r="AE2" s="2">
        <f>VLOOKUP([jobnumber],OvalData[],MATCH(Table2[[#Headers],[Grille First Tube]],Table2[#Headers],0),0)</f>
        <v>0</v>
      </c>
      <c r="AF2" s="2">
        <f>VLOOKUP([jobnumber],OvalData[],MATCH(Table2[[#Headers],[Grille Standard Tube]],Table2[#Headers],0),0)</f>
        <v>0</v>
      </c>
      <c r="AG2" s="2">
        <f>VLOOKUP([jobnumber],OvalData[],MATCH(Table2[[#Headers],[Grille Total Links]],Table2[#Headers],0),0)</f>
        <v>0</v>
      </c>
      <c r="AH2" s="2">
        <f>VLOOKUP([jobnumber],OvalData[],MATCH(Table2[[#Headers],[Grille Rods]],Table2[#Headers],0),0)</f>
        <v>0</v>
      </c>
      <c r="AI2" s="2">
        <f>VLOOKUP([jobnumber],OvalData[],MATCH(Table2[[#Headers],[Grille Rod Length]],Table2[#Headers],0),0)</f>
        <v>0</v>
      </c>
      <c r="AJ2" s="2">
        <f>VLOOKUP([jobnumber],OvalData[],MATCH(Table2[[#Headers],[slattype]],Table2[#Headers],0),0)</f>
        <v>2</v>
      </c>
      <c r="AK2" s="2">
        <f>VLOOKUP([jobnumber],OvalData[],MATCH(Table2[[#Headers],[slatgage]],Table2[#Headers],0),0)</f>
        <v>18</v>
      </c>
      <c r="AL2" s="2">
        <f>VLOOKUP([jobnumber],OvalData[],MATCH(Table2[[#Headers],[Numer of Top Slats]],Table2[#Headers],0),0)</f>
        <v>0</v>
      </c>
      <c r="AM2" s="2">
        <f>VLOOKUP([jobnumber],OvalData[],MATCH(Table2[[#Headers],[Number of Bottom Slats]],Table2[#Headers],0),0)</f>
        <v>0</v>
      </c>
      <c r="AN2" s="2">
        <f>VLOOKUP([jobnumber],OvalData[],MATCH(Table2[[#Headers],[Solid Bottom Height]],Table2[#Headers],0),0)</f>
        <v>0</v>
      </c>
      <c r="AO2" s="2" t="str">
        <f>VLOOKUP([jobnumber],OvalData[],MATCH(Table2[[#Headers],[slatlength]],Table2[#Headers],0),0)</f>
        <v xml:space="preserve"> 8 ft.- 3 1/ 2"</v>
      </c>
      <c r="AP2" s="2">
        <f>VLOOKUP([jobnumber],OvalData[],MATCH(Table2[[#Headers],[Bottom Slat Length]],Table2[#Headers],0),0)</f>
        <v>0</v>
      </c>
      <c r="AQ2" s="2">
        <f>VLOOKUP([jobnumber],OvalData[],MATCH(Table2[[#Headers],[Number of Perferated Slats]],Table2[#Headers],0),0)</f>
        <v>0</v>
      </c>
      <c r="AR2" s="2">
        <f>VLOOKUP([jobnumber],OvalData[],MATCH(Table2[[#Headers],[First Preferated Slat From End]],Table2[#Headers],0),0)</f>
        <v>0</v>
      </c>
      <c r="AS2" s="2">
        <f>VLOOKUP([jobnumber],OvalData[],MATCH(Table2[[#Headers],[First Preferated Slat From Bottom]],Table2[#Headers],0),0)</f>
        <v>0</v>
      </c>
      <c r="AT2" s="2">
        <f>VLOOKUP([jobnumber],OvalData[],MATCH(Table2[[#Headers],[Total Number of Slats]],Table2[#Headers],0),0)</f>
        <v>39</v>
      </c>
      <c r="AU2" s="2">
        <f>VLOOKUP([jobnumber],OvalData[],MATCH(Table2[[#Headers],[Bottom Bar Slope]],Table2[#Headers],0),0)</f>
        <v>0</v>
      </c>
      <c r="AV2" s="2">
        <f>VLOOKUP([jobnumber],OvalData[],MATCH(Table2[[#Headers],[Bottom Bar Weight]],Table2[#Headers],0),0)</f>
        <v>36.1</v>
      </c>
      <c r="AW2" s="2">
        <f>VLOOKUP([jobnumber],OvalData[],MATCH(Table2[[#Headers],[Outer Spring Gage]],Table2[#Headers],0),0)</f>
        <v>0</v>
      </c>
      <c r="AX2" s="2">
        <f>VLOOKUP([jobnumber],OvalData[],MATCH(Table2[[#Headers],[Outer Spring OD]],Table2[#Headers],0),0)</f>
        <v>0</v>
      </c>
      <c r="AY2" s="2">
        <f>VLOOKUP([jobnumber],OvalData[],MATCH(Table2[[#Headers],[Outer Spring Length]],Table2[#Headers],0),0)</f>
        <v>33.625</v>
      </c>
      <c r="AZ2" s="2">
        <f>VLOOKUP([jobnumber],OvalData[],MATCH(Table2[[#Headers],[Outer Spring Stretch]],Table2[#Headers],0),0)</f>
        <v>3.25</v>
      </c>
      <c r="BA2" s="2">
        <f>VLOOKUP([jobnumber],OvalData[],MATCH(Table2[[#Headers],[Outer Spring Torque]],Table2[#Headers],0),0)</f>
        <v>0</v>
      </c>
      <c r="BB2" s="2">
        <f>VLOOKUP([jobnumber],OvalData[],MATCH(Table2[[#Headers],[Outer Spring Max Turns]],Table2[#Headers],0),0)</f>
        <v>0</v>
      </c>
      <c r="BC2" s="2">
        <f>VLOOKUP([jobnumber],OvalData[],MATCH(Table2[[#Headers],[Outer Spring Weight]],Table2[#Headers],0),0)</f>
        <v>32</v>
      </c>
      <c r="BD2" s="2">
        <f>VLOOKUP([jobnumber],OvalData[],MATCH(Table2[[#Headers],[Inner Spring Gage]],Table2[#Headers],0),0)</f>
        <v>0</v>
      </c>
      <c r="BE2" s="2">
        <f>VLOOKUP([jobnumber],OvalData[],MATCH(Table2[[#Headers],[Inner Spring OD]],Table2[#Headers],0),0)</f>
        <v>0</v>
      </c>
      <c r="BF2" s="2">
        <f>VLOOKUP([jobnumber],OvalData[],MATCH(Table2[[#Headers],[Inner Spring Length]],Table2[#Headers],0),0)</f>
        <v>0</v>
      </c>
      <c r="BG2" s="2">
        <f>VLOOKUP([jobnumber],OvalData[],MATCH(Table2[[#Headers],[Inner Spring Stretch]],Table2[#Headers],0),0)</f>
        <v>0</v>
      </c>
      <c r="BH2" s="2">
        <f>VLOOKUP([jobnumber],OvalData[],MATCH(Table2[[#Headers],[Inner Spring Torque]],Table2[#Headers],0),0)</f>
        <v>0</v>
      </c>
      <c r="BI2" s="2">
        <f>VLOOKUP([jobnumber],OvalData[],MATCH(Table2[[#Headers],[Inner Spring Max Turns]],Table2[#Headers],0),0)</f>
        <v>0</v>
      </c>
      <c r="BJ2" s="2">
        <f>VLOOKUP([jobnumber],OvalData[],MATCH(Table2[[#Headers],[Inner Spring Weight]],Table2[#Headers],0),0)</f>
        <v>0</v>
      </c>
      <c r="BK2" s="2">
        <f>VLOOKUP([jobnumber],OvalData[],MATCH(Table2[[#Headers],[Cycles]],Table2[#Headers],0),0)</f>
        <v>0</v>
      </c>
      <c r="BL2" s="2">
        <f>VLOOKUP([jobnumber],OvalData[],MATCH(Table2[[#Headers],[Total Spring Torque]],Table2[#Headers],0),0)</f>
        <v>0</v>
      </c>
      <c r="BM2" s="2">
        <f>VLOOKUP([jobnumber],OvalData[],MATCH(Table2[[#Headers],[Total Spring Weight]],Table2[#Headers],0),0)</f>
        <v>0</v>
      </c>
      <c r="BN2" s="2">
        <f>VLOOKUP([jobnumber],OvalData[],MATCH(Table2[[#Headers],[Pipe Weight]],Table2[#Headers],0),0)</f>
        <v>171.2</v>
      </c>
      <c r="BO2" s="2">
        <f>VLOOKUP([jobnumber],OvalData[],MATCH(Table2[[#Headers],[Max Pipe Deflection]],Table2[#Headers],0),0)</f>
        <v>3540</v>
      </c>
      <c r="BP2" s="2">
        <f>VLOOKUP([jobnumber],OvalData[],MATCH(Table2[[#Headers],[Number Non-Insulated Wrap Slats]],Table2[#Headers],0),0)</f>
        <v>0</v>
      </c>
      <c r="BQ2" s="2">
        <f>VLOOKUP([jobnumber],OvalData[],MATCH(Table2[[#Headers],[Number of Insolated Top Slats]],Table2[#Headers],0),0)</f>
        <v>33</v>
      </c>
      <c r="BR2" s="2">
        <f>VLOOKUP([jobnumber],OvalData[],MATCH(Table2[[#Headers],[Insolated Total Slats]],Table2[#Headers],0),0)</f>
        <v>33</v>
      </c>
      <c r="BS2" s="2">
        <f>VLOOKUP([jobnumber],OvalData[],MATCH(Table2[[#Headers],[Number of Slats]],Table2[#Headers],0),0)</f>
        <v>32.86</v>
      </c>
      <c r="BT2" s="2">
        <f>VLOOKUP([jobnumber],OvalData[],MATCH(Table2[[#Headers],[Wrap]],Table2[#Headers],0),0)</f>
        <v>0</v>
      </c>
      <c r="BU2" s="2">
        <f>VLOOKUP([jobnumber],OvalData[],MATCH(Table2[[#Headers],[Wall Angle Thickness]],Table2[#Headers],0),0)</f>
        <v>0</v>
      </c>
      <c r="BV2" s="2">
        <f>VLOOKUP([jobnumber],OvalData[],MATCH(Table2[[#Headers],[windlocks]],Table2[#Headers],0),0)</f>
        <v>0</v>
      </c>
      <c r="BW2" s="2" t="str">
        <f>VLOOKUP([jobnumber],OvalData[],MATCH(Table2[[#Headers],[bottombartype]],Table2[#Headers],0),0)</f>
        <v>SPECIAL</v>
      </c>
      <c r="BX2" s="2">
        <f>VLOOKUP([jobnumber],OvalData[],MATCH(Table2[[#Headers],[endlockweight]],Table2[#Headers],0),0)</f>
        <v>0.17</v>
      </c>
      <c r="BY2" s="2">
        <f>VLOOKUP([jobnumber],OvalData[],MATCH(Table2[[#Headers],[Endlock Total Weight]],Table2[#Headers],0),0)</f>
        <v>5.5861999999999998</v>
      </c>
      <c r="BZ2" s="2">
        <f>VLOOKUP([jobnumber],OvalData[],MATCH(Table2[[#Headers],[Grille Weight]],Table2[#Headers],0),0)</f>
        <v>0</v>
      </c>
      <c r="CA2" s="2">
        <f>VLOOKUP([jobnumber],OvalData[],MATCH(Table2[[#Headers],[barrelrings]],Table2[#Headers],0),0)</f>
        <v>1</v>
      </c>
    </row>
    <row r="3" spans="1:79">
      <c r="A3" s="2">
        <v>294</v>
      </c>
      <c r="B3" s="2" t="str">
        <f>VLOOKUP([jobnumber],OvalData[],MATCH(Table2[[#Headers],[Hand]],Table2[#Headers],0),0)</f>
        <v>RH</v>
      </c>
      <c r="C3" s="2" t="str">
        <f>VLOOKUP([jobnumber],OvalData[],MATCH(Table2[[#Headers],[Model]],Table2[#Headers],0),0)</f>
        <v>SFMPP</v>
      </c>
      <c r="D3" s="2" t="str">
        <f>VLOOKUP([jobnumber],OvalData[],MATCH(Table2[[#Headers],[width]],Table2[#Headers],0),0)</f>
        <v xml:space="preserve"> 18 ft.- 9"</v>
      </c>
      <c r="E3" s="2" t="str">
        <f>VLOOKUP([jobnumber],OvalData[],MATCH(Table2[[#Headers],[stopheight]],Table2[#Headers],0),0)</f>
        <v xml:space="preserve"> 12 ft.- 0"</v>
      </c>
      <c r="F3" s="2" t="str">
        <f>VLOOKUP([jobnumber],OvalData[],MATCH(Table2[[#Headers],[Between Brackets]],Table2[#Headers],0),0)</f>
        <v xml:space="preserve"> 19 ft.- 3 1/ 2"</v>
      </c>
      <c r="G3" s="2" t="str">
        <f>VLOOKUP([jobnumber],OvalData[],MATCH(Table2[[#Headers],[shell]],Table2[#Headers],0),0)</f>
        <v>6 INCH TUBE</v>
      </c>
      <c r="H3" s="2" t="str">
        <f>VLOOKUP([jobnumber],OvalData[],MATCH(Table2[[#Headers],[pipewidth]],Table2[#Headers],0),0)</f>
        <v xml:space="preserve"> 18 ft.- 9"</v>
      </c>
      <c r="I3" s="2">
        <f>VLOOKUP([jobnumber],OvalData[],MATCH(Table2[[#Headers],[Support Tubes]],Table2[#Headers],0),0)</f>
        <v>0</v>
      </c>
      <c r="J3" s="2">
        <f>VLOOKUP([jobnumber],OvalData[],MATCH(Table2[[#Headers],[Upset]],Table2[#Headers],0),0)</f>
        <v>2</v>
      </c>
      <c r="K3" s="2" t="str">
        <f>VLOOKUP([jobnumber],OvalData[],MATCH(Table2[[#Headers],[Guide Type]],Table2[#Headers],0),0)</f>
        <v>WL1-4 11/16-E</v>
      </c>
      <c r="L3" s="2" t="str">
        <f>VLOOKUP([jobnumber],OvalData[],MATCH(Table2[[#Headers],[Wall Angle]],Table2[#Headers],0),0)</f>
        <v xml:space="preserve"> 13 ft.- 8"</v>
      </c>
      <c r="M3" s="2" t="str">
        <f>VLOOKUP([jobnumber],OvalData[],MATCH(Table2[[#Headers],[Middle Angle]],Table2[#Headers],0),0)</f>
        <v xml:space="preserve"> 12 ft.- 4 1/ 2"</v>
      </c>
      <c r="N3" s="2" t="str">
        <f>VLOOKUP([jobnumber],OvalData[],MATCH(Table2[[#Headers],[Front Angle]],Table2[#Headers],0),0)</f>
        <v xml:space="preserve"> 12 ft.- 3"</v>
      </c>
      <c r="O3" s="2">
        <f>VLOOKUP([jobnumber],OvalData[],MATCH(Table2[[#Headers],[Pipe Center Line]],Table2[#Headers],0),0)</f>
        <v>155</v>
      </c>
      <c r="P3" s="2">
        <f>VLOOKUP([jobnumber],OvalData[],MATCH(Table2[[#Headers],[Heat Expansion Gap]],Table2[#Headers],0),0)</f>
        <v>0</v>
      </c>
      <c r="Q3" s="2">
        <f>VLOOKUP([jobnumber],OvalData[],MATCH(Table2[[#Headers],[Hanging Weight Closed]],Table2[#Headers],0),0)</f>
        <v>963</v>
      </c>
      <c r="R3" s="2">
        <f>VLOOKUP([jobnumber],OvalData[],MATCH(Table2[[#Headers],[Hanging Weight Open]],Table2[#Headers],0),0)</f>
        <v>144</v>
      </c>
      <c r="S3" s="2">
        <f>VLOOKUP([jobnumber],OvalData[],MATCH(Table2[[#Headers],[Initial Lever Arm]],Table2[#Headers],0),0)</f>
        <v>4.25</v>
      </c>
      <c r="T3" s="2">
        <f>VLOOKUP([jobnumber],OvalData[],MATCH(Table2[[#Headers],[Turns to Raise]],Table2[#Headers],0),0)</f>
        <v>4.1660000000000004</v>
      </c>
      <c r="U3" s="2">
        <f>VLOOKUP([jobnumber],OvalData[],MATCH(Table2[[#Headers],[Final Lever Arm]],Table2[#Headers],0),0)</f>
        <v>6.78</v>
      </c>
      <c r="V3" s="2">
        <f>VLOOKUP([jobnumber],OvalData[],MATCH(Table2[[#Headers],[Torque Required Closed]],Table2[#Headers],0),0)</f>
        <v>4092.96</v>
      </c>
      <c r="W3" s="2">
        <f>VLOOKUP([jobnumber],OvalData[],MATCH(Table2[[#Headers],[Torque Required Open]],Table2[#Headers],0),0)</f>
        <v>979</v>
      </c>
      <c r="X3" s="2">
        <f>VLOOKUP([jobnumber],OvalData[],MATCH(Table2[[#Headers],[Pre Turns]],Table2[#Headers],0),0)</f>
        <v>1.3332999999999999</v>
      </c>
      <c r="Y3" s="2">
        <f>VLOOKUP([jobnumber],OvalData[],MATCH(Table2[[#Headers],[Required Torque Per Turn]],Table2[#Headers],0),0)</f>
        <v>746</v>
      </c>
      <c r="Z3" s="2">
        <f>VLOOKUP([jobnumber],OvalData[],MATCH(Table2[[#Headers],[Total Turns]],Table2[#Headers],0),0)</f>
        <v>5.49</v>
      </c>
      <c r="AA3" s="2">
        <f>VLOOKUP([jobnumber],OvalData[],MATCH(Table2[[#Headers],[Grille Vision Section]],Table2[#Headers],0),0)</f>
        <v>0</v>
      </c>
      <c r="AB3" s="2">
        <f>VLOOKUP([jobnumber],OvalData[],MATCH(Table2[[#Headers],[Grille Amount]],Table2[#Headers],0),0)</f>
        <v>0</v>
      </c>
      <c r="AC3" s="2">
        <f>VLOOKUP([jobnumber],OvalData[],MATCH(Table2[[#Headers],[Grille Center]],Table2[#Headers],0),0)</f>
        <v>0</v>
      </c>
      <c r="AD3" s="2">
        <f>VLOOKUP([jobnumber],OvalData[],MATCH(Table2[[#Headers],[Grille Pattern]],Table2[#Headers],0),0)</f>
        <v>0</v>
      </c>
      <c r="AE3" s="2">
        <f>VLOOKUP([jobnumber],OvalData[],MATCH(Table2[[#Headers],[Grille First Tube]],Table2[#Headers],0),0)</f>
        <v>0</v>
      </c>
      <c r="AF3" s="2">
        <f>VLOOKUP([jobnumber],OvalData[],MATCH(Table2[[#Headers],[Grille Standard Tube]],Table2[#Headers],0),0)</f>
        <v>0</v>
      </c>
      <c r="AG3" s="2">
        <f>VLOOKUP([jobnumber],OvalData[],MATCH(Table2[[#Headers],[Grille Total Links]],Table2[#Headers],0),0)</f>
        <v>0</v>
      </c>
      <c r="AH3" s="2">
        <f>VLOOKUP([jobnumber],OvalData[],MATCH(Table2[[#Headers],[Grille Rods]],Table2[#Headers],0),0)</f>
        <v>0</v>
      </c>
      <c r="AI3" s="2">
        <f>VLOOKUP([jobnumber],OvalData[],MATCH(Table2[[#Headers],[Grille Rod Length]],Table2[#Headers],0),0)</f>
        <v>0</v>
      </c>
      <c r="AJ3" s="2">
        <f>VLOOKUP([jobnumber],OvalData[],MATCH(Table2[[#Headers],[slattype]],Table2[#Headers],0),0)</f>
        <v>2</v>
      </c>
      <c r="AK3" s="2">
        <f>VLOOKUP([jobnumber],OvalData[],MATCH(Table2[[#Headers],[slatgage]],Table2[#Headers],0),0)</f>
        <v>18</v>
      </c>
      <c r="AL3" s="2">
        <f>VLOOKUP([jobnumber],OvalData[],MATCH(Table2[[#Headers],[Numer of Top Slats]],Table2[#Headers],0),0)</f>
        <v>0</v>
      </c>
      <c r="AM3" s="2">
        <f>VLOOKUP([jobnumber],OvalData[],MATCH(Table2[[#Headers],[Number of Bottom Slats]],Table2[#Headers],0),0)</f>
        <v>0</v>
      </c>
      <c r="AN3" s="2">
        <f>VLOOKUP([jobnumber],OvalData[],MATCH(Table2[[#Headers],[Solid Bottom Height]],Table2[#Headers],0),0)</f>
        <v>0</v>
      </c>
      <c r="AO3" s="2" t="str">
        <f>VLOOKUP([jobnumber],OvalData[],MATCH(Table2[[#Headers],[slatlength]],Table2[#Headers],0),0)</f>
        <v xml:space="preserve"> 19 ft.- 0 7/ 8"</v>
      </c>
      <c r="AP3" s="2">
        <f>VLOOKUP([jobnumber],OvalData[],MATCH(Table2[[#Headers],[Bottom Slat Length]],Table2[#Headers],0),0)</f>
        <v>0</v>
      </c>
      <c r="AQ3" s="2">
        <f>VLOOKUP([jobnumber],OvalData[],MATCH(Table2[[#Headers],[Number of Perferated Slats]],Table2[#Headers],0),0)</f>
        <v>0</v>
      </c>
      <c r="AR3" s="2">
        <f>VLOOKUP([jobnumber],OvalData[],MATCH(Table2[[#Headers],[First Preferated Slat From End]],Table2[#Headers],0),0)</f>
        <v>0</v>
      </c>
      <c r="AS3" s="2">
        <f>VLOOKUP([jobnumber],OvalData[],MATCH(Table2[[#Headers],[First Preferated Slat From Bottom]],Table2[#Headers],0),0)</f>
        <v>0</v>
      </c>
      <c r="AT3" s="2">
        <f>VLOOKUP([jobnumber],OvalData[],MATCH(Table2[[#Headers],[Total Number of Slats]],Table2[#Headers],0),0)</f>
        <v>59</v>
      </c>
      <c r="AU3" s="2">
        <f>VLOOKUP([jobnumber],OvalData[],MATCH(Table2[[#Headers],[Bottom Bar Slope]],Table2[#Headers],0),0)</f>
        <v>0</v>
      </c>
      <c r="AV3" s="2">
        <f>VLOOKUP([jobnumber],OvalData[],MATCH(Table2[[#Headers],[Bottom Bar Weight]],Table2[#Headers],0),0)</f>
        <v>83</v>
      </c>
      <c r="AW3" s="2" t="str">
        <f>VLOOKUP([jobnumber],OvalData[],MATCH(Table2[[#Headers],[Outer Spring Gage]],Table2[#Headers],0),0)</f>
        <v>Null</v>
      </c>
      <c r="AX3" s="2" t="str">
        <f>VLOOKUP([jobnumber],OvalData[],MATCH(Table2[[#Headers],[Outer Spring OD]],Table2[#Headers],0),0)</f>
        <v>Null</v>
      </c>
      <c r="AY3" s="2" t="str">
        <f>VLOOKUP([jobnumber],OvalData[],MATCH(Table2[[#Headers],[Outer Spring Length]],Table2[#Headers],0),0)</f>
        <v>Null</v>
      </c>
      <c r="AZ3" s="2" t="str">
        <f>VLOOKUP([jobnumber],OvalData[],MATCH(Table2[[#Headers],[Outer Spring Stretch]],Table2[#Headers],0),0)</f>
        <v>Null</v>
      </c>
      <c r="BA3" s="2" t="str">
        <f>VLOOKUP([jobnumber],OvalData[],MATCH(Table2[[#Headers],[Outer Spring Torque]],Table2[#Headers],0),0)</f>
        <v>Null</v>
      </c>
      <c r="BB3" s="2" t="str">
        <f>VLOOKUP([jobnumber],OvalData[],MATCH(Table2[[#Headers],[Outer Spring Max Turns]],Table2[#Headers],0),0)</f>
        <v>Null</v>
      </c>
      <c r="BC3" s="2" t="str">
        <f>VLOOKUP([jobnumber],OvalData[],MATCH(Table2[[#Headers],[Outer Spring Weight]],Table2[#Headers],0),0)</f>
        <v>Null</v>
      </c>
      <c r="BD3" s="2" t="str">
        <f>VLOOKUP([jobnumber],OvalData[],MATCH(Table2[[#Headers],[Inner Spring Gage]],Table2[#Headers],0),0)</f>
        <v>Null</v>
      </c>
      <c r="BE3" s="2" t="str">
        <f>VLOOKUP([jobnumber],OvalData[],MATCH(Table2[[#Headers],[Inner Spring OD]],Table2[#Headers],0),0)</f>
        <v>Null</v>
      </c>
      <c r="BF3" s="2" t="str">
        <f>VLOOKUP([jobnumber],OvalData[],MATCH(Table2[[#Headers],[Inner Spring Length]],Table2[#Headers],0),0)</f>
        <v>Null</v>
      </c>
      <c r="BG3" s="2" t="str">
        <f>VLOOKUP([jobnumber],OvalData[],MATCH(Table2[[#Headers],[Inner Spring Stretch]],Table2[#Headers],0),0)</f>
        <v>Null</v>
      </c>
      <c r="BH3" s="2" t="str">
        <f>VLOOKUP([jobnumber],OvalData[],MATCH(Table2[[#Headers],[Inner Spring Torque]],Table2[#Headers],0),0)</f>
        <v>Null</v>
      </c>
      <c r="BI3" s="2" t="str">
        <f>VLOOKUP([jobnumber],OvalData[],MATCH(Table2[[#Headers],[Inner Spring Max Turns]],Table2[#Headers],0),0)</f>
        <v>Null</v>
      </c>
      <c r="BJ3" s="2" t="str">
        <f>VLOOKUP([jobnumber],OvalData[],MATCH(Table2[[#Headers],[Inner Spring Weight]],Table2[#Headers],0),0)</f>
        <v>Null</v>
      </c>
      <c r="BK3" s="2">
        <f>VLOOKUP([jobnumber],OvalData[],MATCH(Table2[[#Headers],[Cycles]],Table2[#Headers],0),0)</f>
        <v>0</v>
      </c>
      <c r="BL3" s="2">
        <f>VLOOKUP([jobnumber],OvalData[],MATCH(Table2[[#Headers],[Total Spring Torque]],Table2[#Headers],0),0)</f>
        <v>0</v>
      </c>
      <c r="BM3" s="2">
        <f>VLOOKUP([jobnumber],OvalData[],MATCH(Table2[[#Headers],[Total Spring Weight]],Table2[#Headers],0),0)</f>
        <v>0</v>
      </c>
      <c r="BN3" s="2">
        <f>VLOOKUP([jobnumber],OvalData[],MATCH(Table2[[#Headers],[Pipe Weight]],Table2[#Headers],0),0)</f>
        <v>710.34199999999998</v>
      </c>
      <c r="BO3" s="2">
        <f>VLOOKUP([jobnumber],OvalData[],MATCH(Table2[[#Headers],[Max Pipe Deflection]],Table2[#Headers],0),0)</f>
        <v>2168</v>
      </c>
      <c r="BP3" s="2">
        <f>VLOOKUP([jobnumber],OvalData[],MATCH(Table2[[#Headers],[Number Non-Insulated Wrap Slats]],Table2[#Headers],0),0)</f>
        <v>0</v>
      </c>
      <c r="BQ3" s="2">
        <f>VLOOKUP([jobnumber],OvalData[],MATCH(Table2[[#Headers],[Number of Insolated Top Slats]],Table2[#Headers],0),0)</f>
        <v>53</v>
      </c>
      <c r="BR3" s="2">
        <f>VLOOKUP([jobnumber],OvalData[],MATCH(Table2[[#Headers],[Insolated Total Slats]],Table2[#Headers],0),0)</f>
        <v>53</v>
      </c>
      <c r="BS3" s="2">
        <f>VLOOKUP([jobnumber],OvalData[],MATCH(Table2[[#Headers],[Number of Slats]],Table2[#Headers],0),0)</f>
        <v>53.04</v>
      </c>
      <c r="BT3" s="2">
        <f>VLOOKUP([jobnumber],OvalData[],MATCH(Table2[[#Headers],[Wrap]],Table2[#Headers],0),0)</f>
        <v>0</v>
      </c>
      <c r="BU3" s="2">
        <f>VLOOKUP([jobnumber],OvalData[],MATCH(Table2[[#Headers],[Wall Angle Thickness]],Table2[#Headers],0),0)</f>
        <v>0</v>
      </c>
      <c r="BV3" s="2">
        <f>VLOOKUP([jobnumber],OvalData[],MATCH(Table2[[#Headers],[windlocks]],Table2[#Headers],0),0)</f>
        <v>6</v>
      </c>
      <c r="BW3" s="2" t="str">
        <f>VLOOKUP([jobnumber],OvalData[],MATCH(Table2[[#Headers],[bottombartype]],Table2[#Headers],0),0)</f>
        <v>SPECIAL</v>
      </c>
      <c r="BX3" s="2">
        <f>VLOOKUP([jobnumber],OvalData[],MATCH(Table2[[#Headers],[endlockweight]],Table2[#Headers],0),0)</f>
        <v>0.27933340000000001</v>
      </c>
      <c r="BY3" s="2">
        <f>VLOOKUP([jobnumber],OvalData[],MATCH(Table2[[#Headers],[Endlock Total Weight]],Table2[#Headers],0),0)</f>
        <v>14.81584</v>
      </c>
      <c r="BZ3" s="2">
        <f>VLOOKUP([jobnumber],OvalData[],MATCH(Table2[[#Headers],[Grille Weight]],Table2[#Headers],0),0)</f>
        <v>0</v>
      </c>
      <c r="CA3" s="2">
        <f>VLOOKUP([jobnumber],OvalData[],MATCH(Table2[[#Headers],[barrelrings]],Table2[#Headers],0),0)</f>
        <v>1</v>
      </c>
    </row>
    <row r="4" spans="1:79">
      <c r="A4" s="2">
        <v>295</v>
      </c>
      <c r="B4" s="2" t="str">
        <f>VLOOKUP([jobnumber],OvalData[],MATCH(Table2[[#Headers],[Hand]],Table2[#Headers],0),0)</f>
        <v>RH</v>
      </c>
      <c r="C4" s="2" t="str">
        <f>VLOOKUP([jobnumber],OvalData[],MATCH(Table2[[#Headers],[Model]],Table2[#Headers],0),0)</f>
        <v>SFMPP</v>
      </c>
      <c r="D4" s="2" t="str">
        <f>VLOOKUP([jobnumber],OvalData[],MATCH(Table2[[#Headers],[width]],Table2[#Headers],0),0)</f>
        <v xml:space="preserve"> 12 ft.- 8"</v>
      </c>
      <c r="E4" s="2" t="str">
        <f>VLOOKUP([jobnumber],OvalData[],MATCH(Table2[[#Headers],[stopheight]],Table2[#Headers],0),0)</f>
        <v xml:space="preserve"> 10 ft.- 7"</v>
      </c>
      <c r="F4" s="2" t="str">
        <f>VLOOKUP([jobnumber],OvalData[],MATCH(Table2[[#Headers],[Between Brackets]],Table2[#Headers],0),0)</f>
        <v xml:space="preserve"> 13 ft.- 1 7/ 8"</v>
      </c>
      <c r="G4" s="2" t="str">
        <f>VLOOKUP([jobnumber],OvalData[],MATCH(Table2[[#Headers],[shell]],Table2[#Headers],0),0)</f>
        <v>4 INCH TUBE</v>
      </c>
      <c r="H4" s="2" t="str">
        <f>VLOOKUP([jobnumber],OvalData[],MATCH(Table2[[#Headers],[pipewidth]],Table2[#Headers],0),0)</f>
        <v xml:space="preserve"> 12 ft.- 7 3/ 8"</v>
      </c>
      <c r="I4" s="2">
        <f>VLOOKUP([jobnumber],OvalData[],MATCH(Table2[[#Headers],[Support Tubes]],Table2[#Headers],0),0)</f>
        <v>0</v>
      </c>
      <c r="J4" s="2">
        <f>VLOOKUP([jobnumber],OvalData[],MATCH(Table2[[#Headers],[Upset]],Table2[#Headers],0),0)</f>
        <v>2</v>
      </c>
      <c r="K4" s="2" t="str">
        <f>VLOOKUP([jobnumber],OvalData[],MATCH(Table2[[#Headers],[Guide Type]],Table2[#Headers],0),0)</f>
        <v>SN2-4 5/8-E</v>
      </c>
      <c r="L4" s="2" t="str">
        <f>VLOOKUP([jobnumber],OvalData[],MATCH(Table2[[#Headers],[Wall Angle]],Table2[#Headers],0),0)</f>
        <v xml:space="preserve"> 12 ft.- 3"</v>
      </c>
      <c r="M4" s="2" t="str">
        <f>VLOOKUP([jobnumber],OvalData[],MATCH(Table2[[#Headers],[Middle Angle]],Table2[#Headers],0),0)</f>
        <v xml:space="preserve"> 10 ft.- 11 1/ 2"</v>
      </c>
      <c r="N4" s="2" t="str">
        <f>VLOOKUP([jobnumber],OvalData[],MATCH(Table2[[#Headers],[Front Angle]],Table2[#Headers],0),0)</f>
        <v xml:space="preserve"> 10 ft.- 10"</v>
      </c>
      <c r="O4" s="2">
        <f>VLOOKUP([jobnumber],OvalData[],MATCH(Table2[[#Headers],[Pipe Center Line]],Table2[#Headers],0),0)</f>
        <v>138</v>
      </c>
      <c r="P4" s="2">
        <f>VLOOKUP([jobnumber],OvalData[],MATCH(Table2[[#Headers],[Heat Expansion Gap]],Table2[#Headers],0),0)</f>
        <v>0</v>
      </c>
      <c r="Q4" s="2">
        <f>VLOOKUP([jobnumber],OvalData[],MATCH(Table2[[#Headers],[Hanging Weight Closed]],Table2[#Headers],0),0)</f>
        <v>588</v>
      </c>
      <c r="R4" s="2">
        <f>VLOOKUP([jobnumber],OvalData[],MATCH(Table2[[#Headers],[Hanging Weight Open]],Table2[#Headers],0),0)</f>
        <v>99</v>
      </c>
      <c r="S4" s="2">
        <f>VLOOKUP([jobnumber],OvalData[],MATCH(Table2[[#Headers],[Initial Lever Arm]],Table2[#Headers],0),0)</f>
        <v>4.25</v>
      </c>
      <c r="T4" s="2">
        <f>VLOOKUP([jobnumber],OvalData[],MATCH(Table2[[#Headers],[Turns to Raise]],Table2[#Headers],0),0)</f>
        <v>3.758</v>
      </c>
      <c r="U4" s="2">
        <f>VLOOKUP([jobnumber],OvalData[],MATCH(Table2[[#Headers],[Final Lever Arm]],Table2[#Headers],0),0)</f>
        <v>6.48</v>
      </c>
      <c r="V4" s="2">
        <f>VLOOKUP([jobnumber],OvalData[],MATCH(Table2[[#Headers],[Torque Required Closed]],Table2[#Headers],0),0)</f>
        <v>2499.6799999999998</v>
      </c>
      <c r="W4" s="2">
        <f>VLOOKUP([jobnumber],OvalData[],MATCH(Table2[[#Headers],[Torque Required Open]],Table2[#Headers],0),0)</f>
        <v>644</v>
      </c>
      <c r="X4" s="2">
        <f>VLOOKUP([jobnumber],OvalData[],MATCH(Table2[[#Headers],[Pre Turns]],Table2[#Headers],0),0)</f>
        <v>1.3332999999999999</v>
      </c>
      <c r="Y4" s="2">
        <f>VLOOKUP([jobnumber],OvalData[],MATCH(Table2[[#Headers],[Required Torque Per Turn]],Table2[#Headers],0),0)</f>
        <v>491</v>
      </c>
      <c r="Z4" s="2">
        <f>VLOOKUP([jobnumber],OvalData[],MATCH(Table2[[#Headers],[Total Turns]],Table2[#Headers],0),0)</f>
        <v>5.09</v>
      </c>
      <c r="AA4" s="2">
        <f>VLOOKUP([jobnumber],OvalData[],MATCH(Table2[[#Headers],[Grille Vision Section]],Table2[#Headers],0),0)</f>
        <v>0</v>
      </c>
      <c r="AB4" s="2">
        <f>VLOOKUP([jobnumber],OvalData[],MATCH(Table2[[#Headers],[Grille Amount]],Table2[#Headers],0),0)</f>
        <v>0</v>
      </c>
      <c r="AC4" s="2">
        <f>VLOOKUP([jobnumber],OvalData[],MATCH(Table2[[#Headers],[Grille Center]],Table2[#Headers],0),0)</f>
        <v>0</v>
      </c>
      <c r="AD4" s="2">
        <f>VLOOKUP([jobnumber],OvalData[],MATCH(Table2[[#Headers],[Grille Pattern]],Table2[#Headers],0),0)</f>
        <v>0</v>
      </c>
      <c r="AE4" s="2">
        <f>VLOOKUP([jobnumber],OvalData[],MATCH(Table2[[#Headers],[Grille First Tube]],Table2[#Headers],0),0)</f>
        <v>0</v>
      </c>
      <c r="AF4" s="2">
        <f>VLOOKUP([jobnumber],OvalData[],MATCH(Table2[[#Headers],[Grille Standard Tube]],Table2[#Headers],0),0)</f>
        <v>0</v>
      </c>
      <c r="AG4" s="2">
        <f>VLOOKUP([jobnumber],OvalData[],MATCH(Table2[[#Headers],[Grille Total Links]],Table2[#Headers],0),0)</f>
        <v>0</v>
      </c>
      <c r="AH4" s="2">
        <f>VLOOKUP([jobnumber],OvalData[],MATCH(Table2[[#Headers],[Grille Rods]],Table2[#Headers],0),0)</f>
        <v>0</v>
      </c>
      <c r="AI4" s="2">
        <f>VLOOKUP([jobnumber],OvalData[],MATCH(Table2[[#Headers],[Grille Rod Length]],Table2[#Headers],0),0)</f>
        <v>0</v>
      </c>
      <c r="AJ4" s="2">
        <f>VLOOKUP([jobnumber],OvalData[],MATCH(Table2[[#Headers],[slattype]],Table2[#Headers],0),0)</f>
        <v>2</v>
      </c>
      <c r="AK4" s="2">
        <f>VLOOKUP([jobnumber],OvalData[],MATCH(Table2[[#Headers],[slatgage]],Table2[#Headers],0),0)</f>
        <v>18</v>
      </c>
      <c r="AL4" s="2">
        <f>VLOOKUP([jobnumber],OvalData[],MATCH(Table2[[#Headers],[Numer of Top Slats]],Table2[#Headers],0),0)</f>
        <v>0</v>
      </c>
      <c r="AM4" s="2">
        <f>VLOOKUP([jobnumber],OvalData[],MATCH(Table2[[#Headers],[Number of Bottom Slats]],Table2[#Headers],0),0)</f>
        <v>0</v>
      </c>
      <c r="AN4" s="2">
        <f>VLOOKUP([jobnumber],OvalData[],MATCH(Table2[[#Headers],[Solid Bottom Height]],Table2[#Headers],0),0)</f>
        <v>0</v>
      </c>
      <c r="AO4" s="2" t="str">
        <f>VLOOKUP([jobnumber],OvalData[],MATCH(Table2[[#Headers],[slatlength]],Table2[#Headers],0),0)</f>
        <v xml:space="preserve"> 12 ft.- 11 7/ 8"</v>
      </c>
      <c r="AP4" s="2">
        <f>VLOOKUP([jobnumber],OvalData[],MATCH(Table2[[#Headers],[Bottom Slat Length]],Table2[#Headers],0),0)</f>
        <v>0</v>
      </c>
      <c r="AQ4" s="2">
        <f>VLOOKUP([jobnumber],OvalData[],MATCH(Table2[[#Headers],[Number of Perferated Slats]],Table2[#Headers],0),0)</f>
        <v>0</v>
      </c>
      <c r="AR4" s="2">
        <f>VLOOKUP([jobnumber],OvalData[],MATCH(Table2[[#Headers],[First Preferated Slat From End]],Table2[#Headers],0),0)</f>
        <v>0</v>
      </c>
      <c r="AS4" s="2">
        <f>VLOOKUP([jobnumber],OvalData[],MATCH(Table2[[#Headers],[First Preferated Slat From Bottom]],Table2[#Headers],0),0)</f>
        <v>0</v>
      </c>
      <c r="AT4" s="2">
        <f>VLOOKUP([jobnumber],OvalData[],MATCH(Table2[[#Headers],[Total Number of Slats]],Table2[#Headers],0),0)</f>
        <v>53</v>
      </c>
      <c r="AU4" s="2">
        <f>VLOOKUP([jobnumber],OvalData[],MATCH(Table2[[#Headers],[Bottom Bar Slope]],Table2[#Headers],0),0)</f>
        <v>0</v>
      </c>
      <c r="AV4" s="2">
        <f>VLOOKUP([jobnumber],OvalData[],MATCH(Table2[[#Headers],[Bottom Bar Weight]],Table2[#Headers],0),0)</f>
        <v>56.5</v>
      </c>
      <c r="AW4" s="2">
        <f>VLOOKUP([jobnumber],OvalData[],MATCH(Table2[[#Headers],[Outer Spring Gage]],Table2[#Headers],0),0)</f>
        <v>0.46875</v>
      </c>
      <c r="AX4" s="2">
        <f>VLOOKUP([jobnumber],OvalData[],MATCH(Table2[[#Headers],[Outer Spring OD]],Table2[#Headers],0),0)</f>
        <v>3.75</v>
      </c>
      <c r="AY4" s="2">
        <f>VLOOKUP([jobnumber],OvalData[],MATCH(Table2[[#Headers],[Outer Spring Length]],Table2[#Headers],0),0)</f>
        <v>52.375</v>
      </c>
      <c r="AZ4" s="2">
        <f>VLOOKUP([jobnumber],OvalData[],MATCH(Table2[[#Headers],[Outer Spring Stretch]],Table2[#Headers],0),0)</f>
        <v>4.75</v>
      </c>
      <c r="BA4" s="2">
        <f>VLOOKUP([jobnumber],OvalData[],MATCH(Table2[[#Headers],[Outer Spring Torque]],Table2[#Headers],0),0)</f>
        <v>387.19</v>
      </c>
      <c r="BB4" s="2">
        <f>VLOOKUP([jobnumber],OvalData[],MATCH(Table2[[#Headers],[Outer Spring Max Turns]],Table2[#Headers],0),0)</f>
        <v>5.09</v>
      </c>
      <c r="BC4" s="2">
        <f>VLOOKUP([jobnumber],OvalData[],MATCH(Table2[[#Headers],[Outer Spring Weight]],Table2[#Headers],0),0)</f>
        <v>56</v>
      </c>
      <c r="BD4" s="2">
        <f>VLOOKUP([jobnumber],OvalData[],MATCH(Table2[[#Headers],[Inner Spring Gage]],Table2[#Headers],0),0)</f>
        <v>0.3125</v>
      </c>
      <c r="BE4" s="2">
        <f>VLOOKUP([jobnumber],OvalData[],MATCH(Table2[[#Headers],[Inner Spring OD]],Table2[#Headers],0),0)</f>
        <v>2.75</v>
      </c>
      <c r="BF4" s="2">
        <f>VLOOKUP([jobnumber],OvalData[],MATCH(Table2[[#Headers],[Inner Spring Length]],Table2[#Headers],0),0)</f>
        <v>34.625</v>
      </c>
      <c r="BG4" s="2">
        <f>VLOOKUP([jobnumber],OvalData[],MATCH(Table2[[#Headers],[Inner Spring Stretch]],Table2[#Headers],0),0)</f>
        <v>3.125</v>
      </c>
      <c r="BH4" s="2">
        <f>VLOOKUP([jobnumber],OvalData[],MATCH(Table2[[#Headers],[Inner Spring Torque]],Table2[#Headers],0),0)</f>
        <v>103.89</v>
      </c>
      <c r="BI4" s="2">
        <f>VLOOKUP([jobnumber],OvalData[],MATCH(Table2[[#Headers],[Inner Spring Max Turns]],Table2[#Headers],0),0)</f>
        <v>6.15</v>
      </c>
      <c r="BJ4" s="2">
        <f>VLOOKUP([jobnumber],OvalData[],MATCH(Table2[[#Headers],[Inner Spring Weight]],Table2[#Headers],0),0)</f>
        <v>18</v>
      </c>
      <c r="BK4" s="2">
        <f>VLOOKUP([jobnumber],OvalData[],MATCH(Table2[[#Headers],[Cycles]],Table2[#Headers],0),0)</f>
        <v>0</v>
      </c>
      <c r="BL4" s="2">
        <f>VLOOKUP([jobnumber],OvalData[],MATCH(Table2[[#Headers],[Total Spring Torque]],Table2[#Headers],0),0)</f>
        <v>491.08</v>
      </c>
      <c r="BM4" s="2">
        <f>VLOOKUP([jobnumber],OvalData[],MATCH(Table2[[#Headers],[Total Spring Weight]],Table2[#Headers],0),0)</f>
        <v>74</v>
      </c>
      <c r="BN4" s="2">
        <f>VLOOKUP([jobnumber],OvalData[],MATCH(Table2[[#Headers],[Pipe Weight]],Table2[#Headers],0),0)</f>
        <v>271.06670000000003</v>
      </c>
      <c r="BO4" s="2">
        <f>VLOOKUP([jobnumber],OvalData[],MATCH(Table2[[#Headers],[Max Pipe Deflection]],Table2[#Headers],0),0)</f>
        <v>1412</v>
      </c>
      <c r="BP4" s="2">
        <f>VLOOKUP([jobnumber],OvalData[],MATCH(Table2[[#Headers],[Number Non-Insulated Wrap Slats]],Table2[#Headers],0),0)</f>
        <v>0</v>
      </c>
      <c r="BQ4" s="2">
        <f>VLOOKUP([jobnumber],OvalData[],MATCH(Table2[[#Headers],[Number of Insolated Top Slats]],Table2[#Headers],0),0)</f>
        <v>47</v>
      </c>
      <c r="BR4" s="2">
        <f>VLOOKUP([jobnumber],OvalData[],MATCH(Table2[[#Headers],[Insolated Total Slats]],Table2[#Headers],0),0)</f>
        <v>47</v>
      </c>
      <c r="BS4" s="2">
        <f>VLOOKUP([jobnumber],OvalData[],MATCH(Table2[[#Headers],[Number of Slats]],Table2[#Headers],0),0)</f>
        <v>47.13</v>
      </c>
      <c r="BT4" s="2">
        <f>VLOOKUP([jobnumber],OvalData[],MATCH(Table2[[#Headers],[Wrap]],Table2[#Headers],0),0)</f>
        <v>0</v>
      </c>
      <c r="BU4" s="2">
        <f>VLOOKUP([jobnumber],OvalData[],MATCH(Table2[[#Headers],[Wall Angle Thickness]],Table2[#Headers],0),0)</f>
        <v>0</v>
      </c>
      <c r="BV4" s="2">
        <f>VLOOKUP([jobnumber],OvalData[],MATCH(Table2[[#Headers],[windlocks]],Table2[#Headers],0),0)</f>
        <v>0</v>
      </c>
      <c r="BW4" s="2" t="str">
        <f>VLOOKUP([jobnumber],OvalData[],MATCH(Table2[[#Headers],[bottombartype]],Table2[#Headers],0),0)</f>
        <v>SPECIAL</v>
      </c>
      <c r="BX4" s="2">
        <f>VLOOKUP([jobnumber],OvalData[],MATCH(Table2[[#Headers],[endlockweight]],Table2[#Headers],0),0)</f>
        <v>0.17</v>
      </c>
      <c r="BY4" s="2">
        <f>VLOOKUP([jobnumber],OvalData[],MATCH(Table2[[#Headers],[Endlock Total Weight]],Table2[#Headers],0),0)</f>
        <v>8.0121000000000002</v>
      </c>
      <c r="BZ4" s="2">
        <f>VLOOKUP([jobnumber],OvalData[],MATCH(Table2[[#Headers],[Grille Weight]],Table2[#Headers],0),0)</f>
        <v>0</v>
      </c>
      <c r="CA4" s="2">
        <f>VLOOKUP([jobnumber],OvalData[],MATCH(Table2[[#Headers],[barrelrings]],Table2[#Headers],0),0)</f>
        <v>1</v>
      </c>
    </row>
    <row r="5" spans="1:79">
      <c r="A5" s="2">
        <v>296</v>
      </c>
      <c r="B5" s="2" t="str">
        <f>VLOOKUP([jobnumber],OvalData[],MATCH(Table2[[#Headers],[Hand]],Table2[#Headers],0),0)</f>
        <v>LH</v>
      </c>
      <c r="C5" s="2" t="str">
        <f>VLOOKUP([jobnumber],OvalData[],MATCH(Table2[[#Headers],[Model]],Table2[#Headers],0),0)</f>
        <v>SFMPP</v>
      </c>
      <c r="D5" s="2" t="str">
        <f>VLOOKUP([jobnumber],OvalData[],MATCH(Table2[[#Headers],[width]],Table2[#Headers],0),0)</f>
        <v xml:space="preserve"> 8 ft.- 5"</v>
      </c>
      <c r="E5" s="2" t="str">
        <f>VLOOKUP([jobnumber],OvalData[],MATCH(Table2[[#Headers],[stopheight]],Table2[#Headers],0),0)</f>
        <v xml:space="preserve"> 8 ft.- 2"</v>
      </c>
      <c r="F5" s="2" t="str">
        <f>VLOOKUP([jobnumber],OvalData[],MATCH(Table2[[#Headers],[Between Brackets]],Table2[#Headers],0),0)</f>
        <v xml:space="preserve"> 8 ft.- 10 1/ 2"</v>
      </c>
      <c r="G5" s="2" t="str">
        <f>VLOOKUP([jobnumber],OvalData[],MATCH(Table2[[#Headers],[shell]],Table2[#Headers],0),0)</f>
        <v>4 INCH TUBE</v>
      </c>
      <c r="H5" s="2" t="str">
        <f>VLOOKUP([jobnumber],OvalData[],MATCH(Table2[[#Headers],[pipewidth]],Table2[#Headers],0),0)</f>
        <v xml:space="preserve"> 8 ft.- 4"</v>
      </c>
      <c r="I5" s="2">
        <f>VLOOKUP([jobnumber],OvalData[],MATCH(Table2[[#Headers],[Support Tubes]],Table2[#Headers],0),0)</f>
        <v>0</v>
      </c>
      <c r="J5" s="2">
        <f>VLOOKUP([jobnumber],OvalData[],MATCH(Table2[[#Headers],[Upset]],Table2[#Headers],0),0)</f>
        <v>2</v>
      </c>
      <c r="K5" s="2" t="str">
        <f>VLOOKUP([jobnumber],OvalData[],MATCH(Table2[[#Headers],[Guide Type]],Table2[#Headers],0),0)</f>
        <v>SN1-4 5/8-E</v>
      </c>
      <c r="L5" s="2" t="str">
        <f>VLOOKUP([jobnumber],OvalData[],MATCH(Table2[[#Headers],[Wall Angle]],Table2[#Headers],0),0)</f>
        <v xml:space="preserve"> 9 ft.- 10"</v>
      </c>
      <c r="M5" s="2" t="str">
        <f>VLOOKUP([jobnumber],OvalData[],MATCH(Table2[[#Headers],[Middle Angle]],Table2[#Headers],0),0)</f>
        <v xml:space="preserve"> 8 ft.- 6 1/ 2"</v>
      </c>
      <c r="N5" s="2" t="str">
        <f>VLOOKUP([jobnumber],OvalData[],MATCH(Table2[[#Headers],[Front Angle]],Table2[#Headers],0),0)</f>
        <v xml:space="preserve"> 8 ft.- 5"</v>
      </c>
      <c r="O5" s="2">
        <f>VLOOKUP([jobnumber],OvalData[],MATCH(Table2[[#Headers],[Pipe Center Line]],Table2[#Headers],0),0)</f>
        <v>109</v>
      </c>
      <c r="P5" s="2">
        <f>VLOOKUP([jobnumber],OvalData[],MATCH(Table2[[#Headers],[Heat Expansion Gap]],Table2[#Headers],0),0)</f>
        <v>0</v>
      </c>
      <c r="Q5" s="2">
        <f>VLOOKUP([jobnumber],OvalData[],MATCH(Table2[[#Headers],[Hanging Weight Closed]],Table2[#Headers],0),0)</f>
        <v>320</v>
      </c>
      <c r="R5" s="2">
        <f>VLOOKUP([jobnumber],OvalData[],MATCH(Table2[[#Headers],[Hanging Weight Open]],Table2[#Headers],0),0)</f>
        <v>70</v>
      </c>
      <c r="S5" s="2">
        <f>VLOOKUP([jobnumber],OvalData[],MATCH(Table2[[#Headers],[Initial Lever Arm]],Table2[#Headers],0),0)</f>
        <v>4.25</v>
      </c>
      <c r="T5" s="2">
        <f>VLOOKUP([jobnumber],OvalData[],MATCH(Table2[[#Headers],[Turns to Raise]],Table2[#Headers],0),0)</f>
        <v>3.024</v>
      </c>
      <c r="U5" s="2">
        <f>VLOOKUP([jobnumber],OvalData[],MATCH(Table2[[#Headers],[Final Lever Arm]],Table2[#Headers],0),0)</f>
        <v>6.11</v>
      </c>
      <c r="V5" s="2">
        <f>VLOOKUP([jobnumber],OvalData[],MATCH(Table2[[#Headers],[Torque Required Closed]],Table2[#Headers],0),0)</f>
        <v>1360.34</v>
      </c>
      <c r="W5" s="2">
        <f>VLOOKUP([jobnumber],OvalData[],MATCH(Table2[[#Headers],[Torque Required Open]],Table2[#Headers],0),0)</f>
        <v>427</v>
      </c>
      <c r="X5" s="2">
        <f>VLOOKUP([jobnumber],OvalData[],MATCH(Table2[[#Headers],[Pre Turns]],Table2[#Headers],0),0)</f>
        <v>1.3332999999999999</v>
      </c>
      <c r="Y5" s="2">
        <f>VLOOKUP([jobnumber],OvalData[],MATCH(Table2[[#Headers],[Required Torque Per Turn]],Table2[#Headers],0),0)</f>
        <v>313</v>
      </c>
      <c r="Z5" s="2">
        <f>VLOOKUP([jobnumber],OvalData[],MATCH(Table2[[#Headers],[Total Turns]],Table2[#Headers],0),0)</f>
        <v>4.3499999999999996</v>
      </c>
      <c r="AA5" s="2">
        <f>VLOOKUP([jobnumber],OvalData[],MATCH(Table2[[#Headers],[Grille Vision Section]],Table2[#Headers],0),0)</f>
        <v>0</v>
      </c>
      <c r="AB5" s="2">
        <f>VLOOKUP([jobnumber],OvalData[],MATCH(Table2[[#Headers],[Grille Amount]],Table2[#Headers],0),0)</f>
        <v>0</v>
      </c>
      <c r="AC5" s="2">
        <f>VLOOKUP([jobnumber],OvalData[],MATCH(Table2[[#Headers],[Grille Center]],Table2[#Headers],0),0)</f>
        <v>0</v>
      </c>
      <c r="AD5" s="2">
        <f>VLOOKUP([jobnumber],OvalData[],MATCH(Table2[[#Headers],[Grille Pattern]],Table2[#Headers],0),0)</f>
        <v>0</v>
      </c>
      <c r="AE5" s="2">
        <f>VLOOKUP([jobnumber],OvalData[],MATCH(Table2[[#Headers],[Grille First Tube]],Table2[#Headers],0),0)</f>
        <v>0</v>
      </c>
      <c r="AF5" s="2">
        <f>VLOOKUP([jobnumber],OvalData[],MATCH(Table2[[#Headers],[Grille Standard Tube]],Table2[#Headers],0),0)</f>
        <v>0</v>
      </c>
      <c r="AG5" s="2">
        <f>VLOOKUP([jobnumber],OvalData[],MATCH(Table2[[#Headers],[Grille Total Links]],Table2[#Headers],0),0)</f>
        <v>0</v>
      </c>
      <c r="AH5" s="2">
        <f>VLOOKUP([jobnumber],OvalData[],MATCH(Table2[[#Headers],[Grille Rods]],Table2[#Headers],0),0)</f>
        <v>0</v>
      </c>
      <c r="AI5" s="2">
        <f>VLOOKUP([jobnumber],OvalData[],MATCH(Table2[[#Headers],[Grille Rod Length]],Table2[#Headers],0),0)</f>
        <v>0</v>
      </c>
      <c r="AJ5" s="2">
        <f>VLOOKUP([jobnumber],OvalData[],MATCH(Table2[[#Headers],[slattype]],Table2[#Headers],0),0)</f>
        <v>2</v>
      </c>
      <c r="AK5" s="2">
        <f>VLOOKUP([jobnumber],OvalData[],MATCH(Table2[[#Headers],[slatgage]],Table2[#Headers],0),0)</f>
        <v>18</v>
      </c>
      <c r="AL5" s="2">
        <f>VLOOKUP([jobnumber],OvalData[],MATCH(Table2[[#Headers],[Numer of Top Slats]],Table2[#Headers],0),0)</f>
        <v>0</v>
      </c>
      <c r="AM5" s="2">
        <f>VLOOKUP([jobnumber],OvalData[],MATCH(Table2[[#Headers],[Number of Bottom Slats]],Table2[#Headers],0),0)</f>
        <v>0</v>
      </c>
      <c r="AN5" s="2">
        <f>VLOOKUP([jobnumber],OvalData[],MATCH(Table2[[#Headers],[Solid Bottom Height]],Table2[#Headers],0),0)</f>
        <v>0</v>
      </c>
      <c r="AO5" s="2" t="str">
        <f>VLOOKUP([jobnumber],OvalData[],MATCH(Table2[[#Headers],[slatlength]],Table2[#Headers],0),0)</f>
        <v xml:space="preserve"> 8 ft.- 8 1/ 2"</v>
      </c>
      <c r="AP5" s="2">
        <f>VLOOKUP([jobnumber],OvalData[],MATCH(Table2[[#Headers],[Bottom Slat Length]],Table2[#Headers],0),0)</f>
        <v>0</v>
      </c>
      <c r="AQ5" s="2">
        <f>VLOOKUP([jobnumber],OvalData[],MATCH(Table2[[#Headers],[Number of Perferated Slats]],Table2[#Headers],0),0)</f>
        <v>0</v>
      </c>
      <c r="AR5" s="2">
        <f>VLOOKUP([jobnumber],OvalData[],MATCH(Table2[[#Headers],[First Preferated Slat From End]],Table2[#Headers],0),0)</f>
        <v>0</v>
      </c>
      <c r="AS5" s="2">
        <f>VLOOKUP([jobnumber],OvalData[],MATCH(Table2[[#Headers],[First Preferated Slat From Bottom]],Table2[#Headers],0),0)</f>
        <v>0</v>
      </c>
      <c r="AT5" s="2">
        <f>VLOOKUP([jobnumber],OvalData[],MATCH(Table2[[#Headers],[Total Number of Slats]],Table2[#Headers],0),0)</f>
        <v>43</v>
      </c>
      <c r="AU5" s="2">
        <f>VLOOKUP([jobnumber],OvalData[],MATCH(Table2[[#Headers],[Bottom Bar Slope]],Table2[#Headers],0),0)</f>
        <v>0</v>
      </c>
      <c r="AV5" s="2">
        <f>VLOOKUP([jobnumber],OvalData[],MATCH(Table2[[#Headers],[Bottom Bar Weight]],Table2[#Headers],0),0)</f>
        <v>37.9</v>
      </c>
      <c r="AW5" s="2">
        <f>VLOOKUP([jobnumber],OvalData[],MATCH(Table2[[#Headers],[Outer Spring Gage]],Table2[#Headers],0),0)</f>
        <v>0</v>
      </c>
      <c r="AX5" s="2">
        <f>VLOOKUP([jobnumber],OvalData[],MATCH(Table2[[#Headers],[Outer Spring OD]],Table2[#Headers],0),0)</f>
        <v>0</v>
      </c>
      <c r="AY5" s="2">
        <f>VLOOKUP([jobnumber],OvalData[],MATCH(Table2[[#Headers],[Outer Spring Length]],Table2[#Headers],0),0)</f>
        <v>45.5</v>
      </c>
      <c r="AZ5" s="2">
        <f>VLOOKUP([jobnumber],OvalData[],MATCH(Table2[[#Headers],[Outer Spring Stretch]],Table2[#Headers],0),0)</f>
        <v>3.75</v>
      </c>
      <c r="BA5" s="2">
        <f>VLOOKUP([jobnumber],OvalData[],MATCH(Table2[[#Headers],[Outer Spring Torque]],Table2[#Headers],0),0)</f>
        <v>0</v>
      </c>
      <c r="BB5" s="2">
        <f>VLOOKUP([jobnumber],OvalData[],MATCH(Table2[[#Headers],[Outer Spring Max Turns]],Table2[#Headers],0),0)</f>
        <v>0</v>
      </c>
      <c r="BC5" s="2">
        <f>VLOOKUP([jobnumber],OvalData[],MATCH(Table2[[#Headers],[Outer Spring Weight]],Table2[#Headers],0),0)</f>
        <v>46</v>
      </c>
      <c r="BD5" s="2">
        <f>VLOOKUP([jobnumber],OvalData[],MATCH(Table2[[#Headers],[Inner Spring Gage]],Table2[#Headers],0),0)</f>
        <v>0</v>
      </c>
      <c r="BE5" s="2">
        <f>VLOOKUP([jobnumber],OvalData[],MATCH(Table2[[#Headers],[Inner Spring OD]],Table2[#Headers],0),0)</f>
        <v>0</v>
      </c>
      <c r="BF5" s="2">
        <f>VLOOKUP([jobnumber],OvalData[],MATCH(Table2[[#Headers],[Inner Spring Length]],Table2[#Headers],0),0)</f>
        <v>0</v>
      </c>
      <c r="BG5" s="2">
        <f>VLOOKUP([jobnumber],OvalData[],MATCH(Table2[[#Headers],[Inner Spring Stretch]],Table2[#Headers],0),0)</f>
        <v>0</v>
      </c>
      <c r="BH5" s="2">
        <f>VLOOKUP([jobnumber],OvalData[],MATCH(Table2[[#Headers],[Inner Spring Torque]],Table2[#Headers],0),0)</f>
        <v>0</v>
      </c>
      <c r="BI5" s="2">
        <f>VLOOKUP([jobnumber],OvalData[],MATCH(Table2[[#Headers],[Inner Spring Max Turns]],Table2[#Headers],0),0)</f>
        <v>0</v>
      </c>
      <c r="BJ5" s="2">
        <f>VLOOKUP([jobnumber],OvalData[],MATCH(Table2[[#Headers],[Inner Spring Weight]],Table2[#Headers],0),0)</f>
        <v>0</v>
      </c>
      <c r="BK5" s="2">
        <f>VLOOKUP([jobnumber],OvalData[],MATCH(Table2[[#Headers],[Cycles]],Table2[#Headers],0),0)</f>
        <v>0</v>
      </c>
      <c r="BL5" s="2">
        <f>VLOOKUP([jobnumber],OvalData[],MATCH(Table2[[#Headers],[Total Spring Torque]],Table2[#Headers],0),0)</f>
        <v>0</v>
      </c>
      <c r="BM5" s="2">
        <f>VLOOKUP([jobnumber],OvalData[],MATCH(Table2[[#Headers],[Total Spring Weight]],Table2[#Headers],0),0)</f>
        <v>0</v>
      </c>
      <c r="BN5" s="2">
        <f>VLOOKUP([jobnumber],OvalData[],MATCH(Table2[[#Headers],[Pipe Weight]],Table2[#Headers],0),0)</f>
        <v>180.11670000000001</v>
      </c>
      <c r="BO5" s="2">
        <f>VLOOKUP([jobnumber],OvalData[],MATCH(Table2[[#Headers],[Max Pipe Deflection]],Table2[#Headers],0),0)</f>
        <v>3199</v>
      </c>
      <c r="BP5" s="2">
        <f>VLOOKUP([jobnumber],OvalData[],MATCH(Table2[[#Headers],[Number Non-Insulated Wrap Slats]],Table2[#Headers],0),0)</f>
        <v>0</v>
      </c>
      <c r="BQ5" s="2">
        <f>VLOOKUP([jobnumber],OvalData[],MATCH(Table2[[#Headers],[Number of Insolated Top Slats]],Table2[#Headers],0),0)</f>
        <v>37</v>
      </c>
      <c r="BR5" s="2">
        <f>VLOOKUP([jobnumber],OvalData[],MATCH(Table2[[#Headers],[Insolated Total Slats]],Table2[#Headers],0),0)</f>
        <v>37</v>
      </c>
      <c r="BS5" s="2">
        <f>VLOOKUP([jobnumber],OvalData[],MATCH(Table2[[#Headers],[Number of Slats]],Table2[#Headers],0),0)</f>
        <v>37.04</v>
      </c>
      <c r="BT5" s="2">
        <f>VLOOKUP([jobnumber],OvalData[],MATCH(Table2[[#Headers],[Wrap]],Table2[#Headers],0),0)</f>
        <v>0</v>
      </c>
      <c r="BU5" s="2">
        <f>VLOOKUP([jobnumber],OvalData[],MATCH(Table2[[#Headers],[Wall Angle Thickness]],Table2[#Headers],0),0)</f>
        <v>0</v>
      </c>
      <c r="BV5" s="2">
        <f>VLOOKUP([jobnumber],OvalData[],MATCH(Table2[[#Headers],[windlocks]],Table2[#Headers],0),0)</f>
        <v>0</v>
      </c>
      <c r="BW5" s="2" t="str">
        <f>VLOOKUP([jobnumber],OvalData[],MATCH(Table2[[#Headers],[bottombartype]],Table2[#Headers],0),0)</f>
        <v>SPECIAL</v>
      </c>
      <c r="BX5" s="2">
        <f>VLOOKUP([jobnumber],OvalData[],MATCH(Table2[[#Headers],[endlockweight]],Table2[#Headers],0),0)</f>
        <v>0.17</v>
      </c>
      <c r="BY5" s="2">
        <f>VLOOKUP([jobnumber],OvalData[],MATCH(Table2[[#Headers],[Endlock Total Weight]],Table2[#Headers],0),0)</f>
        <v>6.2968000000000002</v>
      </c>
      <c r="BZ5" s="2">
        <f>VLOOKUP([jobnumber],OvalData[],MATCH(Table2[[#Headers],[Grille Weight]],Table2[#Headers],0),0)</f>
        <v>0</v>
      </c>
      <c r="CA5" s="2">
        <f>VLOOKUP([jobnumber],OvalData[],MATCH(Table2[[#Headers],[barrelrings]],Table2[#Headers],0),0)</f>
        <v>1</v>
      </c>
    </row>
    <row r="6" spans="1:79">
      <c r="A6" s="2">
        <v>284</v>
      </c>
      <c r="B6" s="2" t="str">
        <f>VLOOKUP([jobnumber],OvalData[],MATCH(Table2[[#Headers],[Hand]],Table2[#Headers],0),0)</f>
        <v>LH</v>
      </c>
      <c r="C6" s="2" t="str">
        <f>VLOOKUP([jobnumber],OvalData[],MATCH(Table2[[#Headers],[Model]],Table2[#Headers],0),0)</f>
        <v>SFMPP</v>
      </c>
      <c r="D6" s="2" t="str">
        <f>VLOOKUP([jobnumber],OvalData[],MATCH(Table2[[#Headers],[width]],Table2[#Headers],0),0)</f>
        <v xml:space="preserve"> 8 ft.- 2"</v>
      </c>
      <c r="E6" s="2" t="str">
        <f>VLOOKUP([jobnumber],OvalData[],MATCH(Table2[[#Headers],[stopheight]],Table2[#Headers],0),0)</f>
        <v xml:space="preserve"> 10 ft.- 5"</v>
      </c>
      <c r="F6" s="2" t="str">
        <f>VLOOKUP([jobnumber],OvalData[],MATCH(Table2[[#Headers],[Between Brackets]],Table2[#Headers],0),0)</f>
        <v xml:space="preserve"> 8 ft.- 7 1/ 2"</v>
      </c>
      <c r="G6" s="2" t="str">
        <f>VLOOKUP([jobnumber],OvalData[],MATCH(Table2[[#Headers],[shell]],Table2[#Headers],0),0)</f>
        <v>4 INCH TUBE</v>
      </c>
      <c r="H6" s="2" t="str">
        <f>VLOOKUP([jobnumber],OvalData[],MATCH(Table2[[#Headers],[pipewidth]],Table2[#Headers],0),0)</f>
        <v xml:space="preserve"> 8 ft.- 1"</v>
      </c>
      <c r="I6" s="2">
        <f>VLOOKUP([jobnumber],OvalData[],MATCH(Table2[[#Headers],[Support Tubes]],Table2[#Headers],0),0)</f>
        <v>0</v>
      </c>
      <c r="J6" s="2">
        <f>VLOOKUP([jobnumber],OvalData[],MATCH(Table2[[#Headers],[Upset]],Table2[#Headers],0),0)</f>
        <v>2</v>
      </c>
      <c r="K6" s="2" t="str">
        <f>VLOOKUP([jobnumber],OvalData[],MATCH(Table2[[#Headers],[Guide Type]],Table2[#Headers],0),0)</f>
        <v>SN1-4 5/8-E</v>
      </c>
      <c r="L6" s="2" t="str">
        <f>VLOOKUP([jobnumber],OvalData[],MATCH(Table2[[#Headers],[Wall Angle]],Table2[#Headers],0),0)</f>
        <v xml:space="preserve"> 12 ft.- 1"</v>
      </c>
      <c r="M6" s="2" t="str">
        <f>VLOOKUP([jobnumber],OvalData[],MATCH(Table2[[#Headers],[Middle Angle]],Table2[#Headers],0),0)</f>
        <v xml:space="preserve"> 10 ft.- 9 1/ 2"</v>
      </c>
      <c r="N6" s="2" t="str">
        <f>VLOOKUP([jobnumber],OvalData[],MATCH(Table2[[#Headers],[Front Angle]],Table2[#Headers],0),0)</f>
        <v xml:space="preserve"> 10 ft.- 8"</v>
      </c>
      <c r="O6" s="2">
        <f>VLOOKUP([jobnumber],OvalData[],MATCH(Table2[[#Headers],[Pipe Center Line]],Table2[#Headers],0),0)</f>
        <v>136</v>
      </c>
      <c r="P6" s="2">
        <f>VLOOKUP([jobnumber],OvalData[],MATCH(Table2[[#Headers],[Heat Expansion Gap]],Table2[#Headers],0),0)</f>
        <v>0</v>
      </c>
      <c r="Q6" s="2">
        <f>VLOOKUP([jobnumber],OvalData[],MATCH(Table2[[#Headers],[Hanging Weight Closed]],Table2[#Headers],0),0)</f>
        <v>381</v>
      </c>
      <c r="R6" s="2">
        <f>VLOOKUP([jobnumber],OvalData[],MATCH(Table2[[#Headers],[Hanging Weight Open]],Table2[#Headers],0),0)</f>
        <v>68</v>
      </c>
      <c r="S6" s="2">
        <f>VLOOKUP([jobnumber],OvalData[],MATCH(Table2[[#Headers],[Initial Lever Arm]],Table2[#Headers],0),0)</f>
        <v>4.25</v>
      </c>
      <c r="T6" s="2">
        <f>VLOOKUP([jobnumber],OvalData[],MATCH(Table2[[#Headers],[Turns to Raise]],Table2[#Headers],0),0)</f>
        <v>3.7090000000000001</v>
      </c>
      <c r="U6" s="2">
        <f>VLOOKUP([jobnumber],OvalData[],MATCH(Table2[[#Headers],[Final Lever Arm]],Table2[#Headers],0),0)</f>
        <v>6.45</v>
      </c>
      <c r="V6" s="2">
        <f>VLOOKUP([jobnumber],OvalData[],MATCH(Table2[[#Headers],[Torque Required Closed]],Table2[#Headers],0),0)</f>
        <v>1617.5</v>
      </c>
      <c r="W6" s="2">
        <f>VLOOKUP([jobnumber],OvalData[],MATCH(Table2[[#Headers],[Torque Required Open]],Table2[#Headers],0),0)</f>
        <v>440</v>
      </c>
      <c r="X6" s="2">
        <f>VLOOKUP([jobnumber],OvalData[],MATCH(Table2[[#Headers],[Pre Turns]],Table2[#Headers],0),0)</f>
        <v>1.3332999999999999</v>
      </c>
      <c r="Y6" s="2">
        <f>VLOOKUP([jobnumber],OvalData[],MATCH(Table2[[#Headers],[Required Torque Per Turn]],Table2[#Headers],0),0)</f>
        <v>321</v>
      </c>
      <c r="Z6" s="2">
        <f>VLOOKUP([jobnumber],OvalData[],MATCH(Table2[[#Headers],[Total Turns]],Table2[#Headers],0),0)</f>
        <v>5.04</v>
      </c>
      <c r="AA6" s="2">
        <f>VLOOKUP([jobnumber],OvalData[],MATCH(Table2[[#Headers],[Grille Vision Section]],Table2[#Headers],0),0)</f>
        <v>0</v>
      </c>
      <c r="AB6" s="2">
        <f>VLOOKUP([jobnumber],OvalData[],MATCH(Table2[[#Headers],[Grille Amount]],Table2[#Headers],0),0)</f>
        <v>0</v>
      </c>
      <c r="AC6" s="2">
        <f>VLOOKUP([jobnumber],OvalData[],MATCH(Table2[[#Headers],[Grille Center]],Table2[#Headers],0),0)</f>
        <v>0</v>
      </c>
      <c r="AD6" s="2">
        <f>VLOOKUP([jobnumber],OvalData[],MATCH(Table2[[#Headers],[Grille Pattern]],Table2[#Headers],0),0)</f>
        <v>0</v>
      </c>
      <c r="AE6" s="2">
        <f>VLOOKUP([jobnumber],OvalData[],MATCH(Table2[[#Headers],[Grille First Tube]],Table2[#Headers],0),0)</f>
        <v>0</v>
      </c>
      <c r="AF6" s="2">
        <f>VLOOKUP([jobnumber],OvalData[],MATCH(Table2[[#Headers],[Grille Standard Tube]],Table2[#Headers],0),0)</f>
        <v>0</v>
      </c>
      <c r="AG6" s="2">
        <f>VLOOKUP([jobnumber],OvalData[],MATCH(Table2[[#Headers],[Grille Total Links]],Table2[#Headers],0),0)</f>
        <v>0</v>
      </c>
      <c r="AH6" s="2">
        <f>VLOOKUP([jobnumber],OvalData[],MATCH(Table2[[#Headers],[Grille Rods]],Table2[#Headers],0),0)</f>
        <v>0</v>
      </c>
      <c r="AI6" s="2">
        <f>VLOOKUP([jobnumber],OvalData[],MATCH(Table2[[#Headers],[Grille Rod Length]],Table2[#Headers],0),0)</f>
        <v>0</v>
      </c>
      <c r="AJ6" s="2">
        <f>VLOOKUP([jobnumber],OvalData[],MATCH(Table2[[#Headers],[slattype]],Table2[#Headers],0),0)</f>
        <v>2</v>
      </c>
      <c r="AK6" s="2">
        <f>VLOOKUP([jobnumber],OvalData[],MATCH(Table2[[#Headers],[slatgage]],Table2[#Headers],0),0)</f>
        <v>18</v>
      </c>
      <c r="AL6" s="2">
        <f>VLOOKUP([jobnumber],OvalData[],MATCH(Table2[[#Headers],[Numer of Top Slats]],Table2[#Headers],0),0)</f>
        <v>0</v>
      </c>
      <c r="AM6" s="2">
        <f>VLOOKUP([jobnumber],OvalData[],MATCH(Table2[[#Headers],[Number of Bottom Slats]],Table2[#Headers],0),0)</f>
        <v>0</v>
      </c>
      <c r="AN6" s="2">
        <f>VLOOKUP([jobnumber],OvalData[],MATCH(Table2[[#Headers],[Solid Bottom Height]],Table2[#Headers],0),0)</f>
        <v>0</v>
      </c>
      <c r="AO6" s="2" t="str">
        <f>VLOOKUP([jobnumber],OvalData[],MATCH(Table2[[#Headers],[slatlength]],Table2[#Headers],0),0)</f>
        <v xml:space="preserve"> 8 ft.- 5 1/ 2"</v>
      </c>
      <c r="AP6" s="2">
        <f>VLOOKUP([jobnumber],OvalData[],MATCH(Table2[[#Headers],[Bottom Slat Length]],Table2[#Headers],0),0)</f>
        <v>0</v>
      </c>
      <c r="AQ6" s="2">
        <f>VLOOKUP([jobnumber],OvalData[],MATCH(Table2[[#Headers],[Number of Perferated Slats]],Table2[#Headers],0),0)</f>
        <v>0</v>
      </c>
      <c r="AR6" s="2">
        <f>VLOOKUP([jobnumber],OvalData[],MATCH(Table2[[#Headers],[First Preferated Slat From End]],Table2[#Headers],0),0)</f>
        <v>0</v>
      </c>
      <c r="AS6" s="2">
        <f>VLOOKUP([jobnumber],OvalData[],MATCH(Table2[[#Headers],[First Preferated Slat From Bottom]],Table2[#Headers],0),0)</f>
        <v>0</v>
      </c>
      <c r="AT6" s="2">
        <f>VLOOKUP([jobnumber],OvalData[],MATCH(Table2[[#Headers],[Total Number of Slats]],Table2[#Headers],0),0)</f>
        <v>53</v>
      </c>
      <c r="AU6" s="2">
        <f>VLOOKUP([jobnumber],OvalData[],MATCH(Table2[[#Headers],[Bottom Bar Slope]],Table2[#Headers],0),0)</f>
        <v>0</v>
      </c>
      <c r="AV6" s="2">
        <f>VLOOKUP([jobnumber],OvalData[],MATCH(Table2[[#Headers],[Bottom Bar Weight]],Table2[#Headers],0),0)</f>
        <v>36.799999999999997</v>
      </c>
      <c r="AW6" s="2">
        <f>VLOOKUP([jobnumber],OvalData[],MATCH(Table2[[#Headers],[Outer Spring Gage]],Table2[#Headers],0),0)</f>
        <v>0</v>
      </c>
      <c r="AX6" s="2">
        <f>VLOOKUP([jobnumber],OvalData[],MATCH(Table2[[#Headers],[Outer Spring OD]],Table2[#Headers],0),0)</f>
        <v>0</v>
      </c>
      <c r="AY6" s="2">
        <f>VLOOKUP([jobnumber],OvalData[],MATCH(Table2[[#Headers],[Outer Spring Length]],Table2[#Headers],0),0)</f>
        <v>44.375</v>
      </c>
      <c r="AZ6" s="2">
        <f>VLOOKUP([jobnumber],OvalData[],MATCH(Table2[[#Headers],[Outer Spring Stretch]],Table2[#Headers],0),0)</f>
        <v>4.375</v>
      </c>
      <c r="BA6" s="2">
        <f>VLOOKUP([jobnumber],OvalData[],MATCH(Table2[[#Headers],[Outer Spring Torque]],Table2[#Headers],0),0)</f>
        <v>0</v>
      </c>
      <c r="BB6" s="2">
        <f>VLOOKUP([jobnumber],OvalData[],MATCH(Table2[[#Headers],[Outer Spring Max Turns]],Table2[#Headers],0),0)</f>
        <v>0</v>
      </c>
      <c r="BC6" s="2">
        <f>VLOOKUP([jobnumber],OvalData[],MATCH(Table2[[#Headers],[Outer Spring Weight]],Table2[#Headers],0),0)</f>
        <v>45</v>
      </c>
      <c r="BD6" s="2">
        <f>VLOOKUP([jobnumber],OvalData[],MATCH(Table2[[#Headers],[Inner Spring Gage]],Table2[#Headers],0),0)</f>
        <v>0</v>
      </c>
      <c r="BE6" s="2">
        <f>VLOOKUP([jobnumber],OvalData[],MATCH(Table2[[#Headers],[Inner Spring OD]],Table2[#Headers],0),0)</f>
        <v>0</v>
      </c>
      <c r="BF6" s="2">
        <f>VLOOKUP([jobnumber],OvalData[],MATCH(Table2[[#Headers],[Inner Spring Length]],Table2[#Headers],0),0)</f>
        <v>0</v>
      </c>
      <c r="BG6" s="2">
        <f>VLOOKUP([jobnumber],OvalData[],MATCH(Table2[[#Headers],[Inner Spring Stretch]],Table2[#Headers],0),0)</f>
        <v>0</v>
      </c>
      <c r="BH6" s="2">
        <f>VLOOKUP([jobnumber],OvalData[],MATCH(Table2[[#Headers],[Inner Spring Torque]],Table2[#Headers],0),0)</f>
        <v>0</v>
      </c>
      <c r="BI6" s="2">
        <f>VLOOKUP([jobnumber],OvalData[],MATCH(Table2[[#Headers],[Inner Spring Max Turns]],Table2[#Headers],0),0)</f>
        <v>0</v>
      </c>
      <c r="BJ6" s="2">
        <f>VLOOKUP([jobnumber],OvalData[],MATCH(Table2[[#Headers],[Inner Spring Weight]],Table2[#Headers],0),0)</f>
        <v>0</v>
      </c>
      <c r="BK6" s="2">
        <f>VLOOKUP([jobnumber],OvalData[],MATCH(Table2[[#Headers],[Cycles]],Table2[#Headers],0),0)</f>
        <v>0</v>
      </c>
      <c r="BL6" s="2">
        <f>VLOOKUP([jobnumber],OvalData[],MATCH(Table2[[#Headers],[Total Spring Torque]],Table2[#Headers],0),0)</f>
        <v>0</v>
      </c>
      <c r="BM6" s="2">
        <f>VLOOKUP([jobnumber],OvalData[],MATCH(Table2[[#Headers],[Total Spring Weight]],Table2[#Headers],0),0)</f>
        <v>0</v>
      </c>
      <c r="BN6" s="2">
        <f>VLOOKUP([jobnumber],OvalData[],MATCH(Table2[[#Headers],[Pipe Weight]],Table2[#Headers],0),0)</f>
        <v>174.76669999999999</v>
      </c>
      <c r="BO6" s="2">
        <f>VLOOKUP([jobnumber],OvalData[],MATCH(Table2[[#Headers],[Max Pipe Deflection]],Table2[#Headers],0),0)</f>
        <v>3397</v>
      </c>
      <c r="BP6" s="2">
        <f>VLOOKUP([jobnumber],OvalData[],MATCH(Table2[[#Headers],[Number Non-Insulated Wrap Slats]],Table2[#Headers],0),0)</f>
        <v>0</v>
      </c>
      <c r="BQ6" s="2">
        <f>VLOOKUP([jobnumber],OvalData[],MATCH(Table2[[#Headers],[Number of Insolated Top Slats]],Table2[#Headers],0),0)</f>
        <v>46</v>
      </c>
      <c r="BR6" s="2">
        <f>VLOOKUP([jobnumber],OvalData[],MATCH(Table2[[#Headers],[Insolated Total Slats]],Table2[#Headers],0),0)</f>
        <v>46</v>
      </c>
      <c r="BS6" s="2">
        <f>VLOOKUP([jobnumber],OvalData[],MATCH(Table2[[#Headers],[Number of Slats]],Table2[#Headers],0),0)</f>
        <v>46.43</v>
      </c>
      <c r="BT6" s="2">
        <f>VLOOKUP([jobnumber],OvalData[],MATCH(Table2[[#Headers],[Wrap]],Table2[#Headers],0),0)</f>
        <v>0</v>
      </c>
      <c r="BU6" s="2">
        <f>VLOOKUP([jobnumber],OvalData[],MATCH(Table2[[#Headers],[Wall Angle Thickness]],Table2[#Headers],0),0)</f>
        <v>0</v>
      </c>
      <c r="BV6" s="2">
        <f>VLOOKUP([jobnumber],OvalData[],MATCH(Table2[[#Headers],[windlocks]],Table2[#Headers],0),0)</f>
        <v>0</v>
      </c>
      <c r="BW6" s="2" t="str">
        <f>VLOOKUP([jobnumber],OvalData[],MATCH(Table2[[#Headers],[bottombartype]],Table2[#Headers],0),0)</f>
        <v>SPECIAL</v>
      </c>
      <c r="BX6" s="2">
        <f>VLOOKUP([jobnumber],OvalData[],MATCH(Table2[[#Headers],[endlockweight]],Table2[#Headers],0),0)</f>
        <v>0.17</v>
      </c>
      <c r="BY6" s="2">
        <f>VLOOKUP([jobnumber],OvalData[],MATCH(Table2[[#Headers],[Endlock Total Weight]],Table2[#Headers],0),0)</f>
        <v>7.8931009999999997</v>
      </c>
      <c r="BZ6" s="2">
        <f>VLOOKUP([jobnumber],OvalData[],MATCH(Table2[[#Headers],[Grille Weight]],Table2[#Headers],0),0)</f>
        <v>0</v>
      </c>
      <c r="CA6" s="2">
        <f>VLOOKUP([jobnumber],OvalData[],MATCH(Table2[[#Headers],[barrelrings]],Table2[#Headers],0),0)</f>
        <v>1</v>
      </c>
    </row>
    <row r="7" spans="1:79">
      <c r="A7">
        <v>285</v>
      </c>
      <c r="B7" s="2" t="str">
        <f>VLOOKUP([jobnumber],OvalData[],MATCH(Table2[[#Headers],[Hand]],Table2[#Headers],0),0)</f>
        <v>RH</v>
      </c>
      <c r="C7" s="2" t="str">
        <f>VLOOKUP([jobnumber],OvalData[],MATCH(Table2[[#Headers],[Model]],Table2[#Headers],0),0)</f>
        <v>SFMPP</v>
      </c>
      <c r="D7" s="2" t="str">
        <f>VLOOKUP([jobnumber],OvalData[],MATCH(Table2[[#Headers],[width]],Table2[#Headers],0),0)</f>
        <v xml:space="preserve"> 8 ft.- 0"</v>
      </c>
      <c r="E7" s="2" t="str">
        <f>VLOOKUP([jobnumber],OvalData[],MATCH(Table2[[#Headers],[stopheight]],Table2[#Headers],0),0)</f>
        <v xml:space="preserve"> 8 ft.- 9"</v>
      </c>
      <c r="F7" s="2" t="str">
        <f>VLOOKUP([jobnumber],OvalData[],MATCH(Table2[[#Headers],[Between Brackets]],Table2[#Headers],0),0)</f>
        <v xml:space="preserve"> 8 ft.- 5 1/ 2"</v>
      </c>
      <c r="G7" s="2" t="str">
        <f>VLOOKUP([jobnumber],OvalData[],MATCH(Table2[[#Headers],[shell]],Table2[#Headers],0),0)</f>
        <v>4 INCH TUBE</v>
      </c>
      <c r="H7" s="2" t="str">
        <f>VLOOKUP([jobnumber],OvalData[],MATCH(Table2[[#Headers],[pipewidth]],Table2[#Headers],0),0)</f>
        <v xml:space="preserve"> 7 ft.- 11"</v>
      </c>
      <c r="I7" s="2">
        <f>VLOOKUP([jobnumber],OvalData[],MATCH(Table2[[#Headers],[Support Tubes]],Table2[#Headers],0),0)</f>
        <v>0</v>
      </c>
      <c r="J7" s="2">
        <f>VLOOKUP([jobnumber],OvalData[],MATCH(Table2[[#Headers],[Upset]],Table2[#Headers],0),0)</f>
        <v>2</v>
      </c>
      <c r="K7" s="2" t="str">
        <f>VLOOKUP([jobnumber],OvalData[],MATCH(Table2[[#Headers],[Guide Type]],Table2[#Headers],0),0)</f>
        <v>SN1-4 5/8-E</v>
      </c>
      <c r="L7" s="2" t="str">
        <f>VLOOKUP([jobnumber],OvalData[],MATCH(Table2[[#Headers],[Wall Angle]],Table2[#Headers],0),0)</f>
        <v xml:space="preserve"> 10 ft.- 5"</v>
      </c>
      <c r="M7" s="2" t="str">
        <f>VLOOKUP([jobnumber],OvalData[],MATCH(Table2[[#Headers],[Middle Angle]],Table2[#Headers],0),0)</f>
        <v xml:space="preserve"> 9 ft.- 1 1/ 2"</v>
      </c>
      <c r="N7" s="2" t="str">
        <f>VLOOKUP([jobnumber],OvalData[],MATCH(Table2[[#Headers],[Front Angle]],Table2[#Headers],0),0)</f>
        <v xml:space="preserve"> 9 ft.- 0"</v>
      </c>
      <c r="O7" s="2">
        <f>VLOOKUP([jobnumber],OvalData[],MATCH(Table2[[#Headers],[Pipe Center Line]],Table2[#Headers],0),0)</f>
        <v>116</v>
      </c>
      <c r="P7" s="2">
        <f>VLOOKUP([jobnumber],OvalData[],MATCH(Table2[[#Headers],[Heat Expansion Gap]],Table2[#Headers],0),0)</f>
        <v>0</v>
      </c>
      <c r="Q7" s="2">
        <f>VLOOKUP([jobnumber],OvalData[],MATCH(Table2[[#Headers],[Hanging Weight Closed]],Table2[#Headers],0),0)</f>
        <v>323</v>
      </c>
      <c r="R7" s="2">
        <f>VLOOKUP([jobnumber],OvalData[],MATCH(Table2[[#Headers],[Hanging Weight Open]],Table2[#Headers],0),0)</f>
        <v>67</v>
      </c>
      <c r="S7" s="2">
        <f>VLOOKUP([jobnumber],OvalData[],MATCH(Table2[[#Headers],[Initial Lever Arm]],Table2[#Headers],0),0)</f>
        <v>4.25</v>
      </c>
      <c r="T7" s="2">
        <f>VLOOKUP([jobnumber],OvalData[],MATCH(Table2[[#Headers],[Turns to Raise]],Table2[#Headers],0),0)</f>
        <v>3.206</v>
      </c>
      <c r="U7" s="2">
        <f>VLOOKUP([jobnumber],OvalData[],MATCH(Table2[[#Headers],[Final Lever Arm]],Table2[#Headers],0),0)</f>
        <v>6.22</v>
      </c>
      <c r="V7" s="2">
        <f>VLOOKUP([jobnumber],OvalData[],MATCH(Table2[[#Headers],[Torque Required Closed]],Table2[#Headers],0),0)</f>
        <v>1371.51</v>
      </c>
      <c r="W7" s="2">
        <f>VLOOKUP([jobnumber],OvalData[],MATCH(Table2[[#Headers],[Torque Required Open]],Table2[#Headers],0),0)</f>
        <v>417</v>
      </c>
      <c r="X7" s="2">
        <f>VLOOKUP([jobnumber],OvalData[],MATCH(Table2[[#Headers],[Pre Turns]],Table2[#Headers],0),0)</f>
        <v>1.3332999999999999</v>
      </c>
      <c r="Y7" s="2">
        <f>VLOOKUP([jobnumber],OvalData[],MATCH(Table2[[#Headers],[Required Torque Per Turn]],Table2[#Headers],0),0)</f>
        <v>303</v>
      </c>
      <c r="Z7" s="2">
        <f>VLOOKUP([jobnumber],OvalData[],MATCH(Table2[[#Headers],[Total Turns]],Table2[#Headers],0),0)</f>
        <v>4.53</v>
      </c>
      <c r="AA7" s="2">
        <f>VLOOKUP([jobnumber],OvalData[],MATCH(Table2[[#Headers],[Grille Vision Section]],Table2[#Headers],0),0)</f>
        <v>0</v>
      </c>
      <c r="AB7" s="2">
        <f>VLOOKUP([jobnumber],OvalData[],MATCH(Table2[[#Headers],[Grille Amount]],Table2[#Headers],0),0)</f>
        <v>0</v>
      </c>
      <c r="AC7" s="2">
        <f>VLOOKUP([jobnumber],OvalData[],MATCH(Table2[[#Headers],[Grille Center]],Table2[#Headers],0),0)</f>
        <v>0</v>
      </c>
      <c r="AD7" s="2">
        <f>VLOOKUP([jobnumber],OvalData[],MATCH(Table2[[#Headers],[Grille Pattern]],Table2[#Headers],0),0)</f>
        <v>0</v>
      </c>
      <c r="AE7" s="2">
        <f>VLOOKUP([jobnumber],OvalData[],MATCH(Table2[[#Headers],[Grille First Tube]],Table2[#Headers],0),0)</f>
        <v>0</v>
      </c>
      <c r="AF7" s="2">
        <f>VLOOKUP([jobnumber],OvalData[],MATCH(Table2[[#Headers],[Grille Standard Tube]],Table2[#Headers],0),0)</f>
        <v>0</v>
      </c>
      <c r="AG7" s="2">
        <f>VLOOKUP([jobnumber],OvalData[],MATCH(Table2[[#Headers],[Grille Total Links]],Table2[#Headers],0),0)</f>
        <v>0</v>
      </c>
      <c r="AH7" s="2">
        <f>VLOOKUP([jobnumber],OvalData[],MATCH(Table2[[#Headers],[Grille Rods]],Table2[#Headers],0),0)</f>
        <v>0</v>
      </c>
      <c r="AI7" s="2">
        <f>VLOOKUP([jobnumber],OvalData[],MATCH(Table2[[#Headers],[Grille Rod Length]],Table2[#Headers],0),0)</f>
        <v>0</v>
      </c>
      <c r="AJ7" s="2">
        <f>VLOOKUP([jobnumber],OvalData[],MATCH(Table2[[#Headers],[slattype]],Table2[#Headers],0),0)</f>
        <v>2</v>
      </c>
      <c r="AK7" s="2">
        <f>VLOOKUP([jobnumber],OvalData[],MATCH(Table2[[#Headers],[slatgage]],Table2[#Headers],0),0)</f>
        <v>18</v>
      </c>
      <c r="AL7" s="2">
        <f>VLOOKUP([jobnumber],OvalData[],MATCH(Table2[[#Headers],[Numer of Top Slats]],Table2[#Headers],0),0)</f>
        <v>0</v>
      </c>
      <c r="AM7" s="2">
        <f>VLOOKUP([jobnumber],OvalData[],MATCH(Table2[[#Headers],[Number of Bottom Slats]],Table2[#Headers],0),0)</f>
        <v>0</v>
      </c>
      <c r="AN7" s="2">
        <f>VLOOKUP([jobnumber],OvalData[],MATCH(Table2[[#Headers],[Solid Bottom Height]],Table2[#Headers],0),0)</f>
        <v>0</v>
      </c>
      <c r="AO7" s="2" t="str">
        <f>VLOOKUP([jobnumber],OvalData[],MATCH(Table2[[#Headers],[slatlength]],Table2[#Headers],0),0)</f>
        <v xml:space="preserve"> 8 ft.- 3 1/ 2"</v>
      </c>
      <c r="AP7" s="2">
        <f>VLOOKUP([jobnumber],OvalData[],MATCH(Table2[[#Headers],[Bottom Slat Length]],Table2[#Headers],0),0)</f>
        <v>0</v>
      </c>
      <c r="AQ7" s="2">
        <f>VLOOKUP([jobnumber],OvalData[],MATCH(Table2[[#Headers],[Number of Perferated Slats]],Table2[#Headers],0),0)</f>
        <v>0</v>
      </c>
      <c r="AR7" s="2">
        <f>VLOOKUP([jobnumber],OvalData[],MATCH(Table2[[#Headers],[First Preferated Slat From End]],Table2[#Headers],0),0)</f>
        <v>0</v>
      </c>
      <c r="AS7" s="2">
        <f>VLOOKUP([jobnumber],OvalData[],MATCH(Table2[[#Headers],[First Preferated Slat From Bottom]],Table2[#Headers],0),0)</f>
        <v>0</v>
      </c>
      <c r="AT7" s="2">
        <f>VLOOKUP([jobnumber],OvalData[],MATCH(Table2[[#Headers],[Total Number of Slats]],Table2[#Headers],0),0)</f>
        <v>46</v>
      </c>
      <c r="AU7" s="2">
        <f>VLOOKUP([jobnumber],OvalData[],MATCH(Table2[[#Headers],[Bottom Bar Slope]],Table2[#Headers],0),0)</f>
        <v>0</v>
      </c>
      <c r="AV7" s="2">
        <f>VLOOKUP([jobnumber],OvalData[],MATCH(Table2[[#Headers],[Bottom Bar Weight]],Table2[#Headers],0),0)</f>
        <v>36.1</v>
      </c>
      <c r="AW7" s="2">
        <f>VLOOKUP([jobnumber],OvalData[],MATCH(Table2[[#Headers],[Outer Spring Gage]],Table2[#Headers],0),0)</f>
        <v>0</v>
      </c>
      <c r="AX7" s="2">
        <f>VLOOKUP([jobnumber],OvalData[],MATCH(Table2[[#Headers],[Outer Spring OD]],Table2[#Headers],0),0)</f>
        <v>0</v>
      </c>
      <c r="AY7" s="2">
        <f>VLOOKUP([jobnumber],OvalData[],MATCH(Table2[[#Headers],[Outer Spring Length]],Table2[#Headers],0),0)</f>
        <v>47</v>
      </c>
      <c r="AZ7" s="2">
        <f>VLOOKUP([jobnumber],OvalData[],MATCH(Table2[[#Headers],[Outer Spring Stretch]],Table2[#Headers],0),0)</f>
        <v>4</v>
      </c>
      <c r="BA7" s="2">
        <f>VLOOKUP([jobnumber],OvalData[],MATCH(Table2[[#Headers],[Outer Spring Torque]],Table2[#Headers],0),0)</f>
        <v>0</v>
      </c>
      <c r="BB7" s="2">
        <f>VLOOKUP([jobnumber],OvalData[],MATCH(Table2[[#Headers],[Outer Spring Max Turns]],Table2[#Headers],0),0)</f>
        <v>0</v>
      </c>
      <c r="BC7" s="2">
        <f>VLOOKUP([jobnumber],OvalData[],MATCH(Table2[[#Headers],[Outer Spring Weight]],Table2[#Headers],0),0)</f>
        <v>48</v>
      </c>
      <c r="BD7" s="2">
        <f>VLOOKUP([jobnumber],OvalData[],MATCH(Table2[[#Headers],[Inner Spring Gage]],Table2[#Headers],0),0)</f>
        <v>0</v>
      </c>
      <c r="BE7" s="2">
        <f>VLOOKUP([jobnumber],OvalData[],MATCH(Table2[[#Headers],[Inner Spring OD]],Table2[#Headers],0),0)</f>
        <v>0</v>
      </c>
      <c r="BF7" s="2">
        <f>VLOOKUP([jobnumber],OvalData[],MATCH(Table2[[#Headers],[Inner Spring Length]],Table2[#Headers],0),0)</f>
        <v>0</v>
      </c>
      <c r="BG7" s="2">
        <f>VLOOKUP([jobnumber],OvalData[],MATCH(Table2[[#Headers],[Inner Spring Stretch]],Table2[#Headers],0),0)</f>
        <v>0</v>
      </c>
      <c r="BH7" s="2">
        <f>VLOOKUP([jobnumber],OvalData[],MATCH(Table2[[#Headers],[Inner Spring Torque]],Table2[#Headers],0),0)</f>
        <v>0</v>
      </c>
      <c r="BI7" s="2">
        <f>VLOOKUP([jobnumber],OvalData[],MATCH(Table2[[#Headers],[Inner Spring Max Turns]],Table2[#Headers],0),0)</f>
        <v>0</v>
      </c>
      <c r="BJ7" s="2">
        <f>VLOOKUP([jobnumber],OvalData[],MATCH(Table2[[#Headers],[Inner Spring Weight]],Table2[#Headers],0),0)</f>
        <v>0</v>
      </c>
      <c r="BK7" s="2">
        <f>VLOOKUP([jobnumber],OvalData[],MATCH(Table2[[#Headers],[Cycles]],Table2[#Headers],0),0)</f>
        <v>0</v>
      </c>
      <c r="BL7" s="2">
        <f>VLOOKUP([jobnumber],OvalData[],MATCH(Table2[[#Headers],[Total Spring Torque]],Table2[#Headers],0),0)</f>
        <v>0</v>
      </c>
      <c r="BM7" s="2">
        <f>VLOOKUP([jobnumber],OvalData[],MATCH(Table2[[#Headers],[Total Spring Weight]],Table2[#Headers],0),0)</f>
        <v>0</v>
      </c>
      <c r="BN7" s="2">
        <f>VLOOKUP([jobnumber],OvalData[],MATCH(Table2[[#Headers],[Pipe Weight]],Table2[#Headers],0),0)</f>
        <v>171.2</v>
      </c>
      <c r="BO7" s="2">
        <f>VLOOKUP([jobnumber],OvalData[],MATCH(Table2[[#Headers],[Max Pipe Deflection]],Table2[#Headers],0),0)</f>
        <v>3540</v>
      </c>
      <c r="BP7" s="2">
        <f>VLOOKUP([jobnumber],OvalData[],MATCH(Table2[[#Headers],[Number Non-Insulated Wrap Slats]],Table2[#Headers],0),0)</f>
        <v>0</v>
      </c>
      <c r="BQ7" s="2">
        <f>VLOOKUP([jobnumber],OvalData[],MATCH(Table2[[#Headers],[Number of Insolated Top Slats]],Table2[#Headers],0),0)</f>
        <v>39</v>
      </c>
      <c r="BR7" s="2">
        <f>VLOOKUP([jobnumber],OvalData[],MATCH(Table2[[#Headers],[Insolated Total Slats]],Table2[#Headers],0),0)</f>
        <v>39</v>
      </c>
      <c r="BS7" s="2">
        <f>VLOOKUP([jobnumber],OvalData[],MATCH(Table2[[#Headers],[Number of Slats]],Table2[#Headers],0),0)</f>
        <v>39.47</v>
      </c>
      <c r="BT7" s="2">
        <f>VLOOKUP([jobnumber],OvalData[],MATCH(Table2[[#Headers],[Wrap]],Table2[#Headers],0),0)</f>
        <v>0</v>
      </c>
      <c r="BU7" s="2">
        <f>VLOOKUP([jobnumber],OvalData[],MATCH(Table2[[#Headers],[Wall Angle Thickness]],Table2[#Headers],0),0)</f>
        <v>0</v>
      </c>
      <c r="BV7" s="2">
        <f>VLOOKUP([jobnumber],OvalData[],MATCH(Table2[[#Headers],[windlocks]],Table2[#Headers],0),0)</f>
        <v>0</v>
      </c>
      <c r="BW7" s="2" t="str">
        <f>VLOOKUP([jobnumber],OvalData[],MATCH(Table2[[#Headers],[bottombartype]],Table2[#Headers],0),0)</f>
        <v>SPECIAL</v>
      </c>
      <c r="BX7" s="2">
        <f>VLOOKUP([jobnumber],OvalData[],MATCH(Table2[[#Headers],[endlockweight]],Table2[#Headers],0),0)</f>
        <v>0.17</v>
      </c>
      <c r="BY7" s="2">
        <f>VLOOKUP([jobnumber],OvalData[],MATCH(Table2[[#Headers],[Endlock Total Weight]],Table2[#Headers],0),0)</f>
        <v>6.7099010000000003</v>
      </c>
      <c r="BZ7" s="2">
        <f>VLOOKUP([jobnumber],OvalData[],MATCH(Table2[[#Headers],[Grille Weight]],Table2[#Headers],0),0)</f>
        <v>0</v>
      </c>
      <c r="CA7" s="2">
        <f>VLOOKUP([jobnumber],OvalData[],MATCH(Table2[[#Headers],[barrelrings]],Table2[#Headers],0),0)</f>
        <v>1</v>
      </c>
    </row>
    <row r="8" spans="1:79">
      <c r="A8">
        <v>273</v>
      </c>
      <c r="B8" s="2" t="str">
        <f>VLOOKUP([jobnumber],OvalData[],MATCH(Table2[[#Headers],[Hand]],Table2[#Headers],0),0)</f>
        <v>RH</v>
      </c>
      <c r="C8" s="2" t="str">
        <f>VLOOKUP([jobnumber],OvalData[],MATCH(Table2[[#Headers],[Model]],Table2[#Headers],0),0)</f>
        <v>SFMPP</v>
      </c>
      <c r="D8" s="2" t="str">
        <f>VLOOKUP([jobnumber],OvalData[],MATCH(Table2[[#Headers],[width]],Table2[#Headers],0),0)</f>
        <v xml:space="preserve"> 8 ft.- 2"</v>
      </c>
      <c r="E8" s="2" t="str">
        <f>VLOOKUP([jobnumber],OvalData[],MATCH(Table2[[#Headers],[stopheight]],Table2[#Headers],0),0)</f>
        <v xml:space="preserve"> 10 ft.- 6"</v>
      </c>
      <c r="F8" s="2" t="str">
        <f>VLOOKUP([jobnumber],OvalData[],MATCH(Table2[[#Headers],[Between Brackets]],Table2[#Headers],0),0)</f>
        <v xml:space="preserve"> 8 ft.- 7 1/ 2"</v>
      </c>
      <c r="G8" s="2" t="str">
        <f>VLOOKUP([jobnumber],OvalData[],MATCH(Table2[[#Headers],[shell]],Table2[#Headers],0),0)</f>
        <v>4 INCH TUBE</v>
      </c>
      <c r="H8" s="2" t="str">
        <f>VLOOKUP([jobnumber],OvalData[],MATCH(Table2[[#Headers],[pipewidth]],Table2[#Headers],0),0)</f>
        <v xml:space="preserve"> 8 ft.- 1"</v>
      </c>
      <c r="I8" s="2">
        <f>VLOOKUP([jobnumber],OvalData[],MATCH(Table2[[#Headers],[Support Tubes]],Table2[#Headers],0),0)</f>
        <v>0</v>
      </c>
      <c r="J8" s="2">
        <f>VLOOKUP([jobnumber],OvalData[],MATCH(Table2[[#Headers],[Upset]],Table2[#Headers],0),0)</f>
        <v>2</v>
      </c>
      <c r="K8" s="2" t="str">
        <f>VLOOKUP([jobnumber],OvalData[],MATCH(Table2[[#Headers],[Guide Type]],Table2[#Headers],0),0)</f>
        <v>SN1-4 5/8-E</v>
      </c>
      <c r="L8" s="2" t="str">
        <f>VLOOKUP([jobnumber],OvalData[],MATCH(Table2[[#Headers],[Wall Angle]],Table2[#Headers],0),0)</f>
        <v xml:space="preserve"> 12 ft.- 2"</v>
      </c>
      <c r="M8" s="2" t="str">
        <f>VLOOKUP([jobnumber],OvalData[],MATCH(Table2[[#Headers],[Middle Angle]],Table2[#Headers],0),0)</f>
        <v xml:space="preserve"> 10 ft.- 10 1/ 2"</v>
      </c>
      <c r="N8" s="2" t="str">
        <f>VLOOKUP([jobnumber],OvalData[],MATCH(Table2[[#Headers],[Front Angle]],Table2[#Headers],0),0)</f>
        <v xml:space="preserve"> 10 ft.- 9"</v>
      </c>
      <c r="O8" s="2">
        <f>VLOOKUP([jobnumber],OvalData[],MATCH(Table2[[#Headers],[Pipe Center Line]],Table2[#Headers],0),0)</f>
        <v>137</v>
      </c>
      <c r="P8" s="2">
        <f>VLOOKUP([jobnumber],OvalData[],MATCH(Table2[[#Headers],[Heat Expansion Gap]],Table2[#Headers],0),0)</f>
        <v>0</v>
      </c>
      <c r="Q8" s="2">
        <f>VLOOKUP([jobnumber],OvalData[],MATCH(Table2[[#Headers],[Hanging Weight Closed]],Table2[#Headers],0),0)</f>
        <v>383</v>
      </c>
      <c r="R8" s="2">
        <f>VLOOKUP([jobnumber],OvalData[],MATCH(Table2[[#Headers],[Hanging Weight Open]],Table2[#Headers],0),0)</f>
        <v>68</v>
      </c>
      <c r="S8" s="2">
        <f>VLOOKUP([jobnumber],OvalData[],MATCH(Table2[[#Headers],[Initial Lever Arm]],Table2[#Headers],0),0)</f>
        <v>4.25</v>
      </c>
      <c r="T8" s="2">
        <f>VLOOKUP([jobnumber],OvalData[],MATCH(Table2[[#Headers],[Turns to Raise]],Table2[#Headers],0),0)</f>
        <v>3.734</v>
      </c>
      <c r="U8" s="2">
        <f>VLOOKUP([jobnumber],OvalData[],MATCH(Table2[[#Headers],[Final Lever Arm]],Table2[#Headers],0),0)</f>
        <v>6.48</v>
      </c>
      <c r="V8" s="2">
        <f>VLOOKUP([jobnumber],OvalData[],MATCH(Table2[[#Headers],[Torque Required Closed]],Table2[#Headers],0),0)</f>
        <v>1628.55</v>
      </c>
      <c r="W8" s="2">
        <f>VLOOKUP([jobnumber],OvalData[],MATCH(Table2[[#Headers],[Torque Required Open]],Table2[#Headers],0),0)</f>
        <v>442</v>
      </c>
      <c r="X8" s="2">
        <f>VLOOKUP([jobnumber],OvalData[],MATCH(Table2[[#Headers],[Pre Turns]],Table2[#Headers],0),0)</f>
        <v>1.3332999999999999</v>
      </c>
      <c r="Y8" s="2">
        <f>VLOOKUP([jobnumber],OvalData[],MATCH(Table2[[#Headers],[Required Torque Per Turn]],Table2[#Headers],0),0)</f>
        <v>322</v>
      </c>
      <c r="Z8" s="2">
        <f>VLOOKUP([jobnumber],OvalData[],MATCH(Table2[[#Headers],[Total Turns]],Table2[#Headers],0),0)</f>
        <v>5.0599999999999996</v>
      </c>
      <c r="AA8" s="2">
        <f>VLOOKUP([jobnumber],OvalData[],MATCH(Table2[[#Headers],[Grille Vision Section]],Table2[#Headers],0),0)</f>
        <v>0</v>
      </c>
      <c r="AB8" s="2">
        <f>VLOOKUP([jobnumber],OvalData[],MATCH(Table2[[#Headers],[Grille Amount]],Table2[#Headers],0),0)</f>
        <v>0</v>
      </c>
      <c r="AC8" s="2">
        <f>VLOOKUP([jobnumber],OvalData[],MATCH(Table2[[#Headers],[Grille Center]],Table2[#Headers],0),0)</f>
        <v>0</v>
      </c>
      <c r="AD8" s="2">
        <f>VLOOKUP([jobnumber],OvalData[],MATCH(Table2[[#Headers],[Grille Pattern]],Table2[#Headers],0),0)</f>
        <v>0</v>
      </c>
      <c r="AE8" s="2">
        <f>VLOOKUP([jobnumber],OvalData[],MATCH(Table2[[#Headers],[Grille First Tube]],Table2[#Headers],0),0)</f>
        <v>0</v>
      </c>
      <c r="AF8" s="2">
        <f>VLOOKUP([jobnumber],OvalData[],MATCH(Table2[[#Headers],[Grille Standard Tube]],Table2[#Headers],0),0)</f>
        <v>0</v>
      </c>
      <c r="AG8" s="2">
        <f>VLOOKUP([jobnumber],OvalData[],MATCH(Table2[[#Headers],[Grille Total Links]],Table2[#Headers],0),0)</f>
        <v>0</v>
      </c>
      <c r="AH8" s="2">
        <f>VLOOKUP([jobnumber],OvalData[],MATCH(Table2[[#Headers],[Grille Rods]],Table2[#Headers],0),0)</f>
        <v>0</v>
      </c>
      <c r="AI8" s="2">
        <f>VLOOKUP([jobnumber],OvalData[],MATCH(Table2[[#Headers],[Grille Rod Length]],Table2[#Headers],0),0)</f>
        <v>0</v>
      </c>
      <c r="AJ8" s="2">
        <f>VLOOKUP([jobnumber],OvalData[],MATCH(Table2[[#Headers],[slattype]],Table2[#Headers],0),0)</f>
        <v>2</v>
      </c>
      <c r="AK8" s="2">
        <f>VLOOKUP([jobnumber],OvalData[],MATCH(Table2[[#Headers],[slatgage]],Table2[#Headers],0),0)</f>
        <v>18</v>
      </c>
      <c r="AL8" s="2">
        <f>VLOOKUP([jobnumber],OvalData[],MATCH(Table2[[#Headers],[Numer of Top Slats]],Table2[#Headers],0),0)</f>
        <v>0</v>
      </c>
      <c r="AM8" s="2">
        <f>VLOOKUP([jobnumber],OvalData[],MATCH(Table2[[#Headers],[Number of Bottom Slats]],Table2[#Headers],0),0)</f>
        <v>0</v>
      </c>
      <c r="AN8" s="2">
        <f>VLOOKUP([jobnumber],OvalData[],MATCH(Table2[[#Headers],[Solid Bottom Height]],Table2[#Headers],0),0)</f>
        <v>0</v>
      </c>
      <c r="AO8" s="2" t="str">
        <f>VLOOKUP([jobnumber],OvalData[],MATCH(Table2[[#Headers],[slatlength]],Table2[#Headers],0),0)</f>
        <v xml:space="preserve"> 8 ft.- 5 1/ 2"</v>
      </c>
      <c r="AP8" s="2">
        <f>VLOOKUP([jobnumber],OvalData[],MATCH(Table2[[#Headers],[Bottom Slat Length]],Table2[#Headers],0),0)</f>
        <v>0</v>
      </c>
      <c r="AQ8" s="2">
        <f>VLOOKUP([jobnumber],OvalData[],MATCH(Table2[[#Headers],[Number of Perferated Slats]],Table2[#Headers],0),0)</f>
        <v>0</v>
      </c>
      <c r="AR8" s="2">
        <f>VLOOKUP([jobnumber],OvalData[],MATCH(Table2[[#Headers],[First Preferated Slat From End]],Table2[#Headers],0),0)</f>
        <v>0</v>
      </c>
      <c r="AS8" s="2">
        <f>VLOOKUP([jobnumber],OvalData[],MATCH(Table2[[#Headers],[First Preferated Slat From Bottom]],Table2[#Headers],0),0)</f>
        <v>0</v>
      </c>
      <c r="AT8" s="2">
        <f>VLOOKUP([jobnumber],OvalData[],MATCH(Table2[[#Headers],[Total Number of Slats]],Table2[#Headers],0),0)</f>
        <v>53</v>
      </c>
      <c r="AU8" s="2">
        <f>VLOOKUP([jobnumber],OvalData[],MATCH(Table2[[#Headers],[Bottom Bar Slope]],Table2[#Headers],0),0)</f>
        <v>0</v>
      </c>
      <c r="AV8" s="2">
        <f>VLOOKUP([jobnumber],OvalData[],MATCH(Table2[[#Headers],[Bottom Bar Weight]],Table2[#Headers],0),0)</f>
        <v>36.799999999999997</v>
      </c>
      <c r="AW8" s="2">
        <f>VLOOKUP([jobnumber],OvalData[],MATCH(Table2[[#Headers],[Outer Spring Gage]],Table2[#Headers],0),0)</f>
        <v>0</v>
      </c>
      <c r="AX8" s="2">
        <f>VLOOKUP([jobnumber],OvalData[],MATCH(Table2[[#Headers],[Outer Spring OD]],Table2[#Headers],0),0)</f>
        <v>0</v>
      </c>
      <c r="AY8" s="2">
        <f>VLOOKUP([jobnumber],OvalData[],MATCH(Table2[[#Headers],[Outer Spring Length]],Table2[#Headers],0),0)</f>
        <v>44.25</v>
      </c>
      <c r="AZ8" s="2">
        <f>VLOOKUP([jobnumber],OvalData[],MATCH(Table2[[#Headers],[Outer Spring Stretch]],Table2[#Headers],0),0)</f>
        <v>4.375</v>
      </c>
      <c r="BA8" s="2">
        <f>VLOOKUP([jobnumber],OvalData[],MATCH(Table2[[#Headers],[Outer Spring Torque]],Table2[#Headers],0),0)</f>
        <v>0</v>
      </c>
      <c r="BB8" s="2">
        <f>VLOOKUP([jobnumber],OvalData[],MATCH(Table2[[#Headers],[Outer Spring Max Turns]],Table2[#Headers],0),0)</f>
        <v>0</v>
      </c>
      <c r="BC8" s="2">
        <f>VLOOKUP([jobnumber],OvalData[],MATCH(Table2[[#Headers],[Outer Spring Weight]],Table2[#Headers],0),0)</f>
        <v>45</v>
      </c>
      <c r="BD8" s="2">
        <f>VLOOKUP([jobnumber],OvalData[],MATCH(Table2[[#Headers],[Inner Spring Gage]],Table2[#Headers],0),0)</f>
        <v>0</v>
      </c>
      <c r="BE8" s="2">
        <f>VLOOKUP([jobnumber],OvalData[],MATCH(Table2[[#Headers],[Inner Spring OD]],Table2[#Headers],0),0)</f>
        <v>0</v>
      </c>
      <c r="BF8" s="2">
        <f>VLOOKUP([jobnumber],OvalData[],MATCH(Table2[[#Headers],[Inner Spring Length]],Table2[#Headers],0),0)</f>
        <v>0</v>
      </c>
      <c r="BG8" s="2">
        <f>VLOOKUP([jobnumber],OvalData[],MATCH(Table2[[#Headers],[Inner Spring Stretch]],Table2[#Headers],0),0)</f>
        <v>0</v>
      </c>
      <c r="BH8" s="2">
        <f>VLOOKUP([jobnumber],OvalData[],MATCH(Table2[[#Headers],[Inner Spring Torque]],Table2[#Headers],0),0)</f>
        <v>0</v>
      </c>
      <c r="BI8" s="2">
        <f>VLOOKUP([jobnumber],OvalData[],MATCH(Table2[[#Headers],[Inner Spring Max Turns]],Table2[#Headers],0),0)</f>
        <v>0</v>
      </c>
      <c r="BJ8" s="2">
        <f>VLOOKUP([jobnumber],OvalData[],MATCH(Table2[[#Headers],[Inner Spring Weight]],Table2[#Headers],0),0)</f>
        <v>0</v>
      </c>
      <c r="BK8" s="2">
        <f>VLOOKUP([jobnumber],OvalData[],MATCH(Table2[[#Headers],[Cycles]],Table2[#Headers],0),0)</f>
        <v>0</v>
      </c>
      <c r="BL8" s="2">
        <f>VLOOKUP([jobnumber],OvalData[],MATCH(Table2[[#Headers],[Total Spring Torque]],Table2[#Headers],0),0)</f>
        <v>0</v>
      </c>
      <c r="BM8" s="2">
        <f>VLOOKUP([jobnumber],OvalData[],MATCH(Table2[[#Headers],[Total Spring Weight]],Table2[#Headers],0),0)</f>
        <v>0</v>
      </c>
      <c r="BN8" s="2">
        <f>VLOOKUP([jobnumber],OvalData[],MATCH(Table2[[#Headers],[Pipe Weight]],Table2[#Headers],0),0)</f>
        <v>174.76669999999999</v>
      </c>
      <c r="BO8" s="2">
        <f>VLOOKUP([jobnumber],OvalData[],MATCH(Table2[[#Headers],[Max Pipe Deflection]],Table2[#Headers],0),0)</f>
        <v>3397</v>
      </c>
      <c r="BP8" s="2">
        <f>VLOOKUP([jobnumber],OvalData[],MATCH(Table2[[#Headers],[Number Non-Insulated Wrap Slats]],Table2[#Headers],0),0)</f>
        <v>0</v>
      </c>
      <c r="BQ8" s="2">
        <f>VLOOKUP([jobnumber],OvalData[],MATCH(Table2[[#Headers],[Number of Insolated Top Slats]],Table2[#Headers],0),0)</f>
        <v>47</v>
      </c>
      <c r="BR8" s="2">
        <f>VLOOKUP([jobnumber],OvalData[],MATCH(Table2[[#Headers],[Insolated Total Slats]],Table2[#Headers],0),0)</f>
        <v>47</v>
      </c>
      <c r="BS8" s="2">
        <f>VLOOKUP([jobnumber],OvalData[],MATCH(Table2[[#Headers],[Number of Slats]],Table2[#Headers],0),0)</f>
        <v>46.78</v>
      </c>
      <c r="BT8" s="2">
        <f>VLOOKUP([jobnumber],OvalData[],MATCH(Table2[[#Headers],[Wrap]],Table2[#Headers],0),0)</f>
        <v>0</v>
      </c>
      <c r="BU8" s="2">
        <f>VLOOKUP([jobnumber],OvalData[],MATCH(Table2[[#Headers],[Wall Angle Thickness]],Table2[#Headers],0),0)</f>
        <v>0</v>
      </c>
      <c r="BV8" s="2">
        <f>VLOOKUP([jobnumber],OvalData[],MATCH(Table2[[#Headers],[windlocks]],Table2[#Headers],0),0)</f>
        <v>0</v>
      </c>
      <c r="BW8" s="2" t="str">
        <f>VLOOKUP([jobnumber],OvalData[],MATCH(Table2[[#Headers],[bottombartype]],Table2[#Headers],0),0)</f>
        <v>SPECIAL</v>
      </c>
      <c r="BX8" s="2">
        <f>VLOOKUP([jobnumber],OvalData[],MATCH(Table2[[#Headers],[endlockweight]],Table2[#Headers],0),0)</f>
        <v>0.17</v>
      </c>
      <c r="BY8" s="2">
        <f>VLOOKUP([jobnumber],OvalData[],MATCH(Table2[[#Headers],[Endlock Total Weight]],Table2[#Headers],0),0)</f>
        <v>7.9526000000000003</v>
      </c>
      <c r="BZ8" s="2">
        <f>VLOOKUP([jobnumber],OvalData[],MATCH(Table2[[#Headers],[Grille Weight]],Table2[#Headers],0),0)</f>
        <v>0</v>
      </c>
      <c r="CA8" s="2">
        <f>VLOOKUP([jobnumber],OvalData[],MATCH(Table2[[#Headers],[barrelrings]],Table2[#Headers],0),0)</f>
        <v>1</v>
      </c>
    </row>
    <row r="9" spans="1:79">
      <c r="A9">
        <v>231</v>
      </c>
      <c r="B9" s="2" t="str">
        <f>VLOOKUP([jobnumber],OvalData[],MATCH(Table2[[#Headers],[Hand]],Table2[#Headers],0),0)</f>
        <v>LH</v>
      </c>
      <c r="C9" s="2" t="str">
        <f>VLOOKUP([jobnumber],OvalData[],MATCH(Table2[[#Headers],[Model]],Table2[#Headers],0),0)</f>
        <v>SFMPP</v>
      </c>
      <c r="D9" s="2" t="str">
        <f>VLOOKUP([jobnumber],OvalData[],MATCH(Table2[[#Headers],[width]],Table2[#Headers],0),0)</f>
        <v xml:space="preserve"> 8 ft.- 0"</v>
      </c>
      <c r="E9" s="2" t="str">
        <f>VLOOKUP([jobnumber],OvalData[],MATCH(Table2[[#Headers],[stopheight]],Table2[#Headers],0),0)</f>
        <v xml:space="preserve"> 8 ft.- 8"</v>
      </c>
      <c r="F9" s="2" t="str">
        <f>VLOOKUP([jobnumber],OvalData[],MATCH(Table2[[#Headers],[Between Brackets]],Table2[#Headers],0),0)</f>
        <v xml:space="preserve"> 8 ft.- 5 1/ 2"</v>
      </c>
      <c r="G9" s="2" t="str">
        <f>VLOOKUP([jobnumber],OvalData[],MATCH(Table2[[#Headers],[shell]],Table2[#Headers],0),0)</f>
        <v>4 INCH TUBE</v>
      </c>
      <c r="H9" s="2" t="str">
        <f>VLOOKUP([jobnumber],OvalData[],MATCH(Table2[[#Headers],[pipewidth]],Table2[#Headers],0),0)</f>
        <v xml:space="preserve"> 7 ft.- 11"</v>
      </c>
      <c r="I9" s="2">
        <f>VLOOKUP([jobnumber],OvalData[],MATCH(Table2[[#Headers],[Support Tubes]],Table2[#Headers],0),0)</f>
        <v>0</v>
      </c>
      <c r="J9" s="2">
        <f>VLOOKUP([jobnumber],OvalData[],MATCH(Table2[[#Headers],[Upset]],Table2[#Headers],0),0)</f>
        <v>2</v>
      </c>
      <c r="K9" s="2" t="str">
        <f>VLOOKUP([jobnumber],OvalData[],MATCH(Table2[[#Headers],[Guide Type]],Table2[#Headers],0),0)</f>
        <v>SN1-4 5/8-E</v>
      </c>
      <c r="L9" s="2" t="str">
        <f>VLOOKUP([jobnumber],OvalData[],MATCH(Table2[[#Headers],[Wall Angle]],Table2[#Headers],0),0)</f>
        <v xml:space="preserve"> 10 ft.- 4"</v>
      </c>
      <c r="M9" s="2" t="str">
        <f>VLOOKUP([jobnumber],OvalData[],MATCH(Table2[[#Headers],[Middle Angle]],Table2[#Headers],0),0)</f>
        <v xml:space="preserve"> 9 ft.- 0 1/ 2"</v>
      </c>
      <c r="N9" s="2" t="str">
        <f>VLOOKUP([jobnumber],OvalData[],MATCH(Table2[[#Headers],[Front Angle]],Table2[#Headers],0),0)</f>
        <v xml:space="preserve"> 8 ft.- 11"</v>
      </c>
      <c r="O9" s="2">
        <f>VLOOKUP([jobnumber],OvalData[],MATCH(Table2[[#Headers],[Pipe Center Line]],Table2[#Headers],0),0)</f>
        <v>115</v>
      </c>
      <c r="P9" s="2">
        <f>VLOOKUP([jobnumber],OvalData[],MATCH(Table2[[#Headers],[Heat Expansion Gap]],Table2[#Headers],0),0)</f>
        <v>0</v>
      </c>
      <c r="Q9" s="2">
        <f>VLOOKUP([jobnumber],OvalData[],MATCH(Table2[[#Headers],[Hanging Weight Closed]],Table2[#Headers],0),0)</f>
        <v>320</v>
      </c>
      <c r="R9" s="2">
        <f>VLOOKUP([jobnumber],OvalData[],MATCH(Table2[[#Headers],[Hanging Weight Open]],Table2[#Headers],0),0)</f>
        <v>67</v>
      </c>
      <c r="S9" s="2">
        <f>VLOOKUP([jobnumber],OvalData[],MATCH(Table2[[#Headers],[Initial Lever Arm]],Table2[#Headers],0),0)</f>
        <v>4.25</v>
      </c>
      <c r="T9" s="2">
        <f>VLOOKUP([jobnumber],OvalData[],MATCH(Table2[[#Headers],[Turns to Raise]],Table2[#Headers],0),0)</f>
        <v>3.18</v>
      </c>
      <c r="U9" s="2">
        <f>VLOOKUP([jobnumber],OvalData[],MATCH(Table2[[#Headers],[Final Lever Arm]],Table2[#Headers],0),0)</f>
        <v>6.22</v>
      </c>
      <c r="V9" s="2">
        <f>VLOOKUP([jobnumber],OvalData[],MATCH(Table2[[#Headers],[Torque Required Closed]],Table2[#Headers],0),0)</f>
        <v>1361.02</v>
      </c>
      <c r="W9" s="2">
        <f>VLOOKUP([jobnumber],OvalData[],MATCH(Table2[[#Headers],[Torque Required Open]],Table2[#Headers],0),0)</f>
        <v>417</v>
      </c>
      <c r="X9" s="2">
        <f>VLOOKUP([jobnumber],OvalData[],MATCH(Table2[[#Headers],[Pre Turns]],Table2[#Headers],0),0)</f>
        <v>1.3332999999999999</v>
      </c>
      <c r="Y9" s="2">
        <f>VLOOKUP([jobnumber],OvalData[],MATCH(Table2[[#Headers],[Required Torque Per Turn]],Table2[#Headers],0),0)</f>
        <v>302</v>
      </c>
      <c r="Z9" s="2">
        <f>VLOOKUP([jobnumber],OvalData[],MATCH(Table2[[#Headers],[Total Turns]],Table2[#Headers],0),0)</f>
        <v>4.51</v>
      </c>
      <c r="AA9" s="2">
        <f>VLOOKUP([jobnumber],OvalData[],MATCH(Table2[[#Headers],[Grille Vision Section]],Table2[#Headers],0),0)</f>
        <v>0</v>
      </c>
      <c r="AB9" s="2">
        <f>VLOOKUP([jobnumber],OvalData[],MATCH(Table2[[#Headers],[Grille Amount]],Table2[#Headers],0),0)</f>
        <v>0</v>
      </c>
      <c r="AC9" s="2">
        <f>VLOOKUP([jobnumber],OvalData[],MATCH(Table2[[#Headers],[Grille Center]],Table2[#Headers],0),0)</f>
        <v>0</v>
      </c>
      <c r="AD9" s="2">
        <f>VLOOKUP([jobnumber],OvalData[],MATCH(Table2[[#Headers],[Grille Pattern]],Table2[#Headers],0),0)</f>
        <v>0</v>
      </c>
      <c r="AE9" s="2">
        <f>VLOOKUP([jobnumber],OvalData[],MATCH(Table2[[#Headers],[Grille First Tube]],Table2[#Headers],0),0)</f>
        <v>0</v>
      </c>
      <c r="AF9" s="2">
        <f>VLOOKUP([jobnumber],OvalData[],MATCH(Table2[[#Headers],[Grille Standard Tube]],Table2[#Headers],0),0)</f>
        <v>0</v>
      </c>
      <c r="AG9" s="2">
        <f>VLOOKUP([jobnumber],OvalData[],MATCH(Table2[[#Headers],[Grille Total Links]],Table2[#Headers],0),0)</f>
        <v>0</v>
      </c>
      <c r="AH9" s="2">
        <f>VLOOKUP([jobnumber],OvalData[],MATCH(Table2[[#Headers],[Grille Rods]],Table2[#Headers],0),0)</f>
        <v>0</v>
      </c>
      <c r="AI9" s="2">
        <f>VLOOKUP([jobnumber],OvalData[],MATCH(Table2[[#Headers],[Grille Rod Length]],Table2[#Headers],0),0)</f>
        <v>0</v>
      </c>
      <c r="AJ9" s="2">
        <f>VLOOKUP([jobnumber],OvalData[],MATCH(Table2[[#Headers],[slattype]],Table2[#Headers],0),0)</f>
        <v>2</v>
      </c>
      <c r="AK9" s="2">
        <f>VLOOKUP([jobnumber],OvalData[],MATCH(Table2[[#Headers],[slatgage]],Table2[#Headers],0),0)</f>
        <v>18</v>
      </c>
      <c r="AL9" s="2">
        <f>VLOOKUP([jobnumber],OvalData[],MATCH(Table2[[#Headers],[Numer of Top Slats]],Table2[#Headers],0),0)</f>
        <v>0</v>
      </c>
      <c r="AM9" s="2">
        <f>VLOOKUP([jobnumber],OvalData[],MATCH(Table2[[#Headers],[Number of Bottom Slats]],Table2[#Headers],0),0)</f>
        <v>0</v>
      </c>
      <c r="AN9" s="2">
        <f>VLOOKUP([jobnumber],OvalData[],MATCH(Table2[[#Headers],[Solid Bottom Height]],Table2[#Headers],0),0)</f>
        <v>0</v>
      </c>
      <c r="AO9" s="2" t="str">
        <f>VLOOKUP([jobnumber],OvalData[],MATCH(Table2[[#Headers],[slatlength]],Table2[#Headers],0),0)</f>
        <v xml:space="preserve"> 8 ft.- 3 1/ 2"</v>
      </c>
      <c r="AP9" s="2">
        <f>VLOOKUP([jobnumber],OvalData[],MATCH(Table2[[#Headers],[Bottom Slat Length]],Table2[#Headers],0),0)</f>
        <v>0</v>
      </c>
      <c r="AQ9" s="2">
        <f>VLOOKUP([jobnumber],OvalData[],MATCH(Table2[[#Headers],[Number of Perferated Slats]],Table2[#Headers],0),0)</f>
        <v>0</v>
      </c>
      <c r="AR9" s="2">
        <f>VLOOKUP([jobnumber],OvalData[],MATCH(Table2[[#Headers],[First Preferated Slat From End]],Table2[#Headers],0),0)</f>
        <v>0</v>
      </c>
      <c r="AS9" s="2">
        <f>VLOOKUP([jobnumber],OvalData[],MATCH(Table2[[#Headers],[First Preferated Slat From Bottom]],Table2[#Headers],0),0)</f>
        <v>0</v>
      </c>
      <c r="AT9" s="2">
        <f>VLOOKUP([jobnumber],OvalData[],MATCH(Table2[[#Headers],[Total Number of Slats]],Table2[#Headers],0),0)</f>
        <v>45</v>
      </c>
      <c r="AU9" s="2">
        <f>VLOOKUP([jobnumber],OvalData[],MATCH(Table2[[#Headers],[Bottom Bar Slope]],Table2[#Headers],0),0)</f>
        <v>0</v>
      </c>
      <c r="AV9" s="2">
        <f>VLOOKUP([jobnumber],OvalData[],MATCH(Table2[[#Headers],[Bottom Bar Weight]],Table2[#Headers],0),0)</f>
        <v>36.1</v>
      </c>
      <c r="AW9" s="2">
        <f>VLOOKUP([jobnumber],OvalData[],MATCH(Table2[[#Headers],[Outer Spring Gage]],Table2[#Headers],0),0)</f>
        <v>0</v>
      </c>
      <c r="AX9" s="2">
        <f>VLOOKUP([jobnumber],OvalData[],MATCH(Table2[[#Headers],[Outer Spring OD]],Table2[#Headers],0),0)</f>
        <v>0</v>
      </c>
      <c r="AY9" s="2">
        <f>VLOOKUP([jobnumber],OvalData[],MATCH(Table2[[#Headers],[Outer Spring Length]],Table2[#Headers],0),0)</f>
        <v>47.125</v>
      </c>
      <c r="AZ9" s="2">
        <f>VLOOKUP([jobnumber],OvalData[],MATCH(Table2[[#Headers],[Outer Spring Stretch]],Table2[#Headers],0),0)</f>
        <v>4</v>
      </c>
      <c r="BA9" s="2">
        <f>VLOOKUP([jobnumber],OvalData[],MATCH(Table2[[#Headers],[Outer Spring Torque]],Table2[#Headers],0),0)</f>
        <v>0</v>
      </c>
      <c r="BB9" s="2">
        <f>VLOOKUP([jobnumber],OvalData[],MATCH(Table2[[#Headers],[Outer Spring Max Turns]],Table2[#Headers],0),0)</f>
        <v>0</v>
      </c>
      <c r="BC9" s="2">
        <f>VLOOKUP([jobnumber],OvalData[],MATCH(Table2[[#Headers],[Outer Spring Weight]],Table2[#Headers],0),0)</f>
        <v>48</v>
      </c>
      <c r="BD9" s="2">
        <f>VLOOKUP([jobnumber],OvalData[],MATCH(Table2[[#Headers],[Inner Spring Gage]],Table2[#Headers],0),0)</f>
        <v>0</v>
      </c>
      <c r="BE9" s="2">
        <f>VLOOKUP([jobnumber],OvalData[],MATCH(Table2[[#Headers],[Inner Spring OD]],Table2[#Headers],0),0)</f>
        <v>0</v>
      </c>
      <c r="BF9" s="2">
        <f>VLOOKUP([jobnumber],OvalData[],MATCH(Table2[[#Headers],[Inner Spring Length]],Table2[#Headers],0),0)</f>
        <v>0</v>
      </c>
      <c r="BG9" s="2">
        <f>VLOOKUP([jobnumber],OvalData[],MATCH(Table2[[#Headers],[Inner Spring Stretch]],Table2[#Headers],0),0)</f>
        <v>0</v>
      </c>
      <c r="BH9" s="2">
        <f>VLOOKUP([jobnumber],OvalData[],MATCH(Table2[[#Headers],[Inner Spring Torque]],Table2[#Headers],0),0)</f>
        <v>0</v>
      </c>
      <c r="BI9" s="2">
        <f>VLOOKUP([jobnumber],OvalData[],MATCH(Table2[[#Headers],[Inner Spring Max Turns]],Table2[#Headers],0),0)</f>
        <v>0</v>
      </c>
      <c r="BJ9" s="2">
        <f>VLOOKUP([jobnumber],OvalData[],MATCH(Table2[[#Headers],[Inner Spring Weight]],Table2[#Headers],0),0)</f>
        <v>0</v>
      </c>
      <c r="BK9" s="2">
        <f>VLOOKUP([jobnumber],OvalData[],MATCH(Table2[[#Headers],[Cycles]],Table2[#Headers],0),0)</f>
        <v>0</v>
      </c>
      <c r="BL9" s="2">
        <f>VLOOKUP([jobnumber],OvalData[],MATCH(Table2[[#Headers],[Total Spring Torque]],Table2[#Headers],0),0)</f>
        <v>0</v>
      </c>
      <c r="BM9" s="2">
        <f>VLOOKUP([jobnumber],OvalData[],MATCH(Table2[[#Headers],[Total Spring Weight]],Table2[#Headers],0),0)</f>
        <v>0</v>
      </c>
      <c r="BN9" s="2">
        <f>VLOOKUP([jobnumber],OvalData[],MATCH(Table2[[#Headers],[Pipe Weight]],Table2[#Headers],0),0)</f>
        <v>171.2</v>
      </c>
      <c r="BO9" s="2">
        <f>VLOOKUP([jobnumber],OvalData[],MATCH(Table2[[#Headers],[Max Pipe Deflection]],Table2[#Headers],0),0)</f>
        <v>3540</v>
      </c>
      <c r="BP9" s="2">
        <f>VLOOKUP([jobnumber],OvalData[],MATCH(Table2[[#Headers],[Number Non-Insulated Wrap Slats]],Table2[#Headers],0),0)</f>
        <v>0</v>
      </c>
      <c r="BQ9" s="2">
        <f>VLOOKUP([jobnumber],OvalData[],MATCH(Table2[[#Headers],[Number of Insolated Top Slats]],Table2[#Headers],0),0)</f>
        <v>39</v>
      </c>
      <c r="BR9" s="2">
        <f>VLOOKUP([jobnumber],OvalData[],MATCH(Table2[[#Headers],[Insolated Total Slats]],Table2[#Headers],0),0)</f>
        <v>39</v>
      </c>
      <c r="BS9" s="2">
        <f>VLOOKUP([jobnumber],OvalData[],MATCH(Table2[[#Headers],[Number of Slats]],Table2[#Headers],0),0)</f>
        <v>39.130000000000003</v>
      </c>
      <c r="BT9" s="2">
        <f>VLOOKUP([jobnumber],OvalData[],MATCH(Table2[[#Headers],[Wrap]],Table2[#Headers],0),0)</f>
        <v>0</v>
      </c>
      <c r="BU9" s="2">
        <f>VLOOKUP([jobnumber],OvalData[],MATCH(Table2[[#Headers],[Wall Angle Thickness]],Table2[#Headers],0),0)</f>
        <v>0</v>
      </c>
      <c r="BV9" s="2">
        <f>VLOOKUP([jobnumber],OvalData[],MATCH(Table2[[#Headers],[windlocks]],Table2[#Headers],0),0)</f>
        <v>0</v>
      </c>
      <c r="BW9" s="2" t="str">
        <f>VLOOKUP([jobnumber],OvalData[],MATCH(Table2[[#Headers],[bottombartype]],Table2[#Headers],0),0)</f>
        <v>SPECIAL</v>
      </c>
      <c r="BX9" s="2">
        <f>VLOOKUP([jobnumber],OvalData[],MATCH(Table2[[#Headers],[endlockweight]],Table2[#Headers],0),0)</f>
        <v>0.17</v>
      </c>
      <c r="BY9" s="2">
        <f>VLOOKUP([jobnumber],OvalData[],MATCH(Table2[[#Headers],[Endlock Total Weight]],Table2[#Headers],0),0)</f>
        <v>6.6520999999999999</v>
      </c>
      <c r="BZ9" s="2">
        <f>VLOOKUP([jobnumber],OvalData[],MATCH(Table2[[#Headers],[Grille Weight]],Table2[#Headers],0),0)</f>
        <v>0</v>
      </c>
      <c r="CA9" s="2">
        <f>VLOOKUP([jobnumber],OvalData[],MATCH(Table2[[#Headers],[barrelrings]],Table2[#Headers],0),0)</f>
        <v>1</v>
      </c>
    </row>
    <row r="10" spans="1:79">
      <c r="A10">
        <v>229</v>
      </c>
      <c r="B10" s="2" t="str">
        <f>VLOOKUP([jobnumber],OvalData[],MATCH(Table2[[#Headers],[Hand]],Table2[#Headers],0),0)</f>
        <v>LH</v>
      </c>
      <c r="C10" s="2" t="str">
        <f>VLOOKUP([jobnumber],OvalData[],MATCH(Table2[[#Headers],[Model]],Table2[#Headers],0),0)</f>
        <v>SFMPP</v>
      </c>
      <c r="D10" s="2" t="str">
        <f>VLOOKUP([jobnumber],OvalData[],MATCH(Table2[[#Headers],[width]],Table2[#Headers],0),0)</f>
        <v xml:space="preserve"> 8 ft.- 3"</v>
      </c>
      <c r="E10" s="2" t="str">
        <f>VLOOKUP([jobnumber],OvalData[],MATCH(Table2[[#Headers],[stopheight]],Table2[#Headers],0),0)</f>
        <v xml:space="preserve"> 8 ft.- 0"</v>
      </c>
      <c r="F10" s="2" t="str">
        <f>VLOOKUP([jobnumber],OvalData[],MATCH(Table2[[#Headers],[Between Brackets]],Table2[#Headers],0),0)</f>
        <v xml:space="preserve"> 8 ft.- 8 1/ 2"</v>
      </c>
      <c r="G10" s="2" t="str">
        <f>VLOOKUP([jobnumber],OvalData[],MATCH(Table2[[#Headers],[shell]],Table2[#Headers],0),0)</f>
        <v>4 INCH TUBE</v>
      </c>
      <c r="H10" s="2" t="str">
        <f>VLOOKUP([jobnumber],OvalData[],MATCH(Table2[[#Headers],[pipewidth]],Table2[#Headers],0),0)</f>
        <v xml:space="preserve"> 8 ft.- 2"</v>
      </c>
      <c r="I10" s="2">
        <f>VLOOKUP([jobnumber],OvalData[],MATCH(Table2[[#Headers],[Support Tubes]],Table2[#Headers],0),0)</f>
        <v>0</v>
      </c>
      <c r="J10" s="2">
        <f>VLOOKUP([jobnumber],OvalData[],MATCH(Table2[[#Headers],[Upset]],Table2[#Headers],0),0)</f>
        <v>2</v>
      </c>
      <c r="K10" s="2" t="str">
        <f>VLOOKUP([jobnumber],OvalData[],MATCH(Table2[[#Headers],[Guide Type]],Table2[#Headers],0),0)</f>
        <v>SN1-4 5/8-E</v>
      </c>
      <c r="L10" s="2" t="str">
        <f>VLOOKUP([jobnumber],OvalData[],MATCH(Table2[[#Headers],[Wall Angle]],Table2[#Headers],0),0)</f>
        <v xml:space="preserve"> 9 ft.- 8"</v>
      </c>
      <c r="M10" s="2" t="str">
        <f>VLOOKUP([jobnumber],OvalData[],MATCH(Table2[[#Headers],[Middle Angle]],Table2[#Headers],0),0)</f>
        <v xml:space="preserve"> 8 ft.- 4 1/ 2"</v>
      </c>
      <c r="N10" s="2" t="str">
        <f>VLOOKUP([jobnumber],OvalData[],MATCH(Table2[[#Headers],[Front Angle]],Table2[#Headers],0),0)</f>
        <v xml:space="preserve"> 8 ft.- 3"</v>
      </c>
      <c r="O10" s="2">
        <f>VLOOKUP([jobnumber],OvalData[],MATCH(Table2[[#Headers],[Pipe Center Line]],Table2[#Headers],0),0)</f>
        <v>107</v>
      </c>
      <c r="P10" s="2">
        <f>VLOOKUP([jobnumber],OvalData[],MATCH(Table2[[#Headers],[Heat Expansion Gap]],Table2[#Headers],0),0)</f>
        <v>0</v>
      </c>
      <c r="Q10" s="2">
        <f>VLOOKUP([jobnumber],OvalData[],MATCH(Table2[[#Headers],[Hanging Weight Closed]],Table2[#Headers],0),0)</f>
        <v>309</v>
      </c>
      <c r="R10" s="2">
        <f>VLOOKUP([jobnumber],OvalData[],MATCH(Table2[[#Headers],[Hanging Weight Open]],Table2[#Headers],0),0)</f>
        <v>69</v>
      </c>
      <c r="S10" s="2">
        <f>VLOOKUP([jobnumber],OvalData[],MATCH(Table2[[#Headers],[Initial Lever Arm]],Table2[#Headers],0),0)</f>
        <v>4.25</v>
      </c>
      <c r="T10" s="2">
        <f>VLOOKUP([jobnumber],OvalData[],MATCH(Table2[[#Headers],[Turns to Raise]],Table2[#Headers],0),0)</f>
        <v>2.9710000000000001</v>
      </c>
      <c r="U10" s="2">
        <f>VLOOKUP([jobnumber],OvalData[],MATCH(Table2[[#Headers],[Final Lever Arm]],Table2[#Headers],0),0)</f>
        <v>6.07</v>
      </c>
      <c r="V10" s="2">
        <f>VLOOKUP([jobnumber],OvalData[],MATCH(Table2[[#Headers],[Torque Required Closed]],Table2[#Headers],0),0)</f>
        <v>1312.57</v>
      </c>
      <c r="W10" s="2">
        <f>VLOOKUP([jobnumber],OvalData[],MATCH(Table2[[#Headers],[Torque Required Open]],Table2[#Headers],0),0)</f>
        <v>418</v>
      </c>
      <c r="X10" s="2">
        <f>VLOOKUP([jobnumber],OvalData[],MATCH(Table2[[#Headers],[Pre Turns]],Table2[#Headers],0),0)</f>
        <v>1.3332999999999999</v>
      </c>
      <c r="Y10" s="2">
        <f>VLOOKUP([jobnumber],OvalData[],MATCH(Table2[[#Headers],[Required Torque Per Turn]],Table2[#Headers],0),0)</f>
        <v>305</v>
      </c>
      <c r="Z10" s="2">
        <f>VLOOKUP([jobnumber],OvalData[],MATCH(Table2[[#Headers],[Total Turns]],Table2[#Headers],0),0)</f>
        <v>4.3</v>
      </c>
      <c r="AA10" s="2">
        <f>VLOOKUP([jobnumber],OvalData[],MATCH(Table2[[#Headers],[Grille Vision Section]],Table2[#Headers],0),0)</f>
        <v>0</v>
      </c>
      <c r="AB10" s="2">
        <f>VLOOKUP([jobnumber],OvalData[],MATCH(Table2[[#Headers],[Grille Amount]],Table2[#Headers],0),0)</f>
        <v>0</v>
      </c>
      <c r="AC10" s="2">
        <f>VLOOKUP([jobnumber],OvalData[],MATCH(Table2[[#Headers],[Grille Center]],Table2[#Headers],0),0)</f>
        <v>0</v>
      </c>
      <c r="AD10" s="2">
        <f>VLOOKUP([jobnumber],OvalData[],MATCH(Table2[[#Headers],[Grille Pattern]],Table2[#Headers],0),0)</f>
        <v>0</v>
      </c>
      <c r="AE10" s="2">
        <f>VLOOKUP([jobnumber],OvalData[],MATCH(Table2[[#Headers],[Grille First Tube]],Table2[#Headers],0),0)</f>
        <v>0</v>
      </c>
      <c r="AF10" s="2">
        <f>VLOOKUP([jobnumber],OvalData[],MATCH(Table2[[#Headers],[Grille Standard Tube]],Table2[#Headers],0),0)</f>
        <v>0</v>
      </c>
      <c r="AG10" s="2">
        <f>VLOOKUP([jobnumber],OvalData[],MATCH(Table2[[#Headers],[Grille Total Links]],Table2[#Headers],0),0)</f>
        <v>0</v>
      </c>
      <c r="AH10" s="2">
        <f>VLOOKUP([jobnumber],OvalData[],MATCH(Table2[[#Headers],[Grille Rods]],Table2[#Headers],0),0)</f>
        <v>0</v>
      </c>
      <c r="AI10" s="2">
        <f>VLOOKUP([jobnumber],OvalData[],MATCH(Table2[[#Headers],[Grille Rod Length]],Table2[#Headers],0),0)</f>
        <v>0</v>
      </c>
      <c r="AJ10" s="2">
        <f>VLOOKUP([jobnumber],OvalData[],MATCH(Table2[[#Headers],[slattype]],Table2[#Headers],0),0)</f>
        <v>2</v>
      </c>
      <c r="AK10" s="2">
        <f>VLOOKUP([jobnumber],OvalData[],MATCH(Table2[[#Headers],[slatgage]],Table2[#Headers],0),0)</f>
        <v>18</v>
      </c>
      <c r="AL10" s="2">
        <f>VLOOKUP([jobnumber],OvalData[],MATCH(Table2[[#Headers],[Numer of Top Slats]],Table2[#Headers],0),0)</f>
        <v>0</v>
      </c>
      <c r="AM10" s="2">
        <f>VLOOKUP([jobnumber],OvalData[],MATCH(Table2[[#Headers],[Number of Bottom Slats]],Table2[#Headers],0),0)</f>
        <v>0</v>
      </c>
      <c r="AN10" s="2">
        <f>VLOOKUP([jobnumber],OvalData[],MATCH(Table2[[#Headers],[Solid Bottom Height]],Table2[#Headers],0),0)</f>
        <v>0</v>
      </c>
      <c r="AO10" s="2" t="str">
        <f>VLOOKUP([jobnumber],OvalData[],MATCH(Table2[[#Headers],[slatlength]],Table2[#Headers],0),0)</f>
        <v xml:space="preserve"> 8 ft.- 6 1/ 2"</v>
      </c>
      <c r="AP10" s="2">
        <f>VLOOKUP([jobnumber],OvalData[],MATCH(Table2[[#Headers],[Bottom Slat Length]],Table2[#Headers],0),0)</f>
        <v>0</v>
      </c>
      <c r="AQ10" s="2">
        <f>VLOOKUP([jobnumber],OvalData[],MATCH(Table2[[#Headers],[Number of Perferated Slats]],Table2[#Headers],0),0)</f>
        <v>0</v>
      </c>
      <c r="AR10" s="2">
        <f>VLOOKUP([jobnumber],OvalData[],MATCH(Table2[[#Headers],[First Preferated Slat From End]],Table2[#Headers],0),0)</f>
        <v>0</v>
      </c>
      <c r="AS10" s="2">
        <f>VLOOKUP([jobnumber],OvalData[],MATCH(Table2[[#Headers],[First Preferated Slat From Bottom]],Table2[#Headers],0),0)</f>
        <v>0</v>
      </c>
      <c r="AT10" s="2">
        <f>VLOOKUP([jobnumber],OvalData[],MATCH(Table2[[#Headers],[Total Number of Slats]],Table2[#Headers],0),0)</f>
        <v>42</v>
      </c>
      <c r="AU10" s="2">
        <f>VLOOKUP([jobnumber],OvalData[],MATCH(Table2[[#Headers],[Bottom Bar Slope]],Table2[#Headers],0),0)</f>
        <v>0</v>
      </c>
      <c r="AV10" s="2">
        <f>VLOOKUP([jobnumber],OvalData[],MATCH(Table2[[#Headers],[Bottom Bar Weight]],Table2[#Headers],0),0)</f>
        <v>37.200000000000003</v>
      </c>
      <c r="AW10" s="2">
        <f>VLOOKUP([jobnumber],OvalData[],MATCH(Table2[[#Headers],[Outer Spring Gage]],Table2[#Headers],0),0)</f>
        <v>0</v>
      </c>
      <c r="AX10" s="2">
        <f>VLOOKUP([jobnumber],OvalData[],MATCH(Table2[[#Headers],[Outer Spring OD]],Table2[#Headers],0),0)</f>
        <v>0</v>
      </c>
      <c r="AY10" s="2">
        <f>VLOOKUP([jobnumber],OvalData[],MATCH(Table2[[#Headers],[Outer Spring Length]],Table2[#Headers],0),0)</f>
        <v>31.875</v>
      </c>
      <c r="AZ10" s="2">
        <f>VLOOKUP([jobnumber],OvalData[],MATCH(Table2[[#Headers],[Outer Spring Stretch]],Table2[#Headers],0),0)</f>
        <v>3.5</v>
      </c>
      <c r="BA10" s="2">
        <f>VLOOKUP([jobnumber],OvalData[],MATCH(Table2[[#Headers],[Outer Spring Torque]],Table2[#Headers],0),0)</f>
        <v>0</v>
      </c>
      <c r="BB10" s="2">
        <f>VLOOKUP([jobnumber],OvalData[],MATCH(Table2[[#Headers],[Outer Spring Max Turns]],Table2[#Headers],0),0)</f>
        <v>0</v>
      </c>
      <c r="BC10" s="2">
        <f>VLOOKUP([jobnumber],OvalData[],MATCH(Table2[[#Headers],[Outer Spring Weight]],Table2[#Headers],0),0)</f>
        <v>30</v>
      </c>
      <c r="BD10" s="2">
        <f>VLOOKUP([jobnumber],OvalData[],MATCH(Table2[[#Headers],[Inner Spring Gage]],Table2[#Headers],0),0)</f>
        <v>0</v>
      </c>
      <c r="BE10" s="2">
        <f>VLOOKUP([jobnumber],OvalData[],MATCH(Table2[[#Headers],[Inner Spring OD]],Table2[#Headers],0),0)</f>
        <v>0</v>
      </c>
      <c r="BF10" s="2">
        <f>VLOOKUP([jobnumber],OvalData[],MATCH(Table2[[#Headers],[Inner Spring Length]],Table2[#Headers],0),0)</f>
        <v>0</v>
      </c>
      <c r="BG10" s="2">
        <f>VLOOKUP([jobnumber],OvalData[],MATCH(Table2[[#Headers],[Inner Spring Stretch]],Table2[#Headers],0),0)</f>
        <v>0</v>
      </c>
      <c r="BH10" s="2">
        <f>VLOOKUP([jobnumber],OvalData[],MATCH(Table2[[#Headers],[Inner Spring Torque]],Table2[#Headers],0),0)</f>
        <v>0</v>
      </c>
      <c r="BI10" s="2">
        <f>VLOOKUP([jobnumber],OvalData[],MATCH(Table2[[#Headers],[Inner Spring Max Turns]],Table2[#Headers],0),0)</f>
        <v>0</v>
      </c>
      <c r="BJ10" s="2">
        <f>VLOOKUP([jobnumber],OvalData[],MATCH(Table2[[#Headers],[Inner Spring Weight]],Table2[#Headers],0),0)</f>
        <v>0</v>
      </c>
      <c r="BK10" s="2">
        <f>VLOOKUP([jobnumber],OvalData[],MATCH(Table2[[#Headers],[Cycles]],Table2[#Headers],0),0)</f>
        <v>0</v>
      </c>
      <c r="BL10" s="2">
        <f>VLOOKUP([jobnumber],OvalData[],MATCH(Table2[[#Headers],[Total Spring Torque]],Table2[#Headers],0),0)</f>
        <v>0</v>
      </c>
      <c r="BM10" s="2">
        <f>VLOOKUP([jobnumber],OvalData[],MATCH(Table2[[#Headers],[Total Spring Weight]],Table2[#Headers],0),0)</f>
        <v>0</v>
      </c>
      <c r="BN10" s="2">
        <f>VLOOKUP([jobnumber],OvalData[],MATCH(Table2[[#Headers],[Pipe Weight]],Table2[#Headers],0),0)</f>
        <v>176.55</v>
      </c>
      <c r="BO10" s="2">
        <f>VLOOKUP([jobnumber],OvalData[],MATCH(Table2[[#Headers],[Max Pipe Deflection]],Table2[#Headers],0),0)</f>
        <v>3329</v>
      </c>
      <c r="BP10" s="2">
        <f>VLOOKUP([jobnumber],OvalData[],MATCH(Table2[[#Headers],[Number Non-Insulated Wrap Slats]],Table2[#Headers],0),0)</f>
        <v>0</v>
      </c>
      <c r="BQ10" s="2">
        <f>VLOOKUP([jobnumber],OvalData[],MATCH(Table2[[#Headers],[Number of Insolated Top Slats]],Table2[#Headers],0),0)</f>
        <v>36</v>
      </c>
      <c r="BR10" s="2">
        <f>VLOOKUP([jobnumber],OvalData[],MATCH(Table2[[#Headers],[Insolated Total Slats]],Table2[#Headers],0),0)</f>
        <v>36</v>
      </c>
      <c r="BS10" s="2">
        <f>VLOOKUP([jobnumber],OvalData[],MATCH(Table2[[#Headers],[Number of Slats]],Table2[#Headers],0),0)</f>
        <v>36.340000000000003</v>
      </c>
      <c r="BT10" s="2">
        <f>VLOOKUP([jobnumber],OvalData[],MATCH(Table2[[#Headers],[Wrap]],Table2[#Headers],0),0)</f>
        <v>0</v>
      </c>
      <c r="BU10" s="2">
        <f>VLOOKUP([jobnumber],OvalData[],MATCH(Table2[[#Headers],[Wall Angle Thickness]],Table2[#Headers],0),0)</f>
        <v>0</v>
      </c>
      <c r="BV10" s="2">
        <f>VLOOKUP([jobnumber],OvalData[],MATCH(Table2[[#Headers],[windlocks]],Table2[#Headers],0),0)</f>
        <v>0</v>
      </c>
      <c r="BW10" s="2" t="str">
        <f>VLOOKUP([jobnumber],OvalData[],MATCH(Table2[[#Headers],[bottombartype]],Table2[#Headers],0),0)</f>
        <v>SPECIAL</v>
      </c>
      <c r="BX10" s="2">
        <f>VLOOKUP([jobnumber],OvalData[],MATCH(Table2[[#Headers],[endlockweight]],Table2[#Headers],0),0)</f>
        <v>0.17</v>
      </c>
      <c r="BY10" s="2">
        <f>VLOOKUP([jobnumber],OvalData[],MATCH(Table2[[#Headers],[Endlock Total Weight]],Table2[#Headers],0),0)</f>
        <v>6.1778000000000004</v>
      </c>
      <c r="BZ10" s="2">
        <f>VLOOKUP([jobnumber],OvalData[],MATCH(Table2[[#Headers],[Grille Weight]],Table2[#Headers],0),0)</f>
        <v>0</v>
      </c>
      <c r="CA10" s="2">
        <f>VLOOKUP([jobnumber],OvalData[],MATCH(Table2[[#Headers],[barrelrings]],Table2[#Headers],0),0)</f>
        <v>1</v>
      </c>
    </row>
    <row r="11" spans="1:79">
      <c r="A11">
        <v>222</v>
      </c>
      <c r="B11" s="2" t="str">
        <f>VLOOKUP([jobnumber],OvalData[],MATCH(Table2[[#Headers],[Hand]],Table2[#Headers],0),0)</f>
        <v>RH</v>
      </c>
      <c r="C11" s="2" t="str">
        <f>VLOOKUP([jobnumber],OvalData[],MATCH(Table2[[#Headers],[Model]],Table2[#Headers],0),0)</f>
        <v>SFMPP</v>
      </c>
      <c r="D11" s="2" t="str">
        <f>VLOOKUP([jobnumber],OvalData[],MATCH(Table2[[#Headers],[width]],Table2[#Headers],0),0)</f>
        <v xml:space="preserve"> 8 ft.- 0"</v>
      </c>
      <c r="E11" s="2" t="str">
        <f>VLOOKUP([jobnumber],OvalData[],MATCH(Table2[[#Headers],[stopheight]],Table2[#Headers],0),0)</f>
        <v xml:space="preserve"> 8 ft.- 0"</v>
      </c>
      <c r="F11" s="2" t="str">
        <f>VLOOKUP([jobnumber],OvalData[],MATCH(Table2[[#Headers],[Between Brackets]],Table2[#Headers],0),0)</f>
        <v xml:space="preserve"> 8 ft.- 5 1/ 2"</v>
      </c>
      <c r="G11" s="2" t="str">
        <f>VLOOKUP([jobnumber],OvalData[],MATCH(Table2[[#Headers],[shell]],Table2[#Headers],0),0)</f>
        <v>4 INCH TUBE</v>
      </c>
      <c r="H11" s="2" t="str">
        <f>VLOOKUP([jobnumber],OvalData[],MATCH(Table2[[#Headers],[pipewidth]],Table2[#Headers],0),0)</f>
        <v xml:space="preserve"> 7 ft.- 11"</v>
      </c>
      <c r="I11" s="2">
        <f>VLOOKUP([jobnumber],OvalData[],MATCH(Table2[[#Headers],[Support Tubes]],Table2[#Headers],0),0)</f>
        <v>0</v>
      </c>
      <c r="J11" s="2">
        <f>VLOOKUP([jobnumber],OvalData[],MATCH(Table2[[#Headers],[Upset]],Table2[#Headers],0),0)</f>
        <v>2</v>
      </c>
      <c r="K11" s="2" t="str">
        <f>VLOOKUP([jobnumber],OvalData[],MATCH(Table2[[#Headers],[Guide Type]],Table2[#Headers],0),0)</f>
        <v>SN1-4 5/8-E</v>
      </c>
      <c r="L11" s="2" t="str">
        <f>VLOOKUP([jobnumber],OvalData[],MATCH(Table2[[#Headers],[Wall Angle]],Table2[#Headers],0),0)</f>
        <v xml:space="preserve"> 9 ft.- 8"</v>
      </c>
      <c r="M11" s="2" t="str">
        <f>VLOOKUP([jobnumber],OvalData[],MATCH(Table2[[#Headers],[Middle Angle]],Table2[#Headers],0),0)</f>
        <v xml:space="preserve"> 8 ft.- 4 1/ 2"</v>
      </c>
      <c r="N11" s="2" t="str">
        <f>VLOOKUP([jobnumber],OvalData[],MATCH(Table2[[#Headers],[Front Angle]],Table2[#Headers],0),0)</f>
        <v xml:space="preserve"> 8 ft.- 3"</v>
      </c>
      <c r="O11" s="2">
        <f>VLOOKUP([jobnumber],OvalData[],MATCH(Table2[[#Headers],[Pipe Center Line]],Table2[#Headers],0),0)</f>
        <v>107</v>
      </c>
      <c r="P11" s="2">
        <f>VLOOKUP([jobnumber],OvalData[],MATCH(Table2[[#Headers],[Heat Expansion Gap]],Table2[#Headers],0),0)</f>
        <v>0</v>
      </c>
      <c r="Q11" s="2">
        <f>VLOOKUP([jobnumber],OvalData[],MATCH(Table2[[#Headers],[Hanging Weight Closed]],Table2[#Headers],0),0)</f>
        <v>300</v>
      </c>
      <c r="R11" s="2">
        <f>VLOOKUP([jobnumber],OvalData[],MATCH(Table2[[#Headers],[Hanging Weight Open]],Table2[#Headers],0),0)</f>
        <v>67</v>
      </c>
      <c r="S11" s="2">
        <f>VLOOKUP([jobnumber],OvalData[],MATCH(Table2[[#Headers],[Initial Lever Arm]],Table2[#Headers],0),0)</f>
        <v>4.25</v>
      </c>
      <c r="T11" s="2">
        <f>VLOOKUP([jobnumber],OvalData[],MATCH(Table2[[#Headers],[Turns to Raise]],Table2[#Headers],0),0)</f>
        <v>2.9710000000000001</v>
      </c>
      <c r="U11" s="2">
        <f>VLOOKUP([jobnumber],OvalData[],MATCH(Table2[[#Headers],[Final Lever Arm]],Table2[#Headers],0),0)</f>
        <v>6.07</v>
      </c>
      <c r="V11" s="2">
        <f>VLOOKUP([jobnumber],OvalData[],MATCH(Table2[[#Headers],[Torque Required Closed]],Table2[#Headers],0),0)</f>
        <v>1274.9100000000001</v>
      </c>
      <c r="W11" s="2">
        <f>VLOOKUP([jobnumber],OvalData[],MATCH(Table2[[#Headers],[Torque Required Open]],Table2[#Headers],0),0)</f>
        <v>407</v>
      </c>
      <c r="X11" s="2">
        <f>VLOOKUP([jobnumber],OvalData[],MATCH(Table2[[#Headers],[Pre Turns]],Table2[#Headers],0),0)</f>
        <v>1.3332999999999999</v>
      </c>
      <c r="Y11" s="2">
        <f>VLOOKUP([jobnumber],OvalData[],MATCH(Table2[[#Headers],[Required Torque Per Turn]],Table2[#Headers],0),0)</f>
        <v>296</v>
      </c>
      <c r="Z11" s="2">
        <f>VLOOKUP([jobnumber],OvalData[],MATCH(Table2[[#Headers],[Total Turns]],Table2[#Headers],0),0)</f>
        <v>4.3</v>
      </c>
      <c r="AA11" s="2">
        <f>VLOOKUP([jobnumber],OvalData[],MATCH(Table2[[#Headers],[Grille Vision Section]],Table2[#Headers],0),0)</f>
        <v>0</v>
      </c>
      <c r="AB11" s="2">
        <f>VLOOKUP([jobnumber],OvalData[],MATCH(Table2[[#Headers],[Grille Amount]],Table2[#Headers],0),0)</f>
        <v>0</v>
      </c>
      <c r="AC11" s="2">
        <f>VLOOKUP([jobnumber],OvalData[],MATCH(Table2[[#Headers],[Grille Center]],Table2[#Headers],0),0)</f>
        <v>0</v>
      </c>
      <c r="AD11" s="2">
        <f>VLOOKUP([jobnumber],OvalData[],MATCH(Table2[[#Headers],[Grille Pattern]],Table2[#Headers],0),0)</f>
        <v>0</v>
      </c>
      <c r="AE11" s="2">
        <f>VLOOKUP([jobnumber],OvalData[],MATCH(Table2[[#Headers],[Grille First Tube]],Table2[#Headers],0),0)</f>
        <v>0</v>
      </c>
      <c r="AF11" s="2">
        <f>VLOOKUP([jobnumber],OvalData[],MATCH(Table2[[#Headers],[Grille Standard Tube]],Table2[#Headers],0),0)</f>
        <v>0</v>
      </c>
      <c r="AG11" s="2">
        <f>VLOOKUP([jobnumber],OvalData[],MATCH(Table2[[#Headers],[Grille Total Links]],Table2[#Headers],0),0)</f>
        <v>0</v>
      </c>
      <c r="AH11" s="2">
        <f>VLOOKUP([jobnumber],OvalData[],MATCH(Table2[[#Headers],[Grille Rods]],Table2[#Headers],0),0)</f>
        <v>0</v>
      </c>
      <c r="AI11" s="2">
        <f>VLOOKUP([jobnumber],OvalData[],MATCH(Table2[[#Headers],[Grille Rod Length]],Table2[#Headers],0),0)</f>
        <v>0</v>
      </c>
      <c r="AJ11" s="2">
        <f>VLOOKUP([jobnumber],OvalData[],MATCH(Table2[[#Headers],[slattype]],Table2[#Headers],0),0)</f>
        <v>2</v>
      </c>
      <c r="AK11" s="2">
        <f>VLOOKUP([jobnumber],OvalData[],MATCH(Table2[[#Headers],[slatgage]],Table2[#Headers],0),0)</f>
        <v>18</v>
      </c>
      <c r="AL11" s="2">
        <f>VLOOKUP([jobnumber],OvalData[],MATCH(Table2[[#Headers],[Numer of Top Slats]],Table2[#Headers],0),0)</f>
        <v>0</v>
      </c>
      <c r="AM11" s="2">
        <f>VLOOKUP([jobnumber],OvalData[],MATCH(Table2[[#Headers],[Number of Bottom Slats]],Table2[#Headers],0),0)</f>
        <v>0</v>
      </c>
      <c r="AN11" s="2">
        <f>VLOOKUP([jobnumber],OvalData[],MATCH(Table2[[#Headers],[Solid Bottom Height]],Table2[#Headers],0),0)</f>
        <v>0</v>
      </c>
      <c r="AO11" s="2" t="str">
        <f>VLOOKUP([jobnumber],OvalData[],MATCH(Table2[[#Headers],[slatlength]],Table2[#Headers],0),0)</f>
        <v xml:space="preserve"> 8 ft.- 3 1/ 2"</v>
      </c>
      <c r="AP11" s="2">
        <f>VLOOKUP([jobnumber],OvalData[],MATCH(Table2[[#Headers],[Bottom Slat Length]],Table2[#Headers],0),0)</f>
        <v>0</v>
      </c>
      <c r="AQ11" s="2">
        <f>VLOOKUP([jobnumber],OvalData[],MATCH(Table2[[#Headers],[Number of Perferated Slats]],Table2[#Headers],0),0)</f>
        <v>0</v>
      </c>
      <c r="AR11" s="2">
        <f>VLOOKUP([jobnumber],OvalData[],MATCH(Table2[[#Headers],[First Preferated Slat From End]],Table2[#Headers],0),0)</f>
        <v>0</v>
      </c>
      <c r="AS11" s="2">
        <f>VLOOKUP([jobnumber],OvalData[],MATCH(Table2[[#Headers],[First Preferated Slat From Bottom]],Table2[#Headers],0),0)</f>
        <v>0</v>
      </c>
      <c r="AT11" s="2">
        <f>VLOOKUP([jobnumber],OvalData[],MATCH(Table2[[#Headers],[Total Number of Slats]],Table2[#Headers],0),0)</f>
        <v>42</v>
      </c>
      <c r="AU11" s="2">
        <f>VLOOKUP([jobnumber],OvalData[],MATCH(Table2[[#Headers],[Bottom Bar Slope]],Table2[#Headers],0),0)</f>
        <v>0</v>
      </c>
      <c r="AV11" s="2">
        <f>VLOOKUP([jobnumber],OvalData[],MATCH(Table2[[#Headers],[Bottom Bar Weight]],Table2[#Headers],0),0)</f>
        <v>36.1</v>
      </c>
      <c r="AW11" s="2">
        <f>VLOOKUP([jobnumber],OvalData[],MATCH(Table2[[#Headers],[Outer Spring Gage]],Table2[#Headers],0),0)</f>
        <v>0</v>
      </c>
      <c r="AX11" s="2">
        <f>VLOOKUP([jobnumber],OvalData[],MATCH(Table2[[#Headers],[Outer Spring OD]],Table2[#Headers],0),0)</f>
        <v>0</v>
      </c>
      <c r="AY11" s="2">
        <f>VLOOKUP([jobnumber],OvalData[],MATCH(Table2[[#Headers],[Outer Spring Length]],Table2[#Headers],0),0)</f>
        <v>32.75</v>
      </c>
      <c r="AZ11" s="2">
        <f>VLOOKUP([jobnumber],OvalData[],MATCH(Table2[[#Headers],[Outer Spring Stretch]],Table2[#Headers],0),0)</f>
        <v>3.5</v>
      </c>
      <c r="BA11" s="2">
        <f>VLOOKUP([jobnumber],OvalData[],MATCH(Table2[[#Headers],[Outer Spring Torque]],Table2[#Headers],0),0)</f>
        <v>0</v>
      </c>
      <c r="BB11" s="2">
        <f>VLOOKUP([jobnumber],OvalData[],MATCH(Table2[[#Headers],[Outer Spring Max Turns]],Table2[#Headers],0),0)</f>
        <v>0</v>
      </c>
      <c r="BC11" s="2">
        <f>VLOOKUP([jobnumber],OvalData[],MATCH(Table2[[#Headers],[Outer Spring Weight]],Table2[#Headers],0),0)</f>
        <v>31</v>
      </c>
      <c r="BD11" s="2">
        <f>VLOOKUP([jobnumber],OvalData[],MATCH(Table2[[#Headers],[Inner Spring Gage]],Table2[#Headers],0),0)</f>
        <v>0</v>
      </c>
      <c r="BE11" s="2">
        <f>VLOOKUP([jobnumber],OvalData[],MATCH(Table2[[#Headers],[Inner Spring OD]],Table2[#Headers],0),0)</f>
        <v>0</v>
      </c>
      <c r="BF11" s="2">
        <f>VLOOKUP([jobnumber],OvalData[],MATCH(Table2[[#Headers],[Inner Spring Length]],Table2[#Headers],0),0)</f>
        <v>0</v>
      </c>
      <c r="BG11" s="2">
        <f>VLOOKUP([jobnumber],OvalData[],MATCH(Table2[[#Headers],[Inner Spring Stretch]],Table2[#Headers],0),0)</f>
        <v>0</v>
      </c>
      <c r="BH11" s="2">
        <f>VLOOKUP([jobnumber],OvalData[],MATCH(Table2[[#Headers],[Inner Spring Torque]],Table2[#Headers],0),0)</f>
        <v>0</v>
      </c>
      <c r="BI11" s="2">
        <f>VLOOKUP([jobnumber],OvalData[],MATCH(Table2[[#Headers],[Inner Spring Max Turns]],Table2[#Headers],0),0)</f>
        <v>0</v>
      </c>
      <c r="BJ11" s="2">
        <f>VLOOKUP([jobnumber],OvalData[],MATCH(Table2[[#Headers],[Inner Spring Weight]],Table2[#Headers],0),0)</f>
        <v>0</v>
      </c>
      <c r="BK11" s="2">
        <f>VLOOKUP([jobnumber],OvalData[],MATCH(Table2[[#Headers],[Cycles]],Table2[#Headers],0),0)</f>
        <v>0</v>
      </c>
      <c r="BL11" s="2">
        <f>VLOOKUP([jobnumber],OvalData[],MATCH(Table2[[#Headers],[Total Spring Torque]],Table2[#Headers],0),0)</f>
        <v>0</v>
      </c>
      <c r="BM11" s="2">
        <f>VLOOKUP([jobnumber],OvalData[],MATCH(Table2[[#Headers],[Total Spring Weight]],Table2[#Headers],0),0)</f>
        <v>0</v>
      </c>
      <c r="BN11" s="2">
        <f>VLOOKUP([jobnumber],OvalData[],MATCH(Table2[[#Headers],[Pipe Weight]],Table2[#Headers],0),0)</f>
        <v>171.2</v>
      </c>
      <c r="BO11" s="2">
        <f>VLOOKUP([jobnumber],OvalData[],MATCH(Table2[[#Headers],[Max Pipe Deflection]],Table2[#Headers],0),0)</f>
        <v>3540</v>
      </c>
      <c r="BP11" s="2">
        <f>VLOOKUP([jobnumber],OvalData[],MATCH(Table2[[#Headers],[Number Non-Insulated Wrap Slats]],Table2[#Headers],0),0)</f>
        <v>0</v>
      </c>
      <c r="BQ11" s="2">
        <f>VLOOKUP([jobnumber],OvalData[],MATCH(Table2[[#Headers],[Number of Insolated Top Slats]],Table2[#Headers],0),0)</f>
        <v>36</v>
      </c>
      <c r="BR11" s="2">
        <f>VLOOKUP([jobnumber],OvalData[],MATCH(Table2[[#Headers],[Insolated Total Slats]],Table2[#Headers],0),0)</f>
        <v>36</v>
      </c>
      <c r="BS11" s="2">
        <f>VLOOKUP([jobnumber],OvalData[],MATCH(Table2[[#Headers],[Number of Slats]],Table2[#Headers],0),0)</f>
        <v>36.340000000000003</v>
      </c>
      <c r="BT11" s="2">
        <f>VLOOKUP([jobnumber],OvalData[],MATCH(Table2[[#Headers],[Wrap]],Table2[#Headers],0),0)</f>
        <v>0</v>
      </c>
      <c r="BU11" s="2">
        <f>VLOOKUP([jobnumber],OvalData[],MATCH(Table2[[#Headers],[Wall Angle Thickness]],Table2[#Headers],0),0)</f>
        <v>0</v>
      </c>
      <c r="BV11" s="2">
        <f>VLOOKUP([jobnumber],OvalData[],MATCH(Table2[[#Headers],[windlocks]],Table2[#Headers],0),0)</f>
        <v>0</v>
      </c>
      <c r="BW11" s="2" t="str">
        <f>VLOOKUP([jobnumber],OvalData[],MATCH(Table2[[#Headers],[bottombartype]],Table2[#Headers],0),0)</f>
        <v>SPECIAL</v>
      </c>
      <c r="BX11" s="2">
        <f>VLOOKUP([jobnumber],OvalData[],MATCH(Table2[[#Headers],[endlockweight]],Table2[#Headers],0),0)</f>
        <v>0.17</v>
      </c>
      <c r="BY11" s="2">
        <f>VLOOKUP([jobnumber],OvalData[],MATCH(Table2[[#Headers],[Endlock Total Weight]],Table2[#Headers],0),0)</f>
        <v>6.1778000000000004</v>
      </c>
      <c r="BZ11" s="2">
        <f>VLOOKUP([jobnumber],OvalData[],MATCH(Table2[[#Headers],[Grille Weight]],Table2[#Headers],0),0)</f>
        <v>0</v>
      </c>
      <c r="CA11" s="2">
        <f>VLOOKUP([jobnumber],OvalData[],MATCH(Table2[[#Headers],[barrelrings]],Table2[#Headers],0),0)</f>
        <v>1</v>
      </c>
    </row>
    <row r="12" spans="1:79">
      <c r="A12">
        <v>211</v>
      </c>
      <c r="B12" s="2" t="str">
        <f>VLOOKUP([jobnumber],OvalData[],MATCH(Table2[[#Headers],[Hand]],Table2[#Headers],0),0)</f>
        <v>LH</v>
      </c>
      <c r="C12" s="2" t="str">
        <f>VLOOKUP([jobnumber],OvalData[],MATCH(Table2[[#Headers],[Model]],Table2[#Headers],0),0)</f>
        <v>SFMPP</v>
      </c>
      <c r="D12" s="2" t="str">
        <f>VLOOKUP([jobnumber],OvalData[],MATCH(Table2[[#Headers],[width]],Table2[#Headers],0),0)</f>
        <v xml:space="preserve"> 7 ft.- 10"</v>
      </c>
      <c r="E12" s="2" t="str">
        <f>VLOOKUP([jobnumber],OvalData[],MATCH(Table2[[#Headers],[stopheight]],Table2[#Headers],0),0)</f>
        <v xml:space="preserve"> 8 ft.- 0"</v>
      </c>
      <c r="F12" s="2" t="str">
        <f>VLOOKUP([jobnumber],OvalData[],MATCH(Table2[[#Headers],[Between Brackets]],Table2[#Headers],0),0)</f>
        <v xml:space="preserve"> 8 ft.- 3 1/ 2"</v>
      </c>
      <c r="G12" s="2" t="str">
        <f>VLOOKUP([jobnumber],OvalData[],MATCH(Table2[[#Headers],[shell]],Table2[#Headers],0),0)</f>
        <v>4 INCH TUBE</v>
      </c>
      <c r="H12" s="2" t="str">
        <f>VLOOKUP([jobnumber],OvalData[],MATCH(Table2[[#Headers],[pipewidth]],Table2[#Headers],0),0)</f>
        <v xml:space="preserve"> 7 ft.- 9"</v>
      </c>
      <c r="I12" s="2">
        <f>VLOOKUP([jobnumber],OvalData[],MATCH(Table2[[#Headers],[Support Tubes]],Table2[#Headers],0),0)</f>
        <v>0</v>
      </c>
      <c r="J12" s="2">
        <f>VLOOKUP([jobnumber],OvalData[],MATCH(Table2[[#Headers],[Upset]],Table2[#Headers],0),0)</f>
        <v>2</v>
      </c>
      <c r="K12" s="2" t="str">
        <f>VLOOKUP([jobnumber],OvalData[],MATCH(Table2[[#Headers],[Guide Type]],Table2[#Headers],0),0)</f>
        <v>SN1-4 5/8-E</v>
      </c>
      <c r="L12" s="2" t="str">
        <f>VLOOKUP([jobnumber],OvalData[],MATCH(Table2[[#Headers],[Wall Angle]],Table2[#Headers],0),0)</f>
        <v xml:space="preserve"> 9 ft.- 8"</v>
      </c>
      <c r="M12" s="2" t="str">
        <f>VLOOKUP([jobnumber],OvalData[],MATCH(Table2[[#Headers],[Middle Angle]],Table2[#Headers],0),0)</f>
        <v xml:space="preserve"> 8 ft.- 4 1/ 2"</v>
      </c>
      <c r="N12" s="2" t="str">
        <f>VLOOKUP([jobnumber],OvalData[],MATCH(Table2[[#Headers],[Front Angle]],Table2[#Headers],0),0)</f>
        <v xml:space="preserve"> 8 ft.- 3"</v>
      </c>
      <c r="O12" s="2">
        <f>VLOOKUP([jobnumber],OvalData[],MATCH(Table2[[#Headers],[Pipe Center Line]],Table2[#Headers],0),0)</f>
        <v>107</v>
      </c>
      <c r="P12" s="2">
        <f>VLOOKUP([jobnumber],OvalData[],MATCH(Table2[[#Headers],[Heat Expansion Gap]],Table2[#Headers],0),0)</f>
        <v>0</v>
      </c>
      <c r="Q12" s="2">
        <f>VLOOKUP([jobnumber],OvalData[],MATCH(Table2[[#Headers],[Hanging Weight Closed]],Table2[#Headers],0),0)</f>
        <v>294</v>
      </c>
      <c r="R12" s="2">
        <f>VLOOKUP([jobnumber],OvalData[],MATCH(Table2[[#Headers],[Hanging Weight Open]],Table2[#Headers],0),0)</f>
        <v>66</v>
      </c>
      <c r="S12" s="2">
        <f>VLOOKUP([jobnumber],OvalData[],MATCH(Table2[[#Headers],[Initial Lever Arm]],Table2[#Headers],0),0)</f>
        <v>4.25</v>
      </c>
      <c r="T12" s="2">
        <f>VLOOKUP([jobnumber],OvalData[],MATCH(Table2[[#Headers],[Turns to Raise]],Table2[#Headers],0),0)</f>
        <v>2.9710000000000001</v>
      </c>
      <c r="U12" s="2">
        <f>VLOOKUP([jobnumber],OvalData[],MATCH(Table2[[#Headers],[Final Lever Arm]],Table2[#Headers],0),0)</f>
        <v>6.07</v>
      </c>
      <c r="V12" s="2">
        <f>VLOOKUP([jobnumber],OvalData[],MATCH(Table2[[#Headers],[Torque Required Closed]],Table2[#Headers],0),0)</f>
        <v>1249.8399999999999</v>
      </c>
      <c r="W12" s="2">
        <f>VLOOKUP([jobnumber],OvalData[],MATCH(Table2[[#Headers],[Torque Required Open]],Table2[#Headers],0),0)</f>
        <v>400</v>
      </c>
      <c r="X12" s="2">
        <f>VLOOKUP([jobnumber],OvalData[],MATCH(Table2[[#Headers],[Pre Turns]],Table2[#Headers],0),0)</f>
        <v>1.3332999999999999</v>
      </c>
      <c r="Y12" s="2">
        <f>VLOOKUP([jobnumber],OvalData[],MATCH(Table2[[#Headers],[Required Torque Per Turn]],Table2[#Headers],0),0)</f>
        <v>291</v>
      </c>
      <c r="Z12" s="2">
        <f>VLOOKUP([jobnumber],OvalData[],MATCH(Table2[[#Headers],[Total Turns]],Table2[#Headers],0),0)</f>
        <v>4.3</v>
      </c>
      <c r="AA12" s="2">
        <f>VLOOKUP([jobnumber],OvalData[],MATCH(Table2[[#Headers],[Grille Vision Section]],Table2[#Headers],0),0)</f>
        <v>0</v>
      </c>
      <c r="AB12" s="2">
        <f>VLOOKUP([jobnumber],OvalData[],MATCH(Table2[[#Headers],[Grille Amount]],Table2[#Headers],0),0)</f>
        <v>0</v>
      </c>
      <c r="AC12" s="2">
        <f>VLOOKUP([jobnumber],OvalData[],MATCH(Table2[[#Headers],[Grille Center]],Table2[#Headers],0),0)</f>
        <v>0</v>
      </c>
      <c r="AD12" s="2">
        <f>VLOOKUP([jobnumber],OvalData[],MATCH(Table2[[#Headers],[Grille Pattern]],Table2[#Headers],0),0)</f>
        <v>0</v>
      </c>
      <c r="AE12" s="2">
        <f>VLOOKUP([jobnumber],OvalData[],MATCH(Table2[[#Headers],[Grille First Tube]],Table2[#Headers],0),0)</f>
        <v>0</v>
      </c>
      <c r="AF12" s="2">
        <f>VLOOKUP([jobnumber],OvalData[],MATCH(Table2[[#Headers],[Grille Standard Tube]],Table2[#Headers],0),0)</f>
        <v>0</v>
      </c>
      <c r="AG12" s="2">
        <f>VLOOKUP([jobnumber],OvalData[],MATCH(Table2[[#Headers],[Grille Total Links]],Table2[#Headers],0),0)</f>
        <v>0</v>
      </c>
      <c r="AH12" s="2">
        <f>VLOOKUP([jobnumber],OvalData[],MATCH(Table2[[#Headers],[Grille Rods]],Table2[#Headers],0),0)</f>
        <v>0</v>
      </c>
      <c r="AI12" s="2">
        <f>VLOOKUP([jobnumber],OvalData[],MATCH(Table2[[#Headers],[Grille Rod Length]],Table2[#Headers],0),0)</f>
        <v>0</v>
      </c>
      <c r="AJ12" s="2">
        <f>VLOOKUP([jobnumber],OvalData[],MATCH(Table2[[#Headers],[slattype]],Table2[#Headers],0),0)</f>
        <v>2</v>
      </c>
      <c r="AK12" s="2">
        <f>VLOOKUP([jobnumber],OvalData[],MATCH(Table2[[#Headers],[slatgage]],Table2[#Headers],0),0)</f>
        <v>18</v>
      </c>
      <c r="AL12" s="2">
        <f>VLOOKUP([jobnumber],OvalData[],MATCH(Table2[[#Headers],[Numer of Top Slats]],Table2[#Headers],0),0)</f>
        <v>0</v>
      </c>
      <c r="AM12" s="2">
        <f>VLOOKUP([jobnumber],OvalData[],MATCH(Table2[[#Headers],[Number of Bottom Slats]],Table2[#Headers],0),0)</f>
        <v>0</v>
      </c>
      <c r="AN12" s="2">
        <f>VLOOKUP([jobnumber],OvalData[],MATCH(Table2[[#Headers],[Solid Bottom Height]],Table2[#Headers],0),0)</f>
        <v>0</v>
      </c>
      <c r="AO12" s="2" t="str">
        <f>VLOOKUP([jobnumber],OvalData[],MATCH(Table2[[#Headers],[slatlength]],Table2[#Headers],0),0)</f>
        <v xml:space="preserve"> 8 ft.- 1 1/ 2"</v>
      </c>
      <c r="AP12" s="2">
        <f>VLOOKUP([jobnumber],OvalData[],MATCH(Table2[[#Headers],[Bottom Slat Length]],Table2[#Headers],0),0)</f>
        <v>0</v>
      </c>
      <c r="AQ12" s="2">
        <f>VLOOKUP([jobnumber],OvalData[],MATCH(Table2[[#Headers],[Number of Perferated Slats]],Table2[#Headers],0),0)</f>
        <v>0</v>
      </c>
      <c r="AR12" s="2">
        <f>VLOOKUP([jobnumber],OvalData[],MATCH(Table2[[#Headers],[First Preferated Slat From End]],Table2[#Headers],0),0)</f>
        <v>0</v>
      </c>
      <c r="AS12" s="2">
        <f>VLOOKUP([jobnumber],OvalData[],MATCH(Table2[[#Headers],[First Preferated Slat From Bottom]],Table2[#Headers],0),0)</f>
        <v>0</v>
      </c>
      <c r="AT12" s="2">
        <f>VLOOKUP([jobnumber],OvalData[],MATCH(Table2[[#Headers],[Total Number of Slats]],Table2[#Headers],0),0)</f>
        <v>42</v>
      </c>
      <c r="AU12" s="2">
        <f>VLOOKUP([jobnumber],OvalData[],MATCH(Table2[[#Headers],[Bottom Bar Slope]],Table2[#Headers],0),0)</f>
        <v>0</v>
      </c>
      <c r="AV12" s="2">
        <f>VLOOKUP([jobnumber],OvalData[],MATCH(Table2[[#Headers],[Bottom Bar Weight]],Table2[#Headers],0),0)</f>
        <v>35.299999999999997</v>
      </c>
      <c r="AW12" s="2">
        <f>VLOOKUP([jobnumber],OvalData[],MATCH(Table2[[#Headers],[Outer Spring Gage]],Table2[#Headers],0),0)</f>
        <v>0</v>
      </c>
      <c r="AX12" s="2">
        <f>VLOOKUP([jobnumber],OvalData[],MATCH(Table2[[#Headers],[Outer Spring OD]],Table2[#Headers],0),0)</f>
        <v>0</v>
      </c>
      <c r="AY12" s="2">
        <f>VLOOKUP([jobnumber],OvalData[],MATCH(Table2[[#Headers],[Outer Spring Length]],Table2[#Headers],0),0)</f>
        <v>33.5</v>
      </c>
      <c r="AZ12" s="2">
        <f>VLOOKUP([jobnumber],OvalData[],MATCH(Table2[[#Headers],[Outer Spring Stretch]],Table2[#Headers],0),0)</f>
        <v>3.5</v>
      </c>
      <c r="BA12" s="2">
        <f>VLOOKUP([jobnumber],OvalData[],MATCH(Table2[[#Headers],[Outer Spring Torque]],Table2[#Headers],0),0)</f>
        <v>0</v>
      </c>
      <c r="BB12" s="2">
        <f>VLOOKUP([jobnumber],OvalData[],MATCH(Table2[[#Headers],[Outer Spring Max Turns]],Table2[#Headers],0),0)</f>
        <v>0</v>
      </c>
      <c r="BC12" s="2">
        <f>VLOOKUP([jobnumber],OvalData[],MATCH(Table2[[#Headers],[Outer Spring Weight]],Table2[#Headers],0),0)</f>
        <v>32</v>
      </c>
      <c r="BD12" s="2">
        <f>VLOOKUP([jobnumber],OvalData[],MATCH(Table2[[#Headers],[Inner Spring Gage]],Table2[#Headers],0),0)</f>
        <v>0</v>
      </c>
      <c r="BE12" s="2">
        <f>VLOOKUP([jobnumber],OvalData[],MATCH(Table2[[#Headers],[Inner Spring OD]],Table2[#Headers],0),0)</f>
        <v>0</v>
      </c>
      <c r="BF12" s="2">
        <f>VLOOKUP([jobnumber],OvalData[],MATCH(Table2[[#Headers],[Inner Spring Length]],Table2[#Headers],0),0)</f>
        <v>0</v>
      </c>
      <c r="BG12" s="2">
        <f>VLOOKUP([jobnumber],OvalData[],MATCH(Table2[[#Headers],[Inner Spring Stretch]],Table2[#Headers],0),0)</f>
        <v>0</v>
      </c>
      <c r="BH12" s="2">
        <f>VLOOKUP([jobnumber],OvalData[],MATCH(Table2[[#Headers],[Inner Spring Torque]],Table2[#Headers],0),0)</f>
        <v>0</v>
      </c>
      <c r="BI12" s="2">
        <f>VLOOKUP([jobnumber],OvalData[],MATCH(Table2[[#Headers],[Inner Spring Max Turns]],Table2[#Headers],0),0)</f>
        <v>0</v>
      </c>
      <c r="BJ12" s="2">
        <f>VLOOKUP([jobnumber],OvalData[],MATCH(Table2[[#Headers],[Inner Spring Weight]],Table2[#Headers],0),0)</f>
        <v>0</v>
      </c>
      <c r="BK12" s="2">
        <f>VLOOKUP([jobnumber],OvalData[],MATCH(Table2[[#Headers],[Cycles]],Table2[#Headers],0),0)</f>
        <v>0</v>
      </c>
      <c r="BL12" s="2">
        <f>VLOOKUP([jobnumber],OvalData[],MATCH(Table2[[#Headers],[Total Spring Torque]],Table2[#Headers],0),0)</f>
        <v>0</v>
      </c>
      <c r="BM12" s="2">
        <f>VLOOKUP([jobnumber],OvalData[],MATCH(Table2[[#Headers],[Total Spring Weight]],Table2[#Headers],0),0)</f>
        <v>0</v>
      </c>
      <c r="BN12" s="2">
        <f>VLOOKUP([jobnumber],OvalData[],MATCH(Table2[[#Headers],[Pipe Weight]],Table2[#Headers],0),0)</f>
        <v>167.63339999999999</v>
      </c>
      <c r="BO12" s="2">
        <f>VLOOKUP([jobnumber],OvalData[],MATCH(Table2[[#Headers],[Max Pipe Deflection]],Table2[#Headers],0),0)</f>
        <v>3693</v>
      </c>
      <c r="BP12" s="2">
        <f>VLOOKUP([jobnumber],OvalData[],MATCH(Table2[[#Headers],[Number Non-Insulated Wrap Slats]],Table2[#Headers],0),0)</f>
        <v>0</v>
      </c>
      <c r="BQ12" s="2">
        <f>VLOOKUP([jobnumber],OvalData[],MATCH(Table2[[#Headers],[Number of Insolated Top Slats]],Table2[#Headers],0),0)</f>
        <v>36</v>
      </c>
      <c r="BR12" s="2">
        <f>VLOOKUP([jobnumber],OvalData[],MATCH(Table2[[#Headers],[Insolated Total Slats]],Table2[#Headers],0),0)</f>
        <v>36</v>
      </c>
      <c r="BS12" s="2">
        <f>VLOOKUP([jobnumber],OvalData[],MATCH(Table2[[#Headers],[Number of Slats]],Table2[#Headers],0),0)</f>
        <v>36.340000000000003</v>
      </c>
      <c r="BT12" s="2">
        <f>VLOOKUP([jobnumber],OvalData[],MATCH(Table2[[#Headers],[Wrap]],Table2[#Headers],0),0)</f>
        <v>0</v>
      </c>
      <c r="BU12" s="2">
        <f>VLOOKUP([jobnumber],OvalData[],MATCH(Table2[[#Headers],[Wall Angle Thickness]],Table2[#Headers],0),0)</f>
        <v>0</v>
      </c>
      <c r="BV12" s="2">
        <f>VLOOKUP([jobnumber],OvalData[],MATCH(Table2[[#Headers],[windlocks]],Table2[#Headers],0),0)</f>
        <v>0</v>
      </c>
      <c r="BW12" s="2" t="str">
        <f>VLOOKUP([jobnumber],OvalData[],MATCH(Table2[[#Headers],[bottombartype]],Table2[#Headers],0),0)</f>
        <v>SPECIAL</v>
      </c>
      <c r="BX12" s="2">
        <f>VLOOKUP([jobnumber],OvalData[],MATCH(Table2[[#Headers],[endlockweight]],Table2[#Headers],0),0)</f>
        <v>0.17</v>
      </c>
      <c r="BY12" s="2">
        <f>VLOOKUP([jobnumber],OvalData[],MATCH(Table2[[#Headers],[Endlock Total Weight]],Table2[#Headers],0),0)</f>
        <v>6.1778000000000004</v>
      </c>
      <c r="BZ12" s="2">
        <f>VLOOKUP([jobnumber],OvalData[],MATCH(Table2[[#Headers],[Grille Weight]],Table2[#Headers],0),0)</f>
        <v>0</v>
      </c>
      <c r="CA12" s="2">
        <f>VLOOKUP([jobnumber],OvalData[],MATCH(Table2[[#Headers],[barrelrings]],Table2[#Headers],0),0)</f>
        <v>1</v>
      </c>
    </row>
    <row r="13" spans="1:79">
      <c r="A13">
        <v>242</v>
      </c>
      <c r="B13" s="2" t="str">
        <f>VLOOKUP([jobnumber],OvalData[],MATCH(Table2[[#Headers],[Hand]],Table2[#Headers],0),0)</f>
        <v>RH</v>
      </c>
      <c r="C13" s="2" t="str">
        <f>VLOOKUP([jobnumber],OvalData[],MATCH(Table2[[#Headers],[Model]],Table2[#Headers],0),0)</f>
        <v>SFMPP</v>
      </c>
      <c r="D13" s="2" t="str">
        <f>VLOOKUP([jobnumber],OvalData[],MATCH(Table2[[#Headers],[width]],Table2[#Headers],0),0)</f>
        <v xml:space="preserve"> 14 ft.- 9"</v>
      </c>
      <c r="E13" s="2" t="str">
        <f>VLOOKUP([jobnumber],OvalData[],MATCH(Table2[[#Headers],[stopheight]],Table2[#Headers],0),0)</f>
        <v xml:space="preserve"> 9 ft.- 5"</v>
      </c>
      <c r="F13" s="2" t="str">
        <f>VLOOKUP([jobnumber],OvalData[],MATCH(Table2[[#Headers],[Between Brackets]],Table2[#Headers],0),0)</f>
        <v xml:space="preserve"> 15 ft.- 2 7/ 8"</v>
      </c>
      <c r="G13" s="2" t="str">
        <f>VLOOKUP([jobnumber],OvalData[],MATCH(Table2[[#Headers],[shell]],Table2[#Headers],0),0)</f>
        <v>4 INCH TUBE</v>
      </c>
      <c r="H13" s="2" t="str">
        <f>VLOOKUP([jobnumber],OvalData[],MATCH(Table2[[#Headers],[pipewidth]],Table2[#Headers],0),0)</f>
        <v xml:space="preserve"> 14 ft.- 8 3/ 8"</v>
      </c>
      <c r="I13" s="2">
        <f>VLOOKUP([jobnumber],OvalData[],MATCH(Table2[[#Headers],[Support Tubes]],Table2[#Headers],0),0)</f>
        <v>0</v>
      </c>
      <c r="J13" s="2">
        <f>VLOOKUP([jobnumber],OvalData[],MATCH(Table2[[#Headers],[Upset]],Table2[#Headers],0),0)</f>
        <v>2</v>
      </c>
      <c r="K13" s="2" t="str">
        <f>VLOOKUP([jobnumber],OvalData[],MATCH(Table2[[#Headers],[Guide Type]],Table2[#Headers],0),0)</f>
        <v>SN2-4 5/8-E</v>
      </c>
      <c r="L13" s="2" t="str">
        <f>VLOOKUP([jobnumber],OvalData[],MATCH(Table2[[#Headers],[Wall Angle]],Table2[#Headers],0),0)</f>
        <v xml:space="preserve"> 11 ft.- 1"</v>
      </c>
      <c r="M13" s="2" t="str">
        <f>VLOOKUP([jobnumber],OvalData[],MATCH(Table2[[#Headers],[Middle Angle]],Table2[#Headers],0),0)</f>
        <v xml:space="preserve"> 9 ft.- 9 1/ 2"</v>
      </c>
      <c r="N13" s="2" t="str">
        <f>VLOOKUP([jobnumber],OvalData[],MATCH(Table2[[#Headers],[Front Angle]],Table2[#Headers],0),0)</f>
        <v xml:space="preserve"> 9 ft.- 8"</v>
      </c>
      <c r="O13" s="2">
        <f>VLOOKUP([jobnumber],OvalData[],MATCH(Table2[[#Headers],[Pipe Center Line]],Table2[#Headers],0),0)</f>
        <v>124</v>
      </c>
      <c r="P13" s="2">
        <f>VLOOKUP([jobnumber],OvalData[],MATCH(Table2[[#Headers],[Heat Expansion Gap]],Table2[#Headers],0),0)</f>
        <v>0</v>
      </c>
      <c r="Q13" s="2">
        <f>VLOOKUP([jobnumber],OvalData[],MATCH(Table2[[#Headers],[Hanging Weight Closed]],Table2[#Headers],0),0)</f>
        <v>618</v>
      </c>
      <c r="R13" s="2">
        <f>VLOOKUP([jobnumber],OvalData[],MATCH(Table2[[#Headers],[Hanging Weight Open]],Table2[#Headers],0),0)</f>
        <v>114</v>
      </c>
      <c r="S13" s="2">
        <f>VLOOKUP([jobnumber],OvalData[],MATCH(Table2[[#Headers],[Initial Lever Arm]],Table2[#Headers],0),0)</f>
        <v>4.25</v>
      </c>
      <c r="T13" s="2">
        <f>VLOOKUP([jobnumber],OvalData[],MATCH(Table2[[#Headers],[Turns to Raise]],Table2[#Headers],0),0)</f>
        <v>3.41</v>
      </c>
      <c r="U13" s="2">
        <f>VLOOKUP([jobnumber],OvalData[],MATCH(Table2[[#Headers],[Final Lever Arm]],Table2[#Headers],0),0)</f>
        <v>6.22</v>
      </c>
      <c r="V13" s="2">
        <f>VLOOKUP([jobnumber],OvalData[],MATCH(Table2[[#Headers],[Torque Required Closed]],Table2[#Headers],0),0)</f>
        <v>2624.75</v>
      </c>
      <c r="W13" s="2">
        <f>VLOOKUP([jobnumber],OvalData[],MATCH(Table2[[#Headers],[Torque Required Open]],Table2[#Headers],0),0)</f>
        <v>710</v>
      </c>
      <c r="X13" s="2">
        <f>VLOOKUP([jobnumber],OvalData[],MATCH(Table2[[#Headers],[Pre Turns]],Table2[#Headers],0),0)</f>
        <v>1.3332999999999999</v>
      </c>
      <c r="Y13" s="2">
        <f>VLOOKUP([jobnumber],OvalData[],MATCH(Table2[[#Headers],[Required Torque Per Turn]],Table2[#Headers],0),0)</f>
        <v>554</v>
      </c>
      <c r="Z13" s="2">
        <f>VLOOKUP([jobnumber],OvalData[],MATCH(Table2[[#Headers],[Total Turns]],Table2[#Headers],0),0)</f>
        <v>4.74</v>
      </c>
      <c r="AA13" s="2">
        <f>VLOOKUP([jobnumber],OvalData[],MATCH(Table2[[#Headers],[Grille Vision Section]],Table2[#Headers],0),0)</f>
        <v>0</v>
      </c>
      <c r="AB13" s="2">
        <f>VLOOKUP([jobnumber],OvalData[],MATCH(Table2[[#Headers],[Grille Amount]],Table2[#Headers],0),0)</f>
        <v>0</v>
      </c>
      <c r="AC13" s="2">
        <f>VLOOKUP([jobnumber],OvalData[],MATCH(Table2[[#Headers],[Grille Center]],Table2[#Headers],0),0)</f>
        <v>0</v>
      </c>
      <c r="AD13" s="2">
        <f>VLOOKUP([jobnumber],OvalData[],MATCH(Table2[[#Headers],[Grille Pattern]],Table2[#Headers],0),0)</f>
        <v>0</v>
      </c>
      <c r="AE13" s="2">
        <f>VLOOKUP([jobnumber],OvalData[],MATCH(Table2[[#Headers],[Grille First Tube]],Table2[#Headers],0),0)</f>
        <v>0</v>
      </c>
      <c r="AF13" s="2">
        <f>VLOOKUP([jobnumber],OvalData[],MATCH(Table2[[#Headers],[Grille Standard Tube]],Table2[#Headers],0),0)</f>
        <v>0</v>
      </c>
      <c r="AG13" s="2">
        <f>VLOOKUP([jobnumber],OvalData[],MATCH(Table2[[#Headers],[Grille Total Links]],Table2[#Headers],0),0)</f>
        <v>0</v>
      </c>
      <c r="AH13" s="2">
        <f>VLOOKUP([jobnumber],OvalData[],MATCH(Table2[[#Headers],[Grille Rods]],Table2[#Headers],0),0)</f>
        <v>0</v>
      </c>
      <c r="AI13" s="2">
        <f>VLOOKUP([jobnumber],OvalData[],MATCH(Table2[[#Headers],[Grille Rod Length]],Table2[#Headers],0),0)</f>
        <v>0</v>
      </c>
      <c r="AJ13" s="2">
        <f>VLOOKUP([jobnumber],OvalData[],MATCH(Table2[[#Headers],[slattype]],Table2[#Headers],0),0)</f>
        <v>2</v>
      </c>
      <c r="AK13" s="2">
        <f>VLOOKUP([jobnumber],OvalData[],MATCH(Table2[[#Headers],[slatgage]],Table2[#Headers],0),0)</f>
        <v>18</v>
      </c>
      <c r="AL13" s="2">
        <f>VLOOKUP([jobnumber],OvalData[],MATCH(Table2[[#Headers],[Numer of Top Slats]],Table2[#Headers],0),0)</f>
        <v>0</v>
      </c>
      <c r="AM13" s="2">
        <f>VLOOKUP([jobnumber],OvalData[],MATCH(Table2[[#Headers],[Number of Bottom Slats]],Table2[#Headers],0),0)</f>
        <v>0</v>
      </c>
      <c r="AN13" s="2">
        <f>VLOOKUP([jobnumber],OvalData[],MATCH(Table2[[#Headers],[Solid Bottom Height]],Table2[#Headers],0),0)</f>
        <v>0</v>
      </c>
      <c r="AO13" s="2" t="str">
        <f>VLOOKUP([jobnumber],OvalData[],MATCH(Table2[[#Headers],[slatlength]],Table2[#Headers],0),0)</f>
        <v xml:space="preserve"> 15 ft.- 0 7/ 8"</v>
      </c>
      <c r="AP13" s="2">
        <f>VLOOKUP([jobnumber],OvalData[],MATCH(Table2[[#Headers],[Bottom Slat Length]],Table2[#Headers],0),0)</f>
        <v>0</v>
      </c>
      <c r="AQ13" s="2">
        <f>VLOOKUP([jobnumber],OvalData[],MATCH(Table2[[#Headers],[Number of Perferated Slats]],Table2[#Headers],0),0)</f>
        <v>0</v>
      </c>
      <c r="AR13" s="2">
        <f>VLOOKUP([jobnumber],OvalData[],MATCH(Table2[[#Headers],[First Preferated Slat From End]],Table2[#Headers],0),0)</f>
        <v>0</v>
      </c>
      <c r="AS13" s="2">
        <f>VLOOKUP([jobnumber],OvalData[],MATCH(Table2[[#Headers],[First Preferated Slat From Bottom]],Table2[#Headers],0),0)</f>
        <v>0</v>
      </c>
      <c r="AT13" s="2">
        <f>VLOOKUP([jobnumber],OvalData[],MATCH(Table2[[#Headers],[Total Number of Slats]],Table2[#Headers],0),0)</f>
        <v>48</v>
      </c>
      <c r="AU13" s="2">
        <f>VLOOKUP([jobnumber],OvalData[],MATCH(Table2[[#Headers],[Bottom Bar Slope]],Table2[#Headers],0),0)</f>
        <v>0</v>
      </c>
      <c r="AV13" s="2">
        <f>VLOOKUP([jobnumber],OvalData[],MATCH(Table2[[#Headers],[Bottom Bar Weight]],Table2[#Headers],0),0)</f>
        <v>65.599999999999994</v>
      </c>
      <c r="AW13" s="2">
        <f>VLOOKUP([jobnumber],OvalData[],MATCH(Table2[[#Headers],[Outer Spring Gage]],Table2[#Headers],0),0)</f>
        <v>0.40625</v>
      </c>
      <c r="AX13" s="2">
        <f>VLOOKUP([jobnumber],OvalData[],MATCH(Table2[[#Headers],[Outer Spring OD]],Table2[#Headers],0),0)</f>
        <v>3.75</v>
      </c>
      <c r="AY13" s="2">
        <f>VLOOKUP([jobnumber],OvalData[],MATCH(Table2[[#Headers],[Outer Spring Length]],Table2[#Headers],0),0)</f>
        <v>35.125</v>
      </c>
      <c r="AZ13" s="2">
        <f>VLOOKUP([jobnumber],OvalData[],MATCH(Table2[[#Headers],[Outer Spring Stretch]],Table2[#Headers],0),0)</f>
        <v>3.875</v>
      </c>
      <c r="BA13" s="2">
        <f>VLOOKUP([jobnumber],OvalData[],MATCH(Table2[[#Headers],[Outer Spring Torque]],Table2[#Headers],0),0)</f>
        <v>276.87</v>
      </c>
      <c r="BB13" s="2">
        <f>VLOOKUP([jobnumber],OvalData[],MATCH(Table2[[#Headers],[Outer Spring Max Turns]],Table2[#Headers],0),0)</f>
        <v>4.78</v>
      </c>
      <c r="BC13" s="2">
        <f>VLOOKUP([jobnumber],OvalData[],MATCH(Table2[[#Headers],[Outer Spring Weight]],Table2[#Headers],0),0)</f>
        <v>33</v>
      </c>
      <c r="BD13" s="2">
        <f>VLOOKUP([jobnumber],OvalData[],MATCH(Table2[[#Headers],[Inner Spring Gage]],Table2[#Headers],0),0)</f>
        <v>0.40625</v>
      </c>
      <c r="BE13" s="2">
        <f>VLOOKUP([jobnumber],OvalData[],MATCH(Table2[[#Headers],[Inner Spring OD]],Table2[#Headers],0),0)</f>
        <v>3.75</v>
      </c>
      <c r="BF13" s="2">
        <f>VLOOKUP([jobnumber],OvalData[],MATCH(Table2[[#Headers],[Inner Spring Length]],Table2[#Headers],0),0)</f>
        <v>35.125</v>
      </c>
      <c r="BG13" s="2">
        <f>VLOOKUP([jobnumber],OvalData[],MATCH(Table2[[#Headers],[Inner Spring Stretch]],Table2[#Headers],0),0)</f>
        <v>3.875</v>
      </c>
      <c r="BH13" s="2">
        <f>VLOOKUP([jobnumber],OvalData[],MATCH(Table2[[#Headers],[Inner Spring Torque]],Table2[#Headers],0),0)</f>
        <v>276.87</v>
      </c>
      <c r="BI13" s="2">
        <f>VLOOKUP([jobnumber],OvalData[],MATCH(Table2[[#Headers],[Inner Spring Max Turns]],Table2[#Headers],0),0)</f>
        <v>4.78</v>
      </c>
      <c r="BJ13" s="2">
        <f>VLOOKUP([jobnumber],OvalData[],MATCH(Table2[[#Headers],[Inner Spring Weight]],Table2[#Headers],0),0)</f>
        <v>33</v>
      </c>
      <c r="BK13" s="2">
        <f>VLOOKUP([jobnumber],OvalData[],MATCH(Table2[[#Headers],[Cycles]],Table2[#Headers],0),0)</f>
        <v>0</v>
      </c>
      <c r="BL13" s="2">
        <f>VLOOKUP([jobnumber],OvalData[],MATCH(Table2[[#Headers],[Total Spring Torque]],Table2[#Headers],0),0)</f>
        <v>553.74</v>
      </c>
      <c r="BM13" s="2">
        <f>VLOOKUP([jobnumber],OvalData[],MATCH(Table2[[#Headers],[Total Spring Weight]],Table2[#Headers],0),0)</f>
        <v>66</v>
      </c>
      <c r="BN13" s="2">
        <f>VLOOKUP([jobnumber],OvalData[],MATCH(Table2[[#Headers],[Pipe Weight]],Table2[#Headers],0),0)</f>
        <v>315.65010000000001</v>
      </c>
      <c r="BO13" s="2">
        <f>VLOOKUP([jobnumber],OvalData[],MATCH(Table2[[#Headers],[Max Pipe Deflection]],Table2[#Headers],0),0)</f>
        <v>1041</v>
      </c>
      <c r="BP13" s="2">
        <f>VLOOKUP([jobnumber],OvalData[],MATCH(Table2[[#Headers],[Number Non-Insulated Wrap Slats]],Table2[#Headers],0),0)</f>
        <v>0</v>
      </c>
      <c r="BQ13" s="2">
        <f>VLOOKUP([jobnumber],OvalData[],MATCH(Table2[[#Headers],[Number of Insolated Top Slats]],Table2[#Headers],0),0)</f>
        <v>42</v>
      </c>
      <c r="BR13" s="2">
        <f>VLOOKUP([jobnumber],OvalData[],MATCH(Table2[[#Headers],[Insolated Total Slats]],Table2[#Headers],0),0)</f>
        <v>42</v>
      </c>
      <c r="BS13" s="2">
        <f>VLOOKUP([jobnumber],OvalData[],MATCH(Table2[[#Headers],[Number of Slats]],Table2[#Headers],0),0)</f>
        <v>42.26</v>
      </c>
      <c r="BT13" s="2">
        <f>VLOOKUP([jobnumber],OvalData[],MATCH(Table2[[#Headers],[Wrap]],Table2[#Headers],0),0)</f>
        <v>0</v>
      </c>
      <c r="BU13" s="2">
        <f>VLOOKUP([jobnumber],OvalData[],MATCH(Table2[[#Headers],[Wall Angle Thickness]],Table2[#Headers],0),0)</f>
        <v>0</v>
      </c>
      <c r="BV13" s="2">
        <f>VLOOKUP([jobnumber],OvalData[],MATCH(Table2[[#Headers],[windlocks]],Table2[#Headers],0),0)</f>
        <v>0</v>
      </c>
      <c r="BW13" s="2" t="str">
        <f>VLOOKUP([jobnumber],OvalData[],MATCH(Table2[[#Headers],[bottombartype]],Table2[#Headers],0),0)</f>
        <v>SPECIAL</v>
      </c>
      <c r="BX13" s="2">
        <f>VLOOKUP([jobnumber],OvalData[],MATCH(Table2[[#Headers],[endlockweight]],Table2[#Headers],0),0)</f>
        <v>0.17</v>
      </c>
      <c r="BY13" s="2">
        <f>VLOOKUP([jobnumber],OvalData[],MATCH(Table2[[#Headers],[Endlock Total Weight]],Table2[#Headers],0),0)</f>
        <v>7.1841999999999997</v>
      </c>
      <c r="BZ13" s="2">
        <f>VLOOKUP([jobnumber],OvalData[],MATCH(Table2[[#Headers],[Grille Weight]],Table2[#Headers],0),0)</f>
        <v>0</v>
      </c>
      <c r="CA13" s="2">
        <f>VLOOKUP([jobnumber],OvalData[],MATCH(Table2[[#Headers],[barrelrings]],Table2[#Headers],0),0)</f>
        <v>1</v>
      </c>
    </row>
    <row r="14" spans="1:79">
      <c r="A14">
        <v>183</v>
      </c>
      <c r="B14" s="2" t="str">
        <f>VLOOKUP([jobnumber],OvalData[],MATCH(Table2[[#Headers],[Hand]],Table2[#Headers],0),0)</f>
        <v>RH</v>
      </c>
      <c r="C14" s="2" t="str">
        <f>VLOOKUP([jobnumber],OvalData[],MATCH(Table2[[#Headers],[Model]],Table2[#Headers],0),0)</f>
        <v>SFMPP</v>
      </c>
      <c r="D14" s="2" t="str">
        <f>VLOOKUP([jobnumber],OvalData[],MATCH(Table2[[#Headers],[width]],Table2[#Headers],0),0)</f>
        <v xml:space="preserve"> 7 ft.- 8"</v>
      </c>
      <c r="E14" s="2" t="str">
        <f>VLOOKUP([jobnumber],OvalData[],MATCH(Table2[[#Headers],[stopheight]],Table2[#Headers],0),0)</f>
        <v xml:space="preserve"> 8 ft.- 0"</v>
      </c>
      <c r="F14" s="2" t="str">
        <f>VLOOKUP([jobnumber],OvalData[],MATCH(Table2[[#Headers],[Between Brackets]],Table2[#Headers],0),0)</f>
        <v xml:space="preserve"> 8 ft.- 1 1/ 2"</v>
      </c>
      <c r="G14" s="2" t="str">
        <f>VLOOKUP([jobnumber],OvalData[],MATCH(Table2[[#Headers],[shell]],Table2[#Headers],0),0)</f>
        <v>4 INCH TUBE</v>
      </c>
      <c r="H14" s="2" t="str">
        <f>VLOOKUP([jobnumber],OvalData[],MATCH(Table2[[#Headers],[pipewidth]],Table2[#Headers],0),0)</f>
        <v xml:space="preserve"> 7 ft.- 7"</v>
      </c>
      <c r="I14" s="2">
        <f>VLOOKUP([jobnumber],OvalData[],MATCH(Table2[[#Headers],[Support Tubes]],Table2[#Headers],0),0)</f>
        <v>0</v>
      </c>
      <c r="J14" s="2">
        <f>VLOOKUP([jobnumber],OvalData[],MATCH(Table2[[#Headers],[Upset]],Table2[#Headers],0),0)</f>
        <v>2</v>
      </c>
      <c r="K14" s="2" t="str">
        <f>VLOOKUP([jobnumber],OvalData[],MATCH(Table2[[#Headers],[Guide Type]],Table2[#Headers],0),0)</f>
        <v>SN1-4 5/8-E</v>
      </c>
      <c r="L14" s="2" t="str">
        <f>VLOOKUP([jobnumber],OvalData[],MATCH(Table2[[#Headers],[Wall Angle]],Table2[#Headers],0),0)</f>
        <v xml:space="preserve"> 9 ft.- 8"</v>
      </c>
      <c r="M14" s="2" t="str">
        <f>VLOOKUP([jobnumber],OvalData[],MATCH(Table2[[#Headers],[Middle Angle]],Table2[#Headers],0),0)</f>
        <v xml:space="preserve"> 8 ft.- 4 1/ 2"</v>
      </c>
      <c r="N14" s="2" t="str">
        <f>VLOOKUP([jobnumber],OvalData[],MATCH(Table2[[#Headers],[Front Angle]],Table2[#Headers],0),0)</f>
        <v xml:space="preserve"> 8 ft.- 3"</v>
      </c>
      <c r="O14" s="2">
        <f>VLOOKUP([jobnumber],OvalData[],MATCH(Table2[[#Headers],[Pipe Center Line]],Table2[#Headers],0),0)</f>
        <v>107</v>
      </c>
      <c r="P14" s="2">
        <f>VLOOKUP([jobnumber],OvalData[],MATCH(Table2[[#Headers],[Heat Expansion Gap]],Table2[#Headers],0),0)</f>
        <v>0</v>
      </c>
      <c r="Q14" s="2">
        <f>VLOOKUP([jobnumber],OvalData[],MATCH(Table2[[#Headers],[Hanging Weight Closed]],Table2[#Headers],0),0)</f>
        <v>288</v>
      </c>
      <c r="R14" s="2">
        <f>VLOOKUP([jobnumber],OvalData[],MATCH(Table2[[#Headers],[Hanging Weight Open]],Table2[#Headers],0),0)</f>
        <v>65</v>
      </c>
      <c r="S14" s="2">
        <f>VLOOKUP([jobnumber],OvalData[],MATCH(Table2[[#Headers],[Initial Lever Arm]],Table2[#Headers],0),0)</f>
        <v>4.25</v>
      </c>
      <c r="T14" s="2">
        <f>VLOOKUP([jobnumber],OvalData[],MATCH(Table2[[#Headers],[Turns to Raise]],Table2[#Headers],0),0)</f>
        <v>2.9710000000000001</v>
      </c>
      <c r="U14" s="2">
        <f>VLOOKUP([jobnumber],OvalData[],MATCH(Table2[[#Headers],[Final Lever Arm]],Table2[#Headers],0),0)</f>
        <v>6.07</v>
      </c>
      <c r="V14" s="2">
        <f>VLOOKUP([jobnumber],OvalData[],MATCH(Table2[[#Headers],[Torque Required Closed]],Table2[#Headers],0),0)</f>
        <v>1224.72</v>
      </c>
      <c r="W14" s="2">
        <f>VLOOKUP([jobnumber],OvalData[],MATCH(Table2[[#Headers],[Torque Required Open]],Table2[#Headers],0),0)</f>
        <v>393</v>
      </c>
      <c r="X14" s="2">
        <f>VLOOKUP([jobnumber],OvalData[],MATCH(Table2[[#Headers],[Pre Turns]],Table2[#Headers],0),0)</f>
        <v>1.3332999999999999</v>
      </c>
      <c r="Y14" s="2">
        <f>VLOOKUP([jobnumber],OvalData[],MATCH(Table2[[#Headers],[Required Torque Per Turn]],Table2[#Headers],0),0)</f>
        <v>285</v>
      </c>
      <c r="Z14" s="2">
        <f>VLOOKUP([jobnumber],OvalData[],MATCH(Table2[[#Headers],[Total Turns]],Table2[#Headers],0),0)</f>
        <v>4.3</v>
      </c>
      <c r="AA14" s="2">
        <f>VLOOKUP([jobnumber],OvalData[],MATCH(Table2[[#Headers],[Grille Vision Section]],Table2[#Headers],0),0)</f>
        <v>0</v>
      </c>
      <c r="AB14" s="2">
        <f>VLOOKUP([jobnumber],OvalData[],MATCH(Table2[[#Headers],[Grille Amount]],Table2[#Headers],0),0)</f>
        <v>0</v>
      </c>
      <c r="AC14" s="2">
        <f>VLOOKUP([jobnumber],OvalData[],MATCH(Table2[[#Headers],[Grille Center]],Table2[#Headers],0),0)</f>
        <v>0</v>
      </c>
      <c r="AD14" s="2">
        <f>VLOOKUP([jobnumber],OvalData[],MATCH(Table2[[#Headers],[Grille Pattern]],Table2[#Headers],0),0)</f>
        <v>0</v>
      </c>
      <c r="AE14" s="2">
        <f>VLOOKUP([jobnumber],OvalData[],MATCH(Table2[[#Headers],[Grille First Tube]],Table2[#Headers],0),0)</f>
        <v>0</v>
      </c>
      <c r="AF14" s="2">
        <f>VLOOKUP([jobnumber],OvalData[],MATCH(Table2[[#Headers],[Grille Standard Tube]],Table2[#Headers],0),0)</f>
        <v>0</v>
      </c>
      <c r="AG14" s="2">
        <f>VLOOKUP([jobnumber],OvalData[],MATCH(Table2[[#Headers],[Grille Total Links]],Table2[#Headers],0),0)</f>
        <v>0</v>
      </c>
      <c r="AH14" s="2">
        <f>VLOOKUP([jobnumber],OvalData[],MATCH(Table2[[#Headers],[Grille Rods]],Table2[#Headers],0),0)</f>
        <v>0</v>
      </c>
      <c r="AI14" s="2">
        <f>VLOOKUP([jobnumber],OvalData[],MATCH(Table2[[#Headers],[Grille Rod Length]],Table2[#Headers],0),0)</f>
        <v>0</v>
      </c>
      <c r="AJ14" s="2">
        <f>VLOOKUP([jobnumber],OvalData[],MATCH(Table2[[#Headers],[slattype]],Table2[#Headers],0),0)</f>
        <v>2</v>
      </c>
      <c r="AK14" s="2">
        <f>VLOOKUP([jobnumber],OvalData[],MATCH(Table2[[#Headers],[slatgage]],Table2[#Headers],0),0)</f>
        <v>18</v>
      </c>
      <c r="AL14" s="2">
        <f>VLOOKUP([jobnumber],OvalData[],MATCH(Table2[[#Headers],[Numer of Top Slats]],Table2[#Headers],0),0)</f>
        <v>0</v>
      </c>
      <c r="AM14" s="2">
        <f>VLOOKUP([jobnumber],OvalData[],MATCH(Table2[[#Headers],[Number of Bottom Slats]],Table2[#Headers],0),0)</f>
        <v>0</v>
      </c>
      <c r="AN14" s="2">
        <f>VLOOKUP([jobnumber],OvalData[],MATCH(Table2[[#Headers],[Solid Bottom Height]],Table2[#Headers],0),0)</f>
        <v>0</v>
      </c>
      <c r="AO14" s="2" t="str">
        <f>VLOOKUP([jobnumber],OvalData[],MATCH(Table2[[#Headers],[slatlength]],Table2[#Headers],0),0)</f>
        <v xml:space="preserve"> 7 ft.- 11 1/ 2"</v>
      </c>
      <c r="AP14" s="2">
        <f>VLOOKUP([jobnumber],OvalData[],MATCH(Table2[[#Headers],[Bottom Slat Length]],Table2[#Headers],0),0)</f>
        <v>0</v>
      </c>
      <c r="AQ14" s="2">
        <f>VLOOKUP([jobnumber],OvalData[],MATCH(Table2[[#Headers],[Number of Perferated Slats]],Table2[#Headers],0),0)</f>
        <v>0</v>
      </c>
      <c r="AR14" s="2">
        <f>VLOOKUP([jobnumber],OvalData[],MATCH(Table2[[#Headers],[First Preferated Slat From End]],Table2[#Headers],0),0)</f>
        <v>0</v>
      </c>
      <c r="AS14" s="2">
        <f>VLOOKUP([jobnumber],OvalData[],MATCH(Table2[[#Headers],[First Preferated Slat From Bottom]],Table2[#Headers],0),0)</f>
        <v>0</v>
      </c>
      <c r="AT14" s="2">
        <f>VLOOKUP([jobnumber],OvalData[],MATCH(Table2[[#Headers],[Total Number of Slats]],Table2[#Headers],0),0)</f>
        <v>42</v>
      </c>
      <c r="AU14" s="2">
        <f>VLOOKUP([jobnumber],OvalData[],MATCH(Table2[[#Headers],[Bottom Bar Slope]],Table2[#Headers],0),0)</f>
        <v>0</v>
      </c>
      <c r="AV14" s="2">
        <f>VLOOKUP([jobnumber],OvalData[],MATCH(Table2[[#Headers],[Bottom Bar Weight]],Table2[#Headers],0),0)</f>
        <v>34.6</v>
      </c>
      <c r="AW14" s="2">
        <f>VLOOKUP([jobnumber],OvalData[],MATCH(Table2[[#Headers],[Outer Spring Gage]],Table2[#Headers],0),0)</f>
        <v>0</v>
      </c>
      <c r="AX14" s="2">
        <f>VLOOKUP([jobnumber],OvalData[],MATCH(Table2[[#Headers],[Outer Spring OD]],Table2[#Headers],0),0)</f>
        <v>0</v>
      </c>
      <c r="AY14" s="2">
        <f>VLOOKUP([jobnumber],OvalData[],MATCH(Table2[[#Headers],[Outer Spring Length]],Table2[#Headers],0),0)</f>
        <v>34.125</v>
      </c>
      <c r="AZ14" s="2">
        <f>VLOOKUP([jobnumber],OvalData[],MATCH(Table2[[#Headers],[Outer Spring Stretch]],Table2[#Headers],0),0)</f>
        <v>3.5</v>
      </c>
      <c r="BA14" s="2">
        <f>VLOOKUP([jobnumber],OvalData[],MATCH(Table2[[#Headers],[Outer Spring Torque]],Table2[#Headers],0),0)</f>
        <v>0</v>
      </c>
      <c r="BB14" s="2">
        <f>VLOOKUP([jobnumber],OvalData[],MATCH(Table2[[#Headers],[Outer Spring Max Turns]],Table2[#Headers],0),0)</f>
        <v>0</v>
      </c>
      <c r="BC14" s="2">
        <f>VLOOKUP([jobnumber],OvalData[],MATCH(Table2[[#Headers],[Outer Spring Weight]],Table2[#Headers],0),0)</f>
        <v>32</v>
      </c>
      <c r="BD14" s="2">
        <f>VLOOKUP([jobnumber],OvalData[],MATCH(Table2[[#Headers],[Inner Spring Gage]],Table2[#Headers],0),0)</f>
        <v>0</v>
      </c>
      <c r="BE14" s="2">
        <f>VLOOKUP([jobnumber],OvalData[],MATCH(Table2[[#Headers],[Inner Spring OD]],Table2[#Headers],0),0)</f>
        <v>0</v>
      </c>
      <c r="BF14" s="2">
        <f>VLOOKUP([jobnumber],OvalData[],MATCH(Table2[[#Headers],[Inner Spring Length]],Table2[#Headers],0),0)</f>
        <v>0</v>
      </c>
      <c r="BG14" s="2">
        <f>VLOOKUP([jobnumber],OvalData[],MATCH(Table2[[#Headers],[Inner Spring Stretch]],Table2[#Headers],0),0)</f>
        <v>0</v>
      </c>
      <c r="BH14" s="2">
        <f>VLOOKUP([jobnumber],OvalData[],MATCH(Table2[[#Headers],[Inner Spring Torque]],Table2[#Headers],0),0)</f>
        <v>0</v>
      </c>
      <c r="BI14" s="2">
        <f>VLOOKUP([jobnumber],OvalData[],MATCH(Table2[[#Headers],[Inner Spring Max Turns]],Table2[#Headers],0),0)</f>
        <v>0</v>
      </c>
      <c r="BJ14" s="2">
        <f>VLOOKUP([jobnumber],OvalData[],MATCH(Table2[[#Headers],[Inner Spring Weight]],Table2[#Headers],0),0)</f>
        <v>0</v>
      </c>
      <c r="BK14" s="2">
        <f>VLOOKUP([jobnumber],OvalData[],MATCH(Table2[[#Headers],[Cycles]],Table2[#Headers],0),0)</f>
        <v>0</v>
      </c>
      <c r="BL14" s="2">
        <f>VLOOKUP([jobnumber],OvalData[],MATCH(Table2[[#Headers],[Total Spring Torque]],Table2[#Headers],0),0)</f>
        <v>0</v>
      </c>
      <c r="BM14" s="2">
        <f>VLOOKUP([jobnumber],OvalData[],MATCH(Table2[[#Headers],[Total Spring Weight]],Table2[#Headers],0),0)</f>
        <v>0</v>
      </c>
      <c r="BN14" s="2">
        <f>VLOOKUP([jobnumber],OvalData[],MATCH(Table2[[#Headers],[Pipe Weight]],Table2[#Headers],0),0)</f>
        <v>164.0667</v>
      </c>
      <c r="BO14" s="2">
        <f>VLOOKUP([jobnumber],OvalData[],MATCH(Table2[[#Headers],[Max Pipe Deflection]],Table2[#Headers],0),0)</f>
        <v>3855</v>
      </c>
      <c r="BP14" s="2">
        <f>VLOOKUP([jobnumber],OvalData[],MATCH(Table2[[#Headers],[Number Non-Insulated Wrap Slats]],Table2[#Headers],0),0)</f>
        <v>0</v>
      </c>
      <c r="BQ14" s="2">
        <f>VLOOKUP([jobnumber],OvalData[],MATCH(Table2[[#Headers],[Number of Insolated Top Slats]],Table2[#Headers],0),0)</f>
        <v>36</v>
      </c>
      <c r="BR14" s="2">
        <f>VLOOKUP([jobnumber],OvalData[],MATCH(Table2[[#Headers],[Insolated Total Slats]],Table2[#Headers],0),0)</f>
        <v>36</v>
      </c>
      <c r="BS14" s="2">
        <f>VLOOKUP([jobnumber],OvalData[],MATCH(Table2[[#Headers],[Number of Slats]],Table2[#Headers],0),0)</f>
        <v>36.340000000000003</v>
      </c>
      <c r="BT14" s="2">
        <f>VLOOKUP([jobnumber],OvalData[],MATCH(Table2[[#Headers],[Wrap]],Table2[#Headers],0),0)</f>
        <v>0</v>
      </c>
      <c r="BU14" s="2">
        <f>VLOOKUP([jobnumber],OvalData[],MATCH(Table2[[#Headers],[Wall Angle Thickness]],Table2[#Headers],0),0)</f>
        <v>0</v>
      </c>
      <c r="BV14" s="2">
        <f>VLOOKUP([jobnumber],OvalData[],MATCH(Table2[[#Headers],[windlocks]],Table2[#Headers],0),0)</f>
        <v>0</v>
      </c>
      <c r="BW14" s="2" t="str">
        <f>VLOOKUP([jobnumber],OvalData[],MATCH(Table2[[#Headers],[bottombartype]],Table2[#Headers],0),0)</f>
        <v>SPECIAL</v>
      </c>
      <c r="BX14" s="2">
        <f>VLOOKUP([jobnumber],OvalData[],MATCH(Table2[[#Headers],[endlockweight]],Table2[#Headers],0),0)</f>
        <v>0.17</v>
      </c>
      <c r="BY14" s="2">
        <f>VLOOKUP([jobnumber],OvalData[],MATCH(Table2[[#Headers],[Endlock Total Weight]],Table2[#Headers],0),0)</f>
        <v>6.1778000000000004</v>
      </c>
      <c r="BZ14" s="2">
        <f>VLOOKUP([jobnumber],OvalData[],MATCH(Table2[[#Headers],[Grille Weight]],Table2[#Headers],0),0)</f>
        <v>0</v>
      </c>
      <c r="CA14" s="2">
        <f>VLOOKUP([jobnumber],OvalData[],MATCH(Table2[[#Headers],[barrelrings]],Table2[#Headers],0),0)</f>
        <v>1</v>
      </c>
    </row>
    <row r="15" spans="1:79">
      <c r="B15" s="2" t="str">
        <f>VLOOKUP([jobnumber],OvalData[],MATCH(Table2[[#Headers],[Hand]],Table2[#Headers],0),0)</f>
        <v>RH</v>
      </c>
      <c r="C15" s="2" t="str">
        <f>VLOOKUP([jobnumber],OvalData[],MATCH(Table2[[#Headers],[Model]],Table2[#Headers],0),0)</f>
        <v>SFMPP</v>
      </c>
      <c r="D15" s="2" t="str">
        <f>VLOOKUP([jobnumber],OvalData[],MATCH(Table2[[#Headers],[width]],Table2[#Headers],0),0)</f>
        <v xml:space="preserve"> 18 ft.- 2"</v>
      </c>
      <c r="E15" s="2" t="str">
        <f>VLOOKUP([jobnumber],OvalData[],MATCH(Table2[[#Headers],[stopheight]],Table2[#Headers],0),0)</f>
        <v xml:space="preserve"> 10 ft.- 0"</v>
      </c>
      <c r="F15" s="2" t="str">
        <f>VLOOKUP([jobnumber],OvalData[],MATCH(Table2[[#Headers],[Between Brackets]],Table2[#Headers],0),0)</f>
        <v xml:space="preserve"> 18 ft.- 7 7/ 8"</v>
      </c>
      <c r="G15" s="2" t="str">
        <f>VLOOKUP([jobnumber],OvalData[],MATCH(Table2[[#Headers],[shell]],Table2[#Headers],0),0)</f>
        <v>6 INCH TUBE</v>
      </c>
      <c r="H15" s="2" t="str">
        <f>VLOOKUP([jobnumber],OvalData[],MATCH(Table2[[#Headers],[pipewidth]],Table2[#Headers],0),0)</f>
        <v xml:space="preserve"> 18 ft.- 1 3/ 8"</v>
      </c>
      <c r="I15" s="2">
        <f>VLOOKUP([jobnumber],OvalData[],MATCH(Table2[[#Headers],[Support Tubes]],Table2[#Headers],0),0)</f>
        <v>0</v>
      </c>
      <c r="J15" s="2">
        <f>VLOOKUP([jobnumber],OvalData[],MATCH(Table2[[#Headers],[Upset]],Table2[#Headers],0),0)</f>
        <v>2</v>
      </c>
      <c r="K15" s="2" t="str">
        <f>VLOOKUP([jobnumber],OvalData[],MATCH(Table2[[#Headers],[Guide Type]],Table2[#Headers],0),0)</f>
        <v>SN2-4 5/8-E</v>
      </c>
      <c r="L15" s="2" t="str">
        <f>VLOOKUP([jobnumber],OvalData[],MATCH(Table2[[#Headers],[Wall Angle]],Table2[#Headers],0),0)</f>
        <v xml:space="preserve"> 11 ft.- 8"</v>
      </c>
      <c r="M15" s="2" t="str">
        <f>VLOOKUP([jobnumber],OvalData[],MATCH(Table2[[#Headers],[Middle Angle]],Table2[#Headers],0),0)</f>
        <v xml:space="preserve"> 10 ft.- 4 1/ 2"</v>
      </c>
      <c r="N15" s="2" t="str">
        <f>VLOOKUP([jobnumber],OvalData[],MATCH(Table2[[#Headers],[Front Angle]],Table2[#Headers],0),0)</f>
        <v xml:space="preserve"> 10 ft.- 3"</v>
      </c>
      <c r="O15" s="2">
        <f>VLOOKUP([jobnumber],OvalData[],MATCH(Table2[[#Headers],[Pipe Center Line]],Table2[#Headers],0),0)</f>
        <v>131</v>
      </c>
      <c r="P15" s="2">
        <f>VLOOKUP([jobnumber],OvalData[],MATCH(Table2[[#Headers],[Heat Expansion Gap]],Table2[#Headers],0),0)</f>
        <v>0</v>
      </c>
      <c r="Q15" s="2">
        <f>VLOOKUP([jobnumber],OvalData[],MATCH(Table2[[#Headers],[Hanging Weight Closed]],Table2[#Headers],0),0)</f>
        <v>795</v>
      </c>
      <c r="R15" s="2">
        <f>VLOOKUP([jobnumber],OvalData[],MATCH(Table2[[#Headers],[Hanging Weight Open]],Table2[#Headers],0),0)</f>
        <v>140</v>
      </c>
      <c r="S15" s="2">
        <f>VLOOKUP([jobnumber],OvalData[],MATCH(Table2[[#Headers],[Initial Lever Arm]],Table2[#Headers],0),0)</f>
        <v>4.25</v>
      </c>
      <c r="T15" s="2">
        <f>VLOOKUP([jobnumber],OvalData[],MATCH(Table2[[#Headers],[Turns to Raise]],Table2[#Headers],0),0)</f>
        <v>3.5859999999999999</v>
      </c>
      <c r="U15" s="2">
        <f>VLOOKUP([jobnumber],OvalData[],MATCH(Table2[[#Headers],[Final Lever Arm]],Table2[#Headers],0),0)</f>
        <v>6.37</v>
      </c>
      <c r="V15" s="2">
        <f>VLOOKUP([jobnumber],OvalData[],MATCH(Table2[[#Headers],[Torque Required Closed]],Table2[#Headers],0),0)</f>
        <v>3377.9</v>
      </c>
      <c r="W15" s="2">
        <f>VLOOKUP([jobnumber],OvalData[],MATCH(Table2[[#Headers],[Torque Required Open]],Table2[#Headers],0),0)</f>
        <v>892</v>
      </c>
      <c r="X15" s="2">
        <f>VLOOKUP([jobnumber],OvalData[],MATCH(Table2[[#Headers],[Pre Turns]],Table2[#Headers],0),0)</f>
        <v>1.3332999999999999</v>
      </c>
      <c r="Y15" s="2">
        <f>VLOOKUP([jobnumber],OvalData[],MATCH(Table2[[#Headers],[Required Torque Per Turn]],Table2[#Headers],0),0)</f>
        <v>688</v>
      </c>
      <c r="Z15" s="2">
        <f>VLOOKUP([jobnumber],OvalData[],MATCH(Table2[[#Headers],[Total Turns]],Table2[#Headers],0),0)</f>
        <v>4.91</v>
      </c>
      <c r="AA15" s="2">
        <f>VLOOKUP([jobnumber],OvalData[],MATCH(Table2[[#Headers],[Grille Vision Section]],Table2[#Headers],0),0)</f>
        <v>0</v>
      </c>
      <c r="AB15" s="2">
        <f>VLOOKUP([jobnumber],OvalData[],MATCH(Table2[[#Headers],[Grille Amount]],Table2[#Headers],0),0)</f>
        <v>0</v>
      </c>
      <c r="AC15" s="2">
        <f>VLOOKUP([jobnumber],OvalData[],MATCH(Table2[[#Headers],[Grille Center]],Table2[#Headers],0),0)</f>
        <v>0</v>
      </c>
      <c r="AD15" s="2">
        <f>VLOOKUP([jobnumber],OvalData[],MATCH(Table2[[#Headers],[Grille Pattern]],Table2[#Headers],0),0)</f>
        <v>0</v>
      </c>
      <c r="AE15" s="2">
        <f>VLOOKUP([jobnumber],OvalData[],MATCH(Table2[[#Headers],[Grille First Tube]],Table2[#Headers],0),0)</f>
        <v>0</v>
      </c>
      <c r="AF15" s="2">
        <f>VLOOKUP([jobnumber],OvalData[],MATCH(Table2[[#Headers],[Grille Standard Tube]],Table2[#Headers],0),0)</f>
        <v>0</v>
      </c>
      <c r="AG15" s="2">
        <f>VLOOKUP([jobnumber],OvalData[],MATCH(Table2[[#Headers],[Grille Total Links]],Table2[#Headers],0),0)</f>
        <v>0</v>
      </c>
      <c r="AH15" s="2">
        <f>VLOOKUP([jobnumber],OvalData[],MATCH(Table2[[#Headers],[Grille Rods]],Table2[#Headers],0),0)</f>
        <v>0</v>
      </c>
      <c r="AI15" s="2">
        <f>VLOOKUP([jobnumber],OvalData[],MATCH(Table2[[#Headers],[Grille Rod Length]],Table2[#Headers],0),0)</f>
        <v>0</v>
      </c>
      <c r="AJ15" s="2">
        <f>VLOOKUP([jobnumber],OvalData[],MATCH(Table2[[#Headers],[slattype]],Table2[#Headers],0),0)</f>
        <v>2</v>
      </c>
      <c r="AK15" s="2">
        <f>VLOOKUP([jobnumber],OvalData[],MATCH(Table2[[#Headers],[slatgage]],Table2[#Headers],0),0)</f>
        <v>18</v>
      </c>
      <c r="AL15" s="2">
        <f>VLOOKUP([jobnumber],OvalData[],MATCH(Table2[[#Headers],[Numer of Top Slats]],Table2[#Headers],0),0)</f>
        <v>0</v>
      </c>
      <c r="AM15" s="2">
        <f>VLOOKUP([jobnumber],OvalData[],MATCH(Table2[[#Headers],[Number of Bottom Slats]],Table2[#Headers],0),0)</f>
        <v>0</v>
      </c>
      <c r="AN15" s="2">
        <f>VLOOKUP([jobnumber],OvalData[],MATCH(Table2[[#Headers],[Solid Bottom Height]],Table2[#Headers],0),0)</f>
        <v>0</v>
      </c>
      <c r="AO15" s="2" t="str">
        <f>VLOOKUP([jobnumber],OvalData[],MATCH(Table2[[#Headers],[slatlength]],Table2[#Headers],0),0)</f>
        <v xml:space="preserve"> 18 ft.- 5 7/ 8"</v>
      </c>
      <c r="AP15" s="2">
        <f>VLOOKUP([jobnumber],OvalData[],MATCH(Table2[[#Headers],[Bottom Slat Length]],Table2[#Headers],0),0)</f>
        <v>0</v>
      </c>
      <c r="AQ15" s="2">
        <f>VLOOKUP([jobnumber],OvalData[],MATCH(Table2[[#Headers],[Number of Perferated Slats]],Table2[#Headers],0),0)</f>
        <v>0</v>
      </c>
      <c r="AR15" s="2">
        <f>VLOOKUP([jobnumber],OvalData[],MATCH(Table2[[#Headers],[First Preferated Slat From End]],Table2[#Headers],0),0)</f>
        <v>0</v>
      </c>
      <c r="AS15" s="2">
        <f>VLOOKUP([jobnumber],OvalData[],MATCH(Table2[[#Headers],[First Preferated Slat From Bottom]],Table2[#Headers],0),0)</f>
        <v>0</v>
      </c>
      <c r="AT15" s="2">
        <f>VLOOKUP([jobnumber],OvalData[],MATCH(Table2[[#Headers],[Total Number of Slats]],Table2[#Headers],0),0)</f>
        <v>51</v>
      </c>
      <c r="AU15" s="2">
        <f>VLOOKUP([jobnumber],OvalData[],MATCH(Table2[[#Headers],[Bottom Bar Slope]],Table2[#Headers],0),0)</f>
        <v>0</v>
      </c>
      <c r="AV15" s="2">
        <f>VLOOKUP([jobnumber],OvalData[],MATCH(Table2[[#Headers],[Bottom Bar Weight]],Table2[#Headers],0),0)</f>
        <v>80.5</v>
      </c>
      <c r="AW15" s="2" t="str">
        <f>VLOOKUP([jobnumber],OvalData[],MATCH(Table2[[#Headers],[Outer Spring Gage]],Table2[#Headers],0),0)</f>
        <v>Null</v>
      </c>
      <c r="AX15" s="2" t="str">
        <f>VLOOKUP([jobnumber],OvalData[],MATCH(Table2[[#Headers],[Outer Spring OD]],Table2[#Headers],0),0)</f>
        <v>Null</v>
      </c>
      <c r="AY15" s="2" t="str">
        <f>VLOOKUP([jobnumber],OvalData[],MATCH(Table2[[#Headers],[Outer Spring Length]],Table2[#Headers],0),0)</f>
        <v>Null</v>
      </c>
      <c r="AZ15" s="2" t="str">
        <f>VLOOKUP([jobnumber],OvalData[],MATCH(Table2[[#Headers],[Outer Spring Stretch]],Table2[#Headers],0),0)</f>
        <v>Null</v>
      </c>
      <c r="BA15" s="2" t="str">
        <f>VLOOKUP([jobnumber],OvalData[],MATCH(Table2[[#Headers],[Outer Spring Torque]],Table2[#Headers],0),0)</f>
        <v>Null</v>
      </c>
      <c r="BB15" s="2" t="str">
        <f>VLOOKUP([jobnumber],OvalData[],MATCH(Table2[[#Headers],[Outer Spring Max Turns]],Table2[#Headers],0),0)</f>
        <v>Null</v>
      </c>
      <c r="BC15" s="2" t="str">
        <f>VLOOKUP([jobnumber],OvalData[],MATCH(Table2[[#Headers],[Outer Spring Weight]],Table2[#Headers],0),0)</f>
        <v>Null</v>
      </c>
      <c r="BD15" s="2" t="str">
        <f>VLOOKUP([jobnumber],OvalData[],MATCH(Table2[[#Headers],[Inner Spring Gage]],Table2[#Headers],0),0)</f>
        <v>Null</v>
      </c>
      <c r="BE15" s="2" t="str">
        <f>VLOOKUP([jobnumber],OvalData[],MATCH(Table2[[#Headers],[Inner Spring OD]],Table2[#Headers],0),0)</f>
        <v>Null</v>
      </c>
      <c r="BF15" s="2" t="str">
        <f>VLOOKUP([jobnumber],OvalData[],MATCH(Table2[[#Headers],[Inner Spring Length]],Table2[#Headers],0),0)</f>
        <v>Null</v>
      </c>
      <c r="BG15" s="2" t="str">
        <f>VLOOKUP([jobnumber],OvalData[],MATCH(Table2[[#Headers],[Inner Spring Stretch]],Table2[#Headers],0),0)</f>
        <v>Null</v>
      </c>
      <c r="BH15" s="2" t="str">
        <f>VLOOKUP([jobnumber],OvalData[],MATCH(Table2[[#Headers],[Inner Spring Torque]],Table2[#Headers],0),0)</f>
        <v>Null</v>
      </c>
      <c r="BI15" s="2" t="str">
        <f>VLOOKUP([jobnumber],OvalData[],MATCH(Table2[[#Headers],[Inner Spring Max Turns]],Table2[#Headers],0),0)</f>
        <v>Null</v>
      </c>
      <c r="BJ15" s="2" t="str">
        <f>VLOOKUP([jobnumber],OvalData[],MATCH(Table2[[#Headers],[Inner Spring Weight]],Table2[#Headers],0),0)</f>
        <v>Null</v>
      </c>
      <c r="BK15" s="2">
        <f>VLOOKUP([jobnumber],OvalData[],MATCH(Table2[[#Headers],[Cycles]],Table2[#Headers],0),0)</f>
        <v>0</v>
      </c>
      <c r="BL15" s="2">
        <f>VLOOKUP([jobnumber],OvalData[],MATCH(Table2[[#Headers],[Total Spring Torque]],Table2[#Headers],0),0)</f>
        <v>0</v>
      </c>
      <c r="BM15" s="2">
        <f>VLOOKUP([jobnumber],OvalData[],MATCH(Table2[[#Headers],[Total Spring Weight]],Table2[#Headers],0),0)</f>
        <v>0</v>
      </c>
      <c r="BN15" s="2">
        <f>VLOOKUP([jobnumber],OvalData[],MATCH(Table2[[#Headers],[Pipe Weight]],Table2[#Headers],0),0)</f>
        <v>688.24239999999998</v>
      </c>
      <c r="BO15" s="2">
        <f>VLOOKUP([jobnumber],OvalData[],MATCH(Table2[[#Headers],[Max Pipe Deflection]],Table2[#Headers],0),0)</f>
        <v>2309</v>
      </c>
      <c r="BP15" s="2">
        <f>VLOOKUP([jobnumber],OvalData[],MATCH(Table2[[#Headers],[Number Non-Insulated Wrap Slats]],Table2[#Headers],0),0)</f>
        <v>0</v>
      </c>
      <c r="BQ15" s="2">
        <f>VLOOKUP([jobnumber],OvalData[],MATCH(Table2[[#Headers],[Number of Insolated Top Slats]],Table2[#Headers],0),0)</f>
        <v>45</v>
      </c>
      <c r="BR15" s="2">
        <f>VLOOKUP([jobnumber],OvalData[],MATCH(Table2[[#Headers],[Insolated Total Slats]],Table2[#Headers],0),0)</f>
        <v>45</v>
      </c>
      <c r="BS15" s="2">
        <f>VLOOKUP([jobnumber],OvalData[],MATCH(Table2[[#Headers],[Number of Slats]],Table2[#Headers],0),0)</f>
        <v>44.69</v>
      </c>
      <c r="BT15" s="2">
        <f>VLOOKUP([jobnumber],OvalData[],MATCH(Table2[[#Headers],[Wrap]],Table2[#Headers],0),0)</f>
        <v>0</v>
      </c>
      <c r="BU15" s="2">
        <f>VLOOKUP([jobnumber],OvalData[],MATCH(Table2[[#Headers],[Wall Angle Thickness]],Table2[#Headers],0),0)</f>
        <v>0</v>
      </c>
      <c r="BV15" s="2">
        <f>VLOOKUP([jobnumber],OvalData[],MATCH(Table2[[#Headers],[windlocks]],Table2[#Headers],0),0)</f>
        <v>0</v>
      </c>
      <c r="BW15" s="2" t="str">
        <f>VLOOKUP([jobnumber],OvalData[],MATCH(Table2[[#Headers],[bottombartype]],Table2[#Headers],0),0)</f>
        <v>SPECIAL</v>
      </c>
      <c r="BX15" s="2">
        <f>VLOOKUP([jobnumber],OvalData[],MATCH(Table2[[#Headers],[endlockweight]],Table2[#Headers],0),0)</f>
        <v>0.17</v>
      </c>
      <c r="BY15" s="2">
        <f>VLOOKUP([jobnumber],OvalData[],MATCH(Table2[[#Headers],[Endlock Total Weight]],Table2[#Headers],0),0)</f>
        <v>7.5972999999999997</v>
      </c>
      <c r="BZ15" s="2">
        <f>VLOOKUP([jobnumber],OvalData[],MATCH(Table2[[#Headers],[Grille Weight]],Table2[#Headers],0),0)</f>
        <v>0</v>
      </c>
      <c r="CA15" s="2">
        <f>VLOOKUP([jobnumber],OvalData[],MATCH(Table2[[#Headers],[barrelrings]],Table2[#Headers],0),0)</f>
        <v>1</v>
      </c>
    </row>
    <row r="16" spans="1:79">
      <c r="B16" s="2" t="str">
        <f>VLOOKUP([jobnumber],OvalData[],MATCH(Table2[[#Headers],[Hand]],Table2[#Headers],0),0)</f>
        <v>RH</v>
      </c>
      <c r="C16" s="2" t="str">
        <f>VLOOKUP([jobnumber],OvalData[],MATCH(Table2[[#Headers],[Model]],Table2[#Headers],0),0)</f>
        <v>SFMPP</v>
      </c>
      <c r="D16" s="2" t="str">
        <f>VLOOKUP([jobnumber],OvalData[],MATCH(Table2[[#Headers],[width]],Table2[#Headers],0),0)</f>
        <v xml:space="preserve"> 18 ft.- 2"</v>
      </c>
      <c r="E16" s="2" t="str">
        <f>VLOOKUP([jobnumber],OvalData[],MATCH(Table2[[#Headers],[stopheight]],Table2[#Headers],0),0)</f>
        <v xml:space="preserve"> 10 ft.- 0"</v>
      </c>
      <c r="F16" s="2" t="str">
        <f>VLOOKUP([jobnumber],OvalData[],MATCH(Table2[[#Headers],[Between Brackets]],Table2[#Headers],0),0)</f>
        <v xml:space="preserve"> 18 ft.- 7 7/ 8"</v>
      </c>
      <c r="G16" s="2" t="str">
        <f>VLOOKUP([jobnumber],OvalData[],MATCH(Table2[[#Headers],[shell]],Table2[#Headers],0),0)</f>
        <v>6 INCH TUBE</v>
      </c>
      <c r="H16" s="2" t="str">
        <f>VLOOKUP([jobnumber],OvalData[],MATCH(Table2[[#Headers],[pipewidth]],Table2[#Headers],0),0)</f>
        <v xml:space="preserve"> 18 ft.- 1 3/ 8"</v>
      </c>
      <c r="I16" s="2">
        <f>VLOOKUP([jobnumber],OvalData[],MATCH(Table2[[#Headers],[Support Tubes]],Table2[#Headers],0),0)</f>
        <v>0</v>
      </c>
      <c r="J16" s="2">
        <f>VLOOKUP([jobnumber],OvalData[],MATCH(Table2[[#Headers],[Upset]],Table2[#Headers],0),0)</f>
        <v>2</v>
      </c>
      <c r="K16" s="2" t="str">
        <f>VLOOKUP([jobnumber],OvalData[],MATCH(Table2[[#Headers],[Guide Type]],Table2[#Headers],0),0)</f>
        <v>SN2-4 5/8-E</v>
      </c>
      <c r="L16" s="2" t="str">
        <f>VLOOKUP([jobnumber],OvalData[],MATCH(Table2[[#Headers],[Wall Angle]],Table2[#Headers],0),0)</f>
        <v xml:space="preserve"> 11 ft.- 8"</v>
      </c>
      <c r="M16" s="2" t="str">
        <f>VLOOKUP([jobnumber],OvalData[],MATCH(Table2[[#Headers],[Middle Angle]],Table2[#Headers],0),0)</f>
        <v xml:space="preserve"> 10 ft.- 4 1/ 2"</v>
      </c>
      <c r="N16" s="2" t="str">
        <f>VLOOKUP([jobnumber],OvalData[],MATCH(Table2[[#Headers],[Front Angle]],Table2[#Headers],0),0)</f>
        <v xml:space="preserve"> 10 ft.- 3"</v>
      </c>
      <c r="O16" s="2">
        <f>VLOOKUP([jobnumber],OvalData[],MATCH(Table2[[#Headers],[Pipe Center Line]],Table2[#Headers],0),0)</f>
        <v>131</v>
      </c>
      <c r="P16" s="2">
        <f>VLOOKUP([jobnumber],OvalData[],MATCH(Table2[[#Headers],[Heat Expansion Gap]],Table2[#Headers],0),0)</f>
        <v>0</v>
      </c>
      <c r="Q16" s="2">
        <f>VLOOKUP([jobnumber],OvalData[],MATCH(Table2[[#Headers],[Hanging Weight Closed]],Table2[#Headers],0),0)</f>
        <v>795</v>
      </c>
      <c r="R16" s="2">
        <f>VLOOKUP([jobnumber],OvalData[],MATCH(Table2[[#Headers],[Hanging Weight Open]],Table2[#Headers],0),0)</f>
        <v>140</v>
      </c>
      <c r="S16" s="2">
        <f>VLOOKUP([jobnumber],OvalData[],MATCH(Table2[[#Headers],[Initial Lever Arm]],Table2[#Headers],0),0)</f>
        <v>4.25</v>
      </c>
      <c r="T16" s="2">
        <f>VLOOKUP([jobnumber],OvalData[],MATCH(Table2[[#Headers],[Turns to Raise]],Table2[#Headers],0),0)</f>
        <v>3.5859999999999999</v>
      </c>
      <c r="U16" s="2">
        <f>VLOOKUP([jobnumber],OvalData[],MATCH(Table2[[#Headers],[Final Lever Arm]],Table2[#Headers],0),0)</f>
        <v>6.37</v>
      </c>
      <c r="V16" s="2">
        <f>VLOOKUP([jobnumber],OvalData[],MATCH(Table2[[#Headers],[Torque Required Closed]],Table2[#Headers],0),0)</f>
        <v>3377.9</v>
      </c>
      <c r="W16" s="2">
        <f>VLOOKUP([jobnumber],OvalData[],MATCH(Table2[[#Headers],[Torque Required Open]],Table2[#Headers],0),0)</f>
        <v>892</v>
      </c>
      <c r="X16" s="2">
        <f>VLOOKUP([jobnumber],OvalData[],MATCH(Table2[[#Headers],[Pre Turns]],Table2[#Headers],0),0)</f>
        <v>1.3332999999999999</v>
      </c>
      <c r="Y16" s="2">
        <f>VLOOKUP([jobnumber],OvalData[],MATCH(Table2[[#Headers],[Required Torque Per Turn]],Table2[#Headers],0),0)</f>
        <v>688</v>
      </c>
      <c r="Z16" s="2">
        <f>VLOOKUP([jobnumber],OvalData[],MATCH(Table2[[#Headers],[Total Turns]],Table2[#Headers],0),0)</f>
        <v>4.91</v>
      </c>
      <c r="AA16" s="2">
        <f>VLOOKUP([jobnumber],OvalData[],MATCH(Table2[[#Headers],[Grille Vision Section]],Table2[#Headers],0),0)</f>
        <v>0</v>
      </c>
      <c r="AB16" s="2">
        <f>VLOOKUP([jobnumber],OvalData[],MATCH(Table2[[#Headers],[Grille Amount]],Table2[#Headers],0),0)</f>
        <v>0</v>
      </c>
      <c r="AC16" s="2">
        <f>VLOOKUP([jobnumber],OvalData[],MATCH(Table2[[#Headers],[Grille Center]],Table2[#Headers],0),0)</f>
        <v>0</v>
      </c>
      <c r="AD16" s="2">
        <f>VLOOKUP([jobnumber],OvalData[],MATCH(Table2[[#Headers],[Grille Pattern]],Table2[#Headers],0),0)</f>
        <v>0</v>
      </c>
      <c r="AE16" s="2">
        <f>VLOOKUP([jobnumber],OvalData[],MATCH(Table2[[#Headers],[Grille First Tube]],Table2[#Headers],0),0)</f>
        <v>0</v>
      </c>
      <c r="AF16" s="2">
        <f>VLOOKUP([jobnumber],OvalData[],MATCH(Table2[[#Headers],[Grille Standard Tube]],Table2[#Headers],0),0)</f>
        <v>0</v>
      </c>
      <c r="AG16" s="2">
        <f>VLOOKUP([jobnumber],OvalData[],MATCH(Table2[[#Headers],[Grille Total Links]],Table2[#Headers],0),0)</f>
        <v>0</v>
      </c>
      <c r="AH16" s="2">
        <f>VLOOKUP([jobnumber],OvalData[],MATCH(Table2[[#Headers],[Grille Rods]],Table2[#Headers],0),0)</f>
        <v>0</v>
      </c>
      <c r="AI16" s="2">
        <f>VLOOKUP([jobnumber],OvalData[],MATCH(Table2[[#Headers],[Grille Rod Length]],Table2[#Headers],0),0)</f>
        <v>0</v>
      </c>
      <c r="AJ16" s="2">
        <f>VLOOKUP([jobnumber],OvalData[],MATCH(Table2[[#Headers],[slattype]],Table2[#Headers],0),0)</f>
        <v>2</v>
      </c>
      <c r="AK16" s="2">
        <f>VLOOKUP([jobnumber],OvalData[],MATCH(Table2[[#Headers],[slatgage]],Table2[#Headers],0),0)</f>
        <v>18</v>
      </c>
      <c r="AL16" s="2">
        <f>VLOOKUP([jobnumber],OvalData[],MATCH(Table2[[#Headers],[Numer of Top Slats]],Table2[#Headers],0),0)</f>
        <v>0</v>
      </c>
      <c r="AM16" s="2">
        <f>VLOOKUP([jobnumber],OvalData[],MATCH(Table2[[#Headers],[Number of Bottom Slats]],Table2[#Headers],0),0)</f>
        <v>0</v>
      </c>
      <c r="AN16" s="2">
        <f>VLOOKUP([jobnumber],OvalData[],MATCH(Table2[[#Headers],[Solid Bottom Height]],Table2[#Headers],0),0)</f>
        <v>0</v>
      </c>
      <c r="AO16" s="2" t="str">
        <f>VLOOKUP([jobnumber],OvalData[],MATCH(Table2[[#Headers],[slatlength]],Table2[#Headers],0),0)</f>
        <v xml:space="preserve"> 18 ft.- 5 7/ 8"</v>
      </c>
      <c r="AP16" s="2">
        <f>VLOOKUP([jobnumber],OvalData[],MATCH(Table2[[#Headers],[Bottom Slat Length]],Table2[#Headers],0),0)</f>
        <v>0</v>
      </c>
      <c r="AQ16" s="2">
        <f>VLOOKUP([jobnumber],OvalData[],MATCH(Table2[[#Headers],[Number of Perferated Slats]],Table2[#Headers],0),0)</f>
        <v>0</v>
      </c>
      <c r="AR16" s="2">
        <f>VLOOKUP([jobnumber],OvalData[],MATCH(Table2[[#Headers],[First Preferated Slat From End]],Table2[#Headers],0),0)</f>
        <v>0</v>
      </c>
      <c r="AS16" s="2">
        <f>VLOOKUP([jobnumber],OvalData[],MATCH(Table2[[#Headers],[First Preferated Slat From Bottom]],Table2[#Headers],0),0)</f>
        <v>0</v>
      </c>
      <c r="AT16" s="2">
        <f>VLOOKUP([jobnumber],OvalData[],MATCH(Table2[[#Headers],[Total Number of Slats]],Table2[#Headers],0),0)</f>
        <v>51</v>
      </c>
      <c r="AU16" s="2">
        <f>VLOOKUP([jobnumber],OvalData[],MATCH(Table2[[#Headers],[Bottom Bar Slope]],Table2[#Headers],0),0)</f>
        <v>0</v>
      </c>
      <c r="AV16" s="2">
        <f>VLOOKUP([jobnumber],OvalData[],MATCH(Table2[[#Headers],[Bottom Bar Weight]],Table2[#Headers],0),0)</f>
        <v>80.5</v>
      </c>
      <c r="AW16" s="2" t="str">
        <f>VLOOKUP([jobnumber],OvalData[],MATCH(Table2[[#Headers],[Outer Spring Gage]],Table2[#Headers],0),0)</f>
        <v>Null</v>
      </c>
      <c r="AX16" s="2" t="str">
        <f>VLOOKUP([jobnumber],OvalData[],MATCH(Table2[[#Headers],[Outer Spring OD]],Table2[#Headers],0),0)</f>
        <v>Null</v>
      </c>
      <c r="AY16" s="2" t="str">
        <f>VLOOKUP([jobnumber],OvalData[],MATCH(Table2[[#Headers],[Outer Spring Length]],Table2[#Headers],0),0)</f>
        <v>Null</v>
      </c>
      <c r="AZ16" s="2" t="str">
        <f>VLOOKUP([jobnumber],OvalData[],MATCH(Table2[[#Headers],[Outer Spring Stretch]],Table2[#Headers],0),0)</f>
        <v>Null</v>
      </c>
      <c r="BA16" s="2" t="str">
        <f>VLOOKUP([jobnumber],OvalData[],MATCH(Table2[[#Headers],[Outer Spring Torque]],Table2[#Headers],0),0)</f>
        <v>Null</v>
      </c>
      <c r="BB16" s="2" t="str">
        <f>VLOOKUP([jobnumber],OvalData[],MATCH(Table2[[#Headers],[Outer Spring Max Turns]],Table2[#Headers],0),0)</f>
        <v>Null</v>
      </c>
      <c r="BC16" s="2" t="str">
        <f>VLOOKUP([jobnumber],OvalData[],MATCH(Table2[[#Headers],[Outer Spring Weight]],Table2[#Headers],0),0)</f>
        <v>Null</v>
      </c>
      <c r="BD16" s="2" t="str">
        <f>VLOOKUP([jobnumber],OvalData[],MATCH(Table2[[#Headers],[Inner Spring Gage]],Table2[#Headers],0),0)</f>
        <v>Null</v>
      </c>
      <c r="BE16" s="2" t="str">
        <f>VLOOKUP([jobnumber],OvalData[],MATCH(Table2[[#Headers],[Inner Spring OD]],Table2[#Headers],0),0)</f>
        <v>Null</v>
      </c>
      <c r="BF16" s="2" t="str">
        <f>VLOOKUP([jobnumber],OvalData[],MATCH(Table2[[#Headers],[Inner Spring Length]],Table2[#Headers],0),0)</f>
        <v>Null</v>
      </c>
      <c r="BG16" s="2" t="str">
        <f>VLOOKUP([jobnumber],OvalData[],MATCH(Table2[[#Headers],[Inner Spring Stretch]],Table2[#Headers],0),0)</f>
        <v>Null</v>
      </c>
      <c r="BH16" s="2" t="str">
        <f>VLOOKUP([jobnumber],OvalData[],MATCH(Table2[[#Headers],[Inner Spring Torque]],Table2[#Headers],0),0)</f>
        <v>Null</v>
      </c>
      <c r="BI16" s="2" t="str">
        <f>VLOOKUP([jobnumber],OvalData[],MATCH(Table2[[#Headers],[Inner Spring Max Turns]],Table2[#Headers],0),0)</f>
        <v>Null</v>
      </c>
      <c r="BJ16" s="2" t="str">
        <f>VLOOKUP([jobnumber],OvalData[],MATCH(Table2[[#Headers],[Inner Spring Weight]],Table2[#Headers],0),0)</f>
        <v>Null</v>
      </c>
      <c r="BK16" s="2">
        <f>VLOOKUP([jobnumber],OvalData[],MATCH(Table2[[#Headers],[Cycles]],Table2[#Headers],0),0)</f>
        <v>0</v>
      </c>
      <c r="BL16" s="2">
        <f>VLOOKUP([jobnumber],OvalData[],MATCH(Table2[[#Headers],[Total Spring Torque]],Table2[#Headers],0),0)</f>
        <v>0</v>
      </c>
      <c r="BM16" s="2">
        <f>VLOOKUP([jobnumber],OvalData[],MATCH(Table2[[#Headers],[Total Spring Weight]],Table2[#Headers],0),0)</f>
        <v>0</v>
      </c>
      <c r="BN16" s="2">
        <f>VLOOKUP([jobnumber],OvalData[],MATCH(Table2[[#Headers],[Pipe Weight]],Table2[#Headers],0),0)</f>
        <v>688.24239999999998</v>
      </c>
      <c r="BO16" s="2">
        <f>VLOOKUP([jobnumber],OvalData[],MATCH(Table2[[#Headers],[Max Pipe Deflection]],Table2[#Headers],0),0)</f>
        <v>2309</v>
      </c>
      <c r="BP16" s="2">
        <f>VLOOKUP([jobnumber],OvalData[],MATCH(Table2[[#Headers],[Number Non-Insulated Wrap Slats]],Table2[#Headers],0),0)</f>
        <v>0</v>
      </c>
      <c r="BQ16" s="2">
        <f>VLOOKUP([jobnumber],OvalData[],MATCH(Table2[[#Headers],[Number of Insolated Top Slats]],Table2[#Headers],0),0)</f>
        <v>45</v>
      </c>
      <c r="BR16" s="2">
        <f>VLOOKUP([jobnumber],OvalData[],MATCH(Table2[[#Headers],[Insolated Total Slats]],Table2[#Headers],0),0)</f>
        <v>45</v>
      </c>
      <c r="BS16" s="2">
        <f>VLOOKUP([jobnumber],OvalData[],MATCH(Table2[[#Headers],[Number of Slats]],Table2[#Headers],0),0)</f>
        <v>44.69</v>
      </c>
      <c r="BT16" s="2">
        <f>VLOOKUP([jobnumber],OvalData[],MATCH(Table2[[#Headers],[Wrap]],Table2[#Headers],0),0)</f>
        <v>0</v>
      </c>
      <c r="BU16" s="2">
        <f>VLOOKUP([jobnumber],OvalData[],MATCH(Table2[[#Headers],[Wall Angle Thickness]],Table2[#Headers],0),0)</f>
        <v>0</v>
      </c>
      <c r="BV16" s="2">
        <f>VLOOKUP([jobnumber],OvalData[],MATCH(Table2[[#Headers],[windlocks]],Table2[#Headers],0),0)</f>
        <v>0</v>
      </c>
      <c r="BW16" s="2" t="str">
        <f>VLOOKUP([jobnumber],OvalData[],MATCH(Table2[[#Headers],[bottombartype]],Table2[#Headers],0),0)</f>
        <v>SPECIAL</v>
      </c>
      <c r="BX16" s="2">
        <f>VLOOKUP([jobnumber],OvalData[],MATCH(Table2[[#Headers],[endlockweight]],Table2[#Headers],0),0)</f>
        <v>0.17</v>
      </c>
      <c r="BY16" s="2">
        <f>VLOOKUP([jobnumber],OvalData[],MATCH(Table2[[#Headers],[Endlock Total Weight]],Table2[#Headers],0),0)</f>
        <v>7.5972999999999997</v>
      </c>
      <c r="BZ16" s="2">
        <f>VLOOKUP([jobnumber],OvalData[],MATCH(Table2[[#Headers],[Grille Weight]],Table2[#Headers],0),0)</f>
        <v>0</v>
      </c>
      <c r="CA16" s="2">
        <f>VLOOKUP([jobnumber],OvalData[],MATCH(Table2[[#Headers],[barrelrings]],Table2[#Headers],0),0)</f>
        <v>1</v>
      </c>
    </row>
    <row r="17" spans="2:79">
      <c r="B17" s="2" t="str">
        <f>VLOOKUP([jobnumber],OvalData[],MATCH(Table2[[#Headers],[Hand]],Table2[#Headers],0),0)</f>
        <v>RH</v>
      </c>
      <c r="C17" s="2" t="str">
        <f>VLOOKUP([jobnumber],OvalData[],MATCH(Table2[[#Headers],[Model]],Table2[#Headers],0),0)</f>
        <v>SFMPP</v>
      </c>
      <c r="D17" s="2" t="str">
        <f>VLOOKUP([jobnumber],OvalData[],MATCH(Table2[[#Headers],[width]],Table2[#Headers],0),0)</f>
        <v xml:space="preserve"> 18 ft.- 2"</v>
      </c>
      <c r="E17" s="2" t="str">
        <f>VLOOKUP([jobnumber],OvalData[],MATCH(Table2[[#Headers],[stopheight]],Table2[#Headers],0),0)</f>
        <v xml:space="preserve"> 10 ft.- 0"</v>
      </c>
      <c r="F17" s="2" t="str">
        <f>VLOOKUP([jobnumber],OvalData[],MATCH(Table2[[#Headers],[Between Brackets]],Table2[#Headers],0),0)</f>
        <v xml:space="preserve"> 18 ft.- 7 7/ 8"</v>
      </c>
      <c r="G17" s="2" t="str">
        <f>VLOOKUP([jobnumber],OvalData[],MATCH(Table2[[#Headers],[shell]],Table2[#Headers],0),0)</f>
        <v>6 INCH TUBE</v>
      </c>
      <c r="H17" s="2" t="str">
        <f>VLOOKUP([jobnumber],OvalData[],MATCH(Table2[[#Headers],[pipewidth]],Table2[#Headers],0),0)</f>
        <v xml:space="preserve"> 18 ft.- 1 3/ 8"</v>
      </c>
      <c r="I17" s="2">
        <f>VLOOKUP([jobnumber],OvalData[],MATCH(Table2[[#Headers],[Support Tubes]],Table2[#Headers],0),0)</f>
        <v>0</v>
      </c>
      <c r="J17" s="2">
        <f>VLOOKUP([jobnumber],OvalData[],MATCH(Table2[[#Headers],[Upset]],Table2[#Headers],0),0)</f>
        <v>2</v>
      </c>
      <c r="K17" s="2" t="str">
        <f>VLOOKUP([jobnumber],OvalData[],MATCH(Table2[[#Headers],[Guide Type]],Table2[#Headers],0),0)</f>
        <v>SN2-4 5/8-E</v>
      </c>
      <c r="L17" s="2" t="str">
        <f>VLOOKUP([jobnumber],OvalData[],MATCH(Table2[[#Headers],[Wall Angle]],Table2[#Headers],0),0)</f>
        <v xml:space="preserve"> 11 ft.- 8"</v>
      </c>
      <c r="M17" s="2" t="str">
        <f>VLOOKUP([jobnumber],OvalData[],MATCH(Table2[[#Headers],[Middle Angle]],Table2[#Headers],0),0)</f>
        <v xml:space="preserve"> 10 ft.- 4 1/ 2"</v>
      </c>
      <c r="N17" s="2" t="str">
        <f>VLOOKUP([jobnumber],OvalData[],MATCH(Table2[[#Headers],[Front Angle]],Table2[#Headers],0),0)</f>
        <v xml:space="preserve"> 10 ft.- 3"</v>
      </c>
      <c r="O17" s="2">
        <f>VLOOKUP([jobnumber],OvalData[],MATCH(Table2[[#Headers],[Pipe Center Line]],Table2[#Headers],0),0)</f>
        <v>131</v>
      </c>
      <c r="P17" s="2">
        <f>VLOOKUP([jobnumber],OvalData[],MATCH(Table2[[#Headers],[Heat Expansion Gap]],Table2[#Headers],0),0)</f>
        <v>0</v>
      </c>
      <c r="Q17" s="2">
        <f>VLOOKUP([jobnumber],OvalData[],MATCH(Table2[[#Headers],[Hanging Weight Closed]],Table2[#Headers],0),0)</f>
        <v>795</v>
      </c>
      <c r="R17" s="2">
        <f>VLOOKUP([jobnumber],OvalData[],MATCH(Table2[[#Headers],[Hanging Weight Open]],Table2[#Headers],0),0)</f>
        <v>140</v>
      </c>
      <c r="S17" s="2">
        <f>VLOOKUP([jobnumber],OvalData[],MATCH(Table2[[#Headers],[Initial Lever Arm]],Table2[#Headers],0),0)</f>
        <v>4.25</v>
      </c>
      <c r="T17" s="2">
        <f>VLOOKUP([jobnumber],OvalData[],MATCH(Table2[[#Headers],[Turns to Raise]],Table2[#Headers],0),0)</f>
        <v>3.5859999999999999</v>
      </c>
      <c r="U17" s="2">
        <f>VLOOKUP([jobnumber],OvalData[],MATCH(Table2[[#Headers],[Final Lever Arm]],Table2[#Headers],0),0)</f>
        <v>6.37</v>
      </c>
      <c r="V17" s="2">
        <f>VLOOKUP([jobnumber],OvalData[],MATCH(Table2[[#Headers],[Torque Required Closed]],Table2[#Headers],0),0)</f>
        <v>3377.9</v>
      </c>
      <c r="W17" s="2">
        <f>VLOOKUP([jobnumber],OvalData[],MATCH(Table2[[#Headers],[Torque Required Open]],Table2[#Headers],0),0)</f>
        <v>892</v>
      </c>
      <c r="X17" s="2">
        <f>VLOOKUP([jobnumber],OvalData[],MATCH(Table2[[#Headers],[Pre Turns]],Table2[#Headers],0),0)</f>
        <v>1.3332999999999999</v>
      </c>
      <c r="Y17" s="2">
        <f>VLOOKUP([jobnumber],OvalData[],MATCH(Table2[[#Headers],[Required Torque Per Turn]],Table2[#Headers],0),0)</f>
        <v>688</v>
      </c>
      <c r="Z17" s="2">
        <f>VLOOKUP([jobnumber],OvalData[],MATCH(Table2[[#Headers],[Total Turns]],Table2[#Headers],0),0)</f>
        <v>4.91</v>
      </c>
      <c r="AA17" s="2">
        <f>VLOOKUP([jobnumber],OvalData[],MATCH(Table2[[#Headers],[Grille Vision Section]],Table2[#Headers],0),0)</f>
        <v>0</v>
      </c>
      <c r="AB17" s="2">
        <f>VLOOKUP([jobnumber],OvalData[],MATCH(Table2[[#Headers],[Grille Amount]],Table2[#Headers],0),0)</f>
        <v>0</v>
      </c>
      <c r="AC17" s="2">
        <f>VLOOKUP([jobnumber],OvalData[],MATCH(Table2[[#Headers],[Grille Center]],Table2[#Headers],0),0)</f>
        <v>0</v>
      </c>
      <c r="AD17" s="2">
        <f>VLOOKUP([jobnumber],OvalData[],MATCH(Table2[[#Headers],[Grille Pattern]],Table2[#Headers],0),0)</f>
        <v>0</v>
      </c>
      <c r="AE17" s="2">
        <f>VLOOKUP([jobnumber],OvalData[],MATCH(Table2[[#Headers],[Grille First Tube]],Table2[#Headers],0),0)</f>
        <v>0</v>
      </c>
      <c r="AF17" s="2">
        <f>VLOOKUP([jobnumber],OvalData[],MATCH(Table2[[#Headers],[Grille Standard Tube]],Table2[#Headers],0),0)</f>
        <v>0</v>
      </c>
      <c r="AG17" s="2">
        <f>VLOOKUP([jobnumber],OvalData[],MATCH(Table2[[#Headers],[Grille Total Links]],Table2[#Headers],0),0)</f>
        <v>0</v>
      </c>
      <c r="AH17" s="2">
        <f>VLOOKUP([jobnumber],OvalData[],MATCH(Table2[[#Headers],[Grille Rods]],Table2[#Headers],0),0)</f>
        <v>0</v>
      </c>
      <c r="AI17" s="2">
        <f>VLOOKUP([jobnumber],OvalData[],MATCH(Table2[[#Headers],[Grille Rod Length]],Table2[#Headers],0),0)</f>
        <v>0</v>
      </c>
      <c r="AJ17" s="2">
        <f>VLOOKUP([jobnumber],OvalData[],MATCH(Table2[[#Headers],[slattype]],Table2[#Headers],0),0)</f>
        <v>2</v>
      </c>
      <c r="AK17" s="2">
        <f>VLOOKUP([jobnumber],OvalData[],MATCH(Table2[[#Headers],[slatgage]],Table2[#Headers],0),0)</f>
        <v>18</v>
      </c>
      <c r="AL17" s="2">
        <f>VLOOKUP([jobnumber],OvalData[],MATCH(Table2[[#Headers],[Numer of Top Slats]],Table2[#Headers],0),0)</f>
        <v>0</v>
      </c>
      <c r="AM17" s="2">
        <f>VLOOKUP([jobnumber],OvalData[],MATCH(Table2[[#Headers],[Number of Bottom Slats]],Table2[#Headers],0),0)</f>
        <v>0</v>
      </c>
      <c r="AN17" s="2">
        <f>VLOOKUP([jobnumber],OvalData[],MATCH(Table2[[#Headers],[Solid Bottom Height]],Table2[#Headers],0),0)</f>
        <v>0</v>
      </c>
      <c r="AO17" s="2" t="str">
        <f>VLOOKUP([jobnumber],OvalData[],MATCH(Table2[[#Headers],[slatlength]],Table2[#Headers],0),0)</f>
        <v xml:space="preserve"> 18 ft.- 5 7/ 8"</v>
      </c>
      <c r="AP17" s="2">
        <f>VLOOKUP([jobnumber],OvalData[],MATCH(Table2[[#Headers],[Bottom Slat Length]],Table2[#Headers],0),0)</f>
        <v>0</v>
      </c>
      <c r="AQ17" s="2">
        <f>VLOOKUP([jobnumber],OvalData[],MATCH(Table2[[#Headers],[Number of Perferated Slats]],Table2[#Headers],0),0)</f>
        <v>0</v>
      </c>
      <c r="AR17" s="2">
        <f>VLOOKUP([jobnumber],OvalData[],MATCH(Table2[[#Headers],[First Preferated Slat From End]],Table2[#Headers],0),0)</f>
        <v>0</v>
      </c>
      <c r="AS17" s="2">
        <f>VLOOKUP([jobnumber],OvalData[],MATCH(Table2[[#Headers],[First Preferated Slat From Bottom]],Table2[#Headers],0),0)</f>
        <v>0</v>
      </c>
      <c r="AT17" s="2">
        <f>VLOOKUP([jobnumber],OvalData[],MATCH(Table2[[#Headers],[Total Number of Slats]],Table2[#Headers],0),0)</f>
        <v>51</v>
      </c>
      <c r="AU17" s="2">
        <f>VLOOKUP([jobnumber],OvalData[],MATCH(Table2[[#Headers],[Bottom Bar Slope]],Table2[#Headers],0),0)</f>
        <v>0</v>
      </c>
      <c r="AV17" s="2">
        <f>VLOOKUP([jobnumber],OvalData[],MATCH(Table2[[#Headers],[Bottom Bar Weight]],Table2[#Headers],0),0)</f>
        <v>80.5</v>
      </c>
      <c r="AW17" s="2" t="str">
        <f>VLOOKUP([jobnumber],OvalData[],MATCH(Table2[[#Headers],[Outer Spring Gage]],Table2[#Headers],0),0)</f>
        <v>Null</v>
      </c>
      <c r="AX17" s="2" t="str">
        <f>VLOOKUP([jobnumber],OvalData[],MATCH(Table2[[#Headers],[Outer Spring OD]],Table2[#Headers],0),0)</f>
        <v>Null</v>
      </c>
      <c r="AY17" s="2" t="str">
        <f>VLOOKUP([jobnumber],OvalData[],MATCH(Table2[[#Headers],[Outer Spring Length]],Table2[#Headers],0),0)</f>
        <v>Null</v>
      </c>
      <c r="AZ17" s="2" t="str">
        <f>VLOOKUP([jobnumber],OvalData[],MATCH(Table2[[#Headers],[Outer Spring Stretch]],Table2[#Headers],0),0)</f>
        <v>Null</v>
      </c>
      <c r="BA17" s="2" t="str">
        <f>VLOOKUP([jobnumber],OvalData[],MATCH(Table2[[#Headers],[Outer Spring Torque]],Table2[#Headers],0),0)</f>
        <v>Null</v>
      </c>
      <c r="BB17" s="2" t="str">
        <f>VLOOKUP([jobnumber],OvalData[],MATCH(Table2[[#Headers],[Outer Spring Max Turns]],Table2[#Headers],0),0)</f>
        <v>Null</v>
      </c>
      <c r="BC17" s="2" t="str">
        <f>VLOOKUP([jobnumber],OvalData[],MATCH(Table2[[#Headers],[Outer Spring Weight]],Table2[#Headers],0),0)</f>
        <v>Null</v>
      </c>
      <c r="BD17" s="2" t="str">
        <f>VLOOKUP([jobnumber],OvalData[],MATCH(Table2[[#Headers],[Inner Spring Gage]],Table2[#Headers],0),0)</f>
        <v>Null</v>
      </c>
      <c r="BE17" s="2" t="str">
        <f>VLOOKUP([jobnumber],OvalData[],MATCH(Table2[[#Headers],[Inner Spring OD]],Table2[#Headers],0),0)</f>
        <v>Null</v>
      </c>
      <c r="BF17" s="2" t="str">
        <f>VLOOKUP([jobnumber],OvalData[],MATCH(Table2[[#Headers],[Inner Spring Length]],Table2[#Headers],0),0)</f>
        <v>Null</v>
      </c>
      <c r="BG17" s="2" t="str">
        <f>VLOOKUP([jobnumber],OvalData[],MATCH(Table2[[#Headers],[Inner Spring Stretch]],Table2[#Headers],0),0)</f>
        <v>Null</v>
      </c>
      <c r="BH17" s="2" t="str">
        <f>VLOOKUP([jobnumber],OvalData[],MATCH(Table2[[#Headers],[Inner Spring Torque]],Table2[#Headers],0),0)</f>
        <v>Null</v>
      </c>
      <c r="BI17" s="2" t="str">
        <f>VLOOKUP([jobnumber],OvalData[],MATCH(Table2[[#Headers],[Inner Spring Max Turns]],Table2[#Headers],0),0)</f>
        <v>Null</v>
      </c>
      <c r="BJ17" s="2" t="str">
        <f>VLOOKUP([jobnumber],OvalData[],MATCH(Table2[[#Headers],[Inner Spring Weight]],Table2[#Headers],0),0)</f>
        <v>Null</v>
      </c>
      <c r="BK17" s="2">
        <f>VLOOKUP([jobnumber],OvalData[],MATCH(Table2[[#Headers],[Cycles]],Table2[#Headers],0),0)</f>
        <v>0</v>
      </c>
      <c r="BL17" s="2">
        <f>VLOOKUP([jobnumber],OvalData[],MATCH(Table2[[#Headers],[Total Spring Torque]],Table2[#Headers],0),0)</f>
        <v>0</v>
      </c>
      <c r="BM17" s="2">
        <f>VLOOKUP([jobnumber],OvalData[],MATCH(Table2[[#Headers],[Total Spring Weight]],Table2[#Headers],0),0)</f>
        <v>0</v>
      </c>
      <c r="BN17" s="2">
        <f>VLOOKUP([jobnumber],OvalData[],MATCH(Table2[[#Headers],[Pipe Weight]],Table2[#Headers],0),0)</f>
        <v>688.24239999999998</v>
      </c>
      <c r="BO17" s="2">
        <f>VLOOKUP([jobnumber],OvalData[],MATCH(Table2[[#Headers],[Max Pipe Deflection]],Table2[#Headers],0),0)</f>
        <v>2309</v>
      </c>
      <c r="BP17" s="2">
        <f>VLOOKUP([jobnumber],OvalData[],MATCH(Table2[[#Headers],[Number Non-Insulated Wrap Slats]],Table2[#Headers],0),0)</f>
        <v>0</v>
      </c>
      <c r="BQ17" s="2">
        <f>VLOOKUP([jobnumber],OvalData[],MATCH(Table2[[#Headers],[Number of Insolated Top Slats]],Table2[#Headers],0),0)</f>
        <v>45</v>
      </c>
      <c r="BR17" s="2">
        <f>VLOOKUP([jobnumber],OvalData[],MATCH(Table2[[#Headers],[Insolated Total Slats]],Table2[#Headers],0),0)</f>
        <v>45</v>
      </c>
      <c r="BS17" s="2">
        <f>VLOOKUP([jobnumber],OvalData[],MATCH(Table2[[#Headers],[Number of Slats]],Table2[#Headers],0),0)</f>
        <v>44.69</v>
      </c>
      <c r="BT17" s="2">
        <f>VLOOKUP([jobnumber],OvalData[],MATCH(Table2[[#Headers],[Wrap]],Table2[#Headers],0),0)</f>
        <v>0</v>
      </c>
      <c r="BU17" s="2">
        <f>VLOOKUP([jobnumber],OvalData[],MATCH(Table2[[#Headers],[Wall Angle Thickness]],Table2[#Headers],0),0)</f>
        <v>0</v>
      </c>
      <c r="BV17" s="2">
        <f>VLOOKUP([jobnumber],OvalData[],MATCH(Table2[[#Headers],[windlocks]],Table2[#Headers],0),0)</f>
        <v>0</v>
      </c>
      <c r="BW17" s="2" t="str">
        <f>VLOOKUP([jobnumber],OvalData[],MATCH(Table2[[#Headers],[bottombartype]],Table2[#Headers],0),0)</f>
        <v>SPECIAL</v>
      </c>
      <c r="BX17" s="2">
        <f>VLOOKUP([jobnumber],OvalData[],MATCH(Table2[[#Headers],[endlockweight]],Table2[#Headers],0),0)</f>
        <v>0.17</v>
      </c>
      <c r="BY17" s="2">
        <f>VLOOKUP([jobnumber],OvalData[],MATCH(Table2[[#Headers],[Endlock Total Weight]],Table2[#Headers],0),0)</f>
        <v>7.5972999999999997</v>
      </c>
      <c r="BZ17" s="2">
        <f>VLOOKUP([jobnumber],OvalData[],MATCH(Table2[[#Headers],[Grille Weight]],Table2[#Headers],0),0)</f>
        <v>0</v>
      </c>
      <c r="CA17" s="2">
        <f>VLOOKUP([jobnumber],OvalData[],MATCH(Table2[[#Headers],[barrelrings]],Table2[#Headers],0),0)</f>
        <v>1</v>
      </c>
    </row>
    <row r="18" spans="2:79">
      <c r="B18" s="2" t="str">
        <f>VLOOKUP([jobnumber],OvalData[],MATCH(Table2[[#Headers],[Hand]],Table2[#Headers],0),0)</f>
        <v>RH</v>
      </c>
      <c r="C18" s="2" t="str">
        <f>VLOOKUP([jobnumber],OvalData[],MATCH(Table2[[#Headers],[Model]],Table2[#Headers],0),0)</f>
        <v>SFMPP</v>
      </c>
      <c r="D18" s="2" t="str">
        <f>VLOOKUP([jobnumber],OvalData[],MATCH(Table2[[#Headers],[width]],Table2[#Headers],0),0)</f>
        <v xml:space="preserve"> 18 ft.- 2"</v>
      </c>
      <c r="E18" s="2" t="str">
        <f>VLOOKUP([jobnumber],OvalData[],MATCH(Table2[[#Headers],[stopheight]],Table2[#Headers],0),0)</f>
        <v xml:space="preserve"> 10 ft.- 0"</v>
      </c>
      <c r="F18" s="2" t="str">
        <f>VLOOKUP([jobnumber],OvalData[],MATCH(Table2[[#Headers],[Between Brackets]],Table2[#Headers],0),0)</f>
        <v xml:space="preserve"> 18 ft.- 7 7/ 8"</v>
      </c>
      <c r="G18" s="2" t="str">
        <f>VLOOKUP([jobnumber],OvalData[],MATCH(Table2[[#Headers],[shell]],Table2[#Headers],0),0)</f>
        <v>6 INCH TUBE</v>
      </c>
      <c r="H18" s="2" t="str">
        <f>VLOOKUP([jobnumber],OvalData[],MATCH(Table2[[#Headers],[pipewidth]],Table2[#Headers],0),0)</f>
        <v xml:space="preserve"> 18 ft.- 1 3/ 8"</v>
      </c>
      <c r="I18" s="2">
        <f>VLOOKUP([jobnumber],OvalData[],MATCH(Table2[[#Headers],[Support Tubes]],Table2[#Headers],0),0)</f>
        <v>0</v>
      </c>
      <c r="J18" s="2">
        <f>VLOOKUP([jobnumber],OvalData[],MATCH(Table2[[#Headers],[Upset]],Table2[#Headers],0),0)</f>
        <v>2</v>
      </c>
      <c r="K18" s="2" t="str">
        <f>VLOOKUP([jobnumber],OvalData[],MATCH(Table2[[#Headers],[Guide Type]],Table2[#Headers],0),0)</f>
        <v>SN2-4 5/8-E</v>
      </c>
      <c r="L18" s="2" t="str">
        <f>VLOOKUP([jobnumber],OvalData[],MATCH(Table2[[#Headers],[Wall Angle]],Table2[#Headers],0),0)</f>
        <v xml:space="preserve"> 11 ft.- 8"</v>
      </c>
      <c r="M18" s="2" t="str">
        <f>VLOOKUP([jobnumber],OvalData[],MATCH(Table2[[#Headers],[Middle Angle]],Table2[#Headers],0),0)</f>
        <v xml:space="preserve"> 10 ft.- 4 1/ 2"</v>
      </c>
      <c r="N18" s="2" t="str">
        <f>VLOOKUP([jobnumber],OvalData[],MATCH(Table2[[#Headers],[Front Angle]],Table2[#Headers],0),0)</f>
        <v xml:space="preserve"> 10 ft.- 3"</v>
      </c>
      <c r="O18" s="2">
        <f>VLOOKUP([jobnumber],OvalData[],MATCH(Table2[[#Headers],[Pipe Center Line]],Table2[#Headers],0),0)</f>
        <v>131</v>
      </c>
      <c r="P18" s="2">
        <f>VLOOKUP([jobnumber],OvalData[],MATCH(Table2[[#Headers],[Heat Expansion Gap]],Table2[#Headers],0),0)</f>
        <v>0</v>
      </c>
      <c r="Q18" s="2">
        <f>VLOOKUP([jobnumber],OvalData[],MATCH(Table2[[#Headers],[Hanging Weight Closed]],Table2[#Headers],0),0)</f>
        <v>795</v>
      </c>
      <c r="R18" s="2">
        <f>VLOOKUP([jobnumber],OvalData[],MATCH(Table2[[#Headers],[Hanging Weight Open]],Table2[#Headers],0),0)</f>
        <v>140</v>
      </c>
      <c r="S18" s="2">
        <f>VLOOKUP([jobnumber],OvalData[],MATCH(Table2[[#Headers],[Initial Lever Arm]],Table2[#Headers],0),0)</f>
        <v>4.25</v>
      </c>
      <c r="T18" s="2">
        <f>VLOOKUP([jobnumber],OvalData[],MATCH(Table2[[#Headers],[Turns to Raise]],Table2[#Headers],0),0)</f>
        <v>3.5859999999999999</v>
      </c>
      <c r="U18" s="2">
        <f>VLOOKUP([jobnumber],OvalData[],MATCH(Table2[[#Headers],[Final Lever Arm]],Table2[#Headers],0),0)</f>
        <v>6.37</v>
      </c>
      <c r="V18" s="2">
        <f>VLOOKUP([jobnumber],OvalData[],MATCH(Table2[[#Headers],[Torque Required Closed]],Table2[#Headers],0),0)</f>
        <v>3377.9</v>
      </c>
      <c r="W18" s="2">
        <f>VLOOKUP([jobnumber],OvalData[],MATCH(Table2[[#Headers],[Torque Required Open]],Table2[#Headers],0),0)</f>
        <v>892</v>
      </c>
      <c r="X18" s="2">
        <f>VLOOKUP([jobnumber],OvalData[],MATCH(Table2[[#Headers],[Pre Turns]],Table2[#Headers],0),0)</f>
        <v>1.3332999999999999</v>
      </c>
      <c r="Y18" s="2">
        <f>VLOOKUP([jobnumber],OvalData[],MATCH(Table2[[#Headers],[Required Torque Per Turn]],Table2[#Headers],0),0)</f>
        <v>688</v>
      </c>
      <c r="Z18" s="2">
        <f>VLOOKUP([jobnumber],OvalData[],MATCH(Table2[[#Headers],[Total Turns]],Table2[#Headers],0),0)</f>
        <v>4.91</v>
      </c>
      <c r="AA18" s="2">
        <f>VLOOKUP([jobnumber],OvalData[],MATCH(Table2[[#Headers],[Grille Vision Section]],Table2[#Headers],0),0)</f>
        <v>0</v>
      </c>
      <c r="AB18" s="2">
        <f>VLOOKUP([jobnumber],OvalData[],MATCH(Table2[[#Headers],[Grille Amount]],Table2[#Headers],0),0)</f>
        <v>0</v>
      </c>
      <c r="AC18" s="2">
        <f>VLOOKUP([jobnumber],OvalData[],MATCH(Table2[[#Headers],[Grille Center]],Table2[#Headers],0),0)</f>
        <v>0</v>
      </c>
      <c r="AD18" s="2">
        <f>VLOOKUP([jobnumber],OvalData[],MATCH(Table2[[#Headers],[Grille Pattern]],Table2[#Headers],0),0)</f>
        <v>0</v>
      </c>
      <c r="AE18" s="2">
        <f>VLOOKUP([jobnumber],OvalData[],MATCH(Table2[[#Headers],[Grille First Tube]],Table2[#Headers],0),0)</f>
        <v>0</v>
      </c>
      <c r="AF18" s="2">
        <f>VLOOKUP([jobnumber],OvalData[],MATCH(Table2[[#Headers],[Grille Standard Tube]],Table2[#Headers],0),0)</f>
        <v>0</v>
      </c>
      <c r="AG18" s="2">
        <f>VLOOKUP([jobnumber],OvalData[],MATCH(Table2[[#Headers],[Grille Total Links]],Table2[#Headers],0),0)</f>
        <v>0</v>
      </c>
      <c r="AH18" s="2">
        <f>VLOOKUP([jobnumber],OvalData[],MATCH(Table2[[#Headers],[Grille Rods]],Table2[#Headers],0),0)</f>
        <v>0</v>
      </c>
      <c r="AI18" s="2">
        <f>VLOOKUP([jobnumber],OvalData[],MATCH(Table2[[#Headers],[Grille Rod Length]],Table2[#Headers],0),0)</f>
        <v>0</v>
      </c>
      <c r="AJ18" s="2">
        <f>VLOOKUP([jobnumber],OvalData[],MATCH(Table2[[#Headers],[slattype]],Table2[#Headers],0),0)</f>
        <v>2</v>
      </c>
      <c r="AK18" s="2">
        <f>VLOOKUP([jobnumber],OvalData[],MATCH(Table2[[#Headers],[slatgage]],Table2[#Headers],0),0)</f>
        <v>18</v>
      </c>
      <c r="AL18" s="2">
        <f>VLOOKUP([jobnumber],OvalData[],MATCH(Table2[[#Headers],[Numer of Top Slats]],Table2[#Headers],0),0)</f>
        <v>0</v>
      </c>
      <c r="AM18" s="2">
        <f>VLOOKUP([jobnumber],OvalData[],MATCH(Table2[[#Headers],[Number of Bottom Slats]],Table2[#Headers],0),0)</f>
        <v>0</v>
      </c>
      <c r="AN18" s="2">
        <f>VLOOKUP([jobnumber],OvalData[],MATCH(Table2[[#Headers],[Solid Bottom Height]],Table2[#Headers],0),0)</f>
        <v>0</v>
      </c>
      <c r="AO18" s="2" t="str">
        <f>VLOOKUP([jobnumber],OvalData[],MATCH(Table2[[#Headers],[slatlength]],Table2[#Headers],0),0)</f>
        <v xml:space="preserve"> 18 ft.- 5 7/ 8"</v>
      </c>
      <c r="AP18" s="2">
        <f>VLOOKUP([jobnumber],OvalData[],MATCH(Table2[[#Headers],[Bottom Slat Length]],Table2[#Headers],0),0)</f>
        <v>0</v>
      </c>
      <c r="AQ18" s="2">
        <f>VLOOKUP([jobnumber],OvalData[],MATCH(Table2[[#Headers],[Number of Perferated Slats]],Table2[#Headers],0),0)</f>
        <v>0</v>
      </c>
      <c r="AR18" s="2">
        <f>VLOOKUP([jobnumber],OvalData[],MATCH(Table2[[#Headers],[First Preferated Slat From End]],Table2[#Headers],0),0)</f>
        <v>0</v>
      </c>
      <c r="AS18" s="2">
        <f>VLOOKUP([jobnumber],OvalData[],MATCH(Table2[[#Headers],[First Preferated Slat From Bottom]],Table2[#Headers],0),0)</f>
        <v>0</v>
      </c>
      <c r="AT18" s="2">
        <f>VLOOKUP([jobnumber],OvalData[],MATCH(Table2[[#Headers],[Total Number of Slats]],Table2[#Headers],0),0)</f>
        <v>51</v>
      </c>
      <c r="AU18" s="2">
        <f>VLOOKUP([jobnumber],OvalData[],MATCH(Table2[[#Headers],[Bottom Bar Slope]],Table2[#Headers],0),0)</f>
        <v>0</v>
      </c>
      <c r="AV18" s="2">
        <f>VLOOKUP([jobnumber],OvalData[],MATCH(Table2[[#Headers],[Bottom Bar Weight]],Table2[#Headers],0),0)</f>
        <v>80.5</v>
      </c>
      <c r="AW18" s="2" t="str">
        <f>VLOOKUP([jobnumber],OvalData[],MATCH(Table2[[#Headers],[Outer Spring Gage]],Table2[#Headers],0),0)</f>
        <v>Null</v>
      </c>
      <c r="AX18" s="2" t="str">
        <f>VLOOKUP([jobnumber],OvalData[],MATCH(Table2[[#Headers],[Outer Spring OD]],Table2[#Headers],0),0)</f>
        <v>Null</v>
      </c>
      <c r="AY18" s="2" t="str">
        <f>VLOOKUP([jobnumber],OvalData[],MATCH(Table2[[#Headers],[Outer Spring Length]],Table2[#Headers],0),0)</f>
        <v>Null</v>
      </c>
      <c r="AZ18" s="2" t="str">
        <f>VLOOKUP([jobnumber],OvalData[],MATCH(Table2[[#Headers],[Outer Spring Stretch]],Table2[#Headers],0),0)</f>
        <v>Null</v>
      </c>
      <c r="BA18" s="2" t="str">
        <f>VLOOKUP([jobnumber],OvalData[],MATCH(Table2[[#Headers],[Outer Spring Torque]],Table2[#Headers],0),0)</f>
        <v>Null</v>
      </c>
      <c r="BB18" s="2" t="str">
        <f>VLOOKUP([jobnumber],OvalData[],MATCH(Table2[[#Headers],[Outer Spring Max Turns]],Table2[#Headers],0),0)</f>
        <v>Null</v>
      </c>
      <c r="BC18" s="2" t="str">
        <f>VLOOKUP([jobnumber],OvalData[],MATCH(Table2[[#Headers],[Outer Spring Weight]],Table2[#Headers],0),0)</f>
        <v>Null</v>
      </c>
      <c r="BD18" s="2" t="str">
        <f>VLOOKUP([jobnumber],OvalData[],MATCH(Table2[[#Headers],[Inner Spring Gage]],Table2[#Headers],0),0)</f>
        <v>Null</v>
      </c>
      <c r="BE18" s="2" t="str">
        <f>VLOOKUP([jobnumber],OvalData[],MATCH(Table2[[#Headers],[Inner Spring OD]],Table2[#Headers],0),0)</f>
        <v>Null</v>
      </c>
      <c r="BF18" s="2" t="str">
        <f>VLOOKUP([jobnumber],OvalData[],MATCH(Table2[[#Headers],[Inner Spring Length]],Table2[#Headers],0),0)</f>
        <v>Null</v>
      </c>
      <c r="BG18" s="2" t="str">
        <f>VLOOKUP([jobnumber],OvalData[],MATCH(Table2[[#Headers],[Inner Spring Stretch]],Table2[#Headers],0),0)</f>
        <v>Null</v>
      </c>
      <c r="BH18" s="2" t="str">
        <f>VLOOKUP([jobnumber],OvalData[],MATCH(Table2[[#Headers],[Inner Spring Torque]],Table2[#Headers],0),0)</f>
        <v>Null</v>
      </c>
      <c r="BI18" s="2" t="str">
        <f>VLOOKUP([jobnumber],OvalData[],MATCH(Table2[[#Headers],[Inner Spring Max Turns]],Table2[#Headers],0),0)</f>
        <v>Null</v>
      </c>
      <c r="BJ18" s="2" t="str">
        <f>VLOOKUP([jobnumber],OvalData[],MATCH(Table2[[#Headers],[Inner Spring Weight]],Table2[#Headers],0),0)</f>
        <v>Null</v>
      </c>
      <c r="BK18" s="2">
        <f>VLOOKUP([jobnumber],OvalData[],MATCH(Table2[[#Headers],[Cycles]],Table2[#Headers],0),0)</f>
        <v>0</v>
      </c>
      <c r="BL18" s="2">
        <f>VLOOKUP([jobnumber],OvalData[],MATCH(Table2[[#Headers],[Total Spring Torque]],Table2[#Headers],0),0)</f>
        <v>0</v>
      </c>
      <c r="BM18" s="2">
        <f>VLOOKUP([jobnumber],OvalData[],MATCH(Table2[[#Headers],[Total Spring Weight]],Table2[#Headers],0),0)</f>
        <v>0</v>
      </c>
      <c r="BN18" s="2">
        <f>VLOOKUP([jobnumber],OvalData[],MATCH(Table2[[#Headers],[Pipe Weight]],Table2[#Headers],0),0)</f>
        <v>688.24239999999998</v>
      </c>
      <c r="BO18" s="2">
        <f>VLOOKUP([jobnumber],OvalData[],MATCH(Table2[[#Headers],[Max Pipe Deflection]],Table2[#Headers],0),0)</f>
        <v>2309</v>
      </c>
      <c r="BP18" s="2">
        <f>VLOOKUP([jobnumber],OvalData[],MATCH(Table2[[#Headers],[Number Non-Insulated Wrap Slats]],Table2[#Headers],0),0)</f>
        <v>0</v>
      </c>
      <c r="BQ18" s="2">
        <f>VLOOKUP([jobnumber],OvalData[],MATCH(Table2[[#Headers],[Number of Insolated Top Slats]],Table2[#Headers],0),0)</f>
        <v>45</v>
      </c>
      <c r="BR18" s="2">
        <f>VLOOKUP([jobnumber],OvalData[],MATCH(Table2[[#Headers],[Insolated Total Slats]],Table2[#Headers],0),0)</f>
        <v>45</v>
      </c>
      <c r="BS18" s="2">
        <f>VLOOKUP([jobnumber],OvalData[],MATCH(Table2[[#Headers],[Number of Slats]],Table2[#Headers],0),0)</f>
        <v>44.69</v>
      </c>
      <c r="BT18" s="2">
        <f>VLOOKUP([jobnumber],OvalData[],MATCH(Table2[[#Headers],[Wrap]],Table2[#Headers],0),0)</f>
        <v>0</v>
      </c>
      <c r="BU18" s="2">
        <f>VLOOKUP([jobnumber],OvalData[],MATCH(Table2[[#Headers],[Wall Angle Thickness]],Table2[#Headers],0),0)</f>
        <v>0</v>
      </c>
      <c r="BV18" s="2">
        <f>VLOOKUP([jobnumber],OvalData[],MATCH(Table2[[#Headers],[windlocks]],Table2[#Headers],0),0)</f>
        <v>0</v>
      </c>
      <c r="BW18" s="2" t="str">
        <f>VLOOKUP([jobnumber],OvalData[],MATCH(Table2[[#Headers],[bottombartype]],Table2[#Headers],0),0)</f>
        <v>SPECIAL</v>
      </c>
      <c r="BX18" s="2">
        <f>VLOOKUP([jobnumber],OvalData[],MATCH(Table2[[#Headers],[endlockweight]],Table2[#Headers],0),0)</f>
        <v>0.17</v>
      </c>
      <c r="BY18" s="2">
        <f>VLOOKUP([jobnumber],OvalData[],MATCH(Table2[[#Headers],[Endlock Total Weight]],Table2[#Headers],0),0)</f>
        <v>7.5972999999999997</v>
      </c>
      <c r="BZ18" s="2">
        <f>VLOOKUP([jobnumber],OvalData[],MATCH(Table2[[#Headers],[Grille Weight]],Table2[#Headers],0),0)</f>
        <v>0</v>
      </c>
      <c r="CA18" s="2">
        <f>VLOOKUP([jobnumber],OvalData[],MATCH(Table2[[#Headers],[barrelrings]],Table2[#Headers],0),0)</f>
        <v>1</v>
      </c>
    </row>
    <row r="19" spans="2:79">
      <c r="B19" s="2" t="str">
        <f>VLOOKUP([jobnumber],OvalData[],MATCH(Table2[[#Headers],[Hand]],Table2[#Headers],0),0)</f>
        <v>RH</v>
      </c>
      <c r="C19" s="2" t="str">
        <f>VLOOKUP([jobnumber],OvalData[],MATCH(Table2[[#Headers],[Model]],Table2[#Headers],0),0)</f>
        <v>SFMPP</v>
      </c>
      <c r="D19" s="2" t="str">
        <f>VLOOKUP([jobnumber],OvalData[],MATCH(Table2[[#Headers],[width]],Table2[#Headers],0),0)</f>
        <v xml:space="preserve"> 18 ft.- 2"</v>
      </c>
      <c r="E19" s="2" t="str">
        <f>VLOOKUP([jobnumber],OvalData[],MATCH(Table2[[#Headers],[stopheight]],Table2[#Headers],0),0)</f>
        <v xml:space="preserve"> 10 ft.- 0"</v>
      </c>
      <c r="F19" s="2" t="str">
        <f>VLOOKUP([jobnumber],OvalData[],MATCH(Table2[[#Headers],[Between Brackets]],Table2[#Headers],0),0)</f>
        <v xml:space="preserve"> 18 ft.- 7 7/ 8"</v>
      </c>
      <c r="G19" s="2" t="str">
        <f>VLOOKUP([jobnumber],OvalData[],MATCH(Table2[[#Headers],[shell]],Table2[#Headers],0),0)</f>
        <v>6 INCH TUBE</v>
      </c>
      <c r="H19" s="2" t="str">
        <f>VLOOKUP([jobnumber],OvalData[],MATCH(Table2[[#Headers],[pipewidth]],Table2[#Headers],0),0)</f>
        <v xml:space="preserve"> 18 ft.- 1 3/ 8"</v>
      </c>
      <c r="I19" s="2">
        <f>VLOOKUP([jobnumber],OvalData[],MATCH(Table2[[#Headers],[Support Tubes]],Table2[#Headers],0),0)</f>
        <v>0</v>
      </c>
      <c r="J19" s="2">
        <f>VLOOKUP([jobnumber],OvalData[],MATCH(Table2[[#Headers],[Upset]],Table2[#Headers],0),0)</f>
        <v>2</v>
      </c>
      <c r="K19" s="2" t="str">
        <f>VLOOKUP([jobnumber],OvalData[],MATCH(Table2[[#Headers],[Guide Type]],Table2[#Headers],0),0)</f>
        <v>SN2-4 5/8-E</v>
      </c>
      <c r="L19" s="2" t="str">
        <f>VLOOKUP([jobnumber],OvalData[],MATCH(Table2[[#Headers],[Wall Angle]],Table2[#Headers],0),0)</f>
        <v xml:space="preserve"> 11 ft.- 8"</v>
      </c>
      <c r="M19" s="2" t="str">
        <f>VLOOKUP([jobnumber],OvalData[],MATCH(Table2[[#Headers],[Middle Angle]],Table2[#Headers],0),0)</f>
        <v xml:space="preserve"> 10 ft.- 4 1/ 2"</v>
      </c>
      <c r="N19" s="2" t="str">
        <f>VLOOKUP([jobnumber],OvalData[],MATCH(Table2[[#Headers],[Front Angle]],Table2[#Headers],0),0)</f>
        <v xml:space="preserve"> 10 ft.- 3"</v>
      </c>
      <c r="O19" s="2">
        <f>VLOOKUP([jobnumber],OvalData[],MATCH(Table2[[#Headers],[Pipe Center Line]],Table2[#Headers],0),0)</f>
        <v>131</v>
      </c>
      <c r="P19" s="2">
        <f>VLOOKUP([jobnumber],OvalData[],MATCH(Table2[[#Headers],[Heat Expansion Gap]],Table2[#Headers],0),0)</f>
        <v>0</v>
      </c>
      <c r="Q19" s="2">
        <f>VLOOKUP([jobnumber],OvalData[],MATCH(Table2[[#Headers],[Hanging Weight Closed]],Table2[#Headers],0),0)</f>
        <v>795</v>
      </c>
      <c r="R19" s="2">
        <f>VLOOKUP([jobnumber],OvalData[],MATCH(Table2[[#Headers],[Hanging Weight Open]],Table2[#Headers],0),0)</f>
        <v>140</v>
      </c>
      <c r="S19" s="2">
        <f>VLOOKUP([jobnumber],OvalData[],MATCH(Table2[[#Headers],[Initial Lever Arm]],Table2[#Headers],0),0)</f>
        <v>4.25</v>
      </c>
      <c r="T19" s="2">
        <f>VLOOKUP([jobnumber],OvalData[],MATCH(Table2[[#Headers],[Turns to Raise]],Table2[#Headers],0),0)</f>
        <v>3.5859999999999999</v>
      </c>
      <c r="U19" s="2">
        <f>VLOOKUP([jobnumber],OvalData[],MATCH(Table2[[#Headers],[Final Lever Arm]],Table2[#Headers],0),0)</f>
        <v>6.37</v>
      </c>
      <c r="V19" s="2">
        <f>VLOOKUP([jobnumber],OvalData[],MATCH(Table2[[#Headers],[Torque Required Closed]],Table2[#Headers],0),0)</f>
        <v>3377.9</v>
      </c>
      <c r="W19" s="2">
        <f>VLOOKUP([jobnumber],OvalData[],MATCH(Table2[[#Headers],[Torque Required Open]],Table2[#Headers],0),0)</f>
        <v>892</v>
      </c>
      <c r="X19" s="2">
        <f>VLOOKUP([jobnumber],OvalData[],MATCH(Table2[[#Headers],[Pre Turns]],Table2[#Headers],0),0)</f>
        <v>1.3332999999999999</v>
      </c>
      <c r="Y19" s="2">
        <f>VLOOKUP([jobnumber],OvalData[],MATCH(Table2[[#Headers],[Required Torque Per Turn]],Table2[#Headers],0),0)</f>
        <v>688</v>
      </c>
      <c r="Z19" s="2">
        <f>VLOOKUP([jobnumber],OvalData[],MATCH(Table2[[#Headers],[Total Turns]],Table2[#Headers],0),0)</f>
        <v>4.91</v>
      </c>
      <c r="AA19" s="2">
        <f>VLOOKUP([jobnumber],OvalData[],MATCH(Table2[[#Headers],[Grille Vision Section]],Table2[#Headers],0),0)</f>
        <v>0</v>
      </c>
      <c r="AB19" s="2">
        <f>VLOOKUP([jobnumber],OvalData[],MATCH(Table2[[#Headers],[Grille Amount]],Table2[#Headers],0),0)</f>
        <v>0</v>
      </c>
      <c r="AC19" s="2">
        <f>VLOOKUP([jobnumber],OvalData[],MATCH(Table2[[#Headers],[Grille Center]],Table2[#Headers],0),0)</f>
        <v>0</v>
      </c>
      <c r="AD19" s="2">
        <f>VLOOKUP([jobnumber],OvalData[],MATCH(Table2[[#Headers],[Grille Pattern]],Table2[#Headers],0),0)</f>
        <v>0</v>
      </c>
      <c r="AE19" s="2">
        <f>VLOOKUP([jobnumber],OvalData[],MATCH(Table2[[#Headers],[Grille First Tube]],Table2[#Headers],0),0)</f>
        <v>0</v>
      </c>
      <c r="AF19" s="2">
        <f>VLOOKUP([jobnumber],OvalData[],MATCH(Table2[[#Headers],[Grille Standard Tube]],Table2[#Headers],0),0)</f>
        <v>0</v>
      </c>
      <c r="AG19" s="2">
        <f>VLOOKUP([jobnumber],OvalData[],MATCH(Table2[[#Headers],[Grille Total Links]],Table2[#Headers],0),0)</f>
        <v>0</v>
      </c>
      <c r="AH19" s="2">
        <f>VLOOKUP([jobnumber],OvalData[],MATCH(Table2[[#Headers],[Grille Rods]],Table2[#Headers],0),0)</f>
        <v>0</v>
      </c>
      <c r="AI19" s="2">
        <f>VLOOKUP([jobnumber],OvalData[],MATCH(Table2[[#Headers],[Grille Rod Length]],Table2[#Headers],0),0)</f>
        <v>0</v>
      </c>
      <c r="AJ19" s="2">
        <f>VLOOKUP([jobnumber],OvalData[],MATCH(Table2[[#Headers],[slattype]],Table2[#Headers],0),0)</f>
        <v>2</v>
      </c>
      <c r="AK19" s="2">
        <f>VLOOKUP([jobnumber],OvalData[],MATCH(Table2[[#Headers],[slatgage]],Table2[#Headers],0),0)</f>
        <v>18</v>
      </c>
      <c r="AL19" s="2">
        <f>VLOOKUP([jobnumber],OvalData[],MATCH(Table2[[#Headers],[Numer of Top Slats]],Table2[#Headers],0),0)</f>
        <v>0</v>
      </c>
      <c r="AM19" s="2">
        <f>VLOOKUP([jobnumber],OvalData[],MATCH(Table2[[#Headers],[Number of Bottom Slats]],Table2[#Headers],0),0)</f>
        <v>0</v>
      </c>
      <c r="AN19" s="2">
        <f>VLOOKUP([jobnumber],OvalData[],MATCH(Table2[[#Headers],[Solid Bottom Height]],Table2[#Headers],0),0)</f>
        <v>0</v>
      </c>
      <c r="AO19" s="2" t="str">
        <f>VLOOKUP([jobnumber],OvalData[],MATCH(Table2[[#Headers],[slatlength]],Table2[#Headers],0),0)</f>
        <v xml:space="preserve"> 18 ft.- 5 7/ 8"</v>
      </c>
      <c r="AP19" s="2">
        <f>VLOOKUP([jobnumber],OvalData[],MATCH(Table2[[#Headers],[Bottom Slat Length]],Table2[#Headers],0),0)</f>
        <v>0</v>
      </c>
      <c r="AQ19" s="2">
        <f>VLOOKUP([jobnumber],OvalData[],MATCH(Table2[[#Headers],[Number of Perferated Slats]],Table2[#Headers],0),0)</f>
        <v>0</v>
      </c>
      <c r="AR19" s="2">
        <f>VLOOKUP([jobnumber],OvalData[],MATCH(Table2[[#Headers],[First Preferated Slat From End]],Table2[#Headers],0),0)</f>
        <v>0</v>
      </c>
      <c r="AS19" s="2">
        <f>VLOOKUP([jobnumber],OvalData[],MATCH(Table2[[#Headers],[First Preferated Slat From Bottom]],Table2[#Headers],0),0)</f>
        <v>0</v>
      </c>
      <c r="AT19" s="2">
        <f>VLOOKUP([jobnumber],OvalData[],MATCH(Table2[[#Headers],[Total Number of Slats]],Table2[#Headers],0),0)</f>
        <v>51</v>
      </c>
      <c r="AU19" s="2">
        <f>VLOOKUP([jobnumber],OvalData[],MATCH(Table2[[#Headers],[Bottom Bar Slope]],Table2[#Headers],0),0)</f>
        <v>0</v>
      </c>
      <c r="AV19" s="2">
        <f>VLOOKUP([jobnumber],OvalData[],MATCH(Table2[[#Headers],[Bottom Bar Weight]],Table2[#Headers],0),0)</f>
        <v>80.5</v>
      </c>
      <c r="AW19" s="2" t="str">
        <f>VLOOKUP([jobnumber],OvalData[],MATCH(Table2[[#Headers],[Outer Spring Gage]],Table2[#Headers],0),0)</f>
        <v>Null</v>
      </c>
      <c r="AX19" s="2" t="str">
        <f>VLOOKUP([jobnumber],OvalData[],MATCH(Table2[[#Headers],[Outer Spring OD]],Table2[#Headers],0),0)</f>
        <v>Null</v>
      </c>
      <c r="AY19" s="2" t="str">
        <f>VLOOKUP([jobnumber],OvalData[],MATCH(Table2[[#Headers],[Outer Spring Length]],Table2[#Headers],0),0)</f>
        <v>Null</v>
      </c>
      <c r="AZ19" s="2" t="str">
        <f>VLOOKUP([jobnumber],OvalData[],MATCH(Table2[[#Headers],[Outer Spring Stretch]],Table2[#Headers],0),0)</f>
        <v>Null</v>
      </c>
      <c r="BA19" s="2" t="str">
        <f>VLOOKUP([jobnumber],OvalData[],MATCH(Table2[[#Headers],[Outer Spring Torque]],Table2[#Headers],0),0)</f>
        <v>Null</v>
      </c>
      <c r="BB19" s="2" t="str">
        <f>VLOOKUP([jobnumber],OvalData[],MATCH(Table2[[#Headers],[Outer Spring Max Turns]],Table2[#Headers],0),0)</f>
        <v>Null</v>
      </c>
      <c r="BC19" s="2" t="str">
        <f>VLOOKUP([jobnumber],OvalData[],MATCH(Table2[[#Headers],[Outer Spring Weight]],Table2[#Headers],0),0)</f>
        <v>Null</v>
      </c>
      <c r="BD19" s="2" t="str">
        <f>VLOOKUP([jobnumber],OvalData[],MATCH(Table2[[#Headers],[Inner Spring Gage]],Table2[#Headers],0),0)</f>
        <v>Null</v>
      </c>
      <c r="BE19" s="2" t="str">
        <f>VLOOKUP([jobnumber],OvalData[],MATCH(Table2[[#Headers],[Inner Spring OD]],Table2[#Headers],0),0)</f>
        <v>Null</v>
      </c>
      <c r="BF19" s="2" t="str">
        <f>VLOOKUP([jobnumber],OvalData[],MATCH(Table2[[#Headers],[Inner Spring Length]],Table2[#Headers],0),0)</f>
        <v>Null</v>
      </c>
      <c r="BG19" s="2" t="str">
        <f>VLOOKUP([jobnumber],OvalData[],MATCH(Table2[[#Headers],[Inner Spring Stretch]],Table2[#Headers],0),0)</f>
        <v>Null</v>
      </c>
      <c r="BH19" s="2" t="str">
        <f>VLOOKUP([jobnumber],OvalData[],MATCH(Table2[[#Headers],[Inner Spring Torque]],Table2[#Headers],0),0)</f>
        <v>Null</v>
      </c>
      <c r="BI19" s="2" t="str">
        <f>VLOOKUP([jobnumber],OvalData[],MATCH(Table2[[#Headers],[Inner Spring Max Turns]],Table2[#Headers],0),0)</f>
        <v>Null</v>
      </c>
      <c r="BJ19" s="2" t="str">
        <f>VLOOKUP([jobnumber],OvalData[],MATCH(Table2[[#Headers],[Inner Spring Weight]],Table2[#Headers],0),0)</f>
        <v>Null</v>
      </c>
      <c r="BK19" s="2">
        <f>VLOOKUP([jobnumber],OvalData[],MATCH(Table2[[#Headers],[Cycles]],Table2[#Headers],0),0)</f>
        <v>0</v>
      </c>
      <c r="BL19" s="2">
        <f>VLOOKUP([jobnumber],OvalData[],MATCH(Table2[[#Headers],[Total Spring Torque]],Table2[#Headers],0),0)</f>
        <v>0</v>
      </c>
      <c r="BM19" s="2">
        <f>VLOOKUP([jobnumber],OvalData[],MATCH(Table2[[#Headers],[Total Spring Weight]],Table2[#Headers],0),0)</f>
        <v>0</v>
      </c>
      <c r="BN19" s="2">
        <f>VLOOKUP([jobnumber],OvalData[],MATCH(Table2[[#Headers],[Pipe Weight]],Table2[#Headers],0),0)</f>
        <v>688.24239999999998</v>
      </c>
      <c r="BO19" s="2">
        <f>VLOOKUP([jobnumber],OvalData[],MATCH(Table2[[#Headers],[Max Pipe Deflection]],Table2[#Headers],0),0)</f>
        <v>2309</v>
      </c>
      <c r="BP19" s="2">
        <f>VLOOKUP([jobnumber],OvalData[],MATCH(Table2[[#Headers],[Number Non-Insulated Wrap Slats]],Table2[#Headers],0),0)</f>
        <v>0</v>
      </c>
      <c r="BQ19" s="2">
        <f>VLOOKUP([jobnumber],OvalData[],MATCH(Table2[[#Headers],[Number of Insolated Top Slats]],Table2[#Headers],0),0)</f>
        <v>45</v>
      </c>
      <c r="BR19" s="2">
        <f>VLOOKUP([jobnumber],OvalData[],MATCH(Table2[[#Headers],[Insolated Total Slats]],Table2[#Headers],0),0)</f>
        <v>45</v>
      </c>
      <c r="BS19" s="2">
        <f>VLOOKUP([jobnumber],OvalData[],MATCH(Table2[[#Headers],[Number of Slats]],Table2[#Headers],0),0)</f>
        <v>44.69</v>
      </c>
      <c r="BT19" s="2">
        <f>VLOOKUP([jobnumber],OvalData[],MATCH(Table2[[#Headers],[Wrap]],Table2[#Headers],0),0)</f>
        <v>0</v>
      </c>
      <c r="BU19" s="2">
        <f>VLOOKUP([jobnumber],OvalData[],MATCH(Table2[[#Headers],[Wall Angle Thickness]],Table2[#Headers],0),0)</f>
        <v>0</v>
      </c>
      <c r="BV19" s="2">
        <f>VLOOKUP([jobnumber],OvalData[],MATCH(Table2[[#Headers],[windlocks]],Table2[#Headers],0),0)</f>
        <v>0</v>
      </c>
      <c r="BW19" s="2" t="str">
        <f>VLOOKUP([jobnumber],OvalData[],MATCH(Table2[[#Headers],[bottombartype]],Table2[#Headers],0),0)</f>
        <v>SPECIAL</v>
      </c>
      <c r="BX19" s="2">
        <f>VLOOKUP([jobnumber],OvalData[],MATCH(Table2[[#Headers],[endlockweight]],Table2[#Headers],0),0)</f>
        <v>0.17</v>
      </c>
      <c r="BY19" s="2">
        <f>VLOOKUP([jobnumber],OvalData[],MATCH(Table2[[#Headers],[Endlock Total Weight]],Table2[#Headers],0),0)</f>
        <v>7.5972999999999997</v>
      </c>
      <c r="BZ19" s="2">
        <f>VLOOKUP([jobnumber],OvalData[],MATCH(Table2[[#Headers],[Grille Weight]],Table2[#Headers],0),0)</f>
        <v>0</v>
      </c>
      <c r="CA19" s="2">
        <f>VLOOKUP([jobnumber],OvalData[],MATCH(Table2[[#Headers],[barrelrings]],Table2[#Headers],0),0)</f>
        <v>1</v>
      </c>
    </row>
    <row r="20" spans="2:79">
      <c r="B20" s="2" t="str">
        <f>VLOOKUP([jobnumber],OvalData[],MATCH(Table2[[#Headers],[Hand]],Table2[#Headers],0),0)</f>
        <v>RH</v>
      </c>
      <c r="C20" s="2" t="str">
        <f>VLOOKUP([jobnumber],OvalData[],MATCH(Table2[[#Headers],[Model]],Table2[#Headers],0),0)</f>
        <v>SFMPP</v>
      </c>
      <c r="D20" s="2" t="str">
        <f>VLOOKUP([jobnumber],OvalData[],MATCH(Table2[[#Headers],[width]],Table2[#Headers],0),0)</f>
        <v xml:space="preserve"> 18 ft.- 2"</v>
      </c>
      <c r="E20" s="2" t="str">
        <f>VLOOKUP([jobnumber],OvalData[],MATCH(Table2[[#Headers],[stopheight]],Table2[#Headers],0),0)</f>
        <v xml:space="preserve"> 10 ft.- 0"</v>
      </c>
      <c r="F20" s="2" t="str">
        <f>VLOOKUP([jobnumber],OvalData[],MATCH(Table2[[#Headers],[Between Brackets]],Table2[#Headers],0),0)</f>
        <v xml:space="preserve"> 18 ft.- 7 7/ 8"</v>
      </c>
      <c r="G20" s="2" t="str">
        <f>VLOOKUP([jobnumber],OvalData[],MATCH(Table2[[#Headers],[shell]],Table2[#Headers],0),0)</f>
        <v>6 INCH TUBE</v>
      </c>
      <c r="H20" s="2" t="str">
        <f>VLOOKUP([jobnumber],OvalData[],MATCH(Table2[[#Headers],[pipewidth]],Table2[#Headers],0),0)</f>
        <v xml:space="preserve"> 18 ft.- 1 3/ 8"</v>
      </c>
      <c r="I20" s="2">
        <f>VLOOKUP([jobnumber],OvalData[],MATCH(Table2[[#Headers],[Support Tubes]],Table2[#Headers],0),0)</f>
        <v>0</v>
      </c>
      <c r="J20" s="2">
        <f>VLOOKUP([jobnumber],OvalData[],MATCH(Table2[[#Headers],[Upset]],Table2[#Headers],0),0)</f>
        <v>2</v>
      </c>
      <c r="K20" s="2" t="str">
        <f>VLOOKUP([jobnumber],OvalData[],MATCH(Table2[[#Headers],[Guide Type]],Table2[#Headers],0),0)</f>
        <v>SN2-4 5/8-E</v>
      </c>
      <c r="L20" s="2" t="str">
        <f>VLOOKUP([jobnumber],OvalData[],MATCH(Table2[[#Headers],[Wall Angle]],Table2[#Headers],0),0)</f>
        <v xml:space="preserve"> 11 ft.- 8"</v>
      </c>
      <c r="M20" s="2" t="str">
        <f>VLOOKUP([jobnumber],OvalData[],MATCH(Table2[[#Headers],[Middle Angle]],Table2[#Headers],0),0)</f>
        <v xml:space="preserve"> 10 ft.- 4 1/ 2"</v>
      </c>
      <c r="N20" s="2" t="str">
        <f>VLOOKUP([jobnumber],OvalData[],MATCH(Table2[[#Headers],[Front Angle]],Table2[#Headers],0),0)</f>
        <v xml:space="preserve"> 10 ft.- 3"</v>
      </c>
      <c r="O20" s="2">
        <f>VLOOKUP([jobnumber],OvalData[],MATCH(Table2[[#Headers],[Pipe Center Line]],Table2[#Headers],0),0)</f>
        <v>131</v>
      </c>
      <c r="P20" s="2">
        <f>VLOOKUP([jobnumber],OvalData[],MATCH(Table2[[#Headers],[Heat Expansion Gap]],Table2[#Headers],0),0)</f>
        <v>0</v>
      </c>
      <c r="Q20" s="2">
        <f>VLOOKUP([jobnumber],OvalData[],MATCH(Table2[[#Headers],[Hanging Weight Closed]],Table2[#Headers],0),0)</f>
        <v>795</v>
      </c>
      <c r="R20" s="2">
        <f>VLOOKUP([jobnumber],OvalData[],MATCH(Table2[[#Headers],[Hanging Weight Open]],Table2[#Headers],0),0)</f>
        <v>140</v>
      </c>
      <c r="S20" s="2">
        <f>VLOOKUP([jobnumber],OvalData[],MATCH(Table2[[#Headers],[Initial Lever Arm]],Table2[#Headers],0),0)</f>
        <v>4.25</v>
      </c>
      <c r="T20" s="2">
        <f>VLOOKUP([jobnumber],OvalData[],MATCH(Table2[[#Headers],[Turns to Raise]],Table2[#Headers],0),0)</f>
        <v>3.5859999999999999</v>
      </c>
      <c r="U20" s="2">
        <f>VLOOKUP([jobnumber],OvalData[],MATCH(Table2[[#Headers],[Final Lever Arm]],Table2[#Headers],0),0)</f>
        <v>6.37</v>
      </c>
      <c r="V20" s="2">
        <f>VLOOKUP([jobnumber],OvalData[],MATCH(Table2[[#Headers],[Torque Required Closed]],Table2[#Headers],0),0)</f>
        <v>3377.9</v>
      </c>
      <c r="W20" s="2">
        <f>VLOOKUP([jobnumber],OvalData[],MATCH(Table2[[#Headers],[Torque Required Open]],Table2[#Headers],0),0)</f>
        <v>892</v>
      </c>
      <c r="X20" s="2">
        <f>VLOOKUP([jobnumber],OvalData[],MATCH(Table2[[#Headers],[Pre Turns]],Table2[#Headers],0),0)</f>
        <v>1.3332999999999999</v>
      </c>
      <c r="Y20" s="2">
        <f>VLOOKUP([jobnumber],OvalData[],MATCH(Table2[[#Headers],[Required Torque Per Turn]],Table2[#Headers],0),0)</f>
        <v>688</v>
      </c>
      <c r="Z20" s="2">
        <f>VLOOKUP([jobnumber],OvalData[],MATCH(Table2[[#Headers],[Total Turns]],Table2[#Headers],0),0)</f>
        <v>4.91</v>
      </c>
      <c r="AA20" s="2">
        <f>VLOOKUP([jobnumber],OvalData[],MATCH(Table2[[#Headers],[Grille Vision Section]],Table2[#Headers],0),0)</f>
        <v>0</v>
      </c>
      <c r="AB20" s="2">
        <f>VLOOKUP([jobnumber],OvalData[],MATCH(Table2[[#Headers],[Grille Amount]],Table2[#Headers],0),0)</f>
        <v>0</v>
      </c>
      <c r="AC20" s="2">
        <f>VLOOKUP([jobnumber],OvalData[],MATCH(Table2[[#Headers],[Grille Center]],Table2[#Headers],0),0)</f>
        <v>0</v>
      </c>
      <c r="AD20" s="2">
        <f>VLOOKUP([jobnumber],OvalData[],MATCH(Table2[[#Headers],[Grille Pattern]],Table2[#Headers],0),0)</f>
        <v>0</v>
      </c>
      <c r="AE20" s="2">
        <f>VLOOKUP([jobnumber],OvalData[],MATCH(Table2[[#Headers],[Grille First Tube]],Table2[#Headers],0),0)</f>
        <v>0</v>
      </c>
      <c r="AF20" s="2">
        <f>VLOOKUP([jobnumber],OvalData[],MATCH(Table2[[#Headers],[Grille Standard Tube]],Table2[#Headers],0),0)</f>
        <v>0</v>
      </c>
      <c r="AG20" s="2">
        <f>VLOOKUP([jobnumber],OvalData[],MATCH(Table2[[#Headers],[Grille Total Links]],Table2[#Headers],0),0)</f>
        <v>0</v>
      </c>
      <c r="AH20" s="2">
        <f>VLOOKUP([jobnumber],OvalData[],MATCH(Table2[[#Headers],[Grille Rods]],Table2[#Headers],0),0)</f>
        <v>0</v>
      </c>
      <c r="AI20" s="2">
        <f>VLOOKUP([jobnumber],OvalData[],MATCH(Table2[[#Headers],[Grille Rod Length]],Table2[#Headers],0),0)</f>
        <v>0</v>
      </c>
      <c r="AJ20" s="2">
        <f>VLOOKUP([jobnumber],OvalData[],MATCH(Table2[[#Headers],[slattype]],Table2[#Headers],0),0)</f>
        <v>2</v>
      </c>
      <c r="AK20" s="2">
        <f>VLOOKUP([jobnumber],OvalData[],MATCH(Table2[[#Headers],[slatgage]],Table2[#Headers],0),0)</f>
        <v>18</v>
      </c>
      <c r="AL20" s="2">
        <f>VLOOKUP([jobnumber],OvalData[],MATCH(Table2[[#Headers],[Numer of Top Slats]],Table2[#Headers],0),0)</f>
        <v>0</v>
      </c>
      <c r="AM20" s="2">
        <f>VLOOKUP([jobnumber],OvalData[],MATCH(Table2[[#Headers],[Number of Bottom Slats]],Table2[#Headers],0),0)</f>
        <v>0</v>
      </c>
      <c r="AN20" s="2">
        <f>VLOOKUP([jobnumber],OvalData[],MATCH(Table2[[#Headers],[Solid Bottom Height]],Table2[#Headers],0),0)</f>
        <v>0</v>
      </c>
      <c r="AO20" s="2" t="str">
        <f>VLOOKUP([jobnumber],OvalData[],MATCH(Table2[[#Headers],[slatlength]],Table2[#Headers],0),0)</f>
        <v xml:space="preserve"> 18 ft.- 5 7/ 8"</v>
      </c>
      <c r="AP20" s="2">
        <f>VLOOKUP([jobnumber],OvalData[],MATCH(Table2[[#Headers],[Bottom Slat Length]],Table2[#Headers],0),0)</f>
        <v>0</v>
      </c>
      <c r="AQ20" s="2">
        <f>VLOOKUP([jobnumber],OvalData[],MATCH(Table2[[#Headers],[Number of Perferated Slats]],Table2[#Headers],0),0)</f>
        <v>0</v>
      </c>
      <c r="AR20" s="2">
        <f>VLOOKUP([jobnumber],OvalData[],MATCH(Table2[[#Headers],[First Preferated Slat From End]],Table2[#Headers],0),0)</f>
        <v>0</v>
      </c>
      <c r="AS20" s="2">
        <f>VLOOKUP([jobnumber],OvalData[],MATCH(Table2[[#Headers],[First Preferated Slat From Bottom]],Table2[#Headers],0),0)</f>
        <v>0</v>
      </c>
      <c r="AT20" s="2">
        <f>VLOOKUP([jobnumber],OvalData[],MATCH(Table2[[#Headers],[Total Number of Slats]],Table2[#Headers],0),0)</f>
        <v>51</v>
      </c>
      <c r="AU20" s="2">
        <f>VLOOKUP([jobnumber],OvalData[],MATCH(Table2[[#Headers],[Bottom Bar Slope]],Table2[#Headers],0),0)</f>
        <v>0</v>
      </c>
      <c r="AV20" s="2">
        <f>VLOOKUP([jobnumber],OvalData[],MATCH(Table2[[#Headers],[Bottom Bar Weight]],Table2[#Headers],0),0)</f>
        <v>80.5</v>
      </c>
      <c r="AW20" s="2" t="str">
        <f>VLOOKUP([jobnumber],OvalData[],MATCH(Table2[[#Headers],[Outer Spring Gage]],Table2[#Headers],0),0)</f>
        <v>Null</v>
      </c>
      <c r="AX20" s="2" t="str">
        <f>VLOOKUP([jobnumber],OvalData[],MATCH(Table2[[#Headers],[Outer Spring OD]],Table2[#Headers],0),0)</f>
        <v>Null</v>
      </c>
      <c r="AY20" s="2" t="str">
        <f>VLOOKUP([jobnumber],OvalData[],MATCH(Table2[[#Headers],[Outer Spring Length]],Table2[#Headers],0),0)</f>
        <v>Null</v>
      </c>
      <c r="AZ20" s="2" t="str">
        <f>VLOOKUP([jobnumber],OvalData[],MATCH(Table2[[#Headers],[Outer Spring Stretch]],Table2[#Headers],0),0)</f>
        <v>Null</v>
      </c>
      <c r="BA20" s="2" t="str">
        <f>VLOOKUP([jobnumber],OvalData[],MATCH(Table2[[#Headers],[Outer Spring Torque]],Table2[#Headers],0),0)</f>
        <v>Null</v>
      </c>
      <c r="BB20" s="2" t="str">
        <f>VLOOKUP([jobnumber],OvalData[],MATCH(Table2[[#Headers],[Outer Spring Max Turns]],Table2[#Headers],0),0)</f>
        <v>Null</v>
      </c>
      <c r="BC20" s="2" t="str">
        <f>VLOOKUP([jobnumber],OvalData[],MATCH(Table2[[#Headers],[Outer Spring Weight]],Table2[#Headers],0),0)</f>
        <v>Null</v>
      </c>
      <c r="BD20" s="2" t="str">
        <f>VLOOKUP([jobnumber],OvalData[],MATCH(Table2[[#Headers],[Inner Spring Gage]],Table2[#Headers],0),0)</f>
        <v>Null</v>
      </c>
      <c r="BE20" s="2" t="str">
        <f>VLOOKUP([jobnumber],OvalData[],MATCH(Table2[[#Headers],[Inner Spring OD]],Table2[#Headers],0),0)</f>
        <v>Null</v>
      </c>
      <c r="BF20" s="2" t="str">
        <f>VLOOKUP([jobnumber],OvalData[],MATCH(Table2[[#Headers],[Inner Spring Length]],Table2[#Headers],0),0)</f>
        <v>Null</v>
      </c>
      <c r="BG20" s="2" t="str">
        <f>VLOOKUP([jobnumber],OvalData[],MATCH(Table2[[#Headers],[Inner Spring Stretch]],Table2[#Headers],0),0)</f>
        <v>Null</v>
      </c>
      <c r="BH20" s="2" t="str">
        <f>VLOOKUP([jobnumber],OvalData[],MATCH(Table2[[#Headers],[Inner Spring Torque]],Table2[#Headers],0),0)</f>
        <v>Null</v>
      </c>
      <c r="BI20" s="2" t="str">
        <f>VLOOKUP([jobnumber],OvalData[],MATCH(Table2[[#Headers],[Inner Spring Max Turns]],Table2[#Headers],0),0)</f>
        <v>Null</v>
      </c>
      <c r="BJ20" s="2" t="str">
        <f>VLOOKUP([jobnumber],OvalData[],MATCH(Table2[[#Headers],[Inner Spring Weight]],Table2[#Headers],0),0)</f>
        <v>Null</v>
      </c>
      <c r="BK20" s="2">
        <f>VLOOKUP([jobnumber],OvalData[],MATCH(Table2[[#Headers],[Cycles]],Table2[#Headers],0),0)</f>
        <v>0</v>
      </c>
      <c r="BL20" s="2">
        <f>VLOOKUP([jobnumber],OvalData[],MATCH(Table2[[#Headers],[Total Spring Torque]],Table2[#Headers],0),0)</f>
        <v>0</v>
      </c>
      <c r="BM20" s="2">
        <f>VLOOKUP([jobnumber],OvalData[],MATCH(Table2[[#Headers],[Total Spring Weight]],Table2[#Headers],0),0)</f>
        <v>0</v>
      </c>
      <c r="BN20" s="2">
        <f>VLOOKUP([jobnumber],OvalData[],MATCH(Table2[[#Headers],[Pipe Weight]],Table2[#Headers],0),0)</f>
        <v>688.24239999999998</v>
      </c>
      <c r="BO20" s="2">
        <f>VLOOKUP([jobnumber],OvalData[],MATCH(Table2[[#Headers],[Max Pipe Deflection]],Table2[#Headers],0),0)</f>
        <v>2309</v>
      </c>
      <c r="BP20" s="2">
        <f>VLOOKUP([jobnumber],OvalData[],MATCH(Table2[[#Headers],[Number Non-Insulated Wrap Slats]],Table2[#Headers],0),0)</f>
        <v>0</v>
      </c>
      <c r="BQ20" s="2">
        <f>VLOOKUP([jobnumber],OvalData[],MATCH(Table2[[#Headers],[Number of Insolated Top Slats]],Table2[#Headers],0),0)</f>
        <v>45</v>
      </c>
      <c r="BR20" s="2">
        <f>VLOOKUP([jobnumber],OvalData[],MATCH(Table2[[#Headers],[Insolated Total Slats]],Table2[#Headers],0),0)</f>
        <v>45</v>
      </c>
      <c r="BS20" s="2">
        <f>VLOOKUP([jobnumber],OvalData[],MATCH(Table2[[#Headers],[Number of Slats]],Table2[#Headers],0),0)</f>
        <v>44.69</v>
      </c>
      <c r="BT20" s="2">
        <f>VLOOKUP([jobnumber],OvalData[],MATCH(Table2[[#Headers],[Wrap]],Table2[#Headers],0),0)</f>
        <v>0</v>
      </c>
      <c r="BU20" s="2">
        <f>VLOOKUP([jobnumber],OvalData[],MATCH(Table2[[#Headers],[Wall Angle Thickness]],Table2[#Headers],0),0)</f>
        <v>0</v>
      </c>
      <c r="BV20" s="2">
        <f>VLOOKUP([jobnumber],OvalData[],MATCH(Table2[[#Headers],[windlocks]],Table2[#Headers],0),0)</f>
        <v>0</v>
      </c>
      <c r="BW20" s="2" t="str">
        <f>VLOOKUP([jobnumber],OvalData[],MATCH(Table2[[#Headers],[bottombartype]],Table2[#Headers],0),0)</f>
        <v>SPECIAL</v>
      </c>
      <c r="BX20" s="2">
        <f>VLOOKUP([jobnumber],OvalData[],MATCH(Table2[[#Headers],[endlockweight]],Table2[#Headers],0),0)</f>
        <v>0.17</v>
      </c>
      <c r="BY20" s="2">
        <f>VLOOKUP([jobnumber],OvalData[],MATCH(Table2[[#Headers],[Endlock Total Weight]],Table2[#Headers],0),0)</f>
        <v>7.5972999999999997</v>
      </c>
      <c r="BZ20" s="2">
        <f>VLOOKUP([jobnumber],OvalData[],MATCH(Table2[[#Headers],[Grille Weight]],Table2[#Headers],0),0)</f>
        <v>0</v>
      </c>
      <c r="CA20" s="2">
        <f>VLOOKUP([jobnumber],OvalData[],MATCH(Table2[[#Headers],[barrelrings]],Table2[#Headers],0),0)</f>
        <v>1</v>
      </c>
    </row>
    <row r="21" spans="2:79">
      <c r="B21" s="2" t="str">
        <f>VLOOKUP([jobnumber],OvalData[],MATCH(Table2[[#Headers],[Hand]],Table2[#Headers],0),0)</f>
        <v>RH</v>
      </c>
      <c r="C21" s="2" t="str">
        <f>VLOOKUP([jobnumber],OvalData[],MATCH(Table2[[#Headers],[Model]],Table2[#Headers],0),0)</f>
        <v>SFMPP</v>
      </c>
      <c r="D21" s="2" t="str">
        <f>VLOOKUP([jobnumber],OvalData[],MATCH(Table2[[#Headers],[width]],Table2[#Headers],0),0)</f>
        <v xml:space="preserve"> 18 ft.- 2"</v>
      </c>
      <c r="E21" s="2" t="str">
        <f>VLOOKUP([jobnumber],OvalData[],MATCH(Table2[[#Headers],[stopheight]],Table2[#Headers],0),0)</f>
        <v xml:space="preserve"> 10 ft.- 0"</v>
      </c>
      <c r="F21" s="2" t="str">
        <f>VLOOKUP([jobnumber],OvalData[],MATCH(Table2[[#Headers],[Between Brackets]],Table2[#Headers],0),0)</f>
        <v xml:space="preserve"> 18 ft.- 7 7/ 8"</v>
      </c>
      <c r="G21" s="2" t="str">
        <f>VLOOKUP([jobnumber],OvalData[],MATCH(Table2[[#Headers],[shell]],Table2[#Headers],0),0)</f>
        <v>6 INCH TUBE</v>
      </c>
      <c r="H21" s="2" t="str">
        <f>VLOOKUP([jobnumber],OvalData[],MATCH(Table2[[#Headers],[pipewidth]],Table2[#Headers],0),0)</f>
        <v xml:space="preserve"> 18 ft.- 1 3/ 8"</v>
      </c>
      <c r="I21" s="2">
        <f>VLOOKUP([jobnumber],OvalData[],MATCH(Table2[[#Headers],[Support Tubes]],Table2[#Headers],0),0)</f>
        <v>0</v>
      </c>
      <c r="J21" s="2">
        <f>VLOOKUP([jobnumber],OvalData[],MATCH(Table2[[#Headers],[Upset]],Table2[#Headers],0),0)</f>
        <v>2</v>
      </c>
      <c r="K21" s="2" t="str">
        <f>VLOOKUP([jobnumber],OvalData[],MATCH(Table2[[#Headers],[Guide Type]],Table2[#Headers],0),0)</f>
        <v>SN2-4 5/8-E</v>
      </c>
      <c r="L21" s="2" t="str">
        <f>VLOOKUP([jobnumber],OvalData[],MATCH(Table2[[#Headers],[Wall Angle]],Table2[#Headers],0),0)</f>
        <v xml:space="preserve"> 11 ft.- 8"</v>
      </c>
      <c r="M21" s="2" t="str">
        <f>VLOOKUP([jobnumber],OvalData[],MATCH(Table2[[#Headers],[Middle Angle]],Table2[#Headers],0),0)</f>
        <v xml:space="preserve"> 10 ft.- 4 1/ 2"</v>
      </c>
      <c r="N21" s="2" t="str">
        <f>VLOOKUP([jobnumber],OvalData[],MATCH(Table2[[#Headers],[Front Angle]],Table2[#Headers],0),0)</f>
        <v xml:space="preserve"> 10 ft.- 3"</v>
      </c>
      <c r="O21" s="2">
        <f>VLOOKUP([jobnumber],OvalData[],MATCH(Table2[[#Headers],[Pipe Center Line]],Table2[#Headers],0),0)</f>
        <v>131</v>
      </c>
      <c r="P21" s="2">
        <f>VLOOKUP([jobnumber],OvalData[],MATCH(Table2[[#Headers],[Heat Expansion Gap]],Table2[#Headers],0),0)</f>
        <v>0</v>
      </c>
      <c r="Q21" s="2">
        <f>VLOOKUP([jobnumber],OvalData[],MATCH(Table2[[#Headers],[Hanging Weight Closed]],Table2[#Headers],0),0)</f>
        <v>795</v>
      </c>
      <c r="R21" s="2">
        <f>VLOOKUP([jobnumber],OvalData[],MATCH(Table2[[#Headers],[Hanging Weight Open]],Table2[#Headers],0),0)</f>
        <v>140</v>
      </c>
      <c r="S21" s="2">
        <f>VLOOKUP([jobnumber],OvalData[],MATCH(Table2[[#Headers],[Initial Lever Arm]],Table2[#Headers],0),0)</f>
        <v>4.25</v>
      </c>
      <c r="T21" s="2">
        <f>VLOOKUP([jobnumber],OvalData[],MATCH(Table2[[#Headers],[Turns to Raise]],Table2[#Headers],0),0)</f>
        <v>3.5859999999999999</v>
      </c>
      <c r="U21" s="2">
        <f>VLOOKUP([jobnumber],OvalData[],MATCH(Table2[[#Headers],[Final Lever Arm]],Table2[#Headers],0),0)</f>
        <v>6.37</v>
      </c>
      <c r="V21" s="2">
        <f>VLOOKUP([jobnumber],OvalData[],MATCH(Table2[[#Headers],[Torque Required Closed]],Table2[#Headers],0),0)</f>
        <v>3377.9</v>
      </c>
      <c r="W21" s="2">
        <f>VLOOKUP([jobnumber],OvalData[],MATCH(Table2[[#Headers],[Torque Required Open]],Table2[#Headers],0),0)</f>
        <v>892</v>
      </c>
      <c r="X21" s="2">
        <f>VLOOKUP([jobnumber],OvalData[],MATCH(Table2[[#Headers],[Pre Turns]],Table2[#Headers],0),0)</f>
        <v>1.3332999999999999</v>
      </c>
      <c r="Y21" s="2">
        <f>VLOOKUP([jobnumber],OvalData[],MATCH(Table2[[#Headers],[Required Torque Per Turn]],Table2[#Headers],0),0)</f>
        <v>688</v>
      </c>
      <c r="Z21" s="2">
        <f>VLOOKUP([jobnumber],OvalData[],MATCH(Table2[[#Headers],[Total Turns]],Table2[#Headers],0),0)</f>
        <v>4.91</v>
      </c>
      <c r="AA21" s="2">
        <f>VLOOKUP([jobnumber],OvalData[],MATCH(Table2[[#Headers],[Grille Vision Section]],Table2[#Headers],0),0)</f>
        <v>0</v>
      </c>
      <c r="AB21" s="2">
        <f>VLOOKUP([jobnumber],OvalData[],MATCH(Table2[[#Headers],[Grille Amount]],Table2[#Headers],0),0)</f>
        <v>0</v>
      </c>
      <c r="AC21" s="2">
        <f>VLOOKUP([jobnumber],OvalData[],MATCH(Table2[[#Headers],[Grille Center]],Table2[#Headers],0),0)</f>
        <v>0</v>
      </c>
      <c r="AD21" s="2">
        <f>VLOOKUP([jobnumber],OvalData[],MATCH(Table2[[#Headers],[Grille Pattern]],Table2[#Headers],0),0)</f>
        <v>0</v>
      </c>
      <c r="AE21" s="2">
        <f>VLOOKUP([jobnumber],OvalData[],MATCH(Table2[[#Headers],[Grille First Tube]],Table2[#Headers],0),0)</f>
        <v>0</v>
      </c>
      <c r="AF21" s="2">
        <f>VLOOKUP([jobnumber],OvalData[],MATCH(Table2[[#Headers],[Grille Standard Tube]],Table2[#Headers],0),0)</f>
        <v>0</v>
      </c>
      <c r="AG21" s="2">
        <f>VLOOKUP([jobnumber],OvalData[],MATCH(Table2[[#Headers],[Grille Total Links]],Table2[#Headers],0),0)</f>
        <v>0</v>
      </c>
      <c r="AH21" s="2">
        <f>VLOOKUP([jobnumber],OvalData[],MATCH(Table2[[#Headers],[Grille Rods]],Table2[#Headers],0),0)</f>
        <v>0</v>
      </c>
      <c r="AI21" s="2">
        <f>VLOOKUP([jobnumber],OvalData[],MATCH(Table2[[#Headers],[Grille Rod Length]],Table2[#Headers],0),0)</f>
        <v>0</v>
      </c>
      <c r="AJ21" s="2">
        <f>VLOOKUP([jobnumber],OvalData[],MATCH(Table2[[#Headers],[slattype]],Table2[#Headers],0),0)</f>
        <v>2</v>
      </c>
      <c r="AK21" s="2">
        <f>VLOOKUP([jobnumber],OvalData[],MATCH(Table2[[#Headers],[slatgage]],Table2[#Headers],0),0)</f>
        <v>18</v>
      </c>
      <c r="AL21" s="2">
        <f>VLOOKUP([jobnumber],OvalData[],MATCH(Table2[[#Headers],[Numer of Top Slats]],Table2[#Headers],0),0)</f>
        <v>0</v>
      </c>
      <c r="AM21" s="2">
        <f>VLOOKUP([jobnumber],OvalData[],MATCH(Table2[[#Headers],[Number of Bottom Slats]],Table2[#Headers],0),0)</f>
        <v>0</v>
      </c>
      <c r="AN21" s="2">
        <f>VLOOKUP([jobnumber],OvalData[],MATCH(Table2[[#Headers],[Solid Bottom Height]],Table2[#Headers],0),0)</f>
        <v>0</v>
      </c>
      <c r="AO21" s="2" t="str">
        <f>VLOOKUP([jobnumber],OvalData[],MATCH(Table2[[#Headers],[slatlength]],Table2[#Headers],0),0)</f>
        <v xml:space="preserve"> 18 ft.- 5 7/ 8"</v>
      </c>
      <c r="AP21" s="2">
        <f>VLOOKUP([jobnumber],OvalData[],MATCH(Table2[[#Headers],[Bottom Slat Length]],Table2[#Headers],0),0)</f>
        <v>0</v>
      </c>
      <c r="AQ21" s="2">
        <f>VLOOKUP([jobnumber],OvalData[],MATCH(Table2[[#Headers],[Number of Perferated Slats]],Table2[#Headers],0),0)</f>
        <v>0</v>
      </c>
      <c r="AR21" s="2">
        <f>VLOOKUP([jobnumber],OvalData[],MATCH(Table2[[#Headers],[First Preferated Slat From End]],Table2[#Headers],0),0)</f>
        <v>0</v>
      </c>
      <c r="AS21" s="2">
        <f>VLOOKUP([jobnumber],OvalData[],MATCH(Table2[[#Headers],[First Preferated Slat From Bottom]],Table2[#Headers],0),0)</f>
        <v>0</v>
      </c>
      <c r="AT21" s="2">
        <f>VLOOKUP([jobnumber],OvalData[],MATCH(Table2[[#Headers],[Total Number of Slats]],Table2[#Headers],0),0)</f>
        <v>51</v>
      </c>
      <c r="AU21" s="2">
        <f>VLOOKUP([jobnumber],OvalData[],MATCH(Table2[[#Headers],[Bottom Bar Slope]],Table2[#Headers],0),0)</f>
        <v>0</v>
      </c>
      <c r="AV21" s="2">
        <f>VLOOKUP([jobnumber],OvalData[],MATCH(Table2[[#Headers],[Bottom Bar Weight]],Table2[#Headers],0),0)</f>
        <v>80.5</v>
      </c>
      <c r="AW21" s="2" t="str">
        <f>VLOOKUP([jobnumber],OvalData[],MATCH(Table2[[#Headers],[Outer Spring Gage]],Table2[#Headers],0),0)</f>
        <v>Null</v>
      </c>
      <c r="AX21" s="2" t="str">
        <f>VLOOKUP([jobnumber],OvalData[],MATCH(Table2[[#Headers],[Outer Spring OD]],Table2[#Headers],0),0)</f>
        <v>Null</v>
      </c>
      <c r="AY21" s="2" t="str">
        <f>VLOOKUP([jobnumber],OvalData[],MATCH(Table2[[#Headers],[Outer Spring Length]],Table2[#Headers],0),0)</f>
        <v>Null</v>
      </c>
      <c r="AZ21" s="2" t="str">
        <f>VLOOKUP([jobnumber],OvalData[],MATCH(Table2[[#Headers],[Outer Spring Stretch]],Table2[#Headers],0),0)</f>
        <v>Null</v>
      </c>
      <c r="BA21" s="2" t="str">
        <f>VLOOKUP([jobnumber],OvalData[],MATCH(Table2[[#Headers],[Outer Spring Torque]],Table2[#Headers],0),0)</f>
        <v>Null</v>
      </c>
      <c r="BB21" s="2" t="str">
        <f>VLOOKUP([jobnumber],OvalData[],MATCH(Table2[[#Headers],[Outer Spring Max Turns]],Table2[#Headers],0),0)</f>
        <v>Null</v>
      </c>
      <c r="BC21" s="2" t="str">
        <f>VLOOKUP([jobnumber],OvalData[],MATCH(Table2[[#Headers],[Outer Spring Weight]],Table2[#Headers],0),0)</f>
        <v>Null</v>
      </c>
      <c r="BD21" s="2" t="str">
        <f>VLOOKUP([jobnumber],OvalData[],MATCH(Table2[[#Headers],[Inner Spring Gage]],Table2[#Headers],0),0)</f>
        <v>Null</v>
      </c>
      <c r="BE21" s="2" t="str">
        <f>VLOOKUP([jobnumber],OvalData[],MATCH(Table2[[#Headers],[Inner Spring OD]],Table2[#Headers],0),0)</f>
        <v>Null</v>
      </c>
      <c r="BF21" s="2" t="str">
        <f>VLOOKUP([jobnumber],OvalData[],MATCH(Table2[[#Headers],[Inner Spring Length]],Table2[#Headers],0),0)</f>
        <v>Null</v>
      </c>
      <c r="BG21" s="2" t="str">
        <f>VLOOKUP([jobnumber],OvalData[],MATCH(Table2[[#Headers],[Inner Spring Stretch]],Table2[#Headers],0),0)</f>
        <v>Null</v>
      </c>
      <c r="BH21" s="2" t="str">
        <f>VLOOKUP([jobnumber],OvalData[],MATCH(Table2[[#Headers],[Inner Spring Torque]],Table2[#Headers],0),0)</f>
        <v>Null</v>
      </c>
      <c r="BI21" s="2" t="str">
        <f>VLOOKUP([jobnumber],OvalData[],MATCH(Table2[[#Headers],[Inner Spring Max Turns]],Table2[#Headers],0),0)</f>
        <v>Null</v>
      </c>
      <c r="BJ21" s="2" t="str">
        <f>VLOOKUP([jobnumber],OvalData[],MATCH(Table2[[#Headers],[Inner Spring Weight]],Table2[#Headers],0),0)</f>
        <v>Null</v>
      </c>
      <c r="BK21" s="2">
        <f>VLOOKUP([jobnumber],OvalData[],MATCH(Table2[[#Headers],[Cycles]],Table2[#Headers],0),0)</f>
        <v>0</v>
      </c>
      <c r="BL21" s="2">
        <f>VLOOKUP([jobnumber],OvalData[],MATCH(Table2[[#Headers],[Total Spring Torque]],Table2[#Headers],0),0)</f>
        <v>0</v>
      </c>
      <c r="BM21" s="2">
        <f>VLOOKUP([jobnumber],OvalData[],MATCH(Table2[[#Headers],[Total Spring Weight]],Table2[#Headers],0),0)</f>
        <v>0</v>
      </c>
      <c r="BN21" s="2">
        <f>VLOOKUP([jobnumber],OvalData[],MATCH(Table2[[#Headers],[Pipe Weight]],Table2[#Headers],0),0)</f>
        <v>688.24239999999998</v>
      </c>
      <c r="BO21" s="2">
        <f>VLOOKUP([jobnumber],OvalData[],MATCH(Table2[[#Headers],[Max Pipe Deflection]],Table2[#Headers],0),0)</f>
        <v>2309</v>
      </c>
      <c r="BP21" s="2">
        <f>VLOOKUP([jobnumber],OvalData[],MATCH(Table2[[#Headers],[Number Non-Insulated Wrap Slats]],Table2[#Headers],0),0)</f>
        <v>0</v>
      </c>
      <c r="BQ21" s="2">
        <f>VLOOKUP([jobnumber],OvalData[],MATCH(Table2[[#Headers],[Number of Insolated Top Slats]],Table2[#Headers],0),0)</f>
        <v>45</v>
      </c>
      <c r="BR21" s="2">
        <f>VLOOKUP([jobnumber],OvalData[],MATCH(Table2[[#Headers],[Insolated Total Slats]],Table2[#Headers],0),0)</f>
        <v>45</v>
      </c>
      <c r="BS21" s="2">
        <f>VLOOKUP([jobnumber],OvalData[],MATCH(Table2[[#Headers],[Number of Slats]],Table2[#Headers],0),0)</f>
        <v>44.69</v>
      </c>
      <c r="BT21" s="2">
        <f>VLOOKUP([jobnumber],OvalData[],MATCH(Table2[[#Headers],[Wrap]],Table2[#Headers],0),0)</f>
        <v>0</v>
      </c>
      <c r="BU21" s="2">
        <f>VLOOKUP([jobnumber],OvalData[],MATCH(Table2[[#Headers],[Wall Angle Thickness]],Table2[#Headers],0),0)</f>
        <v>0</v>
      </c>
      <c r="BV21" s="2">
        <f>VLOOKUP([jobnumber],OvalData[],MATCH(Table2[[#Headers],[windlocks]],Table2[#Headers],0),0)</f>
        <v>0</v>
      </c>
      <c r="BW21" s="2" t="str">
        <f>VLOOKUP([jobnumber],OvalData[],MATCH(Table2[[#Headers],[bottombartype]],Table2[#Headers],0),0)</f>
        <v>SPECIAL</v>
      </c>
      <c r="BX21" s="2">
        <f>VLOOKUP([jobnumber],OvalData[],MATCH(Table2[[#Headers],[endlockweight]],Table2[#Headers],0),0)</f>
        <v>0.17</v>
      </c>
      <c r="BY21" s="2">
        <f>VLOOKUP([jobnumber],OvalData[],MATCH(Table2[[#Headers],[Endlock Total Weight]],Table2[#Headers],0),0)</f>
        <v>7.5972999999999997</v>
      </c>
      <c r="BZ21" s="2">
        <f>VLOOKUP([jobnumber],OvalData[],MATCH(Table2[[#Headers],[Grille Weight]],Table2[#Headers],0),0)</f>
        <v>0</v>
      </c>
      <c r="CA21" s="2">
        <f>VLOOKUP([jobnumber],OvalData[],MATCH(Table2[[#Headers],[barrelrings]],Table2[#Headers],0),0)</f>
        <v>1</v>
      </c>
    </row>
    <row r="22" spans="2:79">
      <c r="B22" s="2" t="str">
        <f>VLOOKUP([jobnumber],OvalData[],MATCH(Table2[[#Headers],[Hand]],Table2[#Headers],0),0)</f>
        <v>RH</v>
      </c>
      <c r="C22" s="2" t="str">
        <f>VLOOKUP([jobnumber],OvalData[],MATCH(Table2[[#Headers],[Model]],Table2[#Headers],0),0)</f>
        <v>SFMPP</v>
      </c>
      <c r="D22" s="2" t="str">
        <f>VLOOKUP([jobnumber],OvalData[],MATCH(Table2[[#Headers],[width]],Table2[#Headers],0),0)</f>
        <v xml:space="preserve"> 18 ft.- 2"</v>
      </c>
      <c r="E22" s="2" t="str">
        <f>VLOOKUP([jobnumber],OvalData[],MATCH(Table2[[#Headers],[stopheight]],Table2[#Headers],0),0)</f>
        <v xml:space="preserve"> 10 ft.- 0"</v>
      </c>
      <c r="F22" s="2" t="str">
        <f>VLOOKUP([jobnumber],OvalData[],MATCH(Table2[[#Headers],[Between Brackets]],Table2[#Headers],0),0)</f>
        <v xml:space="preserve"> 18 ft.- 7 7/ 8"</v>
      </c>
      <c r="G22" s="2" t="str">
        <f>VLOOKUP([jobnumber],OvalData[],MATCH(Table2[[#Headers],[shell]],Table2[#Headers],0),0)</f>
        <v>6 INCH TUBE</v>
      </c>
      <c r="H22" s="2" t="str">
        <f>VLOOKUP([jobnumber],OvalData[],MATCH(Table2[[#Headers],[pipewidth]],Table2[#Headers],0),0)</f>
        <v xml:space="preserve"> 18 ft.- 1 3/ 8"</v>
      </c>
      <c r="I22" s="2">
        <f>VLOOKUP([jobnumber],OvalData[],MATCH(Table2[[#Headers],[Support Tubes]],Table2[#Headers],0),0)</f>
        <v>0</v>
      </c>
      <c r="J22" s="2">
        <f>VLOOKUP([jobnumber],OvalData[],MATCH(Table2[[#Headers],[Upset]],Table2[#Headers],0),0)</f>
        <v>2</v>
      </c>
      <c r="K22" s="2" t="str">
        <f>VLOOKUP([jobnumber],OvalData[],MATCH(Table2[[#Headers],[Guide Type]],Table2[#Headers],0),0)</f>
        <v>SN2-4 5/8-E</v>
      </c>
      <c r="L22" s="2" t="str">
        <f>VLOOKUP([jobnumber],OvalData[],MATCH(Table2[[#Headers],[Wall Angle]],Table2[#Headers],0),0)</f>
        <v xml:space="preserve"> 11 ft.- 8"</v>
      </c>
      <c r="M22" s="2" t="str">
        <f>VLOOKUP([jobnumber],OvalData[],MATCH(Table2[[#Headers],[Middle Angle]],Table2[#Headers],0),0)</f>
        <v xml:space="preserve"> 10 ft.- 4 1/ 2"</v>
      </c>
      <c r="N22" s="2" t="str">
        <f>VLOOKUP([jobnumber],OvalData[],MATCH(Table2[[#Headers],[Front Angle]],Table2[#Headers],0),0)</f>
        <v xml:space="preserve"> 10 ft.- 3"</v>
      </c>
      <c r="O22" s="2">
        <f>VLOOKUP([jobnumber],OvalData[],MATCH(Table2[[#Headers],[Pipe Center Line]],Table2[#Headers],0),0)</f>
        <v>131</v>
      </c>
      <c r="P22" s="2">
        <f>VLOOKUP([jobnumber],OvalData[],MATCH(Table2[[#Headers],[Heat Expansion Gap]],Table2[#Headers],0),0)</f>
        <v>0</v>
      </c>
      <c r="Q22" s="2">
        <f>VLOOKUP([jobnumber],OvalData[],MATCH(Table2[[#Headers],[Hanging Weight Closed]],Table2[#Headers],0),0)</f>
        <v>795</v>
      </c>
      <c r="R22" s="2">
        <f>VLOOKUP([jobnumber],OvalData[],MATCH(Table2[[#Headers],[Hanging Weight Open]],Table2[#Headers],0),0)</f>
        <v>140</v>
      </c>
      <c r="S22" s="2">
        <f>VLOOKUP([jobnumber],OvalData[],MATCH(Table2[[#Headers],[Initial Lever Arm]],Table2[#Headers],0),0)</f>
        <v>4.25</v>
      </c>
      <c r="T22" s="2">
        <f>VLOOKUP([jobnumber],OvalData[],MATCH(Table2[[#Headers],[Turns to Raise]],Table2[#Headers],0),0)</f>
        <v>3.5859999999999999</v>
      </c>
      <c r="U22" s="2">
        <f>VLOOKUP([jobnumber],OvalData[],MATCH(Table2[[#Headers],[Final Lever Arm]],Table2[#Headers],0),0)</f>
        <v>6.37</v>
      </c>
      <c r="V22" s="2">
        <f>VLOOKUP([jobnumber],OvalData[],MATCH(Table2[[#Headers],[Torque Required Closed]],Table2[#Headers],0),0)</f>
        <v>3377.9</v>
      </c>
      <c r="W22" s="2">
        <f>VLOOKUP([jobnumber],OvalData[],MATCH(Table2[[#Headers],[Torque Required Open]],Table2[#Headers],0),0)</f>
        <v>892</v>
      </c>
      <c r="X22" s="2">
        <f>VLOOKUP([jobnumber],OvalData[],MATCH(Table2[[#Headers],[Pre Turns]],Table2[#Headers],0),0)</f>
        <v>1.3332999999999999</v>
      </c>
      <c r="Y22" s="2">
        <f>VLOOKUP([jobnumber],OvalData[],MATCH(Table2[[#Headers],[Required Torque Per Turn]],Table2[#Headers],0),0)</f>
        <v>688</v>
      </c>
      <c r="Z22" s="2">
        <f>VLOOKUP([jobnumber],OvalData[],MATCH(Table2[[#Headers],[Total Turns]],Table2[#Headers],0),0)</f>
        <v>4.91</v>
      </c>
      <c r="AA22" s="2">
        <f>VLOOKUP([jobnumber],OvalData[],MATCH(Table2[[#Headers],[Grille Vision Section]],Table2[#Headers],0),0)</f>
        <v>0</v>
      </c>
      <c r="AB22" s="2">
        <f>VLOOKUP([jobnumber],OvalData[],MATCH(Table2[[#Headers],[Grille Amount]],Table2[#Headers],0),0)</f>
        <v>0</v>
      </c>
      <c r="AC22" s="2">
        <f>VLOOKUP([jobnumber],OvalData[],MATCH(Table2[[#Headers],[Grille Center]],Table2[#Headers],0),0)</f>
        <v>0</v>
      </c>
      <c r="AD22" s="2">
        <f>VLOOKUP([jobnumber],OvalData[],MATCH(Table2[[#Headers],[Grille Pattern]],Table2[#Headers],0),0)</f>
        <v>0</v>
      </c>
      <c r="AE22" s="2">
        <f>VLOOKUP([jobnumber],OvalData[],MATCH(Table2[[#Headers],[Grille First Tube]],Table2[#Headers],0),0)</f>
        <v>0</v>
      </c>
      <c r="AF22" s="2">
        <f>VLOOKUP([jobnumber],OvalData[],MATCH(Table2[[#Headers],[Grille Standard Tube]],Table2[#Headers],0),0)</f>
        <v>0</v>
      </c>
      <c r="AG22" s="2">
        <f>VLOOKUP([jobnumber],OvalData[],MATCH(Table2[[#Headers],[Grille Total Links]],Table2[#Headers],0),0)</f>
        <v>0</v>
      </c>
      <c r="AH22" s="2">
        <f>VLOOKUP([jobnumber],OvalData[],MATCH(Table2[[#Headers],[Grille Rods]],Table2[#Headers],0),0)</f>
        <v>0</v>
      </c>
      <c r="AI22" s="2">
        <f>VLOOKUP([jobnumber],OvalData[],MATCH(Table2[[#Headers],[Grille Rod Length]],Table2[#Headers],0),0)</f>
        <v>0</v>
      </c>
      <c r="AJ22" s="2">
        <f>VLOOKUP([jobnumber],OvalData[],MATCH(Table2[[#Headers],[slattype]],Table2[#Headers],0),0)</f>
        <v>2</v>
      </c>
      <c r="AK22" s="2">
        <f>VLOOKUP([jobnumber],OvalData[],MATCH(Table2[[#Headers],[slatgage]],Table2[#Headers],0),0)</f>
        <v>18</v>
      </c>
      <c r="AL22" s="2">
        <f>VLOOKUP([jobnumber],OvalData[],MATCH(Table2[[#Headers],[Numer of Top Slats]],Table2[#Headers],0),0)</f>
        <v>0</v>
      </c>
      <c r="AM22" s="2">
        <f>VLOOKUP([jobnumber],OvalData[],MATCH(Table2[[#Headers],[Number of Bottom Slats]],Table2[#Headers],0),0)</f>
        <v>0</v>
      </c>
      <c r="AN22" s="2">
        <f>VLOOKUP([jobnumber],OvalData[],MATCH(Table2[[#Headers],[Solid Bottom Height]],Table2[#Headers],0),0)</f>
        <v>0</v>
      </c>
      <c r="AO22" s="2" t="str">
        <f>VLOOKUP([jobnumber],OvalData[],MATCH(Table2[[#Headers],[slatlength]],Table2[#Headers],0),0)</f>
        <v xml:space="preserve"> 18 ft.- 5 7/ 8"</v>
      </c>
      <c r="AP22" s="2">
        <f>VLOOKUP([jobnumber],OvalData[],MATCH(Table2[[#Headers],[Bottom Slat Length]],Table2[#Headers],0),0)</f>
        <v>0</v>
      </c>
      <c r="AQ22" s="2">
        <f>VLOOKUP([jobnumber],OvalData[],MATCH(Table2[[#Headers],[Number of Perferated Slats]],Table2[#Headers],0),0)</f>
        <v>0</v>
      </c>
      <c r="AR22" s="2">
        <f>VLOOKUP([jobnumber],OvalData[],MATCH(Table2[[#Headers],[First Preferated Slat From End]],Table2[#Headers],0),0)</f>
        <v>0</v>
      </c>
      <c r="AS22" s="2">
        <f>VLOOKUP([jobnumber],OvalData[],MATCH(Table2[[#Headers],[First Preferated Slat From Bottom]],Table2[#Headers],0),0)</f>
        <v>0</v>
      </c>
      <c r="AT22" s="2">
        <f>VLOOKUP([jobnumber],OvalData[],MATCH(Table2[[#Headers],[Total Number of Slats]],Table2[#Headers],0),0)</f>
        <v>51</v>
      </c>
      <c r="AU22" s="2">
        <f>VLOOKUP([jobnumber],OvalData[],MATCH(Table2[[#Headers],[Bottom Bar Slope]],Table2[#Headers],0),0)</f>
        <v>0</v>
      </c>
      <c r="AV22" s="2">
        <f>VLOOKUP([jobnumber],OvalData[],MATCH(Table2[[#Headers],[Bottom Bar Weight]],Table2[#Headers],0),0)</f>
        <v>80.5</v>
      </c>
      <c r="AW22" s="2" t="str">
        <f>VLOOKUP([jobnumber],OvalData[],MATCH(Table2[[#Headers],[Outer Spring Gage]],Table2[#Headers],0),0)</f>
        <v>Null</v>
      </c>
      <c r="AX22" s="2" t="str">
        <f>VLOOKUP([jobnumber],OvalData[],MATCH(Table2[[#Headers],[Outer Spring OD]],Table2[#Headers],0),0)</f>
        <v>Null</v>
      </c>
      <c r="AY22" s="2" t="str">
        <f>VLOOKUP([jobnumber],OvalData[],MATCH(Table2[[#Headers],[Outer Spring Length]],Table2[#Headers],0),0)</f>
        <v>Null</v>
      </c>
      <c r="AZ22" s="2" t="str">
        <f>VLOOKUP([jobnumber],OvalData[],MATCH(Table2[[#Headers],[Outer Spring Stretch]],Table2[#Headers],0),0)</f>
        <v>Null</v>
      </c>
      <c r="BA22" s="2" t="str">
        <f>VLOOKUP([jobnumber],OvalData[],MATCH(Table2[[#Headers],[Outer Spring Torque]],Table2[#Headers],0),0)</f>
        <v>Null</v>
      </c>
      <c r="BB22" s="2" t="str">
        <f>VLOOKUP([jobnumber],OvalData[],MATCH(Table2[[#Headers],[Outer Spring Max Turns]],Table2[#Headers],0),0)</f>
        <v>Null</v>
      </c>
      <c r="BC22" s="2" t="str">
        <f>VLOOKUP([jobnumber],OvalData[],MATCH(Table2[[#Headers],[Outer Spring Weight]],Table2[#Headers],0),0)</f>
        <v>Null</v>
      </c>
      <c r="BD22" s="2" t="str">
        <f>VLOOKUP([jobnumber],OvalData[],MATCH(Table2[[#Headers],[Inner Spring Gage]],Table2[#Headers],0),0)</f>
        <v>Null</v>
      </c>
      <c r="BE22" s="2" t="str">
        <f>VLOOKUP([jobnumber],OvalData[],MATCH(Table2[[#Headers],[Inner Spring OD]],Table2[#Headers],0),0)</f>
        <v>Null</v>
      </c>
      <c r="BF22" s="2" t="str">
        <f>VLOOKUP([jobnumber],OvalData[],MATCH(Table2[[#Headers],[Inner Spring Length]],Table2[#Headers],0),0)</f>
        <v>Null</v>
      </c>
      <c r="BG22" s="2" t="str">
        <f>VLOOKUP([jobnumber],OvalData[],MATCH(Table2[[#Headers],[Inner Spring Stretch]],Table2[#Headers],0),0)</f>
        <v>Null</v>
      </c>
      <c r="BH22" s="2" t="str">
        <f>VLOOKUP([jobnumber],OvalData[],MATCH(Table2[[#Headers],[Inner Spring Torque]],Table2[#Headers],0),0)</f>
        <v>Null</v>
      </c>
      <c r="BI22" s="2" t="str">
        <f>VLOOKUP([jobnumber],OvalData[],MATCH(Table2[[#Headers],[Inner Spring Max Turns]],Table2[#Headers],0),0)</f>
        <v>Null</v>
      </c>
      <c r="BJ22" s="2" t="str">
        <f>VLOOKUP([jobnumber],OvalData[],MATCH(Table2[[#Headers],[Inner Spring Weight]],Table2[#Headers],0),0)</f>
        <v>Null</v>
      </c>
      <c r="BK22" s="2">
        <f>VLOOKUP([jobnumber],OvalData[],MATCH(Table2[[#Headers],[Cycles]],Table2[#Headers],0),0)</f>
        <v>0</v>
      </c>
      <c r="BL22" s="2">
        <f>VLOOKUP([jobnumber],OvalData[],MATCH(Table2[[#Headers],[Total Spring Torque]],Table2[#Headers],0),0)</f>
        <v>0</v>
      </c>
      <c r="BM22" s="2">
        <f>VLOOKUP([jobnumber],OvalData[],MATCH(Table2[[#Headers],[Total Spring Weight]],Table2[#Headers],0),0)</f>
        <v>0</v>
      </c>
      <c r="BN22" s="2">
        <f>VLOOKUP([jobnumber],OvalData[],MATCH(Table2[[#Headers],[Pipe Weight]],Table2[#Headers],0),0)</f>
        <v>688.24239999999998</v>
      </c>
      <c r="BO22" s="2">
        <f>VLOOKUP([jobnumber],OvalData[],MATCH(Table2[[#Headers],[Max Pipe Deflection]],Table2[#Headers],0),0)</f>
        <v>2309</v>
      </c>
      <c r="BP22" s="2">
        <f>VLOOKUP([jobnumber],OvalData[],MATCH(Table2[[#Headers],[Number Non-Insulated Wrap Slats]],Table2[#Headers],0),0)</f>
        <v>0</v>
      </c>
      <c r="BQ22" s="2">
        <f>VLOOKUP([jobnumber],OvalData[],MATCH(Table2[[#Headers],[Number of Insolated Top Slats]],Table2[#Headers],0),0)</f>
        <v>45</v>
      </c>
      <c r="BR22" s="2">
        <f>VLOOKUP([jobnumber],OvalData[],MATCH(Table2[[#Headers],[Insolated Total Slats]],Table2[#Headers],0),0)</f>
        <v>45</v>
      </c>
      <c r="BS22" s="2">
        <f>VLOOKUP([jobnumber],OvalData[],MATCH(Table2[[#Headers],[Number of Slats]],Table2[#Headers],0),0)</f>
        <v>44.69</v>
      </c>
      <c r="BT22" s="2">
        <f>VLOOKUP([jobnumber],OvalData[],MATCH(Table2[[#Headers],[Wrap]],Table2[#Headers],0),0)</f>
        <v>0</v>
      </c>
      <c r="BU22" s="2">
        <f>VLOOKUP([jobnumber],OvalData[],MATCH(Table2[[#Headers],[Wall Angle Thickness]],Table2[#Headers],0),0)</f>
        <v>0</v>
      </c>
      <c r="BV22" s="2">
        <f>VLOOKUP([jobnumber],OvalData[],MATCH(Table2[[#Headers],[windlocks]],Table2[#Headers],0),0)</f>
        <v>0</v>
      </c>
      <c r="BW22" s="2" t="str">
        <f>VLOOKUP([jobnumber],OvalData[],MATCH(Table2[[#Headers],[bottombartype]],Table2[#Headers],0),0)</f>
        <v>SPECIAL</v>
      </c>
      <c r="BX22" s="2">
        <f>VLOOKUP([jobnumber],OvalData[],MATCH(Table2[[#Headers],[endlockweight]],Table2[#Headers],0),0)</f>
        <v>0.17</v>
      </c>
      <c r="BY22" s="2">
        <f>VLOOKUP([jobnumber],OvalData[],MATCH(Table2[[#Headers],[Endlock Total Weight]],Table2[#Headers],0),0)</f>
        <v>7.5972999999999997</v>
      </c>
      <c r="BZ22" s="2">
        <f>VLOOKUP([jobnumber],OvalData[],MATCH(Table2[[#Headers],[Grille Weight]],Table2[#Headers],0),0)</f>
        <v>0</v>
      </c>
      <c r="CA22" s="2">
        <f>VLOOKUP([jobnumber],OvalData[],MATCH(Table2[[#Headers],[barrelrings]],Table2[#Headers],0),0)</f>
        <v>1</v>
      </c>
    </row>
    <row r="23" spans="2:79">
      <c r="B23" s="2" t="str">
        <f>VLOOKUP([jobnumber],OvalData[],MATCH(Table2[[#Headers],[Hand]],Table2[#Headers],0),0)</f>
        <v>RH</v>
      </c>
      <c r="C23" s="2" t="str">
        <f>VLOOKUP([jobnumber],OvalData[],MATCH(Table2[[#Headers],[Model]],Table2[#Headers],0),0)</f>
        <v>SFMPP</v>
      </c>
      <c r="D23" s="2" t="str">
        <f>VLOOKUP([jobnumber],OvalData[],MATCH(Table2[[#Headers],[width]],Table2[#Headers],0),0)</f>
        <v xml:space="preserve"> 18 ft.- 2"</v>
      </c>
      <c r="E23" s="2" t="str">
        <f>VLOOKUP([jobnumber],OvalData[],MATCH(Table2[[#Headers],[stopheight]],Table2[#Headers],0),0)</f>
        <v xml:space="preserve"> 10 ft.- 0"</v>
      </c>
      <c r="F23" s="2" t="str">
        <f>VLOOKUP([jobnumber],OvalData[],MATCH(Table2[[#Headers],[Between Brackets]],Table2[#Headers],0),0)</f>
        <v xml:space="preserve"> 18 ft.- 7 7/ 8"</v>
      </c>
      <c r="G23" s="2" t="str">
        <f>VLOOKUP([jobnumber],OvalData[],MATCH(Table2[[#Headers],[shell]],Table2[#Headers],0),0)</f>
        <v>6 INCH TUBE</v>
      </c>
      <c r="H23" s="2" t="str">
        <f>VLOOKUP([jobnumber],OvalData[],MATCH(Table2[[#Headers],[pipewidth]],Table2[#Headers],0),0)</f>
        <v xml:space="preserve"> 18 ft.- 1 3/ 8"</v>
      </c>
      <c r="I23" s="2">
        <f>VLOOKUP([jobnumber],OvalData[],MATCH(Table2[[#Headers],[Support Tubes]],Table2[#Headers],0),0)</f>
        <v>0</v>
      </c>
      <c r="J23" s="2">
        <f>VLOOKUP([jobnumber],OvalData[],MATCH(Table2[[#Headers],[Upset]],Table2[#Headers],0),0)</f>
        <v>2</v>
      </c>
      <c r="K23" s="2" t="str">
        <f>VLOOKUP([jobnumber],OvalData[],MATCH(Table2[[#Headers],[Guide Type]],Table2[#Headers],0),0)</f>
        <v>SN2-4 5/8-E</v>
      </c>
      <c r="L23" s="2" t="str">
        <f>VLOOKUP([jobnumber],OvalData[],MATCH(Table2[[#Headers],[Wall Angle]],Table2[#Headers],0),0)</f>
        <v xml:space="preserve"> 11 ft.- 8"</v>
      </c>
      <c r="M23" s="2" t="str">
        <f>VLOOKUP([jobnumber],OvalData[],MATCH(Table2[[#Headers],[Middle Angle]],Table2[#Headers],0),0)</f>
        <v xml:space="preserve"> 10 ft.- 4 1/ 2"</v>
      </c>
      <c r="N23" s="2" t="str">
        <f>VLOOKUP([jobnumber],OvalData[],MATCH(Table2[[#Headers],[Front Angle]],Table2[#Headers],0),0)</f>
        <v xml:space="preserve"> 10 ft.- 3"</v>
      </c>
      <c r="O23" s="2">
        <f>VLOOKUP([jobnumber],OvalData[],MATCH(Table2[[#Headers],[Pipe Center Line]],Table2[#Headers],0),0)</f>
        <v>131</v>
      </c>
      <c r="P23" s="2">
        <f>VLOOKUP([jobnumber],OvalData[],MATCH(Table2[[#Headers],[Heat Expansion Gap]],Table2[#Headers],0),0)</f>
        <v>0</v>
      </c>
      <c r="Q23" s="2">
        <f>VLOOKUP([jobnumber],OvalData[],MATCH(Table2[[#Headers],[Hanging Weight Closed]],Table2[#Headers],0),0)</f>
        <v>795</v>
      </c>
      <c r="R23" s="2">
        <f>VLOOKUP([jobnumber],OvalData[],MATCH(Table2[[#Headers],[Hanging Weight Open]],Table2[#Headers],0),0)</f>
        <v>140</v>
      </c>
      <c r="S23" s="2">
        <f>VLOOKUP([jobnumber],OvalData[],MATCH(Table2[[#Headers],[Initial Lever Arm]],Table2[#Headers],0),0)</f>
        <v>4.25</v>
      </c>
      <c r="T23" s="2">
        <f>VLOOKUP([jobnumber],OvalData[],MATCH(Table2[[#Headers],[Turns to Raise]],Table2[#Headers],0),0)</f>
        <v>3.5859999999999999</v>
      </c>
      <c r="U23" s="2">
        <f>VLOOKUP([jobnumber],OvalData[],MATCH(Table2[[#Headers],[Final Lever Arm]],Table2[#Headers],0),0)</f>
        <v>6.37</v>
      </c>
      <c r="V23" s="2">
        <f>VLOOKUP([jobnumber],OvalData[],MATCH(Table2[[#Headers],[Torque Required Closed]],Table2[#Headers],0),0)</f>
        <v>3377.9</v>
      </c>
      <c r="W23" s="2">
        <f>VLOOKUP([jobnumber],OvalData[],MATCH(Table2[[#Headers],[Torque Required Open]],Table2[#Headers],0),0)</f>
        <v>892</v>
      </c>
      <c r="X23" s="2">
        <f>VLOOKUP([jobnumber],OvalData[],MATCH(Table2[[#Headers],[Pre Turns]],Table2[#Headers],0),0)</f>
        <v>1.3332999999999999</v>
      </c>
      <c r="Y23" s="2">
        <f>VLOOKUP([jobnumber],OvalData[],MATCH(Table2[[#Headers],[Required Torque Per Turn]],Table2[#Headers],0),0)</f>
        <v>688</v>
      </c>
      <c r="Z23" s="2">
        <f>VLOOKUP([jobnumber],OvalData[],MATCH(Table2[[#Headers],[Total Turns]],Table2[#Headers],0),0)</f>
        <v>4.91</v>
      </c>
      <c r="AA23" s="2">
        <f>VLOOKUP([jobnumber],OvalData[],MATCH(Table2[[#Headers],[Grille Vision Section]],Table2[#Headers],0),0)</f>
        <v>0</v>
      </c>
      <c r="AB23" s="2">
        <f>VLOOKUP([jobnumber],OvalData[],MATCH(Table2[[#Headers],[Grille Amount]],Table2[#Headers],0),0)</f>
        <v>0</v>
      </c>
      <c r="AC23" s="2">
        <f>VLOOKUP([jobnumber],OvalData[],MATCH(Table2[[#Headers],[Grille Center]],Table2[#Headers],0),0)</f>
        <v>0</v>
      </c>
      <c r="AD23" s="2">
        <f>VLOOKUP([jobnumber],OvalData[],MATCH(Table2[[#Headers],[Grille Pattern]],Table2[#Headers],0),0)</f>
        <v>0</v>
      </c>
      <c r="AE23" s="2">
        <f>VLOOKUP([jobnumber],OvalData[],MATCH(Table2[[#Headers],[Grille First Tube]],Table2[#Headers],0),0)</f>
        <v>0</v>
      </c>
      <c r="AF23" s="2">
        <f>VLOOKUP([jobnumber],OvalData[],MATCH(Table2[[#Headers],[Grille Standard Tube]],Table2[#Headers],0),0)</f>
        <v>0</v>
      </c>
      <c r="AG23" s="2">
        <f>VLOOKUP([jobnumber],OvalData[],MATCH(Table2[[#Headers],[Grille Total Links]],Table2[#Headers],0),0)</f>
        <v>0</v>
      </c>
      <c r="AH23" s="2">
        <f>VLOOKUP([jobnumber],OvalData[],MATCH(Table2[[#Headers],[Grille Rods]],Table2[#Headers],0),0)</f>
        <v>0</v>
      </c>
      <c r="AI23" s="2">
        <f>VLOOKUP([jobnumber],OvalData[],MATCH(Table2[[#Headers],[Grille Rod Length]],Table2[#Headers],0),0)</f>
        <v>0</v>
      </c>
      <c r="AJ23" s="2">
        <f>VLOOKUP([jobnumber],OvalData[],MATCH(Table2[[#Headers],[slattype]],Table2[#Headers],0),0)</f>
        <v>2</v>
      </c>
      <c r="AK23" s="2">
        <f>VLOOKUP([jobnumber],OvalData[],MATCH(Table2[[#Headers],[slatgage]],Table2[#Headers],0),0)</f>
        <v>18</v>
      </c>
      <c r="AL23" s="2">
        <f>VLOOKUP([jobnumber],OvalData[],MATCH(Table2[[#Headers],[Numer of Top Slats]],Table2[#Headers],0),0)</f>
        <v>0</v>
      </c>
      <c r="AM23" s="2">
        <f>VLOOKUP([jobnumber],OvalData[],MATCH(Table2[[#Headers],[Number of Bottom Slats]],Table2[#Headers],0),0)</f>
        <v>0</v>
      </c>
      <c r="AN23" s="2">
        <f>VLOOKUP([jobnumber],OvalData[],MATCH(Table2[[#Headers],[Solid Bottom Height]],Table2[#Headers],0),0)</f>
        <v>0</v>
      </c>
      <c r="AO23" s="2" t="str">
        <f>VLOOKUP([jobnumber],OvalData[],MATCH(Table2[[#Headers],[slatlength]],Table2[#Headers],0),0)</f>
        <v xml:space="preserve"> 18 ft.- 5 7/ 8"</v>
      </c>
      <c r="AP23" s="2">
        <f>VLOOKUP([jobnumber],OvalData[],MATCH(Table2[[#Headers],[Bottom Slat Length]],Table2[#Headers],0),0)</f>
        <v>0</v>
      </c>
      <c r="AQ23" s="2">
        <f>VLOOKUP([jobnumber],OvalData[],MATCH(Table2[[#Headers],[Number of Perferated Slats]],Table2[#Headers],0),0)</f>
        <v>0</v>
      </c>
      <c r="AR23" s="2">
        <f>VLOOKUP([jobnumber],OvalData[],MATCH(Table2[[#Headers],[First Preferated Slat From End]],Table2[#Headers],0),0)</f>
        <v>0</v>
      </c>
      <c r="AS23" s="2">
        <f>VLOOKUP([jobnumber],OvalData[],MATCH(Table2[[#Headers],[First Preferated Slat From Bottom]],Table2[#Headers],0),0)</f>
        <v>0</v>
      </c>
      <c r="AT23" s="2">
        <f>VLOOKUP([jobnumber],OvalData[],MATCH(Table2[[#Headers],[Total Number of Slats]],Table2[#Headers],0),0)</f>
        <v>51</v>
      </c>
      <c r="AU23" s="2">
        <f>VLOOKUP([jobnumber],OvalData[],MATCH(Table2[[#Headers],[Bottom Bar Slope]],Table2[#Headers],0),0)</f>
        <v>0</v>
      </c>
      <c r="AV23" s="2">
        <f>VLOOKUP([jobnumber],OvalData[],MATCH(Table2[[#Headers],[Bottom Bar Weight]],Table2[#Headers],0),0)</f>
        <v>80.5</v>
      </c>
      <c r="AW23" s="2" t="str">
        <f>VLOOKUP([jobnumber],OvalData[],MATCH(Table2[[#Headers],[Outer Spring Gage]],Table2[#Headers],0),0)</f>
        <v>Null</v>
      </c>
      <c r="AX23" s="2" t="str">
        <f>VLOOKUP([jobnumber],OvalData[],MATCH(Table2[[#Headers],[Outer Spring OD]],Table2[#Headers],0),0)</f>
        <v>Null</v>
      </c>
      <c r="AY23" s="2" t="str">
        <f>VLOOKUP([jobnumber],OvalData[],MATCH(Table2[[#Headers],[Outer Spring Length]],Table2[#Headers],0),0)</f>
        <v>Null</v>
      </c>
      <c r="AZ23" s="2" t="str">
        <f>VLOOKUP([jobnumber],OvalData[],MATCH(Table2[[#Headers],[Outer Spring Stretch]],Table2[#Headers],0),0)</f>
        <v>Null</v>
      </c>
      <c r="BA23" s="2" t="str">
        <f>VLOOKUP([jobnumber],OvalData[],MATCH(Table2[[#Headers],[Outer Spring Torque]],Table2[#Headers],0),0)</f>
        <v>Null</v>
      </c>
      <c r="BB23" s="2" t="str">
        <f>VLOOKUP([jobnumber],OvalData[],MATCH(Table2[[#Headers],[Outer Spring Max Turns]],Table2[#Headers],0),0)</f>
        <v>Null</v>
      </c>
      <c r="BC23" s="2" t="str">
        <f>VLOOKUP([jobnumber],OvalData[],MATCH(Table2[[#Headers],[Outer Spring Weight]],Table2[#Headers],0),0)</f>
        <v>Null</v>
      </c>
      <c r="BD23" s="2" t="str">
        <f>VLOOKUP([jobnumber],OvalData[],MATCH(Table2[[#Headers],[Inner Spring Gage]],Table2[#Headers],0),0)</f>
        <v>Null</v>
      </c>
      <c r="BE23" s="2" t="str">
        <f>VLOOKUP([jobnumber],OvalData[],MATCH(Table2[[#Headers],[Inner Spring OD]],Table2[#Headers],0),0)</f>
        <v>Null</v>
      </c>
      <c r="BF23" s="2" t="str">
        <f>VLOOKUP([jobnumber],OvalData[],MATCH(Table2[[#Headers],[Inner Spring Length]],Table2[#Headers],0),0)</f>
        <v>Null</v>
      </c>
      <c r="BG23" s="2" t="str">
        <f>VLOOKUP([jobnumber],OvalData[],MATCH(Table2[[#Headers],[Inner Spring Stretch]],Table2[#Headers],0),0)</f>
        <v>Null</v>
      </c>
      <c r="BH23" s="2" t="str">
        <f>VLOOKUP([jobnumber],OvalData[],MATCH(Table2[[#Headers],[Inner Spring Torque]],Table2[#Headers],0),0)</f>
        <v>Null</v>
      </c>
      <c r="BI23" s="2" t="str">
        <f>VLOOKUP([jobnumber],OvalData[],MATCH(Table2[[#Headers],[Inner Spring Max Turns]],Table2[#Headers],0),0)</f>
        <v>Null</v>
      </c>
      <c r="BJ23" s="2" t="str">
        <f>VLOOKUP([jobnumber],OvalData[],MATCH(Table2[[#Headers],[Inner Spring Weight]],Table2[#Headers],0),0)</f>
        <v>Null</v>
      </c>
      <c r="BK23" s="2">
        <f>VLOOKUP([jobnumber],OvalData[],MATCH(Table2[[#Headers],[Cycles]],Table2[#Headers],0),0)</f>
        <v>0</v>
      </c>
      <c r="BL23" s="2">
        <f>VLOOKUP([jobnumber],OvalData[],MATCH(Table2[[#Headers],[Total Spring Torque]],Table2[#Headers],0),0)</f>
        <v>0</v>
      </c>
      <c r="BM23" s="2">
        <f>VLOOKUP([jobnumber],OvalData[],MATCH(Table2[[#Headers],[Total Spring Weight]],Table2[#Headers],0),0)</f>
        <v>0</v>
      </c>
      <c r="BN23" s="2">
        <f>VLOOKUP([jobnumber],OvalData[],MATCH(Table2[[#Headers],[Pipe Weight]],Table2[#Headers],0),0)</f>
        <v>688.24239999999998</v>
      </c>
      <c r="BO23" s="2">
        <f>VLOOKUP([jobnumber],OvalData[],MATCH(Table2[[#Headers],[Max Pipe Deflection]],Table2[#Headers],0),0)</f>
        <v>2309</v>
      </c>
      <c r="BP23" s="2">
        <f>VLOOKUP([jobnumber],OvalData[],MATCH(Table2[[#Headers],[Number Non-Insulated Wrap Slats]],Table2[#Headers],0),0)</f>
        <v>0</v>
      </c>
      <c r="BQ23" s="2">
        <f>VLOOKUP([jobnumber],OvalData[],MATCH(Table2[[#Headers],[Number of Insolated Top Slats]],Table2[#Headers],0),0)</f>
        <v>45</v>
      </c>
      <c r="BR23" s="2">
        <f>VLOOKUP([jobnumber],OvalData[],MATCH(Table2[[#Headers],[Insolated Total Slats]],Table2[#Headers],0),0)</f>
        <v>45</v>
      </c>
      <c r="BS23" s="2">
        <f>VLOOKUP([jobnumber],OvalData[],MATCH(Table2[[#Headers],[Number of Slats]],Table2[#Headers],0),0)</f>
        <v>44.69</v>
      </c>
      <c r="BT23" s="2">
        <f>VLOOKUP([jobnumber],OvalData[],MATCH(Table2[[#Headers],[Wrap]],Table2[#Headers],0),0)</f>
        <v>0</v>
      </c>
      <c r="BU23" s="2">
        <f>VLOOKUP([jobnumber],OvalData[],MATCH(Table2[[#Headers],[Wall Angle Thickness]],Table2[#Headers],0),0)</f>
        <v>0</v>
      </c>
      <c r="BV23" s="2">
        <f>VLOOKUP([jobnumber],OvalData[],MATCH(Table2[[#Headers],[windlocks]],Table2[#Headers],0),0)</f>
        <v>0</v>
      </c>
      <c r="BW23" s="2" t="str">
        <f>VLOOKUP([jobnumber],OvalData[],MATCH(Table2[[#Headers],[bottombartype]],Table2[#Headers],0),0)</f>
        <v>SPECIAL</v>
      </c>
      <c r="BX23" s="2">
        <f>VLOOKUP([jobnumber],OvalData[],MATCH(Table2[[#Headers],[endlockweight]],Table2[#Headers],0),0)</f>
        <v>0.17</v>
      </c>
      <c r="BY23" s="2">
        <f>VLOOKUP([jobnumber],OvalData[],MATCH(Table2[[#Headers],[Endlock Total Weight]],Table2[#Headers],0),0)</f>
        <v>7.5972999999999997</v>
      </c>
      <c r="BZ23" s="2">
        <f>VLOOKUP([jobnumber],OvalData[],MATCH(Table2[[#Headers],[Grille Weight]],Table2[#Headers],0),0)</f>
        <v>0</v>
      </c>
      <c r="CA23" s="2">
        <f>VLOOKUP([jobnumber],OvalData[],MATCH(Table2[[#Headers],[barrelrings]],Table2[#Headers],0),0)</f>
        <v>1</v>
      </c>
    </row>
    <row r="24" spans="2:79">
      <c r="B24" s="2" t="str">
        <f>VLOOKUP([jobnumber],OvalData[],MATCH(Table2[[#Headers],[Hand]],Table2[#Headers],0),0)</f>
        <v>RH</v>
      </c>
      <c r="C24" s="2" t="str">
        <f>VLOOKUP([jobnumber],OvalData[],MATCH(Table2[[#Headers],[Model]],Table2[#Headers],0),0)</f>
        <v>SFMPP</v>
      </c>
      <c r="D24" s="2" t="str">
        <f>VLOOKUP([jobnumber],OvalData[],MATCH(Table2[[#Headers],[width]],Table2[#Headers],0),0)</f>
        <v xml:space="preserve"> 18 ft.- 2"</v>
      </c>
      <c r="E24" s="2" t="str">
        <f>VLOOKUP([jobnumber],OvalData[],MATCH(Table2[[#Headers],[stopheight]],Table2[#Headers],0),0)</f>
        <v xml:space="preserve"> 10 ft.- 0"</v>
      </c>
      <c r="F24" s="2" t="str">
        <f>VLOOKUP([jobnumber],OvalData[],MATCH(Table2[[#Headers],[Between Brackets]],Table2[#Headers],0),0)</f>
        <v xml:space="preserve"> 18 ft.- 7 7/ 8"</v>
      </c>
      <c r="G24" s="2" t="str">
        <f>VLOOKUP([jobnumber],OvalData[],MATCH(Table2[[#Headers],[shell]],Table2[#Headers],0),0)</f>
        <v>6 INCH TUBE</v>
      </c>
      <c r="H24" s="2" t="str">
        <f>VLOOKUP([jobnumber],OvalData[],MATCH(Table2[[#Headers],[pipewidth]],Table2[#Headers],0),0)</f>
        <v xml:space="preserve"> 18 ft.- 1 3/ 8"</v>
      </c>
      <c r="I24" s="2">
        <f>VLOOKUP([jobnumber],OvalData[],MATCH(Table2[[#Headers],[Support Tubes]],Table2[#Headers],0),0)</f>
        <v>0</v>
      </c>
      <c r="J24" s="2">
        <f>VLOOKUP([jobnumber],OvalData[],MATCH(Table2[[#Headers],[Upset]],Table2[#Headers],0),0)</f>
        <v>2</v>
      </c>
      <c r="K24" s="2" t="str">
        <f>VLOOKUP([jobnumber],OvalData[],MATCH(Table2[[#Headers],[Guide Type]],Table2[#Headers],0),0)</f>
        <v>SN2-4 5/8-E</v>
      </c>
      <c r="L24" s="2" t="str">
        <f>VLOOKUP([jobnumber],OvalData[],MATCH(Table2[[#Headers],[Wall Angle]],Table2[#Headers],0),0)</f>
        <v xml:space="preserve"> 11 ft.- 8"</v>
      </c>
      <c r="M24" s="2" t="str">
        <f>VLOOKUP([jobnumber],OvalData[],MATCH(Table2[[#Headers],[Middle Angle]],Table2[#Headers],0),0)</f>
        <v xml:space="preserve"> 10 ft.- 4 1/ 2"</v>
      </c>
      <c r="N24" s="2" t="str">
        <f>VLOOKUP([jobnumber],OvalData[],MATCH(Table2[[#Headers],[Front Angle]],Table2[#Headers],0),0)</f>
        <v xml:space="preserve"> 10 ft.- 3"</v>
      </c>
      <c r="O24" s="2">
        <f>VLOOKUP([jobnumber],OvalData[],MATCH(Table2[[#Headers],[Pipe Center Line]],Table2[#Headers],0),0)</f>
        <v>131</v>
      </c>
      <c r="P24" s="2">
        <f>VLOOKUP([jobnumber],OvalData[],MATCH(Table2[[#Headers],[Heat Expansion Gap]],Table2[#Headers],0),0)</f>
        <v>0</v>
      </c>
      <c r="Q24" s="2">
        <f>VLOOKUP([jobnumber],OvalData[],MATCH(Table2[[#Headers],[Hanging Weight Closed]],Table2[#Headers],0),0)</f>
        <v>795</v>
      </c>
      <c r="R24" s="2">
        <f>VLOOKUP([jobnumber],OvalData[],MATCH(Table2[[#Headers],[Hanging Weight Open]],Table2[#Headers],0),0)</f>
        <v>140</v>
      </c>
      <c r="S24" s="2">
        <f>VLOOKUP([jobnumber],OvalData[],MATCH(Table2[[#Headers],[Initial Lever Arm]],Table2[#Headers],0),0)</f>
        <v>4.25</v>
      </c>
      <c r="T24" s="2">
        <f>VLOOKUP([jobnumber],OvalData[],MATCH(Table2[[#Headers],[Turns to Raise]],Table2[#Headers],0),0)</f>
        <v>3.5859999999999999</v>
      </c>
      <c r="U24" s="2">
        <f>VLOOKUP([jobnumber],OvalData[],MATCH(Table2[[#Headers],[Final Lever Arm]],Table2[#Headers],0),0)</f>
        <v>6.37</v>
      </c>
      <c r="V24" s="2">
        <f>VLOOKUP([jobnumber],OvalData[],MATCH(Table2[[#Headers],[Torque Required Closed]],Table2[#Headers],0),0)</f>
        <v>3377.9</v>
      </c>
      <c r="W24" s="2">
        <f>VLOOKUP([jobnumber],OvalData[],MATCH(Table2[[#Headers],[Torque Required Open]],Table2[#Headers],0),0)</f>
        <v>892</v>
      </c>
      <c r="X24" s="2">
        <f>VLOOKUP([jobnumber],OvalData[],MATCH(Table2[[#Headers],[Pre Turns]],Table2[#Headers],0),0)</f>
        <v>1.3332999999999999</v>
      </c>
      <c r="Y24" s="2">
        <f>VLOOKUP([jobnumber],OvalData[],MATCH(Table2[[#Headers],[Required Torque Per Turn]],Table2[#Headers],0),0)</f>
        <v>688</v>
      </c>
      <c r="Z24" s="2">
        <f>VLOOKUP([jobnumber],OvalData[],MATCH(Table2[[#Headers],[Total Turns]],Table2[#Headers],0),0)</f>
        <v>4.91</v>
      </c>
      <c r="AA24" s="2">
        <f>VLOOKUP([jobnumber],OvalData[],MATCH(Table2[[#Headers],[Grille Vision Section]],Table2[#Headers],0),0)</f>
        <v>0</v>
      </c>
      <c r="AB24" s="2">
        <f>VLOOKUP([jobnumber],OvalData[],MATCH(Table2[[#Headers],[Grille Amount]],Table2[#Headers],0),0)</f>
        <v>0</v>
      </c>
      <c r="AC24" s="2">
        <f>VLOOKUP([jobnumber],OvalData[],MATCH(Table2[[#Headers],[Grille Center]],Table2[#Headers],0),0)</f>
        <v>0</v>
      </c>
      <c r="AD24" s="2">
        <f>VLOOKUP([jobnumber],OvalData[],MATCH(Table2[[#Headers],[Grille Pattern]],Table2[#Headers],0),0)</f>
        <v>0</v>
      </c>
      <c r="AE24" s="2">
        <f>VLOOKUP([jobnumber],OvalData[],MATCH(Table2[[#Headers],[Grille First Tube]],Table2[#Headers],0),0)</f>
        <v>0</v>
      </c>
      <c r="AF24" s="2">
        <f>VLOOKUP([jobnumber],OvalData[],MATCH(Table2[[#Headers],[Grille Standard Tube]],Table2[#Headers],0),0)</f>
        <v>0</v>
      </c>
      <c r="AG24" s="2">
        <f>VLOOKUP([jobnumber],OvalData[],MATCH(Table2[[#Headers],[Grille Total Links]],Table2[#Headers],0),0)</f>
        <v>0</v>
      </c>
      <c r="AH24" s="2">
        <f>VLOOKUP([jobnumber],OvalData[],MATCH(Table2[[#Headers],[Grille Rods]],Table2[#Headers],0),0)</f>
        <v>0</v>
      </c>
      <c r="AI24" s="2">
        <f>VLOOKUP([jobnumber],OvalData[],MATCH(Table2[[#Headers],[Grille Rod Length]],Table2[#Headers],0),0)</f>
        <v>0</v>
      </c>
      <c r="AJ24" s="2">
        <f>VLOOKUP([jobnumber],OvalData[],MATCH(Table2[[#Headers],[slattype]],Table2[#Headers],0),0)</f>
        <v>2</v>
      </c>
      <c r="AK24" s="2">
        <f>VLOOKUP([jobnumber],OvalData[],MATCH(Table2[[#Headers],[slatgage]],Table2[#Headers],0),0)</f>
        <v>18</v>
      </c>
      <c r="AL24" s="2">
        <f>VLOOKUP([jobnumber],OvalData[],MATCH(Table2[[#Headers],[Numer of Top Slats]],Table2[#Headers],0),0)</f>
        <v>0</v>
      </c>
      <c r="AM24" s="2">
        <f>VLOOKUP([jobnumber],OvalData[],MATCH(Table2[[#Headers],[Number of Bottom Slats]],Table2[#Headers],0),0)</f>
        <v>0</v>
      </c>
      <c r="AN24" s="2">
        <f>VLOOKUP([jobnumber],OvalData[],MATCH(Table2[[#Headers],[Solid Bottom Height]],Table2[#Headers],0),0)</f>
        <v>0</v>
      </c>
      <c r="AO24" s="2" t="str">
        <f>VLOOKUP([jobnumber],OvalData[],MATCH(Table2[[#Headers],[slatlength]],Table2[#Headers],0),0)</f>
        <v xml:space="preserve"> 18 ft.- 5 7/ 8"</v>
      </c>
      <c r="AP24" s="2">
        <f>VLOOKUP([jobnumber],OvalData[],MATCH(Table2[[#Headers],[Bottom Slat Length]],Table2[#Headers],0),0)</f>
        <v>0</v>
      </c>
      <c r="AQ24" s="2">
        <f>VLOOKUP([jobnumber],OvalData[],MATCH(Table2[[#Headers],[Number of Perferated Slats]],Table2[#Headers],0),0)</f>
        <v>0</v>
      </c>
      <c r="AR24" s="2">
        <f>VLOOKUP([jobnumber],OvalData[],MATCH(Table2[[#Headers],[First Preferated Slat From End]],Table2[#Headers],0),0)</f>
        <v>0</v>
      </c>
      <c r="AS24" s="2">
        <f>VLOOKUP([jobnumber],OvalData[],MATCH(Table2[[#Headers],[First Preferated Slat From Bottom]],Table2[#Headers],0),0)</f>
        <v>0</v>
      </c>
      <c r="AT24" s="2">
        <f>VLOOKUP([jobnumber],OvalData[],MATCH(Table2[[#Headers],[Total Number of Slats]],Table2[#Headers],0),0)</f>
        <v>51</v>
      </c>
      <c r="AU24" s="2">
        <f>VLOOKUP([jobnumber],OvalData[],MATCH(Table2[[#Headers],[Bottom Bar Slope]],Table2[#Headers],0),0)</f>
        <v>0</v>
      </c>
      <c r="AV24" s="2">
        <f>VLOOKUP([jobnumber],OvalData[],MATCH(Table2[[#Headers],[Bottom Bar Weight]],Table2[#Headers],0),0)</f>
        <v>80.5</v>
      </c>
      <c r="AW24" s="2" t="str">
        <f>VLOOKUP([jobnumber],OvalData[],MATCH(Table2[[#Headers],[Outer Spring Gage]],Table2[#Headers],0),0)</f>
        <v>Null</v>
      </c>
      <c r="AX24" s="2" t="str">
        <f>VLOOKUP([jobnumber],OvalData[],MATCH(Table2[[#Headers],[Outer Spring OD]],Table2[#Headers],0),0)</f>
        <v>Null</v>
      </c>
      <c r="AY24" s="2" t="str">
        <f>VLOOKUP([jobnumber],OvalData[],MATCH(Table2[[#Headers],[Outer Spring Length]],Table2[#Headers],0),0)</f>
        <v>Null</v>
      </c>
      <c r="AZ24" s="2" t="str">
        <f>VLOOKUP([jobnumber],OvalData[],MATCH(Table2[[#Headers],[Outer Spring Stretch]],Table2[#Headers],0),0)</f>
        <v>Null</v>
      </c>
      <c r="BA24" s="2" t="str">
        <f>VLOOKUP([jobnumber],OvalData[],MATCH(Table2[[#Headers],[Outer Spring Torque]],Table2[#Headers],0),0)</f>
        <v>Null</v>
      </c>
      <c r="BB24" s="2" t="str">
        <f>VLOOKUP([jobnumber],OvalData[],MATCH(Table2[[#Headers],[Outer Spring Max Turns]],Table2[#Headers],0),0)</f>
        <v>Null</v>
      </c>
      <c r="BC24" s="2" t="str">
        <f>VLOOKUP([jobnumber],OvalData[],MATCH(Table2[[#Headers],[Outer Spring Weight]],Table2[#Headers],0),0)</f>
        <v>Null</v>
      </c>
      <c r="BD24" s="2" t="str">
        <f>VLOOKUP([jobnumber],OvalData[],MATCH(Table2[[#Headers],[Inner Spring Gage]],Table2[#Headers],0),0)</f>
        <v>Null</v>
      </c>
      <c r="BE24" s="2" t="str">
        <f>VLOOKUP([jobnumber],OvalData[],MATCH(Table2[[#Headers],[Inner Spring OD]],Table2[#Headers],0),0)</f>
        <v>Null</v>
      </c>
      <c r="BF24" s="2" t="str">
        <f>VLOOKUP([jobnumber],OvalData[],MATCH(Table2[[#Headers],[Inner Spring Length]],Table2[#Headers],0),0)</f>
        <v>Null</v>
      </c>
      <c r="BG24" s="2" t="str">
        <f>VLOOKUP([jobnumber],OvalData[],MATCH(Table2[[#Headers],[Inner Spring Stretch]],Table2[#Headers],0),0)</f>
        <v>Null</v>
      </c>
      <c r="BH24" s="2" t="str">
        <f>VLOOKUP([jobnumber],OvalData[],MATCH(Table2[[#Headers],[Inner Spring Torque]],Table2[#Headers],0),0)</f>
        <v>Null</v>
      </c>
      <c r="BI24" s="2" t="str">
        <f>VLOOKUP([jobnumber],OvalData[],MATCH(Table2[[#Headers],[Inner Spring Max Turns]],Table2[#Headers],0),0)</f>
        <v>Null</v>
      </c>
      <c r="BJ24" s="2" t="str">
        <f>VLOOKUP([jobnumber],OvalData[],MATCH(Table2[[#Headers],[Inner Spring Weight]],Table2[#Headers],0),0)</f>
        <v>Null</v>
      </c>
      <c r="BK24" s="2">
        <f>VLOOKUP([jobnumber],OvalData[],MATCH(Table2[[#Headers],[Cycles]],Table2[#Headers],0),0)</f>
        <v>0</v>
      </c>
      <c r="BL24" s="2">
        <f>VLOOKUP([jobnumber],OvalData[],MATCH(Table2[[#Headers],[Total Spring Torque]],Table2[#Headers],0),0)</f>
        <v>0</v>
      </c>
      <c r="BM24" s="2">
        <f>VLOOKUP([jobnumber],OvalData[],MATCH(Table2[[#Headers],[Total Spring Weight]],Table2[#Headers],0),0)</f>
        <v>0</v>
      </c>
      <c r="BN24" s="2">
        <f>VLOOKUP([jobnumber],OvalData[],MATCH(Table2[[#Headers],[Pipe Weight]],Table2[#Headers],0),0)</f>
        <v>688.24239999999998</v>
      </c>
      <c r="BO24" s="2">
        <f>VLOOKUP([jobnumber],OvalData[],MATCH(Table2[[#Headers],[Max Pipe Deflection]],Table2[#Headers],0),0)</f>
        <v>2309</v>
      </c>
      <c r="BP24" s="2">
        <f>VLOOKUP([jobnumber],OvalData[],MATCH(Table2[[#Headers],[Number Non-Insulated Wrap Slats]],Table2[#Headers],0),0)</f>
        <v>0</v>
      </c>
      <c r="BQ24" s="2">
        <f>VLOOKUP([jobnumber],OvalData[],MATCH(Table2[[#Headers],[Number of Insolated Top Slats]],Table2[#Headers],0),0)</f>
        <v>45</v>
      </c>
      <c r="BR24" s="2">
        <f>VLOOKUP([jobnumber],OvalData[],MATCH(Table2[[#Headers],[Insolated Total Slats]],Table2[#Headers],0),0)</f>
        <v>45</v>
      </c>
      <c r="BS24" s="2">
        <f>VLOOKUP([jobnumber],OvalData[],MATCH(Table2[[#Headers],[Number of Slats]],Table2[#Headers],0),0)</f>
        <v>44.69</v>
      </c>
      <c r="BT24" s="2">
        <f>VLOOKUP([jobnumber],OvalData[],MATCH(Table2[[#Headers],[Wrap]],Table2[#Headers],0),0)</f>
        <v>0</v>
      </c>
      <c r="BU24" s="2">
        <f>VLOOKUP([jobnumber],OvalData[],MATCH(Table2[[#Headers],[Wall Angle Thickness]],Table2[#Headers],0),0)</f>
        <v>0</v>
      </c>
      <c r="BV24" s="2">
        <f>VLOOKUP([jobnumber],OvalData[],MATCH(Table2[[#Headers],[windlocks]],Table2[#Headers],0),0)</f>
        <v>0</v>
      </c>
      <c r="BW24" s="2" t="str">
        <f>VLOOKUP([jobnumber],OvalData[],MATCH(Table2[[#Headers],[bottombartype]],Table2[#Headers],0),0)</f>
        <v>SPECIAL</v>
      </c>
      <c r="BX24" s="2">
        <f>VLOOKUP([jobnumber],OvalData[],MATCH(Table2[[#Headers],[endlockweight]],Table2[#Headers],0),0)</f>
        <v>0.17</v>
      </c>
      <c r="BY24" s="2">
        <f>VLOOKUP([jobnumber],OvalData[],MATCH(Table2[[#Headers],[Endlock Total Weight]],Table2[#Headers],0),0)</f>
        <v>7.5972999999999997</v>
      </c>
      <c r="BZ24" s="2">
        <f>VLOOKUP([jobnumber],OvalData[],MATCH(Table2[[#Headers],[Grille Weight]],Table2[#Headers],0),0)</f>
        <v>0</v>
      </c>
      <c r="CA24" s="2">
        <f>VLOOKUP([jobnumber],OvalData[],MATCH(Table2[[#Headers],[barrelrings]],Table2[#Headers],0),0)</f>
        <v>1</v>
      </c>
    </row>
    <row r="25" spans="2:79">
      <c r="B25" s="2" t="str">
        <f>VLOOKUP([jobnumber],OvalData[],MATCH(Table2[[#Headers],[Hand]],Table2[#Headers],0),0)</f>
        <v>RH</v>
      </c>
      <c r="C25" s="2" t="str">
        <f>VLOOKUP([jobnumber],OvalData[],MATCH(Table2[[#Headers],[Model]],Table2[#Headers],0),0)</f>
        <v>SFMPP</v>
      </c>
      <c r="D25" s="2" t="str">
        <f>VLOOKUP([jobnumber],OvalData[],MATCH(Table2[[#Headers],[width]],Table2[#Headers],0),0)</f>
        <v xml:space="preserve"> 18 ft.- 2"</v>
      </c>
      <c r="E25" s="2" t="str">
        <f>VLOOKUP([jobnumber],OvalData[],MATCH(Table2[[#Headers],[stopheight]],Table2[#Headers],0),0)</f>
        <v xml:space="preserve"> 10 ft.- 0"</v>
      </c>
      <c r="F25" s="2" t="str">
        <f>VLOOKUP([jobnumber],OvalData[],MATCH(Table2[[#Headers],[Between Brackets]],Table2[#Headers],0),0)</f>
        <v xml:space="preserve"> 18 ft.- 7 7/ 8"</v>
      </c>
      <c r="G25" s="2" t="str">
        <f>VLOOKUP([jobnumber],OvalData[],MATCH(Table2[[#Headers],[shell]],Table2[#Headers],0),0)</f>
        <v>6 INCH TUBE</v>
      </c>
      <c r="H25" s="2" t="str">
        <f>VLOOKUP([jobnumber],OvalData[],MATCH(Table2[[#Headers],[pipewidth]],Table2[#Headers],0),0)</f>
        <v xml:space="preserve"> 18 ft.- 1 3/ 8"</v>
      </c>
      <c r="I25" s="2">
        <f>VLOOKUP([jobnumber],OvalData[],MATCH(Table2[[#Headers],[Support Tubes]],Table2[#Headers],0),0)</f>
        <v>0</v>
      </c>
      <c r="J25" s="2">
        <f>VLOOKUP([jobnumber],OvalData[],MATCH(Table2[[#Headers],[Upset]],Table2[#Headers],0),0)</f>
        <v>2</v>
      </c>
      <c r="K25" s="2" t="str">
        <f>VLOOKUP([jobnumber],OvalData[],MATCH(Table2[[#Headers],[Guide Type]],Table2[#Headers],0),0)</f>
        <v>SN2-4 5/8-E</v>
      </c>
      <c r="L25" s="2" t="str">
        <f>VLOOKUP([jobnumber],OvalData[],MATCH(Table2[[#Headers],[Wall Angle]],Table2[#Headers],0),0)</f>
        <v xml:space="preserve"> 11 ft.- 8"</v>
      </c>
      <c r="M25" s="2" t="str">
        <f>VLOOKUP([jobnumber],OvalData[],MATCH(Table2[[#Headers],[Middle Angle]],Table2[#Headers],0),0)</f>
        <v xml:space="preserve"> 10 ft.- 4 1/ 2"</v>
      </c>
      <c r="N25" s="2" t="str">
        <f>VLOOKUP([jobnumber],OvalData[],MATCH(Table2[[#Headers],[Front Angle]],Table2[#Headers],0),0)</f>
        <v xml:space="preserve"> 10 ft.- 3"</v>
      </c>
      <c r="O25" s="2">
        <f>VLOOKUP([jobnumber],OvalData[],MATCH(Table2[[#Headers],[Pipe Center Line]],Table2[#Headers],0),0)</f>
        <v>131</v>
      </c>
      <c r="P25" s="2">
        <f>VLOOKUP([jobnumber],OvalData[],MATCH(Table2[[#Headers],[Heat Expansion Gap]],Table2[#Headers],0),0)</f>
        <v>0</v>
      </c>
      <c r="Q25" s="2">
        <f>VLOOKUP([jobnumber],OvalData[],MATCH(Table2[[#Headers],[Hanging Weight Closed]],Table2[#Headers],0),0)</f>
        <v>795</v>
      </c>
      <c r="R25" s="2">
        <f>VLOOKUP([jobnumber],OvalData[],MATCH(Table2[[#Headers],[Hanging Weight Open]],Table2[#Headers],0),0)</f>
        <v>140</v>
      </c>
      <c r="S25" s="2">
        <f>VLOOKUP([jobnumber],OvalData[],MATCH(Table2[[#Headers],[Initial Lever Arm]],Table2[#Headers],0),0)</f>
        <v>4.25</v>
      </c>
      <c r="T25" s="2">
        <f>VLOOKUP([jobnumber],OvalData[],MATCH(Table2[[#Headers],[Turns to Raise]],Table2[#Headers],0),0)</f>
        <v>3.5859999999999999</v>
      </c>
      <c r="U25" s="2">
        <f>VLOOKUP([jobnumber],OvalData[],MATCH(Table2[[#Headers],[Final Lever Arm]],Table2[#Headers],0),0)</f>
        <v>6.37</v>
      </c>
      <c r="V25" s="2">
        <f>VLOOKUP([jobnumber],OvalData[],MATCH(Table2[[#Headers],[Torque Required Closed]],Table2[#Headers],0),0)</f>
        <v>3377.9</v>
      </c>
      <c r="W25" s="2">
        <f>VLOOKUP([jobnumber],OvalData[],MATCH(Table2[[#Headers],[Torque Required Open]],Table2[#Headers],0),0)</f>
        <v>892</v>
      </c>
      <c r="X25" s="2">
        <f>VLOOKUP([jobnumber],OvalData[],MATCH(Table2[[#Headers],[Pre Turns]],Table2[#Headers],0),0)</f>
        <v>1.3332999999999999</v>
      </c>
      <c r="Y25" s="2">
        <f>VLOOKUP([jobnumber],OvalData[],MATCH(Table2[[#Headers],[Required Torque Per Turn]],Table2[#Headers],0),0)</f>
        <v>688</v>
      </c>
      <c r="Z25" s="2">
        <f>VLOOKUP([jobnumber],OvalData[],MATCH(Table2[[#Headers],[Total Turns]],Table2[#Headers],0),0)</f>
        <v>4.91</v>
      </c>
      <c r="AA25" s="2">
        <f>VLOOKUP([jobnumber],OvalData[],MATCH(Table2[[#Headers],[Grille Vision Section]],Table2[#Headers],0),0)</f>
        <v>0</v>
      </c>
      <c r="AB25" s="2">
        <f>VLOOKUP([jobnumber],OvalData[],MATCH(Table2[[#Headers],[Grille Amount]],Table2[#Headers],0),0)</f>
        <v>0</v>
      </c>
      <c r="AC25" s="2">
        <f>VLOOKUP([jobnumber],OvalData[],MATCH(Table2[[#Headers],[Grille Center]],Table2[#Headers],0),0)</f>
        <v>0</v>
      </c>
      <c r="AD25" s="2">
        <f>VLOOKUP([jobnumber],OvalData[],MATCH(Table2[[#Headers],[Grille Pattern]],Table2[#Headers],0),0)</f>
        <v>0</v>
      </c>
      <c r="AE25" s="2">
        <f>VLOOKUP([jobnumber],OvalData[],MATCH(Table2[[#Headers],[Grille First Tube]],Table2[#Headers],0),0)</f>
        <v>0</v>
      </c>
      <c r="AF25" s="2">
        <f>VLOOKUP([jobnumber],OvalData[],MATCH(Table2[[#Headers],[Grille Standard Tube]],Table2[#Headers],0),0)</f>
        <v>0</v>
      </c>
      <c r="AG25" s="2">
        <f>VLOOKUP([jobnumber],OvalData[],MATCH(Table2[[#Headers],[Grille Total Links]],Table2[#Headers],0),0)</f>
        <v>0</v>
      </c>
      <c r="AH25" s="2">
        <f>VLOOKUP([jobnumber],OvalData[],MATCH(Table2[[#Headers],[Grille Rods]],Table2[#Headers],0),0)</f>
        <v>0</v>
      </c>
      <c r="AI25" s="2">
        <f>VLOOKUP([jobnumber],OvalData[],MATCH(Table2[[#Headers],[Grille Rod Length]],Table2[#Headers],0),0)</f>
        <v>0</v>
      </c>
      <c r="AJ25" s="2">
        <f>VLOOKUP([jobnumber],OvalData[],MATCH(Table2[[#Headers],[slattype]],Table2[#Headers],0),0)</f>
        <v>2</v>
      </c>
      <c r="AK25" s="2">
        <f>VLOOKUP([jobnumber],OvalData[],MATCH(Table2[[#Headers],[slatgage]],Table2[#Headers],0),0)</f>
        <v>18</v>
      </c>
      <c r="AL25" s="2">
        <f>VLOOKUP([jobnumber],OvalData[],MATCH(Table2[[#Headers],[Numer of Top Slats]],Table2[#Headers],0),0)</f>
        <v>0</v>
      </c>
      <c r="AM25" s="2">
        <f>VLOOKUP([jobnumber],OvalData[],MATCH(Table2[[#Headers],[Number of Bottom Slats]],Table2[#Headers],0),0)</f>
        <v>0</v>
      </c>
      <c r="AN25" s="2">
        <f>VLOOKUP([jobnumber],OvalData[],MATCH(Table2[[#Headers],[Solid Bottom Height]],Table2[#Headers],0),0)</f>
        <v>0</v>
      </c>
      <c r="AO25" s="2" t="str">
        <f>VLOOKUP([jobnumber],OvalData[],MATCH(Table2[[#Headers],[slatlength]],Table2[#Headers],0),0)</f>
        <v xml:space="preserve"> 18 ft.- 5 7/ 8"</v>
      </c>
      <c r="AP25" s="2">
        <f>VLOOKUP([jobnumber],OvalData[],MATCH(Table2[[#Headers],[Bottom Slat Length]],Table2[#Headers],0),0)</f>
        <v>0</v>
      </c>
      <c r="AQ25" s="2">
        <f>VLOOKUP([jobnumber],OvalData[],MATCH(Table2[[#Headers],[Number of Perferated Slats]],Table2[#Headers],0),0)</f>
        <v>0</v>
      </c>
      <c r="AR25" s="2">
        <f>VLOOKUP([jobnumber],OvalData[],MATCH(Table2[[#Headers],[First Preferated Slat From End]],Table2[#Headers],0),0)</f>
        <v>0</v>
      </c>
      <c r="AS25" s="2">
        <f>VLOOKUP([jobnumber],OvalData[],MATCH(Table2[[#Headers],[First Preferated Slat From Bottom]],Table2[#Headers],0),0)</f>
        <v>0</v>
      </c>
      <c r="AT25" s="2">
        <f>VLOOKUP([jobnumber],OvalData[],MATCH(Table2[[#Headers],[Total Number of Slats]],Table2[#Headers],0),0)</f>
        <v>51</v>
      </c>
      <c r="AU25" s="2">
        <f>VLOOKUP([jobnumber],OvalData[],MATCH(Table2[[#Headers],[Bottom Bar Slope]],Table2[#Headers],0),0)</f>
        <v>0</v>
      </c>
      <c r="AV25" s="2">
        <f>VLOOKUP([jobnumber],OvalData[],MATCH(Table2[[#Headers],[Bottom Bar Weight]],Table2[#Headers],0),0)</f>
        <v>80.5</v>
      </c>
      <c r="AW25" s="2" t="str">
        <f>VLOOKUP([jobnumber],OvalData[],MATCH(Table2[[#Headers],[Outer Spring Gage]],Table2[#Headers],0),0)</f>
        <v>Null</v>
      </c>
      <c r="AX25" s="2" t="str">
        <f>VLOOKUP([jobnumber],OvalData[],MATCH(Table2[[#Headers],[Outer Spring OD]],Table2[#Headers],0),0)</f>
        <v>Null</v>
      </c>
      <c r="AY25" s="2" t="str">
        <f>VLOOKUP([jobnumber],OvalData[],MATCH(Table2[[#Headers],[Outer Spring Length]],Table2[#Headers],0),0)</f>
        <v>Null</v>
      </c>
      <c r="AZ25" s="2" t="str">
        <f>VLOOKUP([jobnumber],OvalData[],MATCH(Table2[[#Headers],[Outer Spring Stretch]],Table2[#Headers],0),0)</f>
        <v>Null</v>
      </c>
      <c r="BA25" s="2" t="str">
        <f>VLOOKUP([jobnumber],OvalData[],MATCH(Table2[[#Headers],[Outer Spring Torque]],Table2[#Headers],0),0)</f>
        <v>Null</v>
      </c>
      <c r="BB25" s="2" t="str">
        <f>VLOOKUP([jobnumber],OvalData[],MATCH(Table2[[#Headers],[Outer Spring Max Turns]],Table2[#Headers],0),0)</f>
        <v>Null</v>
      </c>
      <c r="BC25" s="2" t="str">
        <f>VLOOKUP([jobnumber],OvalData[],MATCH(Table2[[#Headers],[Outer Spring Weight]],Table2[#Headers],0),0)</f>
        <v>Null</v>
      </c>
      <c r="BD25" s="2" t="str">
        <f>VLOOKUP([jobnumber],OvalData[],MATCH(Table2[[#Headers],[Inner Spring Gage]],Table2[#Headers],0),0)</f>
        <v>Null</v>
      </c>
      <c r="BE25" s="2" t="str">
        <f>VLOOKUP([jobnumber],OvalData[],MATCH(Table2[[#Headers],[Inner Spring OD]],Table2[#Headers],0),0)</f>
        <v>Null</v>
      </c>
      <c r="BF25" s="2" t="str">
        <f>VLOOKUP([jobnumber],OvalData[],MATCH(Table2[[#Headers],[Inner Spring Length]],Table2[#Headers],0),0)</f>
        <v>Null</v>
      </c>
      <c r="BG25" s="2" t="str">
        <f>VLOOKUP([jobnumber],OvalData[],MATCH(Table2[[#Headers],[Inner Spring Stretch]],Table2[#Headers],0),0)</f>
        <v>Null</v>
      </c>
      <c r="BH25" s="2" t="str">
        <f>VLOOKUP([jobnumber],OvalData[],MATCH(Table2[[#Headers],[Inner Spring Torque]],Table2[#Headers],0),0)</f>
        <v>Null</v>
      </c>
      <c r="BI25" s="2" t="str">
        <f>VLOOKUP([jobnumber],OvalData[],MATCH(Table2[[#Headers],[Inner Spring Max Turns]],Table2[#Headers],0),0)</f>
        <v>Null</v>
      </c>
      <c r="BJ25" s="2" t="str">
        <f>VLOOKUP([jobnumber],OvalData[],MATCH(Table2[[#Headers],[Inner Spring Weight]],Table2[#Headers],0),0)</f>
        <v>Null</v>
      </c>
      <c r="BK25" s="2">
        <f>VLOOKUP([jobnumber],OvalData[],MATCH(Table2[[#Headers],[Cycles]],Table2[#Headers],0),0)</f>
        <v>0</v>
      </c>
      <c r="BL25" s="2">
        <f>VLOOKUP([jobnumber],OvalData[],MATCH(Table2[[#Headers],[Total Spring Torque]],Table2[#Headers],0),0)</f>
        <v>0</v>
      </c>
      <c r="BM25" s="2">
        <f>VLOOKUP([jobnumber],OvalData[],MATCH(Table2[[#Headers],[Total Spring Weight]],Table2[#Headers],0),0)</f>
        <v>0</v>
      </c>
      <c r="BN25" s="2">
        <f>VLOOKUP([jobnumber],OvalData[],MATCH(Table2[[#Headers],[Pipe Weight]],Table2[#Headers],0),0)</f>
        <v>688.24239999999998</v>
      </c>
      <c r="BO25" s="2">
        <f>VLOOKUP([jobnumber],OvalData[],MATCH(Table2[[#Headers],[Max Pipe Deflection]],Table2[#Headers],0),0)</f>
        <v>2309</v>
      </c>
      <c r="BP25" s="2">
        <f>VLOOKUP([jobnumber],OvalData[],MATCH(Table2[[#Headers],[Number Non-Insulated Wrap Slats]],Table2[#Headers],0),0)</f>
        <v>0</v>
      </c>
      <c r="BQ25" s="2">
        <f>VLOOKUP([jobnumber],OvalData[],MATCH(Table2[[#Headers],[Number of Insolated Top Slats]],Table2[#Headers],0),0)</f>
        <v>45</v>
      </c>
      <c r="BR25" s="2">
        <f>VLOOKUP([jobnumber],OvalData[],MATCH(Table2[[#Headers],[Insolated Total Slats]],Table2[#Headers],0),0)</f>
        <v>45</v>
      </c>
      <c r="BS25" s="2">
        <f>VLOOKUP([jobnumber],OvalData[],MATCH(Table2[[#Headers],[Number of Slats]],Table2[#Headers],0),0)</f>
        <v>44.69</v>
      </c>
      <c r="BT25" s="2">
        <f>VLOOKUP([jobnumber],OvalData[],MATCH(Table2[[#Headers],[Wrap]],Table2[#Headers],0),0)</f>
        <v>0</v>
      </c>
      <c r="BU25" s="2">
        <f>VLOOKUP([jobnumber],OvalData[],MATCH(Table2[[#Headers],[Wall Angle Thickness]],Table2[#Headers],0),0)</f>
        <v>0</v>
      </c>
      <c r="BV25" s="2">
        <f>VLOOKUP([jobnumber],OvalData[],MATCH(Table2[[#Headers],[windlocks]],Table2[#Headers],0),0)</f>
        <v>0</v>
      </c>
      <c r="BW25" s="2" t="str">
        <f>VLOOKUP([jobnumber],OvalData[],MATCH(Table2[[#Headers],[bottombartype]],Table2[#Headers],0),0)</f>
        <v>SPECIAL</v>
      </c>
      <c r="BX25" s="2">
        <f>VLOOKUP([jobnumber],OvalData[],MATCH(Table2[[#Headers],[endlockweight]],Table2[#Headers],0),0)</f>
        <v>0.17</v>
      </c>
      <c r="BY25" s="2">
        <f>VLOOKUP([jobnumber],OvalData[],MATCH(Table2[[#Headers],[Endlock Total Weight]],Table2[#Headers],0),0)</f>
        <v>7.5972999999999997</v>
      </c>
      <c r="BZ25" s="2">
        <f>VLOOKUP([jobnumber],OvalData[],MATCH(Table2[[#Headers],[Grille Weight]],Table2[#Headers],0),0)</f>
        <v>0</v>
      </c>
      <c r="CA25" s="2">
        <f>VLOOKUP([jobnumber],OvalData[],MATCH(Table2[[#Headers],[barrelrings]],Table2[#Headers],0),0)</f>
        <v>1</v>
      </c>
    </row>
    <row r="26" spans="2:79">
      <c r="B26" s="2" t="str">
        <f>VLOOKUP([jobnumber],OvalData[],MATCH(Table2[[#Headers],[Hand]],Table2[#Headers],0),0)</f>
        <v>RH</v>
      </c>
      <c r="C26" s="2" t="str">
        <f>VLOOKUP([jobnumber],OvalData[],MATCH(Table2[[#Headers],[Model]],Table2[#Headers],0),0)</f>
        <v>SFMPP</v>
      </c>
      <c r="D26" s="2" t="str">
        <f>VLOOKUP([jobnumber],OvalData[],MATCH(Table2[[#Headers],[width]],Table2[#Headers],0),0)</f>
        <v xml:space="preserve"> 18 ft.- 2"</v>
      </c>
      <c r="E26" s="2" t="str">
        <f>VLOOKUP([jobnumber],OvalData[],MATCH(Table2[[#Headers],[stopheight]],Table2[#Headers],0),0)</f>
        <v xml:space="preserve"> 10 ft.- 0"</v>
      </c>
      <c r="F26" s="2" t="str">
        <f>VLOOKUP([jobnumber],OvalData[],MATCH(Table2[[#Headers],[Between Brackets]],Table2[#Headers],0),0)</f>
        <v xml:space="preserve"> 18 ft.- 7 7/ 8"</v>
      </c>
      <c r="G26" s="2" t="str">
        <f>VLOOKUP([jobnumber],OvalData[],MATCH(Table2[[#Headers],[shell]],Table2[#Headers],0),0)</f>
        <v>6 INCH TUBE</v>
      </c>
      <c r="H26" s="2" t="str">
        <f>VLOOKUP([jobnumber],OvalData[],MATCH(Table2[[#Headers],[pipewidth]],Table2[#Headers],0),0)</f>
        <v xml:space="preserve"> 18 ft.- 1 3/ 8"</v>
      </c>
      <c r="I26" s="2">
        <f>VLOOKUP([jobnumber],OvalData[],MATCH(Table2[[#Headers],[Support Tubes]],Table2[#Headers],0),0)</f>
        <v>0</v>
      </c>
      <c r="J26" s="2">
        <f>VLOOKUP([jobnumber],OvalData[],MATCH(Table2[[#Headers],[Upset]],Table2[#Headers],0),0)</f>
        <v>2</v>
      </c>
      <c r="K26" s="2" t="str">
        <f>VLOOKUP([jobnumber],OvalData[],MATCH(Table2[[#Headers],[Guide Type]],Table2[#Headers],0),0)</f>
        <v>SN2-4 5/8-E</v>
      </c>
      <c r="L26" s="2" t="str">
        <f>VLOOKUP([jobnumber],OvalData[],MATCH(Table2[[#Headers],[Wall Angle]],Table2[#Headers],0),0)</f>
        <v xml:space="preserve"> 11 ft.- 8"</v>
      </c>
      <c r="M26" s="2" t="str">
        <f>VLOOKUP([jobnumber],OvalData[],MATCH(Table2[[#Headers],[Middle Angle]],Table2[#Headers],0),0)</f>
        <v xml:space="preserve"> 10 ft.- 4 1/ 2"</v>
      </c>
      <c r="N26" s="2" t="str">
        <f>VLOOKUP([jobnumber],OvalData[],MATCH(Table2[[#Headers],[Front Angle]],Table2[#Headers],0),0)</f>
        <v xml:space="preserve"> 10 ft.- 3"</v>
      </c>
      <c r="O26" s="2">
        <f>VLOOKUP([jobnumber],OvalData[],MATCH(Table2[[#Headers],[Pipe Center Line]],Table2[#Headers],0),0)</f>
        <v>131</v>
      </c>
      <c r="P26" s="2">
        <f>VLOOKUP([jobnumber],OvalData[],MATCH(Table2[[#Headers],[Heat Expansion Gap]],Table2[#Headers],0),0)</f>
        <v>0</v>
      </c>
      <c r="Q26" s="2">
        <f>VLOOKUP([jobnumber],OvalData[],MATCH(Table2[[#Headers],[Hanging Weight Closed]],Table2[#Headers],0),0)</f>
        <v>795</v>
      </c>
      <c r="R26" s="2">
        <f>VLOOKUP([jobnumber],OvalData[],MATCH(Table2[[#Headers],[Hanging Weight Open]],Table2[#Headers],0),0)</f>
        <v>140</v>
      </c>
      <c r="S26" s="2">
        <f>VLOOKUP([jobnumber],OvalData[],MATCH(Table2[[#Headers],[Initial Lever Arm]],Table2[#Headers],0),0)</f>
        <v>4.25</v>
      </c>
      <c r="T26" s="2">
        <f>VLOOKUP([jobnumber],OvalData[],MATCH(Table2[[#Headers],[Turns to Raise]],Table2[#Headers],0),0)</f>
        <v>3.5859999999999999</v>
      </c>
      <c r="U26" s="2">
        <f>VLOOKUP([jobnumber],OvalData[],MATCH(Table2[[#Headers],[Final Lever Arm]],Table2[#Headers],0),0)</f>
        <v>6.37</v>
      </c>
      <c r="V26" s="2">
        <f>VLOOKUP([jobnumber],OvalData[],MATCH(Table2[[#Headers],[Torque Required Closed]],Table2[#Headers],0),0)</f>
        <v>3377.9</v>
      </c>
      <c r="W26" s="2">
        <f>VLOOKUP([jobnumber],OvalData[],MATCH(Table2[[#Headers],[Torque Required Open]],Table2[#Headers],0),0)</f>
        <v>892</v>
      </c>
      <c r="X26" s="2">
        <f>VLOOKUP([jobnumber],OvalData[],MATCH(Table2[[#Headers],[Pre Turns]],Table2[#Headers],0),0)</f>
        <v>1.3332999999999999</v>
      </c>
      <c r="Y26" s="2">
        <f>VLOOKUP([jobnumber],OvalData[],MATCH(Table2[[#Headers],[Required Torque Per Turn]],Table2[#Headers],0),0)</f>
        <v>688</v>
      </c>
      <c r="Z26" s="2">
        <f>VLOOKUP([jobnumber],OvalData[],MATCH(Table2[[#Headers],[Total Turns]],Table2[#Headers],0),0)</f>
        <v>4.91</v>
      </c>
      <c r="AA26" s="2">
        <f>VLOOKUP([jobnumber],OvalData[],MATCH(Table2[[#Headers],[Grille Vision Section]],Table2[#Headers],0),0)</f>
        <v>0</v>
      </c>
      <c r="AB26" s="2">
        <f>VLOOKUP([jobnumber],OvalData[],MATCH(Table2[[#Headers],[Grille Amount]],Table2[#Headers],0),0)</f>
        <v>0</v>
      </c>
      <c r="AC26" s="2">
        <f>VLOOKUP([jobnumber],OvalData[],MATCH(Table2[[#Headers],[Grille Center]],Table2[#Headers],0),0)</f>
        <v>0</v>
      </c>
      <c r="AD26" s="2">
        <f>VLOOKUP([jobnumber],OvalData[],MATCH(Table2[[#Headers],[Grille Pattern]],Table2[#Headers],0),0)</f>
        <v>0</v>
      </c>
      <c r="AE26" s="2">
        <f>VLOOKUP([jobnumber],OvalData[],MATCH(Table2[[#Headers],[Grille First Tube]],Table2[#Headers],0),0)</f>
        <v>0</v>
      </c>
      <c r="AF26" s="2">
        <f>VLOOKUP([jobnumber],OvalData[],MATCH(Table2[[#Headers],[Grille Standard Tube]],Table2[#Headers],0),0)</f>
        <v>0</v>
      </c>
      <c r="AG26" s="2">
        <f>VLOOKUP([jobnumber],OvalData[],MATCH(Table2[[#Headers],[Grille Total Links]],Table2[#Headers],0),0)</f>
        <v>0</v>
      </c>
      <c r="AH26" s="2">
        <f>VLOOKUP([jobnumber],OvalData[],MATCH(Table2[[#Headers],[Grille Rods]],Table2[#Headers],0),0)</f>
        <v>0</v>
      </c>
      <c r="AI26" s="2">
        <f>VLOOKUP([jobnumber],OvalData[],MATCH(Table2[[#Headers],[Grille Rod Length]],Table2[#Headers],0),0)</f>
        <v>0</v>
      </c>
      <c r="AJ26" s="2">
        <f>VLOOKUP([jobnumber],OvalData[],MATCH(Table2[[#Headers],[slattype]],Table2[#Headers],0),0)</f>
        <v>2</v>
      </c>
      <c r="AK26" s="2">
        <f>VLOOKUP([jobnumber],OvalData[],MATCH(Table2[[#Headers],[slatgage]],Table2[#Headers],0),0)</f>
        <v>18</v>
      </c>
      <c r="AL26" s="2">
        <f>VLOOKUP([jobnumber],OvalData[],MATCH(Table2[[#Headers],[Numer of Top Slats]],Table2[#Headers],0),0)</f>
        <v>0</v>
      </c>
      <c r="AM26" s="2">
        <f>VLOOKUP([jobnumber],OvalData[],MATCH(Table2[[#Headers],[Number of Bottom Slats]],Table2[#Headers],0),0)</f>
        <v>0</v>
      </c>
      <c r="AN26" s="2">
        <f>VLOOKUP([jobnumber],OvalData[],MATCH(Table2[[#Headers],[Solid Bottom Height]],Table2[#Headers],0),0)</f>
        <v>0</v>
      </c>
      <c r="AO26" s="2" t="str">
        <f>VLOOKUP([jobnumber],OvalData[],MATCH(Table2[[#Headers],[slatlength]],Table2[#Headers],0),0)</f>
        <v xml:space="preserve"> 18 ft.- 5 7/ 8"</v>
      </c>
      <c r="AP26" s="2">
        <f>VLOOKUP([jobnumber],OvalData[],MATCH(Table2[[#Headers],[Bottom Slat Length]],Table2[#Headers],0),0)</f>
        <v>0</v>
      </c>
      <c r="AQ26" s="2">
        <f>VLOOKUP([jobnumber],OvalData[],MATCH(Table2[[#Headers],[Number of Perferated Slats]],Table2[#Headers],0),0)</f>
        <v>0</v>
      </c>
      <c r="AR26" s="2">
        <f>VLOOKUP([jobnumber],OvalData[],MATCH(Table2[[#Headers],[First Preferated Slat From End]],Table2[#Headers],0),0)</f>
        <v>0</v>
      </c>
      <c r="AS26" s="2">
        <f>VLOOKUP([jobnumber],OvalData[],MATCH(Table2[[#Headers],[First Preferated Slat From Bottom]],Table2[#Headers],0),0)</f>
        <v>0</v>
      </c>
      <c r="AT26" s="2">
        <f>VLOOKUP([jobnumber],OvalData[],MATCH(Table2[[#Headers],[Total Number of Slats]],Table2[#Headers],0),0)</f>
        <v>51</v>
      </c>
      <c r="AU26" s="2">
        <f>VLOOKUP([jobnumber],OvalData[],MATCH(Table2[[#Headers],[Bottom Bar Slope]],Table2[#Headers],0),0)</f>
        <v>0</v>
      </c>
      <c r="AV26" s="2">
        <f>VLOOKUP([jobnumber],OvalData[],MATCH(Table2[[#Headers],[Bottom Bar Weight]],Table2[#Headers],0),0)</f>
        <v>80.5</v>
      </c>
      <c r="AW26" s="2" t="str">
        <f>VLOOKUP([jobnumber],OvalData[],MATCH(Table2[[#Headers],[Outer Spring Gage]],Table2[#Headers],0),0)</f>
        <v>Null</v>
      </c>
      <c r="AX26" s="2" t="str">
        <f>VLOOKUP([jobnumber],OvalData[],MATCH(Table2[[#Headers],[Outer Spring OD]],Table2[#Headers],0),0)</f>
        <v>Null</v>
      </c>
      <c r="AY26" s="2" t="str">
        <f>VLOOKUP([jobnumber],OvalData[],MATCH(Table2[[#Headers],[Outer Spring Length]],Table2[#Headers],0),0)</f>
        <v>Null</v>
      </c>
      <c r="AZ26" s="2" t="str">
        <f>VLOOKUP([jobnumber],OvalData[],MATCH(Table2[[#Headers],[Outer Spring Stretch]],Table2[#Headers],0),0)</f>
        <v>Null</v>
      </c>
      <c r="BA26" s="2" t="str">
        <f>VLOOKUP([jobnumber],OvalData[],MATCH(Table2[[#Headers],[Outer Spring Torque]],Table2[#Headers],0),0)</f>
        <v>Null</v>
      </c>
      <c r="BB26" s="2" t="str">
        <f>VLOOKUP([jobnumber],OvalData[],MATCH(Table2[[#Headers],[Outer Spring Max Turns]],Table2[#Headers],0),0)</f>
        <v>Null</v>
      </c>
      <c r="BC26" s="2" t="str">
        <f>VLOOKUP([jobnumber],OvalData[],MATCH(Table2[[#Headers],[Outer Spring Weight]],Table2[#Headers],0),0)</f>
        <v>Null</v>
      </c>
      <c r="BD26" s="2" t="str">
        <f>VLOOKUP([jobnumber],OvalData[],MATCH(Table2[[#Headers],[Inner Spring Gage]],Table2[#Headers],0),0)</f>
        <v>Null</v>
      </c>
      <c r="BE26" s="2" t="str">
        <f>VLOOKUP([jobnumber],OvalData[],MATCH(Table2[[#Headers],[Inner Spring OD]],Table2[#Headers],0),0)</f>
        <v>Null</v>
      </c>
      <c r="BF26" s="2" t="str">
        <f>VLOOKUP([jobnumber],OvalData[],MATCH(Table2[[#Headers],[Inner Spring Length]],Table2[#Headers],0),0)</f>
        <v>Null</v>
      </c>
      <c r="BG26" s="2" t="str">
        <f>VLOOKUP([jobnumber],OvalData[],MATCH(Table2[[#Headers],[Inner Spring Stretch]],Table2[#Headers],0),0)</f>
        <v>Null</v>
      </c>
      <c r="BH26" s="2" t="str">
        <f>VLOOKUP([jobnumber],OvalData[],MATCH(Table2[[#Headers],[Inner Spring Torque]],Table2[#Headers],0),0)</f>
        <v>Null</v>
      </c>
      <c r="BI26" s="2" t="str">
        <f>VLOOKUP([jobnumber],OvalData[],MATCH(Table2[[#Headers],[Inner Spring Max Turns]],Table2[#Headers],0),0)</f>
        <v>Null</v>
      </c>
      <c r="BJ26" s="2" t="str">
        <f>VLOOKUP([jobnumber],OvalData[],MATCH(Table2[[#Headers],[Inner Spring Weight]],Table2[#Headers],0),0)</f>
        <v>Null</v>
      </c>
      <c r="BK26" s="2">
        <f>VLOOKUP([jobnumber],OvalData[],MATCH(Table2[[#Headers],[Cycles]],Table2[#Headers],0),0)</f>
        <v>0</v>
      </c>
      <c r="BL26" s="2">
        <f>VLOOKUP([jobnumber],OvalData[],MATCH(Table2[[#Headers],[Total Spring Torque]],Table2[#Headers],0),0)</f>
        <v>0</v>
      </c>
      <c r="BM26" s="2">
        <f>VLOOKUP([jobnumber],OvalData[],MATCH(Table2[[#Headers],[Total Spring Weight]],Table2[#Headers],0),0)</f>
        <v>0</v>
      </c>
      <c r="BN26" s="2">
        <f>VLOOKUP([jobnumber],OvalData[],MATCH(Table2[[#Headers],[Pipe Weight]],Table2[#Headers],0),0)</f>
        <v>688.24239999999998</v>
      </c>
      <c r="BO26" s="2">
        <f>VLOOKUP([jobnumber],OvalData[],MATCH(Table2[[#Headers],[Max Pipe Deflection]],Table2[#Headers],0),0)</f>
        <v>2309</v>
      </c>
      <c r="BP26" s="2">
        <f>VLOOKUP([jobnumber],OvalData[],MATCH(Table2[[#Headers],[Number Non-Insulated Wrap Slats]],Table2[#Headers],0),0)</f>
        <v>0</v>
      </c>
      <c r="BQ26" s="2">
        <f>VLOOKUP([jobnumber],OvalData[],MATCH(Table2[[#Headers],[Number of Insolated Top Slats]],Table2[#Headers],0),0)</f>
        <v>45</v>
      </c>
      <c r="BR26" s="2">
        <f>VLOOKUP([jobnumber],OvalData[],MATCH(Table2[[#Headers],[Insolated Total Slats]],Table2[#Headers],0),0)</f>
        <v>45</v>
      </c>
      <c r="BS26" s="2">
        <f>VLOOKUP([jobnumber],OvalData[],MATCH(Table2[[#Headers],[Number of Slats]],Table2[#Headers],0),0)</f>
        <v>44.69</v>
      </c>
      <c r="BT26" s="2">
        <f>VLOOKUP([jobnumber],OvalData[],MATCH(Table2[[#Headers],[Wrap]],Table2[#Headers],0),0)</f>
        <v>0</v>
      </c>
      <c r="BU26" s="2">
        <f>VLOOKUP([jobnumber],OvalData[],MATCH(Table2[[#Headers],[Wall Angle Thickness]],Table2[#Headers],0),0)</f>
        <v>0</v>
      </c>
      <c r="BV26" s="2">
        <f>VLOOKUP([jobnumber],OvalData[],MATCH(Table2[[#Headers],[windlocks]],Table2[#Headers],0),0)</f>
        <v>0</v>
      </c>
      <c r="BW26" s="2" t="str">
        <f>VLOOKUP([jobnumber],OvalData[],MATCH(Table2[[#Headers],[bottombartype]],Table2[#Headers],0),0)</f>
        <v>SPECIAL</v>
      </c>
      <c r="BX26" s="2">
        <f>VLOOKUP([jobnumber],OvalData[],MATCH(Table2[[#Headers],[endlockweight]],Table2[#Headers],0),0)</f>
        <v>0.17</v>
      </c>
      <c r="BY26" s="2">
        <f>VLOOKUP([jobnumber],OvalData[],MATCH(Table2[[#Headers],[Endlock Total Weight]],Table2[#Headers],0),0)</f>
        <v>7.5972999999999997</v>
      </c>
      <c r="BZ26" s="2">
        <f>VLOOKUP([jobnumber],OvalData[],MATCH(Table2[[#Headers],[Grille Weight]],Table2[#Headers],0),0)</f>
        <v>0</v>
      </c>
      <c r="CA26" s="2">
        <f>VLOOKUP([jobnumber],OvalData[],MATCH(Table2[[#Headers],[barrelrings]],Table2[#Headers],0),0)</f>
        <v>1</v>
      </c>
    </row>
    <row r="27" spans="2:79">
      <c r="B27" s="2" t="str">
        <f>VLOOKUP([jobnumber],OvalData[],MATCH(Table2[[#Headers],[Hand]],Table2[#Headers],0),0)</f>
        <v>RH</v>
      </c>
      <c r="C27" s="2" t="str">
        <f>VLOOKUP([jobnumber],OvalData[],MATCH(Table2[[#Headers],[Model]],Table2[#Headers],0),0)</f>
        <v>SFMPP</v>
      </c>
      <c r="D27" s="2" t="str">
        <f>VLOOKUP([jobnumber],OvalData[],MATCH(Table2[[#Headers],[width]],Table2[#Headers],0),0)</f>
        <v xml:space="preserve"> 18 ft.- 2"</v>
      </c>
      <c r="E27" s="2" t="str">
        <f>VLOOKUP([jobnumber],OvalData[],MATCH(Table2[[#Headers],[stopheight]],Table2[#Headers],0),0)</f>
        <v xml:space="preserve"> 10 ft.- 0"</v>
      </c>
      <c r="F27" s="2" t="str">
        <f>VLOOKUP([jobnumber],OvalData[],MATCH(Table2[[#Headers],[Between Brackets]],Table2[#Headers],0),0)</f>
        <v xml:space="preserve"> 18 ft.- 7 7/ 8"</v>
      </c>
      <c r="G27" s="2" t="str">
        <f>VLOOKUP([jobnumber],OvalData[],MATCH(Table2[[#Headers],[shell]],Table2[#Headers],0),0)</f>
        <v>6 INCH TUBE</v>
      </c>
      <c r="H27" s="2" t="str">
        <f>VLOOKUP([jobnumber],OvalData[],MATCH(Table2[[#Headers],[pipewidth]],Table2[#Headers],0),0)</f>
        <v xml:space="preserve"> 18 ft.- 1 3/ 8"</v>
      </c>
      <c r="I27" s="2">
        <f>VLOOKUP([jobnumber],OvalData[],MATCH(Table2[[#Headers],[Support Tubes]],Table2[#Headers],0),0)</f>
        <v>0</v>
      </c>
      <c r="J27" s="2">
        <f>VLOOKUP([jobnumber],OvalData[],MATCH(Table2[[#Headers],[Upset]],Table2[#Headers],0),0)</f>
        <v>2</v>
      </c>
      <c r="K27" s="2" t="str">
        <f>VLOOKUP([jobnumber],OvalData[],MATCH(Table2[[#Headers],[Guide Type]],Table2[#Headers],0),0)</f>
        <v>SN2-4 5/8-E</v>
      </c>
      <c r="L27" s="2" t="str">
        <f>VLOOKUP([jobnumber],OvalData[],MATCH(Table2[[#Headers],[Wall Angle]],Table2[#Headers],0),0)</f>
        <v xml:space="preserve"> 11 ft.- 8"</v>
      </c>
      <c r="M27" s="2" t="str">
        <f>VLOOKUP([jobnumber],OvalData[],MATCH(Table2[[#Headers],[Middle Angle]],Table2[#Headers],0),0)</f>
        <v xml:space="preserve"> 10 ft.- 4 1/ 2"</v>
      </c>
      <c r="N27" s="2" t="str">
        <f>VLOOKUP([jobnumber],OvalData[],MATCH(Table2[[#Headers],[Front Angle]],Table2[#Headers],0),0)</f>
        <v xml:space="preserve"> 10 ft.- 3"</v>
      </c>
      <c r="O27" s="2">
        <f>VLOOKUP([jobnumber],OvalData[],MATCH(Table2[[#Headers],[Pipe Center Line]],Table2[#Headers],0),0)</f>
        <v>131</v>
      </c>
      <c r="P27" s="2">
        <f>VLOOKUP([jobnumber],OvalData[],MATCH(Table2[[#Headers],[Heat Expansion Gap]],Table2[#Headers],0),0)</f>
        <v>0</v>
      </c>
      <c r="Q27" s="2">
        <f>VLOOKUP([jobnumber],OvalData[],MATCH(Table2[[#Headers],[Hanging Weight Closed]],Table2[#Headers],0),0)</f>
        <v>795</v>
      </c>
      <c r="R27" s="2">
        <f>VLOOKUP([jobnumber],OvalData[],MATCH(Table2[[#Headers],[Hanging Weight Open]],Table2[#Headers],0),0)</f>
        <v>140</v>
      </c>
      <c r="S27" s="2">
        <f>VLOOKUP([jobnumber],OvalData[],MATCH(Table2[[#Headers],[Initial Lever Arm]],Table2[#Headers],0),0)</f>
        <v>4.25</v>
      </c>
      <c r="T27" s="2">
        <f>VLOOKUP([jobnumber],OvalData[],MATCH(Table2[[#Headers],[Turns to Raise]],Table2[#Headers],0),0)</f>
        <v>3.5859999999999999</v>
      </c>
      <c r="U27" s="2">
        <f>VLOOKUP([jobnumber],OvalData[],MATCH(Table2[[#Headers],[Final Lever Arm]],Table2[#Headers],0),0)</f>
        <v>6.37</v>
      </c>
      <c r="V27" s="2">
        <f>VLOOKUP([jobnumber],OvalData[],MATCH(Table2[[#Headers],[Torque Required Closed]],Table2[#Headers],0),0)</f>
        <v>3377.9</v>
      </c>
      <c r="W27" s="2">
        <f>VLOOKUP([jobnumber],OvalData[],MATCH(Table2[[#Headers],[Torque Required Open]],Table2[#Headers],0),0)</f>
        <v>892</v>
      </c>
      <c r="X27" s="2">
        <f>VLOOKUP([jobnumber],OvalData[],MATCH(Table2[[#Headers],[Pre Turns]],Table2[#Headers],0),0)</f>
        <v>1.3332999999999999</v>
      </c>
      <c r="Y27" s="2">
        <f>VLOOKUP([jobnumber],OvalData[],MATCH(Table2[[#Headers],[Required Torque Per Turn]],Table2[#Headers],0),0)</f>
        <v>688</v>
      </c>
      <c r="Z27" s="2">
        <f>VLOOKUP([jobnumber],OvalData[],MATCH(Table2[[#Headers],[Total Turns]],Table2[#Headers],0),0)</f>
        <v>4.91</v>
      </c>
      <c r="AA27" s="2">
        <f>VLOOKUP([jobnumber],OvalData[],MATCH(Table2[[#Headers],[Grille Vision Section]],Table2[#Headers],0),0)</f>
        <v>0</v>
      </c>
      <c r="AB27" s="2">
        <f>VLOOKUP([jobnumber],OvalData[],MATCH(Table2[[#Headers],[Grille Amount]],Table2[#Headers],0),0)</f>
        <v>0</v>
      </c>
      <c r="AC27" s="2">
        <f>VLOOKUP([jobnumber],OvalData[],MATCH(Table2[[#Headers],[Grille Center]],Table2[#Headers],0),0)</f>
        <v>0</v>
      </c>
      <c r="AD27" s="2">
        <f>VLOOKUP([jobnumber],OvalData[],MATCH(Table2[[#Headers],[Grille Pattern]],Table2[#Headers],0),0)</f>
        <v>0</v>
      </c>
      <c r="AE27" s="2">
        <f>VLOOKUP([jobnumber],OvalData[],MATCH(Table2[[#Headers],[Grille First Tube]],Table2[#Headers],0),0)</f>
        <v>0</v>
      </c>
      <c r="AF27" s="2">
        <f>VLOOKUP([jobnumber],OvalData[],MATCH(Table2[[#Headers],[Grille Standard Tube]],Table2[#Headers],0),0)</f>
        <v>0</v>
      </c>
      <c r="AG27" s="2">
        <f>VLOOKUP([jobnumber],OvalData[],MATCH(Table2[[#Headers],[Grille Total Links]],Table2[#Headers],0),0)</f>
        <v>0</v>
      </c>
      <c r="AH27" s="2">
        <f>VLOOKUP([jobnumber],OvalData[],MATCH(Table2[[#Headers],[Grille Rods]],Table2[#Headers],0),0)</f>
        <v>0</v>
      </c>
      <c r="AI27" s="2">
        <f>VLOOKUP([jobnumber],OvalData[],MATCH(Table2[[#Headers],[Grille Rod Length]],Table2[#Headers],0),0)</f>
        <v>0</v>
      </c>
      <c r="AJ27" s="2">
        <f>VLOOKUP([jobnumber],OvalData[],MATCH(Table2[[#Headers],[slattype]],Table2[#Headers],0),0)</f>
        <v>2</v>
      </c>
      <c r="AK27" s="2">
        <f>VLOOKUP([jobnumber],OvalData[],MATCH(Table2[[#Headers],[slatgage]],Table2[#Headers],0),0)</f>
        <v>18</v>
      </c>
      <c r="AL27" s="2">
        <f>VLOOKUP([jobnumber],OvalData[],MATCH(Table2[[#Headers],[Numer of Top Slats]],Table2[#Headers],0),0)</f>
        <v>0</v>
      </c>
      <c r="AM27" s="2">
        <f>VLOOKUP([jobnumber],OvalData[],MATCH(Table2[[#Headers],[Number of Bottom Slats]],Table2[#Headers],0),0)</f>
        <v>0</v>
      </c>
      <c r="AN27" s="2">
        <f>VLOOKUP([jobnumber],OvalData[],MATCH(Table2[[#Headers],[Solid Bottom Height]],Table2[#Headers],0),0)</f>
        <v>0</v>
      </c>
      <c r="AO27" s="2" t="str">
        <f>VLOOKUP([jobnumber],OvalData[],MATCH(Table2[[#Headers],[slatlength]],Table2[#Headers],0),0)</f>
        <v xml:space="preserve"> 18 ft.- 5 7/ 8"</v>
      </c>
      <c r="AP27" s="2">
        <f>VLOOKUP([jobnumber],OvalData[],MATCH(Table2[[#Headers],[Bottom Slat Length]],Table2[#Headers],0),0)</f>
        <v>0</v>
      </c>
      <c r="AQ27" s="2">
        <f>VLOOKUP([jobnumber],OvalData[],MATCH(Table2[[#Headers],[Number of Perferated Slats]],Table2[#Headers],0),0)</f>
        <v>0</v>
      </c>
      <c r="AR27" s="2">
        <f>VLOOKUP([jobnumber],OvalData[],MATCH(Table2[[#Headers],[First Preferated Slat From End]],Table2[#Headers],0),0)</f>
        <v>0</v>
      </c>
      <c r="AS27" s="2">
        <f>VLOOKUP([jobnumber],OvalData[],MATCH(Table2[[#Headers],[First Preferated Slat From Bottom]],Table2[#Headers],0),0)</f>
        <v>0</v>
      </c>
      <c r="AT27" s="2">
        <f>VLOOKUP([jobnumber],OvalData[],MATCH(Table2[[#Headers],[Total Number of Slats]],Table2[#Headers],0),0)</f>
        <v>51</v>
      </c>
      <c r="AU27" s="2">
        <f>VLOOKUP([jobnumber],OvalData[],MATCH(Table2[[#Headers],[Bottom Bar Slope]],Table2[#Headers],0),0)</f>
        <v>0</v>
      </c>
      <c r="AV27" s="2">
        <f>VLOOKUP([jobnumber],OvalData[],MATCH(Table2[[#Headers],[Bottom Bar Weight]],Table2[#Headers],0),0)</f>
        <v>80.5</v>
      </c>
      <c r="AW27" s="2" t="str">
        <f>VLOOKUP([jobnumber],OvalData[],MATCH(Table2[[#Headers],[Outer Spring Gage]],Table2[#Headers],0),0)</f>
        <v>Null</v>
      </c>
      <c r="AX27" s="2" t="str">
        <f>VLOOKUP([jobnumber],OvalData[],MATCH(Table2[[#Headers],[Outer Spring OD]],Table2[#Headers],0),0)</f>
        <v>Null</v>
      </c>
      <c r="AY27" s="2" t="str">
        <f>VLOOKUP([jobnumber],OvalData[],MATCH(Table2[[#Headers],[Outer Spring Length]],Table2[#Headers],0),0)</f>
        <v>Null</v>
      </c>
      <c r="AZ27" s="2" t="str">
        <f>VLOOKUP([jobnumber],OvalData[],MATCH(Table2[[#Headers],[Outer Spring Stretch]],Table2[#Headers],0),0)</f>
        <v>Null</v>
      </c>
      <c r="BA27" s="2" t="str">
        <f>VLOOKUP([jobnumber],OvalData[],MATCH(Table2[[#Headers],[Outer Spring Torque]],Table2[#Headers],0),0)</f>
        <v>Null</v>
      </c>
      <c r="BB27" s="2" t="str">
        <f>VLOOKUP([jobnumber],OvalData[],MATCH(Table2[[#Headers],[Outer Spring Max Turns]],Table2[#Headers],0),0)</f>
        <v>Null</v>
      </c>
      <c r="BC27" s="2" t="str">
        <f>VLOOKUP([jobnumber],OvalData[],MATCH(Table2[[#Headers],[Outer Spring Weight]],Table2[#Headers],0),0)</f>
        <v>Null</v>
      </c>
      <c r="BD27" s="2" t="str">
        <f>VLOOKUP([jobnumber],OvalData[],MATCH(Table2[[#Headers],[Inner Spring Gage]],Table2[#Headers],0),0)</f>
        <v>Null</v>
      </c>
      <c r="BE27" s="2" t="str">
        <f>VLOOKUP([jobnumber],OvalData[],MATCH(Table2[[#Headers],[Inner Spring OD]],Table2[#Headers],0),0)</f>
        <v>Null</v>
      </c>
      <c r="BF27" s="2" t="str">
        <f>VLOOKUP([jobnumber],OvalData[],MATCH(Table2[[#Headers],[Inner Spring Length]],Table2[#Headers],0),0)</f>
        <v>Null</v>
      </c>
      <c r="BG27" s="2" t="str">
        <f>VLOOKUP([jobnumber],OvalData[],MATCH(Table2[[#Headers],[Inner Spring Stretch]],Table2[#Headers],0),0)</f>
        <v>Null</v>
      </c>
      <c r="BH27" s="2" t="str">
        <f>VLOOKUP([jobnumber],OvalData[],MATCH(Table2[[#Headers],[Inner Spring Torque]],Table2[#Headers],0),0)</f>
        <v>Null</v>
      </c>
      <c r="BI27" s="2" t="str">
        <f>VLOOKUP([jobnumber],OvalData[],MATCH(Table2[[#Headers],[Inner Spring Max Turns]],Table2[#Headers],0),0)</f>
        <v>Null</v>
      </c>
      <c r="BJ27" s="2" t="str">
        <f>VLOOKUP([jobnumber],OvalData[],MATCH(Table2[[#Headers],[Inner Spring Weight]],Table2[#Headers],0),0)</f>
        <v>Null</v>
      </c>
      <c r="BK27" s="2">
        <f>VLOOKUP([jobnumber],OvalData[],MATCH(Table2[[#Headers],[Cycles]],Table2[#Headers],0),0)</f>
        <v>0</v>
      </c>
      <c r="BL27" s="2">
        <f>VLOOKUP([jobnumber],OvalData[],MATCH(Table2[[#Headers],[Total Spring Torque]],Table2[#Headers],0),0)</f>
        <v>0</v>
      </c>
      <c r="BM27" s="2">
        <f>VLOOKUP([jobnumber],OvalData[],MATCH(Table2[[#Headers],[Total Spring Weight]],Table2[#Headers],0),0)</f>
        <v>0</v>
      </c>
      <c r="BN27" s="2">
        <f>VLOOKUP([jobnumber],OvalData[],MATCH(Table2[[#Headers],[Pipe Weight]],Table2[#Headers],0),0)</f>
        <v>688.24239999999998</v>
      </c>
      <c r="BO27" s="2">
        <f>VLOOKUP([jobnumber],OvalData[],MATCH(Table2[[#Headers],[Max Pipe Deflection]],Table2[#Headers],0),0)</f>
        <v>2309</v>
      </c>
      <c r="BP27" s="2">
        <f>VLOOKUP([jobnumber],OvalData[],MATCH(Table2[[#Headers],[Number Non-Insulated Wrap Slats]],Table2[#Headers],0),0)</f>
        <v>0</v>
      </c>
      <c r="BQ27" s="2">
        <f>VLOOKUP([jobnumber],OvalData[],MATCH(Table2[[#Headers],[Number of Insolated Top Slats]],Table2[#Headers],0),0)</f>
        <v>45</v>
      </c>
      <c r="BR27" s="2">
        <f>VLOOKUP([jobnumber],OvalData[],MATCH(Table2[[#Headers],[Insolated Total Slats]],Table2[#Headers],0),0)</f>
        <v>45</v>
      </c>
      <c r="BS27" s="2">
        <f>VLOOKUP([jobnumber],OvalData[],MATCH(Table2[[#Headers],[Number of Slats]],Table2[#Headers],0),0)</f>
        <v>44.69</v>
      </c>
      <c r="BT27" s="2">
        <f>VLOOKUP([jobnumber],OvalData[],MATCH(Table2[[#Headers],[Wrap]],Table2[#Headers],0),0)</f>
        <v>0</v>
      </c>
      <c r="BU27" s="2">
        <f>VLOOKUP([jobnumber],OvalData[],MATCH(Table2[[#Headers],[Wall Angle Thickness]],Table2[#Headers],0),0)</f>
        <v>0</v>
      </c>
      <c r="BV27" s="2">
        <f>VLOOKUP([jobnumber],OvalData[],MATCH(Table2[[#Headers],[windlocks]],Table2[#Headers],0),0)</f>
        <v>0</v>
      </c>
      <c r="BW27" s="2" t="str">
        <f>VLOOKUP([jobnumber],OvalData[],MATCH(Table2[[#Headers],[bottombartype]],Table2[#Headers],0),0)</f>
        <v>SPECIAL</v>
      </c>
      <c r="BX27" s="2">
        <f>VLOOKUP([jobnumber],OvalData[],MATCH(Table2[[#Headers],[endlockweight]],Table2[#Headers],0),0)</f>
        <v>0.17</v>
      </c>
      <c r="BY27" s="2">
        <f>VLOOKUP([jobnumber],OvalData[],MATCH(Table2[[#Headers],[Endlock Total Weight]],Table2[#Headers],0),0)</f>
        <v>7.5972999999999997</v>
      </c>
      <c r="BZ27" s="2">
        <f>VLOOKUP([jobnumber],OvalData[],MATCH(Table2[[#Headers],[Grille Weight]],Table2[#Headers],0),0)</f>
        <v>0</v>
      </c>
      <c r="CA27" s="2">
        <f>VLOOKUP([jobnumber],OvalData[],MATCH(Table2[[#Headers],[barrelrings]],Table2[#Headers],0),0)</f>
        <v>1</v>
      </c>
    </row>
    <row r="28" spans="2:79">
      <c r="B28" s="2" t="str">
        <f>VLOOKUP([jobnumber],OvalData[],MATCH(Table2[[#Headers],[Hand]],Table2[#Headers],0),0)</f>
        <v>RH</v>
      </c>
      <c r="C28" s="2" t="str">
        <f>VLOOKUP([jobnumber],OvalData[],MATCH(Table2[[#Headers],[Model]],Table2[#Headers],0),0)</f>
        <v>SFMPP</v>
      </c>
      <c r="D28" s="2" t="str">
        <f>VLOOKUP([jobnumber],OvalData[],MATCH(Table2[[#Headers],[width]],Table2[#Headers],0),0)</f>
        <v xml:space="preserve"> 18 ft.- 2"</v>
      </c>
      <c r="E28" s="2" t="str">
        <f>VLOOKUP([jobnumber],OvalData[],MATCH(Table2[[#Headers],[stopheight]],Table2[#Headers],0),0)</f>
        <v xml:space="preserve"> 10 ft.- 0"</v>
      </c>
      <c r="F28" s="2" t="str">
        <f>VLOOKUP([jobnumber],OvalData[],MATCH(Table2[[#Headers],[Between Brackets]],Table2[#Headers],0),0)</f>
        <v xml:space="preserve"> 18 ft.- 7 7/ 8"</v>
      </c>
      <c r="G28" s="2" t="str">
        <f>VLOOKUP([jobnumber],OvalData[],MATCH(Table2[[#Headers],[shell]],Table2[#Headers],0),0)</f>
        <v>6 INCH TUBE</v>
      </c>
      <c r="H28" s="2" t="str">
        <f>VLOOKUP([jobnumber],OvalData[],MATCH(Table2[[#Headers],[pipewidth]],Table2[#Headers],0),0)</f>
        <v xml:space="preserve"> 18 ft.- 1 3/ 8"</v>
      </c>
      <c r="I28" s="2">
        <f>VLOOKUP([jobnumber],OvalData[],MATCH(Table2[[#Headers],[Support Tubes]],Table2[#Headers],0),0)</f>
        <v>0</v>
      </c>
      <c r="J28" s="2">
        <f>VLOOKUP([jobnumber],OvalData[],MATCH(Table2[[#Headers],[Upset]],Table2[#Headers],0),0)</f>
        <v>2</v>
      </c>
      <c r="K28" s="2" t="str">
        <f>VLOOKUP([jobnumber],OvalData[],MATCH(Table2[[#Headers],[Guide Type]],Table2[#Headers],0),0)</f>
        <v>SN2-4 5/8-E</v>
      </c>
      <c r="L28" s="2" t="str">
        <f>VLOOKUP([jobnumber],OvalData[],MATCH(Table2[[#Headers],[Wall Angle]],Table2[#Headers],0),0)</f>
        <v xml:space="preserve"> 11 ft.- 8"</v>
      </c>
      <c r="M28" s="2" t="str">
        <f>VLOOKUP([jobnumber],OvalData[],MATCH(Table2[[#Headers],[Middle Angle]],Table2[#Headers],0),0)</f>
        <v xml:space="preserve"> 10 ft.- 4 1/ 2"</v>
      </c>
      <c r="N28" s="2" t="str">
        <f>VLOOKUP([jobnumber],OvalData[],MATCH(Table2[[#Headers],[Front Angle]],Table2[#Headers],0),0)</f>
        <v xml:space="preserve"> 10 ft.- 3"</v>
      </c>
      <c r="O28" s="2">
        <f>VLOOKUP([jobnumber],OvalData[],MATCH(Table2[[#Headers],[Pipe Center Line]],Table2[#Headers],0),0)</f>
        <v>131</v>
      </c>
      <c r="P28" s="2">
        <f>VLOOKUP([jobnumber],OvalData[],MATCH(Table2[[#Headers],[Heat Expansion Gap]],Table2[#Headers],0),0)</f>
        <v>0</v>
      </c>
      <c r="Q28" s="2">
        <f>VLOOKUP([jobnumber],OvalData[],MATCH(Table2[[#Headers],[Hanging Weight Closed]],Table2[#Headers],0),0)</f>
        <v>795</v>
      </c>
      <c r="R28" s="2">
        <f>VLOOKUP([jobnumber],OvalData[],MATCH(Table2[[#Headers],[Hanging Weight Open]],Table2[#Headers],0),0)</f>
        <v>140</v>
      </c>
      <c r="S28" s="2">
        <f>VLOOKUP([jobnumber],OvalData[],MATCH(Table2[[#Headers],[Initial Lever Arm]],Table2[#Headers],0),0)</f>
        <v>4.25</v>
      </c>
      <c r="T28" s="2">
        <f>VLOOKUP([jobnumber],OvalData[],MATCH(Table2[[#Headers],[Turns to Raise]],Table2[#Headers],0),0)</f>
        <v>3.5859999999999999</v>
      </c>
      <c r="U28" s="2">
        <f>VLOOKUP([jobnumber],OvalData[],MATCH(Table2[[#Headers],[Final Lever Arm]],Table2[#Headers],0),0)</f>
        <v>6.37</v>
      </c>
      <c r="V28" s="2">
        <f>VLOOKUP([jobnumber],OvalData[],MATCH(Table2[[#Headers],[Torque Required Closed]],Table2[#Headers],0),0)</f>
        <v>3377.9</v>
      </c>
      <c r="W28" s="2">
        <f>VLOOKUP([jobnumber],OvalData[],MATCH(Table2[[#Headers],[Torque Required Open]],Table2[#Headers],0),0)</f>
        <v>892</v>
      </c>
      <c r="X28" s="2">
        <f>VLOOKUP([jobnumber],OvalData[],MATCH(Table2[[#Headers],[Pre Turns]],Table2[#Headers],0),0)</f>
        <v>1.3332999999999999</v>
      </c>
      <c r="Y28" s="2">
        <f>VLOOKUP([jobnumber],OvalData[],MATCH(Table2[[#Headers],[Required Torque Per Turn]],Table2[#Headers],0),0)</f>
        <v>688</v>
      </c>
      <c r="Z28" s="2">
        <f>VLOOKUP([jobnumber],OvalData[],MATCH(Table2[[#Headers],[Total Turns]],Table2[#Headers],0),0)</f>
        <v>4.91</v>
      </c>
      <c r="AA28" s="2">
        <f>VLOOKUP([jobnumber],OvalData[],MATCH(Table2[[#Headers],[Grille Vision Section]],Table2[#Headers],0),0)</f>
        <v>0</v>
      </c>
      <c r="AB28" s="2">
        <f>VLOOKUP([jobnumber],OvalData[],MATCH(Table2[[#Headers],[Grille Amount]],Table2[#Headers],0),0)</f>
        <v>0</v>
      </c>
      <c r="AC28" s="2">
        <f>VLOOKUP([jobnumber],OvalData[],MATCH(Table2[[#Headers],[Grille Center]],Table2[#Headers],0),0)</f>
        <v>0</v>
      </c>
      <c r="AD28" s="2">
        <f>VLOOKUP([jobnumber],OvalData[],MATCH(Table2[[#Headers],[Grille Pattern]],Table2[#Headers],0),0)</f>
        <v>0</v>
      </c>
      <c r="AE28" s="2">
        <f>VLOOKUP([jobnumber],OvalData[],MATCH(Table2[[#Headers],[Grille First Tube]],Table2[#Headers],0),0)</f>
        <v>0</v>
      </c>
      <c r="AF28" s="2">
        <f>VLOOKUP([jobnumber],OvalData[],MATCH(Table2[[#Headers],[Grille Standard Tube]],Table2[#Headers],0),0)</f>
        <v>0</v>
      </c>
      <c r="AG28" s="2">
        <f>VLOOKUP([jobnumber],OvalData[],MATCH(Table2[[#Headers],[Grille Total Links]],Table2[#Headers],0),0)</f>
        <v>0</v>
      </c>
      <c r="AH28" s="2">
        <f>VLOOKUP([jobnumber],OvalData[],MATCH(Table2[[#Headers],[Grille Rods]],Table2[#Headers],0),0)</f>
        <v>0</v>
      </c>
      <c r="AI28" s="2">
        <f>VLOOKUP([jobnumber],OvalData[],MATCH(Table2[[#Headers],[Grille Rod Length]],Table2[#Headers],0),0)</f>
        <v>0</v>
      </c>
      <c r="AJ28" s="2">
        <f>VLOOKUP([jobnumber],OvalData[],MATCH(Table2[[#Headers],[slattype]],Table2[#Headers],0),0)</f>
        <v>2</v>
      </c>
      <c r="AK28" s="2">
        <f>VLOOKUP([jobnumber],OvalData[],MATCH(Table2[[#Headers],[slatgage]],Table2[#Headers],0),0)</f>
        <v>18</v>
      </c>
      <c r="AL28" s="2">
        <f>VLOOKUP([jobnumber],OvalData[],MATCH(Table2[[#Headers],[Numer of Top Slats]],Table2[#Headers],0),0)</f>
        <v>0</v>
      </c>
      <c r="AM28" s="2">
        <f>VLOOKUP([jobnumber],OvalData[],MATCH(Table2[[#Headers],[Number of Bottom Slats]],Table2[#Headers],0),0)</f>
        <v>0</v>
      </c>
      <c r="AN28" s="2">
        <f>VLOOKUP([jobnumber],OvalData[],MATCH(Table2[[#Headers],[Solid Bottom Height]],Table2[#Headers],0),0)</f>
        <v>0</v>
      </c>
      <c r="AO28" s="2" t="str">
        <f>VLOOKUP([jobnumber],OvalData[],MATCH(Table2[[#Headers],[slatlength]],Table2[#Headers],0),0)</f>
        <v xml:space="preserve"> 18 ft.- 5 7/ 8"</v>
      </c>
      <c r="AP28" s="2">
        <f>VLOOKUP([jobnumber],OvalData[],MATCH(Table2[[#Headers],[Bottom Slat Length]],Table2[#Headers],0),0)</f>
        <v>0</v>
      </c>
      <c r="AQ28" s="2">
        <f>VLOOKUP([jobnumber],OvalData[],MATCH(Table2[[#Headers],[Number of Perferated Slats]],Table2[#Headers],0),0)</f>
        <v>0</v>
      </c>
      <c r="AR28" s="2">
        <f>VLOOKUP([jobnumber],OvalData[],MATCH(Table2[[#Headers],[First Preferated Slat From End]],Table2[#Headers],0),0)</f>
        <v>0</v>
      </c>
      <c r="AS28" s="2">
        <f>VLOOKUP([jobnumber],OvalData[],MATCH(Table2[[#Headers],[First Preferated Slat From Bottom]],Table2[#Headers],0),0)</f>
        <v>0</v>
      </c>
      <c r="AT28" s="2">
        <f>VLOOKUP([jobnumber],OvalData[],MATCH(Table2[[#Headers],[Total Number of Slats]],Table2[#Headers],0),0)</f>
        <v>51</v>
      </c>
      <c r="AU28" s="2">
        <f>VLOOKUP([jobnumber],OvalData[],MATCH(Table2[[#Headers],[Bottom Bar Slope]],Table2[#Headers],0),0)</f>
        <v>0</v>
      </c>
      <c r="AV28" s="2">
        <f>VLOOKUP([jobnumber],OvalData[],MATCH(Table2[[#Headers],[Bottom Bar Weight]],Table2[#Headers],0),0)</f>
        <v>80.5</v>
      </c>
      <c r="AW28" s="2" t="str">
        <f>VLOOKUP([jobnumber],OvalData[],MATCH(Table2[[#Headers],[Outer Spring Gage]],Table2[#Headers],0),0)</f>
        <v>Null</v>
      </c>
      <c r="AX28" s="2" t="str">
        <f>VLOOKUP([jobnumber],OvalData[],MATCH(Table2[[#Headers],[Outer Spring OD]],Table2[#Headers],0),0)</f>
        <v>Null</v>
      </c>
      <c r="AY28" s="2" t="str">
        <f>VLOOKUP([jobnumber],OvalData[],MATCH(Table2[[#Headers],[Outer Spring Length]],Table2[#Headers],0),0)</f>
        <v>Null</v>
      </c>
      <c r="AZ28" s="2" t="str">
        <f>VLOOKUP([jobnumber],OvalData[],MATCH(Table2[[#Headers],[Outer Spring Stretch]],Table2[#Headers],0),0)</f>
        <v>Null</v>
      </c>
      <c r="BA28" s="2" t="str">
        <f>VLOOKUP([jobnumber],OvalData[],MATCH(Table2[[#Headers],[Outer Spring Torque]],Table2[#Headers],0),0)</f>
        <v>Null</v>
      </c>
      <c r="BB28" s="2" t="str">
        <f>VLOOKUP([jobnumber],OvalData[],MATCH(Table2[[#Headers],[Outer Spring Max Turns]],Table2[#Headers],0),0)</f>
        <v>Null</v>
      </c>
      <c r="BC28" s="2" t="str">
        <f>VLOOKUP([jobnumber],OvalData[],MATCH(Table2[[#Headers],[Outer Spring Weight]],Table2[#Headers],0),0)</f>
        <v>Null</v>
      </c>
      <c r="BD28" s="2" t="str">
        <f>VLOOKUP([jobnumber],OvalData[],MATCH(Table2[[#Headers],[Inner Spring Gage]],Table2[#Headers],0),0)</f>
        <v>Null</v>
      </c>
      <c r="BE28" s="2" t="str">
        <f>VLOOKUP([jobnumber],OvalData[],MATCH(Table2[[#Headers],[Inner Spring OD]],Table2[#Headers],0),0)</f>
        <v>Null</v>
      </c>
      <c r="BF28" s="2" t="str">
        <f>VLOOKUP([jobnumber],OvalData[],MATCH(Table2[[#Headers],[Inner Spring Length]],Table2[#Headers],0),0)</f>
        <v>Null</v>
      </c>
      <c r="BG28" s="2" t="str">
        <f>VLOOKUP([jobnumber],OvalData[],MATCH(Table2[[#Headers],[Inner Spring Stretch]],Table2[#Headers],0),0)</f>
        <v>Null</v>
      </c>
      <c r="BH28" s="2" t="str">
        <f>VLOOKUP([jobnumber],OvalData[],MATCH(Table2[[#Headers],[Inner Spring Torque]],Table2[#Headers],0),0)</f>
        <v>Null</v>
      </c>
      <c r="BI28" s="2" t="str">
        <f>VLOOKUP([jobnumber],OvalData[],MATCH(Table2[[#Headers],[Inner Spring Max Turns]],Table2[#Headers],0),0)</f>
        <v>Null</v>
      </c>
      <c r="BJ28" s="2" t="str">
        <f>VLOOKUP([jobnumber],OvalData[],MATCH(Table2[[#Headers],[Inner Spring Weight]],Table2[#Headers],0),0)</f>
        <v>Null</v>
      </c>
      <c r="BK28" s="2">
        <f>VLOOKUP([jobnumber],OvalData[],MATCH(Table2[[#Headers],[Cycles]],Table2[#Headers],0),0)</f>
        <v>0</v>
      </c>
      <c r="BL28" s="2">
        <f>VLOOKUP([jobnumber],OvalData[],MATCH(Table2[[#Headers],[Total Spring Torque]],Table2[#Headers],0),0)</f>
        <v>0</v>
      </c>
      <c r="BM28" s="2">
        <f>VLOOKUP([jobnumber],OvalData[],MATCH(Table2[[#Headers],[Total Spring Weight]],Table2[#Headers],0),0)</f>
        <v>0</v>
      </c>
      <c r="BN28" s="2">
        <f>VLOOKUP([jobnumber],OvalData[],MATCH(Table2[[#Headers],[Pipe Weight]],Table2[#Headers],0),0)</f>
        <v>688.24239999999998</v>
      </c>
      <c r="BO28" s="2">
        <f>VLOOKUP([jobnumber],OvalData[],MATCH(Table2[[#Headers],[Max Pipe Deflection]],Table2[#Headers],0),0)</f>
        <v>2309</v>
      </c>
      <c r="BP28" s="2">
        <f>VLOOKUP([jobnumber],OvalData[],MATCH(Table2[[#Headers],[Number Non-Insulated Wrap Slats]],Table2[#Headers],0),0)</f>
        <v>0</v>
      </c>
      <c r="BQ28" s="2">
        <f>VLOOKUP([jobnumber],OvalData[],MATCH(Table2[[#Headers],[Number of Insolated Top Slats]],Table2[#Headers],0),0)</f>
        <v>45</v>
      </c>
      <c r="BR28" s="2">
        <f>VLOOKUP([jobnumber],OvalData[],MATCH(Table2[[#Headers],[Insolated Total Slats]],Table2[#Headers],0),0)</f>
        <v>45</v>
      </c>
      <c r="BS28" s="2">
        <f>VLOOKUP([jobnumber],OvalData[],MATCH(Table2[[#Headers],[Number of Slats]],Table2[#Headers],0),0)</f>
        <v>44.69</v>
      </c>
      <c r="BT28" s="2">
        <f>VLOOKUP([jobnumber],OvalData[],MATCH(Table2[[#Headers],[Wrap]],Table2[#Headers],0),0)</f>
        <v>0</v>
      </c>
      <c r="BU28" s="2">
        <f>VLOOKUP([jobnumber],OvalData[],MATCH(Table2[[#Headers],[Wall Angle Thickness]],Table2[#Headers],0),0)</f>
        <v>0</v>
      </c>
      <c r="BV28" s="2">
        <f>VLOOKUP([jobnumber],OvalData[],MATCH(Table2[[#Headers],[windlocks]],Table2[#Headers],0),0)</f>
        <v>0</v>
      </c>
      <c r="BW28" s="2" t="str">
        <f>VLOOKUP([jobnumber],OvalData[],MATCH(Table2[[#Headers],[bottombartype]],Table2[#Headers],0),0)</f>
        <v>SPECIAL</v>
      </c>
      <c r="BX28" s="2">
        <f>VLOOKUP([jobnumber],OvalData[],MATCH(Table2[[#Headers],[endlockweight]],Table2[#Headers],0),0)</f>
        <v>0.17</v>
      </c>
      <c r="BY28" s="2">
        <f>VLOOKUP([jobnumber],OvalData[],MATCH(Table2[[#Headers],[Endlock Total Weight]],Table2[#Headers],0),0)</f>
        <v>7.5972999999999997</v>
      </c>
      <c r="BZ28" s="2">
        <f>VLOOKUP([jobnumber],OvalData[],MATCH(Table2[[#Headers],[Grille Weight]],Table2[#Headers],0),0)</f>
        <v>0</v>
      </c>
      <c r="CA28" s="2">
        <f>VLOOKUP([jobnumber],OvalData[],MATCH(Table2[[#Headers],[barrelrings]],Table2[#Headers],0),0)</f>
        <v>1</v>
      </c>
    </row>
    <row r="29" spans="2:79">
      <c r="B29" s="2" t="str">
        <f>VLOOKUP([jobnumber],OvalData[],MATCH(Table2[[#Headers],[Hand]],Table2[#Headers],0),0)</f>
        <v>RH</v>
      </c>
      <c r="C29" s="2" t="str">
        <f>VLOOKUP([jobnumber],OvalData[],MATCH(Table2[[#Headers],[Model]],Table2[#Headers],0),0)</f>
        <v>SFMPP</v>
      </c>
      <c r="D29" s="2" t="str">
        <f>VLOOKUP([jobnumber],OvalData[],MATCH(Table2[[#Headers],[width]],Table2[#Headers],0),0)</f>
        <v xml:space="preserve"> 18 ft.- 2"</v>
      </c>
      <c r="E29" s="2" t="str">
        <f>VLOOKUP([jobnumber],OvalData[],MATCH(Table2[[#Headers],[stopheight]],Table2[#Headers],0),0)</f>
        <v xml:space="preserve"> 10 ft.- 0"</v>
      </c>
      <c r="F29" s="2" t="str">
        <f>VLOOKUP([jobnumber],OvalData[],MATCH(Table2[[#Headers],[Between Brackets]],Table2[#Headers],0),0)</f>
        <v xml:space="preserve"> 18 ft.- 7 7/ 8"</v>
      </c>
      <c r="G29" s="2" t="str">
        <f>VLOOKUP([jobnumber],OvalData[],MATCH(Table2[[#Headers],[shell]],Table2[#Headers],0),0)</f>
        <v>6 INCH TUBE</v>
      </c>
      <c r="H29" s="2" t="str">
        <f>VLOOKUP([jobnumber],OvalData[],MATCH(Table2[[#Headers],[pipewidth]],Table2[#Headers],0),0)</f>
        <v xml:space="preserve"> 18 ft.- 1 3/ 8"</v>
      </c>
      <c r="I29" s="2">
        <f>VLOOKUP([jobnumber],OvalData[],MATCH(Table2[[#Headers],[Support Tubes]],Table2[#Headers],0),0)</f>
        <v>0</v>
      </c>
      <c r="J29" s="2">
        <f>VLOOKUP([jobnumber],OvalData[],MATCH(Table2[[#Headers],[Upset]],Table2[#Headers],0),0)</f>
        <v>2</v>
      </c>
      <c r="K29" s="2" t="str">
        <f>VLOOKUP([jobnumber],OvalData[],MATCH(Table2[[#Headers],[Guide Type]],Table2[#Headers],0),0)</f>
        <v>SN2-4 5/8-E</v>
      </c>
      <c r="L29" s="2" t="str">
        <f>VLOOKUP([jobnumber],OvalData[],MATCH(Table2[[#Headers],[Wall Angle]],Table2[#Headers],0),0)</f>
        <v xml:space="preserve"> 11 ft.- 8"</v>
      </c>
      <c r="M29" s="2" t="str">
        <f>VLOOKUP([jobnumber],OvalData[],MATCH(Table2[[#Headers],[Middle Angle]],Table2[#Headers],0),0)</f>
        <v xml:space="preserve"> 10 ft.- 4 1/ 2"</v>
      </c>
      <c r="N29" s="2" t="str">
        <f>VLOOKUP([jobnumber],OvalData[],MATCH(Table2[[#Headers],[Front Angle]],Table2[#Headers],0),0)</f>
        <v xml:space="preserve"> 10 ft.- 3"</v>
      </c>
      <c r="O29" s="2">
        <f>VLOOKUP([jobnumber],OvalData[],MATCH(Table2[[#Headers],[Pipe Center Line]],Table2[#Headers],0),0)</f>
        <v>131</v>
      </c>
      <c r="P29" s="2">
        <f>VLOOKUP([jobnumber],OvalData[],MATCH(Table2[[#Headers],[Heat Expansion Gap]],Table2[#Headers],0),0)</f>
        <v>0</v>
      </c>
      <c r="Q29" s="2">
        <f>VLOOKUP([jobnumber],OvalData[],MATCH(Table2[[#Headers],[Hanging Weight Closed]],Table2[#Headers],0),0)</f>
        <v>795</v>
      </c>
      <c r="R29" s="2">
        <f>VLOOKUP([jobnumber],OvalData[],MATCH(Table2[[#Headers],[Hanging Weight Open]],Table2[#Headers],0),0)</f>
        <v>140</v>
      </c>
      <c r="S29" s="2">
        <f>VLOOKUP([jobnumber],OvalData[],MATCH(Table2[[#Headers],[Initial Lever Arm]],Table2[#Headers],0),0)</f>
        <v>4.25</v>
      </c>
      <c r="T29" s="2">
        <f>VLOOKUP([jobnumber],OvalData[],MATCH(Table2[[#Headers],[Turns to Raise]],Table2[#Headers],0),0)</f>
        <v>3.5859999999999999</v>
      </c>
      <c r="U29" s="2">
        <f>VLOOKUP([jobnumber],OvalData[],MATCH(Table2[[#Headers],[Final Lever Arm]],Table2[#Headers],0),0)</f>
        <v>6.37</v>
      </c>
      <c r="V29" s="2">
        <f>VLOOKUP([jobnumber],OvalData[],MATCH(Table2[[#Headers],[Torque Required Closed]],Table2[#Headers],0),0)</f>
        <v>3377.9</v>
      </c>
      <c r="W29" s="2">
        <f>VLOOKUP([jobnumber],OvalData[],MATCH(Table2[[#Headers],[Torque Required Open]],Table2[#Headers],0),0)</f>
        <v>892</v>
      </c>
      <c r="X29" s="2">
        <f>VLOOKUP([jobnumber],OvalData[],MATCH(Table2[[#Headers],[Pre Turns]],Table2[#Headers],0),0)</f>
        <v>1.3332999999999999</v>
      </c>
      <c r="Y29" s="2">
        <f>VLOOKUP([jobnumber],OvalData[],MATCH(Table2[[#Headers],[Required Torque Per Turn]],Table2[#Headers],0),0)</f>
        <v>688</v>
      </c>
      <c r="Z29" s="2">
        <f>VLOOKUP([jobnumber],OvalData[],MATCH(Table2[[#Headers],[Total Turns]],Table2[#Headers],0),0)</f>
        <v>4.91</v>
      </c>
      <c r="AA29" s="2">
        <f>VLOOKUP([jobnumber],OvalData[],MATCH(Table2[[#Headers],[Grille Vision Section]],Table2[#Headers],0),0)</f>
        <v>0</v>
      </c>
      <c r="AB29" s="2">
        <f>VLOOKUP([jobnumber],OvalData[],MATCH(Table2[[#Headers],[Grille Amount]],Table2[#Headers],0),0)</f>
        <v>0</v>
      </c>
      <c r="AC29" s="2">
        <f>VLOOKUP([jobnumber],OvalData[],MATCH(Table2[[#Headers],[Grille Center]],Table2[#Headers],0),0)</f>
        <v>0</v>
      </c>
      <c r="AD29" s="2">
        <f>VLOOKUP([jobnumber],OvalData[],MATCH(Table2[[#Headers],[Grille Pattern]],Table2[#Headers],0),0)</f>
        <v>0</v>
      </c>
      <c r="AE29" s="2">
        <f>VLOOKUP([jobnumber],OvalData[],MATCH(Table2[[#Headers],[Grille First Tube]],Table2[#Headers],0),0)</f>
        <v>0</v>
      </c>
      <c r="AF29" s="2">
        <f>VLOOKUP([jobnumber],OvalData[],MATCH(Table2[[#Headers],[Grille Standard Tube]],Table2[#Headers],0),0)</f>
        <v>0</v>
      </c>
      <c r="AG29" s="2">
        <f>VLOOKUP([jobnumber],OvalData[],MATCH(Table2[[#Headers],[Grille Total Links]],Table2[#Headers],0),0)</f>
        <v>0</v>
      </c>
      <c r="AH29" s="2">
        <f>VLOOKUP([jobnumber],OvalData[],MATCH(Table2[[#Headers],[Grille Rods]],Table2[#Headers],0),0)</f>
        <v>0</v>
      </c>
      <c r="AI29" s="2">
        <f>VLOOKUP([jobnumber],OvalData[],MATCH(Table2[[#Headers],[Grille Rod Length]],Table2[#Headers],0),0)</f>
        <v>0</v>
      </c>
      <c r="AJ29" s="2">
        <f>VLOOKUP([jobnumber],OvalData[],MATCH(Table2[[#Headers],[slattype]],Table2[#Headers],0),0)</f>
        <v>2</v>
      </c>
      <c r="AK29" s="2">
        <f>VLOOKUP([jobnumber],OvalData[],MATCH(Table2[[#Headers],[slatgage]],Table2[#Headers],0),0)</f>
        <v>18</v>
      </c>
      <c r="AL29" s="2">
        <f>VLOOKUP([jobnumber],OvalData[],MATCH(Table2[[#Headers],[Numer of Top Slats]],Table2[#Headers],0),0)</f>
        <v>0</v>
      </c>
      <c r="AM29" s="2">
        <f>VLOOKUP([jobnumber],OvalData[],MATCH(Table2[[#Headers],[Number of Bottom Slats]],Table2[#Headers],0),0)</f>
        <v>0</v>
      </c>
      <c r="AN29" s="2">
        <f>VLOOKUP([jobnumber],OvalData[],MATCH(Table2[[#Headers],[Solid Bottom Height]],Table2[#Headers],0),0)</f>
        <v>0</v>
      </c>
      <c r="AO29" s="2" t="str">
        <f>VLOOKUP([jobnumber],OvalData[],MATCH(Table2[[#Headers],[slatlength]],Table2[#Headers],0),0)</f>
        <v xml:space="preserve"> 18 ft.- 5 7/ 8"</v>
      </c>
      <c r="AP29" s="2">
        <f>VLOOKUP([jobnumber],OvalData[],MATCH(Table2[[#Headers],[Bottom Slat Length]],Table2[#Headers],0),0)</f>
        <v>0</v>
      </c>
      <c r="AQ29" s="2">
        <f>VLOOKUP([jobnumber],OvalData[],MATCH(Table2[[#Headers],[Number of Perferated Slats]],Table2[#Headers],0),0)</f>
        <v>0</v>
      </c>
      <c r="AR29" s="2">
        <f>VLOOKUP([jobnumber],OvalData[],MATCH(Table2[[#Headers],[First Preferated Slat From End]],Table2[#Headers],0),0)</f>
        <v>0</v>
      </c>
      <c r="AS29" s="2">
        <f>VLOOKUP([jobnumber],OvalData[],MATCH(Table2[[#Headers],[First Preferated Slat From Bottom]],Table2[#Headers],0),0)</f>
        <v>0</v>
      </c>
      <c r="AT29" s="2">
        <f>VLOOKUP([jobnumber],OvalData[],MATCH(Table2[[#Headers],[Total Number of Slats]],Table2[#Headers],0),0)</f>
        <v>51</v>
      </c>
      <c r="AU29" s="2">
        <f>VLOOKUP([jobnumber],OvalData[],MATCH(Table2[[#Headers],[Bottom Bar Slope]],Table2[#Headers],0),0)</f>
        <v>0</v>
      </c>
      <c r="AV29" s="2">
        <f>VLOOKUP([jobnumber],OvalData[],MATCH(Table2[[#Headers],[Bottom Bar Weight]],Table2[#Headers],0),0)</f>
        <v>80.5</v>
      </c>
      <c r="AW29" s="2" t="str">
        <f>VLOOKUP([jobnumber],OvalData[],MATCH(Table2[[#Headers],[Outer Spring Gage]],Table2[#Headers],0),0)</f>
        <v>Null</v>
      </c>
      <c r="AX29" s="2" t="str">
        <f>VLOOKUP([jobnumber],OvalData[],MATCH(Table2[[#Headers],[Outer Spring OD]],Table2[#Headers],0),0)</f>
        <v>Null</v>
      </c>
      <c r="AY29" s="2" t="str">
        <f>VLOOKUP([jobnumber],OvalData[],MATCH(Table2[[#Headers],[Outer Spring Length]],Table2[#Headers],0),0)</f>
        <v>Null</v>
      </c>
      <c r="AZ29" s="2" t="str">
        <f>VLOOKUP([jobnumber],OvalData[],MATCH(Table2[[#Headers],[Outer Spring Stretch]],Table2[#Headers],0),0)</f>
        <v>Null</v>
      </c>
      <c r="BA29" s="2" t="str">
        <f>VLOOKUP([jobnumber],OvalData[],MATCH(Table2[[#Headers],[Outer Spring Torque]],Table2[#Headers],0),0)</f>
        <v>Null</v>
      </c>
      <c r="BB29" s="2" t="str">
        <f>VLOOKUP([jobnumber],OvalData[],MATCH(Table2[[#Headers],[Outer Spring Max Turns]],Table2[#Headers],0),0)</f>
        <v>Null</v>
      </c>
      <c r="BC29" s="2" t="str">
        <f>VLOOKUP([jobnumber],OvalData[],MATCH(Table2[[#Headers],[Outer Spring Weight]],Table2[#Headers],0),0)</f>
        <v>Null</v>
      </c>
      <c r="BD29" s="2" t="str">
        <f>VLOOKUP([jobnumber],OvalData[],MATCH(Table2[[#Headers],[Inner Spring Gage]],Table2[#Headers],0),0)</f>
        <v>Null</v>
      </c>
      <c r="BE29" s="2" t="str">
        <f>VLOOKUP([jobnumber],OvalData[],MATCH(Table2[[#Headers],[Inner Spring OD]],Table2[#Headers],0),0)</f>
        <v>Null</v>
      </c>
      <c r="BF29" s="2" t="str">
        <f>VLOOKUP([jobnumber],OvalData[],MATCH(Table2[[#Headers],[Inner Spring Length]],Table2[#Headers],0),0)</f>
        <v>Null</v>
      </c>
      <c r="BG29" s="2" t="str">
        <f>VLOOKUP([jobnumber],OvalData[],MATCH(Table2[[#Headers],[Inner Spring Stretch]],Table2[#Headers],0),0)</f>
        <v>Null</v>
      </c>
      <c r="BH29" s="2" t="str">
        <f>VLOOKUP([jobnumber],OvalData[],MATCH(Table2[[#Headers],[Inner Spring Torque]],Table2[#Headers],0),0)</f>
        <v>Null</v>
      </c>
      <c r="BI29" s="2" t="str">
        <f>VLOOKUP([jobnumber],OvalData[],MATCH(Table2[[#Headers],[Inner Spring Max Turns]],Table2[#Headers],0),0)</f>
        <v>Null</v>
      </c>
      <c r="BJ29" s="2" t="str">
        <f>VLOOKUP([jobnumber],OvalData[],MATCH(Table2[[#Headers],[Inner Spring Weight]],Table2[#Headers],0),0)</f>
        <v>Null</v>
      </c>
      <c r="BK29" s="2">
        <f>VLOOKUP([jobnumber],OvalData[],MATCH(Table2[[#Headers],[Cycles]],Table2[#Headers],0),0)</f>
        <v>0</v>
      </c>
      <c r="BL29" s="2">
        <f>VLOOKUP([jobnumber],OvalData[],MATCH(Table2[[#Headers],[Total Spring Torque]],Table2[#Headers],0),0)</f>
        <v>0</v>
      </c>
      <c r="BM29" s="2">
        <f>VLOOKUP([jobnumber],OvalData[],MATCH(Table2[[#Headers],[Total Spring Weight]],Table2[#Headers],0),0)</f>
        <v>0</v>
      </c>
      <c r="BN29" s="2">
        <f>VLOOKUP([jobnumber],OvalData[],MATCH(Table2[[#Headers],[Pipe Weight]],Table2[#Headers],0),0)</f>
        <v>688.24239999999998</v>
      </c>
      <c r="BO29" s="2">
        <f>VLOOKUP([jobnumber],OvalData[],MATCH(Table2[[#Headers],[Max Pipe Deflection]],Table2[#Headers],0),0)</f>
        <v>2309</v>
      </c>
      <c r="BP29" s="2">
        <f>VLOOKUP([jobnumber],OvalData[],MATCH(Table2[[#Headers],[Number Non-Insulated Wrap Slats]],Table2[#Headers],0),0)</f>
        <v>0</v>
      </c>
      <c r="BQ29" s="2">
        <f>VLOOKUP([jobnumber],OvalData[],MATCH(Table2[[#Headers],[Number of Insolated Top Slats]],Table2[#Headers],0),0)</f>
        <v>45</v>
      </c>
      <c r="BR29" s="2">
        <f>VLOOKUP([jobnumber],OvalData[],MATCH(Table2[[#Headers],[Insolated Total Slats]],Table2[#Headers],0),0)</f>
        <v>45</v>
      </c>
      <c r="BS29" s="2">
        <f>VLOOKUP([jobnumber],OvalData[],MATCH(Table2[[#Headers],[Number of Slats]],Table2[#Headers],0),0)</f>
        <v>44.69</v>
      </c>
      <c r="BT29" s="2">
        <f>VLOOKUP([jobnumber],OvalData[],MATCH(Table2[[#Headers],[Wrap]],Table2[#Headers],0),0)</f>
        <v>0</v>
      </c>
      <c r="BU29" s="2">
        <f>VLOOKUP([jobnumber],OvalData[],MATCH(Table2[[#Headers],[Wall Angle Thickness]],Table2[#Headers],0),0)</f>
        <v>0</v>
      </c>
      <c r="BV29" s="2">
        <f>VLOOKUP([jobnumber],OvalData[],MATCH(Table2[[#Headers],[windlocks]],Table2[#Headers],0),0)</f>
        <v>0</v>
      </c>
      <c r="BW29" s="2" t="str">
        <f>VLOOKUP([jobnumber],OvalData[],MATCH(Table2[[#Headers],[bottombartype]],Table2[#Headers],0),0)</f>
        <v>SPECIAL</v>
      </c>
      <c r="BX29" s="2">
        <f>VLOOKUP([jobnumber],OvalData[],MATCH(Table2[[#Headers],[endlockweight]],Table2[#Headers],0),0)</f>
        <v>0.17</v>
      </c>
      <c r="BY29" s="2">
        <f>VLOOKUP([jobnumber],OvalData[],MATCH(Table2[[#Headers],[Endlock Total Weight]],Table2[#Headers],0),0)</f>
        <v>7.5972999999999997</v>
      </c>
      <c r="BZ29" s="2">
        <f>VLOOKUP([jobnumber],OvalData[],MATCH(Table2[[#Headers],[Grille Weight]],Table2[#Headers],0),0)</f>
        <v>0</v>
      </c>
      <c r="CA29" s="2">
        <f>VLOOKUP([jobnumber],OvalData[],MATCH(Table2[[#Headers],[barrelrings]],Table2[#Headers],0),0)</f>
        <v>1</v>
      </c>
    </row>
    <row r="30" spans="2:79">
      <c r="B30" s="2" t="str">
        <f>VLOOKUP([jobnumber],OvalData[],MATCH(Table2[[#Headers],[Hand]],Table2[#Headers],0),0)</f>
        <v>RH</v>
      </c>
      <c r="C30" s="2" t="str">
        <f>VLOOKUP([jobnumber],OvalData[],MATCH(Table2[[#Headers],[Model]],Table2[#Headers],0),0)</f>
        <v>SFMPP</v>
      </c>
      <c r="D30" s="2" t="str">
        <f>VLOOKUP([jobnumber],OvalData[],MATCH(Table2[[#Headers],[width]],Table2[#Headers],0),0)</f>
        <v xml:space="preserve"> 18 ft.- 2"</v>
      </c>
      <c r="E30" s="2" t="str">
        <f>VLOOKUP([jobnumber],OvalData[],MATCH(Table2[[#Headers],[stopheight]],Table2[#Headers],0),0)</f>
        <v xml:space="preserve"> 10 ft.- 0"</v>
      </c>
      <c r="F30" s="2" t="str">
        <f>VLOOKUP([jobnumber],OvalData[],MATCH(Table2[[#Headers],[Between Brackets]],Table2[#Headers],0),0)</f>
        <v xml:space="preserve"> 18 ft.- 7 7/ 8"</v>
      </c>
      <c r="G30" s="2" t="str">
        <f>VLOOKUP([jobnumber],OvalData[],MATCH(Table2[[#Headers],[shell]],Table2[#Headers],0),0)</f>
        <v>6 INCH TUBE</v>
      </c>
      <c r="H30" s="2" t="str">
        <f>VLOOKUP([jobnumber],OvalData[],MATCH(Table2[[#Headers],[pipewidth]],Table2[#Headers],0),0)</f>
        <v xml:space="preserve"> 18 ft.- 1 3/ 8"</v>
      </c>
      <c r="I30" s="2">
        <f>VLOOKUP([jobnumber],OvalData[],MATCH(Table2[[#Headers],[Support Tubes]],Table2[#Headers],0),0)</f>
        <v>0</v>
      </c>
      <c r="J30" s="2">
        <f>VLOOKUP([jobnumber],OvalData[],MATCH(Table2[[#Headers],[Upset]],Table2[#Headers],0),0)</f>
        <v>2</v>
      </c>
      <c r="K30" s="2" t="str">
        <f>VLOOKUP([jobnumber],OvalData[],MATCH(Table2[[#Headers],[Guide Type]],Table2[#Headers],0),0)</f>
        <v>SN2-4 5/8-E</v>
      </c>
      <c r="L30" s="2" t="str">
        <f>VLOOKUP([jobnumber],OvalData[],MATCH(Table2[[#Headers],[Wall Angle]],Table2[#Headers],0),0)</f>
        <v xml:space="preserve"> 11 ft.- 8"</v>
      </c>
      <c r="M30" s="2" t="str">
        <f>VLOOKUP([jobnumber],OvalData[],MATCH(Table2[[#Headers],[Middle Angle]],Table2[#Headers],0),0)</f>
        <v xml:space="preserve"> 10 ft.- 4 1/ 2"</v>
      </c>
      <c r="N30" s="2" t="str">
        <f>VLOOKUP([jobnumber],OvalData[],MATCH(Table2[[#Headers],[Front Angle]],Table2[#Headers],0),0)</f>
        <v xml:space="preserve"> 10 ft.- 3"</v>
      </c>
      <c r="O30" s="2">
        <f>VLOOKUP([jobnumber],OvalData[],MATCH(Table2[[#Headers],[Pipe Center Line]],Table2[#Headers],0),0)</f>
        <v>131</v>
      </c>
      <c r="P30" s="2">
        <f>VLOOKUP([jobnumber],OvalData[],MATCH(Table2[[#Headers],[Heat Expansion Gap]],Table2[#Headers],0),0)</f>
        <v>0</v>
      </c>
      <c r="Q30" s="2">
        <f>VLOOKUP([jobnumber],OvalData[],MATCH(Table2[[#Headers],[Hanging Weight Closed]],Table2[#Headers],0),0)</f>
        <v>795</v>
      </c>
      <c r="R30" s="2">
        <f>VLOOKUP([jobnumber],OvalData[],MATCH(Table2[[#Headers],[Hanging Weight Open]],Table2[#Headers],0),0)</f>
        <v>140</v>
      </c>
      <c r="S30" s="2">
        <f>VLOOKUP([jobnumber],OvalData[],MATCH(Table2[[#Headers],[Initial Lever Arm]],Table2[#Headers],0),0)</f>
        <v>4.25</v>
      </c>
      <c r="T30" s="2">
        <f>VLOOKUP([jobnumber],OvalData[],MATCH(Table2[[#Headers],[Turns to Raise]],Table2[#Headers],0),0)</f>
        <v>3.5859999999999999</v>
      </c>
      <c r="U30" s="2">
        <f>VLOOKUP([jobnumber],OvalData[],MATCH(Table2[[#Headers],[Final Lever Arm]],Table2[#Headers],0),0)</f>
        <v>6.37</v>
      </c>
      <c r="V30" s="2">
        <f>VLOOKUP([jobnumber],OvalData[],MATCH(Table2[[#Headers],[Torque Required Closed]],Table2[#Headers],0),0)</f>
        <v>3377.9</v>
      </c>
      <c r="W30" s="2">
        <f>VLOOKUP([jobnumber],OvalData[],MATCH(Table2[[#Headers],[Torque Required Open]],Table2[#Headers],0),0)</f>
        <v>892</v>
      </c>
      <c r="X30" s="2">
        <f>VLOOKUP([jobnumber],OvalData[],MATCH(Table2[[#Headers],[Pre Turns]],Table2[#Headers],0),0)</f>
        <v>1.3332999999999999</v>
      </c>
      <c r="Y30" s="2">
        <f>VLOOKUP([jobnumber],OvalData[],MATCH(Table2[[#Headers],[Required Torque Per Turn]],Table2[#Headers],0),0)</f>
        <v>688</v>
      </c>
      <c r="Z30" s="2">
        <f>VLOOKUP([jobnumber],OvalData[],MATCH(Table2[[#Headers],[Total Turns]],Table2[#Headers],0),0)</f>
        <v>4.91</v>
      </c>
      <c r="AA30" s="2">
        <f>VLOOKUP([jobnumber],OvalData[],MATCH(Table2[[#Headers],[Grille Vision Section]],Table2[#Headers],0),0)</f>
        <v>0</v>
      </c>
      <c r="AB30" s="2">
        <f>VLOOKUP([jobnumber],OvalData[],MATCH(Table2[[#Headers],[Grille Amount]],Table2[#Headers],0),0)</f>
        <v>0</v>
      </c>
      <c r="AC30" s="2">
        <f>VLOOKUP([jobnumber],OvalData[],MATCH(Table2[[#Headers],[Grille Center]],Table2[#Headers],0),0)</f>
        <v>0</v>
      </c>
      <c r="AD30" s="2">
        <f>VLOOKUP([jobnumber],OvalData[],MATCH(Table2[[#Headers],[Grille Pattern]],Table2[#Headers],0),0)</f>
        <v>0</v>
      </c>
      <c r="AE30" s="2">
        <f>VLOOKUP([jobnumber],OvalData[],MATCH(Table2[[#Headers],[Grille First Tube]],Table2[#Headers],0),0)</f>
        <v>0</v>
      </c>
      <c r="AF30" s="2">
        <f>VLOOKUP([jobnumber],OvalData[],MATCH(Table2[[#Headers],[Grille Standard Tube]],Table2[#Headers],0),0)</f>
        <v>0</v>
      </c>
      <c r="AG30" s="2">
        <f>VLOOKUP([jobnumber],OvalData[],MATCH(Table2[[#Headers],[Grille Total Links]],Table2[#Headers],0),0)</f>
        <v>0</v>
      </c>
      <c r="AH30" s="2">
        <f>VLOOKUP([jobnumber],OvalData[],MATCH(Table2[[#Headers],[Grille Rods]],Table2[#Headers],0),0)</f>
        <v>0</v>
      </c>
      <c r="AI30" s="2">
        <f>VLOOKUP([jobnumber],OvalData[],MATCH(Table2[[#Headers],[Grille Rod Length]],Table2[#Headers],0),0)</f>
        <v>0</v>
      </c>
      <c r="AJ30" s="2">
        <f>VLOOKUP([jobnumber],OvalData[],MATCH(Table2[[#Headers],[slattype]],Table2[#Headers],0),0)</f>
        <v>2</v>
      </c>
      <c r="AK30" s="2">
        <f>VLOOKUP([jobnumber],OvalData[],MATCH(Table2[[#Headers],[slatgage]],Table2[#Headers],0),0)</f>
        <v>18</v>
      </c>
      <c r="AL30" s="2">
        <f>VLOOKUP([jobnumber],OvalData[],MATCH(Table2[[#Headers],[Numer of Top Slats]],Table2[#Headers],0),0)</f>
        <v>0</v>
      </c>
      <c r="AM30" s="2">
        <f>VLOOKUP([jobnumber],OvalData[],MATCH(Table2[[#Headers],[Number of Bottom Slats]],Table2[#Headers],0),0)</f>
        <v>0</v>
      </c>
      <c r="AN30" s="2">
        <f>VLOOKUP([jobnumber],OvalData[],MATCH(Table2[[#Headers],[Solid Bottom Height]],Table2[#Headers],0),0)</f>
        <v>0</v>
      </c>
      <c r="AO30" s="2" t="str">
        <f>VLOOKUP([jobnumber],OvalData[],MATCH(Table2[[#Headers],[slatlength]],Table2[#Headers],0),0)</f>
        <v xml:space="preserve"> 18 ft.- 5 7/ 8"</v>
      </c>
      <c r="AP30" s="2">
        <f>VLOOKUP([jobnumber],OvalData[],MATCH(Table2[[#Headers],[Bottom Slat Length]],Table2[#Headers],0),0)</f>
        <v>0</v>
      </c>
      <c r="AQ30" s="2">
        <f>VLOOKUP([jobnumber],OvalData[],MATCH(Table2[[#Headers],[Number of Perferated Slats]],Table2[#Headers],0),0)</f>
        <v>0</v>
      </c>
      <c r="AR30" s="2">
        <f>VLOOKUP([jobnumber],OvalData[],MATCH(Table2[[#Headers],[First Preferated Slat From End]],Table2[#Headers],0),0)</f>
        <v>0</v>
      </c>
      <c r="AS30" s="2">
        <f>VLOOKUP([jobnumber],OvalData[],MATCH(Table2[[#Headers],[First Preferated Slat From Bottom]],Table2[#Headers],0),0)</f>
        <v>0</v>
      </c>
      <c r="AT30" s="2">
        <f>VLOOKUP([jobnumber],OvalData[],MATCH(Table2[[#Headers],[Total Number of Slats]],Table2[#Headers],0),0)</f>
        <v>51</v>
      </c>
      <c r="AU30" s="2">
        <f>VLOOKUP([jobnumber],OvalData[],MATCH(Table2[[#Headers],[Bottom Bar Slope]],Table2[#Headers],0),0)</f>
        <v>0</v>
      </c>
      <c r="AV30" s="2">
        <f>VLOOKUP([jobnumber],OvalData[],MATCH(Table2[[#Headers],[Bottom Bar Weight]],Table2[#Headers],0),0)</f>
        <v>80.5</v>
      </c>
      <c r="AW30" s="2" t="str">
        <f>VLOOKUP([jobnumber],OvalData[],MATCH(Table2[[#Headers],[Outer Spring Gage]],Table2[#Headers],0),0)</f>
        <v>Null</v>
      </c>
      <c r="AX30" s="2" t="str">
        <f>VLOOKUP([jobnumber],OvalData[],MATCH(Table2[[#Headers],[Outer Spring OD]],Table2[#Headers],0),0)</f>
        <v>Null</v>
      </c>
      <c r="AY30" s="2" t="str">
        <f>VLOOKUP([jobnumber],OvalData[],MATCH(Table2[[#Headers],[Outer Spring Length]],Table2[#Headers],0),0)</f>
        <v>Null</v>
      </c>
      <c r="AZ30" s="2" t="str">
        <f>VLOOKUP([jobnumber],OvalData[],MATCH(Table2[[#Headers],[Outer Spring Stretch]],Table2[#Headers],0),0)</f>
        <v>Null</v>
      </c>
      <c r="BA30" s="2" t="str">
        <f>VLOOKUP([jobnumber],OvalData[],MATCH(Table2[[#Headers],[Outer Spring Torque]],Table2[#Headers],0),0)</f>
        <v>Null</v>
      </c>
      <c r="BB30" s="2" t="str">
        <f>VLOOKUP([jobnumber],OvalData[],MATCH(Table2[[#Headers],[Outer Spring Max Turns]],Table2[#Headers],0),0)</f>
        <v>Null</v>
      </c>
      <c r="BC30" s="2" t="str">
        <f>VLOOKUP([jobnumber],OvalData[],MATCH(Table2[[#Headers],[Outer Spring Weight]],Table2[#Headers],0),0)</f>
        <v>Null</v>
      </c>
      <c r="BD30" s="2" t="str">
        <f>VLOOKUP([jobnumber],OvalData[],MATCH(Table2[[#Headers],[Inner Spring Gage]],Table2[#Headers],0),0)</f>
        <v>Null</v>
      </c>
      <c r="BE30" s="2" t="str">
        <f>VLOOKUP([jobnumber],OvalData[],MATCH(Table2[[#Headers],[Inner Spring OD]],Table2[#Headers],0),0)</f>
        <v>Null</v>
      </c>
      <c r="BF30" s="2" t="str">
        <f>VLOOKUP([jobnumber],OvalData[],MATCH(Table2[[#Headers],[Inner Spring Length]],Table2[#Headers],0),0)</f>
        <v>Null</v>
      </c>
      <c r="BG30" s="2" t="str">
        <f>VLOOKUP([jobnumber],OvalData[],MATCH(Table2[[#Headers],[Inner Spring Stretch]],Table2[#Headers],0),0)</f>
        <v>Null</v>
      </c>
      <c r="BH30" s="2" t="str">
        <f>VLOOKUP([jobnumber],OvalData[],MATCH(Table2[[#Headers],[Inner Spring Torque]],Table2[#Headers],0),0)</f>
        <v>Null</v>
      </c>
      <c r="BI30" s="2" t="str">
        <f>VLOOKUP([jobnumber],OvalData[],MATCH(Table2[[#Headers],[Inner Spring Max Turns]],Table2[#Headers],0),0)</f>
        <v>Null</v>
      </c>
      <c r="BJ30" s="2" t="str">
        <f>VLOOKUP([jobnumber],OvalData[],MATCH(Table2[[#Headers],[Inner Spring Weight]],Table2[#Headers],0),0)</f>
        <v>Null</v>
      </c>
      <c r="BK30" s="2">
        <f>VLOOKUP([jobnumber],OvalData[],MATCH(Table2[[#Headers],[Cycles]],Table2[#Headers],0),0)</f>
        <v>0</v>
      </c>
      <c r="BL30" s="2">
        <f>VLOOKUP([jobnumber],OvalData[],MATCH(Table2[[#Headers],[Total Spring Torque]],Table2[#Headers],0),0)</f>
        <v>0</v>
      </c>
      <c r="BM30" s="2">
        <f>VLOOKUP([jobnumber],OvalData[],MATCH(Table2[[#Headers],[Total Spring Weight]],Table2[#Headers],0),0)</f>
        <v>0</v>
      </c>
      <c r="BN30" s="2">
        <f>VLOOKUP([jobnumber],OvalData[],MATCH(Table2[[#Headers],[Pipe Weight]],Table2[#Headers],0),0)</f>
        <v>688.24239999999998</v>
      </c>
      <c r="BO30" s="2">
        <f>VLOOKUP([jobnumber],OvalData[],MATCH(Table2[[#Headers],[Max Pipe Deflection]],Table2[#Headers],0),0)</f>
        <v>2309</v>
      </c>
      <c r="BP30" s="2">
        <f>VLOOKUP([jobnumber],OvalData[],MATCH(Table2[[#Headers],[Number Non-Insulated Wrap Slats]],Table2[#Headers],0),0)</f>
        <v>0</v>
      </c>
      <c r="BQ30" s="2">
        <f>VLOOKUP([jobnumber],OvalData[],MATCH(Table2[[#Headers],[Number of Insolated Top Slats]],Table2[#Headers],0),0)</f>
        <v>45</v>
      </c>
      <c r="BR30" s="2">
        <f>VLOOKUP([jobnumber],OvalData[],MATCH(Table2[[#Headers],[Insolated Total Slats]],Table2[#Headers],0),0)</f>
        <v>45</v>
      </c>
      <c r="BS30" s="2">
        <f>VLOOKUP([jobnumber],OvalData[],MATCH(Table2[[#Headers],[Number of Slats]],Table2[#Headers],0),0)</f>
        <v>44.69</v>
      </c>
      <c r="BT30" s="2">
        <f>VLOOKUP([jobnumber],OvalData[],MATCH(Table2[[#Headers],[Wrap]],Table2[#Headers],0),0)</f>
        <v>0</v>
      </c>
      <c r="BU30" s="2">
        <f>VLOOKUP([jobnumber],OvalData[],MATCH(Table2[[#Headers],[Wall Angle Thickness]],Table2[#Headers],0),0)</f>
        <v>0</v>
      </c>
      <c r="BV30" s="2">
        <f>VLOOKUP([jobnumber],OvalData[],MATCH(Table2[[#Headers],[windlocks]],Table2[#Headers],0),0)</f>
        <v>0</v>
      </c>
      <c r="BW30" s="2" t="str">
        <f>VLOOKUP([jobnumber],OvalData[],MATCH(Table2[[#Headers],[bottombartype]],Table2[#Headers],0),0)</f>
        <v>SPECIAL</v>
      </c>
      <c r="BX30" s="2">
        <f>VLOOKUP([jobnumber],OvalData[],MATCH(Table2[[#Headers],[endlockweight]],Table2[#Headers],0),0)</f>
        <v>0.17</v>
      </c>
      <c r="BY30" s="2">
        <f>VLOOKUP([jobnumber],OvalData[],MATCH(Table2[[#Headers],[Endlock Total Weight]],Table2[#Headers],0),0)</f>
        <v>7.5972999999999997</v>
      </c>
      <c r="BZ30" s="2">
        <f>VLOOKUP([jobnumber],OvalData[],MATCH(Table2[[#Headers],[Grille Weight]],Table2[#Headers],0),0)</f>
        <v>0</v>
      </c>
      <c r="CA30" s="2">
        <f>VLOOKUP([jobnumber],OvalData[],MATCH(Table2[[#Headers],[barrelrings]],Table2[#Headers],0),0)</f>
        <v>1</v>
      </c>
    </row>
    <row r="31" spans="2:79">
      <c r="B31" s="2" t="str">
        <f>VLOOKUP([jobnumber],OvalData[],MATCH(Table2[[#Headers],[Hand]],Table2[#Headers],0),0)</f>
        <v>RH</v>
      </c>
      <c r="C31" s="2" t="str">
        <f>VLOOKUP([jobnumber],OvalData[],MATCH(Table2[[#Headers],[Model]],Table2[#Headers],0),0)</f>
        <v>SFMPP</v>
      </c>
      <c r="D31" s="2" t="str">
        <f>VLOOKUP([jobnumber],OvalData[],MATCH(Table2[[#Headers],[width]],Table2[#Headers],0),0)</f>
        <v xml:space="preserve"> 18 ft.- 2"</v>
      </c>
      <c r="E31" s="2" t="str">
        <f>VLOOKUP([jobnumber],OvalData[],MATCH(Table2[[#Headers],[stopheight]],Table2[#Headers],0),0)</f>
        <v xml:space="preserve"> 10 ft.- 0"</v>
      </c>
      <c r="F31" s="2" t="str">
        <f>VLOOKUP([jobnumber],OvalData[],MATCH(Table2[[#Headers],[Between Brackets]],Table2[#Headers],0),0)</f>
        <v xml:space="preserve"> 18 ft.- 7 7/ 8"</v>
      </c>
      <c r="G31" s="2" t="str">
        <f>VLOOKUP([jobnumber],OvalData[],MATCH(Table2[[#Headers],[shell]],Table2[#Headers],0),0)</f>
        <v>6 INCH TUBE</v>
      </c>
      <c r="H31" s="2" t="str">
        <f>VLOOKUP([jobnumber],OvalData[],MATCH(Table2[[#Headers],[pipewidth]],Table2[#Headers],0),0)</f>
        <v xml:space="preserve"> 18 ft.- 1 3/ 8"</v>
      </c>
      <c r="I31" s="2">
        <f>VLOOKUP([jobnumber],OvalData[],MATCH(Table2[[#Headers],[Support Tubes]],Table2[#Headers],0),0)</f>
        <v>0</v>
      </c>
      <c r="J31" s="2">
        <f>VLOOKUP([jobnumber],OvalData[],MATCH(Table2[[#Headers],[Upset]],Table2[#Headers],0),0)</f>
        <v>2</v>
      </c>
      <c r="K31" s="2" t="str">
        <f>VLOOKUP([jobnumber],OvalData[],MATCH(Table2[[#Headers],[Guide Type]],Table2[#Headers],0),0)</f>
        <v>SN2-4 5/8-E</v>
      </c>
      <c r="L31" s="2" t="str">
        <f>VLOOKUP([jobnumber],OvalData[],MATCH(Table2[[#Headers],[Wall Angle]],Table2[#Headers],0),0)</f>
        <v xml:space="preserve"> 11 ft.- 8"</v>
      </c>
      <c r="M31" s="2" t="str">
        <f>VLOOKUP([jobnumber],OvalData[],MATCH(Table2[[#Headers],[Middle Angle]],Table2[#Headers],0),0)</f>
        <v xml:space="preserve"> 10 ft.- 4 1/ 2"</v>
      </c>
      <c r="N31" s="2" t="str">
        <f>VLOOKUP([jobnumber],OvalData[],MATCH(Table2[[#Headers],[Front Angle]],Table2[#Headers],0),0)</f>
        <v xml:space="preserve"> 10 ft.- 3"</v>
      </c>
      <c r="O31" s="2">
        <f>VLOOKUP([jobnumber],OvalData[],MATCH(Table2[[#Headers],[Pipe Center Line]],Table2[#Headers],0),0)</f>
        <v>131</v>
      </c>
      <c r="P31" s="2">
        <f>VLOOKUP([jobnumber],OvalData[],MATCH(Table2[[#Headers],[Heat Expansion Gap]],Table2[#Headers],0),0)</f>
        <v>0</v>
      </c>
      <c r="Q31" s="2">
        <f>VLOOKUP([jobnumber],OvalData[],MATCH(Table2[[#Headers],[Hanging Weight Closed]],Table2[#Headers],0),0)</f>
        <v>795</v>
      </c>
      <c r="R31" s="2">
        <f>VLOOKUP([jobnumber],OvalData[],MATCH(Table2[[#Headers],[Hanging Weight Open]],Table2[#Headers],0),0)</f>
        <v>140</v>
      </c>
      <c r="S31" s="2">
        <f>VLOOKUP([jobnumber],OvalData[],MATCH(Table2[[#Headers],[Initial Lever Arm]],Table2[#Headers],0),0)</f>
        <v>4.25</v>
      </c>
      <c r="T31" s="2">
        <f>VLOOKUP([jobnumber],OvalData[],MATCH(Table2[[#Headers],[Turns to Raise]],Table2[#Headers],0),0)</f>
        <v>3.5859999999999999</v>
      </c>
      <c r="U31" s="2">
        <f>VLOOKUP([jobnumber],OvalData[],MATCH(Table2[[#Headers],[Final Lever Arm]],Table2[#Headers],0),0)</f>
        <v>6.37</v>
      </c>
      <c r="V31" s="2">
        <f>VLOOKUP([jobnumber],OvalData[],MATCH(Table2[[#Headers],[Torque Required Closed]],Table2[#Headers],0),0)</f>
        <v>3377.9</v>
      </c>
      <c r="W31" s="2">
        <f>VLOOKUP([jobnumber],OvalData[],MATCH(Table2[[#Headers],[Torque Required Open]],Table2[#Headers],0),0)</f>
        <v>892</v>
      </c>
      <c r="X31" s="2">
        <f>VLOOKUP([jobnumber],OvalData[],MATCH(Table2[[#Headers],[Pre Turns]],Table2[#Headers],0),0)</f>
        <v>1.3332999999999999</v>
      </c>
      <c r="Y31" s="2">
        <f>VLOOKUP([jobnumber],OvalData[],MATCH(Table2[[#Headers],[Required Torque Per Turn]],Table2[#Headers],0),0)</f>
        <v>688</v>
      </c>
      <c r="Z31" s="2">
        <f>VLOOKUP([jobnumber],OvalData[],MATCH(Table2[[#Headers],[Total Turns]],Table2[#Headers],0),0)</f>
        <v>4.91</v>
      </c>
      <c r="AA31" s="2">
        <f>VLOOKUP([jobnumber],OvalData[],MATCH(Table2[[#Headers],[Grille Vision Section]],Table2[#Headers],0),0)</f>
        <v>0</v>
      </c>
      <c r="AB31" s="2">
        <f>VLOOKUP([jobnumber],OvalData[],MATCH(Table2[[#Headers],[Grille Amount]],Table2[#Headers],0),0)</f>
        <v>0</v>
      </c>
      <c r="AC31" s="2">
        <f>VLOOKUP([jobnumber],OvalData[],MATCH(Table2[[#Headers],[Grille Center]],Table2[#Headers],0),0)</f>
        <v>0</v>
      </c>
      <c r="AD31" s="2">
        <f>VLOOKUP([jobnumber],OvalData[],MATCH(Table2[[#Headers],[Grille Pattern]],Table2[#Headers],0),0)</f>
        <v>0</v>
      </c>
      <c r="AE31" s="2">
        <f>VLOOKUP([jobnumber],OvalData[],MATCH(Table2[[#Headers],[Grille First Tube]],Table2[#Headers],0),0)</f>
        <v>0</v>
      </c>
      <c r="AF31" s="2">
        <f>VLOOKUP([jobnumber],OvalData[],MATCH(Table2[[#Headers],[Grille Standard Tube]],Table2[#Headers],0),0)</f>
        <v>0</v>
      </c>
      <c r="AG31" s="2">
        <f>VLOOKUP([jobnumber],OvalData[],MATCH(Table2[[#Headers],[Grille Total Links]],Table2[#Headers],0),0)</f>
        <v>0</v>
      </c>
      <c r="AH31" s="2">
        <f>VLOOKUP([jobnumber],OvalData[],MATCH(Table2[[#Headers],[Grille Rods]],Table2[#Headers],0),0)</f>
        <v>0</v>
      </c>
      <c r="AI31" s="2">
        <f>VLOOKUP([jobnumber],OvalData[],MATCH(Table2[[#Headers],[Grille Rod Length]],Table2[#Headers],0),0)</f>
        <v>0</v>
      </c>
      <c r="AJ31" s="2">
        <f>VLOOKUP([jobnumber],OvalData[],MATCH(Table2[[#Headers],[slattype]],Table2[#Headers],0),0)</f>
        <v>2</v>
      </c>
      <c r="AK31" s="2">
        <f>VLOOKUP([jobnumber],OvalData[],MATCH(Table2[[#Headers],[slatgage]],Table2[#Headers],0),0)</f>
        <v>18</v>
      </c>
      <c r="AL31" s="2">
        <f>VLOOKUP([jobnumber],OvalData[],MATCH(Table2[[#Headers],[Numer of Top Slats]],Table2[#Headers],0),0)</f>
        <v>0</v>
      </c>
      <c r="AM31" s="2">
        <f>VLOOKUP([jobnumber],OvalData[],MATCH(Table2[[#Headers],[Number of Bottom Slats]],Table2[#Headers],0),0)</f>
        <v>0</v>
      </c>
      <c r="AN31" s="2">
        <f>VLOOKUP([jobnumber],OvalData[],MATCH(Table2[[#Headers],[Solid Bottom Height]],Table2[#Headers],0),0)</f>
        <v>0</v>
      </c>
      <c r="AO31" s="2" t="str">
        <f>VLOOKUP([jobnumber],OvalData[],MATCH(Table2[[#Headers],[slatlength]],Table2[#Headers],0),0)</f>
        <v xml:space="preserve"> 18 ft.- 5 7/ 8"</v>
      </c>
      <c r="AP31" s="2">
        <f>VLOOKUP([jobnumber],OvalData[],MATCH(Table2[[#Headers],[Bottom Slat Length]],Table2[#Headers],0),0)</f>
        <v>0</v>
      </c>
      <c r="AQ31" s="2">
        <f>VLOOKUP([jobnumber],OvalData[],MATCH(Table2[[#Headers],[Number of Perferated Slats]],Table2[#Headers],0),0)</f>
        <v>0</v>
      </c>
      <c r="AR31" s="2">
        <f>VLOOKUP([jobnumber],OvalData[],MATCH(Table2[[#Headers],[First Preferated Slat From End]],Table2[#Headers],0),0)</f>
        <v>0</v>
      </c>
      <c r="AS31" s="2">
        <f>VLOOKUP([jobnumber],OvalData[],MATCH(Table2[[#Headers],[First Preferated Slat From Bottom]],Table2[#Headers],0),0)</f>
        <v>0</v>
      </c>
      <c r="AT31" s="2">
        <f>VLOOKUP([jobnumber],OvalData[],MATCH(Table2[[#Headers],[Total Number of Slats]],Table2[#Headers],0),0)</f>
        <v>51</v>
      </c>
      <c r="AU31" s="2">
        <f>VLOOKUP([jobnumber],OvalData[],MATCH(Table2[[#Headers],[Bottom Bar Slope]],Table2[#Headers],0),0)</f>
        <v>0</v>
      </c>
      <c r="AV31" s="2">
        <f>VLOOKUP([jobnumber],OvalData[],MATCH(Table2[[#Headers],[Bottom Bar Weight]],Table2[#Headers],0),0)</f>
        <v>80.5</v>
      </c>
      <c r="AW31" s="2" t="str">
        <f>VLOOKUP([jobnumber],OvalData[],MATCH(Table2[[#Headers],[Outer Spring Gage]],Table2[#Headers],0),0)</f>
        <v>Null</v>
      </c>
      <c r="AX31" s="2" t="str">
        <f>VLOOKUP([jobnumber],OvalData[],MATCH(Table2[[#Headers],[Outer Spring OD]],Table2[#Headers],0),0)</f>
        <v>Null</v>
      </c>
      <c r="AY31" s="2" t="str">
        <f>VLOOKUP([jobnumber],OvalData[],MATCH(Table2[[#Headers],[Outer Spring Length]],Table2[#Headers],0),0)</f>
        <v>Null</v>
      </c>
      <c r="AZ31" s="2" t="str">
        <f>VLOOKUP([jobnumber],OvalData[],MATCH(Table2[[#Headers],[Outer Spring Stretch]],Table2[#Headers],0),0)</f>
        <v>Null</v>
      </c>
      <c r="BA31" s="2" t="str">
        <f>VLOOKUP([jobnumber],OvalData[],MATCH(Table2[[#Headers],[Outer Spring Torque]],Table2[#Headers],0),0)</f>
        <v>Null</v>
      </c>
      <c r="BB31" s="2" t="str">
        <f>VLOOKUP([jobnumber],OvalData[],MATCH(Table2[[#Headers],[Outer Spring Max Turns]],Table2[#Headers],0),0)</f>
        <v>Null</v>
      </c>
      <c r="BC31" s="2" t="str">
        <f>VLOOKUP([jobnumber],OvalData[],MATCH(Table2[[#Headers],[Outer Spring Weight]],Table2[#Headers],0),0)</f>
        <v>Null</v>
      </c>
      <c r="BD31" s="2" t="str">
        <f>VLOOKUP([jobnumber],OvalData[],MATCH(Table2[[#Headers],[Inner Spring Gage]],Table2[#Headers],0),0)</f>
        <v>Null</v>
      </c>
      <c r="BE31" s="2" t="str">
        <f>VLOOKUP([jobnumber],OvalData[],MATCH(Table2[[#Headers],[Inner Spring OD]],Table2[#Headers],0),0)</f>
        <v>Null</v>
      </c>
      <c r="BF31" s="2" t="str">
        <f>VLOOKUP([jobnumber],OvalData[],MATCH(Table2[[#Headers],[Inner Spring Length]],Table2[#Headers],0),0)</f>
        <v>Null</v>
      </c>
      <c r="BG31" s="2" t="str">
        <f>VLOOKUP([jobnumber],OvalData[],MATCH(Table2[[#Headers],[Inner Spring Stretch]],Table2[#Headers],0),0)</f>
        <v>Null</v>
      </c>
      <c r="BH31" s="2" t="str">
        <f>VLOOKUP([jobnumber],OvalData[],MATCH(Table2[[#Headers],[Inner Spring Torque]],Table2[#Headers],0),0)</f>
        <v>Null</v>
      </c>
      <c r="BI31" s="2" t="str">
        <f>VLOOKUP([jobnumber],OvalData[],MATCH(Table2[[#Headers],[Inner Spring Max Turns]],Table2[#Headers],0),0)</f>
        <v>Null</v>
      </c>
      <c r="BJ31" s="2" t="str">
        <f>VLOOKUP([jobnumber],OvalData[],MATCH(Table2[[#Headers],[Inner Spring Weight]],Table2[#Headers],0),0)</f>
        <v>Null</v>
      </c>
      <c r="BK31" s="2">
        <f>VLOOKUP([jobnumber],OvalData[],MATCH(Table2[[#Headers],[Cycles]],Table2[#Headers],0),0)</f>
        <v>0</v>
      </c>
      <c r="BL31" s="2">
        <f>VLOOKUP([jobnumber],OvalData[],MATCH(Table2[[#Headers],[Total Spring Torque]],Table2[#Headers],0),0)</f>
        <v>0</v>
      </c>
      <c r="BM31" s="2">
        <f>VLOOKUP([jobnumber],OvalData[],MATCH(Table2[[#Headers],[Total Spring Weight]],Table2[#Headers],0),0)</f>
        <v>0</v>
      </c>
      <c r="BN31" s="2">
        <f>VLOOKUP([jobnumber],OvalData[],MATCH(Table2[[#Headers],[Pipe Weight]],Table2[#Headers],0),0)</f>
        <v>688.24239999999998</v>
      </c>
      <c r="BO31" s="2">
        <f>VLOOKUP([jobnumber],OvalData[],MATCH(Table2[[#Headers],[Max Pipe Deflection]],Table2[#Headers],0),0)</f>
        <v>2309</v>
      </c>
      <c r="BP31" s="2">
        <f>VLOOKUP([jobnumber],OvalData[],MATCH(Table2[[#Headers],[Number Non-Insulated Wrap Slats]],Table2[#Headers],0),0)</f>
        <v>0</v>
      </c>
      <c r="BQ31" s="2">
        <f>VLOOKUP([jobnumber],OvalData[],MATCH(Table2[[#Headers],[Number of Insolated Top Slats]],Table2[#Headers],0),0)</f>
        <v>45</v>
      </c>
      <c r="BR31" s="2">
        <f>VLOOKUP([jobnumber],OvalData[],MATCH(Table2[[#Headers],[Insolated Total Slats]],Table2[#Headers],0),0)</f>
        <v>45</v>
      </c>
      <c r="BS31" s="2">
        <f>VLOOKUP([jobnumber],OvalData[],MATCH(Table2[[#Headers],[Number of Slats]],Table2[#Headers],0),0)</f>
        <v>44.69</v>
      </c>
      <c r="BT31" s="2">
        <f>VLOOKUP([jobnumber],OvalData[],MATCH(Table2[[#Headers],[Wrap]],Table2[#Headers],0),0)</f>
        <v>0</v>
      </c>
      <c r="BU31" s="2">
        <f>VLOOKUP([jobnumber],OvalData[],MATCH(Table2[[#Headers],[Wall Angle Thickness]],Table2[#Headers],0),0)</f>
        <v>0</v>
      </c>
      <c r="BV31" s="2">
        <f>VLOOKUP([jobnumber],OvalData[],MATCH(Table2[[#Headers],[windlocks]],Table2[#Headers],0),0)</f>
        <v>0</v>
      </c>
      <c r="BW31" s="2" t="str">
        <f>VLOOKUP([jobnumber],OvalData[],MATCH(Table2[[#Headers],[bottombartype]],Table2[#Headers],0),0)</f>
        <v>SPECIAL</v>
      </c>
      <c r="BX31" s="2">
        <f>VLOOKUP([jobnumber],OvalData[],MATCH(Table2[[#Headers],[endlockweight]],Table2[#Headers],0),0)</f>
        <v>0.17</v>
      </c>
      <c r="BY31" s="2">
        <f>VLOOKUP([jobnumber],OvalData[],MATCH(Table2[[#Headers],[Endlock Total Weight]],Table2[#Headers],0),0)</f>
        <v>7.5972999999999997</v>
      </c>
      <c r="BZ31" s="2">
        <f>VLOOKUP([jobnumber],OvalData[],MATCH(Table2[[#Headers],[Grille Weight]],Table2[#Headers],0),0)</f>
        <v>0</v>
      </c>
      <c r="CA31" s="2">
        <f>VLOOKUP([jobnumber],OvalData[],MATCH(Table2[[#Headers],[barrelrings]],Table2[#Headers],0),0)</f>
        <v>1</v>
      </c>
    </row>
    <row r="32" spans="2:79">
      <c r="B32" s="2" t="str">
        <f>VLOOKUP([jobnumber],OvalData[],MATCH(Table2[[#Headers],[Hand]],Table2[#Headers],0),0)</f>
        <v>RH</v>
      </c>
      <c r="C32" s="2" t="str">
        <f>VLOOKUP([jobnumber],OvalData[],MATCH(Table2[[#Headers],[Model]],Table2[#Headers],0),0)</f>
        <v>SFMPP</v>
      </c>
      <c r="D32" s="2" t="str">
        <f>VLOOKUP([jobnumber],OvalData[],MATCH(Table2[[#Headers],[width]],Table2[#Headers],0),0)</f>
        <v xml:space="preserve"> 18 ft.- 2"</v>
      </c>
      <c r="E32" s="2" t="str">
        <f>VLOOKUP([jobnumber],OvalData[],MATCH(Table2[[#Headers],[stopheight]],Table2[#Headers],0),0)</f>
        <v xml:space="preserve"> 10 ft.- 0"</v>
      </c>
      <c r="F32" s="2" t="str">
        <f>VLOOKUP([jobnumber],OvalData[],MATCH(Table2[[#Headers],[Between Brackets]],Table2[#Headers],0),0)</f>
        <v xml:space="preserve"> 18 ft.- 7 7/ 8"</v>
      </c>
      <c r="G32" s="2" t="str">
        <f>VLOOKUP([jobnumber],OvalData[],MATCH(Table2[[#Headers],[shell]],Table2[#Headers],0),0)</f>
        <v>6 INCH TUBE</v>
      </c>
      <c r="H32" s="2" t="str">
        <f>VLOOKUP([jobnumber],OvalData[],MATCH(Table2[[#Headers],[pipewidth]],Table2[#Headers],0),0)</f>
        <v xml:space="preserve"> 18 ft.- 1 3/ 8"</v>
      </c>
      <c r="I32" s="2">
        <f>VLOOKUP([jobnumber],OvalData[],MATCH(Table2[[#Headers],[Support Tubes]],Table2[#Headers],0),0)</f>
        <v>0</v>
      </c>
      <c r="J32" s="2">
        <f>VLOOKUP([jobnumber],OvalData[],MATCH(Table2[[#Headers],[Upset]],Table2[#Headers],0),0)</f>
        <v>2</v>
      </c>
      <c r="K32" s="2" t="str">
        <f>VLOOKUP([jobnumber],OvalData[],MATCH(Table2[[#Headers],[Guide Type]],Table2[#Headers],0),0)</f>
        <v>SN2-4 5/8-E</v>
      </c>
      <c r="L32" s="2" t="str">
        <f>VLOOKUP([jobnumber],OvalData[],MATCH(Table2[[#Headers],[Wall Angle]],Table2[#Headers],0),0)</f>
        <v xml:space="preserve"> 11 ft.- 8"</v>
      </c>
      <c r="M32" s="2" t="str">
        <f>VLOOKUP([jobnumber],OvalData[],MATCH(Table2[[#Headers],[Middle Angle]],Table2[#Headers],0),0)</f>
        <v xml:space="preserve"> 10 ft.- 4 1/ 2"</v>
      </c>
      <c r="N32" s="2" t="str">
        <f>VLOOKUP([jobnumber],OvalData[],MATCH(Table2[[#Headers],[Front Angle]],Table2[#Headers],0),0)</f>
        <v xml:space="preserve"> 10 ft.- 3"</v>
      </c>
      <c r="O32" s="2">
        <f>VLOOKUP([jobnumber],OvalData[],MATCH(Table2[[#Headers],[Pipe Center Line]],Table2[#Headers],0),0)</f>
        <v>131</v>
      </c>
      <c r="P32" s="2">
        <f>VLOOKUP([jobnumber],OvalData[],MATCH(Table2[[#Headers],[Heat Expansion Gap]],Table2[#Headers],0),0)</f>
        <v>0</v>
      </c>
      <c r="Q32" s="2">
        <f>VLOOKUP([jobnumber],OvalData[],MATCH(Table2[[#Headers],[Hanging Weight Closed]],Table2[#Headers],0),0)</f>
        <v>795</v>
      </c>
      <c r="R32" s="2">
        <f>VLOOKUP([jobnumber],OvalData[],MATCH(Table2[[#Headers],[Hanging Weight Open]],Table2[#Headers],0),0)</f>
        <v>140</v>
      </c>
      <c r="S32" s="2">
        <f>VLOOKUP([jobnumber],OvalData[],MATCH(Table2[[#Headers],[Initial Lever Arm]],Table2[#Headers],0),0)</f>
        <v>4.25</v>
      </c>
      <c r="T32" s="2">
        <f>VLOOKUP([jobnumber],OvalData[],MATCH(Table2[[#Headers],[Turns to Raise]],Table2[#Headers],0),0)</f>
        <v>3.5859999999999999</v>
      </c>
      <c r="U32" s="2">
        <f>VLOOKUP([jobnumber],OvalData[],MATCH(Table2[[#Headers],[Final Lever Arm]],Table2[#Headers],0),0)</f>
        <v>6.37</v>
      </c>
      <c r="V32" s="2">
        <f>VLOOKUP([jobnumber],OvalData[],MATCH(Table2[[#Headers],[Torque Required Closed]],Table2[#Headers],0),0)</f>
        <v>3377.9</v>
      </c>
      <c r="W32" s="2">
        <f>VLOOKUP([jobnumber],OvalData[],MATCH(Table2[[#Headers],[Torque Required Open]],Table2[#Headers],0),0)</f>
        <v>892</v>
      </c>
      <c r="X32" s="2">
        <f>VLOOKUP([jobnumber],OvalData[],MATCH(Table2[[#Headers],[Pre Turns]],Table2[#Headers],0),0)</f>
        <v>1.3332999999999999</v>
      </c>
      <c r="Y32" s="2">
        <f>VLOOKUP([jobnumber],OvalData[],MATCH(Table2[[#Headers],[Required Torque Per Turn]],Table2[#Headers],0),0)</f>
        <v>688</v>
      </c>
      <c r="Z32" s="2">
        <f>VLOOKUP([jobnumber],OvalData[],MATCH(Table2[[#Headers],[Total Turns]],Table2[#Headers],0),0)</f>
        <v>4.91</v>
      </c>
      <c r="AA32" s="2">
        <f>VLOOKUP([jobnumber],OvalData[],MATCH(Table2[[#Headers],[Grille Vision Section]],Table2[#Headers],0),0)</f>
        <v>0</v>
      </c>
      <c r="AB32" s="2">
        <f>VLOOKUP([jobnumber],OvalData[],MATCH(Table2[[#Headers],[Grille Amount]],Table2[#Headers],0),0)</f>
        <v>0</v>
      </c>
      <c r="AC32" s="2">
        <f>VLOOKUP([jobnumber],OvalData[],MATCH(Table2[[#Headers],[Grille Center]],Table2[#Headers],0),0)</f>
        <v>0</v>
      </c>
      <c r="AD32" s="2">
        <f>VLOOKUP([jobnumber],OvalData[],MATCH(Table2[[#Headers],[Grille Pattern]],Table2[#Headers],0),0)</f>
        <v>0</v>
      </c>
      <c r="AE32" s="2">
        <f>VLOOKUP([jobnumber],OvalData[],MATCH(Table2[[#Headers],[Grille First Tube]],Table2[#Headers],0),0)</f>
        <v>0</v>
      </c>
      <c r="AF32" s="2">
        <f>VLOOKUP([jobnumber],OvalData[],MATCH(Table2[[#Headers],[Grille Standard Tube]],Table2[#Headers],0),0)</f>
        <v>0</v>
      </c>
      <c r="AG32" s="2">
        <f>VLOOKUP([jobnumber],OvalData[],MATCH(Table2[[#Headers],[Grille Total Links]],Table2[#Headers],0),0)</f>
        <v>0</v>
      </c>
      <c r="AH32" s="2">
        <f>VLOOKUP([jobnumber],OvalData[],MATCH(Table2[[#Headers],[Grille Rods]],Table2[#Headers],0),0)</f>
        <v>0</v>
      </c>
      <c r="AI32" s="2">
        <f>VLOOKUP([jobnumber],OvalData[],MATCH(Table2[[#Headers],[Grille Rod Length]],Table2[#Headers],0),0)</f>
        <v>0</v>
      </c>
      <c r="AJ32" s="2">
        <f>VLOOKUP([jobnumber],OvalData[],MATCH(Table2[[#Headers],[slattype]],Table2[#Headers],0),0)</f>
        <v>2</v>
      </c>
      <c r="AK32" s="2">
        <f>VLOOKUP([jobnumber],OvalData[],MATCH(Table2[[#Headers],[slatgage]],Table2[#Headers],0),0)</f>
        <v>18</v>
      </c>
      <c r="AL32" s="2">
        <f>VLOOKUP([jobnumber],OvalData[],MATCH(Table2[[#Headers],[Numer of Top Slats]],Table2[#Headers],0),0)</f>
        <v>0</v>
      </c>
      <c r="AM32" s="2">
        <f>VLOOKUP([jobnumber],OvalData[],MATCH(Table2[[#Headers],[Number of Bottom Slats]],Table2[#Headers],0),0)</f>
        <v>0</v>
      </c>
      <c r="AN32" s="2">
        <f>VLOOKUP([jobnumber],OvalData[],MATCH(Table2[[#Headers],[Solid Bottom Height]],Table2[#Headers],0),0)</f>
        <v>0</v>
      </c>
      <c r="AO32" s="2" t="str">
        <f>VLOOKUP([jobnumber],OvalData[],MATCH(Table2[[#Headers],[slatlength]],Table2[#Headers],0),0)</f>
        <v xml:space="preserve"> 18 ft.- 5 7/ 8"</v>
      </c>
      <c r="AP32" s="2">
        <f>VLOOKUP([jobnumber],OvalData[],MATCH(Table2[[#Headers],[Bottom Slat Length]],Table2[#Headers],0),0)</f>
        <v>0</v>
      </c>
      <c r="AQ32" s="2">
        <f>VLOOKUP([jobnumber],OvalData[],MATCH(Table2[[#Headers],[Number of Perferated Slats]],Table2[#Headers],0),0)</f>
        <v>0</v>
      </c>
      <c r="AR32" s="2">
        <f>VLOOKUP([jobnumber],OvalData[],MATCH(Table2[[#Headers],[First Preferated Slat From End]],Table2[#Headers],0),0)</f>
        <v>0</v>
      </c>
      <c r="AS32" s="2">
        <f>VLOOKUP([jobnumber],OvalData[],MATCH(Table2[[#Headers],[First Preferated Slat From Bottom]],Table2[#Headers],0),0)</f>
        <v>0</v>
      </c>
      <c r="AT32" s="2">
        <f>VLOOKUP([jobnumber],OvalData[],MATCH(Table2[[#Headers],[Total Number of Slats]],Table2[#Headers],0),0)</f>
        <v>51</v>
      </c>
      <c r="AU32" s="2">
        <f>VLOOKUP([jobnumber],OvalData[],MATCH(Table2[[#Headers],[Bottom Bar Slope]],Table2[#Headers],0),0)</f>
        <v>0</v>
      </c>
      <c r="AV32" s="2">
        <f>VLOOKUP([jobnumber],OvalData[],MATCH(Table2[[#Headers],[Bottom Bar Weight]],Table2[#Headers],0),0)</f>
        <v>80.5</v>
      </c>
      <c r="AW32" s="2" t="str">
        <f>VLOOKUP([jobnumber],OvalData[],MATCH(Table2[[#Headers],[Outer Spring Gage]],Table2[#Headers],0),0)</f>
        <v>Null</v>
      </c>
      <c r="AX32" s="2" t="str">
        <f>VLOOKUP([jobnumber],OvalData[],MATCH(Table2[[#Headers],[Outer Spring OD]],Table2[#Headers],0),0)</f>
        <v>Null</v>
      </c>
      <c r="AY32" s="2" t="str">
        <f>VLOOKUP([jobnumber],OvalData[],MATCH(Table2[[#Headers],[Outer Spring Length]],Table2[#Headers],0),0)</f>
        <v>Null</v>
      </c>
      <c r="AZ32" s="2" t="str">
        <f>VLOOKUP([jobnumber],OvalData[],MATCH(Table2[[#Headers],[Outer Spring Stretch]],Table2[#Headers],0),0)</f>
        <v>Null</v>
      </c>
      <c r="BA32" s="2" t="str">
        <f>VLOOKUP([jobnumber],OvalData[],MATCH(Table2[[#Headers],[Outer Spring Torque]],Table2[#Headers],0),0)</f>
        <v>Null</v>
      </c>
      <c r="BB32" s="2" t="str">
        <f>VLOOKUP([jobnumber],OvalData[],MATCH(Table2[[#Headers],[Outer Spring Max Turns]],Table2[#Headers],0),0)</f>
        <v>Null</v>
      </c>
      <c r="BC32" s="2" t="str">
        <f>VLOOKUP([jobnumber],OvalData[],MATCH(Table2[[#Headers],[Outer Spring Weight]],Table2[#Headers],0),0)</f>
        <v>Null</v>
      </c>
      <c r="BD32" s="2" t="str">
        <f>VLOOKUP([jobnumber],OvalData[],MATCH(Table2[[#Headers],[Inner Spring Gage]],Table2[#Headers],0),0)</f>
        <v>Null</v>
      </c>
      <c r="BE32" s="2" t="str">
        <f>VLOOKUP([jobnumber],OvalData[],MATCH(Table2[[#Headers],[Inner Spring OD]],Table2[#Headers],0),0)</f>
        <v>Null</v>
      </c>
      <c r="BF32" s="2" t="str">
        <f>VLOOKUP([jobnumber],OvalData[],MATCH(Table2[[#Headers],[Inner Spring Length]],Table2[#Headers],0),0)</f>
        <v>Null</v>
      </c>
      <c r="BG32" s="2" t="str">
        <f>VLOOKUP([jobnumber],OvalData[],MATCH(Table2[[#Headers],[Inner Spring Stretch]],Table2[#Headers],0),0)</f>
        <v>Null</v>
      </c>
      <c r="BH32" s="2" t="str">
        <f>VLOOKUP([jobnumber],OvalData[],MATCH(Table2[[#Headers],[Inner Spring Torque]],Table2[#Headers],0),0)</f>
        <v>Null</v>
      </c>
      <c r="BI32" s="2" t="str">
        <f>VLOOKUP([jobnumber],OvalData[],MATCH(Table2[[#Headers],[Inner Spring Max Turns]],Table2[#Headers],0),0)</f>
        <v>Null</v>
      </c>
      <c r="BJ32" s="2" t="str">
        <f>VLOOKUP([jobnumber],OvalData[],MATCH(Table2[[#Headers],[Inner Spring Weight]],Table2[#Headers],0),0)</f>
        <v>Null</v>
      </c>
      <c r="BK32" s="2">
        <f>VLOOKUP([jobnumber],OvalData[],MATCH(Table2[[#Headers],[Cycles]],Table2[#Headers],0),0)</f>
        <v>0</v>
      </c>
      <c r="BL32" s="2">
        <f>VLOOKUP([jobnumber],OvalData[],MATCH(Table2[[#Headers],[Total Spring Torque]],Table2[#Headers],0),0)</f>
        <v>0</v>
      </c>
      <c r="BM32" s="2">
        <f>VLOOKUP([jobnumber],OvalData[],MATCH(Table2[[#Headers],[Total Spring Weight]],Table2[#Headers],0),0)</f>
        <v>0</v>
      </c>
      <c r="BN32" s="2">
        <f>VLOOKUP([jobnumber],OvalData[],MATCH(Table2[[#Headers],[Pipe Weight]],Table2[#Headers],0),0)</f>
        <v>688.24239999999998</v>
      </c>
      <c r="BO32" s="2">
        <f>VLOOKUP([jobnumber],OvalData[],MATCH(Table2[[#Headers],[Max Pipe Deflection]],Table2[#Headers],0),0)</f>
        <v>2309</v>
      </c>
      <c r="BP32" s="2">
        <f>VLOOKUP([jobnumber],OvalData[],MATCH(Table2[[#Headers],[Number Non-Insulated Wrap Slats]],Table2[#Headers],0),0)</f>
        <v>0</v>
      </c>
      <c r="BQ32" s="2">
        <f>VLOOKUP([jobnumber],OvalData[],MATCH(Table2[[#Headers],[Number of Insolated Top Slats]],Table2[#Headers],0),0)</f>
        <v>45</v>
      </c>
      <c r="BR32" s="2">
        <f>VLOOKUP([jobnumber],OvalData[],MATCH(Table2[[#Headers],[Insolated Total Slats]],Table2[#Headers],0),0)</f>
        <v>45</v>
      </c>
      <c r="BS32" s="2">
        <f>VLOOKUP([jobnumber],OvalData[],MATCH(Table2[[#Headers],[Number of Slats]],Table2[#Headers],0),0)</f>
        <v>44.69</v>
      </c>
      <c r="BT32" s="2">
        <f>VLOOKUP([jobnumber],OvalData[],MATCH(Table2[[#Headers],[Wrap]],Table2[#Headers],0),0)</f>
        <v>0</v>
      </c>
      <c r="BU32" s="2">
        <f>VLOOKUP([jobnumber],OvalData[],MATCH(Table2[[#Headers],[Wall Angle Thickness]],Table2[#Headers],0),0)</f>
        <v>0</v>
      </c>
      <c r="BV32" s="2">
        <f>VLOOKUP([jobnumber],OvalData[],MATCH(Table2[[#Headers],[windlocks]],Table2[#Headers],0),0)</f>
        <v>0</v>
      </c>
      <c r="BW32" s="2" t="str">
        <f>VLOOKUP([jobnumber],OvalData[],MATCH(Table2[[#Headers],[bottombartype]],Table2[#Headers],0),0)</f>
        <v>SPECIAL</v>
      </c>
      <c r="BX32" s="2">
        <f>VLOOKUP([jobnumber],OvalData[],MATCH(Table2[[#Headers],[endlockweight]],Table2[#Headers],0),0)</f>
        <v>0.17</v>
      </c>
      <c r="BY32" s="2">
        <f>VLOOKUP([jobnumber],OvalData[],MATCH(Table2[[#Headers],[Endlock Total Weight]],Table2[#Headers],0),0)</f>
        <v>7.5972999999999997</v>
      </c>
      <c r="BZ32" s="2">
        <f>VLOOKUP([jobnumber],OvalData[],MATCH(Table2[[#Headers],[Grille Weight]],Table2[#Headers],0),0)</f>
        <v>0</v>
      </c>
      <c r="CA32" s="2">
        <f>VLOOKUP([jobnumber],OvalData[],MATCH(Table2[[#Headers],[barrelrings]],Table2[#Headers],0),0)</f>
        <v>1</v>
      </c>
    </row>
    <row r="33" spans="2:79">
      <c r="B33" s="2" t="str">
        <f>VLOOKUP([jobnumber],OvalData[],MATCH(Table2[[#Headers],[Hand]],Table2[#Headers],0),0)</f>
        <v>RH</v>
      </c>
      <c r="C33" s="2" t="str">
        <f>VLOOKUP([jobnumber],OvalData[],MATCH(Table2[[#Headers],[Model]],Table2[#Headers],0),0)</f>
        <v>SFMPP</v>
      </c>
      <c r="D33" s="2" t="str">
        <f>VLOOKUP([jobnumber],OvalData[],MATCH(Table2[[#Headers],[width]],Table2[#Headers],0),0)</f>
        <v xml:space="preserve"> 18 ft.- 2"</v>
      </c>
      <c r="E33" s="2" t="str">
        <f>VLOOKUP([jobnumber],OvalData[],MATCH(Table2[[#Headers],[stopheight]],Table2[#Headers],0),0)</f>
        <v xml:space="preserve"> 10 ft.- 0"</v>
      </c>
      <c r="F33" s="2" t="str">
        <f>VLOOKUP([jobnumber],OvalData[],MATCH(Table2[[#Headers],[Between Brackets]],Table2[#Headers],0),0)</f>
        <v xml:space="preserve"> 18 ft.- 7 7/ 8"</v>
      </c>
      <c r="G33" s="2" t="str">
        <f>VLOOKUP([jobnumber],OvalData[],MATCH(Table2[[#Headers],[shell]],Table2[#Headers],0),0)</f>
        <v>6 INCH TUBE</v>
      </c>
      <c r="H33" s="2" t="str">
        <f>VLOOKUP([jobnumber],OvalData[],MATCH(Table2[[#Headers],[pipewidth]],Table2[#Headers],0),0)</f>
        <v xml:space="preserve"> 18 ft.- 1 3/ 8"</v>
      </c>
      <c r="I33" s="2">
        <f>VLOOKUP([jobnumber],OvalData[],MATCH(Table2[[#Headers],[Support Tubes]],Table2[#Headers],0),0)</f>
        <v>0</v>
      </c>
      <c r="J33" s="2">
        <f>VLOOKUP([jobnumber],OvalData[],MATCH(Table2[[#Headers],[Upset]],Table2[#Headers],0),0)</f>
        <v>2</v>
      </c>
      <c r="K33" s="2" t="str">
        <f>VLOOKUP([jobnumber],OvalData[],MATCH(Table2[[#Headers],[Guide Type]],Table2[#Headers],0),0)</f>
        <v>SN2-4 5/8-E</v>
      </c>
      <c r="L33" s="2" t="str">
        <f>VLOOKUP([jobnumber],OvalData[],MATCH(Table2[[#Headers],[Wall Angle]],Table2[#Headers],0),0)</f>
        <v xml:space="preserve"> 11 ft.- 8"</v>
      </c>
      <c r="M33" s="2" t="str">
        <f>VLOOKUP([jobnumber],OvalData[],MATCH(Table2[[#Headers],[Middle Angle]],Table2[#Headers],0),0)</f>
        <v xml:space="preserve"> 10 ft.- 4 1/ 2"</v>
      </c>
      <c r="N33" s="2" t="str">
        <f>VLOOKUP([jobnumber],OvalData[],MATCH(Table2[[#Headers],[Front Angle]],Table2[#Headers],0),0)</f>
        <v xml:space="preserve"> 10 ft.- 3"</v>
      </c>
      <c r="O33" s="2">
        <f>VLOOKUP([jobnumber],OvalData[],MATCH(Table2[[#Headers],[Pipe Center Line]],Table2[#Headers],0),0)</f>
        <v>131</v>
      </c>
      <c r="P33" s="2">
        <f>VLOOKUP([jobnumber],OvalData[],MATCH(Table2[[#Headers],[Heat Expansion Gap]],Table2[#Headers],0),0)</f>
        <v>0</v>
      </c>
      <c r="Q33" s="2">
        <f>VLOOKUP([jobnumber],OvalData[],MATCH(Table2[[#Headers],[Hanging Weight Closed]],Table2[#Headers],0),0)</f>
        <v>795</v>
      </c>
      <c r="R33" s="2">
        <f>VLOOKUP([jobnumber],OvalData[],MATCH(Table2[[#Headers],[Hanging Weight Open]],Table2[#Headers],0),0)</f>
        <v>140</v>
      </c>
      <c r="S33" s="2">
        <f>VLOOKUP([jobnumber],OvalData[],MATCH(Table2[[#Headers],[Initial Lever Arm]],Table2[#Headers],0),0)</f>
        <v>4.25</v>
      </c>
      <c r="T33" s="2">
        <f>VLOOKUP([jobnumber],OvalData[],MATCH(Table2[[#Headers],[Turns to Raise]],Table2[#Headers],0),0)</f>
        <v>3.5859999999999999</v>
      </c>
      <c r="U33" s="2">
        <f>VLOOKUP([jobnumber],OvalData[],MATCH(Table2[[#Headers],[Final Lever Arm]],Table2[#Headers],0),0)</f>
        <v>6.37</v>
      </c>
      <c r="V33" s="2">
        <f>VLOOKUP([jobnumber],OvalData[],MATCH(Table2[[#Headers],[Torque Required Closed]],Table2[#Headers],0),0)</f>
        <v>3377.9</v>
      </c>
      <c r="W33" s="2">
        <f>VLOOKUP([jobnumber],OvalData[],MATCH(Table2[[#Headers],[Torque Required Open]],Table2[#Headers],0),0)</f>
        <v>892</v>
      </c>
      <c r="X33" s="2">
        <f>VLOOKUP([jobnumber],OvalData[],MATCH(Table2[[#Headers],[Pre Turns]],Table2[#Headers],0),0)</f>
        <v>1.3332999999999999</v>
      </c>
      <c r="Y33" s="2">
        <f>VLOOKUP([jobnumber],OvalData[],MATCH(Table2[[#Headers],[Required Torque Per Turn]],Table2[#Headers],0),0)</f>
        <v>688</v>
      </c>
      <c r="Z33" s="2">
        <f>VLOOKUP([jobnumber],OvalData[],MATCH(Table2[[#Headers],[Total Turns]],Table2[#Headers],0),0)</f>
        <v>4.91</v>
      </c>
      <c r="AA33" s="2">
        <f>VLOOKUP([jobnumber],OvalData[],MATCH(Table2[[#Headers],[Grille Vision Section]],Table2[#Headers],0),0)</f>
        <v>0</v>
      </c>
      <c r="AB33" s="2">
        <f>VLOOKUP([jobnumber],OvalData[],MATCH(Table2[[#Headers],[Grille Amount]],Table2[#Headers],0),0)</f>
        <v>0</v>
      </c>
      <c r="AC33" s="2">
        <f>VLOOKUP([jobnumber],OvalData[],MATCH(Table2[[#Headers],[Grille Center]],Table2[#Headers],0),0)</f>
        <v>0</v>
      </c>
      <c r="AD33" s="2">
        <f>VLOOKUP([jobnumber],OvalData[],MATCH(Table2[[#Headers],[Grille Pattern]],Table2[#Headers],0),0)</f>
        <v>0</v>
      </c>
      <c r="AE33" s="2">
        <f>VLOOKUP([jobnumber],OvalData[],MATCH(Table2[[#Headers],[Grille First Tube]],Table2[#Headers],0),0)</f>
        <v>0</v>
      </c>
      <c r="AF33" s="2">
        <f>VLOOKUP([jobnumber],OvalData[],MATCH(Table2[[#Headers],[Grille Standard Tube]],Table2[#Headers],0),0)</f>
        <v>0</v>
      </c>
      <c r="AG33" s="2">
        <f>VLOOKUP([jobnumber],OvalData[],MATCH(Table2[[#Headers],[Grille Total Links]],Table2[#Headers],0),0)</f>
        <v>0</v>
      </c>
      <c r="AH33" s="2">
        <f>VLOOKUP([jobnumber],OvalData[],MATCH(Table2[[#Headers],[Grille Rods]],Table2[#Headers],0),0)</f>
        <v>0</v>
      </c>
      <c r="AI33" s="2">
        <f>VLOOKUP([jobnumber],OvalData[],MATCH(Table2[[#Headers],[Grille Rod Length]],Table2[#Headers],0),0)</f>
        <v>0</v>
      </c>
      <c r="AJ33" s="2">
        <f>VLOOKUP([jobnumber],OvalData[],MATCH(Table2[[#Headers],[slattype]],Table2[#Headers],0),0)</f>
        <v>2</v>
      </c>
      <c r="AK33" s="2">
        <f>VLOOKUP([jobnumber],OvalData[],MATCH(Table2[[#Headers],[slatgage]],Table2[#Headers],0),0)</f>
        <v>18</v>
      </c>
      <c r="AL33" s="2">
        <f>VLOOKUP([jobnumber],OvalData[],MATCH(Table2[[#Headers],[Numer of Top Slats]],Table2[#Headers],0),0)</f>
        <v>0</v>
      </c>
      <c r="AM33" s="2">
        <f>VLOOKUP([jobnumber],OvalData[],MATCH(Table2[[#Headers],[Number of Bottom Slats]],Table2[#Headers],0),0)</f>
        <v>0</v>
      </c>
      <c r="AN33" s="2">
        <f>VLOOKUP([jobnumber],OvalData[],MATCH(Table2[[#Headers],[Solid Bottom Height]],Table2[#Headers],0),0)</f>
        <v>0</v>
      </c>
      <c r="AO33" s="2" t="str">
        <f>VLOOKUP([jobnumber],OvalData[],MATCH(Table2[[#Headers],[slatlength]],Table2[#Headers],0),0)</f>
        <v xml:space="preserve"> 18 ft.- 5 7/ 8"</v>
      </c>
      <c r="AP33" s="2">
        <f>VLOOKUP([jobnumber],OvalData[],MATCH(Table2[[#Headers],[Bottom Slat Length]],Table2[#Headers],0),0)</f>
        <v>0</v>
      </c>
      <c r="AQ33" s="2">
        <f>VLOOKUP([jobnumber],OvalData[],MATCH(Table2[[#Headers],[Number of Perferated Slats]],Table2[#Headers],0),0)</f>
        <v>0</v>
      </c>
      <c r="AR33" s="2">
        <f>VLOOKUP([jobnumber],OvalData[],MATCH(Table2[[#Headers],[First Preferated Slat From End]],Table2[#Headers],0),0)</f>
        <v>0</v>
      </c>
      <c r="AS33" s="2">
        <f>VLOOKUP([jobnumber],OvalData[],MATCH(Table2[[#Headers],[First Preferated Slat From Bottom]],Table2[#Headers],0),0)</f>
        <v>0</v>
      </c>
      <c r="AT33" s="2">
        <f>VLOOKUP([jobnumber],OvalData[],MATCH(Table2[[#Headers],[Total Number of Slats]],Table2[#Headers],0),0)</f>
        <v>51</v>
      </c>
      <c r="AU33" s="2">
        <f>VLOOKUP([jobnumber],OvalData[],MATCH(Table2[[#Headers],[Bottom Bar Slope]],Table2[#Headers],0),0)</f>
        <v>0</v>
      </c>
      <c r="AV33" s="2">
        <f>VLOOKUP([jobnumber],OvalData[],MATCH(Table2[[#Headers],[Bottom Bar Weight]],Table2[#Headers],0),0)</f>
        <v>80.5</v>
      </c>
      <c r="AW33" s="2" t="str">
        <f>VLOOKUP([jobnumber],OvalData[],MATCH(Table2[[#Headers],[Outer Spring Gage]],Table2[#Headers],0),0)</f>
        <v>Null</v>
      </c>
      <c r="AX33" s="2" t="str">
        <f>VLOOKUP([jobnumber],OvalData[],MATCH(Table2[[#Headers],[Outer Spring OD]],Table2[#Headers],0),0)</f>
        <v>Null</v>
      </c>
      <c r="AY33" s="2" t="str">
        <f>VLOOKUP([jobnumber],OvalData[],MATCH(Table2[[#Headers],[Outer Spring Length]],Table2[#Headers],0),0)</f>
        <v>Null</v>
      </c>
      <c r="AZ33" s="2" t="str">
        <f>VLOOKUP([jobnumber],OvalData[],MATCH(Table2[[#Headers],[Outer Spring Stretch]],Table2[#Headers],0),0)</f>
        <v>Null</v>
      </c>
      <c r="BA33" s="2" t="str">
        <f>VLOOKUP([jobnumber],OvalData[],MATCH(Table2[[#Headers],[Outer Spring Torque]],Table2[#Headers],0),0)</f>
        <v>Null</v>
      </c>
      <c r="BB33" s="2" t="str">
        <f>VLOOKUP([jobnumber],OvalData[],MATCH(Table2[[#Headers],[Outer Spring Max Turns]],Table2[#Headers],0),0)</f>
        <v>Null</v>
      </c>
      <c r="BC33" s="2" t="str">
        <f>VLOOKUP([jobnumber],OvalData[],MATCH(Table2[[#Headers],[Outer Spring Weight]],Table2[#Headers],0),0)</f>
        <v>Null</v>
      </c>
      <c r="BD33" s="2" t="str">
        <f>VLOOKUP([jobnumber],OvalData[],MATCH(Table2[[#Headers],[Inner Spring Gage]],Table2[#Headers],0),0)</f>
        <v>Null</v>
      </c>
      <c r="BE33" s="2" t="str">
        <f>VLOOKUP([jobnumber],OvalData[],MATCH(Table2[[#Headers],[Inner Spring OD]],Table2[#Headers],0),0)</f>
        <v>Null</v>
      </c>
      <c r="BF33" s="2" t="str">
        <f>VLOOKUP([jobnumber],OvalData[],MATCH(Table2[[#Headers],[Inner Spring Length]],Table2[#Headers],0),0)</f>
        <v>Null</v>
      </c>
      <c r="BG33" s="2" t="str">
        <f>VLOOKUP([jobnumber],OvalData[],MATCH(Table2[[#Headers],[Inner Spring Stretch]],Table2[#Headers],0),0)</f>
        <v>Null</v>
      </c>
      <c r="BH33" s="2" t="str">
        <f>VLOOKUP([jobnumber],OvalData[],MATCH(Table2[[#Headers],[Inner Spring Torque]],Table2[#Headers],0),0)</f>
        <v>Null</v>
      </c>
      <c r="BI33" s="2" t="str">
        <f>VLOOKUP([jobnumber],OvalData[],MATCH(Table2[[#Headers],[Inner Spring Max Turns]],Table2[#Headers],0),0)</f>
        <v>Null</v>
      </c>
      <c r="BJ33" s="2" t="str">
        <f>VLOOKUP([jobnumber],OvalData[],MATCH(Table2[[#Headers],[Inner Spring Weight]],Table2[#Headers],0),0)</f>
        <v>Null</v>
      </c>
      <c r="BK33" s="2">
        <f>VLOOKUP([jobnumber],OvalData[],MATCH(Table2[[#Headers],[Cycles]],Table2[#Headers],0),0)</f>
        <v>0</v>
      </c>
      <c r="BL33" s="2">
        <f>VLOOKUP([jobnumber],OvalData[],MATCH(Table2[[#Headers],[Total Spring Torque]],Table2[#Headers],0),0)</f>
        <v>0</v>
      </c>
      <c r="BM33" s="2">
        <f>VLOOKUP([jobnumber],OvalData[],MATCH(Table2[[#Headers],[Total Spring Weight]],Table2[#Headers],0),0)</f>
        <v>0</v>
      </c>
      <c r="BN33" s="2">
        <f>VLOOKUP([jobnumber],OvalData[],MATCH(Table2[[#Headers],[Pipe Weight]],Table2[#Headers],0),0)</f>
        <v>688.24239999999998</v>
      </c>
      <c r="BO33" s="2">
        <f>VLOOKUP([jobnumber],OvalData[],MATCH(Table2[[#Headers],[Max Pipe Deflection]],Table2[#Headers],0),0)</f>
        <v>2309</v>
      </c>
      <c r="BP33" s="2">
        <f>VLOOKUP([jobnumber],OvalData[],MATCH(Table2[[#Headers],[Number Non-Insulated Wrap Slats]],Table2[#Headers],0),0)</f>
        <v>0</v>
      </c>
      <c r="BQ33" s="2">
        <f>VLOOKUP([jobnumber],OvalData[],MATCH(Table2[[#Headers],[Number of Insolated Top Slats]],Table2[#Headers],0),0)</f>
        <v>45</v>
      </c>
      <c r="BR33" s="2">
        <f>VLOOKUP([jobnumber],OvalData[],MATCH(Table2[[#Headers],[Insolated Total Slats]],Table2[#Headers],0),0)</f>
        <v>45</v>
      </c>
      <c r="BS33" s="2">
        <f>VLOOKUP([jobnumber],OvalData[],MATCH(Table2[[#Headers],[Number of Slats]],Table2[#Headers],0),0)</f>
        <v>44.69</v>
      </c>
      <c r="BT33" s="2">
        <f>VLOOKUP([jobnumber],OvalData[],MATCH(Table2[[#Headers],[Wrap]],Table2[#Headers],0),0)</f>
        <v>0</v>
      </c>
      <c r="BU33" s="2">
        <f>VLOOKUP([jobnumber],OvalData[],MATCH(Table2[[#Headers],[Wall Angle Thickness]],Table2[#Headers],0),0)</f>
        <v>0</v>
      </c>
      <c r="BV33" s="2">
        <f>VLOOKUP([jobnumber],OvalData[],MATCH(Table2[[#Headers],[windlocks]],Table2[#Headers],0),0)</f>
        <v>0</v>
      </c>
      <c r="BW33" s="2" t="str">
        <f>VLOOKUP([jobnumber],OvalData[],MATCH(Table2[[#Headers],[bottombartype]],Table2[#Headers],0),0)</f>
        <v>SPECIAL</v>
      </c>
      <c r="BX33" s="2">
        <f>VLOOKUP([jobnumber],OvalData[],MATCH(Table2[[#Headers],[endlockweight]],Table2[#Headers],0),0)</f>
        <v>0.17</v>
      </c>
      <c r="BY33" s="2">
        <f>VLOOKUP([jobnumber],OvalData[],MATCH(Table2[[#Headers],[Endlock Total Weight]],Table2[#Headers],0),0)</f>
        <v>7.5972999999999997</v>
      </c>
      <c r="BZ33" s="2">
        <f>VLOOKUP([jobnumber],OvalData[],MATCH(Table2[[#Headers],[Grille Weight]],Table2[#Headers],0),0)</f>
        <v>0</v>
      </c>
      <c r="CA33" s="2">
        <f>VLOOKUP([jobnumber],OvalData[],MATCH(Table2[[#Headers],[barrelrings]],Table2[#Headers],0),0)</f>
        <v>1</v>
      </c>
    </row>
    <row r="34" spans="2:79">
      <c r="B34" s="2" t="str">
        <f>VLOOKUP([jobnumber],OvalData[],MATCH(Table2[[#Headers],[Hand]],Table2[#Headers],0),0)</f>
        <v>RH</v>
      </c>
      <c r="C34" s="2" t="str">
        <f>VLOOKUP([jobnumber],OvalData[],MATCH(Table2[[#Headers],[Model]],Table2[#Headers],0),0)</f>
        <v>SFMPP</v>
      </c>
      <c r="D34" s="2" t="str">
        <f>VLOOKUP([jobnumber],OvalData[],MATCH(Table2[[#Headers],[width]],Table2[#Headers],0),0)</f>
        <v xml:space="preserve"> 18 ft.- 2"</v>
      </c>
      <c r="E34" s="2" t="str">
        <f>VLOOKUP([jobnumber],OvalData[],MATCH(Table2[[#Headers],[stopheight]],Table2[#Headers],0),0)</f>
        <v xml:space="preserve"> 10 ft.- 0"</v>
      </c>
      <c r="F34" s="2" t="str">
        <f>VLOOKUP([jobnumber],OvalData[],MATCH(Table2[[#Headers],[Between Brackets]],Table2[#Headers],0),0)</f>
        <v xml:space="preserve"> 18 ft.- 7 7/ 8"</v>
      </c>
      <c r="G34" s="2" t="str">
        <f>VLOOKUP([jobnumber],OvalData[],MATCH(Table2[[#Headers],[shell]],Table2[#Headers],0),0)</f>
        <v>6 INCH TUBE</v>
      </c>
      <c r="H34" s="2" t="str">
        <f>VLOOKUP([jobnumber],OvalData[],MATCH(Table2[[#Headers],[pipewidth]],Table2[#Headers],0),0)</f>
        <v xml:space="preserve"> 18 ft.- 1 3/ 8"</v>
      </c>
      <c r="I34" s="2">
        <f>VLOOKUP([jobnumber],OvalData[],MATCH(Table2[[#Headers],[Support Tubes]],Table2[#Headers],0),0)</f>
        <v>0</v>
      </c>
      <c r="J34" s="2">
        <f>VLOOKUP([jobnumber],OvalData[],MATCH(Table2[[#Headers],[Upset]],Table2[#Headers],0),0)</f>
        <v>2</v>
      </c>
      <c r="K34" s="2" t="str">
        <f>VLOOKUP([jobnumber],OvalData[],MATCH(Table2[[#Headers],[Guide Type]],Table2[#Headers],0),0)</f>
        <v>SN2-4 5/8-E</v>
      </c>
      <c r="L34" s="2" t="str">
        <f>VLOOKUP([jobnumber],OvalData[],MATCH(Table2[[#Headers],[Wall Angle]],Table2[#Headers],0),0)</f>
        <v xml:space="preserve"> 11 ft.- 8"</v>
      </c>
      <c r="M34" s="2" t="str">
        <f>VLOOKUP([jobnumber],OvalData[],MATCH(Table2[[#Headers],[Middle Angle]],Table2[#Headers],0),0)</f>
        <v xml:space="preserve"> 10 ft.- 4 1/ 2"</v>
      </c>
      <c r="N34" s="2" t="str">
        <f>VLOOKUP([jobnumber],OvalData[],MATCH(Table2[[#Headers],[Front Angle]],Table2[#Headers],0),0)</f>
        <v xml:space="preserve"> 10 ft.- 3"</v>
      </c>
      <c r="O34" s="2">
        <f>VLOOKUP([jobnumber],OvalData[],MATCH(Table2[[#Headers],[Pipe Center Line]],Table2[#Headers],0),0)</f>
        <v>131</v>
      </c>
      <c r="P34" s="2">
        <f>VLOOKUP([jobnumber],OvalData[],MATCH(Table2[[#Headers],[Heat Expansion Gap]],Table2[#Headers],0),0)</f>
        <v>0</v>
      </c>
      <c r="Q34" s="2">
        <f>VLOOKUP([jobnumber],OvalData[],MATCH(Table2[[#Headers],[Hanging Weight Closed]],Table2[#Headers],0),0)</f>
        <v>795</v>
      </c>
      <c r="R34" s="2">
        <f>VLOOKUP([jobnumber],OvalData[],MATCH(Table2[[#Headers],[Hanging Weight Open]],Table2[#Headers],0),0)</f>
        <v>140</v>
      </c>
      <c r="S34" s="2">
        <f>VLOOKUP([jobnumber],OvalData[],MATCH(Table2[[#Headers],[Initial Lever Arm]],Table2[#Headers],0),0)</f>
        <v>4.25</v>
      </c>
      <c r="T34" s="2">
        <f>VLOOKUP([jobnumber],OvalData[],MATCH(Table2[[#Headers],[Turns to Raise]],Table2[#Headers],0),0)</f>
        <v>3.5859999999999999</v>
      </c>
      <c r="U34" s="2">
        <f>VLOOKUP([jobnumber],OvalData[],MATCH(Table2[[#Headers],[Final Lever Arm]],Table2[#Headers],0),0)</f>
        <v>6.37</v>
      </c>
      <c r="V34" s="2">
        <f>VLOOKUP([jobnumber],OvalData[],MATCH(Table2[[#Headers],[Torque Required Closed]],Table2[#Headers],0),0)</f>
        <v>3377.9</v>
      </c>
      <c r="W34" s="2">
        <f>VLOOKUP([jobnumber],OvalData[],MATCH(Table2[[#Headers],[Torque Required Open]],Table2[#Headers],0),0)</f>
        <v>892</v>
      </c>
      <c r="X34" s="2">
        <f>VLOOKUP([jobnumber],OvalData[],MATCH(Table2[[#Headers],[Pre Turns]],Table2[#Headers],0),0)</f>
        <v>1.3332999999999999</v>
      </c>
      <c r="Y34" s="2">
        <f>VLOOKUP([jobnumber],OvalData[],MATCH(Table2[[#Headers],[Required Torque Per Turn]],Table2[#Headers],0),0)</f>
        <v>688</v>
      </c>
      <c r="Z34" s="2">
        <f>VLOOKUP([jobnumber],OvalData[],MATCH(Table2[[#Headers],[Total Turns]],Table2[#Headers],0),0)</f>
        <v>4.91</v>
      </c>
      <c r="AA34" s="2">
        <f>VLOOKUP([jobnumber],OvalData[],MATCH(Table2[[#Headers],[Grille Vision Section]],Table2[#Headers],0),0)</f>
        <v>0</v>
      </c>
      <c r="AB34" s="2">
        <f>VLOOKUP([jobnumber],OvalData[],MATCH(Table2[[#Headers],[Grille Amount]],Table2[#Headers],0),0)</f>
        <v>0</v>
      </c>
      <c r="AC34" s="2">
        <f>VLOOKUP([jobnumber],OvalData[],MATCH(Table2[[#Headers],[Grille Center]],Table2[#Headers],0),0)</f>
        <v>0</v>
      </c>
      <c r="AD34" s="2">
        <f>VLOOKUP([jobnumber],OvalData[],MATCH(Table2[[#Headers],[Grille Pattern]],Table2[#Headers],0),0)</f>
        <v>0</v>
      </c>
      <c r="AE34" s="2">
        <f>VLOOKUP([jobnumber],OvalData[],MATCH(Table2[[#Headers],[Grille First Tube]],Table2[#Headers],0),0)</f>
        <v>0</v>
      </c>
      <c r="AF34" s="2">
        <f>VLOOKUP([jobnumber],OvalData[],MATCH(Table2[[#Headers],[Grille Standard Tube]],Table2[#Headers],0),0)</f>
        <v>0</v>
      </c>
      <c r="AG34" s="2">
        <f>VLOOKUP([jobnumber],OvalData[],MATCH(Table2[[#Headers],[Grille Total Links]],Table2[#Headers],0),0)</f>
        <v>0</v>
      </c>
      <c r="AH34" s="2">
        <f>VLOOKUP([jobnumber],OvalData[],MATCH(Table2[[#Headers],[Grille Rods]],Table2[#Headers],0),0)</f>
        <v>0</v>
      </c>
      <c r="AI34" s="2">
        <f>VLOOKUP([jobnumber],OvalData[],MATCH(Table2[[#Headers],[Grille Rod Length]],Table2[#Headers],0),0)</f>
        <v>0</v>
      </c>
      <c r="AJ34" s="2">
        <f>VLOOKUP([jobnumber],OvalData[],MATCH(Table2[[#Headers],[slattype]],Table2[#Headers],0),0)</f>
        <v>2</v>
      </c>
      <c r="AK34" s="2">
        <f>VLOOKUP([jobnumber],OvalData[],MATCH(Table2[[#Headers],[slatgage]],Table2[#Headers],0),0)</f>
        <v>18</v>
      </c>
      <c r="AL34" s="2">
        <f>VLOOKUP([jobnumber],OvalData[],MATCH(Table2[[#Headers],[Numer of Top Slats]],Table2[#Headers],0),0)</f>
        <v>0</v>
      </c>
      <c r="AM34" s="2">
        <f>VLOOKUP([jobnumber],OvalData[],MATCH(Table2[[#Headers],[Number of Bottom Slats]],Table2[#Headers],0),0)</f>
        <v>0</v>
      </c>
      <c r="AN34" s="2">
        <f>VLOOKUP([jobnumber],OvalData[],MATCH(Table2[[#Headers],[Solid Bottom Height]],Table2[#Headers],0),0)</f>
        <v>0</v>
      </c>
      <c r="AO34" s="2" t="str">
        <f>VLOOKUP([jobnumber],OvalData[],MATCH(Table2[[#Headers],[slatlength]],Table2[#Headers],0),0)</f>
        <v xml:space="preserve"> 18 ft.- 5 7/ 8"</v>
      </c>
      <c r="AP34" s="2">
        <f>VLOOKUP([jobnumber],OvalData[],MATCH(Table2[[#Headers],[Bottom Slat Length]],Table2[#Headers],0),0)</f>
        <v>0</v>
      </c>
      <c r="AQ34" s="2">
        <f>VLOOKUP([jobnumber],OvalData[],MATCH(Table2[[#Headers],[Number of Perferated Slats]],Table2[#Headers],0),0)</f>
        <v>0</v>
      </c>
      <c r="AR34" s="2">
        <f>VLOOKUP([jobnumber],OvalData[],MATCH(Table2[[#Headers],[First Preferated Slat From End]],Table2[#Headers],0),0)</f>
        <v>0</v>
      </c>
      <c r="AS34" s="2">
        <f>VLOOKUP([jobnumber],OvalData[],MATCH(Table2[[#Headers],[First Preferated Slat From Bottom]],Table2[#Headers],0),0)</f>
        <v>0</v>
      </c>
      <c r="AT34" s="2">
        <f>VLOOKUP([jobnumber],OvalData[],MATCH(Table2[[#Headers],[Total Number of Slats]],Table2[#Headers],0),0)</f>
        <v>51</v>
      </c>
      <c r="AU34" s="2">
        <f>VLOOKUP([jobnumber],OvalData[],MATCH(Table2[[#Headers],[Bottom Bar Slope]],Table2[#Headers],0),0)</f>
        <v>0</v>
      </c>
      <c r="AV34" s="2">
        <f>VLOOKUP([jobnumber],OvalData[],MATCH(Table2[[#Headers],[Bottom Bar Weight]],Table2[#Headers],0),0)</f>
        <v>80.5</v>
      </c>
      <c r="AW34" s="2" t="str">
        <f>VLOOKUP([jobnumber],OvalData[],MATCH(Table2[[#Headers],[Outer Spring Gage]],Table2[#Headers],0),0)</f>
        <v>Null</v>
      </c>
      <c r="AX34" s="2" t="str">
        <f>VLOOKUP([jobnumber],OvalData[],MATCH(Table2[[#Headers],[Outer Spring OD]],Table2[#Headers],0),0)</f>
        <v>Null</v>
      </c>
      <c r="AY34" s="2" t="str">
        <f>VLOOKUP([jobnumber],OvalData[],MATCH(Table2[[#Headers],[Outer Spring Length]],Table2[#Headers],0),0)</f>
        <v>Null</v>
      </c>
      <c r="AZ34" s="2" t="str">
        <f>VLOOKUP([jobnumber],OvalData[],MATCH(Table2[[#Headers],[Outer Spring Stretch]],Table2[#Headers],0),0)</f>
        <v>Null</v>
      </c>
      <c r="BA34" s="2" t="str">
        <f>VLOOKUP([jobnumber],OvalData[],MATCH(Table2[[#Headers],[Outer Spring Torque]],Table2[#Headers],0),0)</f>
        <v>Null</v>
      </c>
      <c r="BB34" s="2" t="str">
        <f>VLOOKUP([jobnumber],OvalData[],MATCH(Table2[[#Headers],[Outer Spring Max Turns]],Table2[#Headers],0),0)</f>
        <v>Null</v>
      </c>
      <c r="BC34" s="2" t="str">
        <f>VLOOKUP([jobnumber],OvalData[],MATCH(Table2[[#Headers],[Outer Spring Weight]],Table2[#Headers],0),0)</f>
        <v>Null</v>
      </c>
      <c r="BD34" s="2" t="str">
        <f>VLOOKUP([jobnumber],OvalData[],MATCH(Table2[[#Headers],[Inner Spring Gage]],Table2[#Headers],0),0)</f>
        <v>Null</v>
      </c>
      <c r="BE34" s="2" t="str">
        <f>VLOOKUP([jobnumber],OvalData[],MATCH(Table2[[#Headers],[Inner Spring OD]],Table2[#Headers],0),0)</f>
        <v>Null</v>
      </c>
      <c r="BF34" s="2" t="str">
        <f>VLOOKUP([jobnumber],OvalData[],MATCH(Table2[[#Headers],[Inner Spring Length]],Table2[#Headers],0),0)</f>
        <v>Null</v>
      </c>
      <c r="BG34" s="2" t="str">
        <f>VLOOKUP([jobnumber],OvalData[],MATCH(Table2[[#Headers],[Inner Spring Stretch]],Table2[#Headers],0),0)</f>
        <v>Null</v>
      </c>
      <c r="BH34" s="2" t="str">
        <f>VLOOKUP([jobnumber],OvalData[],MATCH(Table2[[#Headers],[Inner Spring Torque]],Table2[#Headers],0),0)</f>
        <v>Null</v>
      </c>
      <c r="BI34" s="2" t="str">
        <f>VLOOKUP([jobnumber],OvalData[],MATCH(Table2[[#Headers],[Inner Spring Max Turns]],Table2[#Headers],0),0)</f>
        <v>Null</v>
      </c>
      <c r="BJ34" s="2" t="str">
        <f>VLOOKUP([jobnumber],OvalData[],MATCH(Table2[[#Headers],[Inner Spring Weight]],Table2[#Headers],0),0)</f>
        <v>Null</v>
      </c>
      <c r="BK34" s="2">
        <f>VLOOKUP([jobnumber],OvalData[],MATCH(Table2[[#Headers],[Cycles]],Table2[#Headers],0),0)</f>
        <v>0</v>
      </c>
      <c r="BL34" s="2">
        <f>VLOOKUP([jobnumber],OvalData[],MATCH(Table2[[#Headers],[Total Spring Torque]],Table2[#Headers],0),0)</f>
        <v>0</v>
      </c>
      <c r="BM34" s="2">
        <f>VLOOKUP([jobnumber],OvalData[],MATCH(Table2[[#Headers],[Total Spring Weight]],Table2[#Headers],0),0)</f>
        <v>0</v>
      </c>
      <c r="BN34" s="2">
        <f>VLOOKUP([jobnumber],OvalData[],MATCH(Table2[[#Headers],[Pipe Weight]],Table2[#Headers],0),0)</f>
        <v>688.24239999999998</v>
      </c>
      <c r="BO34" s="2">
        <f>VLOOKUP([jobnumber],OvalData[],MATCH(Table2[[#Headers],[Max Pipe Deflection]],Table2[#Headers],0),0)</f>
        <v>2309</v>
      </c>
      <c r="BP34" s="2">
        <f>VLOOKUP([jobnumber],OvalData[],MATCH(Table2[[#Headers],[Number Non-Insulated Wrap Slats]],Table2[#Headers],0),0)</f>
        <v>0</v>
      </c>
      <c r="BQ34" s="2">
        <f>VLOOKUP([jobnumber],OvalData[],MATCH(Table2[[#Headers],[Number of Insolated Top Slats]],Table2[#Headers],0),0)</f>
        <v>45</v>
      </c>
      <c r="BR34" s="2">
        <f>VLOOKUP([jobnumber],OvalData[],MATCH(Table2[[#Headers],[Insolated Total Slats]],Table2[#Headers],0),0)</f>
        <v>45</v>
      </c>
      <c r="BS34" s="2">
        <f>VLOOKUP([jobnumber],OvalData[],MATCH(Table2[[#Headers],[Number of Slats]],Table2[#Headers],0),0)</f>
        <v>44.69</v>
      </c>
      <c r="BT34" s="2">
        <f>VLOOKUP([jobnumber],OvalData[],MATCH(Table2[[#Headers],[Wrap]],Table2[#Headers],0),0)</f>
        <v>0</v>
      </c>
      <c r="BU34" s="2">
        <f>VLOOKUP([jobnumber],OvalData[],MATCH(Table2[[#Headers],[Wall Angle Thickness]],Table2[#Headers],0),0)</f>
        <v>0</v>
      </c>
      <c r="BV34" s="2">
        <f>VLOOKUP([jobnumber],OvalData[],MATCH(Table2[[#Headers],[windlocks]],Table2[#Headers],0),0)</f>
        <v>0</v>
      </c>
      <c r="BW34" s="2" t="str">
        <f>VLOOKUP([jobnumber],OvalData[],MATCH(Table2[[#Headers],[bottombartype]],Table2[#Headers],0),0)</f>
        <v>SPECIAL</v>
      </c>
      <c r="BX34" s="2">
        <f>VLOOKUP([jobnumber],OvalData[],MATCH(Table2[[#Headers],[endlockweight]],Table2[#Headers],0),0)</f>
        <v>0.17</v>
      </c>
      <c r="BY34" s="2">
        <f>VLOOKUP([jobnumber],OvalData[],MATCH(Table2[[#Headers],[Endlock Total Weight]],Table2[#Headers],0),0)</f>
        <v>7.5972999999999997</v>
      </c>
      <c r="BZ34" s="2">
        <f>VLOOKUP([jobnumber],OvalData[],MATCH(Table2[[#Headers],[Grille Weight]],Table2[#Headers],0),0)</f>
        <v>0</v>
      </c>
      <c r="CA34" s="2">
        <f>VLOOKUP([jobnumber],OvalData[],MATCH(Table2[[#Headers],[barrelrings]],Table2[#Headers],0),0)</f>
        <v>1</v>
      </c>
    </row>
    <row r="35" spans="2:79">
      <c r="B35" s="2" t="str">
        <f>VLOOKUP([jobnumber],OvalData[],MATCH(Table2[[#Headers],[Hand]],Table2[#Headers],0),0)</f>
        <v>RH</v>
      </c>
      <c r="C35" s="2" t="str">
        <f>VLOOKUP([jobnumber],OvalData[],MATCH(Table2[[#Headers],[Model]],Table2[#Headers],0),0)</f>
        <v>SFMPP</v>
      </c>
      <c r="D35" s="2" t="str">
        <f>VLOOKUP([jobnumber],OvalData[],MATCH(Table2[[#Headers],[width]],Table2[#Headers],0),0)</f>
        <v xml:space="preserve"> 18 ft.- 2"</v>
      </c>
      <c r="E35" s="2" t="str">
        <f>VLOOKUP([jobnumber],OvalData[],MATCH(Table2[[#Headers],[stopheight]],Table2[#Headers],0),0)</f>
        <v xml:space="preserve"> 10 ft.- 0"</v>
      </c>
      <c r="F35" s="2" t="str">
        <f>VLOOKUP([jobnumber],OvalData[],MATCH(Table2[[#Headers],[Between Brackets]],Table2[#Headers],0),0)</f>
        <v xml:space="preserve"> 18 ft.- 7 7/ 8"</v>
      </c>
      <c r="G35" s="2" t="str">
        <f>VLOOKUP([jobnumber],OvalData[],MATCH(Table2[[#Headers],[shell]],Table2[#Headers],0),0)</f>
        <v>6 INCH TUBE</v>
      </c>
      <c r="H35" s="2" t="str">
        <f>VLOOKUP([jobnumber],OvalData[],MATCH(Table2[[#Headers],[pipewidth]],Table2[#Headers],0),0)</f>
        <v xml:space="preserve"> 18 ft.- 1 3/ 8"</v>
      </c>
      <c r="I35" s="2">
        <f>VLOOKUP([jobnumber],OvalData[],MATCH(Table2[[#Headers],[Support Tubes]],Table2[#Headers],0),0)</f>
        <v>0</v>
      </c>
      <c r="J35" s="2">
        <f>VLOOKUP([jobnumber],OvalData[],MATCH(Table2[[#Headers],[Upset]],Table2[#Headers],0),0)</f>
        <v>2</v>
      </c>
      <c r="K35" s="2" t="str">
        <f>VLOOKUP([jobnumber],OvalData[],MATCH(Table2[[#Headers],[Guide Type]],Table2[#Headers],0),0)</f>
        <v>SN2-4 5/8-E</v>
      </c>
      <c r="L35" s="2" t="str">
        <f>VLOOKUP([jobnumber],OvalData[],MATCH(Table2[[#Headers],[Wall Angle]],Table2[#Headers],0),0)</f>
        <v xml:space="preserve"> 11 ft.- 8"</v>
      </c>
      <c r="M35" s="2" t="str">
        <f>VLOOKUP([jobnumber],OvalData[],MATCH(Table2[[#Headers],[Middle Angle]],Table2[#Headers],0),0)</f>
        <v xml:space="preserve"> 10 ft.- 4 1/ 2"</v>
      </c>
      <c r="N35" s="2" t="str">
        <f>VLOOKUP([jobnumber],OvalData[],MATCH(Table2[[#Headers],[Front Angle]],Table2[#Headers],0),0)</f>
        <v xml:space="preserve"> 10 ft.- 3"</v>
      </c>
      <c r="O35" s="2">
        <f>VLOOKUP([jobnumber],OvalData[],MATCH(Table2[[#Headers],[Pipe Center Line]],Table2[#Headers],0),0)</f>
        <v>131</v>
      </c>
      <c r="P35" s="2">
        <f>VLOOKUP([jobnumber],OvalData[],MATCH(Table2[[#Headers],[Heat Expansion Gap]],Table2[#Headers],0),0)</f>
        <v>0</v>
      </c>
      <c r="Q35" s="2">
        <f>VLOOKUP([jobnumber],OvalData[],MATCH(Table2[[#Headers],[Hanging Weight Closed]],Table2[#Headers],0),0)</f>
        <v>795</v>
      </c>
      <c r="R35" s="2">
        <f>VLOOKUP([jobnumber],OvalData[],MATCH(Table2[[#Headers],[Hanging Weight Open]],Table2[#Headers],0),0)</f>
        <v>140</v>
      </c>
      <c r="S35" s="2">
        <f>VLOOKUP([jobnumber],OvalData[],MATCH(Table2[[#Headers],[Initial Lever Arm]],Table2[#Headers],0),0)</f>
        <v>4.25</v>
      </c>
      <c r="T35" s="2">
        <f>VLOOKUP([jobnumber],OvalData[],MATCH(Table2[[#Headers],[Turns to Raise]],Table2[#Headers],0),0)</f>
        <v>3.5859999999999999</v>
      </c>
      <c r="U35" s="2">
        <f>VLOOKUP([jobnumber],OvalData[],MATCH(Table2[[#Headers],[Final Lever Arm]],Table2[#Headers],0),0)</f>
        <v>6.37</v>
      </c>
      <c r="V35" s="2">
        <f>VLOOKUP([jobnumber],OvalData[],MATCH(Table2[[#Headers],[Torque Required Closed]],Table2[#Headers],0),0)</f>
        <v>3377.9</v>
      </c>
      <c r="W35" s="2">
        <f>VLOOKUP([jobnumber],OvalData[],MATCH(Table2[[#Headers],[Torque Required Open]],Table2[#Headers],0),0)</f>
        <v>892</v>
      </c>
      <c r="X35" s="2">
        <f>VLOOKUP([jobnumber],OvalData[],MATCH(Table2[[#Headers],[Pre Turns]],Table2[#Headers],0),0)</f>
        <v>1.3332999999999999</v>
      </c>
      <c r="Y35" s="2">
        <f>VLOOKUP([jobnumber],OvalData[],MATCH(Table2[[#Headers],[Required Torque Per Turn]],Table2[#Headers],0),0)</f>
        <v>688</v>
      </c>
      <c r="Z35" s="2">
        <f>VLOOKUP([jobnumber],OvalData[],MATCH(Table2[[#Headers],[Total Turns]],Table2[#Headers],0),0)</f>
        <v>4.91</v>
      </c>
      <c r="AA35" s="2">
        <f>VLOOKUP([jobnumber],OvalData[],MATCH(Table2[[#Headers],[Grille Vision Section]],Table2[#Headers],0),0)</f>
        <v>0</v>
      </c>
      <c r="AB35" s="2">
        <f>VLOOKUP([jobnumber],OvalData[],MATCH(Table2[[#Headers],[Grille Amount]],Table2[#Headers],0),0)</f>
        <v>0</v>
      </c>
      <c r="AC35" s="2">
        <f>VLOOKUP([jobnumber],OvalData[],MATCH(Table2[[#Headers],[Grille Center]],Table2[#Headers],0),0)</f>
        <v>0</v>
      </c>
      <c r="AD35" s="2">
        <f>VLOOKUP([jobnumber],OvalData[],MATCH(Table2[[#Headers],[Grille Pattern]],Table2[#Headers],0),0)</f>
        <v>0</v>
      </c>
      <c r="AE35" s="2">
        <f>VLOOKUP([jobnumber],OvalData[],MATCH(Table2[[#Headers],[Grille First Tube]],Table2[#Headers],0),0)</f>
        <v>0</v>
      </c>
      <c r="AF35" s="2">
        <f>VLOOKUP([jobnumber],OvalData[],MATCH(Table2[[#Headers],[Grille Standard Tube]],Table2[#Headers],0),0)</f>
        <v>0</v>
      </c>
      <c r="AG35" s="2">
        <f>VLOOKUP([jobnumber],OvalData[],MATCH(Table2[[#Headers],[Grille Total Links]],Table2[#Headers],0),0)</f>
        <v>0</v>
      </c>
      <c r="AH35" s="2">
        <f>VLOOKUP([jobnumber],OvalData[],MATCH(Table2[[#Headers],[Grille Rods]],Table2[#Headers],0),0)</f>
        <v>0</v>
      </c>
      <c r="AI35" s="2">
        <f>VLOOKUP([jobnumber],OvalData[],MATCH(Table2[[#Headers],[Grille Rod Length]],Table2[#Headers],0),0)</f>
        <v>0</v>
      </c>
      <c r="AJ35" s="2">
        <f>VLOOKUP([jobnumber],OvalData[],MATCH(Table2[[#Headers],[slattype]],Table2[#Headers],0),0)</f>
        <v>2</v>
      </c>
      <c r="AK35" s="2">
        <f>VLOOKUP([jobnumber],OvalData[],MATCH(Table2[[#Headers],[slatgage]],Table2[#Headers],0),0)</f>
        <v>18</v>
      </c>
      <c r="AL35" s="2">
        <f>VLOOKUP([jobnumber],OvalData[],MATCH(Table2[[#Headers],[Numer of Top Slats]],Table2[#Headers],0),0)</f>
        <v>0</v>
      </c>
      <c r="AM35" s="2">
        <f>VLOOKUP([jobnumber],OvalData[],MATCH(Table2[[#Headers],[Number of Bottom Slats]],Table2[#Headers],0),0)</f>
        <v>0</v>
      </c>
      <c r="AN35" s="2">
        <f>VLOOKUP([jobnumber],OvalData[],MATCH(Table2[[#Headers],[Solid Bottom Height]],Table2[#Headers],0),0)</f>
        <v>0</v>
      </c>
      <c r="AO35" s="2" t="str">
        <f>VLOOKUP([jobnumber],OvalData[],MATCH(Table2[[#Headers],[slatlength]],Table2[#Headers],0),0)</f>
        <v xml:space="preserve"> 18 ft.- 5 7/ 8"</v>
      </c>
      <c r="AP35" s="2">
        <f>VLOOKUP([jobnumber],OvalData[],MATCH(Table2[[#Headers],[Bottom Slat Length]],Table2[#Headers],0),0)</f>
        <v>0</v>
      </c>
      <c r="AQ35" s="2">
        <f>VLOOKUP([jobnumber],OvalData[],MATCH(Table2[[#Headers],[Number of Perferated Slats]],Table2[#Headers],0),0)</f>
        <v>0</v>
      </c>
      <c r="AR35" s="2">
        <f>VLOOKUP([jobnumber],OvalData[],MATCH(Table2[[#Headers],[First Preferated Slat From End]],Table2[#Headers],0),0)</f>
        <v>0</v>
      </c>
      <c r="AS35" s="2">
        <f>VLOOKUP([jobnumber],OvalData[],MATCH(Table2[[#Headers],[First Preferated Slat From Bottom]],Table2[#Headers],0),0)</f>
        <v>0</v>
      </c>
      <c r="AT35" s="2">
        <f>VLOOKUP([jobnumber],OvalData[],MATCH(Table2[[#Headers],[Total Number of Slats]],Table2[#Headers],0),0)</f>
        <v>51</v>
      </c>
      <c r="AU35" s="2">
        <f>VLOOKUP([jobnumber],OvalData[],MATCH(Table2[[#Headers],[Bottom Bar Slope]],Table2[#Headers],0),0)</f>
        <v>0</v>
      </c>
      <c r="AV35" s="2">
        <f>VLOOKUP([jobnumber],OvalData[],MATCH(Table2[[#Headers],[Bottom Bar Weight]],Table2[#Headers],0),0)</f>
        <v>80.5</v>
      </c>
      <c r="AW35" s="2" t="str">
        <f>VLOOKUP([jobnumber],OvalData[],MATCH(Table2[[#Headers],[Outer Spring Gage]],Table2[#Headers],0),0)</f>
        <v>Null</v>
      </c>
      <c r="AX35" s="2" t="str">
        <f>VLOOKUP([jobnumber],OvalData[],MATCH(Table2[[#Headers],[Outer Spring OD]],Table2[#Headers],0),0)</f>
        <v>Null</v>
      </c>
      <c r="AY35" s="2" t="str">
        <f>VLOOKUP([jobnumber],OvalData[],MATCH(Table2[[#Headers],[Outer Spring Length]],Table2[#Headers],0),0)</f>
        <v>Null</v>
      </c>
      <c r="AZ35" s="2" t="str">
        <f>VLOOKUP([jobnumber],OvalData[],MATCH(Table2[[#Headers],[Outer Spring Stretch]],Table2[#Headers],0),0)</f>
        <v>Null</v>
      </c>
      <c r="BA35" s="2" t="str">
        <f>VLOOKUP([jobnumber],OvalData[],MATCH(Table2[[#Headers],[Outer Spring Torque]],Table2[#Headers],0),0)</f>
        <v>Null</v>
      </c>
      <c r="BB35" s="2" t="str">
        <f>VLOOKUP([jobnumber],OvalData[],MATCH(Table2[[#Headers],[Outer Spring Max Turns]],Table2[#Headers],0),0)</f>
        <v>Null</v>
      </c>
      <c r="BC35" s="2" t="str">
        <f>VLOOKUP([jobnumber],OvalData[],MATCH(Table2[[#Headers],[Outer Spring Weight]],Table2[#Headers],0),0)</f>
        <v>Null</v>
      </c>
      <c r="BD35" s="2" t="str">
        <f>VLOOKUP([jobnumber],OvalData[],MATCH(Table2[[#Headers],[Inner Spring Gage]],Table2[#Headers],0),0)</f>
        <v>Null</v>
      </c>
      <c r="BE35" s="2" t="str">
        <f>VLOOKUP([jobnumber],OvalData[],MATCH(Table2[[#Headers],[Inner Spring OD]],Table2[#Headers],0),0)</f>
        <v>Null</v>
      </c>
      <c r="BF35" s="2" t="str">
        <f>VLOOKUP([jobnumber],OvalData[],MATCH(Table2[[#Headers],[Inner Spring Length]],Table2[#Headers],0),0)</f>
        <v>Null</v>
      </c>
      <c r="BG35" s="2" t="str">
        <f>VLOOKUP([jobnumber],OvalData[],MATCH(Table2[[#Headers],[Inner Spring Stretch]],Table2[#Headers],0),0)</f>
        <v>Null</v>
      </c>
      <c r="BH35" s="2" t="str">
        <f>VLOOKUP([jobnumber],OvalData[],MATCH(Table2[[#Headers],[Inner Spring Torque]],Table2[#Headers],0),0)</f>
        <v>Null</v>
      </c>
      <c r="BI35" s="2" t="str">
        <f>VLOOKUP([jobnumber],OvalData[],MATCH(Table2[[#Headers],[Inner Spring Max Turns]],Table2[#Headers],0),0)</f>
        <v>Null</v>
      </c>
      <c r="BJ35" s="2" t="str">
        <f>VLOOKUP([jobnumber],OvalData[],MATCH(Table2[[#Headers],[Inner Spring Weight]],Table2[#Headers],0),0)</f>
        <v>Null</v>
      </c>
      <c r="BK35" s="2">
        <f>VLOOKUP([jobnumber],OvalData[],MATCH(Table2[[#Headers],[Cycles]],Table2[#Headers],0),0)</f>
        <v>0</v>
      </c>
      <c r="BL35" s="2">
        <f>VLOOKUP([jobnumber],OvalData[],MATCH(Table2[[#Headers],[Total Spring Torque]],Table2[#Headers],0),0)</f>
        <v>0</v>
      </c>
      <c r="BM35" s="2">
        <f>VLOOKUP([jobnumber],OvalData[],MATCH(Table2[[#Headers],[Total Spring Weight]],Table2[#Headers],0),0)</f>
        <v>0</v>
      </c>
      <c r="BN35" s="2">
        <f>VLOOKUP([jobnumber],OvalData[],MATCH(Table2[[#Headers],[Pipe Weight]],Table2[#Headers],0),0)</f>
        <v>688.24239999999998</v>
      </c>
      <c r="BO35" s="2">
        <f>VLOOKUP([jobnumber],OvalData[],MATCH(Table2[[#Headers],[Max Pipe Deflection]],Table2[#Headers],0),0)</f>
        <v>2309</v>
      </c>
      <c r="BP35" s="2">
        <f>VLOOKUP([jobnumber],OvalData[],MATCH(Table2[[#Headers],[Number Non-Insulated Wrap Slats]],Table2[#Headers],0),0)</f>
        <v>0</v>
      </c>
      <c r="BQ35" s="2">
        <f>VLOOKUP([jobnumber],OvalData[],MATCH(Table2[[#Headers],[Number of Insolated Top Slats]],Table2[#Headers],0),0)</f>
        <v>45</v>
      </c>
      <c r="BR35" s="2">
        <f>VLOOKUP([jobnumber],OvalData[],MATCH(Table2[[#Headers],[Insolated Total Slats]],Table2[#Headers],0),0)</f>
        <v>45</v>
      </c>
      <c r="BS35" s="2">
        <f>VLOOKUP([jobnumber],OvalData[],MATCH(Table2[[#Headers],[Number of Slats]],Table2[#Headers],0),0)</f>
        <v>44.69</v>
      </c>
      <c r="BT35" s="2">
        <f>VLOOKUP([jobnumber],OvalData[],MATCH(Table2[[#Headers],[Wrap]],Table2[#Headers],0),0)</f>
        <v>0</v>
      </c>
      <c r="BU35" s="2">
        <f>VLOOKUP([jobnumber],OvalData[],MATCH(Table2[[#Headers],[Wall Angle Thickness]],Table2[#Headers],0),0)</f>
        <v>0</v>
      </c>
      <c r="BV35" s="2">
        <f>VLOOKUP([jobnumber],OvalData[],MATCH(Table2[[#Headers],[windlocks]],Table2[#Headers],0),0)</f>
        <v>0</v>
      </c>
      <c r="BW35" s="2" t="str">
        <f>VLOOKUP([jobnumber],OvalData[],MATCH(Table2[[#Headers],[bottombartype]],Table2[#Headers],0),0)</f>
        <v>SPECIAL</v>
      </c>
      <c r="BX35" s="2">
        <f>VLOOKUP([jobnumber],OvalData[],MATCH(Table2[[#Headers],[endlockweight]],Table2[#Headers],0),0)</f>
        <v>0.17</v>
      </c>
      <c r="BY35" s="2">
        <f>VLOOKUP([jobnumber],OvalData[],MATCH(Table2[[#Headers],[Endlock Total Weight]],Table2[#Headers],0),0)</f>
        <v>7.5972999999999997</v>
      </c>
      <c r="BZ35" s="2">
        <f>VLOOKUP([jobnumber],OvalData[],MATCH(Table2[[#Headers],[Grille Weight]],Table2[#Headers],0),0)</f>
        <v>0</v>
      </c>
      <c r="CA35" s="2">
        <f>VLOOKUP([jobnumber],OvalData[],MATCH(Table2[[#Headers],[barrelrings]],Table2[#Headers],0),0)</f>
        <v>1</v>
      </c>
    </row>
    <row r="36" spans="2:79">
      <c r="B36" s="2" t="str">
        <f>VLOOKUP([jobnumber],OvalData[],MATCH(Table2[[#Headers],[Hand]],Table2[#Headers],0),0)</f>
        <v>RH</v>
      </c>
      <c r="C36" s="2" t="str">
        <f>VLOOKUP([jobnumber],OvalData[],MATCH(Table2[[#Headers],[Model]],Table2[#Headers],0),0)</f>
        <v>SFMPP</v>
      </c>
      <c r="D36" s="2" t="str">
        <f>VLOOKUP([jobnumber],OvalData[],MATCH(Table2[[#Headers],[width]],Table2[#Headers],0),0)</f>
        <v xml:space="preserve"> 18 ft.- 2"</v>
      </c>
      <c r="E36" s="2" t="str">
        <f>VLOOKUP([jobnumber],OvalData[],MATCH(Table2[[#Headers],[stopheight]],Table2[#Headers],0),0)</f>
        <v xml:space="preserve"> 10 ft.- 0"</v>
      </c>
      <c r="F36" s="2" t="str">
        <f>VLOOKUP([jobnumber],OvalData[],MATCH(Table2[[#Headers],[Between Brackets]],Table2[#Headers],0),0)</f>
        <v xml:space="preserve"> 18 ft.- 7 7/ 8"</v>
      </c>
      <c r="G36" s="2" t="str">
        <f>VLOOKUP([jobnumber],OvalData[],MATCH(Table2[[#Headers],[shell]],Table2[#Headers],0),0)</f>
        <v>6 INCH TUBE</v>
      </c>
      <c r="H36" s="2" t="str">
        <f>VLOOKUP([jobnumber],OvalData[],MATCH(Table2[[#Headers],[pipewidth]],Table2[#Headers],0),0)</f>
        <v xml:space="preserve"> 18 ft.- 1 3/ 8"</v>
      </c>
      <c r="I36" s="2">
        <f>VLOOKUP([jobnumber],OvalData[],MATCH(Table2[[#Headers],[Support Tubes]],Table2[#Headers],0),0)</f>
        <v>0</v>
      </c>
      <c r="J36" s="2">
        <f>VLOOKUP([jobnumber],OvalData[],MATCH(Table2[[#Headers],[Upset]],Table2[#Headers],0),0)</f>
        <v>2</v>
      </c>
      <c r="K36" s="2" t="str">
        <f>VLOOKUP([jobnumber],OvalData[],MATCH(Table2[[#Headers],[Guide Type]],Table2[#Headers],0),0)</f>
        <v>SN2-4 5/8-E</v>
      </c>
      <c r="L36" s="2" t="str">
        <f>VLOOKUP([jobnumber],OvalData[],MATCH(Table2[[#Headers],[Wall Angle]],Table2[#Headers],0),0)</f>
        <v xml:space="preserve"> 11 ft.- 8"</v>
      </c>
      <c r="M36" s="2" t="str">
        <f>VLOOKUP([jobnumber],OvalData[],MATCH(Table2[[#Headers],[Middle Angle]],Table2[#Headers],0),0)</f>
        <v xml:space="preserve"> 10 ft.- 4 1/ 2"</v>
      </c>
      <c r="N36" s="2" t="str">
        <f>VLOOKUP([jobnumber],OvalData[],MATCH(Table2[[#Headers],[Front Angle]],Table2[#Headers],0),0)</f>
        <v xml:space="preserve"> 10 ft.- 3"</v>
      </c>
      <c r="O36" s="2">
        <f>VLOOKUP([jobnumber],OvalData[],MATCH(Table2[[#Headers],[Pipe Center Line]],Table2[#Headers],0),0)</f>
        <v>131</v>
      </c>
      <c r="P36" s="2">
        <f>VLOOKUP([jobnumber],OvalData[],MATCH(Table2[[#Headers],[Heat Expansion Gap]],Table2[#Headers],0),0)</f>
        <v>0</v>
      </c>
      <c r="Q36" s="2">
        <f>VLOOKUP([jobnumber],OvalData[],MATCH(Table2[[#Headers],[Hanging Weight Closed]],Table2[#Headers],0),0)</f>
        <v>795</v>
      </c>
      <c r="R36" s="2">
        <f>VLOOKUP([jobnumber],OvalData[],MATCH(Table2[[#Headers],[Hanging Weight Open]],Table2[#Headers],0),0)</f>
        <v>140</v>
      </c>
      <c r="S36" s="2">
        <f>VLOOKUP([jobnumber],OvalData[],MATCH(Table2[[#Headers],[Initial Lever Arm]],Table2[#Headers],0),0)</f>
        <v>4.25</v>
      </c>
      <c r="T36" s="2">
        <f>VLOOKUP([jobnumber],OvalData[],MATCH(Table2[[#Headers],[Turns to Raise]],Table2[#Headers],0),0)</f>
        <v>3.5859999999999999</v>
      </c>
      <c r="U36" s="2">
        <f>VLOOKUP([jobnumber],OvalData[],MATCH(Table2[[#Headers],[Final Lever Arm]],Table2[#Headers],0),0)</f>
        <v>6.37</v>
      </c>
      <c r="V36" s="2">
        <f>VLOOKUP([jobnumber],OvalData[],MATCH(Table2[[#Headers],[Torque Required Closed]],Table2[#Headers],0),0)</f>
        <v>3377.9</v>
      </c>
      <c r="W36" s="2">
        <f>VLOOKUP([jobnumber],OvalData[],MATCH(Table2[[#Headers],[Torque Required Open]],Table2[#Headers],0),0)</f>
        <v>892</v>
      </c>
      <c r="X36" s="2">
        <f>VLOOKUP([jobnumber],OvalData[],MATCH(Table2[[#Headers],[Pre Turns]],Table2[#Headers],0),0)</f>
        <v>1.3332999999999999</v>
      </c>
      <c r="Y36" s="2">
        <f>VLOOKUP([jobnumber],OvalData[],MATCH(Table2[[#Headers],[Required Torque Per Turn]],Table2[#Headers],0),0)</f>
        <v>688</v>
      </c>
      <c r="Z36" s="2">
        <f>VLOOKUP([jobnumber],OvalData[],MATCH(Table2[[#Headers],[Total Turns]],Table2[#Headers],0),0)</f>
        <v>4.91</v>
      </c>
      <c r="AA36" s="2">
        <f>VLOOKUP([jobnumber],OvalData[],MATCH(Table2[[#Headers],[Grille Vision Section]],Table2[#Headers],0),0)</f>
        <v>0</v>
      </c>
      <c r="AB36" s="2">
        <f>VLOOKUP([jobnumber],OvalData[],MATCH(Table2[[#Headers],[Grille Amount]],Table2[#Headers],0),0)</f>
        <v>0</v>
      </c>
      <c r="AC36" s="2">
        <f>VLOOKUP([jobnumber],OvalData[],MATCH(Table2[[#Headers],[Grille Center]],Table2[#Headers],0),0)</f>
        <v>0</v>
      </c>
      <c r="AD36" s="2">
        <f>VLOOKUP([jobnumber],OvalData[],MATCH(Table2[[#Headers],[Grille Pattern]],Table2[#Headers],0),0)</f>
        <v>0</v>
      </c>
      <c r="AE36" s="2">
        <f>VLOOKUP([jobnumber],OvalData[],MATCH(Table2[[#Headers],[Grille First Tube]],Table2[#Headers],0),0)</f>
        <v>0</v>
      </c>
      <c r="AF36" s="2">
        <f>VLOOKUP([jobnumber],OvalData[],MATCH(Table2[[#Headers],[Grille Standard Tube]],Table2[#Headers],0),0)</f>
        <v>0</v>
      </c>
      <c r="AG36" s="2">
        <f>VLOOKUP([jobnumber],OvalData[],MATCH(Table2[[#Headers],[Grille Total Links]],Table2[#Headers],0),0)</f>
        <v>0</v>
      </c>
      <c r="AH36" s="2">
        <f>VLOOKUP([jobnumber],OvalData[],MATCH(Table2[[#Headers],[Grille Rods]],Table2[#Headers],0),0)</f>
        <v>0</v>
      </c>
      <c r="AI36" s="2">
        <f>VLOOKUP([jobnumber],OvalData[],MATCH(Table2[[#Headers],[Grille Rod Length]],Table2[#Headers],0),0)</f>
        <v>0</v>
      </c>
      <c r="AJ36" s="2">
        <f>VLOOKUP([jobnumber],OvalData[],MATCH(Table2[[#Headers],[slattype]],Table2[#Headers],0),0)</f>
        <v>2</v>
      </c>
      <c r="AK36" s="2">
        <f>VLOOKUP([jobnumber],OvalData[],MATCH(Table2[[#Headers],[slatgage]],Table2[#Headers],0),0)</f>
        <v>18</v>
      </c>
      <c r="AL36" s="2">
        <f>VLOOKUP([jobnumber],OvalData[],MATCH(Table2[[#Headers],[Numer of Top Slats]],Table2[#Headers],0),0)</f>
        <v>0</v>
      </c>
      <c r="AM36" s="2">
        <f>VLOOKUP([jobnumber],OvalData[],MATCH(Table2[[#Headers],[Number of Bottom Slats]],Table2[#Headers],0),0)</f>
        <v>0</v>
      </c>
      <c r="AN36" s="2">
        <f>VLOOKUP([jobnumber],OvalData[],MATCH(Table2[[#Headers],[Solid Bottom Height]],Table2[#Headers],0),0)</f>
        <v>0</v>
      </c>
      <c r="AO36" s="2" t="str">
        <f>VLOOKUP([jobnumber],OvalData[],MATCH(Table2[[#Headers],[slatlength]],Table2[#Headers],0),0)</f>
        <v xml:space="preserve"> 18 ft.- 5 7/ 8"</v>
      </c>
      <c r="AP36" s="2">
        <f>VLOOKUP([jobnumber],OvalData[],MATCH(Table2[[#Headers],[Bottom Slat Length]],Table2[#Headers],0),0)</f>
        <v>0</v>
      </c>
      <c r="AQ36" s="2">
        <f>VLOOKUP([jobnumber],OvalData[],MATCH(Table2[[#Headers],[Number of Perferated Slats]],Table2[#Headers],0),0)</f>
        <v>0</v>
      </c>
      <c r="AR36" s="2">
        <f>VLOOKUP([jobnumber],OvalData[],MATCH(Table2[[#Headers],[First Preferated Slat From End]],Table2[#Headers],0),0)</f>
        <v>0</v>
      </c>
      <c r="AS36" s="2">
        <f>VLOOKUP([jobnumber],OvalData[],MATCH(Table2[[#Headers],[First Preferated Slat From Bottom]],Table2[#Headers],0),0)</f>
        <v>0</v>
      </c>
      <c r="AT36" s="2">
        <f>VLOOKUP([jobnumber],OvalData[],MATCH(Table2[[#Headers],[Total Number of Slats]],Table2[#Headers],0),0)</f>
        <v>51</v>
      </c>
      <c r="AU36" s="2">
        <f>VLOOKUP([jobnumber],OvalData[],MATCH(Table2[[#Headers],[Bottom Bar Slope]],Table2[#Headers],0),0)</f>
        <v>0</v>
      </c>
      <c r="AV36" s="2">
        <f>VLOOKUP([jobnumber],OvalData[],MATCH(Table2[[#Headers],[Bottom Bar Weight]],Table2[#Headers],0),0)</f>
        <v>80.5</v>
      </c>
      <c r="AW36" s="2" t="str">
        <f>VLOOKUP([jobnumber],OvalData[],MATCH(Table2[[#Headers],[Outer Spring Gage]],Table2[#Headers],0),0)</f>
        <v>Null</v>
      </c>
      <c r="AX36" s="2" t="str">
        <f>VLOOKUP([jobnumber],OvalData[],MATCH(Table2[[#Headers],[Outer Spring OD]],Table2[#Headers],0),0)</f>
        <v>Null</v>
      </c>
      <c r="AY36" s="2" t="str">
        <f>VLOOKUP([jobnumber],OvalData[],MATCH(Table2[[#Headers],[Outer Spring Length]],Table2[#Headers],0),0)</f>
        <v>Null</v>
      </c>
      <c r="AZ36" s="2" t="str">
        <f>VLOOKUP([jobnumber],OvalData[],MATCH(Table2[[#Headers],[Outer Spring Stretch]],Table2[#Headers],0),0)</f>
        <v>Null</v>
      </c>
      <c r="BA36" s="2" t="str">
        <f>VLOOKUP([jobnumber],OvalData[],MATCH(Table2[[#Headers],[Outer Spring Torque]],Table2[#Headers],0),0)</f>
        <v>Null</v>
      </c>
      <c r="BB36" s="2" t="str">
        <f>VLOOKUP([jobnumber],OvalData[],MATCH(Table2[[#Headers],[Outer Spring Max Turns]],Table2[#Headers],0),0)</f>
        <v>Null</v>
      </c>
      <c r="BC36" s="2" t="str">
        <f>VLOOKUP([jobnumber],OvalData[],MATCH(Table2[[#Headers],[Outer Spring Weight]],Table2[#Headers],0),0)</f>
        <v>Null</v>
      </c>
      <c r="BD36" s="2" t="str">
        <f>VLOOKUP([jobnumber],OvalData[],MATCH(Table2[[#Headers],[Inner Spring Gage]],Table2[#Headers],0),0)</f>
        <v>Null</v>
      </c>
      <c r="BE36" s="2" t="str">
        <f>VLOOKUP([jobnumber],OvalData[],MATCH(Table2[[#Headers],[Inner Spring OD]],Table2[#Headers],0),0)</f>
        <v>Null</v>
      </c>
      <c r="BF36" s="2" t="str">
        <f>VLOOKUP([jobnumber],OvalData[],MATCH(Table2[[#Headers],[Inner Spring Length]],Table2[#Headers],0),0)</f>
        <v>Null</v>
      </c>
      <c r="BG36" s="2" t="str">
        <f>VLOOKUP([jobnumber],OvalData[],MATCH(Table2[[#Headers],[Inner Spring Stretch]],Table2[#Headers],0),0)</f>
        <v>Null</v>
      </c>
      <c r="BH36" s="2" t="str">
        <f>VLOOKUP([jobnumber],OvalData[],MATCH(Table2[[#Headers],[Inner Spring Torque]],Table2[#Headers],0),0)</f>
        <v>Null</v>
      </c>
      <c r="BI36" s="2" t="str">
        <f>VLOOKUP([jobnumber],OvalData[],MATCH(Table2[[#Headers],[Inner Spring Max Turns]],Table2[#Headers],0),0)</f>
        <v>Null</v>
      </c>
      <c r="BJ36" s="2" t="str">
        <f>VLOOKUP([jobnumber],OvalData[],MATCH(Table2[[#Headers],[Inner Spring Weight]],Table2[#Headers],0),0)</f>
        <v>Null</v>
      </c>
      <c r="BK36" s="2">
        <f>VLOOKUP([jobnumber],OvalData[],MATCH(Table2[[#Headers],[Cycles]],Table2[#Headers],0),0)</f>
        <v>0</v>
      </c>
      <c r="BL36" s="2">
        <f>VLOOKUP([jobnumber],OvalData[],MATCH(Table2[[#Headers],[Total Spring Torque]],Table2[#Headers],0),0)</f>
        <v>0</v>
      </c>
      <c r="BM36" s="2">
        <f>VLOOKUP([jobnumber],OvalData[],MATCH(Table2[[#Headers],[Total Spring Weight]],Table2[#Headers],0),0)</f>
        <v>0</v>
      </c>
      <c r="BN36" s="2">
        <f>VLOOKUP([jobnumber],OvalData[],MATCH(Table2[[#Headers],[Pipe Weight]],Table2[#Headers],0),0)</f>
        <v>688.24239999999998</v>
      </c>
      <c r="BO36" s="2">
        <f>VLOOKUP([jobnumber],OvalData[],MATCH(Table2[[#Headers],[Max Pipe Deflection]],Table2[#Headers],0),0)</f>
        <v>2309</v>
      </c>
      <c r="BP36" s="2">
        <f>VLOOKUP([jobnumber],OvalData[],MATCH(Table2[[#Headers],[Number Non-Insulated Wrap Slats]],Table2[#Headers],0),0)</f>
        <v>0</v>
      </c>
      <c r="BQ36" s="2">
        <f>VLOOKUP([jobnumber],OvalData[],MATCH(Table2[[#Headers],[Number of Insolated Top Slats]],Table2[#Headers],0),0)</f>
        <v>45</v>
      </c>
      <c r="BR36" s="2">
        <f>VLOOKUP([jobnumber],OvalData[],MATCH(Table2[[#Headers],[Insolated Total Slats]],Table2[#Headers],0),0)</f>
        <v>45</v>
      </c>
      <c r="BS36" s="2">
        <f>VLOOKUP([jobnumber],OvalData[],MATCH(Table2[[#Headers],[Number of Slats]],Table2[#Headers],0),0)</f>
        <v>44.69</v>
      </c>
      <c r="BT36" s="2">
        <f>VLOOKUP([jobnumber],OvalData[],MATCH(Table2[[#Headers],[Wrap]],Table2[#Headers],0),0)</f>
        <v>0</v>
      </c>
      <c r="BU36" s="2">
        <f>VLOOKUP([jobnumber],OvalData[],MATCH(Table2[[#Headers],[Wall Angle Thickness]],Table2[#Headers],0),0)</f>
        <v>0</v>
      </c>
      <c r="BV36" s="2">
        <f>VLOOKUP([jobnumber],OvalData[],MATCH(Table2[[#Headers],[windlocks]],Table2[#Headers],0),0)</f>
        <v>0</v>
      </c>
      <c r="BW36" s="2" t="str">
        <f>VLOOKUP([jobnumber],OvalData[],MATCH(Table2[[#Headers],[bottombartype]],Table2[#Headers],0),0)</f>
        <v>SPECIAL</v>
      </c>
      <c r="BX36" s="2">
        <f>VLOOKUP([jobnumber],OvalData[],MATCH(Table2[[#Headers],[endlockweight]],Table2[#Headers],0),0)</f>
        <v>0.17</v>
      </c>
      <c r="BY36" s="2">
        <f>VLOOKUP([jobnumber],OvalData[],MATCH(Table2[[#Headers],[Endlock Total Weight]],Table2[#Headers],0),0)</f>
        <v>7.5972999999999997</v>
      </c>
      <c r="BZ36" s="2">
        <f>VLOOKUP([jobnumber],OvalData[],MATCH(Table2[[#Headers],[Grille Weight]],Table2[#Headers],0),0)</f>
        <v>0</v>
      </c>
      <c r="CA36" s="2">
        <f>VLOOKUP([jobnumber],OvalData[],MATCH(Table2[[#Headers],[barrelrings]],Table2[#Headers],0),0)</f>
        <v>1</v>
      </c>
    </row>
    <row r="37" spans="2:79">
      <c r="B37" s="2" t="str">
        <f>VLOOKUP([jobnumber],OvalData[],MATCH(Table2[[#Headers],[Hand]],Table2[#Headers],0),0)</f>
        <v>RH</v>
      </c>
      <c r="C37" s="2" t="str">
        <f>VLOOKUP([jobnumber],OvalData[],MATCH(Table2[[#Headers],[Model]],Table2[#Headers],0),0)</f>
        <v>SFMPP</v>
      </c>
      <c r="D37" s="2" t="str">
        <f>VLOOKUP([jobnumber],OvalData[],MATCH(Table2[[#Headers],[width]],Table2[#Headers],0),0)</f>
        <v xml:space="preserve"> 18 ft.- 2"</v>
      </c>
      <c r="E37" s="2" t="str">
        <f>VLOOKUP([jobnumber],OvalData[],MATCH(Table2[[#Headers],[stopheight]],Table2[#Headers],0),0)</f>
        <v xml:space="preserve"> 10 ft.- 0"</v>
      </c>
      <c r="F37" s="2" t="str">
        <f>VLOOKUP([jobnumber],OvalData[],MATCH(Table2[[#Headers],[Between Brackets]],Table2[#Headers],0),0)</f>
        <v xml:space="preserve"> 18 ft.- 7 7/ 8"</v>
      </c>
      <c r="G37" s="2" t="str">
        <f>VLOOKUP([jobnumber],OvalData[],MATCH(Table2[[#Headers],[shell]],Table2[#Headers],0),0)</f>
        <v>6 INCH TUBE</v>
      </c>
      <c r="H37" s="2" t="str">
        <f>VLOOKUP([jobnumber],OvalData[],MATCH(Table2[[#Headers],[pipewidth]],Table2[#Headers],0),0)</f>
        <v xml:space="preserve"> 18 ft.- 1 3/ 8"</v>
      </c>
      <c r="I37" s="2">
        <f>VLOOKUP([jobnumber],OvalData[],MATCH(Table2[[#Headers],[Support Tubes]],Table2[#Headers],0),0)</f>
        <v>0</v>
      </c>
      <c r="J37" s="2">
        <f>VLOOKUP([jobnumber],OvalData[],MATCH(Table2[[#Headers],[Upset]],Table2[#Headers],0),0)</f>
        <v>2</v>
      </c>
      <c r="K37" s="2" t="str">
        <f>VLOOKUP([jobnumber],OvalData[],MATCH(Table2[[#Headers],[Guide Type]],Table2[#Headers],0),0)</f>
        <v>SN2-4 5/8-E</v>
      </c>
      <c r="L37" s="2" t="str">
        <f>VLOOKUP([jobnumber],OvalData[],MATCH(Table2[[#Headers],[Wall Angle]],Table2[#Headers],0),0)</f>
        <v xml:space="preserve"> 11 ft.- 8"</v>
      </c>
      <c r="M37" s="2" t="str">
        <f>VLOOKUP([jobnumber],OvalData[],MATCH(Table2[[#Headers],[Middle Angle]],Table2[#Headers],0),0)</f>
        <v xml:space="preserve"> 10 ft.- 4 1/ 2"</v>
      </c>
      <c r="N37" s="2" t="str">
        <f>VLOOKUP([jobnumber],OvalData[],MATCH(Table2[[#Headers],[Front Angle]],Table2[#Headers],0),0)</f>
        <v xml:space="preserve"> 10 ft.- 3"</v>
      </c>
      <c r="O37" s="2">
        <f>VLOOKUP([jobnumber],OvalData[],MATCH(Table2[[#Headers],[Pipe Center Line]],Table2[#Headers],0),0)</f>
        <v>131</v>
      </c>
      <c r="P37" s="2">
        <f>VLOOKUP([jobnumber],OvalData[],MATCH(Table2[[#Headers],[Heat Expansion Gap]],Table2[#Headers],0),0)</f>
        <v>0</v>
      </c>
      <c r="Q37" s="2">
        <f>VLOOKUP([jobnumber],OvalData[],MATCH(Table2[[#Headers],[Hanging Weight Closed]],Table2[#Headers],0),0)</f>
        <v>795</v>
      </c>
      <c r="R37" s="2">
        <f>VLOOKUP([jobnumber],OvalData[],MATCH(Table2[[#Headers],[Hanging Weight Open]],Table2[#Headers],0),0)</f>
        <v>140</v>
      </c>
      <c r="S37" s="2">
        <f>VLOOKUP([jobnumber],OvalData[],MATCH(Table2[[#Headers],[Initial Lever Arm]],Table2[#Headers],0),0)</f>
        <v>4.25</v>
      </c>
      <c r="T37" s="2">
        <f>VLOOKUP([jobnumber],OvalData[],MATCH(Table2[[#Headers],[Turns to Raise]],Table2[#Headers],0),0)</f>
        <v>3.5859999999999999</v>
      </c>
      <c r="U37" s="2">
        <f>VLOOKUP([jobnumber],OvalData[],MATCH(Table2[[#Headers],[Final Lever Arm]],Table2[#Headers],0),0)</f>
        <v>6.37</v>
      </c>
      <c r="V37" s="2">
        <f>VLOOKUP([jobnumber],OvalData[],MATCH(Table2[[#Headers],[Torque Required Closed]],Table2[#Headers],0),0)</f>
        <v>3377.9</v>
      </c>
      <c r="W37" s="2">
        <f>VLOOKUP([jobnumber],OvalData[],MATCH(Table2[[#Headers],[Torque Required Open]],Table2[#Headers],0),0)</f>
        <v>892</v>
      </c>
      <c r="X37" s="2">
        <f>VLOOKUP([jobnumber],OvalData[],MATCH(Table2[[#Headers],[Pre Turns]],Table2[#Headers],0),0)</f>
        <v>1.3332999999999999</v>
      </c>
      <c r="Y37" s="2">
        <f>VLOOKUP([jobnumber],OvalData[],MATCH(Table2[[#Headers],[Required Torque Per Turn]],Table2[#Headers],0),0)</f>
        <v>688</v>
      </c>
      <c r="Z37" s="2">
        <f>VLOOKUP([jobnumber],OvalData[],MATCH(Table2[[#Headers],[Total Turns]],Table2[#Headers],0),0)</f>
        <v>4.91</v>
      </c>
      <c r="AA37" s="2">
        <f>VLOOKUP([jobnumber],OvalData[],MATCH(Table2[[#Headers],[Grille Vision Section]],Table2[#Headers],0),0)</f>
        <v>0</v>
      </c>
      <c r="AB37" s="2">
        <f>VLOOKUP([jobnumber],OvalData[],MATCH(Table2[[#Headers],[Grille Amount]],Table2[#Headers],0),0)</f>
        <v>0</v>
      </c>
      <c r="AC37" s="2">
        <f>VLOOKUP([jobnumber],OvalData[],MATCH(Table2[[#Headers],[Grille Center]],Table2[#Headers],0),0)</f>
        <v>0</v>
      </c>
      <c r="AD37" s="2">
        <f>VLOOKUP([jobnumber],OvalData[],MATCH(Table2[[#Headers],[Grille Pattern]],Table2[#Headers],0),0)</f>
        <v>0</v>
      </c>
      <c r="AE37" s="2">
        <f>VLOOKUP([jobnumber],OvalData[],MATCH(Table2[[#Headers],[Grille First Tube]],Table2[#Headers],0),0)</f>
        <v>0</v>
      </c>
      <c r="AF37" s="2">
        <f>VLOOKUP([jobnumber],OvalData[],MATCH(Table2[[#Headers],[Grille Standard Tube]],Table2[#Headers],0),0)</f>
        <v>0</v>
      </c>
      <c r="AG37" s="2">
        <f>VLOOKUP([jobnumber],OvalData[],MATCH(Table2[[#Headers],[Grille Total Links]],Table2[#Headers],0),0)</f>
        <v>0</v>
      </c>
      <c r="AH37" s="2">
        <f>VLOOKUP([jobnumber],OvalData[],MATCH(Table2[[#Headers],[Grille Rods]],Table2[#Headers],0),0)</f>
        <v>0</v>
      </c>
      <c r="AI37" s="2">
        <f>VLOOKUP([jobnumber],OvalData[],MATCH(Table2[[#Headers],[Grille Rod Length]],Table2[#Headers],0),0)</f>
        <v>0</v>
      </c>
      <c r="AJ37" s="2">
        <f>VLOOKUP([jobnumber],OvalData[],MATCH(Table2[[#Headers],[slattype]],Table2[#Headers],0),0)</f>
        <v>2</v>
      </c>
      <c r="AK37" s="2">
        <f>VLOOKUP([jobnumber],OvalData[],MATCH(Table2[[#Headers],[slatgage]],Table2[#Headers],0),0)</f>
        <v>18</v>
      </c>
      <c r="AL37" s="2">
        <f>VLOOKUP([jobnumber],OvalData[],MATCH(Table2[[#Headers],[Numer of Top Slats]],Table2[#Headers],0),0)</f>
        <v>0</v>
      </c>
      <c r="AM37" s="2">
        <f>VLOOKUP([jobnumber],OvalData[],MATCH(Table2[[#Headers],[Number of Bottom Slats]],Table2[#Headers],0),0)</f>
        <v>0</v>
      </c>
      <c r="AN37" s="2">
        <f>VLOOKUP([jobnumber],OvalData[],MATCH(Table2[[#Headers],[Solid Bottom Height]],Table2[#Headers],0),0)</f>
        <v>0</v>
      </c>
      <c r="AO37" s="2" t="str">
        <f>VLOOKUP([jobnumber],OvalData[],MATCH(Table2[[#Headers],[slatlength]],Table2[#Headers],0),0)</f>
        <v xml:space="preserve"> 18 ft.- 5 7/ 8"</v>
      </c>
      <c r="AP37" s="2">
        <f>VLOOKUP([jobnumber],OvalData[],MATCH(Table2[[#Headers],[Bottom Slat Length]],Table2[#Headers],0),0)</f>
        <v>0</v>
      </c>
      <c r="AQ37" s="2">
        <f>VLOOKUP([jobnumber],OvalData[],MATCH(Table2[[#Headers],[Number of Perferated Slats]],Table2[#Headers],0),0)</f>
        <v>0</v>
      </c>
      <c r="AR37" s="2">
        <f>VLOOKUP([jobnumber],OvalData[],MATCH(Table2[[#Headers],[First Preferated Slat From End]],Table2[#Headers],0),0)</f>
        <v>0</v>
      </c>
      <c r="AS37" s="2">
        <f>VLOOKUP([jobnumber],OvalData[],MATCH(Table2[[#Headers],[First Preferated Slat From Bottom]],Table2[#Headers],0),0)</f>
        <v>0</v>
      </c>
      <c r="AT37" s="2">
        <f>VLOOKUP([jobnumber],OvalData[],MATCH(Table2[[#Headers],[Total Number of Slats]],Table2[#Headers],0),0)</f>
        <v>51</v>
      </c>
      <c r="AU37" s="2">
        <f>VLOOKUP([jobnumber],OvalData[],MATCH(Table2[[#Headers],[Bottom Bar Slope]],Table2[#Headers],0),0)</f>
        <v>0</v>
      </c>
      <c r="AV37" s="2">
        <f>VLOOKUP([jobnumber],OvalData[],MATCH(Table2[[#Headers],[Bottom Bar Weight]],Table2[#Headers],0),0)</f>
        <v>80.5</v>
      </c>
      <c r="AW37" s="2" t="str">
        <f>VLOOKUP([jobnumber],OvalData[],MATCH(Table2[[#Headers],[Outer Spring Gage]],Table2[#Headers],0),0)</f>
        <v>Null</v>
      </c>
      <c r="AX37" s="2" t="str">
        <f>VLOOKUP([jobnumber],OvalData[],MATCH(Table2[[#Headers],[Outer Spring OD]],Table2[#Headers],0),0)</f>
        <v>Null</v>
      </c>
      <c r="AY37" s="2" t="str">
        <f>VLOOKUP([jobnumber],OvalData[],MATCH(Table2[[#Headers],[Outer Spring Length]],Table2[#Headers],0),0)</f>
        <v>Null</v>
      </c>
      <c r="AZ37" s="2" t="str">
        <f>VLOOKUP([jobnumber],OvalData[],MATCH(Table2[[#Headers],[Outer Spring Stretch]],Table2[#Headers],0),0)</f>
        <v>Null</v>
      </c>
      <c r="BA37" s="2" t="str">
        <f>VLOOKUP([jobnumber],OvalData[],MATCH(Table2[[#Headers],[Outer Spring Torque]],Table2[#Headers],0),0)</f>
        <v>Null</v>
      </c>
      <c r="BB37" s="2" t="str">
        <f>VLOOKUP([jobnumber],OvalData[],MATCH(Table2[[#Headers],[Outer Spring Max Turns]],Table2[#Headers],0),0)</f>
        <v>Null</v>
      </c>
      <c r="BC37" s="2" t="str">
        <f>VLOOKUP([jobnumber],OvalData[],MATCH(Table2[[#Headers],[Outer Spring Weight]],Table2[#Headers],0),0)</f>
        <v>Null</v>
      </c>
      <c r="BD37" s="2" t="str">
        <f>VLOOKUP([jobnumber],OvalData[],MATCH(Table2[[#Headers],[Inner Spring Gage]],Table2[#Headers],0),0)</f>
        <v>Null</v>
      </c>
      <c r="BE37" s="2" t="str">
        <f>VLOOKUP([jobnumber],OvalData[],MATCH(Table2[[#Headers],[Inner Spring OD]],Table2[#Headers],0),0)</f>
        <v>Null</v>
      </c>
      <c r="BF37" s="2" t="str">
        <f>VLOOKUP([jobnumber],OvalData[],MATCH(Table2[[#Headers],[Inner Spring Length]],Table2[#Headers],0),0)</f>
        <v>Null</v>
      </c>
      <c r="BG37" s="2" t="str">
        <f>VLOOKUP([jobnumber],OvalData[],MATCH(Table2[[#Headers],[Inner Spring Stretch]],Table2[#Headers],0),0)</f>
        <v>Null</v>
      </c>
      <c r="BH37" s="2" t="str">
        <f>VLOOKUP([jobnumber],OvalData[],MATCH(Table2[[#Headers],[Inner Spring Torque]],Table2[#Headers],0),0)</f>
        <v>Null</v>
      </c>
      <c r="BI37" s="2" t="str">
        <f>VLOOKUP([jobnumber],OvalData[],MATCH(Table2[[#Headers],[Inner Spring Max Turns]],Table2[#Headers],0),0)</f>
        <v>Null</v>
      </c>
      <c r="BJ37" s="2" t="str">
        <f>VLOOKUP([jobnumber],OvalData[],MATCH(Table2[[#Headers],[Inner Spring Weight]],Table2[#Headers],0),0)</f>
        <v>Null</v>
      </c>
      <c r="BK37" s="2">
        <f>VLOOKUP([jobnumber],OvalData[],MATCH(Table2[[#Headers],[Cycles]],Table2[#Headers],0),0)</f>
        <v>0</v>
      </c>
      <c r="BL37" s="2">
        <f>VLOOKUP([jobnumber],OvalData[],MATCH(Table2[[#Headers],[Total Spring Torque]],Table2[#Headers],0),0)</f>
        <v>0</v>
      </c>
      <c r="BM37" s="2">
        <f>VLOOKUP([jobnumber],OvalData[],MATCH(Table2[[#Headers],[Total Spring Weight]],Table2[#Headers],0),0)</f>
        <v>0</v>
      </c>
      <c r="BN37" s="2">
        <f>VLOOKUP([jobnumber],OvalData[],MATCH(Table2[[#Headers],[Pipe Weight]],Table2[#Headers],0),0)</f>
        <v>688.24239999999998</v>
      </c>
      <c r="BO37" s="2">
        <f>VLOOKUP([jobnumber],OvalData[],MATCH(Table2[[#Headers],[Max Pipe Deflection]],Table2[#Headers],0),0)</f>
        <v>2309</v>
      </c>
      <c r="BP37" s="2">
        <f>VLOOKUP([jobnumber],OvalData[],MATCH(Table2[[#Headers],[Number Non-Insulated Wrap Slats]],Table2[#Headers],0),0)</f>
        <v>0</v>
      </c>
      <c r="BQ37" s="2">
        <f>VLOOKUP([jobnumber],OvalData[],MATCH(Table2[[#Headers],[Number of Insolated Top Slats]],Table2[#Headers],0),0)</f>
        <v>45</v>
      </c>
      <c r="BR37" s="2">
        <f>VLOOKUP([jobnumber],OvalData[],MATCH(Table2[[#Headers],[Insolated Total Slats]],Table2[#Headers],0),0)</f>
        <v>45</v>
      </c>
      <c r="BS37" s="2">
        <f>VLOOKUP([jobnumber],OvalData[],MATCH(Table2[[#Headers],[Number of Slats]],Table2[#Headers],0),0)</f>
        <v>44.69</v>
      </c>
      <c r="BT37" s="2">
        <f>VLOOKUP([jobnumber],OvalData[],MATCH(Table2[[#Headers],[Wrap]],Table2[#Headers],0),0)</f>
        <v>0</v>
      </c>
      <c r="BU37" s="2">
        <f>VLOOKUP([jobnumber],OvalData[],MATCH(Table2[[#Headers],[Wall Angle Thickness]],Table2[#Headers],0),0)</f>
        <v>0</v>
      </c>
      <c r="BV37" s="2">
        <f>VLOOKUP([jobnumber],OvalData[],MATCH(Table2[[#Headers],[windlocks]],Table2[#Headers],0),0)</f>
        <v>0</v>
      </c>
      <c r="BW37" s="2" t="str">
        <f>VLOOKUP([jobnumber],OvalData[],MATCH(Table2[[#Headers],[bottombartype]],Table2[#Headers],0),0)</f>
        <v>SPECIAL</v>
      </c>
      <c r="BX37" s="2">
        <f>VLOOKUP([jobnumber],OvalData[],MATCH(Table2[[#Headers],[endlockweight]],Table2[#Headers],0),0)</f>
        <v>0.17</v>
      </c>
      <c r="BY37" s="2">
        <f>VLOOKUP([jobnumber],OvalData[],MATCH(Table2[[#Headers],[Endlock Total Weight]],Table2[#Headers],0),0)</f>
        <v>7.5972999999999997</v>
      </c>
      <c r="BZ37" s="2">
        <f>VLOOKUP([jobnumber],OvalData[],MATCH(Table2[[#Headers],[Grille Weight]],Table2[#Headers],0),0)</f>
        <v>0</v>
      </c>
      <c r="CA37" s="2">
        <f>VLOOKUP([jobnumber],OvalData[],MATCH(Table2[[#Headers],[barrelrings]],Table2[#Headers],0),0)</f>
        <v>1</v>
      </c>
    </row>
    <row r="38" spans="2:79">
      <c r="B38" s="2" t="str">
        <f>VLOOKUP([jobnumber],OvalData[],MATCH(Table2[[#Headers],[Hand]],Table2[#Headers],0),0)</f>
        <v>RH</v>
      </c>
      <c r="C38" s="2" t="str">
        <f>VLOOKUP([jobnumber],OvalData[],MATCH(Table2[[#Headers],[Model]],Table2[#Headers],0),0)</f>
        <v>SFMPP</v>
      </c>
      <c r="D38" s="2" t="str">
        <f>VLOOKUP([jobnumber],OvalData[],MATCH(Table2[[#Headers],[width]],Table2[#Headers],0),0)</f>
        <v xml:space="preserve"> 18 ft.- 2"</v>
      </c>
      <c r="E38" s="2" t="str">
        <f>VLOOKUP([jobnumber],OvalData[],MATCH(Table2[[#Headers],[stopheight]],Table2[#Headers],0),0)</f>
        <v xml:space="preserve"> 10 ft.- 0"</v>
      </c>
      <c r="F38" s="2" t="str">
        <f>VLOOKUP([jobnumber],OvalData[],MATCH(Table2[[#Headers],[Between Brackets]],Table2[#Headers],0),0)</f>
        <v xml:space="preserve"> 18 ft.- 7 7/ 8"</v>
      </c>
      <c r="G38" s="2" t="str">
        <f>VLOOKUP([jobnumber],OvalData[],MATCH(Table2[[#Headers],[shell]],Table2[#Headers],0),0)</f>
        <v>6 INCH TUBE</v>
      </c>
      <c r="H38" s="2" t="str">
        <f>VLOOKUP([jobnumber],OvalData[],MATCH(Table2[[#Headers],[pipewidth]],Table2[#Headers],0),0)</f>
        <v xml:space="preserve"> 18 ft.- 1 3/ 8"</v>
      </c>
      <c r="I38" s="2">
        <f>VLOOKUP([jobnumber],OvalData[],MATCH(Table2[[#Headers],[Support Tubes]],Table2[#Headers],0),0)</f>
        <v>0</v>
      </c>
      <c r="J38" s="2">
        <f>VLOOKUP([jobnumber],OvalData[],MATCH(Table2[[#Headers],[Upset]],Table2[#Headers],0),0)</f>
        <v>2</v>
      </c>
      <c r="K38" s="2" t="str">
        <f>VLOOKUP([jobnumber],OvalData[],MATCH(Table2[[#Headers],[Guide Type]],Table2[#Headers],0),0)</f>
        <v>SN2-4 5/8-E</v>
      </c>
      <c r="L38" s="2" t="str">
        <f>VLOOKUP([jobnumber],OvalData[],MATCH(Table2[[#Headers],[Wall Angle]],Table2[#Headers],0),0)</f>
        <v xml:space="preserve"> 11 ft.- 8"</v>
      </c>
      <c r="M38" s="2" t="str">
        <f>VLOOKUP([jobnumber],OvalData[],MATCH(Table2[[#Headers],[Middle Angle]],Table2[#Headers],0),0)</f>
        <v xml:space="preserve"> 10 ft.- 4 1/ 2"</v>
      </c>
      <c r="N38" s="2" t="str">
        <f>VLOOKUP([jobnumber],OvalData[],MATCH(Table2[[#Headers],[Front Angle]],Table2[#Headers],0),0)</f>
        <v xml:space="preserve"> 10 ft.- 3"</v>
      </c>
      <c r="O38" s="2">
        <f>VLOOKUP([jobnumber],OvalData[],MATCH(Table2[[#Headers],[Pipe Center Line]],Table2[#Headers],0),0)</f>
        <v>131</v>
      </c>
      <c r="P38" s="2">
        <f>VLOOKUP([jobnumber],OvalData[],MATCH(Table2[[#Headers],[Heat Expansion Gap]],Table2[#Headers],0),0)</f>
        <v>0</v>
      </c>
      <c r="Q38" s="2">
        <f>VLOOKUP([jobnumber],OvalData[],MATCH(Table2[[#Headers],[Hanging Weight Closed]],Table2[#Headers],0),0)</f>
        <v>795</v>
      </c>
      <c r="R38" s="2">
        <f>VLOOKUP([jobnumber],OvalData[],MATCH(Table2[[#Headers],[Hanging Weight Open]],Table2[#Headers],0),0)</f>
        <v>140</v>
      </c>
      <c r="S38" s="2">
        <f>VLOOKUP([jobnumber],OvalData[],MATCH(Table2[[#Headers],[Initial Lever Arm]],Table2[#Headers],0),0)</f>
        <v>4.25</v>
      </c>
      <c r="T38" s="2">
        <f>VLOOKUP([jobnumber],OvalData[],MATCH(Table2[[#Headers],[Turns to Raise]],Table2[#Headers],0),0)</f>
        <v>3.5859999999999999</v>
      </c>
      <c r="U38" s="2">
        <f>VLOOKUP([jobnumber],OvalData[],MATCH(Table2[[#Headers],[Final Lever Arm]],Table2[#Headers],0),0)</f>
        <v>6.37</v>
      </c>
      <c r="V38" s="2">
        <f>VLOOKUP([jobnumber],OvalData[],MATCH(Table2[[#Headers],[Torque Required Closed]],Table2[#Headers],0),0)</f>
        <v>3377.9</v>
      </c>
      <c r="W38" s="2">
        <f>VLOOKUP([jobnumber],OvalData[],MATCH(Table2[[#Headers],[Torque Required Open]],Table2[#Headers],0),0)</f>
        <v>892</v>
      </c>
      <c r="X38" s="2">
        <f>VLOOKUP([jobnumber],OvalData[],MATCH(Table2[[#Headers],[Pre Turns]],Table2[#Headers],0),0)</f>
        <v>1.3332999999999999</v>
      </c>
      <c r="Y38" s="2">
        <f>VLOOKUP([jobnumber],OvalData[],MATCH(Table2[[#Headers],[Required Torque Per Turn]],Table2[#Headers],0),0)</f>
        <v>688</v>
      </c>
      <c r="Z38" s="2">
        <f>VLOOKUP([jobnumber],OvalData[],MATCH(Table2[[#Headers],[Total Turns]],Table2[#Headers],0),0)</f>
        <v>4.91</v>
      </c>
      <c r="AA38" s="2">
        <f>VLOOKUP([jobnumber],OvalData[],MATCH(Table2[[#Headers],[Grille Vision Section]],Table2[#Headers],0),0)</f>
        <v>0</v>
      </c>
      <c r="AB38" s="2">
        <f>VLOOKUP([jobnumber],OvalData[],MATCH(Table2[[#Headers],[Grille Amount]],Table2[#Headers],0),0)</f>
        <v>0</v>
      </c>
      <c r="AC38" s="2">
        <f>VLOOKUP([jobnumber],OvalData[],MATCH(Table2[[#Headers],[Grille Center]],Table2[#Headers],0),0)</f>
        <v>0</v>
      </c>
      <c r="AD38" s="2">
        <f>VLOOKUP([jobnumber],OvalData[],MATCH(Table2[[#Headers],[Grille Pattern]],Table2[#Headers],0),0)</f>
        <v>0</v>
      </c>
      <c r="AE38" s="2">
        <f>VLOOKUP([jobnumber],OvalData[],MATCH(Table2[[#Headers],[Grille First Tube]],Table2[#Headers],0),0)</f>
        <v>0</v>
      </c>
      <c r="AF38" s="2">
        <f>VLOOKUP([jobnumber],OvalData[],MATCH(Table2[[#Headers],[Grille Standard Tube]],Table2[#Headers],0),0)</f>
        <v>0</v>
      </c>
      <c r="AG38" s="2">
        <f>VLOOKUP([jobnumber],OvalData[],MATCH(Table2[[#Headers],[Grille Total Links]],Table2[#Headers],0),0)</f>
        <v>0</v>
      </c>
      <c r="AH38" s="2">
        <f>VLOOKUP([jobnumber],OvalData[],MATCH(Table2[[#Headers],[Grille Rods]],Table2[#Headers],0),0)</f>
        <v>0</v>
      </c>
      <c r="AI38" s="2">
        <f>VLOOKUP([jobnumber],OvalData[],MATCH(Table2[[#Headers],[Grille Rod Length]],Table2[#Headers],0),0)</f>
        <v>0</v>
      </c>
      <c r="AJ38" s="2">
        <f>VLOOKUP([jobnumber],OvalData[],MATCH(Table2[[#Headers],[slattype]],Table2[#Headers],0),0)</f>
        <v>2</v>
      </c>
      <c r="AK38" s="2">
        <f>VLOOKUP([jobnumber],OvalData[],MATCH(Table2[[#Headers],[slatgage]],Table2[#Headers],0),0)</f>
        <v>18</v>
      </c>
      <c r="AL38" s="2">
        <f>VLOOKUP([jobnumber],OvalData[],MATCH(Table2[[#Headers],[Numer of Top Slats]],Table2[#Headers],0),0)</f>
        <v>0</v>
      </c>
      <c r="AM38" s="2">
        <f>VLOOKUP([jobnumber],OvalData[],MATCH(Table2[[#Headers],[Number of Bottom Slats]],Table2[#Headers],0),0)</f>
        <v>0</v>
      </c>
      <c r="AN38" s="2">
        <f>VLOOKUP([jobnumber],OvalData[],MATCH(Table2[[#Headers],[Solid Bottom Height]],Table2[#Headers],0),0)</f>
        <v>0</v>
      </c>
      <c r="AO38" s="2" t="str">
        <f>VLOOKUP([jobnumber],OvalData[],MATCH(Table2[[#Headers],[slatlength]],Table2[#Headers],0),0)</f>
        <v xml:space="preserve"> 18 ft.- 5 7/ 8"</v>
      </c>
      <c r="AP38" s="2">
        <f>VLOOKUP([jobnumber],OvalData[],MATCH(Table2[[#Headers],[Bottom Slat Length]],Table2[#Headers],0),0)</f>
        <v>0</v>
      </c>
      <c r="AQ38" s="2">
        <f>VLOOKUP([jobnumber],OvalData[],MATCH(Table2[[#Headers],[Number of Perferated Slats]],Table2[#Headers],0),0)</f>
        <v>0</v>
      </c>
      <c r="AR38" s="2">
        <f>VLOOKUP([jobnumber],OvalData[],MATCH(Table2[[#Headers],[First Preferated Slat From End]],Table2[#Headers],0),0)</f>
        <v>0</v>
      </c>
      <c r="AS38" s="2">
        <f>VLOOKUP([jobnumber],OvalData[],MATCH(Table2[[#Headers],[First Preferated Slat From Bottom]],Table2[#Headers],0),0)</f>
        <v>0</v>
      </c>
      <c r="AT38" s="2">
        <f>VLOOKUP([jobnumber],OvalData[],MATCH(Table2[[#Headers],[Total Number of Slats]],Table2[#Headers],0),0)</f>
        <v>51</v>
      </c>
      <c r="AU38" s="2">
        <f>VLOOKUP([jobnumber],OvalData[],MATCH(Table2[[#Headers],[Bottom Bar Slope]],Table2[#Headers],0),0)</f>
        <v>0</v>
      </c>
      <c r="AV38" s="2">
        <f>VLOOKUP([jobnumber],OvalData[],MATCH(Table2[[#Headers],[Bottom Bar Weight]],Table2[#Headers],0),0)</f>
        <v>80.5</v>
      </c>
      <c r="AW38" s="2" t="str">
        <f>VLOOKUP([jobnumber],OvalData[],MATCH(Table2[[#Headers],[Outer Spring Gage]],Table2[#Headers],0),0)</f>
        <v>Null</v>
      </c>
      <c r="AX38" s="2" t="str">
        <f>VLOOKUP([jobnumber],OvalData[],MATCH(Table2[[#Headers],[Outer Spring OD]],Table2[#Headers],0),0)</f>
        <v>Null</v>
      </c>
      <c r="AY38" s="2" t="str">
        <f>VLOOKUP([jobnumber],OvalData[],MATCH(Table2[[#Headers],[Outer Spring Length]],Table2[#Headers],0),0)</f>
        <v>Null</v>
      </c>
      <c r="AZ38" s="2" t="str">
        <f>VLOOKUP([jobnumber],OvalData[],MATCH(Table2[[#Headers],[Outer Spring Stretch]],Table2[#Headers],0),0)</f>
        <v>Null</v>
      </c>
      <c r="BA38" s="2" t="str">
        <f>VLOOKUP([jobnumber],OvalData[],MATCH(Table2[[#Headers],[Outer Spring Torque]],Table2[#Headers],0),0)</f>
        <v>Null</v>
      </c>
      <c r="BB38" s="2" t="str">
        <f>VLOOKUP([jobnumber],OvalData[],MATCH(Table2[[#Headers],[Outer Spring Max Turns]],Table2[#Headers],0),0)</f>
        <v>Null</v>
      </c>
      <c r="BC38" s="2" t="str">
        <f>VLOOKUP([jobnumber],OvalData[],MATCH(Table2[[#Headers],[Outer Spring Weight]],Table2[#Headers],0),0)</f>
        <v>Null</v>
      </c>
      <c r="BD38" s="2" t="str">
        <f>VLOOKUP([jobnumber],OvalData[],MATCH(Table2[[#Headers],[Inner Spring Gage]],Table2[#Headers],0),0)</f>
        <v>Null</v>
      </c>
      <c r="BE38" s="2" t="str">
        <f>VLOOKUP([jobnumber],OvalData[],MATCH(Table2[[#Headers],[Inner Spring OD]],Table2[#Headers],0),0)</f>
        <v>Null</v>
      </c>
      <c r="BF38" s="2" t="str">
        <f>VLOOKUP([jobnumber],OvalData[],MATCH(Table2[[#Headers],[Inner Spring Length]],Table2[#Headers],0),0)</f>
        <v>Null</v>
      </c>
      <c r="BG38" s="2" t="str">
        <f>VLOOKUP([jobnumber],OvalData[],MATCH(Table2[[#Headers],[Inner Spring Stretch]],Table2[#Headers],0),0)</f>
        <v>Null</v>
      </c>
      <c r="BH38" s="2" t="str">
        <f>VLOOKUP([jobnumber],OvalData[],MATCH(Table2[[#Headers],[Inner Spring Torque]],Table2[#Headers],0),0)</f>
        <v>Null</v>
      </c>
      <c r="BI38" s="2" t="str">
        <f>VLOOKUP([jobnumber],OvalData[],MATCH(Table2[[#Headers],[Inner Spring Max Turns]],Table2[#Headers],0),0)</f>
        <v>Null</v>
      </c>
      <c r="BJ38" s="2" t="str">
        <f>VLOOKUP([jobnumber],OvalData[],MATCH(Table2[[#Headers],[Inner Spring Weight]],Table2[#Headers],0),0)</f>
        <v>Null</v>
      </c>
      <c r="BK38" s="2">
        <f>VLOOKUP([jobnumber],OvalData[],MATCH(Table2[[#Headers],[Cycles]],Table2[#Headers],0),0)</f>
        <v>0</v>
      </c>
      <c r="BL38" s="2">
        <f>VLOOKUP([jobnumber],OvalData[],MATCH(Table2[[#Headers],[Total Spring Torque]],Table2[#Headers],0),0)</f>
        <v>0</v>
      </c>
      <c r="BM38" s="2">
        <f>VLOOKUP([jobnumber],OvalData[],MATCH(Table2[[#Headers],[Total Spring Weight]],Table2[#Headers],0),0)</f>
        <v>0</v>
      </c>
      <c r="BN38" s="2">
        <f>VLOOKUP([jobnumber],OvalData[],MATCH(Table2[[#Headers],[Pipe Weight]],Table2[#Headers],0),0)</f>
        <v>688.24239999999998</v>
      </c>
      <c r="BO38" s="2">
        <f>VLOOKUP([jobnumber],OvalData[],MATCH(Table2[[#Headers],[Max Pipe Deflection]],Table2[#Headers],0),0)</f>
        <v>2309</v>
      </c>
      <c r="BP38" s="2">
        <f>VLOOKUP([jobnumber],OvalData[],MATCH(Table2[[#Headers],[Number Non-Insulated Wrap Slats]],Table2[#Headers],0),0)</f>
        <v>0</v>
      </c>
      <c r="BQ38" s="2">
        <f>VLOOKUP([jobnumber],OvalData[],MATCH(Table2[[#Headers],[Number of Insolated Top Slats]],Table2[#Headers],0),0)</f>
        <v>45</v>
      </c>
      <c r="BR38" s="2">
        <f>VLOOKUP([jobnumber],OvalData[],MATCH(Table2[[#Headers],[Insolated Total Slats]],Table2[#Headers],0),0)</f>
        <v>45</v>
      </c>
      <c r="BS38" s="2">
        <f>VLOOKUP([jobnumber],OvalData[],MATCH(Table2[[#Headers],[Number of Slats]],Table2[#Headers],0),0)</f>
        <v>44.69</v>
      </c>
      <c r="BT38" s="2">
        <f>VLOOKUP([jobnumber],OvalData[],MATCH(Table2[[#Headers],[Wrap]],Table2[#Headers],0),0)</f>
        <v>0</v>
      </c>
      <c r="BU38" s="2">
        <f>VLOOKUP([jobnumber],OvalData[],MATCH(Table2[[#Headers],[Wall Angle Thickness]],Table2[#Headers],0),0)</f>
        <v>0</v>
      </c>
      <c r="BV38" s="2">
        <f>VLOOKUP([jobnumber],OvalData[],MATCH(Table2[[#Headers],[windlocks]],Table2[#Headers],0),0)</f>
        <v>0</v>
      </c>
      <c r="BW38" s="2" t="str">
        <f>VLOOKUP([jobnumber],OvalData[],MATCH(Table2[[#Headers],[bottombartype]],Table2[#Headers],0),0)</f>
        <v>SPECIAL</v>
      </c>
      <c r="BX38" s="2">
        <f>VLOOKUP([jobnumber],OvalData[],MATCH(Table2[[#Headers],[endlockweight]],Table2[#Headers],0),0)</f>
        <v>0.17</v>
      </c>
      <c r="BY38" s="2">
        <f>VLOOKUP([jobnumber],OvalData[],MATCH(Table2[[#Headers],[Endlock Total Weight]],Table2[#Headers],0),0)</f>
        <v>7.5972999999999997</v>
      </c>
      <c r="BZ38" s="2">
        <f>VLOOKUP([jobnumber],OvalData[],MATCH(Table2[[#Headers],[Grille Weight]],Table2[#Headers],0),0)</f>
        <v>0</v>
      </c>
      <c r="CA38" s="2">
        <f>VLOOKUP([jobnumber],OvalData[],MATCH(Table2[[#Headers],[barrelrings]],Table2[#Headers],0),0)</f>
        <v>1</v>
      </c>
    </row>
    <row r="39" spans="2:79">
      <c r="B39" s="2" t="str">
        <f>VLOOKUP([jobnumber],OvalData[],MATCH(Table2[[#Headers],[Hand]],Table2[#Headers],0),0)</f>
        <v>RH</v>
      </c>
      <c r="C39" s="2" t="str">
        <f>VLOOKUP([jobnumber],OvalData[],MATCH(Table2[[#Headers],[Model]],Table2[#Headers],0),0)</f>
        <v>SFMPP</v>
      </c>
      <c r="D39" s="2" t="str">
        <f>VLOOKUP([jobnumber],OvalData[],MATCH(Table2[[#Headers],[width]],Table2[#Headers],0),0)</f>
        <v xml:space="preserve"> 18 ft.- 2"</v>
      </c>
      <c r="E39" s="2" t="str">
        <f>VLOOKUP([jobnumber],OvalData[],MATCH(Table2[[#Headers],[stopheight]],Table2[#Headers],0),0)</f>
        <v xml:space="preserve"> 10 ft.- 0"</v>
      </c>
      <c r="F39" s="2" t="str">
        <f>VLOOKUP([jobnumber],OvalData[],MATCH(Table2[[#Headers],[Between Brackets]],Table2[#Headers],0),0)</f>
        <v xml:space="preserve"> 18 ft.- 7 7/ 8"</v>
      </c>
      <c r="G39" s="2" t="str">
        <f>VLOOKUP([jobnumber],OvalData[],MATCH(Table2[[#Headers],[shell]],Table2[#Headers],0),0)</f>
        <v>6 INCH TUBE</v>
      </c>
      <c r="H39" s="2" t="str">
        <f>VLOOKUP([jobnumber],OvalData[],MATCH(Table2[[#Headers],[pipewidth]],Table2[#Headers],0),0)</f>
        <v xml:space="preserve"> 18 ft.- 1 3/ 8"</v>
      </c>
      <c r="I39" s="2">
        <f>VLOOKUP([jobnumber],OvalData[],MATCH(Table2[[#Headers],[Support Tubes]],Table2[#Headers],0),0)</f>
        <v>0</v>
      </c>
      <c r="J39" s="2">
        <f>VLOOKUP([jobnumber],OvalData[],MATCH(Table2[[#Headers],[Upset]],Table2[#Headers],0),0)</f>
        <v>2</v>
      </c>
      <c r="K39" s="2" t="str">
        <f>VLOOKUP([jobnumber],OvalData[],MATCH(Table2[[#Headers],[Guide Type]],Table2[#Headers],0),0)</f>
        <v>SN2-4 5/8-E</v>
      </c>
      <c r="L39" s="2" t="str">
        <f>VLOOKUP([jobnumber],OvalData[],MATCH(Table2[[#Headers],[Wall Angle]],Table2[#Headers],0),0)</f>
        <v xml:space="preserve"> 11 ft.- 8"</v>
      </c>
      <c r="M39" s="2" t="str">
        <f>VLOOKUP([jobnumber],OvalData[],MATCH(Table2[[#Headers],[Middle Angle]],Table2[#Headers],0),0)</f>
        <v xml:space="preserve"> 10 ft.- 4 1/ 2"</v>
      </c>
      <c r="N39" s="2" t="str">
        <f>VLOOKUP([jobnumber],OvalData[],MATCH(Table2[[#Headers],[Front Angle]],Table2[#Headers],0),0)</f>
        <v xml:space="preserve"> 10 ft.- 3"</v>
      </c>
      <c r="O39" s="2">
        <f>VLOOKUP([jobnumber],OvalData[],MATCH(Table2[[#Headers],[Pipe Center Line]],Table2[#Headers],0),0)</f>
        <v>131</v>
      </c>
      <c r="P39" s="2">
        <f>VLOOKUP([jobnumber],OvalData[],MATCH(Table2[[#Headers],[Heat Expansion Gap]],Table2[#Headers],0),0)</f>
        <v>0</v>
      </c>
      <c r="Q39" s="2">
        <f>VLOOKUP([jobnumber],OvalData[],MATCH(Table2[[#Headers],[Hanging Weight Closed]],Table2[#Headers],0),0)</f>
        <v>795</v>
      </c>
      <c r="R39" s="2">
        <f>VLOOKUP([jobnumber],OvalData[],MATCH(Table2[[#Headers],[Hanging Weight Open]],Table2[#Headers],0),0)</f>
        <v>140</v>
      </c>
      <c r="S39" s="2">
        <f>VLOOKUP([jobnumber],OvalData[],MATCH(Table2[[#Headers],[Initial Lever Arm]],Table2[#Headers],0),0)</f>
        <v>4.25</v>
      </c>
      <c r="T39" s="2">
        <f>VLOOKUP([jobnumber],OvalData[],MATCH(Table2[[#Headers],[Turns to Raise]],Table2[#Headers],0),0)</f>
        <v>3.5859999999999999</v>
      </c>
      <c r="U39" s="2">
        <f>VLOOKUP([jobnumber],OvalData[],MATCH(Table2[[#Headers],[Final Lever Arm]],Table2[#Headers],0),0)</f>
        <v>6.37</v>
      </c>
      <c r="V39" s="2">
        <f>VLOOKUP([jobnumber],OvalData[],MATCH(Table2[[#Headers],[Torque Required Closed]],Table2[#Headers],0),0)</f>
        <v>3377.9</v>
      </c>
      <c r="W39" s="2">
        <f>VLOOKUP([jobnumber],OvalData[],MATCH(Table2[[#Headers],[Torque Required Open]],Table2[#Headers],0),0)</f>
        <v>892</v>
      </c>
      <c r="X39" s="2">
        <f>VLOOKUP([jobnumber],OvalData[],MATCH(Table2[[#Headers],[Pre Turns]],Table2[#Headers],0),0)</f>
        <v>1.3332999999999999</v>
      </c>
      <c r="Y39" s="2">
        <f>VLOOKUP([jobnumber],OvalData[],MATCH(Table2[[#Headers],[Required Torque Per Turn]],Table2[#Headers],0),0)</f>
        <v>688</v>
      </c>
      <c r="Z39" s="2">
        <f>VLOOKUP([jobnumber],OvalData[],MATCH(Table2[[#Headers],[Total Turns]],Table2[#Headers],0),0)</f>
        <v>4.91</v>
      </c>
      <c r="AA39" s="2">
        <f>VLOOKUP([jobnumber],OvalData[],MATCH(Table2[[#Headers],[Grille Vision Section]],Table2[#Headers],0),0)</f>
        <v>0</v>
      </c>
      <c r="AB39" s="2">
        <f>VLOOKUP([jobnumber],OvalData[],MATCH(Table2[[#Headers],[Grille Amount]],Table2[#Headers],0),0)</f>
        <v>0</v>
      </c>
      <c r="AC39" s="2">
        <f>VLOOKUP([jobnumber],OvalData[],MATCH(Table2[[#Headers],[Grille Center]],Table2[#Headers],0),0)</f>
        <v>0</v>
      </c>
      <c r="AD39" s="2">
        <f>VLOOKUP([jobnumber],OvalData[],MATCH(Table2[[#Headers],[Grille Pattern]],Table2[#Headers],0),0)</f>
        <v>0</v>
      </c>
      <c r="AE39" s="2">
        <f>VLOOKUP([jobnumber],OvalData[],MATCH(Table2[[#Headers],[Grille First Tube]],Table2[#Headers],0),0)</f>
        <v>0</v>
      </c>
      <c r="AF39" s="2">
        <f>VLOOKUP([jobnumber],OvalData[],MATCH(Table2[[#Headers],[Grille Standard Tube]],Table2[#Headers],0),0)</f>
        <v>0</v>
      </c>
      <c r="AG39" s="2">
        <f>VLOOKUP([jobnumber],OvalData[],MATCH(Table2[[#Headers],[Grille Total Links]],Table2[#Headers],0),0)</f>
        <v>0</v>
      </c>
      <c r="AH39" s="2">
        <f>VLOOKUP([jobnumber],OvalData[],MATCH(Table2[[#Headers],[Grille Rods]],Table2[#Headers],0),0)</f>
        <v>0</v>
      </c>
      <c r="AI39" s="2">
        <f>VLOOKUP([jobnumber],OvalData[],MATCH(Table2[[#Headers],[Grille Rod Length]],Table2[#Headers],0),0)</f>
        <v>0</v>
      </c>
      <c r="AJ39" s="2">
        <f>VLOOKUP([jobnumber],OvalData[],MATCH(Table2[[#Headers],[slattype]],Table2[#Headers],0),0)</f>
        <v>2</v>
      </c>
      <c r="AK39" s="2">
        <f>VLOOKUP([jobnumber],OvalData[],MATCH(Table2[[#Headers],[slatgage]],Table2[#Headers],0),0)</f>
        <v>18</v>
      </c>
      <c r="AL39" s="2">
        <f>VLOOKUP([jobnumber],OvalData[],MATCH(Table2[[#Headers],[Numer of Top Slats]],Table2[#Headers],0),0)</f>
        <v>0</v>
      </c>
      <c r="AM39" s="2">
        <f>VLOOKUP([jobnumber],OvalData[],MATCH(Table2[[#Headers],[Number of Bottom Slats]],Table2[#Headers],0),0)</f>
        <v>0</v>
      </c>
      <c r="AN39" s="2">
        <f>VLOOKUP([jobnumber],OvalData[],MATCH(Table2[[#Headers],[Solid Bottom Height]],Table2[#Headers],0),0)</f>
        <v>0</v>
      </c>
      <c r="AO39" s="2" t="str">
        <f>VLOOKUP([jobnumber],OvalData[],MATCH(Table2[[#Headers],[slatlength]],Table2[#Headers],0),0)</f>
        <v xml:space="preserve"> 18 ft.- 5 7/ 8"</v>
      </c>
      <c r="AP39" s="2">
        <f>VLOOKUP([jobnumber],OvalData[],MATCH(Table2[[#Headers],[Bottom Slat Length]],Table2[#Headers],0),0)</f>
        <v>0</v>
      </c>
      <c r="AQ39" s="2">
        <f>VLOOKUP([jobnumber],OvalData[],MATCH(Table2[[#Headers],[Number of Perferated Slats]],Table2[#Headers],0),0)</f>
        <v>0</v>
      </c>
      <c r="AR39" s="2">
        <f>VLOOKUP([jobnumber],OvalData[],MATCH(Table2[[#Headers],[First Preferated Slat From End]],Table2[#Headers],0),0)</f>
        <v>0</v>
      </c>
      <c r="AS39" s="2">
        <f>VLOOKUP([jobnumber],OvalData[],MATCH(Table2[[#Headers],[First Preferated Slat From Bottom]],Table2[#Headers],0),0)</f>
        <v>0</v>
      </c>
      <c r="AT39" s="2">
        <f>VLOOKUP([jobnumber],OvalData[],MATCH(Table2[[#Headers],[Total Number of Slats]],Table2[#Headers],0),0)</f>
        <v>51</v>
      </c>
      <c r="AU39" s="2">
        <f>VLOOKUP([jobnumber],OvalData[],MATCH(Table2[[#Headers],[Bottom Bar Slope]],Table2[#Headers],0),0)</f>
        <v>0</v>
      </c>
      <c r="AV39" s="2">
        <f>VLOOKUP([jobnumber],OvalData[],MATCH(Table2[[#Headers],[Bottom Bar Weight]],Table2[#Headers],0),0)</f>
        <v>80.5</v>
      </c>
      <c r="AW39" s="2" t="str">
        <f>VLOOKUP([jobnumber],OvalData[],MATCH(Table2[[#Headers],[Outer Spring Gage]],Table2[#Headers],0),0)</f>
        <v>Null</v>
      </c>
      <c r="AX39" s="2" t="str">
        <f>VLOOKUP([jobnumber],OvalData[],MATCH(Table2[[#Headers],[Outer Spring OD]],Table2[#Headers],0),0)</f>
        <v>Null</v>
      </c>
      <c r="AY39" s="2" t="str">
        <f>VLOOKUP([jobnumber],OvalData[],MATCH(Table2[[#Headers],[Outer Spring Length]],Table2[#Headers],0),0)</f>
        <v>Null</v>
      </c>
      <c r="AZ39" s="2" t="str">
        <f>VLOOKUP([jobnumber],OvalData[],MATCH(Table2[[#Headers],[Outer Spring Stretch]],Table2[#Headers],0),0)</f>
        <v>Null</v>
      </c>
      <c r="BA39" s="2" t="str">
        <f>VLOOKUP([jobnumber],OvalData[],MATCH(Table2[[#Headers],[Outer Spring Torque]],Table2[#Headers],0),0)</f>
        <v>Null</v>
      </c>
      <c r="BB39" s="2" t="str">
        <f>VLOOKUP([jobnumber],OvalData[],MATCH(Table2[[#Headers],[Outer Spring Max Turns]],Table2[#Headers],0),0)</f>
        <v>Null</v>
      </c>
      <c r="BC39" s="2" t="str">
        <f>VLOOKUP([jobnumber],OvalData[],MATCH(Table2[[#Headers],[Outer Spring Weight]],Table2[#Headers],0),0)</f>
        <v>Null</v>
      </c>
      <c r="BD39" s="2" t="str">
        <f>VLOOKUP([jobnumber],OvalData[],MATCH(Table2[[#Headers],[Inner Spring Gage]],Table2[#Headers],0),0)</f>
        <v>Null</v>
      </c>
      <c r="BE39" s="2" t="str">
        <f>VLOOKUP([jobnumber],OvalData[],MATCH(Table2[[#Headers],[Inner Spring OD]],Table2[#Headers],0),0)</f>
        <v>Null</v>
      </c>
      <c r="BF39" s="2" t="str">
        <f>VLOOKUP([jobnumber],OvalData[],MATCH(Table2[[#Headers],[Inner Spring Length]],Table2[#Headers],0),0)</f>
        <v>Null</v>
      </c>
      <c r="BG39" s="2" t="str">
        <f>VLOOKUP([jobnumber],OvalData[],MATCH(Table2[[#Headers],[Inner Spring Stretch]],Table2[#Headers],0),0)</f>
        <v>Null</v>
      </c>
      <c r="BH39" s="2" t="str">
        <f>VLOOKUP([jobnumber],OvalData[],MATCH(Table2[[#Headers],[Inner Spring Torque]],Table2[#Headers],0),0)</f>
        <v>Null</v>
      </c>
      <c r="BI39" s="2" t="str">
        <f>VLOOKUP([jobnumber],OvalData[],MATCH(Table2[[#Headers],[Inner Spring Max Turns]],Table2[#Headers],0),0)</f>
        <v>Null</v>
      </c>
      <c r="BJ39" s="2" t="str">
        <f>VLOOKUP([jobnumber],OvalData[],MATCH(Table2[[#Headers],[Inner Spring Weight]],Table2[#Headers],0),0)</f>
        <v>Null</v>
      </c>
      <c r="BK39" s="2">
        <f>VLOOKUP([jobnumber],OvalData[],MATCH(Table2[[#Headers],[Cycles]],Table2[#Headers],0),0)</f>
        <v>0</v>
      </c>
      <c r="BL39" s="2">
        <f>VLOOKUP([jobnumber],OvalData[],MATCH(Table2[[#Headers],[Total Spring Torque]],Table2[#Headers],0),0)</f>
        <v>0</v>
      </c>
      <c r="BM39" s="2">
        <f>VLOOKUP([jobnumber],OvalData[],MATCH(Table2[[#Headers],[Total Spring Weight]],Table2[#Headers],0),0)</f>
        <v>0</v>
      </c>
      <c r="BN39" s="2">
        <f>VLOOKUP([jobnumber],OvalData[],MATCH(Table2[[#Headers],[Pipe Weight]],Table2[#Headers],0),0)</f>
        <v>688.24239999999998</v>
      </c>
      <c r="BO39" s="2">
        <f>VLOOKUP([jobnumber],OvalData[],MATCH(Table2[[#Headers],[Max Pipe Deflection]],Table2[#Headers],0),0)</f>
        <v>2309</v>
      </c>
      <c r="BP39" s="2">
        <f>VLOOKUP([jobnumber],OvalData[],MATCH(Table2[[#Headers],[Number Non-Insulated Wrap Slats]],Table2[#Headers],0),0)</f>
        <v>0</v>
      </c>
      <c r="BQ39" s="2">
        <f>VLOOKUP([jobnumber],OvalData[],MATCH(Table2[[#Headers],[Number of Insolated Top Slats]],Table2[#Headers],0),0)</f>
        <v>45</v>
      </c>
      <c r="BR39" s="2">
        <f>VLOOKUP([jobnumber],OvalData[],MATCH(Table2[[#Headers],[Insolated Total Slats]],Table2[#Headers],0),0)</f>
        <v>45</v>
      </c>
      <c r="BS39" s="2">
        <f>VLOOKUP([jobnumber],OvalData[],MATCH(Table2[[#Headers],[Number of Slats]],Table2[#Headers],0),0)</f>
        <v>44.69</v>
      </c>
      <c r="BT39" s="2">
        <f>VLOOKUP([jobnumber],OvalData[],MATCH(Table2[[#Headers],[Wrap]],Table2[#Headers],0),0)</f>
        <v>0</v>
      </c>
      <c r="BU39" s="2">
        <f>VLOOKUP([jobnumber],OvalData[],MATCH(Table2[[#Headers],[Wall Angle Thickness]],Table2[#Headers],0),0)</f>
        <v>0</v>
      </c>
      <c r="BV39" s="2">
        <f>VLOOKUP([jobnumber],OvalData[],MATCH(Table2[[#Headers],[windlocks]],Table2[#Headers],0),0)</f>
        <v>0</v>
      </c>
      <c r="BW39" s="2" t="str">
        <f>VLOOKUP([jobnumber],OvalData[],MATCH(Table2[[#Headers],[bottombartype]],Table2[#Headers],0),0)</f>
        <v>SPECIAL</v>
      </c>
      <c r="BX39" s="2">
        <f>VLOOKUP([jobnumber],OvalData[],MATCH(Table2[[#Headers],[endlockweight]],Table2[#Headers],0),0)</f>
        <v>0.17</v>
      </c>
      <c r="BY39" s="2">
        <f>VLOOKUP([jobnumber],OvalData[],MATCH(Table2[[#Headers],[Endlock Total Weight]],Table2[#Headers],0),0)</f>
        <v>7.5972999999999997</v>
      </c>
      <c r="BZ39" s="2">
        <f>VLOOKUP([jobnumber],OvalData[],MATCH(Table2[[#Headers],[Grille Weight]],Table2[#Headers],0),0)</f>
        <v>0</v>
      </c>
      <c r="CA39" s="2">
        <f>VLOOKUP([jobnumber],OvalData[],MATCH(Table2[[#Headers],[barrelrings]],Table2[#Headers],0),0)</f>
        <v>1</v>
      </c>
    </row>
    <row r="40" spans="2:79">
      <c r="B40" s="2" t="str">
        <f>VLOOKUP([jobnumber],OvalData[],MATCH(Table2[[#Headers],[Hand]],Table2[#Headers],0),0)</f>
        <v>RH</v>
      </c>
      <c r="C40" s="2" t="str">
        <f>VLOOKUP([jobnumber],OvalData[],MATCH(Table2[[#Headers],[Model]],Table2[#Headers],0),0)</f>
        <v>SFMPP</v>
      </c>
      <c r="D40" s="2" t="str">
        <f>VLOOKUP([jobnumber],OvalData[],MATCH(Table2[[#Headers],[width]],Table2[#Headers],0),0)</f>
        <v xml:space="preserve"> 18 ft.- 2"</v>
      </c>
      <c r="E40" s="2" t="str">
        <f>VLOOKUP([jobnumber],OvalData[],MATCH(Table2[[#Headers],[stopheight]],Table2[#Headers],0),0)</f>
        <v xml:space="preserve"> 10 ft.- 0"</v>
      </c>
      <c r="F40" s="2" t="str">
        <f>VLOOKUP([jobnumber],OvalData[],MATCH(Table2[[#Headers],[Between Brackets]],Table2[#Headers],0),0)</f>
        <v xml:space="preserve"> 18 ft.- 7 7/ 8"</v>
      </c>
      <c r="G40" s="2" t="str">
        <f>VLOOKUP([jobnumber],OvalData[],MATCH(Table2[[#Headers],[shell]],Table2[#Headers],0),0)</f>
        <v>6 INCH TUBE</v>
      </c>
      <c r="H40" s="2" t="str">
        <f>VLOOKUP([jobnumber],OvalData[],MATCH(Table2[[#Headers],[pipewidth]],Table2[#Headers],0),0)</f>
        <v xml:space="preserve"> 18 ft.- 1 3/ 8"</v>
      </c>
      <c r="I40" s="2">
        <f>VLOOKUP([jobnumber],OvalData[],MATCH(Table2[[#Headers],[Support Tubes]],Table2[#Headers],0),0)</f>
        <v>0</v>
      </c>
      <c r="J40" s="2">
        <f>VLOOKUP([jobnumber],OvalData[],MATCH(Table2[[#Headers],[Upset]],Table2[#Headers],0),0)</f>
        <v>2</v>
      </c>
      <c r="K40" s="2" t="str">
        <f>VLOOKUP([jobnumber],OvalData[],MATCH(Table2[[#Headers],[Guide Type]],Table2[#Headers],0),0)</f>
        <v>SN2-4 5/8-E</v>
      </c>
      <c r="L40" s="2" t="str">
        <f>VLOOKUP([jobnumber],OvalData[],MATCH(Table2[[#Headers],[Wall Angle]],Table2[#Headers],0),0)</f>
        <v xml:space="preserve"> 11 ft.- 8"</v>
      </c>
      <c r="M40" s="2" t="str">
        <f>VLOOKUP([jobnumber],OvalData[],MATCH(Table2[[#Headers],[Middle Angle]],Table2[#Headers],0),0)</f>
        <v xml:space="preserve"> 10 ft.- 4 1/ 2"</v>
      </c>
      <c r="N40" s="2" t="str">
        <f>VLOOKUP([jobnumber],OvalData[],MATCH(Table2[[#Headers],[Front Angle]],Table2[#Headers],0),0)</f>
        <v xml:space="preserve"> 10 ft.- 3"</v>
      </c>
      <c r="O40" s="2">
        <f>VLOOKUP([jobnumber],OvalData[],MATCH(Table2[[#Headers],[Pipe Center Line]],Table2[#Headers],0),0)</f>
        <v>131</v>
      </c>
      <c r="P40" s="2">
        <f>VLOOKUP([jobnumber],OvalData[],MATCH(Table2[[#Headers],[Heat Expansion Gap]],Table2[#Headers],0),0)</f>
        <v>0</v>
      </c>
      <c r="Q40" s="2">
        <f>VLOOKUP([jobnumber],OvalData[],MATCH(Table2[[#Headers],[Hanging Weight Closed]],Table2[#Headers],0),0)</f>
        <v>795</v>
      </c>
      <c r="R40" s="2">
        <f>VLOOKUP([jobnumber],OvalData[],MATCH(Table2[[#Headers],[Hanging Weight Open]],Table2[#Headers],0),0)</f>
        <v>140</v>
      </c>
      <c r="S40" s="2">
        <f>VLOOKUP([jobnumber],OvalData[],MATCH(Table2[[#Headers],[Initial Lever Arm]],Table2[#Headers],0),0)</f>
        <v>4.25</v>
      </c>
      <c r="T40" s="2">
        <f>VLOOKUP([jobnumber],OvalData[],MATCH(Table2[[#Headers],[Turns to Raise]],Table2[#Headers],0),0)</f>
        <v>3.5859999999999999</v>
      </c>
      <c r="U40" s="2">
        <f>VLOOKUP([jobnumber],OvalData[],MATCH(Table2[[#Headers],[Final Lever Arm]],Table2[#Headers],0),0)</f>
        <v>6.37</v>
      </c>
      <c r="V40" s="2">
        <f>VLOOKUP([jobnumber],OvalData[],MATCH(Table2[[#Headers],[Torque Required Closed]],Table2[#Headers],0),0)</f>
        <v>3377.9</v>
      </c>
      <c r="W40" s="2">
        <f>VLOOKUP([jobnumber],OvalData[],MATCH(Table2[[#Headers],[Torque Required Open]],Table2[#Headers],0),0)</f>
        <v>892</v>
      </c>
      <c r="X40" s="2">
        <f>VLOOKUP([jobnumber],OvalData[],MATCH(Table2[[#Headers],[Pre Turns]],Table2[#Headers],0),0)</f>
        <v>1.3332999999999999</v>
      </c>
      <c r="Y40" s="2">
        <f>VLOOKUP([jobnumber],OvalData[],MATCH(Table2[[#Headers],[Required Torque Per Turn]],Table2[#Headers],0),0)</f>
        <v>688</v>
      </c>
      <c r="Z40" s="2">
        <f>VLOOKUP([jobnumber],OvalData[],MATCH(Table2[[#Headers],[Total Turns]],Table2[#Headers],0),0)</f>
        <v>4.91</v>
      </c>
      <c r="AA40" s="2">
        <f>VLOOKUP([jobnumber],OvalData[],MATCH(Table2[[#Headers],[Grille Vision Section]],Table2[#Headers],0),0)</f>
        <v>0</v>
      </c>
      <c r="AB40" s="2">
        <f>VLOOKUP([jobnumber],OvalData[],MATCH(Table2[[#Headers],[Grille Amount]],Table2[#Headers],0),0)</f>
        <v>0</v>
      </c>
      <c r="AC40" s="2">
        <f>VLOOKUP([jobnumber],OvalData[],MATCH(Table2[[#Headers],[Grille Center]],Table2[#Headers],0),0)</f>
        <v>0</v>
      </c>
      <c r="AD40" s="2">
        <f>VLOOKUP([jobnumber],OvalData[],MATCH(Table2[[#Headers],[Grille Pattern]],Table2[#Headers],0),0)</f>
        <v>0</v>
      </c>
      <c r="AE40" s="2">
        <f>VLOOKUP([jobnumber],OvalData[],MATCH(Table2[[#Headers],[Grille First Tube]],Table2[#Headers],0),0)</f>
        <v>0</v>
      </c>
      <c r="AF40" s="2">
        <f>VLOOKUP([jobnumber],OvalData[],MATCH(Table2[[#Headers],[Grille Standard Tube]],Table2[#Headers],0),0)</f>
        <v>0</v>
      </c>
      <c r="AG40" s="2">
        <f>VLOOKUP([jobnumber],OvalData[],MATCH(Table2[[#Headers],[Grille Total Links]],Table2[#Headers],0),0)</f>
        <v>0</v>
      </c>
      <c r="AH40" s="2">
        <f>VLOOKUP([jobnumber],OvalData[],MATCH(Table2[[#Headers],[Grille Rods]],Table2[#Headers],0),0)</f>
        <v>0</v>
      </c>
      <c r="AI40" s="2">
        <f>VLOOKUP([jobnumber],OvalData[],MATCH(Table2[[#Headers],[Grille Rod Length]],Table2[#Headers],0),0)</f>
        <v>0</v>
      </c>
      <c r="AJ40" s="2">
        <f>VLOOKUP([jobnumber],OvalData[],MATCH(Table2[[#Headers],[slattype]],Table2[#Headers],0),0)</f>
        <v>2</v>
      </c>
      <c r="AK40" s="2">
        <f>VLOOKUP([jobnumber],OvalData[],MATCH(Table2[[#Headers],[slatgage]],Table2[#Headers],0),0)</f>
        <v>18</v>
      </c>
      <c r="AL40" s="2">
        <f>VLOOKUP([jobnumber],OvalData[],MATCH(Table2[[#Headers],[Numer of Top Slats]],Table2[#Headers],0),0)</f>
        <v>0</v>
      </c>
      <c r="AM40" s="2">
        <f>VLOOKUP([jobnumber],OvalData[],MATCH(Table2[[#Headers],[Number of Bottom Slats]],Table2[#Headers],0),0)</f>
        <v>0</v>
      </c>
      <c r="AN40" s="2">
        <f>VLOOKUP([jobnumber],OvalData[],MATCH(Table2[[#Headers],[Solid Bottom Height]],Table2[#Headers],0),0)</f>
        <v>0</v>
      </c>
      <c r="AO40" s="2" t="str">
        <f>VLOOKUP([jobnumber],OvalData[],MATCH(Table2[[#Headers],[slatlength]],Table2[#Headers],0),0)</f>
        <v xml:space="preserve"> 18 ft.- 5 7/ 8"</v>
      </c>
      <c r="AP40" s="2">
        <f>VLOOKUP([jobnumber],OvalData[],MATCH(Table2[[#Headers],[Bottom Slat Length]],Table2[#Headers],0),0)</f>
        <v>0</v>
      </c>
      <c r="AQ40" s="2">
        <f>VLOOKUP([jobnumber],OvalData[],MATCH(Table2[[#Headers],[Number of Perferated Slats]],Table2[#Headers],0),0)</f>
        <v>0</v>
      </c>
      <c r="AR40" s="2">
        <f>VLOOKUP([jobnumber],OvalData[],MATCH(Table2[[#Headers],[First Preferated Slat From End]],Table2[#Headers],0),0)</f>
        <v>0</v>
      </c>
      <c r="AS40" s="2">
        <f>VLOOKUP([jobnumber],OvalData[],MATCH(Table2[[#Headers],[First Preferated Slat From Bottom]],Table2[#Headers],0),0)</f>
        <v>0</v>
      </c>
      <c r="AT40" s="2">
        <f>VLOOKUP([jobnumber],OvalData[],MATCH(Table2[[#Headers],[Total Number of Slats]],Table2[#Headers],0),0)</f>
        <v>51</v>
      </c>
      <c r="AU40" s="2">
        <f>VLOOKUP([jobnumber],OvalData[],MATCH(Table2[[#Headers],[Bottom Bar Slope]],Table2[#Headers],0),0)</f>
        <v>0</v>
      </c>
      <c r="AV40" s="2">
        <f>VLOOKUP([jobnumber],OvalData[],MATCH(Table2[[#Headers],[Bottom Bar Weight]],Table2[#Headers],0),0)</f>
        <v>80.5</v>
      </c>
      <c r="AW40" s="2" t="str">
        <f>VLOOKUP([jobnumber],OvalData[],MATCH(Table2[[#Headers],[Outer Spring Gage]],Table2[#Headers],0),0)</f>
        <v>Null</v>
      </c>
      <c r="AX40" s="2" t="str">
        <f>VLOOKUP([jobnumber],OvalData[],MATCH(Table2[[#Headers],[Outer Spring OD]],Table2[#Headers],0),0)</f>
        <v>Null</v>
      </c>
      <c r="AY40" s="2" t="str">
        <f>VLOOKUP([jobnumber],OvalData[],MATCH(Table2[[#Headers],[Outer Spring Length]],Table2[#Headers],0),0)</f>
        <v>Null</v>
      </c>
      <c r="AZ40" s="2" t="str">
        <f>VLOOKUP([jobnumber],OvalData[],MATCH(Table2[[#Headers],[Outer Spring Stretch]],Table2[#Headers],0),0)</f>
        <v>Null</v>
      </c>
      <c r="BA40" s="2" t="str">
        <f>VLOOKUP([jobnumber],OvalData[],MATCH(Table2[[#Headers],[Outer Spring Torque]],Table2[#Headers],0),0)</f>
        <v>Null</v>
      </c>
      <c r="BB40" s="2" t="str">
        <f>VLOOKUP([jobnumber],OvalData[],MATCH(Table2[[#Headers],[Outer Spring Max Turns]],Table2[#Headers],0),0)</f>
        <v>Null</v>
      </c>
      <c r="BC40" s="2" t="str">
        <f>VLOOKUP([jobnumber],OvalData[],MATCH(Table2[[#Headers],[Outer Spring Weight]],Table2[#Headers],0),0)</f>
        <v>Null</v>
      </c>
      <c r="BD40" s="2" t="str">
        <f>VLOOKUP([jobnumber],OvalData[],MATCH(Table2[[#Headers],[Inner Spring Gage]],Table2[#Headers],0),0)</f>
        <v>Null</v>
      </c>
      <c r="BE40" s="2" t="str">
        <f>VLOOKUP([jobnumber],OvalData[],MATCH(Table2[[#Headers],[Inner Spring OD]],Table2[#Headers],0),0)</f>
        <v>Null</v>
      </c>
      <c r="BF40" s="2" t="str">
        <f>VLOOKUP([jobnumber],OvalData[],MATCH(Table2[[#Headers],[Inner Spring Length]],Table2[#Headers],0),0)</f>
        <v>Null</v>
      </c>
      <c r="BG40" s="2" t="str">
        <f>VLOOKUP([jobnumber],OvalData[],MATCH(Table2[[#Headers],[Inner Spring Stretch]],Table2[#Headers],0),0)</f>
        <v>Null</v>
      </c>
      <c r="BH40" s="2" t="str">
        <f>VLOOKUP([jobnumber],OvalData[],MATCH(Table2[[#Headers],[Inner Spring Torque]],Table2[#Headers],0),0)</f>
        <v>Null</v>
      </c>
      <c r="BI40" s="2" t="str">
        <f>VLOOKUP([jobnumber],OvalData[],MATCH(Table2[[#Headers],[Inner Spring Max Turns]],Table2[#Headers],0),0)</f>
        <v>Null</v>
      </c>
      <c r="BJ40" s="2" t="str">
        <f>VLOOKUP([jobnumber],OvalData[],MATCH(Table2[[#Headers],[Inner Spring Weight]],Table2[#Headers],0),0)</f>
        <v>Null</v>
      </c>
      <c r="BK40" s="2">
        <f>VLOOKUP([jobnumber],OvalData[],MATCH(Table2[[#Headers],[Cycles]],Table2[#Headers],0),0)</f>
        <v>0</v>
      </c>
      <c r="BL40" s="2">
        <f>VLOOKUP([jobnumber],OvalData[],MATCH(Table2[[#Headers],[Total Spring Torque]],Table2[#Headers],0),0)</f>
        <v>0</v>
      </c>
      <c r="BM40" s="2">
        <f>VLOOKUP([jobnumber],OvalData[],MATCH(Table2[[#Headers],[Total Spring Weight]],Table2[#Headers],0),0)</f>
        <v>0</v>
      </c>
      <c r="BN40" s="2">
        <f>VLOOKUP([jobnumber],OvalData[],MATCH(Table2[[#Headers],[Pipe Weight]],Table2[#Headers],0),0)</f>
        <v>688.24239999999998</v>
      </c>
      <c r="BO40" s="2">
        <f>VLOOKUP([jobnumber],OvalData[],MATCH(Table2[[#Headers],[Max Pipe Deflection]],Table2[#Headers],0),0)</f>
        <v>2309</v>
      </c>
      <c r="BP40" s="2">
        <f>VLOOKUP([jobnumber],OvalData[],MATCH(Table2[[#Headers],[Number Non-Insulated Wrap Slats]],Table2[#Headers],0),0)</f>
        <v>0</v>
      </c>
      <c r="BQ40" s="2">
        <f>VLOOKUP([jobnumber],OvalData[],MATCH(Table2[[#Headers],[Number of Insolated Top Slats]],Table2[#Headers],0),0)</f>
        <v>45</v>
      </c>
      <c r="BR40" s="2">
        <f>VLOOKUP([jobnumber],OvalData[],MATCH(Table2[[#Headers],[Insolated Total Slats]],Table2[#Headers],0),0)</f>
        <v>45</v>
      </c>
      <c r="BS40" s="2">
        <f>VLOOKUP([jobnumber],OvalData[],MATCH(Table2[[#Headers],[Number of Slats]],Table2[#Headers],0),0)</f>
        <v>44.69</v>
      </c>
      <c r="BT40" s="2">
        <f>VLOOKUP([jobnumber],OvalData[],MATCH(Table2[[#Headers],[Wrap]],Table2[#Headers],0),0)</f>
        <v>0</v>
      </c>
      <c r="BU40" s="2">
        <f>VLOOKUP([jobnumber],OvalData[],MATCH(Table2[[#Headers],[Wall Angle Thickness]],Table2[#Headers],0),0)</f>
        <v>0</v>
      </c>
      <c r="BV40" s="2">
        <f>VLOOKUP([jobnumber],OvalData[],MATCH(Table2[[#Headers],[windlocks]],Table2[#Headers],0),0)</f>
        <v>0</v>
      </c>
      <c r="BW40" s="2" t="str">
        <f>VLOOKUP([jobnumber],OvalData[],MATCH(Table2[[#Headers],[bottombartype]],Table2[#Headers],0),0)</f>
        <v>SPECIAL</v>
      </c>
      <c r="BX40" s="2">
        <f>VLOOKUP([jobnumber],OvalData[],MATCH(Table2[[#Headers],[endlockweight]],Table2[#Headers],0),0)</f>
        <v>0.17</v>
      </c>
      <c r="BY40" s="2">
        <f>VLOOKUP([jobnumber],OvalData[],MATCH(Table2[[#Headers],[Endlock Total Weight]],Table2[#Headers],0),0)</f>
        <v>7.5972999999999997</v>
      </c>
      <c r="BZ40" s="2">
        <f>VLOOKUP([jobnumber],OvalData[],MATCH(Table2[[#Headers],[Grille Weight]],Table2[#Headers],0),0)</f>
        <v>0</v>
      </c>
      <c r="CA40" s="2">
        <f>VLOOKUP([jobnumber],OvalData[],MATCH(Table2[[#Headers],[barrelrings]],Table2[#Headers],0),0)</f>
        <v>1</v>
      </c>
    </row>
    <row r="41" spans="2:79">
      <c r="B41" s="2" t="str">
        <f>VLOOKUP([jobnumber],OvalData[],MATCH(Table2[[#Headers],[Hand]],Table2[#Headers],0),0)</f>
        <v>RH</v>
      </c>
      <c r="C41" s="2" t="str">
        <f>VLOOKUP([jobnumber],OvalData[],MATCH(Table2[[#Headers],[Model]],Table2[#Headers],0),0)</f>
        <v>SFMPP</v>
      </c>
      <c r="D41" s="2" t="str">
        <f>VLOOKUP([jobnumber],OvalData[],MATCH(Table2[[#Headers],[width]],Table2[#Headers],0),0)</f>
        <v xml:space="preserve"> 18 ft.- 2"</v>
      </c>
      <c r="E41" s="2" t="str">
        <f>VLOOKUP([jobnumber],OvalData[],MATCH(Table2[[#Headers],[stopheight]],Table2[#Headers],0),0)</f>
        <v xml:space="preserve"> 10 ft.- 0"</v>
      </c>
      <c r="F41" s="2" t="str">
        <f>VLOOKUP([jobnumber],OvalData[],MATCH(Table2[[#Headers],[Between Brackets]],Table2[#Headers],0),0)</f>
        <v xml:space="preserve"> 18 ft.- 7 7/ 8"</v>
      </c>
      <c r="G41" s="2" t="str">
        <f>VLOOKUP([jobnumber],OvalData[],MATCH(Table2[[#Headers],[shell]],Table2[#Headers],0),0)</f>
        <v>6 INCH TUBE</v>
      </c>
      <c r="H41" s="2" t="str">
        <f>VLOOKUP([jobnumber],OvalData[],MATCH(Table2[[#Headers],[pipewidth]],Table2[#Headers],0),0)</f>
        <v xml:space="preserve"> 18 ft.- 1 3/ 8"</v>
      </c>
      <c r="I41" s="2">
        <f>VLOOKUP([jobnumber],OvalData[],MATCH(Table2[[#Headers],[Support Tubes]],Table2[#Headers],0),0)</f>
        <v>0</v>
      </c>
      <c r="J41" s="2">
        <f>VLOOKUP([jobnumber],OvalData[],MATCH(Table2[[#Headers],[Upset]],Table2[#Headers],0),0)</f>
        <v>2</v>
      </c>
      <c r="K41" s="2" t="str">
        <f>VLOOKUP([jobnumber],OvalData[],MATCH(Table2[[#Headers],[Guide Type]],Table2[#Headers],0),0)</f>
        <v>SN2-4 5/8-E</v>
      </c>
      <c r="L41" s="2" t="str">
        <f>VLOOKUP([jobnumber],OvalData[],MATCH(Table2[[#Headers],[Wall Angle]],Table2[#Headers],0),0)</f>
        <v xml:space="preserve"> 11 ft.- 8"</v>
      </c>
      <c r="M41" s="2" t="str">
        <f>VLOOKUP([jobnumber],OvalData[],MATCH(Table2[[#Headers],[Middle Angle]],Table2[#Headers],0),0)</f>
        <v xml:space="preserve"> 10 ft.- 4 1/ 2"</v>
      </c>
      <c r="N41" s="2" t="str">
        <f>VLOOKUP([jobnumber],OvalData[],MATCH(Table2[[#Headers],[Front Angle]],Table2[#Headers],0),0)</f>
        <v xml:space="preserve"> 10 ft.- 3"</v>
      </c>
      <c r="O41" s="2">
        <f>VLOOKUP([jobnumber],OvalData[],MATCH(Table2[[#Headers],[Pipe Center Line]],Table2[#Headers],0),0)</f>
        <v>131</v>
      </c>
      <c r="P41" s="2">
        <f>VLOOKUP([jobnumber],OvalData[],MATCH(Table2[[#Headers],[Heat Expansion Gap]],Table2[#Headers],0),0)</f>
        <v>0</v>
      </c>
      <c r="Q41" s="2">
        <f>VLOOKUP([jobnumber],OvalData[],MATCH(Table2[[#Headers],[Hanging Weight Closed]],Table2[#Headers],0),0)</f>
        <v>795</v>
      </c>
      <c r="R41" s="2">
        <f>VLOOKUP([jobnumber],OvalData[],MATCH(Table2[[#Headers],[Hanging Weight Open]],Table2[#Headers],0),0)</f>
        <v>140</v>
      </c>
      <c r="S41" s="2">
        <f>VLOOKUP([jobnumber],OvalData[],MATCH(Table2[[#Headers],[Initial Lever Arm]],Table2[#Headers],0),0)</f>
        <v>4.25</v>
      </c>
      <c r="T41" s="2">
        <f>VLOOKUP([jobnumber],OvalData[],MATCH(Table2[[#Headers],[Turns to Raise]],Table2[#Headers],0),0)</f>
        <v>3.5859999999999999</v>
      </c>
      <c r="U41" s="2">
        <f>VLOOKUP([jobnumber],OvalData[],MATCH(Table2[[#Headers],[Final Lever Arm]],Table2[#Headers],0),0)</f>
        <v>6.37</v>
      </c>
      <c r="V41" s="2">
        <f>VLOOKUP([jobnumber],OvalData[],MATCH(Table2[[#Headers],[Torque Required Closed]],Table2[#Headers],0),0)</f>
        <v>3377.9</v>
      </c>
      <c r="W41" s="2">
        <f>VLOOKUP([jobnumber],OvalData[],MATCH(Table2[[#Headers],[Torque Required Open]],Table2[#Headers],0),0)</f>
        <v>892</v>
      </c>
      <c r="X41" s="2">
        <f>VLOOKUP([jobnumber],OvalData[],MATCH(Table2[[#Headers],[Pre Turns]],Table2[#Headers],0),0)</f>
        <v>1.3332999999999999</v>
      </c>
      <c r="Y41" s="2">
        <f>VLOOKUP([jobnumber],OvalData[],MATCH(Table2[[#Headers],[Required Torque Per Turn]],Table2[#Headers],0),0)</f>
        <v>688</v>
      </c>
      <c r="Z41" s="2">
        <f>VLOOKUP([jobnumber],OvalData[],MATCH(Table2[[#Headers],[Total Turns]],Table2[#Headers],0),0)</f>
        <v>4.91</v>
      </c>
      <c r="AA41" s="2">
        <f>VLOOKUP([jobnumber],OvalData[],MATCH(Table2[[#Headers],[Grille Vision Section]],Table2[#Headers],0),0)</f>
        <v>0</v>
      </c>
      <c r="AB41" s="2">
        <f>VLOOKUP([jobnumber],OvalData[],MATCH(Table2[[#Headers],[Grille Amount]],Table2[#Headers],0),0)</f>
        <v>0</v>
      </c>
      <c r="AC41" s="2">
        <f>VLOOKUP([jobnumber],OvalData[],MATCH(Table2[[#Headers],[Grille Center]],Table2[#Headers],0),0)</f>
        <v>0</v>
      </c>
      <c r="AD41" s="2">
        <f>VLOOKUP([jobnumber],OvalData[],MATCH(Table2[[#Headers],[Grille Pattern]],Table2[#Headers],0),0)</f>
        <v>0</v>
      </c>
      <c r="AE41" s="2">
        <f>VLOOKUP([jobnumber],OvalData[],MATCH(Table2[[#Headers],[Grille First Tube]],Table2[#Headers],0),0)</f>
        <v>0</v>
      </c>
      <c r="AF41" s="2">
        <f>VLOOKUP([jobnumber],OvalData[],MATCH(Table2[[#Headers],[Grille Standard Tube]],Table2[#Headers],0),0)</f>
        <v>0</v>
      </c>
      <c r="AG41" s="2">
        <f>VLOOKUP([jobnumber],OvalData[],MATCH(Table2[[#Headers],[Grille Total Links]],Table2[#Headers],0),0)</f>
        <v>0</v>
      </c>
      <c r="AH41" s="2">
        <f>VLOOKUP([jobnumber],OvalData[],MATCH(Table2[[#Headers],[Grille Rods]],Table2[#Headers],0),0)</f>
        <v>0</v>
      </c>
      <c r="AI41" s="2">
        <f>VLOOKUP([jobnumber],OvalData[],MATCH(Table2[[#Headers],[Grille Rod Length]],Table2[#Headers],0),0)</f>
        <v>0</v>
      </c>
      <c r="AJ41" s="2">
        <f>VLOOKUP([jobnumber],OvalData[],MATCH(Table2[[#Headers],[slattype]],Table2[#Headers],0),0)</f>
        <v>2</v>
      </c>
      <c r="AK41" s="2">
        <f>VLOOKUP([jobnumber],OvalData[],MATCH(Table2[[#Headers],[slatgage]],Table2[#Headers],0),0)</f>
        <v>18</v>
      </c>
      <c r="AL41" s="2">
        <f>VLOOKUP([jobnumber],OvalData[],MATCH(Table2[[#Headers],[Numer of Top Slats]],Table2[#Headers],0),0)</f>
        <v>0</v>
      </c>
      <c r="AM41" s="2">
        <f>VLOOKUP([jobnumber],OvalData[],MATCH(Table2[[#Headers],[Number of Bottom Slats]],Table2[#Headers],0),0)</f>
        <v>0</v>
      </c>
      <c r="AN41" s="2">
        <f>VLOOKUP([jobnumber],OvalData[],MATCH(Table2[[#Headers],[Solid Bottom Height]],Table2[#Headers],0),0)</f>
        <v>0</v>
      </c>
      <c r="AO41" s="2" t="str">
        <f>VLOOKUP([jobnumber],OvalData[],MATCH(Table2[[#Headers],[slatlength]],Table2[#Headers],0),0)</f>
        <v xml:space="preserve"> 18 ft.- 5 7/ 8"</v>
      </c>
      <c r="AP41" s="2">
        <f>VLOOKUP([jobnumber],OvalData[],MATCH(Table2[[#Headers],[Bottom Slat Length]],Table2[#Headers],0),0)</f>
        <v>0</v>
      </c>
      <c r="AQ41" s="2">
        <f>VLOOKUP([jobnumber],OvalData[],MATCH(Table2[[#Headers],[Number of Perferated Slats]],Table2[#Headers],0),0)</f>
        <v>0</v>
      </c>
      <c r="AR41" s="2">
        <f>VLOOKUP([jobnumber],OvalData[],MATCH(Table2[[#Headers],[First Preferated Slat From End]],Table2[#Headers],0),0)</f>
        <v>0</v>
      </c>
      <c r="AS41" s="2">
        <f>VLOOKUP([jobnumber],OvalData[],MATCH(Table2[[#Headers],[First Preferated Slat From Bottom]],Table2[#Headers],0),0)</f>
        <v>0</v>
      </c>
      <c r="AT41" s="2">
        <f>VLOOKUP([jobnumber],OvalData[],MATCH(Table2[[#Headers],[Total Number of Slats]],Table2[#Headers],0),0)</f>
        <v>51</v>
      </c>
      <c r="AU41" s="2">
        <f>VLOOKUP([jobnumber],OvalData[],MATCH(Table2[[#Headers],[Bottom Bar Slope]],Table2[#Headers],0),0)</f>
        <v>0</v>
      </c>
      <c r="AV41" s="2">
        <f>VLOOKUP([jobnumber],OvalData[],MATCH(Table2[[#Headers],[Bottom Bar Weight]],Table2[#Headers],0),0)</f>
        <v>80.5</v>
      </c>
      <c r="AW41" s="2" t="str">
        <f>VLOOKUP([jobnumber],OvalData[],MATCH(Table2[[#Headers],[Outer Spring Gage]],Table2[#Headers],0),0)</f>
        <v>Null</v>
      </c>
      <c r="AX41" s="2" t="str">
        <f>VLOOKUP([jobnumber],OvalData[],MATCH(Table2[[#Headers],[Outer Spring OD]],Table2[#Headers],0),0)</f>
        <v>Null</v>
      </c>
      <c r="AY41" s="2" t="str">
        <f>VLOOKUP([jobnumber],OvalData[],MATCH(Table2[[#Headers],[Outer Spring Length]],Table2[#Headers],0),0)</f>
        <v>Null</v>
      </c>
      <c r="AZ41" s="2" t="str">
        <f>VLOOKUP([jobnumber],OvalData[],MATCH(Table2[[#Headers],[Outer Spring Stretch]],Table2[#Headers],0),0)</f>
        <v>Null</v>
      </c>
      <c r="BA41" s="2" t="str">
        <f>VLOOKUP([jobnumber],OvalData[],MATCH(Table2[[#Headers],[Outer Spring Torque]],Table2[#Headers],0),0)</f>
        <v>Null</v>
      </c>
      <c r="BB41" s="2" t="str">
        <f>VLOOKUP([jobnumber],OvalData[],MATCH(Table2[[#Headers],[Outer Spring Max Turns]],Table2[#Headers],0),0)</f>
        <v>Null</v>
      </c>
      <c r="BC41" s="2" t="str">
        <f>VLOOKUP([jobnumber],OvalData[],MATCH(Table2[[#Headers],[Outer Spring Weight]],Table2[#Headers],0),0)</f>
        <v>Null</v>
      </c>
      <c r="BD41" s="2" t="str">
        <f>VLOOKUP([jobnumber],OvalData[],MATCH(Table2[[#Headers],[Inner Spring Gage]],Table2[#Headers],0),0)</f>
        <v>Null</v>
      </c>
      <c r="BE41" s="2" t="str">
        <f>VLOOKUP([jobnumber],OvalData[],MATCH(Table2[[#Headers],[Inner Spring OD]],Table2[#Headers],0),0)</f>
        <v>Null</v>
      </c>
      <c r="BF41" s="2" t="str">
        <f>VLOOKUP([jobnumber],OvalData[],MATCH(Table2[[#Headers],[Inner Spring Length]],Table2[#Headers],0),0)</f>
        <v>Null</v>
      </c>
      <c r="BG41" s="2" t="str">
        <f>VLOOKUP([jobnumber],OvalData[],MATCH(Table2[[#Headers],[Inner Spring Stretch]],Table2[#Headers],0),0)</f>
        <v>Null</v>
      </c>
      <c r="BH41" s="2" t="str">
        <f>VLOOKUP([jobnumber],OvalData[],MATCH(Table2[[#Headers],[Inner Spring Torque]],Table2[#Headers],0),0)</f>
        <v>Null</v>
      </c>
      <c r="BI41" s="2" t="str">
        <f>VLOOKUP([jobnumber],OvalData[],MATCH(Table2[[#Headers],[Inner Spring Max Turns]],Table2[#Headers],0),0)</f>
        <v>Null</v>
      </c>
      <c r="BJ41" s="2" t="str">
        <f>VLOOKUP([jobnumber],OvalData[],MATCH(Table2[[#Headers],[Inner Spring Weight]],Table2[#Headers],0),0)</f>
        <v>Null</v>
      </c>
      <c r="BK41" s="2">
        <f>VLOOKUP([jobnumber],OvalData[],MATCH(Table2[[#Headers],[Cycles]],Table2[#Headers],0),0)</f>
        <v>0</v>
      </c>
      <c r="BL41" s="2">
        <f>VLOOKUP([jobnumber],OvalData[],MATCH(Table2[[#Headers],[Total Spring Torque]],Table2[#Headers],0),0)</f>
        <v>0</v>
      </c>
      <c r="BM41" s="2">
        <f>VLOOKUP([jobnumber],OvalData[],MATCH(Table2[[#Headers],[Total Spring Weight]],Table2[#Headers],0),0)</f>
        <v>0</v>
      </c>
      <c r="BN41" s="2">
        <f>VLOOKUP([jobnumber],OvalData[],MATCH(Table2[[#Headers],[Pipe Weight]],Table2[#Headers],0),0)</f>
        <v>688.24239999999998</v>
      </c>
      <c r="BO41" s="2">
        <f>VLOOKUP([jobnumber],OvalData[],MATCH(Table2[[#Headers],[Max Pipe Deflection]],Table2[#Headers],0),0)</f>
        <v>2309</v>
      </c>
      <c r="BP41" s="2">
        <f>VLOOKUP([jobnumber],OvalData[],MATCH(Table2[[#Headers],[Number Non-Insulated Wrap Slats]],Table2[#Headers],0),0)</f>
        <v>0</v>
      </c>
      <c r="BQ41" s="2">
        <f>VLOOKUP([jobnumber],OvalData[],MATCH(Table2[[#Headers],[Number of Insolated Top Slats]],Table2[#Headers],0),0)</f>
        <v>45</v>
      </c>
      <c r="BR41" s="2">
        <f>VLOOKUP([jobnumber],OvalData[],MATCH(Table2[[#Headers],[Insolated Total Slats]],Table2[#Headers],0),0)</f>
        <v>45</v>
      </c>
      <c r="BS41" s="2">
        <f>VLOOKUP([jobnumber],OvalData[],MATCH(Table2[[#Headers],[Number of Slats]],Table2[#Headers],0),0)</f>
        <v>44.69</v>
      </c>
      <c r="BT41" s="2">
        <f>VLOOKUP([jobnumber],OvalData[],MATCH(Table2[[#Headers],[Wrap]],Table2[#Headers],0),0)</f>
        <v>0</v>
      </c>
      <c r="BU41" s="2">
        <f>VLOOKUP([jobnumber],OvalData[],MATCH(Table2[[#Headers],[Wall Angle Thickness]],Table2[#Headers],0),0)</f>
        <v>0</v>
      </c>
      <c r="BV41" s="2">
        <f>VLOOKUP([jobnumber],OvalData[],MATCH(Table2[[#Headers],[windlocks]],Table2[#Headers],0),0)</f>
        <v>0</v>
      </c>
      <c r="BW41" s="2" t="str">
        <f>VLOOKUP([jobnumber],OvalData[],MATCH(Table2[[#Headers],[bottombartype]],Table2[#Headers],0),0)</f>
        <v>SPECIAL</v>
      </c>
      <c r="BX41" s="2">
        <f>VLOOKUP([jobnumber],OvalData[],MATCH(Table2[[#Headers],[endlockweight]],Table2[#Headers],0),0)</f>
        <v>0.17</v>
      </c>
      <c r="BY41" s="2">
        <f>VLOOKUP([jobnumber],OvalData[],MATCH(Table2[[#Headers],[Endlock Total Weight]],Table2[#Headers],0),0)</f>
        <v>7.5972999999999997</v>
      </c>
      <c r="BZ41" s="2">
        <f>VLOOKUP([jobnumber],OvalData[],MATCH(Table2[[#Headers],[Grille Weight]],Table2[#Headers],0),0)</f>
        <v>0</v>
      </c>
      <c r="CA41" s="2">
        <f>VLOOKUP([jobnumber],OvalData[],MATCH(Table2[[#Headers],[barrelrings]],Table2[#Headers],0),0)</f>
        <v>1</v>
      </c>
    </row>
    <row r="42" spans="2:79">
      <c r="B42" s="2" t="str">
        <f>VLOOKUP([jobnumber],OvalData[],MATCH(Table2[[#Headers],[Hand]],Table2[#Headers],0),0)</f>
        <v>RH</v>
      </c>
      <c r="C42" s="2" t="str">
        <f>VLOOKUP([jobnumber],OvalData[],MATCH(Table2[[#Headers],[Model]],Table2[#Headers],0),0)</f>
        <v>SFMPP</v>
      </c>
      <c r="D42" s="2" t="str">
        <f>VLOOKUP([jobnumber],OvalData[],MATCH(Table2[[#Headers],[width]],Table2[#Headers],0),0)</f>
        <v xml:space="preserve"> 18 ft.- 2"</v>
      </c>
      <c r="E42" s="2" t="str">
        <f>VLOOKUP([jobnumber],OvalData[],MATCH(Table2[[#Headers],[stopheight]],Table2[#Headers],0),0)</f>
        <v xml:space="preserve"> 10 ft.- 0"</v>
      </c>
      <c r="F42" s="2" t="str">
        <f>VLOOKUP([jobnumber],OvalData[],MATCH(Table2[[#Headers],[Between Brackets]],Table2[#Headers],0),0)</f>
        <v xml:space="preserve"> 18 ft.- 7 7/ 8"</v>
      </c>
      <c r="G42" s="2" t="str">
        <f>VLOOKUP([jobnumber],OvalData[],MATCH(Table2[[#Headers],[shell]],Table2[#Headers],0),0)</f>
        <v>6 INCH TUBE</v>
      </c>
      <c r="H42" s="2" t="str">
        <f>VLOOKUP([jobnumber],OvalData[],MATCH(Table2[[#Headers],[pipewidth]],Table2[#Headers],0),0)</f>
        <v xml:space="preserve"> 18 ft.- 1 3/ 8"</v>
      </c>
      <c r="I42" s="2">
        <f>VLOOKUP([jobnumber],OvalData[],MATCH(Table2[[#Headers],[Support Tubes]],Table2[#Headers],0),0)</f>
        <v>0</v>
      </c>
      <c r="J42" s="2">
        <f>VLOOKUP([jobnumber],OvalData[],MATCH(Table2[[#Headers],[Upset]],Table2[#Headers],0),0)</f>
        <v>2</v>
      </c>
      <c r="K42" s="2" t="str">
        <f>VLOOKUP([jobnumber],OvalData[],MATCH(Table2[[#Headers],[Guide Type]],Table2[#Headers],0),0)</f>
        <v>SN2-4 5/8-E</v>
      </c>
      <c r="L42" s="2" t="str">
        <f>VLOOKUP([jobnumber],OvalData[],MATCH(Table2[[#Headers],[Wall Angle]],Table2[#Headers],0),0)</f>
        <v xml:space="preserve"> 11 ft.- 8"</v>
      </c>
      <c r="M42" s="2" t="str">
        <f>VLOOKUP([jobnumber],OvalData[],MATCH(Table2[[#Headers],[Middle Angle]],Table2[#Headers],0),0)</f>
        <v xml:space="preserve"> 10 ft.- 4 1/ 2"</v>
      </c>
      <c r="N42" s="2" t="str">
        <f>VLOOKUP([jobnumber],OvalData[],MATCH(Table2[[#Headers],[Front Angle]],Table2[#Headers],0),0)</f>
        <v xml:space="preserve"> 10 ft.- 3"</v>
      </c>
      <c r="O42" s="2">
        <f>VLOOKUP([jobnumber],OvalData[],MATCH(Table2[[#Headers],[Pipe Center Line]],Table2[#Headers],0),0)</f>
        <v>131</v>
      </c>
      <c r="P42" s="2">
        <f>VLOOKUP([jobnumber],OvalData[],MATCH(Table2[[#Headers],[Heat Expansion Gap]],Table2[#Headers],0),0)</f>
        <v>0</v>
      </c>
      <c r="Q42" s="2">
        <f>VLOOKUP([jobnumber],OvalData[],MATCH(Table2[[#Headers],[Hanging Weight Closed]],Table2[#Headers],0),0)</f>
        <v>795</v>
      </c>
      <c r="R42" s="2">
        <f>VLOOKUP([jobnumber],OvalData[],MATCH(Table2[[#Headers],[Hanging Weight Open]],Table2[#Headers],0),0)</f>
        <v>140</v>
      </c>
      <c r="S42" s="2">
        <f>VLOOKUP([jobnumber],OvalData[],MATCH(Table2[[#Headers],[Initial Lever Arm]],Table2[#Headers],0),0)</f>
        <v>4.25</v>
      </c>
      <c r="T42" s="2">
        <f>VLOOKUP([jobnumber],OvalData[],MATCH(Table2[[#Headers],[Turns to Raise]],Table2[#Headers],0),0)</f>
        <v>3.5859999999999999</v>
      </c>
      <c r="U42" s="2">
        <f>VLOOKUP([jobnumber],OvalData[],MATCH(Table2[[#Headers],[Final Lever Arm]],Table2[#Headers],0),0)</f>
        <v>6.37</v>
      </c>
      <c r="V42" s="2">
        <f>VLOOKUP([jobnumber],OvalData[],MATCH(Table2[[#Headers],[Torque Required Closed]],Table2[#Headers],0),0)</f>
        <v>3377.9</v>
      </c>
      <c r="W42" s="2">
        <f>VLOOKUP([jobnumber],OvalData[],MATCH(Table2[[#Headers],[Torque Required Open]],Table2[#Headers],0),0)</f>
        <v>892</v>
      </c>
      <c r="X42" s="2">
        <f>VLOOKUP([jobnumber],OvalData[],MATCH(Table2[[#Headers],[Pre Turns]],Table2[#Headers],0),0)</f>
        <v>1.3332999999999999</v>
      </c>
      <c r="Y42" s="2">
        <f>VLOOKUP([jobnumber],OvalData[],MATCH(Table2[[#Headers],[Required Torque Per Turn]],Table2[#Headers],0),0)</f>
        <v>688</v>
      </c>
      <c r="Z42" s="2">
        <f>VLOOKUP([jobnumber],OvalData[],MATCH(Table2[[#Headers],[Total Turns]],Table2[#Headers],0),0)</f>
        <v>4.91</v>
      </c>
      <c r="AA42" s="2">
        <f>VLOOKUP([jobnumber],OvalData[],MATCH(Table2[[#Headers],[Grille Vision Section]],Table2[#Headers],0),0)</f>
        <v>0</v>
      </c>
      <c r="AB42" s="2">
        <f>VLOOKUP([jobnumber],OvalData[],MATCH(Table2[[#Headers],[Grille Amount]],Table2[#Headers],0),0)</f>
        <v>0</v>
      </c>
      <c r="AC42" s="2">
        <f>VLOOKUP([jobnumber],OvalData[],MATCH(Table2[[#Headers],[Grille Center]],Table2[#Headers],0),0)</f>
        <v>0</v>
      </c>
      <c r="AD42" s="2">
        <f>VLOOKUP([jobnumber],OvalData[],MATCH(Table2[[#Headers],[Grille Pattern]],Table2[#Headers],0),0)</f>
        <v>0</v>
      </c>
      <c r="AE42" s="2">
        <f>VLOOKUP([jobnumber],OvalData[],MATCH(Table2[[#Headers],[Grille First Tube]],Table2[#Headers],0),0)</f>
        <v>0</v>
      </c>
      <c r="AF42" s="2">
        <f>VLOOKUP([jobnumber],OvalData[],MATCH(Table2[[#Headers],[Grille Standard Tube]],Table2[#Headers],0),0)</f>
        <v>0</v>
      </c>
      <c r="AG42" s="2">
        <f>VLOOKUP([jobnumber],OvalData[],MATCH(Table2[[#Headers],[Grille Total Links]],Table2[#Headers],0),0)</f>
        <v>0</v>
      </c>
      <c r="AH42" s="2">
        <f>VLOOKUP([jobnumber],OvalData[],MATCH(Table2[[#Headers],[Grille Rods]],Table2[#Headers],0),0)</f>
        <v>0</v>
      </c>
      <c r="AI42" s="2">
        <f>VLOOKUP([jobnumber],OvalData[],MATCH(Table2[[#Headers],[Grille Rod Length]],Table2[#Headers],0),0)</f>
        <v>0</v>
      </c>
      <c r="AJ42" s="2">
        <f>VLOOKUP([jobnumber],OvalData[],MATCH(Table2[[#Headers],[slattype]],Table2[#Headers],0),0)</f>
        <v>2</v>
      </c>
      <c r="AK42" s="2">
        <f>VLOOKUP([jobnumber],OvalData[],MATCH(Table2[[#Headers],[slatgage]],Table2[#Headers],0),0)</f>
        <v>18</v>
      </c>
      <c r="AL42" s="2">
        <f>VLOOKUP([jobnumber],OvalData[],MATCH(Table2[[#Headers],[Numer of Top Slats]],Table2[#Headers],0),0)</f>
        <v>0</v>
      </c>
      <c r="AM42" s="2">
        <f>VLOOKUP([jobnumber],OvalData[],MATCH(Table2[[#Headers],[Number of Bottom Slats]],Table2[#Headers],0),0)</f>
        <v>0</v>
      </c>
      <c r="AN42" s="2">
        <f>VLOOKUP([jobnumber],OvalData[],MATCH(Table2[[#Headers],[Solid Bottom Height]],Table2[#Headers],0),0)</f>
        <v>0</v>
      </c>
      <c r="AO42" s="2" t="str">
        <f>VLOOKUP([jobnumber],OvalData[],MATCH(Table2[[#Headers],[slatlength]],Table2[#Headers],0),0)</f>
        <v xml:space="preserve"> 18 ft.- 5 7/ 8"</v>
      </c>
      <c r="AP42" s="2">
        <f>VLOOKUP([jobnumber],OvalData[],MATCH(Table2[[#Headers],[Bottom Slat Length]],Table2[#Headers],0),0)</f>
        <v>0</v>
      </c>
      <c r="AQ42" s="2">
        <f>VLOOKUP([jobnumber],OvalData[],MATCH(Table2[[#Headers],[Number of Perferated Slats]],Table2[#Headers],0),0)</f>
        <v>0</v>
      </c>
      <c r="AR42" s="2">
        <f>VLOOKUP([jobnumber],OvalData[],MATCH(Table2[[#Headers],[First Preferated Slat From End]],Table2[#Headers],0),0)</f>
        <v>0</v>
      </c>
      <c r="AS42" s="2">
        <f>VLOOKUP([jobnumber],OvalData[],MATCH(Table2[[#Headers],[First Preferated Slat From Bottom]],Table2[#Headers],0),0)</f>
        <v>0</v>
      </c>
      <c r="AT42" s="2">
        <f>VLOOKUP([jobnumber],OvalData[],MATCH(Table2[[#Headers],[Total Number of Slats]],Table2[#Headers],0),0)</f>
        <v>51</v>
      </c>
      <c r="AU42" s="2">
        <f>VLOOKUP([jobnumber],OvalData[],MATCH(Table2[[#Headers],[Bottom Bar Slope]],Table2[#Headers],0),0)</f>
        <v>0</v>
      </c>
      <c r="AV42" s="2">
        <f>VLOOKUP([jobnumber],OvalData[],MATCH(Table2[[#Headers],[Bottom Bar Weight]],Table2[#Headers],0),0)</f>
        <v>80.5</v>
      </c>
      <c r="AW42" s="2" t="str">
        <f>VLOOKUP([jobnumber],OvalData[],MATCH(Table2[[#Headers],[Outer Spring Gage]],Table2[#Headers],0),0)</f>
        <v>Null</v>
      </c>
      <c r="AX42" s="2" t="str">
        <f>VLOOKUP([jobnumber],OvalData[],MATCH(Table2[[#Headers],[Outer Spring OD]],Table2[#Headers],0),0)</f>
        <v>Null</v>
      </c>
      <c r="AY42" s="2" t="str">
        <f>VLOOKUP([jobnumber],OvalData[],MATCH(Table2[[#Headers],[Outer Spring Length]],Table2[#Headers],0),0)</f>
        <v>Null</v>
      </c>
      <c r="AZ42" s="2" t="str">
        <f>VLOOKUP([jobnumber],OvalData[],MATCH(Table2[[#Headers],[Outer Spring Stretch]],Table2[#Headers],0),0)</f>
        <v>Null</v>
      </c>
      <c r="BA42" s="2" t="str">
        <f>VLOOKUP([jobnumber],OvalData[],MATCH(Table2[[#Headers],[Outer Spring Torque]],Table2[#Headers],0),0)</f>
        <v>Null</v>
      </c>
      <c r="BB42" s="2" t="str">
        <f>VLOOKUP([jobnumber],OvalData[],MATCH(Table2[[#Headers],[Outer Spring Max Turns]],Table2[#Headers],0),0)</f>
        <v>Null</v>
      </c>
      <c r="BC42" s="2" t="str">
        <f>VLOOKUP([jobnumber],OvalData[],MATCH(Table2[[#Headers],[Outer Spring Weight]],Table2[#Headers],0),0)</f>
        <v>Null</v>
      </c>
      <c r="BD42" s="2" t="str">
        <f>VLOOKUP([jobnumber],OvalData[],MATCH(Table2[[#Headers],[Inner Spring Gage]],Table2[#Headers],0),0)</f>
        <v>Null</v>
      </c>
      <c r="BE42" s="2" t="str">
        <f>VLOOKUP([jobnumber],OvalData[],MATCH(Table2[[#Headers],[Inner Spring OD]],Table2[#Headers],0),0)</f>
        <v>Null</v>
      </c>
      <c r="BF42" s="2" t="str">
        <f>VLOOKUP([jobnumber],OvalData[],MATCH(Table2[[#Headers],[Inner Spring Length]],Table2[#Headers],0),0)</f>
        <v>Null</v>
      </c>
      <c r="BG42" s="2" t="str">
        <f>VLOOKUP([jobnumber],OvalData[],MATCH(Table2[[#Headers],[Inner Spring Stretch]],Table2[#Headers],0),0)</f>
        <v>Null</v>
      </c>
      <c r="BH42" s="2" t="str">
        <f>VLOOKUP([jobnumber],OvalData[],MATCH(Table2[[#Headers],[Inner Spring Torque]],Table2[#Headers],0),0)</f>
        <v>Null</v>
      </c>
      <c r="BI42" s="2" t="str">
        <f>VLOOKUP([jobnumber],OvalData[],MATCH(Table2[[#Headers],[Inner Spring Max Turns]],Table2[#Headers],0),0)</f>
        <v>Null</v>
      </c>
      <c r="BJ42" s="2" t="str">
        <f>VLOOKUP([jobnumber],OvalData[],MATCH(Table2[[#Headers],[Inner Spring Weight]],Table2[#Headers],0),0)</f>
        <v>Null</v>
      </c>
      <c r="BK42" s="2">
        <f>VLOOKUP([jobnumber],OvalData[],MATCH(Table2[[#Headers],[Cycles]],Table2[#Headers],0),0)</f>
        <v>0</v>
      </c>
      <c r="BL42" s="2">
        <f>VLOOKUP([jobnumber],OvalData[],MATCH(Table2[[#Headers],[Total Spring Torque]],Table2[#Headers],0),0)</f>
        <v>0</v>
      </c>
      <c r="BM42" s="2">
        <f>VLOOKUP([jobnumber],OvalData[],MATCH(Table2[[#Headers],[Total Spring Weight]],Table2[#Headers],0),0)</f>
        <v>0</v>
      </c>
      <c r="BN42" s="2">
        <f>VLOOKUP([jobnumber],OvalData[],MATCH(Table2[[#Headers],[Pipe Weight]],Table2[#Headers],0),0)</f>
        <v>688.24239999999998</v>
      </c>
      <c r="BO42" s="2">
        <f>VLOOKUP([jobnumber],OvalData[],MATCH(Table2[[#Headers],[Max Pipe Deflection]],Table2[#Headers],0),0)</f>
        <v>2309</v>
      </c>
      <c r="BP42" s="2">
        <f>VLOOKUP([jobnumber],OvalData[],MATCH(Table2[[#Headers],[Number Non-Insulated Wrap Slats]],Table2[#Headers],0),0)</f>
        <v>0</v>
      </c>
      <c r="BQ42" s="2">
        <f>VLOOKUP([jobnumber],OvalData[],MATCH(Table2[[#Headers],[Number of Insolated Top Slats]],Table2[#Headers],0),0)</f>
        <v>45</v>
      </c>
      <c r="BR42" s="2">
        <f>VLOOKUP([jobnumber],OvalData[],MATCH(Table2[[#Headers],[Insolated Total Slats]],Table2[#Headers],0),0)</f>
        <v>45</v>
      </c>
      <c r="BS42" s="2">
        <f>VLOOKUP([jobnumber],OvalData[],MATCH(Table2[[#Headers],[Number of Slats]],Table2[#Headers],0),0)</f>
        <v>44.69</v>
      </c>
      <c r="BT42" s="2">
        <f>VLOOKUP([jobnumber],OvalData[],MATCH(Table2[[#Headers],[Wrap]],Table2[#Headers],0),0)</f>
        <v>0</v>
      </c>
      <c r="BU42" s="2">
        <f>VLOOKUP([jobnumber],OvalData[],MATCH(Table2[[#Headers],[Wall Angle Thickness]],Table2[#Headers],0),0)</f>
        <v>0</v>
      </c>
      <c r="BV42" s="2">
        <f>VLOOKUP([jobnumber],OvalData[],MATCH(Table2[[#Headers],[windlocks]],Table2[#Headers],0),0)</f>
        <v>0</v>
      </c>
      <c r="BW42" s="2" t="str">
        <f>VLOOKUP([jobnumber],OvalData[],MATCH(Table2[[#Headers],[bottombartype]],Table2[#Headers],0),0)</f>
        <v>SPECIAL</v>
      </c>
      <c r="BX42" s="2">
        <f>VLOOKUP([jobnumber],OvalData[],MATCH(Table2[[#Headers],[endlockweight]],Table2[#Headers],0),0)</f>
        <v>0.17</v>
      </c>
      <c r="BY42" s="2">
        <f>VLOOKUP([jobnumber],OvalData[],MATCH(Table2[[#Headers],[Endlock Total Weight]],Table2[#Headers],0),0)</f>
        <v>7.5972999999999997</v>
      </c>
      <c r="BZ42" s="2">
        <f>VLOOKUP([jobnumber],OvalData[],MATCH(Table2[[#Headers],[Grille Weight]],Table2[#Headers],0),0)</f>
        <v>0</v>
      </c>
      <c r="CA42" s="2">
        <f>VLOOKUP([jobnumber],OvalData[],MATCH(Table2[[#Headers],[barrelrings]],Table2[#Headers],0),0)</f>
        <v>1</v>
      </c>
    </row>
    <row r="43" spans="2:79">
      <c r="B43" s="2" t="str">
        <f>VLOOKUP([jobnumber],OvalData[],MATCH(Table2[[#Headers],[Hand]],Table2[#Headers],0),0)</f>
        <v>RH</v>
      </c>
      <c r="C43" s="2" t="str">
        <f>VLOOKUP([jobnumber],OvalData[],MATCH(Table2[[#Headers],[Model]],Table2[#Headers],0),0)</f>
        <v>SFMPP</v>
      </c>
      <c r="D43" s="2" t="str">
        <f>VLOOKUP([jobnumber],OvalData[],MATCH(Table2[[#Headers],[width]],Table2[#Headers],0),0)</f>
        <v xml:space="preserve"> 18 ft.- 2"</v>
      </c>
      <c r="E43" s="2" t="str">
        <f>VLOOKUP([jobnumber],OvalData[],MATCH(Table2[[#Headers],[stopheight]],Table2[#Headers],0),0)</f>
        <v xml:space="preserve"> 10 ft.- 0"</v>
      </c>
      <c r="F43" s="2" t="str">
        <f>VLOOKUP([jobnumber],OvalData[],MATCH(Table2[[#Headers],[Between Brackets]],Table2[#Headers],0),0)</f>
        <v xml:space="preserve"> 18 ft.- 7 7/ 8"</v>
      </c>
      <c r="G43" s="2" t="str">
        <f>VLOOKUP([jobnumber],OvalData[],MATCH(Table2[[#Headers],[shell]],Table2[#Headers],0),0)</f>
        <v>6 INCH TUBE</v>
      </c>
      <c r="H43" s="2" t="str">
        <f>VLOOKUP([jobnumber],OvalData[],MATCH(Table2[[#Headers],[pipewidth]],Table2[#Headers],0),0)</f>
        <v xml:space="preserve"> 18 ft.- 1 3/ 8"</v>
      </c>
      <c r="I43" s="2">
        <f>VLOOKUP([jobnumber],OvalData[],MATCH(Table2[[#Headers],[Support Tubes]],Table2[#Headers],0),0)</f>
        <v>0</v>
      </c>
      <c r="J43" s="2">
        <f>VLOOKUP([jobnumber],OvalData[],MATCH(Table2[[#Headers],[Upset]],Table2[#Headers],0),0)</f>
        <v>2</v>
      </c>
      <c r="K43" s="2" t="str">
        <f>VLOOKUP([jobnumber],OvalData[],MATCH(Table2[[#Headers],[Guide Type]],Table2[#Headers],0),0)</f>
        <v>SN2-4 5/8-E</v>
      </c>
      <c r="L43" s="2" t="str">
        <f>VLOOKUP([jobnumber],OvalData[],MATCH(Table2[[#Headers],[Wall Angle]],Table2[#Headers],0),0)</f>
        <v xml:space="preserve"> 11 ft.- 8"</v>
      </c>
      <c r="M43" s="2" t="str">
        <f>VLOOKUP([jobnumber],OvalData[],MATCH(Table2[[#Headers],[Middle Angle]],Table2[#Headers],0),0)</f>
        <v xml:space="preserve"> 10 ft.- 4 1/ 2"</v>
      </c>
      <c r="N43" s="2" t="str">
        <f>VLOOKUP([jobnumber],OvalData[],MATCH(Table2[[#Headers],[Front Angle]],Table2[#Headers],0),0)</f>
        <v xml:space="preserve"> 10 ft.- 3"</v>
      </c>
      <c r="O43" s="2">
        <f>VLOOKUP([jobnumber],OvalData[],MATCH(Table2[[#Headers],[Pipe Center Line]],Table2[#Headers],0),0)</f>
        <v>131</v>
      </c>
      <c r="P43" s="2">
        <f>VLOOKUP([jobnumber],OvalData[],MATCH(Table2[[#Headers],[Heat Expansion Gap]],Table2[#Headers],0),0)</f>
        <v>0</v>
      </c>
      <c r="Q43" s="2">
        <f>VLOOKUP([jobnumber],OvalData[],MATCH(Table2[[#Headers],[Hanging Weight Closed]],Table2[#Headers],0),0)</f>
        <v>795</v>
      </c>
      <c r="R43" s="2">
        <f>VLOOKUP([jobnumber],OvalData[],MATCH(Table2[[#Headers],[Hanging Weight Open]],Table2[#Headers],0),0)</f>
        <v>140</v>
      </c>
      <c r="S43" s="2">
        <f>VLOOKUP([jobnumber],OvalData[],MATCH(Table2[[#Headers],[Initial Lever Arm]],Table2[#Headers],0),0)</f>
        <v>4.25</v>
      </c>
      <c r="T43" s="2">
        <f>VLOOKUP([jobnumber],OvalData[],MATCH(Table2[[#Headers],[Turns to Raise]],Table2[#Headers],0),0)</f>
        <v>3.5859999999999999</v>
      </c>
      <c r="U43" s="2">
        <f>VLOOKUP([jobnumber],OvalData[],MATCH(Table2[[#Headers],[Final Lever Arm]],Table2[#Headers],0),0)</f>
        <v>6.37</v>
      </c>
      <c r="V43" s="2">
        <f>VLOOKUP([jobnumber],OvalData[],MATCH(Table2[[#Headers],[Torque Required Closed]],Table2[#Headers],0),0)</f>
        <v>3377.9</v>
      </c>
      <c r="W43" s="2">
        <f>VLOOKUP([jobnumber],OvalData[],MATCH(Table2[[#Headers],[Torque Required Open]],Table2[#Headers],0),0)</f>
        <v>892</v>
      </c>
      <c r="X43" s="2">
        <f>VLOOKUP([jobnumber],OvalData[],MATCH(Table2[[#Headers],[Pre Turns]],Table2[#Headers],0),0)</f>
        <v>1.3332999999999999</v>
      </c>
      <c r="Y43" s="2">
        <f>VLOOKUP([jobnumber],OvalData[],MATCH(Table2[[#Headers],[Required Torque Per Turn]],Table2[#Headers],0),0)</f>
        <v>688</v>
      </c>
      <c r="Z43" s="2">
        <f>VLOOKUP([jobnumber],OvalData[],MATCH(Table2[[#Headers],[Total Turns]],Table2[#Headers],0),0)</f>
        <v>4.91</v>
      </c>
      <c r="AA43" s="2">
        <f>VLOOKUP([jobnumber],OvalData[],MATCH(Table2[[#Headers],[Grille Vision Section]],Table2[#Headers],0),0)</f>
        <v>0</v>
      </c>
      <c r="AB43" s="2">
        <f>VLOOKUP([jobnumber],OvalData[],MATCH(Table2[[#Headers],[Grille Amount]],Table2[#Headers],0),0)</f>
        <v>0</v>
      </c>
      <c r="AC43" s="2">
        <f>VLOOKUP([jobnumber],OvalData[],MATCH(Table2[[#Headers],[Grille Center]],Table2[#Headers],0),0)</f>
        <v>0</v>
      </c>
      <c r="AD43" s="2">
        <f>VLOOKUP([jobnumber],OvalData[],MATCH(Table2[[#Headers],[Grille Pattern]],Table2[#Headers],0),0)</f>
        <v>0</v>
      </c>
      <c r="AE43" s="2">
        <f>VLOOKUP([jobnumber],OvalData[],MATCH(Table2[[#Headers],[Grille First Tube]],Table2[#Headers],0),0)</f>
        <v>0</v>
      </c>
      <c r="AF43" s="2">
        <f>VLOOKUP([jobnumber],OvalData[],MATCH(Table2[[#Headers],[Grille Standard Tube]],Table2[#Headers],0),0)</f>
        <v>0</v>
      </c>
      <c r="AG43" s="2">
        <f>VLOOKUP([jobnumber],OvalData[],MATCH(Table2[[#Headers],[Grille Total Links]],Table2[#Headers],0),0)</f>
        <v>0</v>
      </c>
      <c r="AH43" s="2">
        <f>VLOOKUP([jobnumber],OvalData[],MATCH(Table2[[#Headers],[Grille Rods]],Table2[#Headers],0),0)</f>
        <v>0</v>
      </c>
      <c r="AI43" s="2">
        <f>VLOOKUP([jobnumber],OvalData[],MATCH(Table2[[#Headers],[Grille Rod Length]],Table2[#Headers],0),0)</f>
        <v>0</v>
      </c>
      <c r="AJ43" s="2">
        <f>VLOOKUP([jobnumber],OvalData[],MATCH(Table2[[#Headers],[slattype]],Table2[#Headers],0),0)</f>
        <v>2</v>
      </c>
      <c r="AK43" s="2">
        <f>VLOOKUP([jobnumber],OvalData[],MATCH(Table2[[#Headers],[slatgage]],Table2[#Headers],0),0)</f>
        <v>18</v>
      </c>
      <c r="AL43" s="2">
        <f>VLOOKUP([jobnumber],OvalData[],MATCH(Table2[[#Headers],[Numer of Top Slats]],Table2[#Headers],0),0)</f>
        <v>0</v>
      </c>
      <c r="AM43" s="2">
        <f>VLOOKUP([jobnumber],OvalData[],MATCH(Table2[[#Headers],[Number of Bottom Slats]],Table2[#Headers],0),0)</f>
        <v>0</v>
      </c>
      <c r="AN43" s="2">
        <f>VLOOKUP([jobnumber],OvalData[],MATCH(Table2[[#Headers],[Solid Bottom Height]],Table2[#Headers],0),0)</f>
        <v>0</v>
      </c>
      <c r="AO43" s="2" t="str">
        <f>VLOOKUP([jobnumber],OvalData[],MATCH(Table2[[#Headers],[slatlength]],Table2[#Headers],0),0)</f>
        <v xml:space="preserve"> 18 ft.- 5 7/ 8"</v>
      </c>
      <c r="AP43" s="2">
        <f>VLOOKUP([jobnumber],OvalData[],MATCH(Table2[[#Headers],[Bottom Slat Length]],Table2[#Headers],0),0)</f>
        <v>0</v>
      </c>
      <c r="AQ43" s="2">
        <f>VLOOKUP([jobnumber],OvalData[],MATCH(Table2[[#Headers],[Number of Perferated Slats]],Table2[#Headers],0),0)</f>
        <v>0</v>
      </c>
      <c r="AR43" s="2">
        <f>VLOOKUP([jobnumber],OvalData[],MATCH(Table2[[#Headers],[First Preferated Slat From End]],Table2[#Headers],0),0)</f>
        <v>0</v>
      </c>
      <c r="AS43" s="2">
        <f>VLOOKUP([jobnumber],OvalData[],MATCH(Table2[[#Headers],[First Preferated Slat From Bottom]],Table2[#Headers],0),0)</f>
        <v>0</v>
      </c>
      <c r="AT43" s="2">
        <f>VLOOKUP([jobnumber],OvalData[],MATCH(Table2[[#Headers],[Total Number of Slats]],Table2[#Headers],0),0)</f>
        <v>51</v>
      </c>
      <c r="AU43" s="2">
        <f>VLOOKUP([jobnumber],OvalData[],MATCH(Table2[[#Headers],[Bottom Bar Slope]],Table2[#Headers],0),0)</f>
        <v>0</v>
      </c>
      <c r="AV43" s="2">
        <f>VLOOKUP([jobnumber],OvalData[],MATCH(Table2[[#Headers],[Bottom Bar Weight]],Table2[#Headers],0),0)</f>
        <v>80.5</v>
      </c>
      <c r="AW43" s="2" t="str">
        <f>VLOOKUP([jobnumber],OvalData[],MATCH(Table2[[#Headers],[Outer Spring Gage]],Table2[#Headers],0),0)</f>
        <v>Null</v>
      </c>
      <c r="AX43" s="2" t="str">
        <f>VLOOKUP([jobnumber],OvalData[],MATCH(Table2[[#Headers],[Outer Spring OD]],Table2[#Headers],0),0)</f>
        <v>Null</v>
      </c>
      <c r="AY43" s="2" t="str">
        <f>VLOOKUP([jobnumber],OvalData[],MATCH(Table2[[#Headers],[Outer Spring Length]],Table2[#Headers],0),0)</f>
        <v>Null</v>
      </c>
      <c r="AZ43" s="2" t="str">
        <f>VLOOKUP([jobnumber],OvalData[],MATCH(Table2[[#Headers],[Outer Spring Stretch]],Table2[#Headers],0),0)</f>
        <v>Null</v>
      </c>
      <c r="BA43" s="2" t="str">
        <f>VLOOKUP([jobnumber],OvalData[],MATCH(Table2[[#Headers],[Outer Spring Torque]],Table2[#Headers],0),0)</f>
        <v>Null</v>
      </c>
      <c r="BB43" s="2" t="str">
        <f>VLOOKUP([jobnumber],OvalData[],MATCH(Table2[[#Headers],[Outer Spring Max Turns]],Table2[#Headers],0),0)</f>
        <v>Null</v>
      </c>
      <c r="BC43" s="2" t="str">
        <f>VLOOKUP([jobnumber],OvalData[],MATCH(Table2[[#Headers],[Outer Spring Weight]],Table2[#Headers],0),0)</f>
        <v>Null</v>
      </c>
      <c r="BD43" s="2" t="str">
        <f>VLOOKUP([jobnumber],OvalData[],MATCH(Table2[[#Headers],[Inner Spring Gage]],Table2[#Headers],0),0)</f>
        <v>Null</v>
      </c>
      <c r="BE43" s="2" t="str">
        <f>VLOOKUP([jobnumber],OvalData[],MATCH(Table2[[#Headers],[Inner Spring OD]],Table2[#Headers],0),0)</f>
        <v>Null</v>
      </c>
      <c r="BF43" s="2" t="str">
        <f>VLOOKUP([jobnumber],OvalData[],MATCH(Table2[[#Headers],[Inner Spring Length]],Table2[#Headers],0),0)</f>
        <v>Null</v>
      </c>
      <c r="BG43" s="2" t="str">
        <f>VLOOKUP([jobnumber],OvalData[],MATCH(Table2[[#Headers],[Inner Spring Stretch]],Table2[#Headers],0),0)</f>
        <v>Null</v>
      </c>
      <c r="BH43" s="2" t="str">
        <f>VLOOKUP([jobnumber],OvalData[],MATCH(Table2[[#Headers],[Inner Spring Torque]],Table2[#Headers],0),0)</f>
        <v>Null</v>
      </c>
      <c r="BI43" s="2" t="str">
        <f>VLOOKUP([jobnumber],OvalData[],MATCH(Table2[[#Headers],[Inner Spring Max Turns]],Table2[#Headers],0),0)</f>
        <v>Null</v>
      </c>
      <c r="BJ43" s="2" t="str">
        <f>VLOOKUP([jobnumber],OvalData[],MATCH(Table2[[#Headers],[Inner Spring Weight]],Table2[#Headers],0),0)</f>
        <v>Null</v>
      </c>
      <c r="BK43" s="2">
        <f>VLOOKUP([jobnumber],OvalData[],MATCH(Table2[[#Headers],[Cycles]],Table2[#Headers],0),0)</f>
        <v>0</v>
      </c>
      <c r="BL43" s="2">
        <f>VLOOKUP([jobnumber],OvalData[],MATCH(Table2[[#Headers],[Total Spring Torque]],Table2[#Headers],0),0)</f>
        <v>0</v>
      </c>
      <c r="BM43" s="2">
        <f>VLOOKUP([jobnumber],OvalData[],MATCH(Table2[[#Headers],[Total Spring Weight]],Table2[#Headers],0),0)</f>
        <v>0</v>
      </c>
      <c r="BN43" s="2">
        <f>VLOOKUP([jobnumber],OvalData[],MATCH(Table2[[#Headers],[Pipe Weight]],Table2[#Headers],0),0)</f>
        <v>688.24239999999998</v>
      </c>
      <c r="BO43" s="2">
        <f>VLOOKUP([jobnumber],OvalData[],MATCH(Table2[[#Headers],[Max Pipe Deflection]],Table2[#Headers],0),0)</f>
        <v>2309</v>
      </c>
      <c r="BP43" s="2">
        <f>VLOOKUP([jobnumber],OvalData[],MATCH(Table2[[#Headers],[Number Non-Insulated Wrap Slats]],Table2[#Headers],0),0)</f>
        <v>0</v>
      </c>
      <c r="BQ43" s="2">
        <f>VLOOKUP([jobnumber],OvalData[],MATCH(Table2[[#Headers],[Number of Insolated Top Slats]],Table2[#Headers],0),0)</f>
        <v>45</v>
      </c>
      <c r="BR43" s="2">
        <f>VLOOKUP([jobnumber],OvalData[],MATCH(Table2[[#Headers],[Insolated Total Slats]],Table2[#Headers],0),0)</f>
        <v>45</v>
      </c>
      <c r="BS43" s="2">
        <f>VLOOKUP([jobnumber],OvalData[],MATCH(Table2[[#Headers],[Number of Slats]],Table2[#Headers],0),0)</f>
        <v>44.69</v>
      </c>
      <c r="BT43" s="2">
        <f>VLOOKUP([jobnumber],OvalData[],MATCH(Table2[[#Headers],[Wrap]],Table2[#Headers],0),0)</f>
        <v>0</v>
      </c>
      <c r="BU43" s="2">
        <f>VLOOKUP([jobnumber],OvalData[],MATCH(Table2[[#Headers],[Wall Angle Thickness]],Table2[#Headers],0),0)</f>
        <v>0</v>
      </c>
      <c r="BV43" s="2">
        <f>VLOOKUP([jobnumber],OvalData[],MATCH(Table2[[#Headers],[windlocks]],Table2[#Headers],0),0)</f>
        <v>0</v>
      </c>
      <c r="BW43" s="2" t="str">
        <f>VLOOKUP([jobnumber],OvalData[],MATCH(Table2[[#Headers],[bottombartype]],Table2[#Headers],0),0)</f>
        <v>SPECIAL</v>
      </c>
      <c r="BX43" s="2">
        <f>VLOOKUP([jobnumber],OvalData[],MATCH(Table2[[#Headers],[endlockweight]],Table2[#Headers],0),0)</f>
        <v>0.17</v>
      </c>
      <c r="BY43" s="2">
        <f>VLOOKUP([jobnumber],OvalData[],MATCH(Table2[[#Headers],[Endlock Total Weight]],Table2[#Headers],0),0)</f>
        <v>7.5972999999999997</v>
      </c>
      <c r="BZ43" s="2">
        <f>VLOOKUP([jobnumber],OvalData[],MATCH(Table2[[#Headers],[Grille Weight]],Table2[#Headers],0),0)</f>
        <v>0</v>
      </c>
      <c r="CA43" s="2">
        <f>VLOOKUP([jobnumber],OvalData[],MATCH(Table2[[#Headers],[barrelrings]],Table2[#Headers],0),0)</f>
        <v>1</v>
      </c>
    </row>
    <row r="44" spans="2:79">
      <c r="B44" s="2" t="str">
        <f>VLOOKUP([jobnumber],OvalData[],MATCH(Table2[[#Headers],[Hand]],Table2[#Headers],0),0)</f>
        <v>RH</v>
      </c>
      <c r="C44" s="2" t="str">
        <f>VLOOKUP([jobnumber],OvalData[],MATCH(Table2[[#Headers],[Model]],Table2[#Headers],0),0)</f>
        <v>SFMPP</v>
      </c>
      <c r="D44" s="2" t="str">
        <f>VLOOKUP([jobnumber],OvalData[],MATCH(Table2[[#Headers],[width]],Table2[#Headers],0),0)</f>
        <v xml:space="preserve"> 18 ft.- 2"</v>
      </c>
      <c r="E44" s="2" t="str">
        <f>VLOOKUP([jobnumber],OvalData[],MATCH(Table2[[#Headers],[stopheight]],Table2[#Headers],0),0)</f>
        <v xml:space="preserve"> 10 ft.- 0"</v>
      </c>
      <c r="F44" s="2" t="str">
        <f>VLOOKUP([jobnumber],OvalData[],MATCH(Table2[[#Headers],[Between Brackets]],Table2[#Headers],0),0)</f>
        <v xml:space="preserve"> 18 ft.- 7 7/ 8"</v>
      </c>
      <c r="G44" s="2" t="str">
        <f>VLOOKUP([jobnumber],OvalData[],MATCH(Table2[[#Headers],[shell]],Table2[#Headers],0),0)</f>
        <v>6 INCH TUBE</v>
      </c>
      <c r="H44" s="2" t="str">
        <f>VLOOKUP([jobnumber],OvalData[],MATCH(Table2[[#Headers],[pipewidth]],Table2[#Headers],0),0)</f>
        <v xml:space="preserve"> 18 ft.- 1 3/ 8"</v>
      </c>
      <c r="I44" s="2">
        <f>VLOOKUP([jobnumber],OvalData[],MATCH(Table2[[#Headers],[Support Tubes]],Table2[#Headers],0),0)</f>
        <v>0</v>
      </c>
      <c r="J44" s="2">
        <f>VLOOKUP([jobnumber],OvalData[],MATCH(Table2[[#Headers],[Upset]],Table2[#Headers],0),0)</f>
        <v>2</v>
      </c>
      <c r="K44" s="2" t="str">
        <f>VLOOKUP([jobnumber],OvalData[],MATCH(Table2[[#Headers],[Guide Type]],Table2[#Headers],0),0)</f>
        <v>SN2-4 5/8-E</v>
      </c>
      <c r="L44" s="2" t="str">
        <f>VLOOKUP([jobnumber],OvalData[],MATCH(Table2[[#Headers],[Wall Angle]],Table2[#Headers],0),0)</f>
        <v xml:space="preserve"> 11 ft.- 8"</v>
      </c>
      <c r="M44" s="2" t="str">
        <f>VLOOKUP([jobnumber],OvalData[],MATCH(Table2[[#Headers],[Middle Angle]],Table2[#Headers],0),0)</f>
        <v xml:space="preserve"> 10 ft.- 4 1/ 2"</v>
      </c>
      <c r="N44" s="2" t="str">
        <f>VLOOKUP([jobnumber],OvalData[],MATCH(Table2[[#Headers],[Front Angle]],Table2[#Headers],0),0)</f>
        <v xml:space="preserve"> 10 ft.- 3"</v>
      </c>
      <c r="O44" s="2">
        <f>VLOOKUP([jobnumber],OvalData[],MATCH(Table2[[#Headers],[Pipe Center Line]],Table2[#Headers],0),0)</f>
        <v>131</v>
      </c>
      <c r="P44" s="2">
        <f>VLOOKUP([jobnumber],OvalData[],MATCH(Table2[[#Headers],[Heat Expansion Gap]],Table2[#Headers],0),0)</f>
        <v>0</v>
      </c>
      <c r="Q44" s="2">
        <f>VLOOKUP([jobnumber],OvalData[],MATCH(Table2[[#Headers],[Hanging Weight Closed]],Table2[#Headers],0),0)</f>
        <v>795</v>
      </c>
      <c r="R44" s="2">
        <f>VLOOKUP([jobnumber],OvalData[],MATCH(Table2[[#Headers],[Hanging Weight Open]],Table2[#Headers],0),0)</f>
        <v>140</v>
      </c>
      <c r="S44" s="2">
        <f>VLOOKUP([jobnumber],OvalData[],MATCH(Table2[[#Headers],[Initial Lever Arm]],Table2[#Headers],0),0)</f>
        <v>4.25</v>
      </c>
      <c r="T44" s="2">
        <f>VLOOKUP([jobnumber],OvalData[],MATCH(Table2[[#Headers],[Turns to Raise]],Table2[#Headers],0),0)</f>
        <v>3.5859999999999999</v>
      </c>
      <c r="U44" s="2">
        <f>VLOOKUP([jobnumber],OvalData[],MATCH(Table2[[#Headers],[Final Lever Arm]],Table2[#Headers],0),0)</f>
        <v>6.37</v>
      </c>
      <c r="V44" s="2">
        <f>VLOOKUP([jobnumber],OvalData[],MATCH(Table2[[#Headers],[Torque Required Closed]],Table2[#Headers],0),0)</f>
        <v>3377.9</v>
      </c>
      <c r="W44" s="2">
        <f>VLOOKUP([jobnumber],OvalData[],MATCH(Table2[[#Headers],[Torque Required Open]],Table2[#Headers],0),0)</f>
        <v>892</v>
      </c>
      <c r="X44" s="2">
        <f>VLOOKUP([jobnumber],OvalData[],MATCH(Table2[[#Headers],[Pre Turns]],Table2[#Headers],0),0)</f>
        <v>1.3332999999999999</v>
      </c>
      <c r="Y44" s="2">
        <f>VLOOKUP([jobnumber],OvalData[],MATCH(Table2[[#Headers],[Required Torque Per Turn]],Table2[#Headers],0),0)</f>
        <v>688</v>
      </c>
      <c r="Z44" s="2">
        <f>VLOOKUP([jobnumber],OvalData[],MATCH(Table2[[#Headers],[Total Turns]],Table2[#Headers],0),0)</f>
        <v>4.91</v>
      </c>
      <c r="AA44" s="2">
        <f>VLOOKUP([jobnumber],OvalData[],MATCH(Table2[[#Headers],[Grille Vision Section]],Table2[#Headers],0),0)</f>
        <v>0</v>
      </c>
      <c r="AB44" s="2">
        <f>VLOOKUP([jobnumber],OvalData[],MATCH(Table2[[#Headers],[Grille Amount]],Table2[#Headers],0),0)</f>
        <v>0</v>
      </c>
      <c r="AC44" s="2">
        <f>VLOOKUP([jobnumber],OvalData[],MATCH(Table2[[#Headers],[Grille Center]],Table2[#Headers],0),0)</f>
        <v>0</v>
      </c>
      <c r="AD44" s="2">
        <f>VLOOKUP([jobnumber],OvalData[],MATCH(Table2[[#Headers],[Grille Pattern]],Table2[#Headers],0),0)</f>
        <v>0</v>
      </c>
      <c r="AE44" s="2">
        <f>VLOOKUP([jobnumber],OvalData[],MATCH(Table2[[#Headers],[Grille First Tube]],Table2[#Headers],0),0)</f>
        <v>0</v>
      </c>
      <c r="AF44" s="2">
        <f>VLOOKUP([jobnumber],OvalData[],MATCH(Table2[[#Headers],[Grille Standard Tube]],Table2[#Headers],0),0)</f>
        <v>0</v>
      </c>
      <c r="AG44" s="2">
        <f>VLOOKUP([jobnumber],OvalData[],MATCH(Table2[[#Headers],[Grille Total Links]],Table2[#Headers],0),0)</f>
        <v>0</v>
      </c>
      <c r="AH44" s="2">
        <f>VLOOKUP([jobnumber],OvalData[],MATCH(Table2[[#Headers],[Grille Rods]],Table2[#Headers],0),0)</f>
        <v>0</v>
      </c>
      <c r="AI44" s="2">
        <f>VLOOKUP([jobnumber],OvalData[],MATCH(Table2[[#Headers],[Grille Rod Length]],Table2[#Headers],0),0)</f>
        <v>0</v>
      </c>
      <c r="AJ44" s="2">
        <f>VLOOKUP([jobnumber],OvalData[],MATCH(Table2[[#Headers],[slattype]],Table2[#Headers],0),0)</f>
        <v>2</v>
      </c>
      <c r="AK44" s="2">
        <f>VLOOKUP([jobnumber],OvalData[],MATCH(Table2[[#Headers],[slatgage]],Table2[#Headers],0),0)</f>
        <v>18</v>
      </c>
      <c r="AL44" s="2">
        <f>VLOOKUP([jobnumber],OvalData[],MATCH(Table2[[#Headers],[Numer of Top Slats]],Table2[#Headers],0),0)</f>
        <v>0</v>
      </c>
      <c r="AM44" s="2">
        <f>VLOOKUP([jobnumber],OvalData[],MATCH(Table2[[#Headers],[Number of Bottom Slats]],Table2[#Headers],0),0)</f>
        <v>0</v>
      </c>
      <c r="AN44" s="2">
        <f>VLOOKUP([jobnumber],OvalData[],MATCH(Table2[[#Headers],[Solid Bottom Height]],Table2[#Headers],0),0)</f>
        <v>0</v>
      </c>
      <c r="AO44" s="2" t="str">
        <f>VLOOKUP([jobnumber],OvalData[],MATCH(Table2[[#Headers],[slatlength]],Table2[#Headers],0),0)</f>
        <v xml:space="preserve"> 18 ft.- 5 7/ 8"</v>
      </c>
      <c r="AP44" s="2">
        <f>VLOOKUP([jobnumber],OvalData[],MATCH(Table2[[#Headers],[Bottom Slat Length]],Table2[#Headers],0),0)</f>
        <v>0</v>
      </c>
      <c r="AQ44" s="2">
        <f>VLOOKUP([jobnumber],OvalData[],MATCH(Table2[[#Headers],[Number of Perferated Slats]],Table2[#Headers],0),0)</f>
        <v>0</v>
      </c>
      <c r="AR44" s="2">
        <f>VLOOKUP([jobnumber],OvalData[],MATCH(Table2[[#Headers],[First Preferated Slat From End]],Table2[#Headers],0),0)</f>
        <v>0</v>
      </c>
      <c r="AS44" s="2">
        <f>VLOOKUP([jobnumber],OvalData[],MATCH(Table2[[#Headers],[First Preferated Slat From Bottom]],Table2[#Headers],0),0)</f>
        <v>0</v>
      </c>
      <c r="AT44" s="2">
        <f>VLOOKUP([jobnumber],OvalData[],MATCH(Table2[[#Headers],[Total Number of Slats]],Table2[#Headers],0),0)</f>
        <v>51</v>
      </c>
      <c r="AU44" s="2">
        <f>VLOOKUP([jobnumber],OvalData[],MATCH(Table2[[#Headers],[Bottom Bar Slope]],Table2[#Headers],0),0)</f>
        <v>0</v>
      </c>
      <c r="AV44" s="2">
        <f>VLOOKUP([jobnumber],OvalData[],MATCH(Table2[[#Headers],[Bottom Bar Weight]],Table2[#Headers],0),0)</f>
        <v>80.5</v>
      </c>
      <c r="AW44" s="2" t="str">
        <f>VLOOKUP([jobnumber],OvalData[],MATCH(Table2[[#Headers],[Outer Spring Gage]],Table2[#Headers],0),0)</f>
        <v>Null</v>
      </c>
      <c r="AX44" s="2" t="str">
        <f>VLOOKUP([jobnumber],OvalData[],MATCH(Table2[[#Headers],[Outer Spring OD]],Table2[#Headers],0),0)</f>
        <v>Null</v>
      </c>
      <c r="AY44" s="2" t="str">
        <f>VLOOKUP([jobnumber],OvalData[],MATCH(Table2[[#Headers],[Outer Spring Length]],Table2[#Headers],0),0)</f>
        <v>Null</v>
      </c>
      <c r="AZ44" s="2" t="str">
        <f>VLOOKUP([jobnumber],OvalData[],MATCH(Table2[[#Headers],[Outer Spring Stretch]],Table2[#Headers],0),0)</f>
        <v>Null</v>
      </c>
      <c r="BA44" s="2" t="str">
        <f>VLOOKUP([jobnumber],OvalData[],MATCH(Table2[[#Headers],[Outer Spring Torque]],Table2[#Headers],0),0)</f>
        <v>Null</v>
      </c>
      <c r="BB44" s="2" t="str">
        <f>VLOOKUP([jobnumber],OvalData[],MATCH(Table2[[#Headers],[Outer Spring Max Turns]],Table2[#Headers],0),0)</f>
        <v>Null</v>
      </c>
      <c r="BC44" s="2" t="str">
        <f>VLOOKUP([jobnumber],OvalData[],MATCH(Table2[[#Headers],[Outer Spring Weight]],Table2[#Headers],0),0)</f>
        <v>Null</v>
      </c>
      <c r="BD44" s="2" t="str">
        <f>VLOOKUP([jobnumber],OvalData[],MATCH(Table2[[#Headers],[Inner Spring Gage]],Table2[#Headers],0),0)</f>
        <v>Null</v>
      </c>
      <c r="BE44" s="2" t="str">
        <f>VLOOKUP([jobnumber],OvalData[],MATCH(Table2[[#Headers],[Inner Spring OD]],Table2[#Headers],0),0)</f>
        <v>Null</v>
      </c>
      <c r="BF44" s="2" t="str">
        <f>VLOOKUP([jobnumber],OvalData[],MATCH(Table2[[#Headers],[Inner Spring Length]],Table2[#Headers],0),0)</f>
        <v>Null</v>
      </c>
      <c r="BG44" s="2" t="str">
        <f>VLOOKUP([jobnumber],OvalData[],MATCH(Table2[[#Headers],[Inner Spring Stretch]],Table2[#Headers],0),0)</f>
        <v>Null</v>
      </c>
      <c r="BH44" s="2" t="str">
        <f>VLOOKUP([jobnumber],OvalData[],MATCH(Table2[[#Headers],[Inner Spring Torque]],Table2[#Headers],0),0)</f>
        <v>Null</v>
      </c>
      <c r="BI44" s="2" t="str">
        <f>VLOOKUP([jobnumber],OvalData[],MATCH(Table2[[#Headers],[Inner Spring Max Turns]],Table2[#Headers],0),0)</f>
        <v>Null</v>
      </c>
      <c r="BJ44" s="2" t="str">
        <f>VLOOKUP([jobnumber],OvalData[],MATCH(Table2[[#Headers],[Inner Spring Weight]],Table2[#Headers],0),0)</f>
        <v>Null</v>
      </c>
      <c r="BK44" s="2">
        <f>VLOOKUP([jobnumber],OvalData[],MATCH(Table2[[#Headers],[Cycles]],Table2[#Headers],0),0)</f>
        <v>0</v>
      </c>
      <c r="BL44" s="2">
        <f>VLOOKUP([jobnumber],OvalData[],MATCH(Table2[[#Headers],[Total Spring Torque]],Table2[#Headers],0),0)</f>
        <v>0</v>
      </c>
      <c r="BM44" s="2">
        <f>VLOOKUP([jobnumber],OvalData[],MATCH(Table2[[#Headers],[Total Spring Weight]],Table2[#Headers],0),0)</f>
        <v>0</v>
      </c>
      <c r="BN44" s="2">
        <f>VLOOKUP([jobnumber],OvalData[],MATCH(Table2[[#Headers],[Pipe Weight]],Table2[#Headers],0),0)</f>
        <v>688.24239999999998</v>
      </c>
      <c r="BO44" s="2">
        <f>VLOOKUP([jobnumber],OvalData[],MATCH(Table2[[#Headers],[Max Pipe Deflection]],Table2[#Headers],0),0)</f>
        <v>2309</v>
      </c>
      <c r="BP44" s="2">
        <f>VLOOKUP([jobnumber],OvalData[],MATCH(Table2[[#Headers],[Number Non-Insulated Wrap Slats]],Table2[#Headers],0),0)</f>
        <v>0</v>
      </c>
      <c r="BQ44" s="2">
        <f>VLOOKUP([jobnumber],OvalData[],MATCH(Table2[[#Headers],[Number of Insolated Top Slats]],Table2[#Headers],0),0)</f>
        <v>45</v>
      </c>
      <c r="BR44" s="2">
        <f>VLOOKUP([jobnumber],OvalData[],MATCH(Table2[[#Headers],[Insolated Total Slats]],Table2[#Headers],0),0)</f>
        <v>45</v>
      </c>
      <c r="BS44" s="2">
        <f>VLOOKUP([jobnumber],OvalData[],MATCH(Table2[[#Headers],[Number of Slats]],Table2[#Headers],0),0)</f>
        <v>44.69</v>
      </c>
      <c r="BT44" s="2">
        <f>VLOOKUP([jobnumber],OvalData[],MATCH(Table2[[#Headers],[Wrap]],Table2[#Headers],0),0)</f>
        <v>0</v>
      </c>
      <c r="BU44" s="2">
        <f>VLOOKUP([jobnumber],OvalData[],MATCH(Table2[[#Headers],[Wall Angle Thickness]],Table2[#Headers],0),0)</f>
        <v>0</v>
      </c>
      <c r="BV44" s="2">
        <f>VLOOKUP([jobnumber],OvalData[],MATCH(Table2[[#Headers],[windlocks]],Table2[#Headers],0),0)</f>
        <v>0</v>
      </c>
      <c r="BW44" s="2" t="str">
        <f>VLOOKUP([jobnumber],OvalData[],MATCH(Table2[[#Headers],[bottombartype]],Table2[#Headers],0),0)</f>
        <v>SPECIAL</v>
      </c>
      <c r="BX44" s="2">
        <f>VLOOKUP([jobnumber],OvalData[],MATCH(Table2[[#Headers],[endlockweight]],Table2[#Headers],0),0)</f>
        <v>0.17</v>
      </c>
      <c r="BY44" s="2">
        <f>VLOOKUP([jobnumber],OvalData[],MATCH(Table2[[#Headers],[Endlock Total Weight]],Table2[#Headers],0),0)</f>
        <v>7.5972999999999997</v>
      </c>
      <c r="BZ44" s="2">
        <f>VLOOKUP([jobnumber],OvalData[],MATCH(Table2[[#Headers],[Grille Weight]],Table2[#Headers],0),0)</f>
        <v>0</v>
      </c>
      <c r="CA44" s="2">
        <f>VLOOKUP([jobnumber],OvalData[],MATCH(Table2[[#Headers],[barrelrings]],Table2[#Headers],0),0)</f>
        <v>1</v>
      </c>
    </row>
    <row r="45" spans="2:79">
      <c r="B45" s="2" t="str">
        <f>VLOOKUP([jobnumber],OvalData[],MATCH(Table2[[#Headers],[Hand]],Table2[#Headers],0),0)</f>
        <v>RH</v>
      </c>
      <c r="C45" s="2" t="str">
        <f>VLOOKUP([jobnumber],OvalData[],MATCH(Table2[[#Headers],[Model]],Table2[#Headers],0),0)</f>
        <v>SFMPP</v>
      </c>
      <c r="D45" s="2" t="str">
        <f>VLOOKUP([jobnumber],OvalData[],MATCH(Table2[[#Headers],[width]],Table2[#Headers],0),0)</f>
        <v xml:space="preserve"> 18 ft.- 2"</v>
      </c>
      <c r="E45" s="2" t="str">
        <f>VLOOKUP([jobnumber],OvalData[],MATCH(Table2[[#Headers],[stopheight]],Table2[#Headers],0),0)</f>
        <v xml:space="preserve"> 10 ft.- 0"</v>
      </c>
      <c r="F45" s="2" t="str">
        <f>VLOOKUP([jobnumber],OvalData[],MATCH(Table2[[#Headers],[Between Brackets]],Table2[#Headers],0),0)</f>
        <v xml:space="preserve"> 18 ft.- 7 7/ 8"</v>
      </c>
      <c r="G45" s="2" t="str">
        <f>VLOOKUP([jobnumber],OvalData[],MATCH(Table2[[#Headers],[shell]],Table2[#Headers],0),0)</f>
        <v>6 INCH TUBE</v>
      </c>
      <c r="H45" s="2" t="str">
        <f>VLOOKUP([jobnumber],OvalData[],MATCH(Table2[[#Headers],[pipewidth]],Table2[#Headers],0),0)</f>
        <v xml:space="preserve"> 18 ft.- 1 3/ 8"</v>
      </c>
      <c r="I45" s="2">
        <f>VLOOKUP([jobnumber],OvalData[],MATCH(Table2[[#Headers],[Support Tubes]],Table2[#Headers],0),0)</f>
        <v>0</v>
      </c>
      <c r="J45" s="2">
        <f>VLOOKUP([jobnumber],OvalData[],MATCH(Table2[[#Headers],[Upset]],Table2[#Headers],0),0)</f>
        <v>2</v>
      </c>
      <c r="K45" s="2" t="str">
        <f>VLOOKUP([jobnumber],OvalData[],MATCH(Table2[[#Headers],[Guide Type]],Table2[#Headers],0),0)</f>
        <v>SN2-4 5/8-E</v>
      </c>
      <c r="L45" s="2" t="str">
        <f>VLOOKUP([jobnumber],OvalData[],MATCH(Table2[[#Headers],[Wall Angle]],Table2[#Headers],0),0)</f>
        <v xml:space="preserve"> 11 ft.- 8"</v>
      </c>
      <c r="M45" s="2" t="str">
        <f>VLOOKUP([jobnumber],OvalData[],MATCH(Table2[[#Headers],[Middle Angle]],Table2[#Headers],0),0)</f>
        <v xml:space="preserve"> 10 ft.- 4 1/ 2"</v>
      </c>
      <c r="N45" s="2" t="str">
        <f>VLOOKUP([jobnumber],OvalData[],MATCH(Table2[[#Headers],[Front Angle]],Table2[#Headers],0),0)</f>
        <v xml:space="preserve"> 10 ft.- 3"</v>
      </c>
      <c r="O45" s="2">
        <f>VLOOKUP([jobnumber],OvalData[],MATCH(Table2[[#Headers],[Pipe Center Line]],Table2[#Headers],0),0)</f>
        <v>131</v>
      </c>
      <c r="P45" s="2">
        <f>VLOOKUP([jobnumber],OvalData[],MATCH(Table2[[#Headers],[Heat Expansion Gap]],Table2[#Headers],0),0)</f>
        <v>0</v>
      </c>
      <c r="Q45" s="2">
        <f>VLOOKUP([jobnumber],OvalData[],MATCH(Table2[[#Headers],[Hanging Weight Closed]],Table2[#Headers],0),0)</f>
        <v>795</v>
      </c>
      <c r="R45" s="2">
        <f>VLOOKUP([jobnumber],OvalData[],MATCH(Table2[[#Headers],[Hanging Weight Open]],Table2[#Headers],0),0)</f>
        <v>140</v>
      </c>
      <c r="S45" s="2">
        <f>VLOOKUP([jobnumber],OvalData[],MATCH(Table2[[#Headers],[Initial Lever Arm]],Table2[#Headers],0),0)</f>
        <v>4.25</v>
      </c>
      <c r="T45" s="2">
        <f>VLOOKUP([jobnumber],OvalData[],MATCH(Table2[[#Headers],[Turns to Raise]],Table2[#Headers],0),0)</f>
        <v>3.5859999999999999</v>
      </c>
      <c r="U45" s="2">
        <f>VLOOKUP([jobnumber],OvalData[],MATCH(Table2[[#Headers],[Final Lever Arm]],Table2[#Headers],0),0)</f>
        <v>6.37</v>
      </c>
      <c r="V45" s="2">
        <f>VLOOKUP([jobnumber],OvalData[],MATCH(Table2[[#Headers],[Torque Required Closed]],Table2[#Headers],0),0)</f>
        <v>3377.9</v>
      </c>
      <c r="W45" s="2">
        <f>VLOOKUP([jobnumber],OvalData[],MATCH(Table2[[#Headers],[Torque Required Open]],Table2[#Headers],0),0)</f>
        <v>892</v>
      </c>
      <c r="X45" s="2">
        <f>VLOOKUP([jobnumber],OvalData[],MATCH(Table2[[#Headers],[Pre Turns]],Table2[#Headers],0),0)</f>
        <v>1.3332999999999999</v>
      </c>
      <c r="Y45" s="2">
        <f>VLOOKUP([jobnumber],OvalData[],MATCH(Table2[[#Headers],[Required Torque Per Turn]],Table2[#Headers],0),0)</f>
        <v>688</v>
      </c>
      <c r="Z45" s="2">
        <f>VLOOKUP([jobnumber],OvalData[],MATCH(Table2[[#Headers],[Total Turns]],Table2[#Headers],0),0)</f>
        <v>4.91</v>
      </c>
      <c r="AA45" s="2">
        <f>VLOOKUP([jobnumber],OvalData[],MATCH(Table2[[#Headers],[Grille Vision Section]],Table2[#Headers],0),0)</f>
        <v>0</v>
      </c>
      <c r="AB45" s="2">
        <f>VLOOKUP([jobnumber],OvalData[],MATCH(Table2[[#Headers],[Grille Amount]],Table2[#Headers],0),0)</f>
        <v>0</v>
      </c>
      <c r="AC45" s="2">
        <f>VLOOKUP([jobnumber],OvalData[],MATCH(Table2[[#Headers],[Grille Center]],Table2[#Headers],0),0)</f>
        <v>0</v>
      </c>
      <c r="AD45" s="2">
        <f>VLOOKUP([jobnumber],OvalData[],MATCH(Table2[[#Headers],[Grille Pattern]],Table2[#Headers],0),0)</f>
        <v>0</v>
      </c>
      <c r="AE45" s="2">
        <f>VLOOKUP([jobnumber],OvalData[],MATCH(Table2[[#Headers],[Grille First Tube]],Table2[#Headers],0),0)</f>
        <v>0</v>
      </c>
      <c r="AF45" s="2">
        <f>VLOOKUP([jobnumber],OvalData[],MATCH(Table2[[#Headers],[Grille Standard Tube]],Table2[#Headers],0),0)</f>
        <v>0</v>
      </c>
      <c r="AG45" s="2">
        <f>VLOOKUP([jobnumber],OvalData[],MATCH(Table2[[#Headers],[Grille Total Links]],Table2[#Headers],0),0)</f>
        <v>0</v>
      </c>
      <c r="AH45" s="2">
        <f>VLOOKUP([jobnumber],OvalData[],MATCH(Table2[[#Headers],[Grille Rods]],Table2[#Headers],0),0)</f>
        <v>0</v>
      </c>
      <c r="AI45" s="2">
        <f>VLOOKUP([jobnumber],OvalData[],MATCH(Table2[[#Headers],[Grille Rod Length]],Table2[#Headers],0),0)</f>
        <v>0</v>
      </c>
      <c r="AJ45" s="2">
        <f>VLOOKUP([jobnumber],OvalData[],MATCH(Table2[[#Headers],[slattype]],Table2[#Headers],0),0)</f>
        <v>2</v>
      </c>
      <c r="AK45" s="2">
        <f>VLOOKUP([jobnumber],OvalData[],MATCH(Table2[[#Headers],[slatgage]],Table2[#Headers],0),0)</f>
        <v>18</v>
      </c>
      <c r="AL45" s="2">
        <f>VLOOKUP([jobnumber],OvalData[],MATCH(Table2[[#Headers],[Numer of Top Slats]],Table2[#Headers],0),0)</f>
        <v>0</v>
      </c>
      <c r="AM45" s="2">
        <f>VLOOKUP([jobnumber],OvalData[],MATCH(Table2[[#Headers],[Number of Bottom Slats]],Table2[#Headers],0),0)</f>
        <v>0</v>
      </c>
      <c r="AN45" s="2">
        <f>VLOOKUP([jobnumber],OvalData[],MATCH(Table2[[#Headers],[Solid Bottom Height]],Table2[#Headers],0),0)</f>
        <v>0</v>
      </c>
      <c r="AO45" s="2" t="str">
        <f>VLOOKUP([jobnumber],OvalData[],MATCH(Table2[[#Headers],[slatlength]],Table2[#Headers],0),0)</f>
        <v xml:space="preserve"> 18 ft.- 5 7/ 8"</v>
      </c>
      <c r="AP45" s="2">
        <f>VLOOKUP([jobnumber],OvalData[],MATCH(Table2[[#Headers],[Bottom Slat Length]],Table2[#Headers],0),0)</f>
        <v>0</v>
      </c>
      <c r="AQ45" s="2">
        <f>VLOOKUP([jobnumber],OvalData[],MATCH(Table2[[#Headers],[Number of Perferated Slats]],Table2[#Headers],0),0)</f>
        <v>0</v>
      </c>
      <c r="AR45" s="2">
        <f>VLOOKUP([jobnumber],OvalData[],MATCH(Table2[[#Headers],[First Preferated Slat From End]],Table2[#Headers],0),0)</f>
        <v>0</v>
      </c>
      <c r="AS45" s="2">
        <f>VLOOKUP([jobnumber],OvalData[],MATCH(Table2[[#Headers],[First Preferated Slat From Bottom]],Table2[#Headers],0),0)</f>
        <v>0</v>
      </c>
      <c r="AT45" s="2">
        <f>VLOOKUP([jobnumber],OvalData[],MATCH(Table2[[#Headers],[Total Number of Slats]],Table2[#Headers],0),0)</f>
        <v>51</v>
      </c>
      <c r="AU45" s="2">
        <f>VLOOKUP([jobnumber],OvalData[],MATCH(Table2[[#Headers],[Bottom Bar Slope]],Table2[#Headers],0),0)</f>
        <v>0</v>
      </c>
      <c r="AV45" s="2">
        <f>VLOOKUP([jobnumber],OvalData[],MATCH(Table2[[#Headers],[Bottom Bar Weight]],Table2[#Headers],0),0)</f>
        <v>80.5</v>
      </c>
      <c r="AW45" s="2" t="str">
        <f>VLOOKUP([jobnumber],OvalData[],MATCH(Table2[[#Headers],[Outer Spring Gage]],Table2[#Headers],0),0)</f>
        <v>Null</v>
      </c>
      <c r="AX45" s="2" t="str">
        <f>VLOOKUP([jobnumber],OvalData[],MATCH(Table2[[#Headers],[Outer Spring OD]],Table2[#Headers],0),0)</f>
        <v>Null</v>
      </c>
      <c r="AY45" s="2" t="str">
        <f>VLOOKUP([jobnumber],OvalData[],MATCH(Table2[[#Headers],[Outer Spring Length]],Table2[#Headers],0),0)</f>
        <v>Null</v>
      </c>
      <c r="AZ45" s="2" t="str">
        <f>VLOOKUP([jobnumber],OvalData[],MATCH(Table2[[#Headers],[Outer Spring Stretch]],Table2[#Headers],0),0)</f>
        <v>Null</v>
      </c>
      <c r="BA45" s="2" t="str">
        <f>VLOOKUP([jobnumber],OvalData[],MATCH(Table2[[#Headers],[Outer Spring Torque]],Table2[#Headers],0),0)</f>
        <v>Null</v>
      </c>
      <c r="BB45" s="2" t="str">
        <f>VLOOKUP([jobnumber],OvalData[],MATCH(Table2[[#Headers],[Outer Spring Max Turns]],Table2[#Headers],0),0)</f>
        <v>Null</v>
      </c>
      <c r="BC45" s="2" t="str">
        <f>VLOOKUP([jobnumber],OvalData[],MATCH(Table2[[#Headers],[Outer Spring Weight]],Table2[#Headers],0),0)</f>
        <v>Null</v>
      </c>
      <c r="BD45" s="2" t="str">
        <f>VLOOKUP([jobnumber],OvalData[],MATCH(Table2[[#Headers],[Inner Spring Gage]],Table2[#Headers],0),0)</f>
        <v>Null</v>
      </c>
      <c r="BE45" s="2" t="str">
        <f>VLOOKUP([jobnumber],OvalData[],MATCH(Table2[[#Headers],[Inner Spring OD]],Table2[#Headers],0),0)</f>
        <v>Null</v>
      </c>
      <c r="BF45" s="2" t="str">
        <f>VLOOKUP([jobnumber],OvalData[],MATCH(Table2[[#Headers],[Inner Spring Length]],Table2[#Headers],0),0)</f>
        <v>Null</v>
      </c>
      <c r="BG45" s="2" t="str">
        <f>VLOOKUP([jobnumber],OvalData[],MATCH(Table2[[#Headers],[Inner Spring Stretch]],Table2[#Headers],0),0)</f>
        <v>Null</v>
      </c>
      <c r="BH45" s="2" t="str">
        <f>VLOOKUP([jobnumber],OvalData[],MATCH(Table2[[#Headers],[Inner Spring Torque]],Table2[#Headers],0),0)</f>
        <v>Null</v>
      </c>
      <c r="BI45" s="2" t="str">
        <f>VLOOKUP([jobnumber],OvalData[],MATCH(Table2[[#Headers],[Inner Spring Max Turns]],Table2[#Headers],0),0)</f>
        <v>Null</v>
      </c>
      <c r="BJ45" s="2" t="str">
        <f>VLOOKUP([jobnumber],OvalData[],MATCH(Table2[[#Headers],[Inner Spring Weight]],Table2[#Headers],0),0)</f>
        <v>Null</v>
      </c>
      <c r="BK45" s="2">
        <f>VLOOKUP([jobnumber],OvalData[],MATCH(Table2[[#Headers],[Cycles]],Table2[#Headers],0),0)</f>
        <v>0</v>
      </c>
      <c r="BL45" s="2">
        <f>VLOOKUP([jobnumber],OvalData[],MATCH(Table2[[#Headers],[Total Spring Torque]],Table2[#Headers],0),0)</f>
        <v>0</v>
      </c>
      <c r="BM45" s="2">
        <f>VLOOKUP([jobnumber],OvalData[],MATCH(Table2[[#Headers],[Total Spring Weight]],Table2[#Headers],0),0)</f>
        <v>0</v>
      </c>
      <c r="BN45" s="2">
        <f>VLOOKUP([jobnumber],OvalData[],MATCH(Table2[[#Headers],[Pipe Weight]],Table2[#Headers],0),0)</f>
        <v>688.24239999999998</v>
      </c>
      <c r="BO45" s="2">
        <f>VLOOKUP([jobnumber],OvalData[],MATCH(Table2[[#Headers],[Max Pipe Deflection]],Table2[#Headers],0),0)</f>
        <v>2309</v>
      </c>
      <c r="BP45" s="2">
        <f>VLOOKUP([jobnumber],OvalData[],MATCH(Table2[[#Headers],[Number Non-Insulated Wrap Slats]],Table2[#Headers],0),0)</f>
        <v>0</v>
      </c>
      <c r="BQ45" s="2">
        <f>VLOOKUP([jobnumber],OvalData[],MATCH(Table2[[#Headers],[Number of Insolated Top Slats]],Table2[#Headers],0),0)</f>
        <v>45</v>
      </c>
      <c r="BR45" s="2">
        <f>VLOOKUP([jobnumber],OvalData[],MATCH(Table2[[#Headers],[Insolated Total Slats]],Table2[#Headers],0),0)</f>
        <v>45</v>
      </c>
      <c r="BS45" s="2">
        <f>VLOOKUP([jobnumber],OvalData[],MATCH(Table2[[#Headers],[Number of Slats]],Table2[#Headers],0),0)</f>
        <v>44.69</v>
      </c>
      <c r="BT45" s="2">
        <f>VLOOKUP([jobnumber],OvalData[],MATCH(Table2[[#Headers],[Wrap]],Table2[#Headers],0),0)</f>
        <v>0</v>
      </c>
      <c r="BU45" s="2">
        <f>VLOOKUP([jobnumber],OvalData[],MATCH(Table2[[#Headers],[Wall Angle Thickness]],Table2[#Headers],0),0)</f>
        <v>0</v>
      </c>
      <c r="BV45" s="2">
        <f>VLOOKUP([jobnumber],OvalData[],MATCH(Table2[[#Headers],[windlocks]],Table2[#Headers],0),0)</f>
        <v>0</v>
      </c>
      <c r="BW45" s="2" t="str">
        <f>VLOOKUP([jobnumber],OvalData[],MATCH(Table2[[#Headers],[bottombartype]],Table2[#Headers],0),0)</f>
        <v>SPECIAL</v>
      </c>
      <c r="BX45" s="2">
        <f>VLOOKUP([jobnumber],OvalData[],MATCH(Table2[[#Headers],[endlockweight]],Table2[#Headers],0),0)</f>
        <v>0.17</v>
      </c>
      <c r="BY45" s="2">
        <f>VLOOKUP([jobnumber],OvalData[],MATCH(Table2[[#Headers],[Endlock Total Weight]],Table2[#Headers],0),0)</f>
        <v>7.5972999999999997</v>
      </c>
      <c r="BZ45" s="2">
        <f>VLOOKUP([jobnumber],OvalData[],MATCH(Table2[[#Headers],[Grille Weight]],Table2[#Headers],0),0)</f>
        <v>0</v>
      </c>
      <c r="CA45" s="2">
        <f>VLOOKUP([jobnumber],OvalData[],MATCH(Table2[[#Headers],[barrelrings]],Table2[#Headers],0),0)</f>
        <v>1</v>
      </c>
    </row>
    <row r="46" spans="2:79">
      <c r="B46" s="2" t="str">
        <f>VLOOKUP([jobnumber],OvalData[],MATCH(Table2[[#Headers],[Hand]],Table2[#Headers],0),0)</f>
        <v>RH</v>
      </c>
      <c r="C46" s="2" t="str">
        <f>VLOOKUP([jobnumber],OvalData[],MATCH(Table2[[#Headers],[Model]],Table2[#Headers],0),0)</f>
        <v>SFMPP</v>
      </c>
      <c r="D46" s="2" t="str">
        <f>VLOOKUP([jobnumber],OvalData[],MATCH(Table2[[#Headers],[width]],Table2[#Headers],0),0)</f>
        <v xml:space="preserve"> 18 ft.- 2"</v>
      </c>
      <c r="E46" s="2" t="str">
        <f>VLOOKUP([jobnumber],OvalData[],MATCH(Table2[[#Headers],[stopheight]],Table2[#Headers],0),0)</f>
        <v xml:space="preserve"> 10 ft.- 0"</v>
      </c>
      <c r="F46" s="2" t="str">
        <f>VLOOKUP([jobnumber],OvalData[],MATCH(Table2[[#Headers],[Between Brackets]],Table2[#Headers],0),0)</f>
        <v xml:space="preserve"> 18 ft.- 7 7/ 8"</v>
      </c>
      <c r="G46" s="2" t="str">
        <f>VLOOKUP([jobnumber],OvalData[],MATCH(Table2[[#Headers],[shell]],Table2[#Headers],0),0)</f>
        <v>6 INCH TUBE</v>
      </c>
      <c r="H46" s="2" t="str">
        <f>VLOOKUP([jobnumber],OvalData[],MATCH(Table2[[#Headers],[pipewidth]],Table2[#Headers],0),0)</f>
        <v xml:space="preserve"> 18 ft.- 1 3/ 8"</v>
      </c>
      <c r="I46" s="2">
        <f>VLOOKUP([jobnumber],OvalData[],MATCH(Table2[[#Headers],[Support Tubes]],Table2[#Headers],0),0)</f>
        <v>0</v>
      </c>
      <c r="J46" s="2">
        <f>VLOOKUP([jobnumber],OvalData[],MATCH(Table2[[#Headers],[Upset]],Table2[#Headers],0),0)</f>
        <v>2</v>
      </c>
      <c r="K46" s="2" t="str">
        <f>VLOOKUP([jobnumber],OvalData[],MATCH(Table2[[#Headers],[Guide Type]],Table2[#Headers],0),0)</f>
        <v>SN2-4 5/8-E</v>
      </c>
      <c r="L46" s="2" t="str">
        <f>VLOOKUP([jobnumber],OvalData[],MATCH(Table2[[#Headers],[Wall Angle]],Table2[#Headers],0),0)</f>
        <v xml:space="preserve"> 11 ft.- 8"</v>
      </c>
      <c r="M46" s="2" t="str">
        <f>VLOOKUP([jobnumber],OvalData[],MATCH(Table2[[#Headers],[Middle Angle]],Table2[#Headers],0),0)</f>
        <v xml:space="preserve"> 10 ft.- 4 1/ 2"</v>
      </c>
      <c r="N46" s="2" t="str">
        <f>VLOOKUP([jobnumber],OvalData[],MATCH(Table2[[#Headers],[Front Angle]],Table2[#Headers],0),0)</f>
        <v xml:space="preserve"> 10 ft.- 3"</v>
      </c>
      <c r="O46" s="2">
        <f>VLOOKUP([jobnumber],OvalData[],MATCH(Table2[[#Headers],[Pipe Center Line]],Table2[#Headers],0),0)</f>
        <v>131</v>
      </c>
      <c r="P46" s="2">
        <f>VLOOKUP([jobnumber],OvalData[],MATCH(Table2[[#Headers],[Heat Expansion Gap]],Table2[#Headers],0),0)</f>
        <v>0</v>
      </c>
      <c r="Q46" s="2">
        <f>VLOOKUP([jobnumber],OvalData[],MATCH(Table2[[#Headers],[Hanging Weight Closed]],Table2[#Headers],0),0)</f>
        <v>795</v>
      </c>
      <c r="R46" s="2">
        <f>VLOOKUP([jobnumber],OvalData[],MATCH(Table2[[#Headers],[Hanging Weight Open]],Table2[#Headers],0),0)</f>
        <v>140</v>
      </c>
      <c r="S46" s="2">
        <f>VLOOKUP([jobnumber],OvalData[],MATCH(Table2[[#Headers],[Initial Lever Arm]],Table2[#Headers],0),0)</f>
        <v>4.25</v>
      </c>
      <c r="T46" s="2">
        <f>VLOOKUP([jobnumber],OvalData[],MATCH(Table2[[#Headers],[Turns to Raise]],Table2[#Headers],0),0)</f>
        <v>3.5859999999999999</v>
      </c>
      <c r="U46" s="2">
        <f>VLOOKUP([jobnumber],OvalData[],MATCH(Table2[[#Headers],[Final Lever Arm]],Table2[#Headers],0),0)</f>
        <v>6.37</v>
      </c>
      <c r="V46" s="2">
        <f>VLOOKUP([jobnumber],OvalData[],MATCH(Table2[[#Headers],[Torque Required Closed]],Table2[#Headers],0),0)</f>
        <v>3377.9</v>
      </c>
      <c r="W46" s="2">
        <f>VLOOKUP([jobnumber],OvalData[],MATCH(Table2[[#Headers],[Torque Required Open]],Table2[#Headers],0),0)</f>
        <v>892</v>
      </c>
      <c r="X46" s="2">
        <f>VLOOKUP([jobnumber],OvalData[],MATCH(Table2[[#Headers],[Pre Turns]],Table2[#Headers],0),0)</f>
        <v>1.3332999999999999</v>
      </c>
      <c r="Y46" s="2">
        <f>VLOOKUP([jobnumber],OvalData[],MATCH(Table2[[#Headers],[Required Torque Per Turn]],Table2[#Headers],0),0)</f>
        <v>688</v>
      </c>
      <c r="Z46" s="2">
        <f>VLOOKUP([jobnumber],OvalData[],MATCH(Table2[[#Headers],[Total Turns]],Table2[#Headers],0),0)</f>
        <v>4.91</v>
      </c>
      <c r="AA46" s="2">
        <f>VLOOKUP([jobnumber],OvalData[],MATCH(Table2[[#Headers],[Grille Vision Section]],Table2[#Headers],0),0)</f>
        <v>0</v>
      </c>
      <c r="AB46" s="2">
        <f>VLOOKUP([jobnumber],OvalData[],MATCH(Table2[[#Headers],[Grille Amount]],Table2[#Headers],0),0)</f>
        <v>0</v>
      </c>
      <c r="AC46" s="2">
        <f>VLOOKUP([jobnumber],OvalData[],MATCH(Table2[[#Headers],[Grille Center]],Table2[#Headers],0),0)</f>
        <v>0</v>
      </c>
      <c r="AD46" s="2">
        <f>VLOOKUP([jobnumber],OvalData[],MATCH(Table2[[#Headers],[Grille Pattern]],Table2[#Headers],0),0)</f>
        <v>0</v>
      </c>
      <c r="AE46" s="2">
        <f>VLOOKUP([jobnumber],OvalData[],MATCH(Table2[[#Headers],[Grille First Tube]],Table2[#Headers],0),0)</f>
        <v>0</v>
      </c>
      <c r="AF46" s="2">
        <f>VLOOKUP([jobnumber],OvalData[],MATCH(Table2[[#Headers],[Grille Standard Tube]],Table2[#Headers],0),0)</f>
        <v>0</v>
      </c>
      <c r="AG46" s="2">
        <f>VLOOKUP([jobnumber],OvalData[],MATCH(Table2[[#Headers],[Grille Total Links]],Table2[#Headers],0),0)</f>
        <v>0</v>
      </c>
      <c r="AH46" s="2">
        <f>VLOOKUP([jobnumber],OvalData[],MATCH(Table2[[#Headers],[Grille Rods]],Table2[#Headers],0),0)</f>
        <v>0</v>
      </c>
      <c r="AI46" s="2">
        <f>VLOOKUP([jobnumber],OvalData[],MATCH(Table2[[#Headers],[Grille Rod Length]],Table2[#Headers],0),0)</f>
        <v>0</v>
      </c>
      <c r="AJ46" s="2">
        <f>VLOOKUP([jobnumber],OvalData[],MATCH(Table2[[#Headers],[slattype]],Table2[#Headers],0),0)</f>
        <v>2</v>
      </c>
      <c r="AK46" s="2">
        <f>VLOOKUP([jobnumber],OvalData[],MATCH(Table2[[#Headers],[slatgage]],Table2[#Headers],0),0)</f>
        <v>18</v>
      </c>
      <c r="AL46" s="2">
        <f>VLOOKUP([jobnumber],OvalData[],MATCH(Table2[[#Headers],[Numer of Top Slats]],Table2[#Headers],0),0)</f>
        <v>0</v>
      </c>
      <c r="AM46" s="2">
        <f>VLOOKUP([jobnumber],OvalData[],MATCH(Table2[[#Headers],[Number of Bottom Slats]],Table2[#Headers],0),0)</f>
        <v>0</v>
      </c>
      <c r="AN46" s="2">
        <f>VLOOKUP([jobnumber],OvalData[],MATCH(Table2[[#Headers],[Solid Bottom Height]],Table2[#Headers],0),0)</f>
        <v>0</v>
      </c>
      <c r="AO46" s="2" t="str">
        <f>VLOOKUP([jobnumber],OvalData[],MATCH(Table2[[#Headers],[slatlength]],Table2[#Headers],0),0)</f>
        <v xml:space="preserve"> 18 ft.- 5 7/ 8"</v>
      </c>
      <c r="AP46" s="2">
        <f>VLOOKUP([jobnumber],OvalData[],MATCH(Table2[[#Headers],[Bottom Slat Length]],Table2[#Headers],0),0)</f>
        <v>0</v>
      </c>
      <c r="AQ46" s="2">
        <f>VLOOKUP([jobnumber],OvalData[],MATCH(Table2[[#Headers],[Number of Perferated Slats]],Table2[#Headers],0),0)</f>
        <v>0</v>
      </c>
      <c r="AR46" s="2">
        <f>VLOOKUP([jobnumber],OvalData[],MATCH(Table2[[#Headers],[First Preferated Slat From End]],Table2[#Headers],0),0)</f>
        <v>0</v>
      </c>
      <c r="AS46" s="2">
        <f>VLOOKUP([jobnumber],OvalData[],MATCH(Table2[[#Headers],[First Preferated Slat From Bottom]],Table2[#Headers],0),0)</f>
        <v>0</v>
      </c>
      <c r="AT46" s="2">
        <f>VLOOKUP([jobnumber],OvalData[],MATCH(Table2[[#Headers],[Total Number of Slats]],Table2[#Headers],0),0)</f>
        <v>51</v>
      </c>
      <c r="AU46" s="2">
        <f>VLOOKUP([jobnumber],OvalData[],MATCH(Table2[[#Headers],[Bottom Bar Slope]],Table2[#Headers],0),0)</f>
        <v>0</v>
      </c>
      <c r="AV46" s="2">
        <f>VLOOKUP([jobnumber],OvalData[],MATCH(Table2[[#Headers],[Bottom Bar Weight]],Table2[#Headers],0),0)</f>
        <v>80.5</v>
      </c>
      <c r="AW46" s="2" t="str">
        <f>VLOOKUP([jobnumber],OvalData[],MATCH(Table2[[#Headers],[Outer Spring Gage]],Table2[#Headers],0),0)</f>
        <v>Null</v>
      </c>
      <c r="AX46" s="2" t="str">
        <f>VLOOKUP([jobnumber],OvalData[],MATCH(Table2[[#Headers],[Outer Spring OD]],Table2[#Headers],0),0)</f>
        <v>Null</v>
      </c>
      <c r="AY46" s="2" t="str">
        <f>VLOOKUP([jobnumber],OvalData[],MATCH(Table2[[#Headers],[Outer Spring Length]],Table2[#Headers],0),0)</f>
        <v>Null</v>
      </c>
      <c r="AZ46" s="2" t="str">
        <f>VLOOKUP([jobnumber],OvalData[],MATCH(Table2[[#Headers],[Outer Spring Stretch]],Table2[#Headers],0),0)</f>
        <v>Null</v>
      </c>
      <c r="BA46" s="2" t="str">
        <f>VLOOKUP([jobnumber],OvalData[],MATCH(Table2[[#Headers],[Outer Spring Torque]],Table2[#Headers],0),0)</f>
        <v>Null</v>
      </c>
      <c r="BB46" s="2" t="str">
        <f>VLOOKUP([jobnumber],OvalData[],MATCH(Table2[[#Headers],[Outer Spring Max Turns]],Table2[#Headers],0),0)</f>
        <v>Null</v>
      </c>
      <c r="BC46" s="2" t="str">
        <f>VLOOKUP([jobnumber],OvalData[],MATCH(Table2[[#Headers],[Outer Spring Weight]],Table2[#Headers],0),0)</f>
        <v>Null</v>
      </c>
      <c r="BD46" s="2" t="str">
        <f>VLOOKUP([jobnumber],OvalData[],MATCH(Table2[[#Headers],[Inner Spring Gage]],Table2[#Headers],0),0)</f>
        <v>Null</v>
      </c>
      <c r="BE46" s="2" t="str">
        <f>VLOOKUP([jobnumber],OvalData[],MATCH(Table2[[#Headers],[Inner Spring OD]],Table2[#Headers],0),0)</f>
        <v>Null</v>
      </c>
      <c r="BF46" s="2" t="str">
        <f>VLOOKUP([jobnumber],OvalData[],MATCH(Table2[[#Headers],[Inner Spring Length]],Table2[#Headers],0),0)</f>
        <v>Null</v>
      </c>
      <c r="BG46" s="2" t="str">
        <f>VLOOKUP([jobnumber],OvalData[],MATCH(Table2[[#Headers],[Inner Spring Stretch]],Table2[#Headers],0),0)</f>
        <v>Null</v>
      </c>
      <c r="BH46" s="2" t="str">
        <f>VLOOKUP([jobnumber],OvalData[],MATCH(Table2[[#Headers],[Inner Spring Torque]],Table2[#Headers],0),0)</f>
        <v>Null</v>
      </c>
      <c r="BI46" s="2" t="str">
        <f>VLOOKUP([jobnumber],OvalData[],MATCH(Table2[[#Headers],[Inner Spring Max Turns]],Table2[#Headers],0),0)</f>
        <v>Null</v>
      </c>
      <c r="BJ46" s="2" t="str">
        <f>VLOOKUP([jobnumber],OvalData[],MATCH(Table2[[#Headers],[Inner Spring Weight]],Table2[#Headers],0),0)</f>
        <v>Null</v>
      </c>
      <c r="BK46" s="2">
        <f>VLOOKUP([jobnumber],OvalData[],MATCH(Table2[[#Headers],[Cycles]],Table2[#Headers],0),0)</f>
        <v>0</v>
      </c>
      <c r="BL46" s="2">
        <f>VLOOKUP([jobnumber],OvalData[],MATCH(Table2[[#Headers],[Total Spring Torque]],Table2[#Headers],0),0)</f>
        <v>0</v>
      </c>
      <c r="BM46" s="2">
        <f>VLOOKUP([jobnumber],OvalData[],MATCH(Table2[[#Headers],[Total Spring Weight]],Table2[#Headers],0),0)</f>
        <v>0</v>
      </c>
      <c r="BN46" s="2">
        <f>VLOOKUP([jobnumber],OvalData[],MATCH(Table2[[#Headers],[Pipe Weight]],Table2[#Headers],0),0)</f>
        <v>688.24239999999998</v>
      </c>
      <c r="BO46" s="2">
        <f>VLOOKUP([jobnumber],OvalData[],MATCH(Table2[[#Headers],[Max Pipe Deflection]],Table2[#Headers],0),0)</f>
        <v>2309</v>
      </c>
      <c r="BP46" s="2">
        <f>VLOOKUP([jobnumber],OvalData[],MATCH(Table2[[#Headers],[Number Non-Insulated Wrap Slats]],Table2[#Headers],0),0)</f>
        <v>0</v>
      </c>
      <c r="BQ46" s="2">
        <f>VLOOKUP([jobnumber],OvalData[],MATCH(Table2[[#Headers],[Number of Insolated Top Slats]],Table2[#Headers],0),0)</f>
        <v>45</v>
      </c>
      <c r="BR46" s="2">
        <f>VLOOKUP([jobnumber],OvalData[],MATCH(Table2[[#Headers],[Insolated Total Slats]],Table2[#Headers],0),0)</f>
        <v>45</v>
      </c>
      <c r="BS46" s="2">
        <f>VLOOKUP([jobnumber],OvalData[],MATCH(Table2[[#Headers],[Number of Slats]],Table2[#Headers],0),0)</f>
        <v>44.69</v>
      </c>
      <c r="BT46" s="2">
        <f>VLOOKUP([jobnumber],OvalData[],MATCH(Table2[[#Headers],[Wrap]],Table2[#Headers],0),0)</f>
        <v>0</v>
      </c>
      <c r="BU46" s="2">
        <f>VLOOKUP([jobnumber],OvalData[],MATCH(Table2[[#Headers],[Wall Angle Thickness]],Table2[#Headers],0),0)</f>
        <v>0</v>
      </c>
      <c r="BV46" s="2">
        <f>VLOOKUP([jobnumber],OvalData[],MATCH(Table2[[#Headers],[windlocks]],Table2[#Headers],0),0)</f>
        <v>0</v>
      </c>
      <c r="BW46" s="2" t="str">
        <f>VLOOKUP([jobnumber],OvalData[],MATCH(Table2[[#Headers],[bottombartype]],Table2[#Headers],0),0)</f>
        <v>SPECIAL</v>
      </c>
      <c r="BX46" s="2">
        <f>VLOOKUP([jobnumber],OvalData[],MATCH(Table2[[#Headers],[endlockweight]],Table2[#Headers],0),0)</f>
        <v>0.17</v>
      </c>
      <c r="BY46" s="2">
        <f>VLOOKUP([jobnumber],OvalData[],MATCH(Table2[[#Headers],[Endlock Total Weight]],Table2[#Headers],0),0)</f>
        <v>7.5972999999999997</v>
      </c>
      <c r="BZ46" s="2">
        <f>VLOOKUP([jobnumber],OvalData[],MATCH(Table2[[#Headers],[Grille Weight]],Table2[#Headers],0),0)</f>
        <v>0</v>
      </c>
      <c r="CA46" s="2">
        <f>VLOOKUP([jobnumber],OvalData[],MATCH(Table2[[#Headers],[barrelrings]],Table2[#Headers],0),0)</f>
        <v>1</v>
      </c>
    </row>
    <row r="47" spans="2:79">
      <c r="B47" s="2" t="str">
        <f>VLOOKUP([jobnumber],OvalData[],MATCH(Table2[[#Headers],[Hand]],Table2[#Headers],0),0)</f>
        <v>RH</v>
      </c>
      <c r="C47" s="2" t="str">
        <f>VLOOKUP([jobnumber],OvalData[],MATCH(Table2[[#Headers],[Model]],Table2[#Headers],0),0)</f>
        <v>SFMPP</v>
      </c>
      <c r="D47" s="2" t="str">
        <f>VLOOKUP([jobnumber],OvalData[],MATCH(Table2[[#Headers],[width]],Table2[#Headers],0),0)</f>
        <v xml:space="preserve"> 18 ft.- 2"</v>
      </c>
      <c r="E47" s="2" t="str">
        <f>VLOOKUP([jobnumber],OvalData[],MATCH(Table2[[#Headers],[stopheight]],Table2[#Headers],0),0)</f>
        <v xml:space="preserve"> 10 ft.- 0"</v>
      </c>
      <c r="F47" s="2" t="str">
        <f>VLOOKUP([jobnumber],OvalData[],MATCH(Table2[[#Headers],[Between Brackets]],Table2[#Headers],0),0)</f>
        <v xml:space="preserve"> 18 ft.- 7 7/ 8"</v>
      </c>
      <c r="G47" s="2" t="str">
        <f>VLOOKUP([jobnumber],OvalData[],MATCH(Table2[[#Headers],[shell]],Table2[#Headers],0),0)</f>
        <v>6 INCH TUBE</v>
      </c>
      <c r="H47" s="2" t="str">
        <f>VLOOKUP([jobnumber],OvalData[],MATCH(Table2[[#Headers],[pipewidth]],Table2[#Headers],0),0)</f>
        <v xml:space="preserve"> 18 ft.- 1 3/ 8"</v>
      </c>
      <c r="I47" s="2">
        <f>VLOOKUP([jobnumber],OvalData[],MATCH(Table2[[#Headers],[Support Tubes]],Table2[#Headers],0),0)</f>
        <v>0</v>
      </c>
      <c r="J47" s="2">
        <f>VLOOKUP([jobnumber],OvalData[],MATCH(Table2[[#Headers],[Upset]],Table2[#Headers],0),0)</f>
        <v>2</v>
      </c>
      <c r="K47" s="2" t="str">
        <f>VLOOKUP([jobnumber],OvalData[],MATCH(Table2[[#Headers],[Guide Type]],Table2[#Headers],0),0)</f>
        <v>SN2-4 5/8-E</v>
      </c>
      <c r="L47" s="2" t="str">
        <f>VLOOKUP([jobnumber],OvalData[],MATCH(Table2[[#Headers],[Wall Angle]],Table2[#Headers],0),0)</f>
        <v xml:space="preserve"> 11 ft.- 8"</v>
      </c>
      <c r="M47" s="2" t="str">
        <f>VLOOKUP([jobnumber],OvalData[],MATCH(Table2[[#Headers],[Middle Angle]],Table2[#Headers],0),0)</f>
        <v xml:space="preserve"> 10 ft.- 4 1/ 2"</v>
      </c>
      <c r="N47" s="2" t="str">
        <f>VLOOKUP([jobnumber],OvalData[],MATCH(Table2[[#Headers],[Front Angle]],Table2[#Headers],0),0)</f>
        <v xml:space="preserve"> 10 ft.- 3"</v>
      </c>
      <c r="O47" s="2">
        <f>VLOOKUP([jobnumber],OvalData[],MATCH(Table2[[#Headers],[Pipe Center Line]],Table2[#Headers],0),0)</f>
        <v>131</v>
      </c>
      <c r="P47" s="2">
        <f>VLOOKUP([jobnumber],OvalData[],MATCH(Table2[[#Headers],[Heat Expansion Gap]],Table2[#Headers],0),0)</f>
        <v>0</v>
      </c>
      <c r="Q47" s="2">
        <f>VLOOKUP([jobnumber],OvalData[],MATCH(Table2[[#Headers],[Hanging Weight Closed]],Table2[#Headers],0),0)</f>
        <v>795</v>
      </c>
      <c r="R47" s="2">
        <f>VLOOKUP([jobnumber],OvalData[],MATCH(Table2[[#Headers],[Hanging Weight Open]],Table2[#Headers],0),0)</f>
        <v>140</v>
      </c>
      <c r="S47" s="2">
        <f>VLOOKUP([jobnumber],OvalData[],MATCH(Table2[[#Headers],[Initial Lever Arm]],Table2[#Headers],0),0)</f>
        <v>4.25</v>
      </c>
      <c r="T47" s="2">
        <f>VLOOKUP([jobnumber],OvalData[],MATCH(Table2[[#Headers],[Turns to Raise]],Table2[#Headers],0),0)</f>
        <v>3.5859999999999999</v>
      </c>
      <c r="U47" s="2">
        <f>VLOOKUP([jobnumber],OvalData[],MATCH(Table2[[#Headers],[Final Lever Arm]],Table2[#Headers],0),0)</f>
        <v>6.37</v>
      </c>
      <c r="V47" s="2">
        <f>VLOOKUP([jobnumber],OvalData[],MATCH(Table2[[#Headers],[Torque Required Closed]],Table2[#Headers],0),0)</f>
        <v>3377.9</v>
      </c>
      <c r="W47" s="2">
        <f>VLOOKUP([jobnumber],OvalData[],MATCH(Table2[[#Headers],[Torque Required Open]],Table2[#Headers],0),0)</f>
        <v>892</v>
      </c>
      <c r="X47" s="2">
        <f>VLOOKUP([jobnumber],OvalData[],MATCH(Table2[[#Headers],[Pre Turns]],Table2[#Headers],0),0)</f>
        <v>1.3332999999999999</v>
      </c>
      <c r="Y47" s="2">
        <f>VLOOKUP([jobnumber],OvalData[],MATCH(Table2[[#Headers],[Required Torque Per Turn]],Table2[#Headers],0),0)</f>
        <v>688</v>
      </c>
      <c r="Z47" s="2">
        <f>VLOOKUP([jobnumber],OvalData[],MATCH(Table2[[#Headers],[Total Turns]],Table2[#Headers],0),0)</f>
        <v>4.91</v>
      </c>
      <c r="AA47" s="2">
        <f>VLOOKUP([jobnumber],OvalData[],MATCH(Table2[[#Headers],[Grille Vision Section]],Table2[#Headers],0),0)</f>
        <v>0</v>
      </c>
      <c r="AB47" s="2">
        <f>VLOOKUP([jobnumber],OvalData[],MATCH(Table2[[#Headers],[Grille Amount]],Table2[#Headers],0),0)</f>
        <v>0</v>
      </c>
      <c r="AC47" s="2">
        <f>VLOOKUP([jobnumber],OvalData[],MATCH(Table2[[#Headers],[Grille Center]],Table2[#Headers],0),0)</f>
        <v>0</v>
      </c>
      <c r="AD47" s="2">
        <f>VLOOKUP([jobnumber],OvalData[],MATCH(Table2[[#Headers],[Grille Pattern]],Table2[#Headers],0),0)</f>
        <v>0</v>
      </c>
      <c r="AE47" s="2">
        <f>VLOOKUP([jobnumber],OvalData[],MATCH(Table2[[#Headers],[Grille First Tube]],Table2[#Headers],0),0)</f>
        <v>0</v>
      </c>
      <c r="AF47" s="2">
        <f>VLOOKUP([jobnumber],OvalData[],MATCH(Table2[[#Headers],[Grille Standard Tube]],Table2[#Headers],0),0)</f>
        <v>0</v>
      </c>
      <c r="AG47" s="2">
        <f>VLOOKUP([jobnumber],OvalData[],MATCH(Table2[[#Headers],[Grille Total Links]],Table2[#Headers],0),0)</f>
        <v>0</v>
      </c>
      <c r="AH47" s="2">
        <f>VLOOKUP([jobnumber],OvalData[],MATCH(Table2[[#Headers],[Grille Rods]],Table2[#Headers],0),0)</f>
        <v>0</v>
      </c>
      <c r="AI47" s="2">
        <f>VLOOKUP([jobnumber],OvalData[],MATCH(Table2[[#Headers],[Grille Rod Length]],Table2[#Headers],0),0)</f>
        <v>0</v>
      </c>
      <c r="AJ47" s="2">
        <f>VLOOKUP([jobnumber],OvalData[],MATCH(Table2[[#Headers],[slattype]],Table2[#Headers],0),0)</f>
        <v>2</v>
      </c>
      <c r="AK47" s="2">
        <f>VLOOKUP([jobnumber],OvalData[],MATCH(Table2[[#Headers],[slatgage]],Table2[#Headers],0),0)</f>
        <v>18</v>
      </c>
      <c r="AL47" s="2">
        <f>VLOOKUP([jobnumber],OvalData[],MATCH(Table2[[#Headers],[Numer of Top Slats]],Table2[#Headers],0),0)</f>
        <v>0</v>
      </c>
      <c r="AM47" s="2">
        <f>VLOOKUP([jobnumber],OvalData[],MATCH(Table2[[#Headers],[Number of Bottom Slats]],Table2[#Headers],0),0)</f>
        <v>0</v>
      </c>
      <c r="AN47" s="2">
        <f>VLOOKUP([jobnumber],OvalData[],MATCH(Table2[[#Headers],[Solid Bottom Height]],Table2[#Headers],0),0)</f>
        <v>0</v>
      </c>
      <c r="AO47" s="2" t="str">
        <f>VLOOKUP([jobnumber],OvalData[],MATCH(Table2[[#Headers],[slatlength]],Table2[#Headers],0),0)</f>
        <v xml:space="preserve"> 18 ft.- 5 7/ 8"</v>
      </c>
      <c r="AP47" s="2">
        <f>VLOOKUP([jobnumber],OvalData[],MATCH(Table2[[#Headers],[Bottom Slat Length]],Table2[#Headers],0),0)</f>
        <v>0</v>
      </c>
      <c r="AQ47" s="2">
        <f>VLOOKUP([jobnumber],OvalData[],MATCH(Table2[[#Headers],[Number of Perferated Slats]],Table2[#Headers],0),0)</f>
        <v>0</v>
      </c>
      <c r="AR47" s="2">
        <f>VLOOKUP([jobnumber],OvalData[],MATCH(Table2[[#Headers],[First Preferated Slat From End]],Table2[#Headers],0),0)</f>
        <v>0</v>
      </c>
      <c r="AS47" s="2">
        <f>VLOOKUP([jobnumber],OvalData[],MATCH(Table2[[#Headers],[First Preferated Slat From Bottom]],Table2[#Headers],0),0)</f>
        <v>0</v>
      </c>
      <c r="AT47" s="2">
        <f>VLOOKUP([jobnumber],OvalData[],MATCH(Table2[[#Headers],[Total Number of Slats]],Table2[#Headers],0),0)</f>
        <v>51</v>
      </c>
      <c r="AU47" s="2">
        <f>VLOOKUP([jobnumber],OvalData[],MATCH(Table2[[#Headers],[Bottom Bar Slope]],Table2[#Headers],0),0)</f>
        <v>0</v>
      </c>
      <c r="AV47" s="2">
        <f>VLOOKUP([jobnumber],OvalData[],MATCH(Table2[[#Headers],[Bottom Bar Weight]],Table2[#Headers],0),0)</f>
        <v>80.5</v>
      </c>
      <c r="AW47" s="2" t="str">
        <f>VLOOKUP([jobnumber],OvalData[],MATCH(Table2[[#Headers],[Outer Spring Gage]],Table2[#Headers],0),0)</f>
        <v>Null</v>
      </c>
      <c r="AX47" s="2" t="str">
        <f>VLOOKUP([jobnumber],OvalData[],MATCH(Table2[[#Headers],[Outer Spring OD]],Table2[#Headers],0),0)</f>
        <v>Null</v>
      </c>
      <c r="AY47" s="2" t="str">
        <f>VLOOKUP([jobnumber],OvalData[],MATCH(Table2[[#Headers],[Outer Spring Length]],Table2[#Headers],0),0)</f>
        <v>Null</v>
      </c>
      <c r="AZ47" s="2" t="str">
        <f>VLOOKUP([jobnumber],OvalData[],MATCH(Table2[[#Headers],[Outer Spring Stretch]],Table2[#Headers],0),0)</f>
        <v>Null</v>
      </c>
      <c r="BA47" s="2" t="str">
        <f>VLOOKUP([jobnumber],OvalData[],MATCH(Table2[[#Headers],[Outer Spring Torque]],Table2[#Headers],0),0)</f>
        <v>Null</v>
      </c>
      <c r="BB47" s="2" t="str">
        <f>VLOOKUP([jobnumber],OvalData[],MATCH(Table2[[#Headers],[Outer Spring Max Turns]],Table2[#Headers],0),0)</f>
        <v>Null</v>
      </c>
      <c r="BC47" s="2" t="str">
        <f>VLOOKUP([jobnumber],OvalData[],MATCH(Table2[[#Headers],[Outer Spring Weight]],Table2[#Headers],0),0)</f>
        <v>Null</v>
      </c>
      <c r="BD47" s="2" t="str">
        <f>VLOOKUP([jobnumber],OvalData[],MATCH(Table2[[#Headers],[Inner Spring Gage]],Table2[#Headers],0),0)</f>
        <v>Null</v>
      </c>
      <c r="BE47" s="2" t="str">
        <f>VLOOKUP([jobnumber],OvalData[],MATCH(Table2[[#Headers],[Inner Spring OD]],Table2[#Headers],0),0)</f>
        <v>Null</v>
      </c>
      <c r="BF47" s="2" t="str">
        <f>VLOOKUP([jobnumber],OvalData[],MATCH(Table2[[#Headers],[Inner Spring Length]],Table2[#Headers],0),0)</f>
        <v>Null</v>
      </c>
      <c r="BG47" s="2" t="str">
        <f>VLOOKUP([jobnumber],OvalData[],MATCH(Table2[[#Headers],[Inner Spring Stretch]],Table2[#Headers],0),0)</f>
        <v>Null</v>
      </c>
      <c r="BH47" s="2" t="str">
        <f>VLOOKUP([jobnumber],OvalData[],MATCH(Table2[[#Headers],[Inner Spring Torque]],Table2[#Headers],0),0)</f>
        <v>Null</v>
      </c>
      <c r="BI47" s="2" t="str">
        <f>VLOOKUP([jobnumber],OvalData[],MATCH(Table2[[#Headers],[Inner Spring Max Turns]],Table2[#Headers],0),0)</f>
        <v>Null</v>
      </c>
      <c r="BJ47" s="2" t="str">
        <f>VLOOKUP([jobnumber],OvalData[],MATCH(Table2[[#Headers],[Inner Spring Weight]],Table2[#Headers],0),0)</f>
        <v>Null</v>
      </c>
      <c r="BK47" s="2">
        <f>VLOOKUP([jobnumber],OvalData[],MATCH(Table2[[#Headers],[Cycles]],Table2[#Headers],0),0)</f>
        <v>0</v>
      </c>
      <c r="BL47" s="2">
        <f>VLOOKUP([jobnumber],OvalData[],MATCH(Table2[[#Headers],[Total Spring Torque]],Table2[#Headers],0),0)</f>
        <v>0</v>
      </c>
      <c r="BM47" s="2">
        <f>VLOOKUP([jobnumber],OvalData[],MATCH(Table2[[#Headers],[Total Spring Weight]],Table2[#Headers],0),0)</f>
        <v>0</v>
      </c>
      <c r="BN47" s="2">
        <f>VLOOKUP([jobnumber],OvalData[],MATCH(Table2[[#Headers],[Pipe Weight]],Table2[#Headers],0),0)</f>
        <v>688.24239999999998</v>
      </c>
      <c r="BO47" s="2">
        <f>VLOOKUP([jobnumber],OvalData[],MATCH(Table2[[#Headers],[Max Pipe Deflection]],Table2[#Headers],0),0)</f>
        <v>2309</v>
      </c>
      <c r="BP47" s="2">
        <f>VLOOKUP([jobnumber],OvalData[],MATCH(Table2[[#Headers],[Number Non-Insulated Wrap Slats]],Table2[#Headers],0),0)</f>
        <v>0</v>
      </c>
      <c r="BQ47" s="2">
        <f>VLOOKUP([jobnumber],OvalData[],MATCH(Table2[[#Headers],[Number of Insolated Top Slats]],Table2[#Headers],0),0)</f>
        <v>45</v>
      </c>
      <c r="BR47" s="2">
        <f>VLOOKUP([jobnumber],OvalData[],MATCH(Table2[[#Headers],[Insolated Total Slats]],Table2[#Headers],0),0)</f>
        <v>45</v>
      </c>
      <c r="BS47" s="2">
        <f>VLOOKUP([jobnumber],OvalData[],MATCH(Table2[[#Headers],[Number of Slats]],Table2[#Headers],0),0)</f>
        <v>44.69</v>
      </c>
      <c r="BT47" s="2">
        <f>VLOOKUP([jobnumber],OvalData[],MATCH(Table2[[#Headers],[Wrap]],Table2[#Headers],0),0)</f>
        <v>0</v>
      </c>
      <c r="BU47" s="2">
        <f>VLOOKUP([jobnumber],OvalData[],MATCH(Table2[[#Headers],[Wall Angle Thickness]],Table2[#Headers],0),0)</f>
        <v>0</v>
      </c>
      <c r="BV47" s="2">
        <f>VLOOKUP([jobnumber],OvalData[],MATCH(Table2[[#Headers],[windlocks]],Table2[#Headers],0),0)</f>
        <v>0</v>
      </c>
      <c r="BW47" s="2" t="str">
        <f>VLOOKUP([jobnumber],OvalData[],MATCH(Table2[[#Headers],[bottombartype]],Table2[#Headers],0),0)</f>
        <v>SPECIAL</v>
      </c>
      <c r="BX47" s="2">
        <f>VLOOKUP([jobnumber],OvalData[],MATCH(Table2[[#Headers],[endlockweight]],Table2[#Headers],0),0)</f>
        <v>0.17</v>
      </c>
      <c r="BY47" s="2">
        <f>VLOOKUP([jobnumber],OvalData[],MATCH(Table2[[#Headers],[Endlock Total Weight]],Table2[#Headers],0),0)</f>
        <v>7.5972999999999997</v>
      </c>
      <c r="BZ47" s="2">
        <f>VLOOKUP([jobnumber],OvalData[],MATCH(Table2[[#Headers],[Grille Weight]],Table2[#Headers],0),0)</f>
        <v>0</v>
      </c>
      <c r="CA47" s="2">
        <f>VLOOKUP([jobnumber],OvalData[],MATCH(Table2[[#Headers],[barrelrings]],Table2[#Headers],0),0)</f>
        <v>1</v>
      </c>
    </row>
    <row r="48" spans="2:79">
      <c r="B48" s="2" t="str">
        <f>VLOOKUP([jobnumber],OvalData[],MATCH(Table2[[#Headers],[Hand]],Table2[#Headers],0),0)</f>
        <v>RH</v>
      </c>
      <c r="C48" s="2" t="str">
        <f>VLOOKUP([jobnumber],OvalData[],MATCH(Table2[[#Headers],[Model]],Table2[#Headers],0),0)</f>
        <v>SFMPP</v>
      </c>
      <c r="D48" s="2" t="str">
        <f>VLOOKUP([jobnumber],OvalData[],MATCH(Table2[[#Headers],[width]],Table2[#Headers],0),0)</f>
        <v xml:space="preserve"> 18 ft.- 2"</v>
      </c>
      <c r="E48" s="2" t="str">
        <f>VLOOKUP([jobnumber],OvalData[],MATCH(Table2[[#Headers],[stopheight]],Table2[#Headers],0),0)</f>
        <v xml:space="preserve"> 10 ft.- 0"</v>
      </c>
      <c r="F48" s="2" t="str">
        <f>VLOOKUP([jobnumber],OvalData[],MATCH(Table2[[#Headers],[Between Brackets]],Table2[#Headers],0),0)</f>
        <v xml:space="preserve"> 18 ft.- 7 7/ 8"</v>
      </c>
      <c r="G48" s="2" t="str">
        <f>VLOOKUP([jobnumber],OvalData[],MATCH(Table2[[#Headers],[shell]],Table2[#Headers],0),0)</f>
        <v>6 INCH TUBE</v>
      </c>
      <c r="H48" s="2" t="str">
        <f>VLOOKUP([jobnumber],OvalData[],MATCH(Table2[[#Headers],[pipewidth]],Table2[#Headers],0),0)</f>
        <v xml:space="preserve"> 18 ft.- 1 3/ 8"</v>
      </c>
      <c r="I48" s="2">
        <f>VLOOKUP([jobnumber],OvalData[],MATCH(Table2[[#Headers],[Support Tubes]],Table2[#Headers],0),0)</f>
        <v>0</v>
      </c>
      <c r="J48" s="2">
        <f>VLOOKUP([jobnumber],OvalData[],MATCH(Table2[[#Headers],[Upset]],Table2[#Headers],0),0)</f>
        <v>2</v>
      </c>
      <c r="K48" s="2" t="str">
        <f>VLOOKUP([jobnumber],OvalData[],MATCH(Table2[[#Headers],[Guide Type]],Table2[#Headers],0),0)</f>
        <v>SN2-4 5/8-E</v>
      </c>
      <c r="L48" s="2" t="str">
        <f>VLOOKUP([jobnumber],OvalData[],MATCH(Table2[[#Headers],[Wall Angle]],Table2[#Headers],0),0)</f>
        <v xml:space="preserve"> 11 ft.- 8"</v>
      </c>
      <c r="M48" s="2" t="str">
        <f>VLOOKUP([jobnumber],OvalData[],MATCH(Table2[[#Headers],[Middle Angle]],Table2[#Headers],0),0)</f>
        <v xml:space="preserve"> 10 ft.- 4 1/ 2"</v>
      </c>
      <c r="N48" s="2" t="str">
        <f>VLOOKUP([jobnumber],OvalData[],MATCH(Table2[[#Headers],[Front Angle]],Table2[#Headers],0),0)</f>
        <v xml:space="preserve"> 10 ft.- 3"</v>
      </c>
      <c r="O48" s="2">
        <f>VLOOKUP([jobnumber],OvalData[],MATCH(Table2[[#Headers],[Pipe Center Line]],Table2[#Headers],0),0)</f>
        <v>131</v>
      </c>
      <c r="P48" s="2">
        <f>VLOOKUP([jobnumber],OvalData[],MATCH(Table2[[#Headers],[Heat Expansion Gap]],Table2[#Headers],0),0)</f>
        <v>0</v>
      </c>
      <c r="Q48" s="2">
        <f>VLOOKUP([jobnumber],OvalData[],MATCH(Table2[[#Headers],[Hanging Weight Closed]],Table2[#Headers],0),0)</f>
        <v>795</v>
      </c>
      <c r="R48" s="2">
        <f>VLOOKUP([jobnumber],OvalData[],MATCH(Table2[[#Headers],[Hanging Weight Open]],Table2[#Headers],0),0)</f>
        <v>140</v>
      </c>
      <c r="S48" s="2">
        <f>VLOOKUP([jobnumber],OvalData[],MATCH(Table2[[#Headers],[Initial Lever Arm]],Table2[#Headers],0),0)</f>
        <v>4.25</v>
      </c>
      <c r="T48" s="2">
        <f>VLOOKUP([jobnumber],OvalData[],MATCH(Table2[[#Headers],[Turns to Raise]],Table2[#Headers],0),0)</f>
        <v>3.5859999999999999</v>
      </c>
      <c r="U48" s="2">
        <f>VLOOKUP([jobnumber],OvalData[],MATCH(Table2[[#Headers],[Final Lever Arm]],Table2[#Headers],0),0)</f>
        <v>6.37</v>
      </c>
      <c r="V48" s="2">
        <f>VLOOKUP([jobnumber],OvalData[],MATCH(Table2[[#Headers],[Torque Required Closed]],Table2[#Headers],0),0)</f>
        <v>3377.9</v>
      </c>
      <c r="W48" s="2">
        <f>VLOOKUP([jobnumber],OvalData[],MATCH(Table2[[#Headers],[Torque Required Open]],Table2[#Headers],0),0)</f>
        <v>892</v>
      </c>
      <c r="X48" s="2">
        <f>VLOOKUP([jobnumber],OvalData[],MATCH(Table2[[#Headers],[Pre Turns]],Table2[#Headers],0),0)</f>
        <v>1.3332999999999999</v>
      </c>
      <c r="Y48" s="2">
        <f>VLOOKUP([jobnumber],OvalData[],MATCH(Table2[[#Headers],[Required Torque Per Turn]],Table2[#Headers],0),0)</f>
        <v>688</v>
      </c>
      <c r="Z48" s="2">
        <f>VLOOKUP([jobnumber],OvalData[],MATCH(Table2[[#Headers],[Total Turns]],Table2[#Headers],0),0)</f>
        <v>4.91</v>
      </c>
      <c r="AA48" s="2">
        <f>VLOOKUP([jobnumber],OvalData[],MATCH(Table2[[#Headers],[Grille Vision Section]],Table2[#Headers],0),0)</f>
        <v>0</v>
      </c>
      <c r="AB48" s="2">
        <f>VLOOKUP([jobnumber],OvalData[],MATCH(Table2[[#Headers],[Grille Amount]],Table2[#Headers],0),0)</f>
        <v>0</v>
      </c>
      <c r="AC48" s="2">
        <f>VLOOKUP([jobnumber],OvalData[],MATCH(Table2[[#Headers],[Grille Center]],Table2[#Headers],0),0)</f>
        <v>0</v>
      </c>
      <c r="AD48" s="2">
        <f>VLOOKUP([jobnumber],OvalData[],MATCH(Table2[[#Headers],[Grille Pattern]],Table2[#Headers],0),0)</f>
        <v>0</v>
      </c>
      <c r="AE48" s="2">
        <f>VLOOKUP([jobnumber],OvalData[],MATCH(Table2[[#Headers],[Grille First Tube]],Table2[#Headers],0),0)</f>
        <v>0</v>
      </c>
      <c r="AF48" s="2">
        <f>VLOOKUP([jobnumber],OvalData[],MATCH(Table2[[#Headers],[Grille Standard Tube]],Table2[#Headers],0),0)</f>
        <v>0</v>
      </c>
      <c r="AG48" s="2">
        <f>VLOOKUP([jobnumber],OvalData[],MATCH(Table2[[#Headers],[Grille Total Links]],Table2[#Headers],0),0)</f>
        <v>0</v>
      </c>
      <c r="AH48" s="2">
        <f>VLOOKUP([jobnumber],OvalData[],MATCH(Table2[[#Headers],[Grille Rods]],Table2[#Headers],0),0)</f>
        <v>0</v>
      </c>
      <c r="AI48" s="2">
        <f>VLOOKUP([jobnumber],OvalData[],MATCH(Table2[[#Headers],[Grille Rod Length]],Table2[#Headers],0),0)</f>
        <v>0</v>
      </c>
      <c r="AJ48" s="2">
        <f>VLOOKUP([jobnumber],OvalData[],MATCH(Table2[[#Headers],[slattype]],Table2[#Headers],0),0)</f>
        <v>2</v>
      </c>
      <c r="AK48" s="2">
        <f>VLOOKUP([jobnumber],OvalData[],MATCH(Table2[[#Headers],[slatgage]],Table2[#Headers],0),0)</f>
        <v>18</v>
      </c>
      <c r="AL48" s="2">
        <f>VLOOKUP([jobnumber],OvalData[],MATCH(Table2[[#Headers],[Numer of Top Slats]],Table2[#Headers],0),0)</f>
        <v>0</v>
      </c>
      <c r="AM48" s="2">
        <f>VLOOKUP([jobnumber],OvalData[],MATCH(Table2[[#Headers],[Number of Bottom Slats]],Table2[#Headers],0),0)</f>
        <v>0</v>
      </c>
      <c r="AN48" s="2">
        <f>VLOOKUP([jobnumber],OvalData[],MATCH(Table2[[#Headers],[Solid Bottom Height]],Table2[#Headers],0),0)</f>
        <v>0</v>
      </c>
      <c r="AO48" s="2" t="str">
        <f>VLOOKUP([jobnumber],OvalData[],MATCH(Table2[[#Headers],[slatlength]],Table2[#Headers],0),0)</f>
        <v xml:space="preserve"> 18 ft.- 5 7/ 8"</v>
      </c>
      <c r="AP48" s="2">
        <f>VLOOKUP([jobnumber],OvalData[],MATCH(Table2[[#Headers],[Bottom Slat Length]],Table2[#Headers],0),0)</f>
        <v>0</v>
      </c>
      <c r="AQ48" s="2">
        <f>VLOOKUP([jobnumber],OvalData[],MATCH(Table2[[#Headers],[Number of Perferated Slats]],Table2[#Headers],0),0)</f>
        <v>0</v>
      </c>
      <c r="AR48" s="2">
        <f>VLOOKUP([jobnumber],OvalData[],MATCH(Table2[[#Headers],[First Preferated Slat From End]],Table2[#Headers],0),0)</f>
        <v>0</v>
      </c>
      <c r="AS48" s="2">
        <f>VLOOKUP([jobnumber],OvalData[],MATCH(Table2[[#Headers],[First Preferated Slat From Bottom]],Table2[#Headers],0),0)</f>
        <v>0</v>
      </c>
      <c r="AT48" s="2">
        <f>VLOOKUP([jobnumber],OvalData[],MATCH(Table2[[#Headers],[Total Number of Slats]],Table2[#Headers],0),0)</f>
        <v>51</v>
      </c>
      <c r="AU48" s="2">
        <f>VLOOKUP([jobnumber],OvalData[],MATCH(Table2[[#Headers],[Bottom Bar Slope]],Table2[#Headers],0),0)</f>
        <v>0</v>
      </c>
      <c r="AV48" s="2">
        <f>VLOOKUP([jobnumber],OvalData[],MATCH(Table2[[#Headers],[Bottom Bar Weight]],Table2[#Headers],0),0)</f>
        <v>80.5</v>
      </c>
      <c r="AW48" s="2" t="str">
        <f>VLOOKUP([jobnumber],OvalData[],MATCH(Table2[[#Headers],[Outer Spring Gage]],Table2[#Headers],0),0)</f>
        <v>Null</v>
      </c>
      <c r="AX48" s="2" t="str">
        <f>VLOOKUP([jobnumber],OvalData[],MATCH(Table2[[#Headers],[Outer Spring OD]],Table2[#Headers],0),0)</f>
        <v>Null</v>
      </c>
      <c r="AY48" s="2" t="str">
        <f>VLOOKUP([jobnumber],OvalData[],MATCH(Table2[[#Headers],[Outer Spring Length]],Table2[#Headers],0),0)</f>
        <v>Null</v>
      </c>
      <c r="AZ48" s="2" t="str">
        <f>VLOOKUP([jobnumber],OvalData[],MATCH(Table2[[#Headers],[Outer Spring Stretch]],Table2[#Headers],0),0)</f>
        <v>Null</v>
      </c>
      <c r="BA48" s="2" t="str">
        <f>VLOOKUP([jobnumber],OvalData[],MATCH(Table2[[#Headers],[Outer Spring Torque]],Table2[#Headers],0),0)</f>
        <v>Null</v>
      </c>
      <c r="BB48" s="2" t="str">
        <f>VLOOKUP([jobnumber],OvalData[],MATCH(Table2[[#Headers],[Outer Spring Max Turns]],Table2[#Headers],0),0)</f>
        <v>Null</v>
      </c>
      <c r="BC48" s="2" t="str">
        <f>VLOOKUP([jobnumber],OvalData[],MATCH(Table2[[#Headers],[Outer Spring Weight]],Table2[#Headers],0),0)</f>
        <v>Null</v>
      </c>
      <c r="BD48" s="2" t="str">
        <f>VLOOKUP([jobnumber],OvalData[],MATCH(Table2[[#Headers],[Inner Spring Gage]],Table2[#Headers],0),0)</f>
        <v>Null</v>
      </c>
      <c r="BE48" s="2" t="str">
        <f>VLOOKUP([jobnumber],OvalData[],MATCH(Table2[[#Headers],[Inner Spring OD]],Table2[#Headers],0),0)</f>
        <v>Null</v>
      </c>
      <c r="BF48" s="2" t="str">
        <f>VLOOKUP([jobnumber],OvalData[],MATCH(Table2[[#Headers],[Inner Spring Length]],Table2[#Headers],0),0)</f>
        <v>Null</v>
      </c>
      <c r="BG48" s="2" t="str">
        <f>VLOOKUP([jobnumber],OvalData[],MATCH(Table2[[#Headers],[Inner Spring Stretch]],Table2[#Headers],0),0)</f>
        <v>Null</v>
      </c>
      <c r="BH48" s="2" t="str">
        <f>VLOOKUP([jobnumber],OvalData[],MATCH(Table2[[#Headers],[Inner Spring Torque]],Table2[#Headers],0),0)</f>
        <v>Null</v>
      </c>
      <c r="BI48" s="2" t="str">
        <f>VLOOKUP([jobnumber],OvalData[],MATCH(Table2[[#Headers],[Inner Spring Max Turns]],Table2[#Headers],0),0)</f>
        <v>Null</v>
      </c>
      <c r="BJ48" s="2" t="str">
        <f>VLOOKUP([jobnumber],OvalData[],MATCH(Table2[[#Headers],[Inner Spring Weight]],Table2[#Headers],0),0)</f>
        <v>Null</v>
      </c>
      <c r="BK48" s="2">
        <f>VLOOKUP([jobnumber],OvalData[],MATCH(Table2[[#Headers],[Cycles]],Table2[#Headers],0),0)</f>
        <v>0</v>
      </c>
      <c r="BL48" s="2">
        <f>VLOOKUP([jobnumber],OvalData[],MATCH(Table2[[#Headers],[Total Spring Torque]],Table2[#Headers],0),0)</f>
        <v>0</v>
      </c>
      <c r="BM48" s="2">
        <f>VLOOKUP([jobnumber],OvalData[],MATCH(Table2[[#Headers],[Total Spring Weight]],Table2[#Headers],0),0)</f>
        <v>0</v>
      </c>
      <c r="BN48" s="2">
        <f>VLOOKUP([jobnumber],OvalData[],MATCH(Table2[[#Headers],[Pipe Weight]],Table2[#Headers],0),0)</f>
        <v>688.24239999999998</v>
      </c>
      <c r="BO48" s="2">
        <f>VLOOKUP([jobnumber],OvalData[],MATCH(Table2[[#Headers],[Max Pipe Deflection]],Table2[#Headers],0),0)</f>
        <v>2309</v>
      </c>
      <c r="BP48" s="2">
        <f>VLOOKUP([jobnumber],OvalData[],MATCH(Table2[[#Headers],[Number Non-Insulated Wrap Slats]],Table2[#Headers],0),0)</f>
        <v>0</v>
      </c>
      <c r="BQ48" s="2">
        <f>VLOOKUP([jobnumber],OvalData[],MATCH(Table2[[#Headers],[Number of Insolated Top Slats]],Table2[#Headers],0),0)</f>
        <v>45</v>
      </c>
      <c r="BR48" s="2">
        <f>VLOOKUP([jobnumber],OvalData[],MATCH(Table2[[#Headers],[Insolated Total Slats]],Table2[#Headers],0),0)</f>
        <v>45</v>
      </c>
      <c r="BS48" s="2">
        <f>VLOOKUP([jobnumber],OvalData[],MATCH(Table2[[#Headers],[Number of Slats]],Table2[#Headers],0),0)</f>
        <v>44.69</v>
      </c>
      <c r="BT48" s="2">
        <f>VLOOKUP([jobnumber],OvalData[],MATCH(Table2[[#Headers],[Wrap]],Table2[#Headers],0),0)</f>
        <v>0</v>
      </c>
      <c r="BU48" s="2">
        <f>VLOOKUP([jobnumber],OvalData[],MATCH(Table2[[#Headers],[Wall Angle Thickness]],Table2[#Headers],0),0)</f>
        <v>0</v>
      </c>
      <c r="BV48" s="2">
        <f>VLOOKUP([jobnumber],OvalData[],MATCH(Table2[[#Headers],[windlocks]],Table2[#Headers],0),0)</f>
        <v>0</v>
      </c>
      <c r="BW48" s="2" t="str">
        <f>VLOOKUP([jobnumber],OvalData[],MATCH(Table2[[#Headers],[bottombartype]],Table2[#Headers],0),0)</f>
        <v>SPECIAL</v>
      </c>
      <c r="BX48" s="2">
        <f>VLOOKUP([jobnumber],OvalData[],MATCH(Table2[[#Headers],[endlockweight]],Table2[#Headers],0),0)</f>
        <v>0.17</v>
      </c>
      <c r="BY48" s="2">
        <f>VLOOKUP([jobnumber],OvalData[],MATCH(Table2[[#Headers],[Endlock Total Weight]],Table2[#Headers],0),0)</f>
        <v>7.5972999999999997</v>
      </c>
      <c r="BZ48" s="2">
        <f>VLOOKUP([jobnumber],OvalData[],MATCH(Table2[[#Headers],[Grille Weight]],Table2[#Headers],0),0)</f>
        <v>0</v>
      </c>
      <c r="CA48" s="2">
        <f>VLOOKUP([jobnumber],OvalData[],MATCH(Table2[[#Headers],[barrelrings]],Table2[#Headers],0),0)</f>
        <v>1</v>
      </c>
    </row>
    <row r="49" spans="2:79">
      <c r="B49" s="2" t="str">
        <f>VLOOKUP([jobnumber],OvalData[],MATCH(Table2[[#Headers],[Hand]],Table2[#Headers],0),0)</f>
        <v>RH</v>
      </c>
      <c r="C49" s="2" t="str">
        <f>VLOOKUP([jobnumber],OvalData[],MATCH(Table2[[#Headers],[Model]],Table2[#Headers],0),0)</f>
        <v>SFMPP</v>
      </c>
      <c r="D49" s="2" t="str">
        <f>VLOOKUP([jobnumber],OvalData[],MATCH(Table2[[#Headers],[width]],Table2[#Headers],0),0)</f>
        <v xml:space="preserve"> 18 ft.- 2"</v>
      </c>
      <c r="E49" s="2" t="str">
        <f>VLOOKUP([jobnumber],OvalData[],MATCH(Table2[[#Headers],[stopheight]],Table2[#Headers],0),0)</f>
        <v xml:space="preserve"> 10 ft.- 0"</v>
      </c>
      <c r="F49" s="2" t="str">
        <f>VLOOKUP([jobnumber],OvalData[],MATCH(Table2[[#Headers],[Between Brackets]],Table2[#Headers],0),0)</f>
        <v xml:space="preserve"> 18 ft.- 7 7/ 8"</v>
      </c>
      <c r="G49" s="2" t="str">
        <f>VLOOKUP([jobnumber],OvalData[],MATCH(Table2[[#Headers],[shell]],Table2[#Headers],0),0)</f>
        <v>6 INCH TUBE</v>
      </c>
      <c r="H49" s="2" t="str">
        <f>VLOOKUP([jobnumber],OvalData[],MATCH(Table2[[#Headers],[pipewidth]],Table2[#Headers],0),0)</f>
        <v xml:space="preserve"> 18 ft.- 1 3/ 8"</v>
      </c>
      <c r="I49" s="2">
        <f>VLOOKUP([jobnumber],OvalData[],MATCH(Table2[[#Headers],[Support Tubes]],Table2[#Headers],0),0)</f>
        <v>0</v>
      </c>
      <c r="J49" s="2">
        <f>VLOOKUP([jobnumber],OvalData[],MATCH(Table2[[#Headers],[Upset]],Table2[#Headers],0),0)</f>
        <v>2</v>
      </c>
      <c r="K49" s="2" t="str">
        <f>VLOOKUP([jobnumber],OvalData[],MATCH(Table2[[#Headers],[Guide Type]],Table2[#Headers],0),0)</f>
        <v>SN2-4 5/8-E</v>
      </c>
      <c r="L49" s="2" t="str">
        <f>VLOOKUP([jobnumber],OvalData[],MATCH(Table2[[#Headers],[Wall Angle]],Table2[#Headers],0),0)</f>
        <v xml:space="preserve"> 11 ft.- 8"</v>
      </c>
      <c r="M49" s="2" t="str">
        <f>VLOOKUP([jobnumber],OvalData[],MATCH(Table2[[#Headers],[Middle Angle]],Table2[#Headers],0),0)</f>
        <v xml:space="preserve"> 10 ft.- 4 1/ 2"</v>
      </c>
      <c r="N49" s="2" t="str">
        <f>VLOOKUP([jobnumber],OvalData[],MATCH(Table2[[#Headers],[Front Angle]],Table2[#Headers],0),0)</f>
        <v xml:space="preserve"> 10 ft.- 3"</v>
      </c>
      <c r="O49" s="2">
        <f>VLOOKUP([jobnumber],OvalData[],MATCH(Table2[[#Headers],[Pipe Center Line]],Table2[#Headers],0),0)</f>
        <v>131</v>
      </c>
      <c r="P49" s="2">
        <f>VLOOKUP([jobnumber],OvalData[],MATCH(Table2[[#Headers],[Heat Expansion Gap]],Table2[#Headers],0),0)</f>
        <v>0</v>
      </c>
      <c r="Q49" s="2">
        <f>VLOOKUP([jobnumber],OvalData[],MATCH(Table2[[#Headers],[Hanging Weight Closed]],Table2[#Headers],0),0)</f>
        <v>795</v>
      </c>
      <c r="R49" s="2">
        <f>VLOOKUP([jobnumber],OvalData[],MATCH(Table2[[#Headers],[Hanging Weight Open]],Table2[#Headers],0),0)</f>
        <v>140</v>
      </c>
      <c r="S49" s="2">
        <f>VLOOKUP([jobnumber],OvalData[],MATCH(Table2[[#Headers],[Initial Lever Arm]],Table2[#Headers],0),0)</f>
        <v>4.25</v>
      </c>
      <c r="T49" s="2">
        <f>VLOOKUP([jobnumber],OvalData[],MATCH(Table2[[#Headers],[Turns to Raise]],Table2[#Headers],0),0)</f>
        <v>3.5859999999999999</v>
      </c>
      <c r="U49" s="2">
        <f>VLOOKUP([jobnumber],OvalData[],MATCH(Table2[[#Headers],[Final Lever Arm]],Table2[#Headers],0),0)</f>
        <v>6.37</v>
      </c>
      <c r="V49" s="2">
        <f>VLOOKUP([jobnumber],OvalData[],MATCH(Table2[[#Headers],[Torque Required Closed]],Table2[#Headers],0),0)</f>
        <v>3377.9</v>
      </c>
      <c r="W49" s="2">
        <f>VLOOKUP([jobnumber],OvalData[],MATCH(Table2[[#Headers],[Torque Required Open]],Table2[#Headers],0),0)</f>
        <v>892</v>
      </c>
      <c r="X49" s="2">
        <f>VLOOKUP([jobnumber],OvalData[],MATCH(Table2[[#Headers],[Pre Turns]],Table2[#Headers],0),0)</f>
        <v>1.3332999999999999</v>
      </c>
      <c r="Y49" s="2">
        <f>VLOOKUP([jobnumber],OvalData[],MATCH(Table2[[#Headers],[Required Torque Per Turn]],Table2[#Headers],0),0)</f>
        <v>688</v>
      </c>
      <c r="Z49" s="2">
        <f>VLOOKUP([jobnumber],OvalData[],MATCH(Table2[[#Headers],[Total Turns]],Table2[#Headers],0),0)</f>
        <v>4.91</v>
      </c>
      <c r="AA49" s="2">
        <f>VLOOKUP([jobnumber],OvalData[],MATCH(Table2[[#Headers],[Grille Vision Section]],Table2[#Headers],0),0)</f>
        <v>0</v>
      </c>
      <c r="AB49" s="2">
        <f>VLOOKUP([jobnumber],OvalData[],MATCH(Table2[[#Headers],[Grille Amount]],Table2[#Headers],0),0)</f>
        <v>0</v>
      </c>
      <c r="AC49" s="2">
        <f>VLOOKUP([jobnumber],OvalData[],MATCH(Table2[[#Headers],[Grille Center]],Table2[#Headers],0),0)</f>
        <v>0</v>
      </c>
      <c r="AD49" s="2">
        <f>VLOOKUP([jobnumber],OvalData[],MATCH(Table2[[#Headers],[Grille Pattern]],Table2[#Headers],0),0)</f>
        <v>0</v>
      </c>
      <c r="AE49" s="2">
        <f>VLOOKUP([jobnumber],OvalData[],MATCH(Table2[[#Headers],[Grille First Tube]],Table2[#Headers],0),0)</f>
        <v>0</v>
      </c>
      <c r="AF49" s="2">
        <f>VLOOKUP([jobnumber],OvalData[],MATCH(Table2[[#Headers],[Grille Standard Tube]],Table2[#Headers],0),0)</f>
        <v>0</v>
      </c>
      <c r="AG49" s="2">
        <f>VLOOKUP([jobnumber],OvalData[],MATCH(Table2[[#Headers],[Grille Total Links]],Table2[#Headers],0),0)</f>
        <v>0</v>
      </c>
      <c r="AH49" s="2">
        <f>VLOOKUP([jobnumber],OvalData[],MATCH(Table2[[#Headers],[Grille Rods]],Table2[#Headers],0),0)</f>
        <v>0</v>
      </c>
      <c r="AI49" s="2">
        <f>VLOOKUP([jobnumber],OvalData[],MATCH(Table2[[#Headers],[Grille Rod Length]],Table2[#Headers],0),0)</f>
        <v>0</v>
      </c>
      <c r="AJ49" s="2">
        <f>VLOOKUP([jobnumber],OvalData[],MATCH(Table2[[#Headers],[slattype]],Table2[#Headers],0),0)</f>
        <v>2</v>
      </c>
      <c r="AK49" s="2">
        <f>VLOOKUP([jobnumber],OvalData[],MATCH(Table2[[#Headers],[slatgage]],Table2[#Headers],0),0)</f>
        <v>18</v>
      </c>
      <c r="AL49" s="2">
        <f>VLOOKUP([jobnumber],OvalData[],MATCH(Table2[[#Headers],[Numer of Top Slats]],Table2[#Headers],0),0)</f>
        <v>0</v>
      </c>
      <c r="AM49" s="2">
        <f>VLOOKUP([jobnumber],OvalData[],MATCH(Table2[[#Headers],[Number of Bottom Slats]],Table2[#Headers],0),0)</f>
        <v>0</v>
      </c>
      <c r="AN49" s="2">
        <f>VLOOKUP([jobnumber],OvalData[],MATCH(Table2[[#Headers],[Solid Bottom Height]],Table2[#Headers],0),0)</f>
        <v>0</v>
      </c>
      <c r="AO49" s="2" t="str">
        <f>VLOOKUP([jobnumber],OvalData[],MATCH(Table2[[#Headers],[slatlength]],Table2[#Headers],0),0)</f>
        <v xml:space="preserve"> 18 ft.- 5 7/ 8"</v>
      </c>
      <c r="AP49" s="2">
        <f>VLOOKUP([jobnumber],OvalData[],MATCH(Table2[[#Headers],[Bottom Slat Length]],Table2[#Headers],0),0)</f>
        <v>0</v>
      </c>
      <c r="AQ49" s="2">
        <f>VLOOKUP([jobnumber],OvalData[],MATCH(Table2[[#Headers],[Number of Perferated Slats]],Table2[#Headers],0),0)</f>
        <v>0</v>
      </c>
      <c r="AR49" s="2">
        <f>VLOOKUP([jobnumber],OvalData[],MATCH(Table2[[#Headers],[First Preferated Slat From End]],Table2[#Headers],0),0)</f>
        <v>0</v>
      </c>
      <c r="AS49" s="2">
        <f>VLOOKUP([jobnumber],OvalData[],MATCH(Table2[[#Headers],[First Preferated Slat From Bottom]],Table2[#Headers],0),0)</f>
        <v>0</v>
      </c>
      <c r="AT49" s="2">
        <f>VLOOKUP([jobnumber],OvalData[],MATCH(Table2[[#Headers],[Total Number of Slats]],Table2[#Headers],0),0)</f>
        <v>51</v>
      </c>
      <c r="AU49" s="2">
        <f>VLOOKUP([jobnumber],OvalData[],MATCH(Table2[[#Headers],[Bottom Bar Slope]],Table2[#Headers],0),0)</f>
        <v>0</v>
      </c>
      <c r="AV49" s="2">
        <f>VLOOKUP([jobnumber],OvalData[],MATCH(Table2[[#Headers],[Bottom Bar Weight]],Table2[#Headers],0),0)</f>
        <v>80.5</v>
      </c>
      <c r="AW49" s="2" t="str">
        <f>VLOOKUP([jobnumber],OvalData[],MATCH(Table2[[#Headers],[Outer Spring Gage]],Table2[#Headers],0),0)</f>
        <v>Null</v>
      </c>
      <c r="AX49" s="2" t="str">
        <f>VLOOKUP([jobnumber],OvalData[],MATCH(Table2[[#Headers],[Outer Spring OD]],Table2[#Headers],0),0)</f>
        <v>Null</v>
      </c>
      <c r="AY49" s="2" t="str">
        <f>VLOOKUP([jobnumber],OvalData[],MATCH(Table2[[#Headers],[Outer Spring Length]],Table2[#Headers],0),0)</f>
        <v>Null</v>
      </c>
      <c r="AZ49" s="2" t="str">
        <f>VLOOKUP([jobnumber],OvalData[],MATCH(Table2[[#Headers],[Outer Spring Stretch]],Table2[#Headers],0),0)</f>
        <v>Null</v>
      </c>
      <c r="BA49" s="2" t="str">
        <f>VLOOKUP([jobnumber],OvalData[],MATCH(Table2[[#Headers],[Outer Spring Torque]],Table2[#Headers],0),0)</f>
        <v>Null</v>
      </c>
      <c r="BB49" s="2" t="str">
        <f>VLOOKUP([jobnumber],OvalData[],MATCH(Table2[[#Headers],[Outer Spring Max Turns]],Table2[#Headers],0),0)</f>
        <v>Null</v>
      </c>
      <c r="BC49" s="2" t="str">
        <f>VLOOKUP([jobnumber],OvalData[],MATCH(Table2[[#Headers],[Outer Spring Weight]],Table2[#Headers],0),0)</f>
        <v>Null</v>
      </c>
      <c r="BD49" s="2" t="str">
        <f>VLOOKUP([jobnumber],OvalData[],MATCH(Table2[[#Headers],[Inner Spring Gage]],Table2[#Headers],0),0)</f>
        <v>Null</v>
      </c>
      <c r="BE49" s="2" t="str">
        <f>VLOOKUP([jobnumber],OvalData[],MATCH(Table2[[#Headers],[Inner Spring OD]],Table2[#Headers],0),0)</f>
        <v>Null</v>
      </c>
      <c r="BF49" s="2" t="str">
        <f>VLOOKUP([jobnumber],OvalData[],MATCH(Table2[[#Headers],[Inner Spring Length]],Table2[#Headers],0),0)</f>
        <v>Null</v>
      </c>
      <c r="BG49" s="2" t="str">
        <f>VLOOKUP([jobnumber],OvalData[],MATCH(Table2[[#Headers],[Inner Spring Stretch]],Table2[#Headers],0),0)</f>
        <v>Null</v>
      </c>
      <c r="BH49" s="2" t="str">
        <f>VLOOKUP([jobnumber],OvalData[],MATCH(Table2[[#Headers],[Inner Spring Torque]],Table2[#Headers],0),0)</f>
        <v>Null</v>
      </c>
      <c r="BI49" s="2" t="str">
        <f>VLOOKUP([jobnumber],OvalData[],MATCH(Table2[[#Headers],[Inner Spring Max Turns]],Table2[#Headers],0),0)</f>
        <v>Null</v>
      </c>
      <c r="BJ49" s="2" t="str">
        <f>VLOOKUP([jobnumber],OvalData[],MATCH(Table2[[#Headers],[Inner Spring Weight]],Table2[#Headers],0),0)</f>
        <v>Null</v>
      </c>
      <c r="BK49" s="2">
        <f>VLOOKUP([jobnumber],OvalData[],MATCH(Table2[[#Headers],[Cycles]],Table2[#Headers],0),0)</f>
        <v>0</v>
      </c>
      <c r="BL49" s="2">
        <f>VLOOKUP([jobnumber],OvalData[],MATCH(Table2[[#Headers],[Total Spring Torque]],Table2[#Headers],0),0)</f>
        <v>0</v>
      </c>
      <c r="BM49" s="2">
        <f>VLOOKUP([jobnumber],OvalData[],MATCH(Table2[[#Headers],[Total Spring Weight]],Table2[#Headers],0),0)</f>
        <v>0</v>
      </c>
      <c r="BN49" s="2">
        <f>VLOOKUP([jobnumber],OvalData[],MATCH(Table2[[#Headers],[Pipe Weight]],Table2[#Headers],0),0)</f>
        <v>688.24239999999998</v>
      </c>
      <c r="BO49" s="2">
        <f>VLOOKUP([jobnumber],OvalData[],MATCH(Table2[[#Headers],[Max Pipe Deflection]],Table2[#Headers],0),0)</f>
        <v>2309</v>
      </c>
      <c r="BP49" s="2">
        <f>VLOOKUP([jobnumber],OvalData[],MATCH(Table2[[#Headers],[Number Non-Insulated Wrap Slats]],Table2[#Headers],0),0)</f>
        <v>0</v>
      </c>
      <c r="BQ49" s="2">
        <f>VLOOKUP([jobnumber],OvalData[],MATCH(Table2[[#Headers],[Number of Insolated Top Slats]],Table2[#Headers],0),0)</f>
        <v>45</v>
      </c>
      <c r="BR49" s="2">
        <f>VLOOKUP([jobnumber],OvalData[],MATCH(Table2[[#Headers],[Insolated Total Slats]],Table2[#Headers],0),0)</f>
        <v>45</v>
      </c>
      <c r="BS49" s="2">
        <f>VLOOKUP([jobnumber],OvalData[],MATCH(Table2[[#Headers],[Number of Slats]],Table2[#Headers],0),0)</f>
        <v>44.69</v>
      </c>
      <c r="BT49" s="2">
        <f>VLOOKUP([jobnumber],OvalData[],MATCH(Table2[[#Headers],[Wrap]],Table2[#Headers],0),0)</f>
        <v>0</v>
      </c>
      <c r="BU49" s="2">
        <f>VLOOKUP([jobnumber],OvalData[],MATCH(Table2[[#Headers],[Wall Angle Thickness]],Table2[#Headers],0),0)</f>
        <v>0</v>
      </c>
      <c r="BV49" s="2">
        <f>VLOOKUP([jobnumber],OvalData[],MATCH(Table2[[#Headers],[windlocks]],Table2[#Headers],0),0)</f>
        <v>0</v>
      </c>
      <c r="BW49" s="2" t="str">
        <f>VLOOKUP([jobnumber],OvalData[],MATCH(Table2[[#Headers],[bottombartype]],Table2[#Headers],0),0)</f>
        <v>SPECIAL</v>
      </c>
      <c r="BX49" s="2">
        <f>VLOOKUP([jobnumber],OvalData[],MATCH(Table2[[#Headers],[endlockweight]],Table2[#Headers],0),0)</f>
        <v>0.17</v>
      </c>
      <c r="BY49" s="2">
        <f>VLOOKUP([jobnumber],OvalData[],MATCH(Table2[[#Headers],[Endlock Total Weight]],Table2[#Headers],0),0)</f>
        <v>7.5972999999999997</v>
      </c>
      <c r="BZ49" s="2">
        <f>VLOOKUP([jobnumber],OvalData[],MATCH(Table2[[#Headers],[Grille Weight]],Table2[#Headers],0),0)</f>
        <v>0</v>
      </c>
      <c r="CA49" s="2">
        <f>VLOOKUP([jobnumber],OvalData[],MATCH(Table2[[#Headers],[barrelrings]],Table2[#Headers],0),0)</f>
        <v>1</v>
      </c>
    </row>
    <row r="50" spans="2:79">
      <c r="B50" s="2" t="str">
        <f>VLOOKUP([jobnumber],OvalData[],MATCH(Table2[[#Headers],[Hand]],Table2[#Headers],0),0)</f>
        <v>RH</v>
      </c>
      <c r="C50" s="2" t="str">
        <f>VLOOKUP([jobnumber],OvalData[],MATCH(Table2[[#Headers],[Model]],Table2[#Headers],0),0)</f>
        <v>SFMPP</v>
      </c>
      <c r="D50" s="2" t="str">
        <f>VLOOKUP([jobnumber],OvalData[],MATCH(Table2[[#Headers],[width]],Table2[#Headers],0),0)</f>
        <v xml:space="preserve"> 18 ft.- 2"</v>
      </c>
      <c r="E50" s="2" t="str">
        <f>VLOOKUP([jobnumber],OvalData[],MATCH(Table2[[#Headers],[stopheight]],Table2[#Headers],0),0)</f>
        <v xml:space="preserve"> 10 ft.- 0"</v>
      </c>
      <c r="F50" s="2" t="str">
        <f>VLOOKUP([jobnumber],OvalData[],MATCH(Table2[[#Headers],[Between Brackets]],Table2[#Headers],0),0)</f>
        <v xml:space="preserve"> 18 ft.- 7 7/ 8"</v>
      </c>
      <c r="G50" s="2" t="str">
        <f>VLOOKUP([jobnumber],OvalData[],MATCH(Table2[[#Headers],[shell]],Table2[#Headers],0),0)</f>
        <v>6 INCH TUBE</v>
      </c>
      <c r="H50" s="2" t="str">
        <f>VLOOKUP([jobnumber],OvalData[],MATCH(Table2[[#Headers],[pipewidth]],Table2[#Headers],0),0)</f>
        <v xml:space="preserve"> 18 ft.- 1 3/ 8"</v>
      </c>
      <c r="I50" s="2">
        <f>VLOOKUP([jobnumber],OvalData[],MATCH(Table2[[#Headers],[Support Tubes]],Table2[#Headers],0),0)</f>
        <v>0</v>
      </c>
      <c r="J50" s="2">
        <f>VLOOKUP([jobnumber],OvalData[],MATCH(Table2[[#Headers],[Upset]],Table2[#Headers],0),0)</f>
        <v>2</v>
      </c>
      <c r="K50" s="2" t="str">
        <f>VLOOKUP([jobnumber],OvalData[],MATCH(Table2[[#Headers],[Guide Type]],Table2[#Headers],0),0)</f>
        <v>SN2-4 5/8-E</v>
      </c>
      <c r="L50" s="2" t="str">
        <f>VLOOKUP([jobnumber],OvalData[],MATCH(Table2[[#Headers],[Wall Angle]],Table2[#Headers],0),0)</f>
        <v xml:space="preserve"> 11 ft.- 8"</v>
      </c>
      <c r="M50" s="2" t="str">
        <f>VLOOKUP([jobnumber],OvalData[],MATCH(Table2[[#Headers],[Middle Angle]],Table2[#Headers],0),0)</f>
        <v xml:space="preserve"> 10 ft.- 4 1/ 2"</v>
      </c>
      <c r="N50" s="2" t="str">
        <f>VLOOKUP([jobnumber],OvalData[],MATCH(Table2[[#Headers],[Front Angle]],Table2[#Headers],0),0)</f>
        <v xml:space="preserve"> 10 ft.- 3"</v>
      </c>
      <c r="O50" s="2">
        <f>VLOOKUP([jobnumber],OvalData[],MATCH(Table2[[#Headers],[Pipe Center Line]],Table2[#Headers],0),0)</f>
        <v>131</v>
      </c>
      <c r="P50" s="2">
        <f>VLOOKUP([jobnumber],OvalData[],MATCH(Table2[[#Headers],[Heat Expansion Gap]],Table2[#Headers],0),0)</f>
        <v>0</v>
      </c>
      <c r="Q50" s="2">
        <f>VLOOKUP([jobnumber],OvalData[],MATCH(Table2[[#Headers],[Hanging Weight Closed]],Table2[#Headers],0),0)</f>
        <v>795</v>
      </c>
      <c r="R50" s="2">
        <f>VLOOKUP([jobnumber],OvalData[],MATCH(Table2[[#Headers],[Hanging Weight Open]],Table2[#Headers],0),0)</f>
        <v>140</v>
      </c>
      <c r="S50" s="2">
        <f>VLOOKUP([jobnumber],OvalData[],MATCH(Table2[[#Headers],[Initial Lever Arm]],Table2[#Headers],0),0)</f>
        <v>4.25</v>
      </c>
      <c r="T50" s="2">
        <f>VLOOKUP([jobnumber],OvalData[],MATCH(Table2[[#Headers],[Turns to Raise]],Table2[#Headers],0),0)</f>
        <v>3.5859999999999999</v>
      </c>
      <c r="U50" s="2">
        <f>VLOOKUP([jobnumber],OvalData[],MATCH(Table2[[#Headers],[Final Lever Arm]],Table2[#Headers],0),0)</f>
        <v>6.37</v>
      </c>
      <c r="V50" s="2">
        <f>VLOOKUP([jobnumber],OvalData[],MATCH(Table2[[#Headers],[Torque Required Closed]],Table2[#Headers],0),0)</f>
        <v>3377.9</v>
      </c>
      <c r="W50" s="2">
        <f>VLOOKUP([jobnumber],OvalData[],MATCH(Table2[[#Headers],[Torque Required Open]],Table2[#Headers],0),0)</f>
        <v>892</v>
      </c>
      <c r="X50" s="2">
        <f>VLOOKUP([jobnumber],OvalData[],MATCH(Table2[[#Headers],[Pre Turns]],Table2[#Headers],0),0)</f>
        <v>1.3332999999999999</v>
      </c>
      <c r="Y50" s="2">
        <f>VLOOKUP([jobnumber],OvalData[],MATCH(Table2[[#Headers],[Required Torque Per Turn]],Table2[#Headers],0),0)</f>
        <v>688</v>
      </c>
      <c r="Z50" s="2">
        <f>VLOOKUP([jobnumber],OvalData[],MATCH(Table2[[#Headers],[Total Turns]],Table2[#Headers],0),0)</f>
        <v>4.91</v>
      </c>
      <c r="AA50" s="2">
        <f>VLOOKUP([jobnumber],OvalData[],MATCH(Table2[[#Headers],[Grille Vision Section]],Table2[#Headers],0),0)</f>
        <v>0</v>
      </c>
      <c r="AB50" s="2">
        <f>VLOOKUP([jobnumber],OvalData[],MATCH(Table2[[#Headers],[Grille Amount]],Table2[#Headers],0),0)</f>
        <v>0</v>
      </c>
      <c r="AC50" s="2">
        <f>VLOOKUP([jobnumber],OvalData[],MATCH(Table2[[#Headers],[Grille Center]],Table2[#Headers],0),0)</f>
        <v>0</v>
      </c>
      <c r="AD50" s="2">
        <f>VLOOKUP([jobnumber],OvalData[],MATCH(Table2[[#Headers],[Grille Pattern]],Table2[#Headers],0),0)</f>
        <v>0</v>
      </c>
      <c r="AE50" s="2">
        <f>VLOOKUP([jobnumber],OvalData[],MATCH(Table2[[#Headers],[Grille First Tube]],Table2[#Headers],0),0)</f>
        <v>0</v>
      </c>
      <c r="AF50" s="2">
        <f>VLOOKUP([jobnumber],OvalData[],MATCH(Table2[[#Headers],[Grille Standard Tube]],Table2[#Headers],0),0)</f>
        <v>0</v>
      </c>
      <c r="AG50" s="2">
        <f>VLOOKUP([jobnumber],OvalData[],MATCH(Table2[[#Headers],[Grille Total Links]],Table2[#Headers],0),0)</f>
        <v>0</v>
      </c>
      <c r="AH50" s="2">
        <f>VLOOKUP([jobnumber],OvalData[],MATCH(Table2[[#Headers],[Grille Rods]],Table2[#Headers],0),0)</f>
        <v>0</v>
      </c>
      <c r="AI50" s="2">
        <f>VLOOKUP([jobnumber],OvalData[],MATCH(Table2[[#Headers],[Grille Rod Length]],Table2[#Headers],0),0)</f>
        <v>0</v>
      </c>
      <c r="AJ50" s="2">
        <f>VLOOKUP([jobnumber],OvalData[],MATCH(Table2[[#Headers],[slattype]],Table2[#Headers],0),0)</f>
        <v>2</v>
      </c>
      <c r="AK50" s="2">
        <f>VLOOKUP([jobnumber],OvalData[],MATCH(Table2[[#Headers],[slatgage]],Table2[#Headers],0),0)</f>
        <v>18</v>
      </c>
      <c r="AL50" s="2">
        <f>VLOOKUP([jobnumber],OvalData[],MATCH(Table2[[#Headers],[Numer of Top Slats]],Table2[#Headers],0),0)</f>
        <v>0</v>
      </c>
      <c r="AM50" s="2">
        <f>VLOOKUP([jobnumber],OvalData[],MATCH(Table2[[#Headers],[Number of Bottom Slats]],Table2[#Headers],0),0)</f>
        <v>0</v>
      </c>
      <c r="AN50" s="2">
        <f>VLOOKUP([jobnumber],OvalData[],MATCH(Table2[[#Headers],[Solid Bottom Height]],Table2[#Headers],0),0)</f>
        <v>0</v>
      </c>
      <c r="AO50" s="2" t="str">
        <f>VLOOKUP([jobnumber],OvalData[],MATCH(Table2[[#Headers],[slatlength]],Table2[#Headers],0),0)</f>
        <v xml:space="preserve"> 18 ft.- 5 7/ 8"</v>
      </c>
      <c r="AP50" s="2">
        <f>VLOOKUP([jobnumber],OvalData[],MATCH(Table2[[#Headers],[Bottom Slat Length]],Table2[#Headers],0),0)</f>
        <v>0</v>
      </c>
      <c r="AQ50" s="2">
        <f>VLOOKUP([jobnumber],OvalData[],MATCH(Table2[[#Headers],[Number of Perferated Slats]],Table2[#Headers],0),0)</f>
        <v>0</v>
      </c>
      <c r="AR50" s="2">
        <f>VLOOKUP([jobnumber],OvalData[],MATCH(Table2[[#Headers],[First Preferated Slat From End]],Table2[#Headers],0),0)</f>
        <v>0</v>
      </c>
      <c r="AS50" s="2">
        <f>VLOOKUP([jobnumber],OvalData[],MATCH(Table2[[#Headers],[First Preferated Slat From Bottom]],Table2[#Headers],0),0)</f>
        <v>0</v>
      </c>
      <c r="AT50" s="2">
        <f>VLOOKUP([jobnumber],OvalData[],MATCH(Table2[[#Headers],[Total Number of Slats]],Table2[#Headers],0),0)</f>
        <v>51</v>
      </c>
      <c r="AU50" s="2">
        <f>VLOOKUP([jobnumber],OvalData[],MATCH(Table2[[#Headers],[Bottom Bar Slope]],Table2[#Headers],0),0)</f>
        <v>0</v>
      </c>
      <c r="AV50" s="2">
        <f>VLOOKUP([jobnumber],OvalData[],MATCH(Table2[[#Headers],[Bottom Bar Weight]],Table2[#Headers],0),0)</f>
        <v>80.5</v>
      </c>
      <c r="AW50" s="2" t="str">
        <f>VLOOKUP([jobnumber],OvalData[],MATCH(Table2[[#Headers],[Outer Spring Gage]],Table2[#Headers],0),0)</f>
        <v>Null</v>
      </c>
      <c r="AX50" s="2" t="str">
        <f>VLOOKUP([jobnumber],OvalData[],MATCH(Table2[[#Headers],[Outer Spring OD]],Table2[#Headers],0),0)</f>
        <v>Null</v>
      </c>
      <c r="AY50" s="2" t="str">
        <f>VLOOKUP([jobnumber],OvalData[],MATCH(Table2[[#Headers],[Outer Spring Length]],Table2[#Headers],0),0)</f>
        <v>Null</v>
      </c>
      <c r="AZ50" s="2" t="str">
        <f>VLOOKUP([jobnumber],OvalData[],MATCH(Table2[[#Headers],[Outer Spring Stretch]],Table2[#Headers],0),0)</f>
        <v>Null</v>
      </c>
      <c r="BA50" s="2" t="str">
        <f>VLOOKUP([jobnumber],OvalData[],MATCH(Table2[[#Headers],[Outer Spring Torque]],Table2[#Headers],0),0)</f>
        <v>Null</v>
      </c>
      <c r="BB50" s="2" t="str">
        <f>VLOOKUP([jobnumber],OvalData[],MATCH(Table2[[#Headers],[Outer Spring Max Turns]],Table2[#Headers],0),0)</f>
        <v>Null</v>
      </c>
      <c r="BC50" s="2" t="str">
        <f>VLOOKUP([jobnumber],OvalData[],MATCH(Table2[[#Headers],[Outer Spring Weight]],Table2[#Headers],0),0)</f>
        <v>Null</v>
      </c>
      <c r="BD50" s="2" t="str">
        <f>VLOOKUP([jobnumber],OvalData[],MATCH(Table2[[#Headers],[Inner Spring Gage]],Table2[#Headers],0),0)</f>
        <v>Null</v>
      </c>
      <c r="BE50" s="2" t="str">
        <f>VLOOKUP([jobnumber],OvalData[],MATCH(Table2[[#Headers],[Inner Spring OD]],Table2[#Headers],0),0)</f>
        <v>Null</v>
      </c>
      <c r="BF50" s="2" t="str">
        <f>VLOOKUP([jobnumber],OvalData[],MATCH(Table2[[#Headers],[Inner Spring Length]],Table2[#Headers],0),0)</f>
        <v>Null</v>
      </c>
      <c r="BG50" s="2" t="str">
        <f>VLOOKUP([jobnumber],OvalData[],MATCH(Table2[[#Headers],[Inner Spring Stretch]],Table2[#Headers],0),0)</f>
        <v>Null</v>
      </c>
      <c r="BH50" s="2" t="str">
        <f>VLOOKUP([jobnumber],OvalData[],MATCH(Table2[[#Headers],[Inner Spring Torque]],Table2[#Headers],0),0)</f>
        <v>Null</v>
      </c>
      <c r="BI50" s="2" t="str">
        <f>VLOOKUP([jobnumber],OvalData[],MATCH(Table2[[#Headers],[Inner Spring Max Turns]],Table2[#Headers],0),0)</f>
        <v>Null</v>
      </c>
      <c r="BJ50" s="2" t="str">
        <f>VLOOKUP([jobnumber],OvalData[],MATCH(Table2[[#Headers],[Inner Spring Weight]],Table2[#Headers],0),0)</f>
        <v>Null</v>
      </c>
      <c r="BK50" s="2">
        <f>VLOOKUP([jobnumber],OvalData[],MATCH(Table2[[#Headers],[Cycles]],Table2[#Headers],0),0)</f>
        <v>0</v>
      </c>
      <c r="BL50" s="2">
        <f>VLOOKUP([jobnumber],OvalData[],MATCH(Table2[[#Headers],[Total Spring Torque]],Table2[#Headers],0),0)</f>
        <v>0</v>
      </c>
      <c r="BM50" s="2">
        <f>VLOOKUP([jobnumber],OvalData[],MATCH(Table2[[#Headers],[Total Spring Weight]],Table2[#Headers],0),0)</f>
        <v>0</v>
      </c>
      <c r="BN50" s="2">
        <f>VLOOKUP([jobnumber],OvalData[],MATCH(Table2[[#Headers],[Pipe Weight]],Table2[#Headers],0),0)</f>
        <v>688.24239999999998</v>
      </c>
      <c r="BO50" s="2">
        <f>VLOOKUP([jobnumber],OvalData[],MATCH(Table2[[#Headers],[Max Pipe Deflection]],Table2[#Headers],0),0)</f>
        <v>2309</v>
      </c>
      <c r="BP50" s="2">
        <f>VLOOKUP([jobnumber],OvalData[],MATCH(Table2[[#Headers],[Number Non-Insulated Wrap Slats]],Table2[#Headers],0),0)</f>
        <v>0</v>
      </c>
      <c r="BQ50" s="2">
        <f>VLOOKUP([jobnumber],OvalData[],MATCH(Table2[[#Headers],[Number of Insolated Top Slats]],Table2[#Headers],0),0)</f>
        <v>45</v>
      </c>
      <c r="BR50" s="2">
        <f>VLOOKUP([jobnumber],OvalData[],MATCH(Table2[[#Headers],[Insolated Total Slats]],Table2[#Headers],0),0)</f>
        <v>45</v>
      </c>
      <c r="BS50" s="2">
        <f>VLOOKUP([jobnumber],OvalData[],MATCH(Table2[[#Headers],[Number of Slats]],Table2[#Headers],0),0)</f>
        <v>44.69</v>
      </c>
      <c r="BT50" s="2">
        <f>VLOOKUP([jobnumber],OvalData[],MATCH(Table2[[#Headers],[Wrap]],Table2[#Headers],0),0)</f>
        <v>0</v>
      </c>
      <c r="BU50" s="2">
        <f>VLOOKUP([jobnumber],OvalData[],MATCH(Table2[[#Headers],[Wall Angle Thickness]],Table2[#Headers],0),0)</f>
        <v>0</v>
      </c>
      <c r="BV50" s="2">
        <f>VLOOKUP([jobnumber],OvalData[],MATCH(Table2[[#Headers],[windlocks]],Table2[#Headers],0),0)</f>
        <v>0</v>
      </c>
      <c r="BW50" s="2" t="str">
        <f>VLOOKUP([jobnumber],OvalData[],MATCH(Table2[[#Headers],[bottombartype]],Table2[#Headers],0),0)</f>
        <v>SPECIAL</v>
      </c>
      <c r="BX50" s="2">
        <f>VLOOKUP([jobnumber],OvalData[],MATCH(Table2[[#Headers],[endlockweight]],Table2[#Headers],0),0)</f>
        <v>0.17</v>
      </c>
      <c r="BY50" s="2">
        <f>VLOOKUP([jobnumber],OvalData[],MATCH(Table2[[#Headers],[Endlock Total Weight]],Table2[#Headers],0),0)</f>
        <v>7.5972999999999997</v>
      </c>
      <c r="BZ50" s="2">
        <f>VLOOKUP([jobnumber],OvalData[],MATCH(Table2[[#Headers],[Grille Weight]],Table2[#Headers],0),0)</f>
        <v>0</v>
      </c>
      <c r="CA50" s="2">
        <f>VLOOKUP([jobnumber],OvalData[],MATCH(Table2[[#Headers],[barrelrings]],Table2[#Headers],0),0)</f>
        <v>1</v>
      </c>
    </row>
    <row r="51" spans="2:79">
      <c r="B51" s="2" t="str">
        <f>VLOOKUP([jobnumber],OvalData[],MATCH(Table2[[#Headers],[Hand]],Table2[#Headers],0),0)</f>
        <v>RH</v>
      </c>
      <c r="C51" s="2" t="str">
        <f>VLOOKUP([jobnumber],OvalData[],MATCH(Table2[[#Headers],[Model]],Table2[#Headers],0),0)</f>
        <v>SFMPP</v>
      </c>
      <c r="D51" s="2" t="str">
        <f>VLOOKUP([jobnumber],OvalData[],MATCH(Table2[[#Headers],[width]],Table2[#Headers],0),0)</f>
        <v xml:space="preserve"> 18 ft.- 2"</v>
      </c>
      <c r="E51" s="2" t="str">
        <f>VLOOKUP([jobnumber],OvalData[],MATCH(Table2[[#Headers],[stopheight]],Table2[#Headers],0),0)</f>
        <v xml:space="preserve"> 10 ft.- 0"</v>
      </c>
      <c r="F51" s="2" t="str">
        <f>VLOOKUP([jobnumber],OvalData[],MATCH(Table2[[#Headers],[Between Brackets]],Table2[#Headers],0),0)</f>
        <v xml:space="preserve"> 18 ft.- 7 7/ 8"</v>
      </c>
      <c r="G51" s="2" t="str">
        <f>VLOOKUP([jobnumber],OvalData[],MATCH(Table2[[#Headers],[shell]],Table2[#Headers],0),0)</f>
        <v>6 INCH TUBE</v>
      </c>
      <c r="H51" s="2" t="str">
        <f>VLOOKUP([jobnumber],OvalData[],MATCH(Table2[[#Headers],[pipewidth]],Table2[#Headers],0),0)</f>
        <v xml:space="preserve"> 18 ft.- 1 3/ 8"</v>
      </c>
      <c r="I51" s="2">
        <f>VLOOKUP([jobnumber],OvalData[],MATCH(Table2[[#Headers],[Support Tubes]],Table2[#Headers],0),0)</f>
        <v>0</v>
      </c>
      <c r="J51" s="2">
        <f>VLOOKUP([jobnumber],OvalData[],MATCH(Table2[[#Headers],[Upset]],Table2[#Headers],0),0)</f>
        <v>2</v>
      </c>
      <c r="K51" s="2" t="str">
        <f>VLOOKUP([jobnumber],OvalData[],MATCH(Table2[[#Headers],[Guide Type]],Table2[#Headers],0),0)</f>
        <v>SN2-4 5/8-E</v>
      </c>
      <c r="L51" s="2" t="str">
        <f>VLOOKUP([jobnumber],OvalData[],MATCH(Table2[[#Headers],[Wall Angle]],Table2[#Headers],0),0)</f>
        <v xml:space="preserve"> 11 ft.- 8"</v>
      </c>
      <c r="M51" s="2" t="str">
        <f>VLOOKUP([jobnumber],OvalData[],MATCH(Table2[[#Headers],[Middle Angle]],Table2[#Headers],0),0)</f>
        <v xml:space="preserve"> 10 ft.- 4 1/ 2"</v>
      </c>
      <c r="N51" s="2" t="str">
        <f>VLOOKUP([jobnumber],OvalData[],MATCH(Table2[[#Headers],[Front Angle]],Table2[#Headers],0),0)</f>
        <v xml:space="preserve"> 10 ft.- 3"</v>
      </c>
      <c r="O51" s="2">
        <f>VLOOKUP([jobnumber],OvalData[],MATCH(Table2[[#Headers],[Pipe Center Line]],Table2[#Headers],0),0)</f>
        <v>131</v>
      </c>
      <c r="P51" s="2">
        <f>VLOOKUP([jobnumber],OvalData[],MATCH(Table2[[#Headers],[Heat Expansion Gap]],Table2[#Headers],0),0)</f>
        <v>0</v>
      </c>
      <c r="Q51" s="2">
        <f>VLOOKUP([jobnumber],OvalData[],MATCH(Table2[[#Headers],[Hanging Weight Closed]],Table2[#Headers],0),0)</f>
        <v>795</v>
      </c>
      <c r="R51" s="2">
        <f>VLOOKUP([jobnumber],OvalData[],MATCH(Table2[[#Headers],[Hanging Weight Open]],Table2[#Headers],0),0)</f>
        <v>140</v>
      </c>
      <c r="S51" s="2">
        <f>VLOOKUP([jobnumber],OvalData[],MATCH(Table2[[#Headers],[Initial Lever Arm]],Table2[#Headers],0),0)</f>
        <v>4.25</v>
      </c>
      <c r="T51" s="2">
        <f>VLOOKUP([jobnumber],OvalData[],MATCH(Table2[[#Headers],[Turns to Raise]],Table2[#Headers],0),0)</f>
        <v>3.5859999999999999</v>
      </c>
      <c r="U51" s="2">
        <f>VLOOKUP([jobnumber],OvalData[],MATCH(Table2[[#Headers],[Final Lever Arm]],Table2[#Headers],0),0)</f>
        <v>6.37</v>
      </c>
      <c r="V51" s="2">
        <f>VLOOKUP([jobnumber],OvalData[],MATCH(Table2[[#Headers],[Torque Required Closed]],Table2[#Headers],0),0)</f>
        <v>3377.9</v>
      </c>
      <c r="W51" s="2">
        <f>VLOOKUP([jobnumber],OvalData[],MATCH(Table2[[#Headers],[Torque Required Open]],Table2[#Headers],0),0)</f>
        <v>892</v>
      </c>
      <c r="X51" s="2">
        <f>VLOOKUP([jobnumber],OvalData[],MATCH(Table2[[#Headers],[Pre Turns]],Table2[#Headers],0),0)</f>
        <v>1.3332999999999999</v>
      </c>
      <c r="Y51" s="2">
        <f>VLOOKUP([jobnumber],OvalData[],MATCH(Table2[[#Headers],[Required Torque Per Turn]],Table2[#Headers],0),0)</f>
        <v>688</v>
      </c>
      <c r="Z51" s="2">
        <f>VLOOKUP([jobnumber],OvalData[],MATCH(Table2[[#Headers],[Total Turns]],Table2[#Headers],0),0)</f>
        <v>4.91</v>
      </c>
      <c r="AA51" s="2">
        <f>VLOOKUP([jobnumber],OvalData[],MATCH(Table2[[#Headers],[Grille Vision Section]],Table2[#Headers],0),0)</f>
        <v>0</v>
      </c>
      <c r="AB51" s="2">
        <f>VLOOKUP([jobnumber],OvalData[],MATCH(Table2[[#Headers],[Grille Amount]],Table2[#Headers],0),0)</f>
        <v>0</v>
      </c>
      <c r="AC51" s="2">
        <f>VLOOKUP([jobnumber],OvalData[],MATCH(Table2[[#Headers],[Grille Center]],Table2[#Headers],0),0)</f>
        <v>0</v>
      </c>
      <c r="AD51" s="2">
        <f>VLOOKUP([jobnumber],OvalData[],MATCH(Table2[[#Headers],[Grille Pattern]],Table2[#Headers],0),0)</f>
        <v>0</v>
      </c>
      <c r="AE51" s="2">
        <f>VLOOKUP([jobnumber],OvalData[],MATCH(Table2[[#Headers],[Grille First Tube]],Table2[#Headers],0),0)</f>
        <v>0</v>
      </c>
      <c r="AF51" s="2">
        <f>VLOOKUP([jobnumber],OvalData[],MATCH(Table2[[#Headers],[Grille Standard Tube]],Table2[#Headers],0),0)</f>
        <v>0</v>
      </c>
      <c r="AG51" s="2">
        <f>VLOOKUP([jobnumber],OvalData[],MATCH(Table2[[#Headers],[Grille Total Links]],Table2[#Headers],0),0)</f>
        <v>0</v>
      </c>
      <c r="AH51" s="2">
        <f>VLOOKUP([jobnumber],OvalData[],MATCH(Table2[[#Headers],[Grille Rods]],Table2[#Headers],0),0)</f>
        <v>0</v>
      </c>
      <c r="AI51" s="2">
        <f>VLOOKUP([jobnumber],OvalData[],MATCH(Table2[[#Headers],[Grille Rod Length]],Table2[#Headers],0),0)</f>
        <v>0</v>
      </c>
      <c r="AJ51" s="2">
        <f>VLOOKUP([jobnumber],OvalData[],MATCH(Table2[[#Headers],[slattype]],Table2[#Headers],0),0)</f>
        <v>2</v>
      </c>
      <c r="AK51" s="2">
        <f>VLOOKUP([jobnumber],OvalData[],MATCH(Table2[[#Headers],[slatgage]],Table2[#Headers],0),0)</f>
        <v>18</v>
      </c>
      <c r="AL51" s="2">
        <f>VLOOKUP([jobnumber],OvalData[],MATCH(Table2[[#Headers],[Numer of Top Slats]],Table2[#Headers],0),0)</f>
        <v>0</v>
      </c>
      <c r="AM51" s="2">
        <f>VLOOKUP([jobnumber],OvalData[],MATCH(Table2[[#Headers],[Number of Bottom Slats]],Table2[#Headers],0),0)</f>
        <v>0</v>
      </c>
      <c r="AN51" s="2">
        <f>VLOOKUP([jobnumber],OvalData[],MATCH(Table2[[#Headers],[Solid Bottom Height]],Table2[#Headers],0),0)</f>
        <v>0</v>
      </c>
      <c r="AO51" s="2" t="str">
        <f>VLOOKUP([jobnumber],OvalData[],MATCH(Table2[[#Headers],[slatlength]],Table2[#Headers],0),0)</f>
        <v xml:space="preserve"> 18 ft.- 5 7/ 8"</v>
      </c>
      <c r="AP51" s="2">
        <f>VLOOKUP([jobnumber],OvalData[],MATCH(Table2[[#Headers],[Bottom Slat Length]],Table2[#Headers],0),0)</f>
        <v>0</v>
      </c>
      <c r="AQ51" s="2">
        <f>VLOOKUP([jobnumber],OvalData[],MATCH(Table2[[#Headers],[Number of Perferated Slats]],Table2[#Headers],0),0)</f>
        <v>0</v>
      </c>
      <c r="AR51" s="2">
        <f>VLOOKUP([jobnumber],OvalData[],MATCH(Table2[[#Headers],[First Preferated Slat From End]],Table2[#Headers],0),0)</f>
        <v>0</v>
      </c>
      <c r="AS51" s="2">
        <f>VLOOKUP([jobnumber],OvalData[],MATCH(Table2[[#Headers],[First Preferated Slat From Bottom]],Table2[#Headers],0),0)</f>
        <v>0</v>
      </c>
      <c r="AT51" s="2">
        <f>VLOOKUP([jobnumber],OvalData[],MATCH(Table2[[#Headers],[Total Number of Slats]],Table2[#Headers],0),0)</f>
        <v>51</v>
      </c>
      <c r="AU51" s="2">
        <f>VLOOKUP([jobnumber],OvalData[],MATCH(Table2[[#Headers],[Bottom Bar Slope]],Table2[#Headers],0),0)</f>
        <v>0</v>
      </c>
      <c r="AV51" s="2">
        <f>VLOOKUP([jobnumber],OvalData[],MATCH(Table2[[#Headers],[Bottom Bar Weight]],Table2[#Headers],0),0)</f>
        <v>80.5</v>
      </c>
      <c r="AW51" s="2" t="str">
        <f>VLOOKUP([jobnumber],OvalData[],MATCH(Table2[[#Headers],[Outer Spring Gage]],Table2[#Headers],0),0)</f>
        <v>Null</v>
      </c>
      <c r="AX51" s="2" t="str">
        <f>VLOOKUP([jobnumber],OvalData[],MATCH(Table2[[#Headers],[Outer Spring OD]],Table2[#Headers],0),0)</f>
        <v>Null</v>
      </c>
      <c r="AY51" s="2" t="str">
        <f>VLOOKUP([jobnumber],OvalData[],MATCH(Table2[[#Headers],[Outer Spring Length]],Table2[#Headers],0),0)</f>
        <v>Null</v>
      </c>
      <c r="AZ51" s="2" t="str">
        <f>VLOOKUP([jobnumber],OvalData[],MATCH(Table2[[#Headers],[Outer Spring Stretch]],Table2[#Headers],0),0)</f>
        <v>Null</v>
      </c>
      <c r="BA51" s="2" t="str">
        <f>VLOOKUP([jobnumber],OvalData[],MATCH(Table2[[#Headers],[Outer Spring Torque]],Table2[#Headers],0),0)</f>
        <v>Null</v>
      </c>
      <c r="BB51" s="2" t="str">
        <f>VLOOKUP([jobnumber],OvalData[],MATCH(Table2[[#Headers],[Outer Spring Max Turns]],Table2[#Headers],0),0)</f>
        <v>Null</v>
      </c>
      <c r="BC51" s="2" t="str">
        <f>VLOOKUP([jobnumber],OvalData[],MATCH(Table2[[#Headers],[Outer Spring Weight]],Table2[#Headers],0),0)</f>
        <v>Null</v>
      </c>
      <c r="BD51" s="2" t="str">
        <f>VLOOKUP([jobnumber],OvalData[],MATCH(Table2[[#Headers],[Inner Spring Gage]],Table2[#Headers],0),0)</f>
        <v>Null</v>
      </c>
      <c r="BE51" s="2" t="str">
        <f>VLOOKUP([jobnumber],OvalData[],MATCH(Table2[[#Headers],[Inner Spring OD]],Table2[#Headers],0),0)</f>
        <v>Null</v>
      </c>
      <c r="BF51" s="2" t="str">
        <f>VLOOKUP([jobnumber],OvalData[],MATCH(Table2[[#Headers],[Inner Spring Length]],Table2[#Headers],0),0)</f>
        <v>Null</v>
      </c>
      <c r="BG51" s="2" t="str">
        <f>VLOOKUP([jobnumber],OvalData[],MATCH(Table2[[#Headers],[Inner Spring Stretch]],Table2[#Headers],0),0)</f>
        <v>Null</v>
      </c>
      <c r="BH51" s="2" t="str">
        <f>VLOOKUP([jobnumber],OvalData[],MATCH(Table2[[#Headers],[Inner Spring Torque]],Table2[#Headers],0),0)</f>
        <v>Null</v>
      </c>
      <c r="BI51" s="2" t="str">
        <f>VLOOKUP([jobnumber],OvalData[],MATCH(Table2[[#Headers],[Inner Spring Max Turns]],Table2[#Headers],0),0)</f>
        <v>Null</v>
      </c>
      <c r="BJ51" s="2" t="str">
        <f>VLOOKUP([jobnumber],OvalData[],MATCH(Table2[[#Headers],[Inner Spring Weight]],Table2[#Headers],0),0)</f>
        <v>Null</v>
      </c>
      <c r="BK51" s="2">
        <f>VLOOKUP([jobnumber],OvalData[],MATCH(Table2[[#Headers],[Cycles]],Table2[#Headers],0),0)</f>
        <v>0</v>
      </c>
      <c r="BL51" s="2">
        <f>VLOOKUP([jobnumber],OvalData[],MATCH(Table2[[#Headers],[Total Spring Torque]],Table2[#Headers],0),0)</f>
        <v>0</v>
      </c>
      <c r="BM51" s="2">
        <f>VLOOKUP([jobnumber],OvalData[],MATCH(Table2[[#Headers],[Total Spring Weight]],Table2[#Headers],0),0)</f>
        <v>0</v>
      </c>
      <c r="BN51" s="2">
        <f>VLOOKUP([jobnumber],OvalData[],MATCH(Table2[[#Headers],[Pipe Weight]],Table2[#Headers],0),0)</f>
        <v>688.24239999999998</v>
      </c>
      <c r="BO51" s="2">
        <f>VLOOKUP([jobnumber],OvalData[],MATCH(Table2[[#Headers],[Max Pipe Deflection]],Table2[#Headers],0),0)</f>
        <v>2309</v>
      </c>
      <c r="BP51" s="2">
        <f>VLOOKUP([jobnumber],OvalData[],MATCH(Table2[[#Headers],[Number Non-Insulated Wrap Slats]],Table2[#Headers],0),0)</f>
        <v>0</v>
      </c>
      <c r="BQ51" s="2">
        <f>VLOOKUP([jobnumber],OvalData[],MATCH(Table2[[#Headers],[Number of Insolated Top Slats]],Table2[#Headers],0),0)</f>
        <v>45</v>
      </c>
      <c r="BR51" s="2">
        <f>VLOOKUP([jobnumber],OvalData[],MATCH(Table2[[#Headers],[Insolated Total Slats]],Table2[#Headers],0),0)</f>
        <v>45</v>
      </c>
      <c r="BS51" s="2">
        <f>VLOOKUP([jobnumber],OvalData[],MATCH(Table2[[#Headers],[Number of Slats]],Table2[#Headers],0),0)</f>
        <v>44.69</v>
      </c>
      <c r="BT51" s="2">
        <f>VLOOKUP([jobnumber],OvalData[],MATCH(Table2[[#Headers],[Wrap]],Table2[#Headers],0),0)</f>
        <v>0</v>
      </c>
      <c r="BU51" s="2">
        <f>VLOOKUP([jobnumber],OvalData[],MATCH(Table2[[#Headers],[Wall Angle Thickness]],Table2[#Headers],0),0)</f>
        <v>0</v>
      </c>
      <c r="BV51" s="2">
        <f>VLOOKUP([jobnumber],OvalData[],MATCH(Table2[[#Headers],[windlocks]],Table2[#Headers],0),0)</f>
        <v>0</v>
      </c>
      <c r="BW51" s="2" t="str">
        <f>VLOOKUP([jobnumber],OvalData[],MATCH(Table2[[#Headers],[bottombartype]],Table2[#Headers],0),0)</f>
        <v>SPECIAL</v>
      </c>
      <c r="BX51" s="2">
        <f>VLOOKUP([jobnumber],OvalData[],MATCH(Table2[[#Headers],[endlockweight]],Table2[#Headers],0),0)</f>
        <v>0.17</v>
      </c>
      <c r="BY51" s="2">
        <f>VLOOKUP([jobnumber],OvalData[],MATCH(Table2[[#Headers],[Endlock Total Weight]],Table2[#Headers],0),0)</f>
        <v>7.5972999999999997</v>
      </c>
      <c r="BZ51" s="2">
        <f>VLOOKUP([jobnumber],OvalData[],MATCH(Table2[[#Headers],[Grille Weight]],Table2[#Headers],0),0)</f>
        <v>0</v>
      </c>
      <c r="CA51" s="2">
        <f>VLOOKUP([jobnumber],OvalData[],MATCH(Table2[[#Headers],[barrelrings]],Table2[#Headers],0),0)</f>
        <v>1</v>
      </c>
    </row>
    <row r="52" spans="2:79">
      <c r="B52" s="2" t="str">
        <f>VLOOKUP([jobnumber],OvalData[],MATCH(Table2[[#Headers],[Hand]],Table2[#Headers],0),0)</f>
        <v>RH</v>
      </c>
      <c r="C52" s="2" t="str">
        <f>VLOOKUP([jobnumber],OvalData[],MATCH(Table2[[#Headers],[Model]],Table2[#Headers],0),0)</f>
        <v>SFMPP</v>
      </c>
      <c r="D52" s="2" t="str">
        <f>VLOOKUP([jobnumber],OvalData[],MATCH(Table2[[#Headers],[width]],Table2[#Headers],0),0)</f>
        <v xml:space="preserve"> 18 ft.- 2"</v>
      </c>
      <c r="E52" s="2" t="str">
        <f>VLOOKUP([jobnumber],OvalData[],MATCH(Table2[[#Headers],[stopheight]],Table2[#Headers],0),0)</f>
        <v xml:space="preserve"> 10 ft.- 0"</v>
      </c>
      <c r="F52" s="2" t="str">
        <f>VLOOKUP([jobnumber],OvalData[],MATCH(Table2[[#Headers],[Between Brackets]],Table2[#Headers],0),0)</f>
        <v xml:space="preserve"> 18 ft.- 7 7/ 8"</v>
      </c>
      <c r="G52" s="2" t="str">
        <f>VLOOKUP([jobnumber],OvalData[],MATCH(Table2[[#Headers],[shell]],Table2[#Headers],0),0)</f>
        <v>6 INCH TUBE</v>
      </c>
      <c r="H52" s="2" t="str">
        <f>VLOOKUP([jobnumber],OvalData[],MATCH(Table2[[#Headers],[pipewidth]],Table2[#Headers],0),0)</f>
        <v xml:space="preserve"> 18 ft.- 1 3/ 8"</v>
      </c>
      <c r="I52" s="2">
        <f>VLOOKUP([jobnumber],OvalData[],MATCH(Table2[[#Headers],[Support Tubes]],Table2[#Headers],0),0)</f>
        <v>0</v>
      </c>
      <c r="J52" s="2">
        <f>VLOOKUP([jobnumber],OvalData[],MATCH(Table2[[#Headers],[Upset]],Table2[#Headers],0),0)</f>
        <v>2</v>
      </c>
      <c r="K52" s="2" t="str">
        <f>VLOOKUP([jobnumber],OvalData[],MATCH(Table2[[#Headers],[Guide Type]],Table2[#Headers],0),0)</f>
        <v>SN2-4 5/8-E</v>
      </c>
      <c r="L52" s="2" t="str">
        <f>VLOOKUP([jobnumber],OvalData[],MATCH(Table2[[#Headers],[Wall Angle]],Table2[#Headers],0),0)</f>
        <v xml:space="preserve"> 11 ft.- 8"</v>
      </c>
      <c r="M52" s="2" t="str">
        <f>VLOOKUP([jobnumber],OvalData[],MATCH(Table2[[#Headers],[Middle Angle]],Table2[#Headers],0),0)</f>
        <v xml:space="preserve"> 10 ft.- 4 1/ 2"</v>
      </c>
      <c r="N52" s="2" t="str">
        <f>VLOOKUP([jobnumber],OvalData[],MATCH(Table2[[#Headers],[Front Angle]],Table2[#Headers],0),0)</f>
        <v xml:space="preserve"> 10 ft.- 3"</v>
      </c>
      <c r="O52" s="2">
        <f>VLOOKUP([jobnumber],OvalData[],MATCH(Table2[[#Headers],[Pipe Center Line]],Table2[#Headers],0),0)</f>
        <v>131</v>
      </c>
      <c r="P52" s="2">
        <f>VLOOKUP([jobnumber],OvalData[],MATCH(Table2[[#Headers],[Heat Expansion Gap]],Table2[#Headers],0),0)</f>
        <v>0</v>
      </c>
      <c r="Q52" s="2">
        <f>VLOOKUP([jobnumber],OvalData[],MATCH(Table2[[#Headers],[Hanging Weight Closed]],Table2[#Headers],0),0)</f>
        <v>795</v>
      </c>
      <c r="R52" s="2">
        <f>VLOOKUP([jobnumber],OvalData[],MATCH(Table2[[#Headers],[Hanging Weight Open]],Table2[#Headers],0),0)</f>
        <v>140</v>
      </c>
      <c r="S52" s="2">
        <f>VLOOKUP([jobnumber],OvalData[],MATCH(Table2[[#Headers],[Initial Lever Arm]],Table2[#Headers],0),0)</f>
        <v>4.25</v>
      </c>
      <c r="T52" s="2">
        <f>VLOOKUP([jobnumber],OvalData[],MATCH(Table2[[#Headers],[Turns to Raise]],Table2[#Headers],0),0)</f>
        <v>3.5859999999999999</v>
      </c>
      <c r="U52" s="2">
        <f>VLOOKUP([jobnumber],OvalData[],MATCH(Table2[[#Headers],[Final Lever Arm]],Table2[#Headers],0),0)</f>
        <v>6.37</v>
      </c>
      <c r="V52" s="2">
        <f>VLOOKUP([jobnumber],OvalData[],MATCH(Table2[[#Headers],[Torque Required Closed]],Table2[#Headers],0),0)</f>
        <v>3377.9</v>
      </c>
      <c r="W52" s="2">
        <f>VLOOKUP([jobnumber],OvalData[],MATCH(Table2[[#Headers],[Torque Required Open]],Table2[#Headers],0),0)</f>
        <v>892</v>
      </c>
      <c r="X52" s="2">
        <f>VLOOKUP([jobnumber],OvalData[],MATCH(Table2[[#Headers],[Pre Turns]],Table2[#Headers],0),0)</f>
        <v>1.3332999999999999</v>
      </c>
      <c r="Y52" s="2">
        <f>VLOOKUP([jobnumber],OvalData[],MATCH(Table2[[#Headers],[Required Torque Per Turn]],Table2[#Headers],0),0)</f>
        <v>688</v>
      </c>
      <c r="Z52" s="2">
        <f>VLOOKUP([jobnumber],OvalData[],MATCH(Table2[[#Headers],[Total Turns]],Table2[#Headers],0),0)</f>
        <v>4.91</v>
      </c>
      <c r="AA52" s="2">
        <f>VLOOKUP([jobnumber],OvalData[],MATCH(Table2[[#Headers],[Grille Vision Section]],Table2[#Headers],0),0)</f>
        <v>0</v>
      </c>
      <c r="AB52" s="2">
        <f>VLOOKUP([jobnumber],OvalData[],MATCH(Table2[[#Headers],[Grille Amount]],Table2[#Headers],0),0)</f>
        <v>0</v>
      </c>
      <c r="AC52" s="2">
        <f>VLOOKUP([jobnumber],OvalData[],MATCH(Table2[[#Headers],[Grille Center]],Table2[#Headers],0),0)</f>
        <v>0</v>
      </c>
      <c r="AD52" s="2">
        <f>VLOOKUP([jobnumber],OvalData[],MATCH(Table2[[#Headers],[Grille Pattern]],Table2[#Headers],0),0)</f>
        <v>0</v>
      </c>
      <c r="AE52" s="2">
        <f>VLOOKUP([jobnumber],OvalData[],MATCH(Table2[[#Headers],[Grille First Tube]],Table2[#Headers],0),0)</f>
        <v>0</v>
      </c>
      <c r="AF52" s="2">
        <f>VLOOKUP([jobnumber],OvalData[],MATCH(Table2[[#Headers],[Grille Standard Tube]],Table2[#Headers],0),0)</f>
        <v>0</v>
      </c>
      <c r="AG52" s="2">
        <f>VLOOKUP([jobnumber],OvalData[],MATCH(Table2[[#Headers],[Grille Total Links]],Table2[#Headers],0),0)</f>
        <v>0</v>
      </c>
      <c r="AH52" s="2">
        <f>VLOOKUP([jobnumber],OvalData[],MATCH(Table2[[#Headers],[Grille Rods]],Table2[#Headers],0),0)</f>
        <v>0</v>
      </c>
      <c r="AI52" s="2">
        <f>VLOOKUP([jobnumber],OvalData[],MATCH(Table2[[#Headers],[Grille Rod Length]],Table2[#Headers],0),0)</f>
        <v>0</v>
      </c>
      <c r="AJ52" s="2">
        <f>VLOOKUP([jobnumber],OvalData[],MATCH(Table2[[#Headers],[slattype]],Table2[#Headers],0),0)</f>
        <v>2</v>
      </c>
      <c r="AK52" s="2">
        <f>VLOOKUP([jobnumber],OvalData[],MATCH(Table2[[#Headers],[slatgage]],Table2[#Headers],0),0)</f>
        <v>18</v>
      </c>
      <c r="AL52" s="2">
        <f>VLOOKUP([jobnumber],OvalData[],MATCH(Table2[[#Headers],[Numer of Top Slats]],Table2[#Headers],0),0)</f>
        <v>0</v>
      </c>
      <c r="AM52" s="2">
        <f>VLOOKUP([jobnumber],OvalData[],MATCH(Table2[[#Headers],[Number of Bottom Slats]],Table2[#Headers],0),0)</f>
        <v>0</v>
      </c>
      <c r="AN52" s="2">
        <f>VLOOKUP([jobnumber],OvalData[],MATCH(Table2[[#Headers],[Solid Bottom Height]],Table2[#Headers],0),0)</f>
        <v>0</v>
      </c>
      <c r="AO52" s="2" t="str">
        <f>VLOOKUP([jobnumber],OvalData[],MATCH(Table2[[#Headers],[slatlength]],Table2[#Headers],0),0)</f>
        <v xml:space="preserve"> 18 ft.- 5 7/ 8"</v>
      </c>
      <c r="AP52" s="2">
        <f>VLOOKUP([jobnumber],OvalData[],MATCH(Table2[[#Headers],[Bottom Slat Length]],Table2[#Headers],0),0)</f>
        <v>0</v>
      </c>
      <c r="AQ52" s="2">
        <f>VLOOKUP([jobnumber],OvalData[],MATCH(Table2[[#Headers],[Number of Perferated Slats]],Table2[#Headers],0),0)</f>
        <v>0</v>
      </c>
      <c r="AR52" s="2">
        <f>VLOOKUP([jobnumber],OvalData[],MATCH(Table2[[#Headers],[First Preferated Slat From End]],Table2[#Headers],0),0)</f>
        <v>0</v>
      </c>
      <c r="AS52" s="2">
        <f>VLOOKUP([jobnumber],OvalData[],MATCH(Table2[[#Headers],[First Preferated Slat From Bottom]],Table2[#Headers],0),0)</f>
        <v>0</v>
      </c>
      <c r="AT52" s="2">
        <f>VLOOKUP([jobnumber],OvalData[],MATCH(Table2[[#Headers],[Total Number of Slats]],Table2[#Headers],0),0)</f>
        <v>51</v>
      </c>
      <c r="AU52" s="2">
        <f>VLOOKUP([jobnumber],OvalData[],MATCH(Table2[[#Headers],[Bottom Bar Slope]],Table2[#Headers],0),0)</f>
        <v>0</v>
      </c>
      <c r="AV52" s="2">
        <f>VLOOKUP([jobnumber],OvalData[],MATCH(Table2[[#Headers],[Bottom Bar Weight]],Table2[#Headers],0),0)</f>
        <v>80.5</v>
      </c>
      <c r="AW52" s="2" t="str">
        <f>VLOOKUP([jobnumber],OvalData[],MATCH(Table2[[#Headers],[Outer Spring Gage]],Table2[#Headers],0),0)</f>
        <v>Null</v>
      </c>
      <c r="AX52" s="2" t="str">
        <f>VLOOKUP([jobnumber],OvalData[],MATCH(Table2[[#Headers],[Outer Spring OD]],Table2[#Headers],0),0)</f>
        <v>Null</v>
      </c>
      <c r="AY52" s="2" t="str">
        <f>VLOOKUP([jobnumber],OvalData[],MATCH(Table2[[#Headers],[Outer Spring Length]],Table2[#Headers],0),0)</f>
        <v>Null</v>
      </c>
      <c r="AZ52" s="2" t="str">
        <f>VLOOKUP([jobnumber],OvalData[],MATCH(Table2[[#Headers],[Outer Spring Stretch]],Table2[#Headers],0),0)</f>
        <v>Null</v>
      </c>
      <c r="BA52" s="2" t="str">
        <f>VLOOKUP([jobnumber],OvalData[],MATCH(Table2[[#Headers],[Outer Spring Torque]],Table2[#Headers],0),0)</f>
        <v>Null</v>
      </c>
      <c r="BB52" s="2" t="str">
        <f>VLOOKUP([jobnumber],OvalData[],MATCH(Table2[[#Headers],[Outer Spring Max Turns]],Table2[#Headers],0),0)</f>
        <v>Null</v>
      </c>
      <c r="BC52" s="2" t="str">
        <f>VLOOKUP([jobnumber],OvalData[],MATCH(Table2[[#Headers],[Outer Spring Weight]],Table2[#Headers],0),0)</f>
        <v>Null</v>
      </c>
      <c r="BD52" s="2" t="str">
        <f>VLOOKUP([jobnumber],OvalData[],MATCH(Table2[[#Headers],[Inner Spring Gage]],Table2[#Headers],0),0)</f>
        <v>Null</v>
      </c>
      <c r="BE52" s="2" t="str">
        <f>VLOOKUP([jobnumber],OvalData[],MATCH(Table2[[#Headers],[Inner Spring OD]],Table2[#Headers],0),0)</f>
        <v>Null</v>
      </c>
      <c r="BF52" s="2" t="str">
        <f>VLOOKUP([jobnumber],OvalData[],MATCH(Table2[[#Headers],[Inner Spring Length]],Table2[#Headers],0),0)</f>
        <v>Null</v>
      </c>
      <c r="BG52" s="2" t="str">
        <f>VLOOKUP([jobnumber],OvalData[],MATCH(Table2[[#Headers],[Inner Spring Stretch]],Table2[#Headers],0),0)</f>
        <v>Null</v>
      </c>
      <c r="BH52" s="2" t="str">
        <f>VLOOKUP([jobnumber],OvalData[],MATCH(Table2[[#Headers],[Inner Spring Torque]],Table2[#Headers],0),0)</f>
        <v>Null</v>
      </c>
      <c r="BI52" s="2" t="str">
        <f>VLOOKUP([jobnumber],OvalData[],MATCH(Table2[[#Headers],[Inner Spring Max Turns]],Table2[#Headers],0),0)</f>
        <v>Null</v>
      </c>
      <c r="BJ52" s="2" t="str">
        <f>VLOOKUP([jobnumber],OvalData[],MATCH(Table2[[#Headers],[Inner Spring Weight]],Table2[#Headers],0),0)</f>
        <v>Null</v>
      </c>
      <c r="BK52" s="2">
        <f>VLOOKUP([jobnumber],OvalData[],MATCH(Table2[[#Headers],[Cycles]],Table2[#Headers],0),0)</f>
        <v>0</v>
      </c>
      <c r="BL52" s="2">
        <f>VLOOKUP([jobnumber],OvalData[],MATCH(Table2[[#Headers],[Total Spring Torque]],Table2[#Headers],0),0)</f>
        <v>0</v>
      </c>
      <c r="BM52" s="2">
        <f>VLOOKUP([jobnumber],OvalData[],MATCH(Table2[[#Headers],[Total Spring Weight]],Table2[#Headers],0),0)</f>
        <v>0</v>
      </c>
      <c r="BN52" s="2">
        <f>VLOOKUP([jobnumber],OvalData[],MATCH(Table2[[#Headers],[Pipe Weight]],Table2[#Headers],0),0)</f>
        <v>688.24239999999998</v>
      </c>
      <c r="BO52" s="2">
        <f>VLOOKUP([jobnumber],OvalData[],MATCH(Table2[[#Headers],[Max Pipe Deflection]],Table2[#Headers],0),0)</f>
        <v>2309</v>
      </c>
      <c r="BP52" s="2">
        <f>VLOOKUP([jobnumber],OvalData[],MATCH(Table2[[#Headers],[Number Non-Insulated Wrap Slats]],Table2[#Headers],0),0)</f>
        <v>0</v>
      </c>
      <c r="BQ52" s="2">
        <f>VLOOKUP([jobnumber],OvalData[],MATCH(Table2[[#Headers],[Number of Insolated Top Slats]],Table2[#Headers],0),0)</f>
        <v>45</v>
      </c>
      <c r="BR52" s="2">
        <f>VLOOKUP([jobnumber],OvalData[],MATCH(Table2[[#Headers],[Insolated Total Slats]],Table2[#Headers],0),0)</f>
        <v>45</v>
      </c>
      <c r="BS52" s="2">
        <f>VLOOKUP([jobnumber],OvalData[],MATCH(Table2[[#Headers],[Number of Slats]],Table2[#Headers],0),0)</f>
        <v>44.69</v>
      </c>
      <c r="BT52" s="2">
        <f>VLOOKUP([jobnumber],OvalData[],MATCH(Table2[[#Headers],[Wrap]],Table2[#Headers],0),0)</f>
        <v>0</v>
      </c>
      <c r="BU52" s="2">
        <f>VLOOKUP([jobnumber],OvalData[],MATCH(Table2[[#Headers],[Wall Angle Thickness]],Table2[#Headers],0),0)</f>
        <v>0</v>
      </c>
      <c r="BV52" s="2">
        <f>VLOOKUP([jobnumber],OvalData[],MATCH(Table2[[#Headers],[windlocks]],Table2[#Headers],0),0)</f>
        <v>0</v>
      </c>
      <c r="BW52" s="2" t="str">
        <f>VLOOKUP([jobnumber],OvalData[],MATCH(Table2[[#Headers],[bottombartype]],Table2[#Headers],0),0)</f>
        <v>SPECIAL</v>
      </c>
      <c r="BX52" s="2">
        <f>VLOOKUP([jobnumber],OvalData[],MATCH(Table2[[#Headers],[endlockweight]],Table2[#Headers],0),0)</f>
        <v>0.17</v>
      </c>
      <c r="BY52" s="2">
        <f>VLOOKUP([jobnumber],OvalData[],MATCH(Table2[[#Headers],[Endlock Total Weight]],Table2[#Headers],0),0)</f>
        <v>7.5972999999999997</v>
      </c>
      <c r="BZ52" s="2">
        <f>VLOOKUP([jobnumber],OvalData[],MATCH(Table2[[#Headers],[Grille Weight]],Table2[#Headers],0),0)</f>
        <v>0</v>
      </c>
      <c r="CA52" s="2">
        <f>VLOOKUP([jobnumber],OvalData[],MATCH(Table2[[#Headers],[barrelrings]],Table2[#Headers],0),0)</f>
        <v>1</v>
      </c>
    </row>
    <row r="53" spans="2:79">
      <c r="B53" s="2" t="str">
        <f>VLOOKUP([jobnumber],OvalData[],MATCH(Table2[[#Headers],[Hand]],Table2[#Headers],0),0)</f>
        <v>RH</v>
      </c>
      <c r="C53" s="2" t="str">
        <f>VLOOKUP([jobnumber],OvalData[],MATCH(Table2[[#Headers],[Model]],Table2[#Headers],0),0)</f>
        <v>SFMPP</v>
      </c>
      <c r="D53" s="2" t="str">
        <f>VLOOKUP([jobnumber],OvalData[],MATCH(Table2[[#Headers],[width]],Table2[#Headers],0),0)</f>
        <v xml:space="preserve"> 18 ft.- 2"</v>
      </c>
      <c r="E53" s="2" t="str">
        <f>VLOOKUP([jobnumber],OvalData[],MATCH(Table2[[#Headers],[stopheight]],Table2[#Headers],0),0)</f>
        <v xml:space="preserve"> 10 ft.- 0"</v>
      </c>
      <c r="F53" s="2" t="str">
        <f>VLOOKUP([jobnumber],OvalData[],MATCH(Table2[[#Headers],[Between Brackets]],Table2[#Headers],0),0)</f>
        <v xml:space="preserve"> 18 ft.- 7 7/ 8"</v>
      </c>
      <c r="G53" s="2" t="str">
        <f>VLOOKUP([jobnumber],OvalData[],MATCH(Table2[[#Headers],[shell]],Table2[#Headers],0),0)</f>
        <v>6 INCH TUBE</v>
      </c>
      <c r="H53" s="2" t="str">
        <f>VLOOKUP([jobnumber],OvalData[],MATCH(Table2[[#Headers],[pipewidth]],Table2[#Headers],0),0)</f>
        <v xml:space="preserve"> 18 ft.- 1 3/ 8"</v>
      </c>
      <c r="I53" s="2">
        <f>VLOOKUP([jobnumber],OvalData[],MATCH(Table2[[#Headers],[Support Tubes]],Table2[#Headers],0),0)</f>
        <v>0</v>
      </c>
      <c r="J53" s="2">
        <f>VLOOKUP([jobnumber],OvalData[],MATCH(Table2[[#Headers],[Upset]],Table2[#Headers],0),0)</f>
        <v>2</v>
      </c>
      <c r="K53" s="2" t="str">
        <f>VLOOKUP([jobnumber],OvalData[],MATCH(Table2[[#Headers],[Guide Type]],Table2[#Headers],0),0)</f>
        <v>SN2-4 5/8-E</v>
      </c>
      <c r="L53" s="2" t="str">
        <f>VLOOKUP([jobnumber],OvalData[],MATCH(Table2[[#Headers],[Wall Angle]],Table2[#Headers],0),0)</f>
        <v xml:space="preserve"> 11 ft.- 8"</v>
      </c>
      <c r="M53" s="2" t="str">
        <f>VLOOKUP([jobnumber],OvalData[],MATCH(Table2[[#Headers],[Middle Angle]],Table2[#Headers],0),0)</f>
        <v xml:space="preserve"> 10 ft.- 4 1/ 2"</v>
      </c>
      <c r="N53" s="2" t="str">
        <f>VLOOKUP([jobnumber],OvalData[],MATCH(Table2[[#Headers],[Front Angle]],Table2[#Headers],0),0)</f>
        <v xml:space="preserve"> 10 ft.- 3"</v>
      </c>
      <c r="O53" s="2">
        <f>VLOOKUP([jobnumber],OvalData[],MATCH(Table2[[#Headers],[Pipe Center Line]],Table2[#Headers],0),0)</f>
        <v>131</v>
      </c>
      <c r="P53" s="2">
        <f>VLOOKUP([jobnumber],OvalData[],MATCH(Table2[[#Headers],[Heat Expansion Gap]],Table2[#Headers],0),0)</f>
        <v>0</v>
      </c>
      <c r="Q53" s="2">
        <f>VLOOKUP([jobnumber],OvalData[],MATCH(Table2[[#Headers],[Hanging Weight Closed]],Table2[#Headers],0),0)</f>
        <v>795</v>
      </c>
      <c r="R53" s="2">
        <f>VLOOKUP([jobnumber],OvalData[],MATCH(Table2[[#Headers],[Hanging Weight Open]],Table2[#Headers],0),0)</f>
        <v>140</v>
      </c>
      <c r="S53" s="2">
        <f>VLOOKUP([jobnumber],OvalData[],MATCH(Table2[[#Headers],[Initial Lever Arm]],Table2[#Headers],0),0)</f>
        <v>4.25</v>
      </c>
      <c r="T53" s="2">
        <f>VLOOKUP([jobnumber],OvalData[],MATCH(Table2[[#Headers],[Turns to Raise]],Table2[#Headers],0),0)</f>
        <v>3.5859999999999999</v>
      </c>
      <c r="U53" s="2">
        <f>VLOOKUP([jobnumber],OvalData[],MATCH(Table2[[#Headers],[Final Lever Arm]],Table2[#Headers],0),0)</f>
        <v>6.37</v>
      </c>
      <c r="V53" s="2">
        <f>VLOOKUP([jobnumber],OvalData[],MATCH(Table2[[#Headers],[Torque Required Closed]],Table2[#Headers],0),0)</f>
        <v>3377.9</v>
      </c>
      <c r="W53" s="2">
        <f>VLOOKUP([jobnumber],OvalData[],MATCH(Table2[[#Headers],[Torque Required Open]],Table2[#Headers],0),0)</f>
        <v>892</v>
      </c>
      <c r="X53" s="2">
        <f>VLOOKUP([jobnumber],OvalData[],MATCH(Table2[[#Headers],[Pre Turns]],Table2[#Headers],0),0)</f>
        <v>1.3332999999999999</v>
      </c>
      <c r="Y53" s="2">
        <f>VLOOKUP([jobnumber],OvalData[],MATCH(Table2[[#Headers],[Required Torque Per Turn]],Table2[#Headers],0),0)</f>
        <v>688</v>
      </c>
      <c r="Z53" s="2">
        <f>VLOOKUP([jobnumber],OvalData[],MATCH(Table2[[#Headers],[Total Turns]],Table2[#Headers],0),0)</f>
        <v>4.91</v>
      </c>
      <c r="AA53" s="2">
        <f>VLOOKUP([jobnumber],OvalData[],MATCH(Table2[[#Headers],[Grille Vision Section]],Table2[#Headers],0),0)</f>
        <v>0</v>
      </c>
      <c r="AB53" s="2">
        <f>VLOOKUP([jobnumber],OvalData[],MATCH(Table2[[#Headers],[Grille Amount]],Table2[#Headers],0),0)</f>
        <v>0</v>
      </c>
      <c r="AC53" s="2">
        <f>VLOOKUP([jobnumber],OvalData[],MATCH(Table2[[#Headers],[Grille Center]],Table2[#Headers],0),0)</f>
        <v>0</v>
      </c>
      <c r="AD53" s="2">
        <f>VLOOKUP([jobnumber],OvalData[],MATCH(Table2[[#Headers],[Grille Pattern]],Table2[#Headers],0),0)</f>
        <v>0</v>
      </c>
      <c r="AE53" s="2">
        <f>VLOOKUP([jobnumber],OvalData[],MATCH(Table2[[#Headers],[Grille First Tube]],Table2[#Headers],0),0)</f>
        <v>0</v>
      </c>
      <c r="AF53" s="2">
        <f>VLOOKUP([jobnumber],OvalData[],MATCH(Table2[[#Headers],[Grille Standard Tube]],Table2[#Headers],0),0)</f>
        <v>0</v>
      </c>
      <c r="AG53" s="2">
        <f>VLOOKUP([jobnumber],OvalData[],MATCH(Table2[[#Headers],[Grille Total Links]],Table2[#Headers],0),0)</f>
        <v>0</v>
      </c>
      <c r="AH53" s="2">
        <f>VLOOKUP([jobnumber],OvalData[],MATCH(Table2[[#Headers],[Grille Rods]],Table2[#Headers],0),0)</f>
        <v>0</v>
      </c>
      <c r="AI53" s="2">
        <f>VLOOKUP([jobnumber],OvalData[],MATCH(Table2[[#Headers],[Grille Rod Length]],Table2[#Headers],0),0)</f>
        <v>0</v>
      </c>
      <c r="AJ53" s="2">
        <f>VLOOKUP([jobnumber],OvalData[],MATCH(Table2[[#Headers],[slattype]],Table2[#Headers],0),0)</f>
        <v>2</v>
      </c>
      <c r="AK53" s="2">
        <f>VLOOKUP([jobnumber],OvalData[],MATCH(Table2[[#Headers],[slatgage]],Table2[#Headers],0),0)</f>
        <v>18</v>
      </c>
      <c r="AL53" s="2">
        <f>VLOOKUP([jobnumber],OvalData[],MATCH(Table2[[#Headers],[Numer of Top Slats]],Table2[#Headers],0),0)</f>
        <v>0</v>
      </c>
      <c r="AM53" s="2">
        <f>VLOOKUP([jobnumber],OvalData[],MATCH(Table2[[#Headers],[Number of Bottom Slats]],Table2[#Headers],0),0)</f>
        <v>0</v>
      </c>
      <c r="AN53" s="2">
        <f>VLOOKUP([jobnumber],OvalData[],MATCH(Table2[[#Headers],[Solid Bottom Height]],Table2[#Headers],0),0)</f>
        <v>0</v>
      </c>
      <c r="AO53" s="2" t="str">
        <f>VLOOKUP([jobnumber],OvalData[],MATCH(Table2[[#Headers],[slatlength]],Table2[#Headers],0),0)</f>
        <v xml:space="preserve"> 18 ft.- 5 7/ 8"</v>
      </c>
      <c r="AP53" s="2">
        <f>VLOOKUP([jobnumber],OvalData[],MATCH(Table2[[#Headers],[Bottom Slat Length]],Table2[#Headers],0),0)</f>
        <v>0</v>
      </c>
      <c r="AQ53" s="2">
        <f>VLOOKUP([jobnumber],OvalData[],MATCH(Table2[[#Headers],[Number of Perferated Slats]],Table2[#Headers],0),0)</f>
        <v>0</v>
      </c>
      <c r="AR53" s="2">
        <f>VLOOKUP([jobnumber],OvalData[],MATCH(Table2[[#Headers],[First Preferated Slat From End]],Table2[#Headers],0),0)</f>
        <v>0</v>
      </c>
      <c r="AS53" s="2">
        <f>VLOOKUP([jobnumber],OvalData[],MATCH(Table2[[#Headers],[First Preferated Slat From Bottom]],Table2[#Headers],0),0)</f>
        <v>0</v>
      </c>
      <c r="AT53" s="2">
        <f>VLOOKUP([jobnumber],OvalData[],MATCH(Table2[[#Headers],[Total Number of Slats]],Table2[#Headers],0),0)</f>
        <v>51</v>
      </c>
      <c r="AU53" s="2">
        <f>VLOOKUP([jobnumber],OvalData[],MATCH(Table2[[#Headers],[Bottom Bar Slope]],Table2[#Headers],0),0)</f>
        <v>0</v>
      </c>
      <c r="AV53" s="2">
        <f>VLOOKUP([jobnumber],OvalData[],MATCH(Table2[[#Headers],[Bottom Bar Weight]],Table2[#Headers],0),0)</f>
        <v>80.5</v>
      </c>
      <c r="AW53" s="2" t="str">
        <f>VLOOKUP([jobnumber],OvalData[],MATCH(Table2[[#Headers],[Outer Spring Gage]],Table2[#Headers],0),0)</f>
        <v>Null</v>
      </c>
      <c r="AX53" s="2" t="str">
        <f>VLOOKUP([jobnumber],OvalData[],MATCH(Table2[[#Headers],[Outer Spring OD]],Table2[#Headers],0),0)</f>
        <v>Null</v>
      </c>
      <c r="AY53" s="2" t="str">
        <f>VLOOKUP([jobnumber],OvalData[],MATCH(Table2[[#Headers],[Outer Spring Length]],Table2[#Headers],0),0)</f>
        <v>Null</v>
      </c>
      <c r="AZ53" s="2" t="str">
        <f>VLOOKUP([jobnumber],OvalData[],MATCH(Table2[[#Headers],[Outer Spring Stretch]],Table2[#Headers],0),0)</f>
        <v>Null</v>
      </c>
      <c r="BA53" s="2" t="str">
        <f>VLOOKUP([jobnumber],OvalData[],MATCH(Table2[[#Headers],[Outer Spring Torque]],Table2[#Headers],0),0)</f>
        <v>Null</v>
      </c>
      <c r="BB53" s="2" t="str">
        <f>VLOOKUP([jobnumber],OvalData[],MATCH(Table2[[#Headers],[Outer Spring Max Turns]],Table2[#Headers],0),0)</f>
        <v>Null</v>
      </c>
      <c r="BC53" s="2" t="str">
        <f>VLOOKUP([jobnumber],OvalData[],MATCH(Table2[[#Headers],[Outer Spring Weight]],Table2[#Headers],0),0)</f>
        <v>Null</v>
      </c>
      <c r="BD53" s="2" t="str">
        <f>VLOOKUP([jobnumber],OvalData[],MATCH(Table2[[#Headers],[Inner Spring Gage]],Table2[#Headers],0),0)</f>
        <v>Null</v>
      </c>
      <c r="BE53" s="2" t="str">
        <f>VLOOKUP([jobnumber],OvalData[],MATCH(Table2[[#Headers],[Inner Spring OD]],Table2[#Headers],0),0)</f>
        <v>Null</v>
      </c>
      <c r="BF53" s="2" t="str">
        <f>VLOOKUP([jobnumber],OvalData[],MATCH(Table2[[#Headers],[Inner Spring Length]],Table2[#Headers],0),0)</f>
        <v>Null</v>
      </c>
      <c r="BG53" s="2" t="str">
        <f>VLOOKUP([jobnumber],OvalData[],MATCH(Table2[[#Headers],[Inner Spring Stretch]],Table2[#Headers],0),0)</f>
        <v>Null</v>
      </c>
      <c r="BH53" s="2" t="str">
        <f>VLOOKUP([jobnumber],OvalData[],MATCH(Table2[[#Headers],[Inner Spring Torque]],Table2[#Headers],0),0)</f>
        <v>Null</v>
      </c>
      <c r="BI53" s="2" t="str">
        <f>VLOOKUP([jobnumber],OvalData[],MATCH(Table2[[#Headers],[Inner Spring Max Turns]],Table2[#Headers],0),0)</f>
        <v>Null</v>
      </c>
      <c r="BJ53" s="2" t="str">
        <f>VLOOKUP([jobnumber],OvalData[],MATCH(Table2[[#Headers],[Inner Spring Weight]],Table2[#Headers],0),0)</f>
        <v>Null</v>
      </c>
      <c r="BK53" s="2">
        <f>VLOOKUP([jobnumber],OvalData[],MATCH(Table2[[#Headers],[Cycles]],Table2[#Headers],0),0)</f>
        <v>0</v>
      </c>
      <c r="BL53" s="2">
        <f>VLOOKUP([jobnumber],OvalData[],MATCH(Table2[[#Headers],[Total Spring Torque]],Table2[#Headers],0),0)</f>
        <v>0</v>
      </c>
      <c r="BM53" s="2">
        <f>VLOOKUP([jobnumber],OvalData[],MATCH(Table2[[#Headers],[Total Spring Weight]],Table2[#Headers],0),0)</f>
        <v>0</v>
      </c>
      <c r="BN53" s="2">
        <f>VLOOKUP([jobnumber],OvalData[],MATCH(Table2[[#Headers],[Pipe Weight]],Table2[#Headers],0),0)</f>
        <v>688.24239999999998</v>
      </c>
      <c r="BO53" s="2">
        <f>VLOOKUP([jobnumber],OvalData[],MATCH(Table2[[#Headers],[Max Pipe Deflection]],Table2[#Headers],0),0)</f>
        <v>2309</v>
      </c>
      <c r="BP53" s="2">
        <f>VLOOKUP([jobnumber],OvalData[],MATCH(Table2[[#Headers],[Number Non-Insulated Wrap Slats]],Table2[#Headers],0),0)</f>
        <v>0</v>
      </c>
      <c r="BQ53" s="2">
        <f>VLOOKUP([jobnumber],OvalData[],MATCH(Table2[[#Headers],[Number of Insolated Top Slats]],Table2[#Headers],0),0)</f>
        <v>45</v>
      </c>
      <c r="BR53" s="2">
        <f>VLOOKUP([jobnumber],OvalData[],MATCH(Table2[[#Headers],[Insolated Total Slats]],Table2[#Headers],0),0)</f>
        <v>45</v>
      </c>
      <c r="BS53" s="2">
        <f>VLOOKUP([jobnumber],OvalData[],MATCH(Table2[[#Headers],[Number of Slats]],Table2[#Headers],0),0)</f>
        <v>44.69</v>
      </c>
      <c r="BT53" s="2">
        <f>VLOOKUP([jobnumber],OvalData[],MATCH(Table2[[#Headers],[Wrap]],Table2[#Headers],0),0)</f>
        <v>0</v>
      </c>
      <c r="BU53" s="2">
        <f>VLOOKUP([jobnumber],OvalData[],MATCH(Table2[[#Headers],[Wall Angle Thickness]],Table2[#Headers],0),0)</f>
        <v>0</v>
      </c>
      <c r="BV53" s="2">
        <f>VLOOKUP([jobnumber],OvalData[],MATCH(Table2[[#Headers],[windlocks]],Table2[#Headers],0),0)</f>
        <v>0</v>
      </c>
      <c r="BW53" s="2" t="str">
        <f>VLOOKUP([jobnumber],OvalData[],MATCH(Table2[[#Headers],[bottombartype]],Table2[#Headers],0),0)</f>
        <v>SPECIAL</v>
      </c>
      <c r="BX53" s="2">
        <f>VLOOKUP([jobnumber],OvalData[],MATCH(Table2[[#Headers],[endlockweight]],Table2[#Headers],0),0)</f>
        <v>0.17</v>
      </c>
      <c r="BY53" s="2">
        <f>VLOOKUP([jobnumber],OvalData[],MATCH(Table2[[#Headers],[Endlock Total Weight]],Table2[#Headers],0),0)</f>
        <v>7.5972999999999997</v>
      </c>
      <c r="BZ53" s="2">
        <f>VLOOKUP([jobnumber],OvalData[],MATCH(Table2[[#Headers],[Grille Weight]],Table2[#Headers],0),0)</f>
        <v>0</v>
      </c>
      <c r="CA53" s="2">
        <f>VLOOKUP([jobnumber],OvalData[],MATCH(Table2[[#Headers],[barrelrings]],Table2[#Headers],0),0)</f>
        <v>1</v>
      </c>
    </row>
    <row r="54" spans="2:79">
      <c r="B54" s="2" t="str">
        <f>VLOOKUP([jobnumber],OvalData[],MATCH(Table2[[#Headers],[Hand]],Table2[#Headers],0),0)</f>
        <v>RH</v>
      </c>
      <c r="C54" s="2" t="str">
        <f>VLOOKUP([jobnumber],OvalData[],MATCH(Table2[[#Headers],[Model]],Table2[#Headers],0),0)</f>
        <v>SFMPP</v>
      </c>
      <c r="D54" s="2" t="str">
        <f>VLOOKUP([jobnumber],OvalData[],MATCH(Table2[[#Headers],[width]],Table2[#Headers],0),0)</f>
        <v xml:space="preserve"> 18 ft.- 2"</v>
      </c>
      <c r="E54" s="2" t="str">
        <f>VLOOKUP([jobnumber],OvalData[],MATCH(Table2[[#Headers],[stopheight]],Table2[#Headers],0),0)</f>
        <v xml:space="preserve"> 10 ft.- 0"</v>
      </c>
      <c r="F54" s="2" t="str">
        <f>VLOOKUP([jobnumber],OvalData[],MATCH(Table2[[#Headers],[Between Brackets]],Table2[#Headers],0),0)</f>
        <v xml:space="preserve"> 18 ft.- 7 7/ 8"</v>
      </c>
      <c r="G54" s="2" t="str">
        <f>VLOOKUP([jobnumber],OvalData[],MATCH(Table2[[#Headers],[shell]],Table2[#Headers],0),0)</f>
        <v>6 INCH TUBE</v>
      </c>
      <c r="H54" s="2" t="str">
        <f>VLOOKUP([jobnumber],OvalData[],MATCH(Table2[[#Headers],[pipewidth]],Table2[#Headers],0),0)</f>
        <v xml:space="preserve"> 18 ft.- 1 3/ 8"</v>
      </c>
      <c r="I54" s="2">
        <f>VLOOKUP([jobnumber],OvalData[],MATCH(Table2[[#Headers],[Support Tubes]],Table2[#Headers],0),0)</f>
        <v>0</v>
      </c>
      <c r="J54" s="2">
        <f>VLOOKUP([jobnumber],OvalData[],MATCH(Table2[[#Headers],[Upset]],Table2[#Headers],0),0)</f>
        <v>2</v>
      </c>
      <c r="K54" s="2" t="str">
        <f>VLOOKUP([jobnumber],OvalData[],MATCH(Table2[[#Headers],[Guide Type]],Table2[#Headers],0),0)</f>
        <v>SN2-4 5/8-E</v>
      </c>
      <c r="L54" s="2" t="str">
        <f>VLOOKUP([jobnumber],OvalData[],MATCH(Table2[[#Headers],[Wall Angle]],Table2[#Headers],0),0)</f>
        <v xml:space="preserve"> 11 ft.- 8"</v>
      </c>
      <c r="M54" s="2" t="str">
        <f>VLOOKUP([jobnumber],OvalData[],MATCH(Table2[[#Headers],[Middle Angle]],Table2[#Headers],0),0)</f>
        <v xml:space="preserve"> 10 ft.- 4 1/ 2"</v>
      </c>
      <c r="N54" s="2" t="str">
        <f>VLOOKUP([jobnumber],OvalData[],MATCH(Table2[[#Headers],[Front Angle]],Table2[#Headers],0),0)</f>
        <v xml:space="preserve"> 10 ft.- 3"</v>
      </c>
      <c r="O54" s="2">
        <f>VLOOKUP([jobnumber],OvalData[],MATCH(Table2[[#Headers],[Pipe Center Line]],Table2[#Headers],0),0)</f>
        <v>131</v>
      </c>
      <c r="P54" s="2">
        <f>VLOOKUP([jobnumber],OvalData[],MATCH(Table2[[#Headers],[Heat Expansion Gap]],Table2[#Headers],0),0)</f>
        <v>0</v>
      </c>
      <c r="Q54" s="2">
        <f>VLOOKUP([jobnumber],OvalData[],MATCH(Table2[[#Headers],[Hanging Weight Closed]],Table2[#Headers],0),0)</f>
        <v>795</v>
      </c>
      <c r="R54" s="2">
        <f>VLOOKUP([jobnumber],OvalData[],MATCH(Table2[[#Headers],[Hanging Weight Open]],Table2[#Headers],0),0)</f>
        <v>140</v>
      </c>
      <c r="S54" s="2">
        <f>VLOOKUP([jobnumber],OvalData[],MATCH(Table2[[#Headers],[Initial Lever Arm]],Table2[#Headers],0),0)</f>
        <v>4.25</v>
      </c>
      <c r="T54" s="2">
        <f>VLOOKUP([jobnumber],OvalData[],MATCH(Table2[[#Headers],[Turns to Raise]],Table2[#Headers],0),0)</f>
        <v>3.5859999999999999</v>
      </c>
      <c r="U54" s="2">
        <f>VLOOKUP([jobnumber],OvalData[],MATCH(Table2[[#Headers],[Final Lever Arm]],Table2[#Headers],0),0)</f>
        <v>6.37</v>
      </c>
      <c r="V54" s="2">
        <f>VLOOKUP([jobnumber],OvalData[],MATCH(Table2[[#Headers],[Torque Required Closed]],Table2[#Headers],0),0)</f>
        <v>3377.9</v>
      </c>
      <c r="W54" s="2">
        <f>VLOOKUP([jobnumber],OvalData[],MATCH(Table2[[#Headers],[Torque Required Open]],Table2[#Headers],0),0)</f>
        <v>892</v>
      </c>
      <c r="X54" s="2">
        <f>VLOOKUP([jobnumber],OvalData[],MATCH(Table2[[#Headers],[Pre Turns]],Table2[#Headers],0),0)</f>
        <v>1.3332999999999999</v>
      </c>
      <c r="Y54" s="2">
        <f>VLOOKUP([jobnumber],OvalData[],MATCH(Table2[[#Headers],[Required Torque Per Turn]],Table2[#Headers],0),0)</f>
        <v>688</v>
      </c>
      <c r="Z54" s="2">
        <f>VLOOKUP([jobnumber],OvalData[],MATCH(Table2[[#Headers],[Total Turns]],Table2[#Headers],0),0)</f>
        <v>4.91</v>
      </c>
      <c r="AA54" s="2">
        <f>VLOOKUP([jobnumber],OvalData[],MATCH(Table2[[#Headers],[Grille Vision Section]],Table2[#Headers],0),0)</f>
        <v>0</v>
      </c>
      <c r="AB54" s="2">
        <f>VLOOKUP([jobnumber],OvalData[],MATCH(Table2[[#Headers],[Grille Amount]],Table2[#Headers],0),0)</f>
        <v>0</v>
      </c>
      <c r="AC54" s="2">
        <f>VLOOKUP([jobnumber],OvalData[],MATCH(Table2[[#Headers],[Grille Center]],Table2[#Headers],0),0)</f>
        <v>0</v>
      </c>
      <c r="AD54" s="2">
        <f>VLOOKUP([jobnumber],OvalData[],MATCH(Table2[[#Headers],[Grille Pattern]],Table2[#Headers],0),0)</f>
        <v>0</v>
      </c>
      <c r="AE54" s="2">
        <f>VLOOKUP([jobnumber],OvalData[],MATCH(Table2[[#Headers],[Grille First Tube]],Table2[#Headers],0),0)</f>
        <v>0</v>
      </c>
      <c r="AF54" s="2">
        <f>VLOOKUP([jobnumber],OvalData[],MATCH(Table2[[#Headers],[Grille Standard Tube]],Table2[#Headers],0),0)</f>
        <v>0</v>
      </c>
      <c r="AG54" s="2">
        <f>VLOOKUP([jobnumber],OvalData[],MATCH(Table2[[#Headers],[Grille Total Links]],Table2[#Headers],0),0)</f>
        <v>0</v>
      </c>
      <c r="AH54" s="2">
        <f>VLOOKUP([jobnumber],OvalData[],MATCH(Table2[[#Headers],[Grille Rods]],Table2[#Headers],0),0)</f>
        <v>0</v>
      </c>
      <c r="AI54" s="2">
        <f>VLOOKUP([jobnumber],OvalData[],MATCH(Table2[[#Headers],[Grille Rod Length]],Table2[#Headers],0),0)</f>
        <v>0</v>
      </c>
      <c r="AJ54" s="2">
        <f>VLOOKUP([jobnumber],OvalData[],MATCH(Table2[[#Headers],[slattype]],Table2[#Headers],0),0)</f>
        <v>2</v>
      </c>
      <c r="AK54" s="2">
        <f>VLOOKUP([jobnumber],OvalData[],MATCH(Table2[[#Headers],[slatgage]],Table2[#Headers],0),0)</f>
        <v>18</v>
      </c>
      <c r="AL54" s="2">
        <f>VLOOKUP([jobnumber],OvalData[],MATCH(Table2[[#Headers],[Numer of Top Slats]],Table2[#Headers],0),0)</f>
        <v>0</v>
      </c>
      <c r="AM54" s="2">
        <f>VLOOKUP([jobnumber],OvalData[],MATCH(Table2[[#Headers],[Number of Bottom Slats]],Table2[#Headers],0),0)</f>
        <v>0</v>
      </c>
      <c r="AN54" s="2">
        <f>VLOOKUP([jobnumber],OvalData[],MATCH(Table2[[#Headers],[Solid Bottom Height]],Table2[#Headers],0),0)</f>
        <v>0</v>
      </c>
      <c r="AO54" s="2" t="str">
        <f>VLOOKUP([jobnumber],OvalData[],MATCH(Table2[[#Headers],[slatlength]],Table2[#Headers],0),0)</f>
        <v xml:space="preserve"> 18 ft.- 5 7/ 8"</v>
      </c>
      <c r="AP54" s="2">
        <f>VLOOKUP([jobnumber],OvalData[],MATCH(Table2[[#Headers],[Bottom Slat Length]],Table2[#Headers],0),0)</f>
        <v>0</v>
      </c>
      <c r="AQ54" s="2">
        <f>VLOOKUP([jobnumber],OvalData[],MATCH(Table2[[#Headers],[Number of Perferated Slats]],Table2[#Headers],0),0)</f>
        <v>0</v>
      </c>
      <c r="AR54" s="2">
        <f>VLOOKUP([jobnumber],OvalData[],MATCH(Table2[[#Headers],[First Preferated Slat From End]],Table2[#Headers],0),0)</f>
        <v>0</v>
      </c>
      <c r="AS54" s="2">
        <f>VLOOKUP([jobnumber],OvalData[],MATCH(Table2[[#Headers],[First Preferated Slat From Bottom]],Table2[#Headers],0),0)</f>
        <v>0</v>
      </c>
      <c r="AT54" s="2">
        <f>VLOOKUP([jobnumber],OvalData[],MATCH(Table2[[#Headers],[Total Number of Slats]],Table2[#Headers],0),0)</f>
        <v>51</v>
      </c>
      <c r="AU54" s="2">
        <f>VLOOKUP([jobnumber],OvalData[],MATCH(Table2[[#Headers],[Bottom Bar Slope]],Table2[#Headers],0),0)</f>
        <v>0</v>
      </c>
      <c r="AV54" s="2">
        <f>VLOOKUP([jobnumber],OvalData[],MATCH(Table2[[#Headers],[Bottom Bar Weight]],Table2[#Headers],0),0)</f>
        <v>80.5</v>
      </c>
      <c r="AW54" s="2" t="str">
        <f>VLOOKUP([jobnumber],OvalData[],MATCH(Table2[[#Headers],[Outer Spring Gage]],Table2[#Headers],0),0)</f>
        <v>Null</v>
      </c>
      <c r="AX54" s="2" t="str">
        <f>VLOOKUP([jobnumber],OvalData[],MATCH(Table2[[#Headers],[Outer Spring OD]],Table2[#Headers],0),0)</f>
        <v>Null</v>
      </c>
      <c r="AY54" s="2" t="str">
        <f>VLOOKUP([jobnumber],OvalData[],MATCH(Table2[[#Headers],[Outer Spring Length]],Table2[#Headers],0),0)</f>
        <v>Null</v>
      </c>
      <c r="AZ54" s="2" t="str">
        <f>VLOOKUP([jobnumber],OvalData[],MATCH(Table2[[#Headers],[Outer Spring Stretch]],Table2[#Headers],0),0)</f>
        <v>Null</v>
      </c>
      <c r="BA54" s="2" t="str">
        <f>VLOOKUP([jobnumber],OvalData[],MATCH(Table2[[#Headers],[Outer Spring Torque]],Table2[#Headers],0),0)</f>
        <v>Null</v>
      </c>
      <c r="BB54" s="2" t="str">
        <f>VLOOKUP([jobnumber],OvalData[],MATCH(Table2[[#Headers],[Outer Spring Max Turns]],Table2[#Headers],0),0)</f>
        <v>Null</v>
      </c>
      <c r="BC54" s="2" t="str">
        <f>VLOOKUP([jobnumber],OvalData[],MATCH(Table2[[#Headers],[Outer Spring Weight]],Table2[#Headers],0),0)</f>
        <v>Null</v>
      </c>
      <c r="BD54" s="2" t="str">
        <f>VLOOKUP([jobnumber],OvalData[],MATCH(Table2[[#Headers],[Inner Spring Gage]],Table2[#Headers],0),0)</f>
        <v>Null</v>
      </c>
      <c r="BE54" s="2" t="str">
        <f>VLOOKUP([jobnumber],OvalData[],MATCH(Table2[[#Headers],[Inner Spring OD]],Table2[#Headers],0),0)</f>
        <v>Null</v>
      </c>
      <c r="BF54" s="2" t="str">
        <f>VLOOKUP([jobnumber],OvalData[],MATCH(Table2[[#Headers],[Inner Spring Length]],Table2[#Headers],0),0)</f>
        <v>Null</v>
      </c>
      <c r="BG54" s="2" t="str">
        <f>VLOOKUP([jobnumber],OvalData[],MATCH(Table2[[#Headers],[Inner Spring Stretch]],Table2[#Headers],0),0)</f>
        <v>Null</v>
      </c>
      <c r="BH54" s="2" t="str">
        <f>VLOOKUP([jobnumber],OvalData[],MATCH(Table2[[#Headers],[Inner Spring Torque]],Table2[#Headers],0),0)</f>
        <v>Null</v>
      </c>
      <c r="BI54" s="2" t="str">
        <f>VLOOKUP([jobnumber],OvalData[],MATCH(Table2[[#Headers],[Inner Spring Max Turns]],Table2[#Headers],0),0)</f>
        <v>Null</v>
      </c>
      <c r="BJ54" s="2" t="str">
        <f>VLOOKUP([jobnumber],OvalData[],MATCH(Table2[[#Headers],[Inner Spring Weight]],Table2[#Headers],0),0)</f>
        <v>Null</v>
      </c>
      <c r="BK54" s="2">
        <f>VLOOKUP([jobnumber],OvalData[],MATCH(Table2[[#Headers],[Cycles]],Table2[#Headers],0),0)</f>
        <v>0</v>
      </c>
      <c r="BL54" s="2">
        <f>VLOOKUP([jobnumber],OvalData[],MATCH(Table2[[#Headers],[Total Spring Torque]],Table2[#Headers],0),0)</f>
        <v>0</v>
      </c>
      <c r="BM54" s="2">
        <f>VLOOKUP([jobnumber],OvalData[],MATCH(Table2[[#Headers],[Total Spring Weight]],Table2[#Headers],0),0)</f>
        <v>0</v>
      </c>
      <c r="BN54" s="2">
        <f>VLOOKUP([jobnumber],OvalData[],MATCH(Table2[[#Headers],[Pipe Weight]],Table2[#Headers],0),0)</f>
        <v>688.24239999999998</v>
      </c>
      <c r="BO54" s="2">
        <f>VLOOKUP([jobnumber],OvalData[],MATCH(Table2[[#Headers],[Max Pipe Deflection]],Table2[#Headers],0),0)</f>
        <v>2309</v>
      </c>
      <c r="BP54" s="2">
        <f>VLOOKUP([jobnumber],OvalData[],MATCH(Table2[[#Headers],[Number Non-Insulated Wrap Slats]],Table2[#Headers],0),0)</f>
        <v>0</v>
      </c>
      <c r="BQ54" s="2">
        <f>VLOOKUP([jobnumber],OvalData[],MATCH(Table2[[#Headers],[Number of Insolated Top Slats]],Table2[#Headers],0),0)</f>
        <v>45</v>
      </c>
      <c r="BR54" s="2">
        <f>VLOOKUP([jobnumber],OvalData[],MATCH(Table2[[#Headers],[Insolated Total Slats]],Table2[#Headers],0),0)</f>
        <v>45</v>
      </c>
      <c r="BS54" s="2">
        <f>VLOOKUP([jobnumber],OvalData[],MATCH(Table2[[#Headers],[Number of Slats]],Table2[#Headers],0),0)</f>
        <v>44.69</v>
      </c>
      <c r="BT54" s="2">
        <f>VLOOKUP([jobnumber],OvalData[],MATCH(Table2[[#Headers],[Wrap]],Table2[#Headers],0),0)</f>
        <v>0</v>
      </c>
      <c r="BU54" s="2">
        <f>VLOOKUP([jobnumber],OvalData[],MATCH(Table2[[#Headers],[Wall Angle Thickness]],Table2[#Headers],0),0)</f>
        <v>0</v>
      </c>
      <c r="BV54" s="2">
        <f>VLOOKUP([jobnumber],OvalData[],MATCH(Table2[[#Headers],[windlocks]],Table2[#Headers],0),0)</f>
        <v>0</v>
      </c>
      <c r="BW54" s="2" t="str">
        <f>VLOOKUP([jobnumber],OvalData[],MATCH(Table2[[#Headers],[bottombartype]],Table2[#Headers],0),0)</f>
        <v>SPECIAL</v>
      </c>
      <c r="BX54" s="2">
        <f>VLOOKUP([jobnumber],OvalData[],MATCH(Table2[[#Headers],[endlockweight]],Table2[#Headers],0),0)</f>
        <v>0.17</v>
      </c>
      <c r="BY54" s="2">
        <f>VLOOKUP([jobnumber],OvalData[],MATCH(Table2[[#Headers],[Endlock Total Weight]],Table2[#Headers],0),0)</f>
        <v>7.5972999999999997</v>
      </c>
      <c r="BZ54" s="2">
        <f>VLOOKUP([jobnumber],OvalData[],MATCH(Table2[[#Headers],[Grille Weight]],Table2[#Headers],0),0)</f>
        <v>0</v>
      </c>
      <c r="CA54" s="2">
        <f>VLOOKUP([jobnumber],OvalData[],MATCH(Table2[[#Headers],[barrelrings]],Table2[#Headers],0),0)</f>
        <v>1</v>
      </c>
    </row>
    <row r="55" spans="2:79">
      <c r="B55" s="2" t="str">
        <f>VLOOKUP([jobnumber],OvalData[],MATCH(Table2[[#Headers],[Hand]],Table2[#Headers],0),0)</f>
        <v>RH</v>
      </c>
      <c r="C55" s="2" t="str">
        <f>VLOOKUP([jobnumber],OvalData[],MATCH(Table2[[#Headers],[Model]],Table2[#Headers],0),0)</f>
        <v>SFMPP</v>
      </c>
      <c r="D55" s="2" t="str">
        <f>VLOOKUP([jobnumber],OvalData[],MATCH(Table2[[#Headers],[width]],Table2[#Headers],0),0)</f>
        <v xml:space="preserve"> 18 ft.- 2"</v>
      </c>
      <c r="E55" s="2" t="str">
        <f>VLOOKUP([jobnumber],OvalData[],MATCH(Table2[[#Headers],[stopheight]],Table2[#Headers],0),0)</f>
        <v xml:space="preserve"> 10 ft.- 0"</v>
      </c>
      <c r="F55" s="2" t="str">
        <f>VLOOKUP([jobnumber],OvalData[],MATCH(Table2[[#Headers],[Between Brackets]],Table2[#Headers],0),0)</f>
        <v xml:space="preserve"> 18 ft.- 7 7/ 8"</v>
      </c>
      <c r="G55" s="2" t="str">
        <f>VLOOKUP([jobnumber],OvalData[],MATCH(Table2[[#Headers],[shell]],Table2[#Headers],0),0)</f>
        <v>6 INCH TUBE</v>
      </c>
      <c r="H55" s="2" t="str">
        <f>VLOOKUP([jobnumber],OvalData[],MATCH(Table2[[#Headers],[pipewidth]],Table2[#Headers],0),0)</f>
        <v xml:space="preserve"> 18 ft.- 1 3/ 8"</v>
      </c>
      <c r="I55" s="2">
        <f>VLOOKUP([jobnumber],OvalData[],MATCH(Table2[[#Headers],[Support Tubes]],Table2[#Headers],0),0)</f>
        <v>0</v>
      </c>
      <c r="J55" s="2">
        <f>VLOOKUP([jobnumber],OvalData[],MATCH(Table2[[#Headers],[Upset]],Table2[#Headers],0),0)</f>
        <v>2</v>
      </c>
      <c r="K55" s="2" t="str">
        <f>VLOOKUP([jobnumber],OvalData[],MATCH(Table2[[#Headers],[Guide Type]],Table2[#Headers],0),0)</f>
        <v>SN2-4 5/8-E</v>
      </c>
      <c r="L55" s="2" t="str">
        <f>VLOOKUP([jobnumber],OvalData[],MATCH(Table2[[#Headers],[Wall Angle]],Table2[#Headers],0),0)</f>
        <v xml:space="preserve"> 11 ft.- 8"</v>
      </c>
      <c r="M55" s="2" t="str">
        <f>VLOOKUP([jobnumber],OvalData[],MATCH(Table2[[#Headers],[Middle Angle]],Table2[#Headers],0),0)</f>
        <v xml:space="preserve"> 10 ft.- 4 1/ 2"</v>
      </c>
      <c r="N55" s="2" t="str">
        <f>VLOOKUP([jobnumber],OvalData[],MATCH(Table2[[#Headers],[Front Angle]],Table2[#Headers],0),0)</f>
        <v xml:space="preserve"> 10 ft.- 3"</v>
      </c>
      <c r="O55" s="2">
        <f>VLOOKUP([jobnumber],OvalData[],MATCH(Table2[[#Headers],[Pipe Center Line]],Table2[#Headers],0),0)</f>
        <v>131</v>
      </c>
      <c r="P55" s="2">
        <f>VLOOKUP([jobnumber],OvalData[],MATCH(Table2[[#Headers],[Heat Expansion Gap]],Table2[#Headers],0),0)</f>
        <v>0</v>
      </c>
      <c r="Q55" s="2">
        <f>VLOOKUP([jobnumber],OvalData[],MATCH(Table2[[#Headers],[Hanging Weight Closed]],Table2[#Headers],0),0)</f>
        <v>795</v>
      </c>
      <c r="R55" s="2">
        <f>VLOOKUP([jobnumber],OvalData[],MATCH(Table2[[#Headers],[Hanging Weight Open]],Table2[#Headers],0),0)</f>
        <v>140</v>
      </c>
      <c r="S55" s="2">
        <f>VLOOKUP([jobnumber],OvalData[],MATCH(Table2[[#Headers],[Initial Lever Arm]],Table2[#Headers],0),0)</f>
        <v>4.25</v>
      </c>
      <c r="T55" s="2">
        <f>VLOOKUP([jobnumber],OvalData[],MATCH(Table2[[#Headers],[Turns to Raise]],Table2[#Headers],0),0)</f>
        <v>3.5859999999999999</v>
      </c>
      <c r="U55" s="2">
        <f>VLOOKUP([jobnumber],OvalData[],MATCH(Table2[[#Headers],[Final Lever Arm]],Table2[#Headers],0),0)</f>
        <v>6.37</v>
      </c>
      <c r="V55" s="2">
        <f>VLOOKUP([jobnumber],OvalData[],MATCH(Table2[[#Headers],[Torque Required Closed]],Table2[#Headers],0),0)</f>
        <v>3377.9</v>
      </c>
      <c r="W55" s="2">
        <f>VLOOKUP([jobnumber],OvalData[],MATCH(Table2[[#Headers],[Torque Required Open]],Table2[#Headers],0),0)</f>
        <v>892</v>
      </c>
      <c r="X55" s="2">
        <f>VLOOKUP([jobnumber],OvalData[],MATCH(Table2[[#Headers],[Pre Turns]],Table2[#Headers],0),0)</f>
        <v>1.3332999999999999</v>
      </c>
      <c r="Y55" s="2">
        <f>VLOOKUP([jobnumber],OvalData[],MATCH(Table2[[#Headers],[Required Torque Per Turn]],Table2[#Headers],0),0)</f>
        <v>688</v>
      </c>
      <c r="Z55" s="2">
        <f>VLOOKUP([jobnumber],OvalData[],MATCH(Table2[[#Headers],[Total Turns]],Table2[#Headers],0),0)</f>
        <v>4.91</v>
      </c>
      <c r="AA55" s="2">
        <f>VLOOKUP([jobnumber],OvalData[],MATCH(Table2[[#Headers],[Grille Vision Section]],Table2[#Headers],0),0)</f>
        <v>0</v>
      </c>
      <c r="AB55" s="2">
        <f>VLOOKUP([jobnumber],OvalData[],MATCH(Table2[[#Headers],[Grille Amount]],Table2[#Headers],0),0)</f>
        <v>0</v>
      </c>
      <c r="AC55" s="2">
        <f>VLOOKUP([jobnumber],OvalData[],MATCH(Table2[[#Headers],[Grille Center]],Table2[#Headers],0),0)</f>
        <v>0</v>
      </c>
      <c r="AD55" s="2">
        <f>VLOOKUP([jobnumber],OvalData[],MATCH(Table2[[#Headers],[Grille Pattern]],Table2[#Headers],0),0)</f>
        <v>0</v>
      </c>
      <c r="AE55" s="2">
        <f>VLOOKUP([jobnumber],OvalData[],MATCH(Table2[[#Headers],[Grille First Tube]],Table2[#Headers],0),0)</f>
        <v>0</v>
      </c>
      <c r="AF55" s="2">
        <f>VLOOKUP([jobnumber],OvalData[],MATCH(Table2[[#Headers],[Grille Standard Tube]],Table2[#Headers],0),0)</f>
        <v>0</v>
      </c>
      <c r="AG55" s="2">
        <f>VLOOKUP([jobnumber],OvalData[],MATCH(Table2[[#Headers],[Grille Total Links]],Table2[#Headers],0),0)</f>
        <v>0</v>
      </c>
      <c r="AH55" s="2">
        <f>VLOOKUP([jobnumber],OvalData[],MATCH(Table2[[#Headers],[Grille Rods]],Table2[#Headers],0),0)</f>
        <v>0</v>
      </c>
      <c r="AI55" s="2">
        <f>VLOOKUP([jobnumber],OvalData[],MATCH(Table2[[#Headers],[Grille Rod Length]],Table2[#Headers],0),0)</f>
        <v>0</v>
      </c>
      <c r="AJ55" s="2">
        <f>VLOOKUP([jobnumber],OvalData[],MATCH(Table2[[#Headers],[slattype]],Table2[#Headers],0),0)</f>
        <v>2</v>
      </c>
      <c r="AK55" s="2">
        <f>VLOOKUP([jobnumber],OvalData[],MATCH(Table2[[#Headers],[slatgage]],Table2[#Headers],0),0)</f>
        <v>18</v>
      </c>
      <c r="AL55" s="2">
        <f>VLOOKUP([jobnumber],OvalData[],MATCH(Table2[[#Headers],[Numer of Top Slats]],Table2[#Headers],0),0)</f>
        <v>0</v>
      </c>
      <c r="AM55" s="2">
        <f>VLOOKUP([jobnumber],OvalData[],MATCH(Table2[[#Headers],[Number of Bottom Slats]],Table2[#Headers],0),0)</f>
        <v>0</v>
      </c>
      <c r="AN55" s="2">
        <f>VLOOKUP([jobnumber],OvalData[],MATCH(Table2[[#Headers],[Solid Bottom Height]],Table2[#Headers],0),0)</f>
        <v>0</v>
      </c>
      <c r="AO55" s="2" t="str">
        <f>VLOOKUP([jobnumber],OvalData[],MATCH(Table2[[#Headers],[slatlength]],Table2[#Headers],0),0)</f>
        <v xml:space="preserve"> 18 ft.- 5 7/ 8"</v>
      </c>
      <c r="AP55" s="2">
        <f>VLOOKUP([jobnumber],OvalData[],MATCH(Table2[[#Headers],[Bottom Slat Length]],Table2[#Headers],0),0)</f>
        <v>0</v>
      </c>
      <c r="AQ55" s="2">
        <f>VLOOKUP([jobnumber],OvalData[],MATCH(Table2[[#Headers],[Number of Perferated Slats]],Table2[#Headers],0),0)</f>
        <v>0</v>
      </c>
      <c r="AR55" s="2">
        <f>VLOOKUP([jobnumber],OvalData[],MATCH(Table2[[#Headers],[First Preferated Slat From End]],Table2[#Headers],0),0)</f>
        <v>0</v>
      </c>
      <c r="AS55" s="2">
        <f>VLOOKUP([jobnumber],OvalData[],MATCH(Table2[[#Headers],[First Preferated Slat From Bottom]],Table2[#Headers],0),0)</f>
        <v>0</v>
      </c>
      <c r="AT55" s="2">
        <f>VLOOKUP([jobnumber],OvalData[],MATCH(Table2[[#Headers],[Total Number of Slats]],Table2[#Headers],0),0)</f>
        <v>51</v>
      </c>
      <c r="AU55" s="2">
        <f>VLOOKUP([jobnumber],OvalData[],MATCH(Table2[[#Headers],[Bottom Bar Slope]],Table2[#Headers],0),0)</f>
        <v>0</v>
      </c>
      <c r="AV55" s="2">
        <f>VLOOKUP([jobnumber],OvalData[],MATCH(Table2[[#Headers],[Bottom Bar Weight]],Table2[#Headers],0),0)</f>
        <v>80.5</v>
      </c>
      <c r="AW55" s="2" t="str">
        <f>VLOOKUP([jobnumber],OvalData[],MATCH(Table2[[#Headers],[Outer Spring Gage]],Table2[#Headers],0),0)</f>
        <v>Null</v>
      </c>
      <c r="AX55" s="2" t="str">
        <f>VLOOKUP([jobnumber],OvalData[],MATCH(Table2[[#Headers],[Outer Spring OD]],Table2[#Headers],0),0)</f>
        <v>Null</v>
      </c>
      <c r="AY55" s="2" t="str">
        <f>VLOOKUP([jobnumber],OvalData[],MATCH(Table2[[#Headers],[Outer Spring Length]],Table2[#Headers],0),0)</f>
        <v>Null</v>
      </c>
      <c r="AZ55" s="2" t="str">
        <f>VLOOKUP([jobnumber],OvalData[],MATCH(Table2[[#Headers],[Outer Spring Stretch]],Table2[#Headers],0),0)</f>
        <v>Null</v>
      </c>
      <c r="BA55" s="2" t="str">
        <f>VLOOKUP([jobnumber],OvalData[],MATCH(Table2[[#Headers],[Outer Spring Torque]],Table2[#Headers],0),0)</f>
        <v>Null</v>
      </c>
      <c r="BB55" s="2" t="str">
        <f>VLOOKUP([jobnumber],OvalData[],MATCH(Table2[[#Headers],[Outer Spring Max Turns]],Table2[#Headers],0),0)</f>
        <v>Null</v>
      </c>
      <c r="BC55" s="2" t="str">
        <f>VLOOKUP([jobnumber],OvalData[],MATCH(Table2[[#Headers],[Outer Spring Weight]],Table2[#Headers],0),0)</f>
        <v>Null</v>
      </c>
      <c r="BD55" s="2" t="str">
        <f>VLOOKUP([jobnumber],OvalData[],MATCH(Table2[[#Headers],[Inner Spring Gage]],Table2[#Headers],0),0)</f>
        <v>Null</v>
      </c>
      <c r="BE55" s="2" t="str">
        <f>VLOOKUP([jobnumber],OvalData[],MATCH(Table2[[#Headers],[Inner Spring OD]],Table2[#Headers],0),0)</f>
        <v>Null</v>
      </c>
      <c r="BF55" s="2" t="str">
        <f>VLOOKUP([jobnumber],OvalData[],MATCH(Table2[[#Headers],[Inner Spring Length]],Table2[#Headers],0),0)</f>
        <v>Null</v>
      </c>
      <c r="BG55" s="2" t="str">
        <f>VLOOKUP([jobnumber],OvalData[],MATCH(Table2[[#Headers],[Inner Spring Stretch]],Table2[#Headers],0),0)</f>
        <v>Null</v>
      </c>
      <c r="BH55" s="2" t="str">
        <f>VLOOKUP([jobnumber],OvalData[],MATCH(Table2[[#Headers],[Inner Spring Torque]],Table2[#Headers],0),0)</f>
        <v>Null</v>
      </c>
      <c r="BI55" s="2" t="str">
        <f>VLOOKUP([jobnumber],OvalData[],MATCH(Table2[[#Headers],[Inner Spring Max Turns]],Table2[#Headers],0),0)</f>
        <v>Null</v>
      </c>
      <c r="BJ55" s="2" t="str">
        <f>VLOOKUP([jobnumber],OvalData[],MATCH(Table2[[#Headers],[Inner Spring Weight]],Table2[#Headers],0),0)</f>
        <v>Null</v>
      </c>
      <c r="BK55" s="2">
        <f>VLOOKUP([jobnumber],OvalData[],MATCH(Table2[[#Headers],[Cycles]],Table2[#Headers],0),0)</f>
        <v>0</v>
      </c>
      <c r="BL55" s="2">
        <f>VLOOKUP([jobnumber],OvalData[],MATCH(Table2[[#Headers],[Total Spring Torque]],Table2[#Headers],0),0)</f>
        <v>0</v>
      </c>
      <c r="BM55" s="2">
        <f>VLOOKUP([jobnumber],OvalData[],MATCH(Table2[[#Headers],[Total Spring Weight]],Table2[#Headers],0),0)</f>
        <v>0</v>
      </c>
      <c r="BN55" s="2">
        <f>VLOOKUP([jobnumber],OvalData[],MATCH(Table2[[#Headers],[Pipe Weight]],Table2[#Headers],0),0)</f>
        <v>688.24239999999998</v>
      </c>
      <c r="BO55" s="2">
        <f>VLOOKUP([jobnumber],OvalData[],MATCH(Table2[[#Headers],[Max Pipe Deflection]],Table2[#Headers],0),0)</f>
        <v>2309</v>
      </c>
      <c r="BP55" s="2">
        <f>VLOOKUP([jobnumber],OvalData[],MATCH(Table2[[#Headers],[Number Non-Insulated Wrap Slats]],Table2[#Headers],0),0)</f>
        <v>0</v>
      </c>
      <c r="BQ55" s="2">
        <f>VLOOKUP([jobnumber],OvalData[],MATCH(Table2[[#Headers],[Number of Insolated Top Slats]],Table2[#Headers],0),0)</f>
        <v>45</v>
      </c>
      <c r="BR55" s="2">
        <f>VLOOKUP([jobnumber],OvalData[],MATCH(Table2[[#Headers],[Insolated Total Slats]],Table2[#Headers],0),0)</f>
        <v>45</v>
      </c>
      <c r="BS55" s="2">
        <f>VLOOKUP([jobnumber],OvalData[],MATCH(Table2[[#Headers],[Number of Slats]],Table2[#Headers],0),0)</f>
        <v>44.69</v>
      </c>
      <c r="BT55" s="2">
        <f>VLOOKUP([jobnumber],OvalData[],MATCH(Table2[[#Headers],[Wrap]],Table2[#Headers],0),0)</f>
        <v>0</v>
      </c>
      <c r="BU55" s="2">
        <f>VLOOKUP([jobnumber],OvalData[],MATCH(Table2[[#Headers],[Wall Angle Thickness]],Table2[#Headers],0),0)</f>
        <v>0</v>
      </c>
      <c r="BV55" s="2">
        <f>VLOOKUP([jobnumber],OvalData[],MATCH(Table2[[#Headers],[windlocks]],Table2[#Headers],0),0)</f>
        <v>0</v>
      </c>
      <c r="BW55" s="2" t="str">
        <f>VLOOKUP([jobnumber],OvalData[],MATCH(Table2[[#Headers],[bottombartype]],Table2[#Headers],0),0)</f>
        <v>SPECIAL</v>
      </c>
      <c r="BX55" s="2">
        <f>VLOOKUP([jobnumber],OvalData[],MATCH(Table2[[#Headers],[endlockweight]],Table2[#Headers],0),0)</f>
        <v>0.17</v>
      </c>
      <c r="BY55" s="2">
        <f>VLOOKUP([jobnumber],OvalData[],MATCH(Table2[[#Headers],[Endlock Total Weight]],Table2[#Headers],0),0)</f>
        <v>7.5972999999999997</v>
      </c>
      <c r="BZ55" s="2">
        <f>VLOOKUP([jobnumber],OvalData[],MATCH(Table2[[#Headers],[Grille Weight]],Table2[#Headers],0),0)</f>
        <v>0</v>
      </c>
      <c r="CA55" s="2">
        <f>VLOOKUP([jobnumber],OvalData[],MATCH(Table2[[#Headers],[barrelrings]],Table2[#Headers],0),0)</f>
        <v>1</v>
      </c>
    </row>
    <row r="56" spans="2:79">
      <c r="B56" s="2" t="str">
        <f>VLOOKUP([jobnumber],OvalData[],MATCH(Table2[[#Headers],[Hand]],Table2[#Headers],0),0)</f>
        <v>RH</v>
      </c>
      <c r="C56" s="2" t="str">
        <f>VLOOKUP([jobnumber],OvalData[],MATCH(Table2[[#Headers],[Model]],Table2[#Headers],0),0)</f>
        <v>SFMPP</v>
      </c>
      <c r="D56" s="2" t="str">
        <f>VLOOKUP([jobnumber],OvalData[],MATCH(Table2[[#Headers],[width]],Table2[#Headers],0),0)</f>
        <v xml:space="preserve"> 18 ft.- 2"</v>
      </c>
      <c r="E56" s="2" t="str">
        <f>VLOOKUP([jobnumber],OvalData[],MATCH(Table2[[#Headers],[stopheight]],Table2[#Headers],0),0)</f>
        <v xml:space="preserve"> 10 ft.- 0"</v>
      </c>
      <c r="F56" s="2" t="str">
        <f>VLOOKUP([jobnumber],OvalData[],MATCH(Table2[[#Headers],[Between Brackets]],Table2[#Headers],0),0)</f>
        <v xml:space="preserve"> 18 ft.- 7 7/ 8"</v>
      </c>
      <c r="G56" s="2" t="str">
        <f>VLOOKUP([jobnumber],OvalData[],MATCH(Table2[[#Headers],[shell]],Table2[#Headers],0),0)</f>
        <v>6 INCH TUBE</v>
      </c>
      <c r="H56" s="2" t="str">
        <f>VLOOKUP([jobnumber],OvalData[],MATCH(Table2[[#Headers],[pipewidth]],Table2[#Headers],0),0)</f>
        <v xml:space="preserve"> 18 ft.- 1 3/ 8"</v>
      </c>
      <c r="I56" s="2">
        <f>VLOOKUP([jobnumber],OvalData[],MATCH(Table2[[#Headers],[Support Tubes]],Table2[#Headers],0),0)</f>
        <v>0</v>
      </c>
      <c r="J56" s="2">
        <f>VLOOKUP([jobnumber],OvalData[],MATCH(Table2[[#Headers],[Upset]],Table2[#Headers],0),0)</f>
        <v>2</v>
      </c>
      <c r="K56" s="2" t="str">
        <f>VLOOKUP([jobnumber],OvalData[],MATCH(Table2[[#Headers],[Guide Type]],Table2[#Headers],0),0)</f>
        <v>SN2-4 5/8-E</v>
      </c>
      <c r="L56" s="2" t="str">
        <f>VLOOKUP([jobnumber],OvalData[],MATCH(Table2[[#Headers],[Wall Angle]],Table2[#Headers],0),0)</f>
        <v xml:space="preserve"> 11 ft.- 8"</v>
      </c>
      <c r="M56" s="2" t="str">
        <f>VLOOKUP([jobnumber],OvalData[],MATCH(Table2[[#Headers],[Middle Angle]],Table2[#Headers],0),0)</f>
        <v xml:space="preserve"> 10 ft.- 4 1/ 2"</v>
      </c>
      <c r="N56" s="2" t="str">
        <f>VLOOKUP([jobnumber],OvalData[],MATCH(Table2[[#Headers],[Front Angle]],Table2[#Headers],0),0)</f>
        <v xml:space="preserve"> 10 ft.- 3"</v>
      </c>
      <c r="O56" s="2">
        <f>VLOOKUP([jobnumber],OvalData[],MATCH(Table2[[#Headers],[Pipe Center Line]],Table2[#Headers],0),0)</f>
        <v>131</v>
      </c>
      <c r="P56" s="2">
        <f>VLOOKUP([jobnumber],OvalData[],MATCH(Table2[[#Headers],[Heat Expansion Gap]],Table2[#Headers],0),0)</f>
        <v>0</v>
      </c>
      <c r="Q56" s="2">
        <f>VLOOKUP([jobnumber],OvalData[],MATCH(Table2[[#Headers],[Hanging Weight Closed]],Table2[#Headers],0),0)</f>
        <v>795</v>
      </c>
      <c r="R56" s="2">
        <f>VLOOKUP([jobnumber],OvalData[],MATCH(Table2[[#Headers],[Hanging Weight Open]],Table2[#Headers],0),0)</f>
        <v>140</v>
      </c>
      <c r="S56" s="2">
        <f>VLOOKUP([jobnumber],OvalData[],MATCH(Table2[[#Headers],[Initial Lever Arm]],Table2[#Headers],0),0)</f>
        <v>4.25</v>
      </c>
      <c r="T56" s="2">
        <f>VLOOKUP([jobnumber],OvalData[],MATCH(Table2[[#Headers],[Turns to Raise]],Table2[#Headers],0),0)</f>
        <v>3.5859999999999999</v>
      </c>
      <c r="U56" s="2">
        <f>VLOOKUP([jobnumber],OvalData[],MATCH(Table2[[#Headers],[Final Lever Arm]],Table2[#Headers],0),0)</f>
        <v>6.37</v>
      </c>
      <c r="V56" s="2">
        <f>VLOOKUP([jobnumber],OvalData[],MATCH(Table2[[#Headers],[Torque Required Closed]],Table2[#Headers],0),0)</f>
        <v>3377.9</v>
      </c>
      <c r="W56" s="2">
        <f>VLOOKUP([jobnumber],OvalData[],MATCH(Table2[[#Headers],[Torque Required Open]],Table2[#Headers],0),0)</f>
        <v>892</v>
      </c>
      <c r="X56" s="2">
        <f>VLOOKUP([jobnumber],OvalData[],MATCH(Table2[[#Headers],[Pre Turns]],Table2[#Headers],0),0)</f>
        <v>1.3332999999999999</v>
      </c>
      <c r="Y56" s="2">
        <f>VLOOKUP([jobnumber],OvalData[],MATCH(Table2[[#Headers],[Required Torque Per Turn]],Table2[#Headers],0),0)</f>
        <v>688</v>
      </c>
      <c r="Z56" s="2">
        <f>VLOOKUP([jobnumber],OvalData[],MATCH(Table2[[#Headers],[Total Turns]],Table2[#Headers],0),0)</f>
        <v>4.91</v>
      </c>
      <c r="AA56" s="2">
        <f>VLOOKUP([jobnumber],OvalData[],MATCH(Table2[[#Headers],[Grille Vision Section]],Table2[#Headers],0),0)</f>
        <v>0</v>
      </c>
      <c r="AB56" s="2">
        <f>VLOOKUP([jobnumber],OvalData[],MATCH(Table2[[#Headers],[Grille Amount]],Table2[#Headers],0),0)</f>
        <v>0</v>
      </c>
      <c r="AC56" s="2">
        <f>VLOOKUP([jobnumber],OvalData[],MATCH(Table2[[#Headers],[Grille Center]],Table2[#Headers],0),0)</f>
        <v>0</v>
      </c>
      <c r="AD56" s="2">
        <f>VLOOKUP([jobnumber],OvalData[],MATCH(Table2[[#Headers],[Grille Pattern]],Table2[#Headers],0),0)</f>
        <v>0</v>
      </c>
      <c r="AE56" s="2">
        <f>VLOOKUP([jobnumber],OvalData[],MATCH(Table2[[#Headers],[Grille First Tube]],Table2[#Headers],0),0)</f>
        <v>0</v>
      </c>
      <c r="AF56" s="2">
        <f>VLOOKUP([jobnumber],OvalData[],MATCH(Table2[[#Headers],[Grille Standard Tube]],Table2[#Headers],0),0)</f>
        <v>0</v>
      </c>
      <c r="AG56" s="2">
        <f>VLOOKUP([jobnumber],OvalData[],MATCH(Table2[[#Headers],[Grille Total Links]],Table2[#Headers],0),0)</f>
        <v>0</v>
      </c>
      <c r="AH56" s="2">
        <f>VLOOKUP([jobnumber],OvalData[],MATCH(Table2[[#Headers],[Grille Rods]],Table2[#Headers],0),0)</f>
        <v>0</v>
      </c>
      <c r="AI56" s="2">
        <f>VLOOKUP([jobnumber],OvalData[],MATCH(Table2[[#Headers],[Grille Rod Length]],Table2[#Headers],0),0)</f>
        <v>0</v>
      </c>
      <c r="AJ56" s="2">
        <f>VLOOKUP([jobnumber],OvalData[],MATCH(Table2[[#Headers],[slattype]],Table2[#Headers],0),0)</f>
        <v>2</v>
      </c>
      <c r="AK56" s="2">
        <f>VLOOKUP([jobnumber],OvalData[],MATCH(Table2[[#Headers],[slatgage]],Table2[#Headers],0),0)</f>
        <v>18</v>
      </c>
      <c r="AL56" s="2">
        <f>VLOOKUP([jobnumber],OvalData[],MATCH(Table2[[#Headers],[Numer of Top Slats]],Table2[#Headers],0),0)</f>
        <v>0</v>
      </c>
      <c r="AM56" s="2">
        <f>VLOOKUP([jobnumber],OvalData[],MATCH(Table2[[#Headers],[Number of Bottom Slats]],Table2[#Headers],0),0)</f>
        <v>0</v>
      </c>
      <c r="AN56" s="2">
        <f>VLOOKUP([jobnumber],OvalData[],MATCH(Table2[[#Headers],[Solid Bottom Height]],Table2[#Headers],0),0)</f>
        <v>0</v>
      </c>
      <c r="AO56" s="2" t="str">
        <f>VLOOKUP([jobnumber],OvalData[],MATCH(Table2[[#Headers],[slatlength]],Table2[#Headers],0),0)</f>
        <v xml:space="preserve"> 18 ft.- 5 7/ 8"</v>
      </c>
      <c r="AP56" s="2">
        <f>VLOOKUP([jobnumber],OvalData[],MATCH(Table2[[#Headers],[Bottom Slat Length]],Table2[#Headers],0),0)</f>
        <v>0</v>
      </c>
      <c r="AQ56" s="2">
        <f>VLOOKUP([jobnumber],OvalData[],MATCH(Table2[[#Headers],[Number of Perferated Slats]],Table2[#Headers],0),0)</f>
        <v>0</v>
      </c>
      <c r="AR56" s="2">
        <f>VLOOKUP([jobnumber],OvalData[],MATCH(Table2[[#Headers],[First Preferated Slat From End]],Table2[#Headers],0),0)</f>
        <v>0</v>
      </c>
      <c r="AS56" s="2">
        <f>VLOOKUP([jobnumber],OvalData[],MATCH(Table2[[#Headers],[First Preferated Slat From Bottom]],Table2[#Headers],0),0)</f>
        <v>0</v>
      </c>
      <c r="AT56" s="2">
        <f>VLOOKUP([jobnumber],OvalData[],MATCH(Table2[[#Headers],[Total Number of Slats]],Table2[#Headers],0),0)</f>
        <v>51</v>
      </c>
      <c r="AU56" s="2">
        <f>VLOOKUP([jobnumber],OvalData[],MATCH(Table2[[#Headers],[Bottom Bar Slope]],Table2[#Headers],0),0)</f>
        <v>0</v>
      </c>
      <c r="AV56" s="2">
        <f>VLOOKUP([jobnumber],OvalData[],MATCH(Table2[[#Headers],[Bottom Bar Weight]],Table2[#Headers],0),0)</f>
        <v>80.5</v>
      </c>
      <c r="AW56" s="2" t="str">
        <f>VLOOKUP([jobnumber],OvalData[],MATCH(Table2[[#Headers],[Outer Spring Gage]],Table2[#Headers],0),0)</f>
        <v>Null</v>
      </c>
      <c r="AX56" s="2" t="str">
        <f>VLOOKUP([jobnumber],OvalData[],MATCH(Table2[[#Headers],[Outer Spring OD]],Table2[#Headers],0),0)</f>
        <v>Null</v>
      </c>
      <c r="AY56" s="2" t="str">
        <f>VLOOKUP([jobnumber],OvalData[],MATCH(Table2[[#Headers],[Outer Spring Length]],Table2[#Headers],0),0)</f>
        <v>Null</v>
      </c>
      <c r="AZ56" s="2" t="str">
        <f>VLOOKUP([jobnumber],OvalData[],MATCH(Table2[[#Headers],[Outer Spring Stretch]],Table2[#Headers],0),0)</f>
        <v>Null</v>
      </c>
      <c r="BA56" s="2" t="str">
        <f>VLOOKUP([jobnumber],OvalData[],MATCH(Table2[[#Headers],[Outer Spring Torque]],Table2[#Headers],0),0)</f>
        <v>Null</v>
      </c>
      <c r="BB56" s="2" t="str">
        <f>VLOOKUP([jobnumber],OvalData[],MATCH(Table2[[#Headers],[Outer Spring Max Turns]],Table2[#Headers],0),0)</f>
        <v>Null</v>
      </c>
      <c r="BC56" s="2" t="str">
        <f>VLOOKUP([jobnumber],OvalData[],MATCH(Table2[[#Headers],[Outer Spring Weight]],Table2[#Headers],0),0)</f>
        <v>Null</v>
      </c>
      <c r="BD56" s="2" t="str">
        <f>VLOOKUP([jobnumber],OvalData[],MATCH(Table2[[#Headers],[Inner Spring Gage]],Table2[#Headers],0),0)</f>
        <v>Null</v>
      </c>
      <c r="BE56" s="2" t="str">
        <f>VLOOKUP([jobnumber],OvalData[],MATCH(Table2[[#Headers],[Inner Spring OD]],Table2[#Headers],0),0)</f>
        <v>Null</v>
      </c>
      <c r="BF56" s="2" t="str">
        <f>VLOOKUP([jobnumber],OvalData[],MATCH(Table2[[#Headers],[Inner Spring Length]],Table2[#Headers],0),0)</f>
        <v>Null</v>
      </c>
      <c r="BG56" s="2" t="str">
        <f>VLOOKUP([jobnumber],OvalData[],MATCH(Table2[[#Headers],[Inner Spring Stretch]],Table2[#Headers],0),0)</f>
        <v>Null</v>
      </c>
      <c r="BH56" s="2" t="str">
        <f>VLOOKUP([jobnumber],OvalData[],MATCH(Table2[[#Headers],[Inner Spring Torque]],Table2[#Headers],0),0)</f>
        <v>Null</v>
      </c>
      <c r="BI56" s="2" t="str">
        <f>VLOOKUP([jobnumber],OvalData[],MATCH(Table2[[#Headers],[Inner Spring Max Turns]],Table2[#Headers],0),0)</f>
        <v>Null</v>
      </c>
      <c r="BJ56" s="2" t="str">
        <f>VLOOKUP([jobnumber],OvalData[],MATCH(Table2[[#Headers],[Inner Spring Weight]],Table2[#Headers],0),0)</f>
        <v>Null</v>
      </c>
      <c r="BK56" s="2">
        <f>VLOOKUP([jobnumber],OvalData[],MATCH(Table2[[#Headers],[Cycles]],Table2[#Headers],0),0)</f>
        <v>0</v>
      </c>
      <c r="BL56" s="2">
        <f>VLOOKUP([jobnumber],OvalData[],MATCH(Table2[[#Headers],[Total Spring Torque]],Table2[#Headers],0),0)</f>
        <v>0</v>
      </c>
      <c r="BM56" s="2">
        <f>VLOOKUP([jobnumber],OvalData[],MATCH(Table2[[#Headers],[Total Spring Weight]],Table2[#Headers],0),0)</f>
        <v>0</v>
      </c>
      <c r="BN56" s="2">
        <f>VLOOKUP([jobnumber],OvalData[],MATCH(Table2[[#Headers],[Pipe Weight]],Table2[#Headers],0),0)</f>
        <v>688.24239999999998</v>
      </c>
      <c r="BO56" s="2">
        <f>VLOOKUP([jobnumber],OvalData[],MATCH(Table2[[#Headers],[Max Pipe Deflection]],Table2[#Headers],0),0)</f>
        <v>2309</v>
      </c>
      <c r="BP56" s="2">
        <f>VLOOKUP([jobnumber],OvalData[],MATCH(Table2[[#Headers],[Number Non-Insulated Wrap Slats]],Table2[#Headers],0),0)</f>
        <v>0</v>
      </c>
      <c r="BQ56" s="2">
        <f>VLOOKUP([jobnumber],OvalData[],MATCH(Table2[[#Headers],[Number of Insolated Top Slats]],Table2[#Headers],0),0)</f>
        <v>45</v>
      </c>
      <c r="BR56" s="2">
        <f>VLOOKUP([jobnumber],OvalData[],MATCH(Table2[[#Headers],[Insolated Total Slats]],Table2[#Headers],0),0)</f>
        <v>45</v>
      </c>
      <c r="BS56" s="2">
        <f>VLOOKUP([jobnumber],OvalData[],MATCH(Table2[[#Headers],[Number of Slats]],Table2[#Headers],0),0)</f>
        <v>44.69</v>
      </c>
      <c r="BT56" s="2">
        <f>VLOOKUP([jobnumber],OvalData[],MATCH(Table2[[#Headers],[Wrap]],Table2[#Headers],0),0)</f>
        <v>0</v>
      </c>
      <c r="BU56" s="2">
        <f>VLOOKUP([jobnumber],OvalData[],MATCH(Table2[[#Headers],[Wall Angle Thickness]],Table2[#Headers],0),0)</f>
        <v>0</v>
      </c>
      <c r="BV56" s="2">
        <f>VLOOKUP([jobnumber],OvalData[],MATCH(Table2[[#Headers],[windlocks]],Table2[#Headers],0),0)</f>
        <v>0</v>
      </c>
      <c r="BW56" s="2" t="str">
        <f>VLOOKUP([jobnumber],OvalData[],MATCH(Table2[[#Headers],[bottombartype]],Table2[#Headers],0),0)</f>
        <v>SPECIAL</v>
      </c>
      <c r="BX56" s="2">
        <f>VLOOKUP([jobnumber],OvalData[],MATCH(Table2[[#Headers],[endlockweight]],Table2[#Headers],0),0)</f>
        <v>0.17</v>
      </c>
      <c r="BY56" s="2">
        <f>VLOOKUP([jobnumber],OvalData[],MATCH(Table2[[#Headers],[Endlock Total Weight]],Table2[#Headers],0),0)</f>
        <v>7.5972999999999997</v>
      </c>
      <c r="BZ56" s="2">
        <f>VLOOKUP([jobnumber],OvalData[],MATCH(Table2[[#Headers],[Grille Weight]],Table2[#Headers],0),0)</f>
        <v>0</v>
      </c>
      <c r="CA56" s="2">
        <f>VLOOKUP([jobnumber],OvalData[],MATCH(Table2[[#Headers],[barrelrings]],Table2[#Headers],0),0)</f>
        <v>1</v>
      </c>
    </row>
    <row r="57" spans="2:79">
      <c r="B57" s="2" t="str">
        <f>VLOOKUP([jobnumber],OvalData[],MATCH(Table2[[#Headers],[Hand]],Table2[#Headers],0),0)</f>
        <v>RH</v>
      </c>
      <c r="C57" s="2" t="str">
        <f>VLOOKUP([jobnumber],OvalData[],MATCH(Table2[[#Headers],[Model]],Table2[#Headers],0),0)</f>
        <v>SFMPP</v>
      </c>
      <c r="D57" s="2" t="str">
        <f>VLOOKUP([jobnumber],OvalData[],MATCH(Table2[[#Headers],[width]],Table2[#Headers],0),0)</f>
        <v xml:space="preserve"> 18 ft.- 2"</v>
      </c>
      <c r="E57" s="2" t="str">
        <f>VLOOKUP([jobnumber],OvalData[],MATCH(Table2[[#Headers],[stopheight]],Table2[#Headers],0),0)</f>
        <v xml:space="preserve"> 10 ft.- 0"</v>
      </c>
      <c r="F57" s="2" t="str">
        <f>VLOOKUP([jobnumber],OvalData[],MATCH(Table2[[#Headers],[Between Brackets]],Table2[#Headers],0),0)</f>
        <v xml:space="preserve"> 18 ft.- 7 7/ 8"</v>
      </c>
      <c r="G57" s="2" t="str">
        <f>VLOOKUP([jobnumber],OvalData[],MATCH(Table2[[#Headers],[shell]],Table2[#Headers],0),0)</f>
        <v>6 INCH TUBE</v>
      </c>
      <c r="H57" s="2" t="str">
        <f>VLOOKUP([jobnumber],OvalData[],MATCH(Table2[[#Headers],[pipewidth]],Table2[#Headers],0),0)</f>
        <v xml:space="preserve"> 18 ft.- 1 3/ 8"</v>
      </c>
      <c r="I57" s="2">
        <f>VLOOKUP([jobnumber],OvalData[],MATCH(Table2[[#Headers],[Support Tubes]],Table2[#Headers],0),0)</f>
        <v>0</v>
      </c>
      <c r="J57" s="2">
        <f>VLOOKUP([jobnumber],OvalData[],MATCH(Table2[[#Headers],[Upset]],Table2[#Headers],0),0)</f>
        <v>2</v>
      </c>
      <c r="K57" s="2" t="str">
        <f>VLOOKUP([jobnumber],OvalData[],MATCH(Table2[[#Headers],[Guide Type]],Table2[#Headers],0),0)</f>
        <v>SN2-4 5/8-E</v>
      </c>
      <c r="L57" s="2" t="str">
        <f>VLOOKUP([jobnumber],OvalData[],MATCH(Table2[[#Headers],[Wall Angle]],Table2[#Headers],0),0)</f>
        <v xml:space="preserve"> 11 ft.- 8"</v>
      </c>
      <c r="M57" s="2" t="str">
        <f>VLOOKUP([jobnumber],OvalData[],MATCH(Table2[[#Headers],[Middle Angle]],Table2[#Headers],0),0)</f>
        <v xml:space="preserve"> 10 ft.- 4 1/ 2"</v>
      </c>
      <c r="N57" s="2" t="str">
        <f>VLOOKUP([jobnumber],OvalData[],MATCH(Table2[[#Headers],[Front Angle]],Table2[#Headers],0),0)</f>
        <v xml:space="preserve"> 10 ft.- 3"</v>
      </c>
      <c r="O57" s="2">
        <f>VLOOKUP([jobnumber],OvalData[],MATCH(Table2[[#Headers],[Pipe Center Line]],Table2[#Headers],0),0)</f>
        <v>131</v>
      </c>
      <c r="P57" s="2">
        <f>VLOOKUP([jobnumber],OvalData[],MATCH(Table2[[#Headers],[Heat Expansion Gap]],Table2[#Headers],0),0)</f>
        <v>0</v>
      </c>
      <c r="Q57" s="2">
        <f>VLOOKUP([jobnumber],OvalData[],MATCH(Table2[[#Headers],[Hanging Weight Closed]],Table2[#Headers],0),0)</f>
        <v>795</v>
      </c>
      <c r="R57" s="2">
        <f>VLOOKUP([jobnumber],OvalData[],MATCH(Table2[[#Headers],[Hanging Weight Open]],Table2[#Headers],0),0)</f>
        <v>140</v>
      </c>
      <c r="S57" s="2">
        <f>VLOOKUP([jobnumber],OvalData[],MATCH(Table2[[#Headers],[Initial Lever Arm]],Table2[#Headers],0),0)</f>
        <v>4.25</v>
      </c>
      <c r="T57" s="2">
        <f>VLOOKUP([jobnumber],OvalData[],MATCH(Table2[[#Headers],[Turns to Raise]],Table2[#Headers],0),0)</f>
        <v>3.5859999999999999</v>
      </c>
      <c r="U57" s="2">
        <f>VLOOKUP([jobnumber],OvalData[],MATCH(Table2[[#Headers],[Final Lever Arm]],Table2[#Headers],0),0)</f>
        <v>6.37</v>
      </c>
      <c r="V57" s="2">
        <f>VLOOKUP([jobnumber],OvalData[],MATCH(Table2[[#Headers],[Torque Required Closed]],Table2[#Headers],0),0)</f>
        <v>3377.9</v>
      </c>
      <c r="W57" s="2">
        <f>VLOOKUP([jobnumber],OvalData[],MATCH(Table2[[#Headers],[Torque Required Open]],Table2[#Headers],0),0)</f>
        <v>892</v>
      </c>
      <c r="X57" s="2">
        <f>VLOOKUP([jobnumber],OvalData[],MATCH(Table2[[#Headers],[Pre Turns]],Table2[#Headers],0),0)</f>
        <v>1.3332999999999999</v>
      </c>
      <c r="Y57" s="2">
        <f>VLOOKUP([jobnumber],OvalData[],MATCH(Table2[[#Headers],[Required Torque Per Turn]],Table2[#Headers],0),0)</f>
        <v>688</v>
      </c>
      <c r="Z57" s="2">
        <f>VLOOKUP([jobnumber],OvalData[],MATCH(Table2[[#Headers],[Total Turns]],Table2[#Headers],0),0)</f>
        <v>4.91</v>
      </c>
      <c r="AA57" s="2">
        <f>VLOOKUP([jobnumber],OvalData[],MATCH(Table2[[#Headers],[Grille Vision Section]],Table2[#Headers],0),0)</f>
        <v>0</v>
      </c>
      <c r="AB57" s="2">
        <f>VLOOKUP([jobnumber],OvalData[],MATCH(Table2[[#Headers],[Grille Amount]],Table2[#Headers],0),0)</f>
        <v>0</v>
      </c>
      <c r="AC57" s="2">
        <f>VLOOKUP([jobnumber],OvalData[],MATCH(Table2[[#Headers],[Grille Center]],Table2[#Headers],0),0)</f>
        <v>0</v>
      </c>
      <c r="AD57" s="2">
        <f>VLOOKUP([jobnumber],OvalData[],MATCH(Table2[[#Headers],[Grille Pattern]],Table2[#Headers],0),0)</f>
        <v>0</v>
      </c>
      <c r="AE57" s="2">
        <f>VLOOKUP([jobnumber],OvalData[],MATCH(Table2[[#Headers],[Grille First Tube]],Table2[#Headers],0),0)</f>
        <v>0</v>
      </c>
      <c r="AF57" s="2">
        <f>VLOOKUP([jobnumber],OvalData[],MATCH(Table2[[#Headers],[Grille Standard Tube]],Table2[#Headers],0),0)</f>
        <v>0</v>
      </c>
      <c r="AG57" s="2">
        <f>VLOOKUP([jobnumber],OvalData[],MATCH(Table2[[#Headers],[Grille Total Links]],Table2[#Headers],0),0)</f>
        <v>0</v>
      </c>
      <c r="AH57" s="2">
        <f>VLOOKUP([jobnumber],OvalData[],MATCH(Table2[[#Headers],[Grille Rods]],Table2[#Headers],0),0)</f>
        <v>0</v>
      </c>
      <c r="AI57" s="2">
        <f>VLOOKUP([jobnumber],OvalData[],MATCH(Table2[[#Headers],[Grille Rod Length]],Table2[#Headers],0),0)</f>
        <v>0</v>
      </c>
      <c r="AJ57" s="2">
        <f>VLOOKUP([jobnumber],OvalData[],MATCH(Table2[[#Headers],[slattype]],Table2[#Headers],0),0)</f>
        <v>2</v>
      </c>
      <c r="AK57" s="2">
        <f>VLOOKUP([jobnumber],OvalData[],MATCH(Table2[[#Headers],[slatgage]],Table2[#Headers],0),0)</f>
        <v>18</v>
      </c>
      <c r="AL57" s="2">
        <f>VLOOKUP([jobnumber],OvalData[],MATCH(Table2[[#Headers],[Numer of Top Slats]],Table2[#Headers],0),0)</f>
        <v>0</v>
      </c>
      <c r="AM57" s="2">
        <f>VLOOKUP([jobnumber],OvalData[],MATCH(Table2[[#Headers],[Number of Bottom Slats]],Table2[#Headers],0),0)</f>
        <v>0</v>
      </c>
      <c r="AN57" s="2">
        <f>VLOOKUP([jobnumber],OvalData[],MATCH(Table2[[#Headers],[Solid Bottom Height]],Table2[#Headers],0),0)</f>
        <v>0</v>
      </c>
      <c r="AO57" s="2" t="str">
        <f>VLOOKUP([jobnumber],OvalData[],MATCH(Table2[[#Headers],[slatlength]],Table2[#Headers],0),0)</f>
        <v xml:space="preserve"> 18 ft.- 5 7/ 8"</v>
      </c>
      <c r="AP57" s="2">
        <f>VLOOKUP([jobnumber],OvalData[],MATCH(Table2[[#Headers],[Bottom Slat Length]],Table2[#Headers],0),0)</f>
        <v>0</v>
      </c>
      <c r="AQ57" s="2">
        <f>VLOOKUP([jobnumber],OvalData[],MATCH(Table2[[#Headers],[Number of Perferated Slats]],Table2[#Headers],0),0)</f>
        <v>0</v>
      </c>
      <c r="AR57" s="2">
        <f>VLOOKUP([jobnumber],OvalData[],MATCH(Table2[[#Headers],[First Preferated Slat From End]],Table2[#Headers],0),0)</f>
        <v>0</v>
      </c>
      <c r="AS57" s="2">
        <f>VLOOKUP([jobnumber],OvalData[],MATCH(Table2[[#Headers],[First Preferated Slat From Bottom]],Table2[#Headers],0),0)</f>
        <v>0</v>
      </c>
      <c r="AT57" s="2">
        <f>VLOOKUP([jobnumber],OvalData[],MATCH(Table2[[#Headers],[Total Number of Slats]],Table2[#Headers],0),0)</f>
        <v>51</v>
      </c>
      <c r="AU57" s="2">
        <f>VLOOKUP([jobnumber],OvalData[],MATCH(Table2[[#Headers],[Bottom Bar Slope]],Table2[#Headers],0),0)</f>
        <v>0</v>
      </c>
      <c r="AV57" s="2">
        <f>VLOOKUP([jobnumber],OvalData[],MATCH(Table2[[#Headers],[Bottom Bar Weight]],Table2[#Headers],0),0)</f>
        <v>80.5</v>
      </c>
      <c r="AW57" s="2" t="str">
        <f>VLOOKUP([jobnumber],OvalData[],MATCH(Table2[[#Headers],[Outer Spring Gage]],Table2[#Headers],0),0)</f>
        <v>Null</v>
      </c>
      <c r="AX57" s="2" t="str">
        <f>VLOOKUP([jobnumber],OvalData[],MATCH(Table2[[#Headers],[Outer Spring OD]],Table2[#Headers],0),0)</f>
        <v>Null</v>
      </c>
      <c r="AY57" s="2" t="str">
        <f>VLOOKUP([jobnumber],OvalData[],MATCH(Table2[[#Headers],[Outer Spring Length]],Table2[#Headers],0),0)</f>
        <v>Null</v>
      </c>
      <c r="AZ57" s="2" t="str">
        <f>VLOOKUP([jobnumber],OvalData[],MATCH(Table2[[#Headers],[Outer Spring Stretch]],Table2[#Headers],0),0)</f>
        <v>Null</v>
      </c>
      <c r="BA57" s="2" t="str">
        <f>VLOOKUP([jobnumber],OvalData[],MATCH(Table2[[#Headers],[Outer Spring Torque]],Table2[#Headers],0),0)</f>
        <v>Null</v>
      </c>
      <c r="BB57" s="2" t="str">
        <f>VLOOKUP([jobnumber],OvalData[],MATCH(Table2[[#Headers],[Outer Spring Max Turns]],Table2[#Headers],0),0)</f>
        <v>Null</v>
      </c>
      <c r="BC57" s="2" t="str">
        <f>VLOOKUP([jobnumber],OvalData[],MATCH(Table2[[#Headers],[Outer Spring Weight]],Table2[#Headers],0),0)</f>
        <v>Null</v>
      </c>
      <c r="BD57" s="2" t="str">
        <f>VLOOKUP([jobnumber],OvalData[],MATCH(Table2[[#Headers],[Inner Spring Gage]],Table2[#Headers],0),0)</f>
        <v>Null</v>
      </c>
      <c r="BE57" s="2" t="str">
        <f>VLOOKUP([jobnumber],OvalData[],MATCH(Table2[[#Headers],[Inner Spring OD]],Table2[#Headers],0),0)</f>
        <v>Null</v>
      </c>
      <c r="BF57" s="2" t="str">
        <f>VLOOKUP([jobnumber],OvalData[],MATCH(Table2[[#Headers],[Inner Spring Length]],Table2[#Headers],0),0)</f>
        <v>Null</v>
      </c>
      <c r="BG57" s="2" t="str">
        <f>VLOOKUP([jobnumber],OvalData[],MATCH(Table2[[#Headers],[Inner Spring Stretch]],Table2[#Headers],0),0)</f>
        <v>Null</v>
      </c>
      <c r="BH57" s="2" t="str">
        <f>VLOOKUP([jobnumber],OvalData[],MATCH(Table2[[#Headers],[Inner Spring Torque]],Table2[#Headers],0),0)</f>
        <v>Null</v>
      </c>
      <c r="BI57" s="2" t="str">
        <f>VLOOKUP([jobnumber],OvalData[],MATCH(Table2[[#Headers],[Inner Spring Max Turns]],Table2[#Headers],0),0)</f>
        <v>Null</v>
      </c>
      <c r="BJ57" s="2" t="str">
        <f>VLOOKUP([jobnumber],OvalData[],MATCH(Table2[[#Headers],[Inner Spring Weight]],Table2[#Headers],0),0)</f>
        <v>Null</v>
      </c>
      <c r="BK57" s="2">
        <f>VLOOKUP([jobnumber],OvalData[],MATCH(Table2[[#Headers],[Cycles]],Table2[#Headers],0),0)</f>
        <v>0</v>
      </c>
      <c r="BL57" s="2">
        <f>VLOOKUP([jobnumber],OvalData[],MATCH(Table2[[#Headers],[Total Spring Torque]],Table2[#Headers],0),0)</f>
        <v>0</v>
      </c>
      <c r="BM57" s="2">
        <f>VLOOKUP([jobnumber],OvalData[],MATCH(Table2[[#Headers],[Total Spring Weight]],Table2[#Headers],0),0)</f>
        <v>0</v>
      </c>
      <c r="BN57" s="2">
        <f>VLOOKUP([jobnumber],OvalData[],MATCH(Table2[[#Headers],[Pipe Weight]],Table2[#Headers],0),0)</f>
        <v>688.24239999999998</v>
      </c>
      <c r="BO57" s="2">
        <f>VLOOKUP([jobnumber],OvalData[],MATCH(Table2[[#Headers],[Max Pipe Deflection]],Table2[#Headers],0),0)</f>
        <v>2309</v>
      </c>
      <c r="BP57" s="2">
        <f>VLOOKUP([jobnumber],OvalData[],MATCH(Table2[[#Headers],[Number Non-Insulated Wrap Slats]],Table2[#Headers],0),0)</f>
        <v>0</v>
      </c>
      <c r="BQ57" s="2">
        <f>VLOOKUP([jobnumber],OvalData[],MATCH(Table2[[#Headers],[Number of Insolated Top Slats]],Table2[#Headers],0),0)</f>
        <v>45</v>
      </c>
      <c r="BR57" s="2">
        <f>VLOOKUP([jobnumber],OvalData[],MATCH(Table2[[#Headers],[Insolated Total Slats]],Table2[#Headers],0),0)</f>
        <v>45</v>
      </c>
      <c r="BS57" s="2">
        <f>VLOOKUP([jobnumber],OvalData[],MATCH(Table2[[#Headers],[Number of Slats]],Table2[#Headers],0),0)</f>
        <v>44.69</v>
      </c>
      <c r="BT57" s="2">
        <f>VLOOKUP([jobnumber],OvalData[],MATCH(Table2[[#Headers],[Wrap]],Table2[#Headers],0),0)</f>
        <v>0</v>
      </c>
      <c r="BU57" s="2">
        <f>VLOOKUP([jobnumber],OvalData[],MATCH(Table2[[#Headers],[Wall Angle Thickness]],Table2[#Headers],0),0)</f>
        <v>0</v>
      </c>
      <c r="BV57" s="2">
        <f>VLOOKUP([jobnumber],OvalData[],MATCH(Table2[[#Headers],[windlocks]],Table2[#Headers],0),0)</f>
        <v>0</v>
      </c>
      <c r="BW57" s="2" t="str">
        <f>VLOOKUP([jobnumber],OvalData[],MATCH(Table2[[#Headers],[bottombartype]],Table2[#Headers],0),0)</f>
        <v>SPECIAL</v>
      </c>
      <c r="BX57" s="2">
        <f>VLOOKUP([jobnumber],OvalData[],MATCH(Table2[[#Headers],[endlockweight]],Table2[#Headers],0),0)</f>
        <v>0.17</v>
      </c>
      <c r="BY57" s="2">
        <f>VLOOKUP([jobnumber],OvalData[],MATCH(Table2[[#Headers],[Endlock Total Weight]],Table2[#Headers],0),0)</f>
        <v>7.5972999999999997</v>
      </c>
      <c r="BZ57" s="2">
        <f>VLOOKUP([jobnumber],OvalData[],MATCH(Table2[[#Headers],[Grille Weight]],Table2[#Headers],0),0)</f>
        <v>0</v>
      </c>
      <c r="CA57" s="2">
        <f>VLOOKUP([jobnumber],OvalData[],MATCH(Table2[[#Headers],[barrelrings]],Table2[#Headers],0),0)</f>
        <v>1</v>
      </c>
    </row>
    <row r="58" spans="2:79">
      <c r="B58" s="2" t="str">
        <f>VLOOKUP([jobnumber],OvalData[],MATCH(Table2[[#Headers],[Hand]],Table2[#Headers],0),0)</f>
        <v>RH</v>
      </c>
      <c r="C58" s="2" t="str">
        <f>VLOOKUP([jobnumber],OvalData[],MATCH(Table2[[#Headers],[Model]],Table2[#Headers],0),0)</f>
        <v>SFMPP</v>
      </c>
      <c r="D58" s="2" t="str">
        <f>VLOOKUP([jobnumber],OvalData[],MATCH(Table2[[#Headers],[width]],Table2[#Headers],0),0)</f>
        <v xml:space="preserve"> 18 ft.- 2"</v>
      </c>
      <c r="E58" s="2" t="str">
        <f>VLOOKUP([jobnumber],OvalData[],MATCH(Table2[[#Headers],[stopheight]],Table2[#Headers],0),0)</f>
        <v xml:space="preserve"> 10 ft.- 0"</v>
      </c>
      <c r="F58" s="2" t="str">
        <f>VLOOKUP([jobnumber],OvalData[],MATCH(Table2[[#Headers],[Between Brackets]],Table2[#Headers],0),0)</f>
        <v xml:space="preserve"> 18 ft.- 7 7/ 8"</v>
      </c>
      <c r="G58" s="2" t="str">
        <f>VLOOKUP([jobnumber],OvalData[],MATCH(Table2[[#Headers],[shell]],Table2[#Headers],0),0)</f>
        <v>6 INCH TUBE</v>
      </c>
      <c r="H58" s="2" t="str">
        <f>VLOOKUP([jobnumber],OvalData[],MATCH(Table2[[#Headers],[pipewidth]],Table2[#Headers],0),0)</f>
        <v xml:space="preserve"> 18 ft.- 1 3/ 8"</v>
      </c>
      <c r="I58" s="2">
        <f>VLOOKUP([jobnumber],OvalData[],MATCH(Table2[[#Headers],[Support Tubes]],Table2[#Headers],0),0)</f>
        <v>0</v>
      </c>
      <c r="J58" s="2">
        <f>VLOOKUP([jobnumber],OvalData[],MATCH(Table2[[#Headers],[Upset]],Table2[#Headers],0),0)</f>
        <v>2</v>
      </c>
      <c r="K58" s="2" t="str">
        <f>VLOOKUP([jobnumber],OvalData[],MATCH(Table2[[#Headers],[Guide Type]],Table2[#Headers],0),0)</f>
        <v>SN2-4 5/8-E</v>
      </c>
      <c r="L58" s="2" t="str">
        <f>VLOOKUP([jobnumber],OvalData[],MATCH(Table2[[#Headers],[Wall Angle]],Table2[#Headers],0),0)</f>
        <v xml:space="preserve"> 11 ft.- 8"</v>
      </c>
      <c r="M58" s="2" t="str">
        <f>VLOOKUP([jobnumber],OvalData[],MATCH(Table2[[#Headers],[Middle Angle]],Table2[#Headers],0),0)</f>
        <v xml:space="preserve"> 10 ft.- 4 1/ 2"</v>
      </c>
      <c r="N58" s="2" t="str">
        <f>VLOOKUP([jobnumber],OvalData[],MATCH(Table2[[#Headers],[Front Angle]],Table2[#Headers],0),0)</f>
        <v xml:space="preserve"> 10 ft.- 3"</v>
      </c>
      <c r="O58" s="2">
        <f>VLOOKUP([jobnumber],OvalData[],MATCH(Table2[[#Headers],[Pipe Center Line]],Table2[#Headers],0),0)</f>
        <v>131</v>
      </c>
      <c r="P58" s="2">
        <f>VLOOKUP([jobnumber],OvalData[],MATCH(Table2[[#Headers],[Heat Expansion Gap]],Table2[#Headers],0),0)</f>
        <v>0</v>
      </c>
      <c r="Q58" s="2">
        <f>VLOOKUP([jobnumber],OvalData[],MATCH(Table2[[#Headers],[Hanging Weight Closed]],Table2[#Headers],0),0)</f>
        <v>795</v>
      </c>
      <c r="R58" s="2">
        <f>VLOOKUP([jobnumber],OvalData[],MATCH(Table2[[#Headers],[Hanging Weight Open]],Table2[#Headers],0),0)</f>
        <v>140</v>
      </c>
      <c r="S58" s="2">
        <f>VLOOKUP([jobnumber],OvalData[],MATCH(Table2[[#Headers],[Initial Lever Arm]],Table2[#Headers],0),0)</f>
        <v>4.25</v>
      </c>
      <c r="T58" s="2">
        <f>VLOOKUP([jobnumber],OvalData[],MATCH(Table2[[#Headers],[Turns to Raise]],Table2[#Headers],0),0)</f>
        <v>3.5859999999999999</v>
      </c>
      <c r="U58" s="2">
        <f>VLOOKUP([jobnumber],OvalData[],MATCH(Table2[[#Headers],[Final Lever Arm]],Table2[#Headers],0),0)</f>
        <v>6.37</v>
      </c>
      <c r="V58" s="2">
        <f>VLOOKUP([jobnumber],OvalData[],MATCH(Table2[[#Headers],[Torque Required Closed]],Table2[#Headers],0),0)</f>
        <v>3377.9</v>
      </c>
      <c r="W58" s="2">
        <f>VLOOKUP([jobnumber],OvalData[],MATCH(Table2[[#Headers],[Torque Required Open]],Table2[#Headers],0),0)</f>
        <v>892</v>
      </c>
      <c r="X58" s="2">
        <f>VLOOKUP([jobnumber],OvalData[],MATCH(Table2[[#Headers],[Pre Turns]],Table2[#Headers],0),0)</f>
        <v>1.3332999999999999</v>
      </c>
      <c r="Y58" s="2">
        <f>VLOOKUP([jobnumber],OvalData[],MATCH(Table2[[#Headers],[Required Torque Per Turn]],Table2[#Headers],0),0)</f>
        <v>688</v>
      </c>
      <c r="Z58" s="2">
        <f>VLOOKUP([jobnumber],OvalData[],MATCH(Table2[[#Headers],[Total Turns]],Table2[#Headers],0),0)</f>
        <v>4.91</v>
      </c>
      <c r="AA58" s="2">
        <f>VLOOKUP([jobnumber],OvalData[],MATCH(Table2[[#Headers],[Grille Vision Section]],Table2[#Headers],0),0)</f>
        <v>0</v>
      </c>
      <c r="AB58" s="2">
        <f>VLOOKUP([jobnumber],OvalData[],MATCH(Table2[[#Headers],[Grille Amount]],Table2[#Headers],0),0)</f>
        <v>0</v>
      </c>
      <c r="AC58" s="2">
        <f>VLOOKUP([jobnumber],OvalData[],MATCH(Table2[[#Headers],[Grille Center]],Table2[#Headers],0),0)</f>
        <v>0</v>
      </c>
      <c r="AD58" s="2">
        <f>VLOOKUP([jobnumber],OvalData[],MATCH(Table2[[#Headers],[Grille Pattern]],Table2[#Headers],0),0)</f>
        <v>0</v>
      </c>
      <c r="AE58" s="2">
        <f>VLOOKUP([jobnumber],OvalData[],MATCH(Table2[[#Headers],[Grille First Tube]],Table2[#Headers],0),0)</f>
        <v>0</v>
      </c>
      <c r="AF58" s="2">
        <f>VLOOKUP([jobnumber],OvalData[],MATCH(Table2[[#Headers],[Grille Standard Tube]],Table2[#Headers],0),0)</f>
        <v>0</v>
      </c>
      <c r="AG58" s="2">
        <f>VLOOKUP([jobnumber],OvalData[],MATCH(Table2[[#Headers],[Grille Total Links]],Table2[#Headers],0),0)</f>
        <v>0</v>
      </c>
      <c r="AH58" s="2">
        <f>VLOOKUP([jobnumber],OvalData[],MATCH(Table2[[#Headers],[Grille Rods]],Table2[#Headers],0),0)</f>
        <v>0</v>
      </c>
      <c r="AI58" s="2">
        <f>VLOOKUP([jobnumber],OvalData[],MATCH(Table2[[#Headers],[Grille Rod Length]],Table2[#Headers],0),0)</f>
        <v>0</v>
      </c>
      <c r="AJ58" s="2">
        <f>VLOOKUP([jobnumber],OvalData[],MATCH(Table2[[#Headers],[slattype]],Table2[#Headers],0),0)</f>
        <v>2</v>
      </c>
      <c r="AK58" s="2">
        <f>VLOOKUP([jobnumber],OvalData[],MATCH(Table2[[#Headers],[slatgage]],Table2[#Headers],0),0)</f>
        <v>18</v>
      </c>
      <c r="AL58" s="2">
        <f>VLOOKUP([jobnumber],OvalData[],MATCH(Table2[[#Headers],[Numer of Top Slats]],Table2[#Headers],0),0)</f>
        <v>0</v>
      </c>
      <c r="AM58" s="2">
        <f>VLOOKUP([jobnumber],OvalData[],MATCH(Table2[[#Headers],[Number of Bottom Slats]],Table2[#Headers],0),0)</f>
        <v>0</v>
      </c>
      <c r="AN58" s="2">
        <f>VLOOKUP([jobnumber],OvalData[],MATCH(Table2[[#Headers],[Solid Bottom Height]],Table2[#Headers],0),0)</f>
        <v>0</v>
      </c>
      <c r="AO58" s="2" t="str">
        <f>VLOOKUP([jobnumber],OvalData[],MATCH(Table2[[#Headers],[slatlength]],Table2[#Headers],0),0)</f>
        <v xml:space="preserve"> 18 ft.- 5 7/ 8"</v>
      </c>
      <c r="AP58" s="2">
        <f>VLOOKUP([jobnumber],OvalData[],MATCH(Table2[[#Headers],[Bottom Slat Length]],Table2[#Headers],0),0)</f>
        <v>0</v>
      </c>
      <c r="AQ58" s="2">
        <f>VLOOKUP([jobnumber],OvalData[],MATCH(Table2[[#Headers],[Number of Perferated Slats]],Table2[#Headers],0),0)</f>
        <v>0</v>
      </c>
      <c r="AR58" s="2">
        <f>VLOOKUP([jobnumber],OvalData[],MATCH(Table2[[#Headers],[First Preferated Slat From End]],Table2[#Headers],0),0)</f>
        <v>0</v>
      </c>
      <c r="AS58" s="2">
        <f>VLOOKUP([jobnumber],OvalData[],MATCH(Table2[[#Headers],[First Preferated Slat From Bottom]],Table2[#Headers],0),0)</f>
        <v>0</v>
      </c>
      <c r="AT58" s="2">
        <f>VLOOKUP([jobnumber],OvalData[],MATCH(Table2[[#Headers],[Total Number of Slats]],Table2[#Headers],0),0)</f>
        <v>51</v>
      </c>
      <c r="AU58" s="2">
        <f>VLOOKUP([jobnumber],OvalData[],MATCH(Table2[[#Headers],[Bottom Bar Slope]],Table2[#Headers],0),0)</f>
        <v>0</v>
      </c>
      <c r="AV58" s="2">
        <f>VLOOKUP([jobnumber],OvalData[],MATCH(Table2[[#Headers],[Bottom Bar Weight]],Table2[#Headers],0),0)</f>
        <v>80.5</v>
      </c>
      <c r="AW58" s="2" t="str">
        <f>VLOOKUP([jobnumber],OvalData[],MATCH(Table2[[#Headers],[Outer Spring Gage]],Table2[#Headers],0),0)</f>
        <v>Null</v>
      </c>
      <c r="AX58" s="2" t="str">
        <f>VLOOKUP([jobnumber],OvalData[],MATCH(Table2[[#Headers],[Outer Spring OD]],Table2[#Headers],0),0)</f>
        <v>Null</v>
      </c>
      <c r="AY58" s="2" t="str">
        <f>VLOOKUP([jobnumber],OvalData[],MATCH(Table2[[#Headers],[Outer Spring Length]],Table2[#Headers],0),0)</f>
        <v>Null</v>
      </c>
      <c r="AZ58" s="2" t="str">
        <f>VLOOKUP([jobnumber],OvalData[],MATCH(Table2[[#Headers],[Outer Spring Stretch]],Table2[#Headers],0),0)</f>
        <v>Null</v>
      </c>
      <c r="BA58" s="2" t="str">
        <f>VLOOKUP([jobnumber],OvalData[],MATCH(Table2[[#Headers],[Outer Spring Torque]],Table2[#Headers],0),0)</f>
        <v>Null</v>
      </c>
      <c r="BB58" s="2" t="str">
        <f>VLOOKUP([jobnumber],OvalData[],MATCH(Table2[[#Headers],[Outer Spring Max Turns]],Table2[#Headers],0),0)</f>
        <v>Null</v>
      </c>
      <c r="BC58" s="2" t="str">
        <f>VLOOKUP([jobnumber],OvalData[],MATCH(Table2[[#Headers],[Outer Spring Weight]],Table2[#Headers],0),0)</f>
        <v>Null</v>
      </c>
      <c r="BD58" s="2" t="str">
        <f>VLOOKUP([jobnumber],OvalData[],MATCH(Table2[[#Headers],[Inner Spring Gage]],Table2[#Headers],0),0)</f>
        <v>Null</v>
      </c>
      <c r="BE58" s="2" t="str">
        <f>VLOOKUP([jobnumber],OvalData[],MATCH(Table2[[#Headers],[Inner Spring OD]],Table2[#Headers],0),0)</f>
        <v>Null</v>
      </c>
      <c r="BF58" s="2" t="str">
        <f>VLOOKUP([jobnumber],OvalData[],MATCH(Table2[[#Headers],[Inner Spring Length]],Table2[#Headers],0),0)</f>
        <v>Null</v>
      </c>
      <c r="BG58" s="2" t="str">
        <f>VLOOKUP([jobnumber],OvalData[],MATCH(Table2[[#Headers],[Inner Spring Stretch]],Table2[#Headers],0),0)</f>
        <v>Null</v>
      </c>
      <c r="BH58" s="2" t="str">
        <f>VLOOKUP([jobnumber],OvalData[],MATCH(Table2[[#Headers],[Inner Spring Torque]],Table2[#Headers],0),0)</f>
        <v>Null</v>
      </c>
      <c r="BI58" s="2" t="str">
        <f>VLOOKUP([jobnumber],OvalData[],MATCH(Table2[[#Headers],[Inner Spring Max Turns]],Table2[#Headers],0),0)</f>
        <v>Null</v>
      </c>
      <c r="BJ58" s="2" t="str">
        <f>VLOOKUP([jobnumber],OvalData[],MATCH(Table2[[#Headers],[Inner Spring Weight]],Table2[#Headers],0),0)</f>
        <v>Null</v>
      </c>
      <c r="BK58" s="2">
        <f>VLOOKUP([jobnumber],OvalData[],MATCH(Table2[[#Headers],[Cycles]],Table2[#Headers],0),0)</f>
        <v>0</v>
      </c>
      <c r="BL58" s="2">
        <f>VLOOKUP([jobnumber],OvalData[],MATCH(Table2[[#Headers],[Total Spring Torque]],Table2[#Headers],0),0)</f>
        <v>0</v>
      </c>
      <c r="BM58" s="2">
        <f>VLOOKUP([jobnumber],OvalData[],MATCH(Table2[[#Headers],[Total Spring Weight]],Table2[#Headers],0),0)</f>
        <v>0</v>
      </c>
      <c r="BN58" s="2">
        <f>VLOOKUP([jobnumber],OvalData[],MATCH(Table2[[#Headers],[Pipe Weight]],Table2[#Headers],0),0)</f>
        <v>688.24239999999998</v>
      </c>
      <c r="BO58" s="2">
        <f>VLOOKUP([jobnumber],OvalData[],MATCH(Table2[[#Headers],[Max Pipe Deflection]],Table2[#Headers],0),0)</f>
        <v>2309</v>
      </c>
      <c r="BP58" s="2">
        <f>VLOOKUP([jobnumber],OvalData[],MATCH(Table2[[#Headers],[Number Non-Insulated Wrap Slats]],Table2[#Headers],0),0)</f>
        <v>0</v>
      </c>
      <c r="BQ58" s="2">
        <f>VLOOKUP([jobnumber],OvalData[],MATCH(Table2[[#Headers],[Number of Insolated Top Slats]],Table2[#Headers],0),0)</f>
        <v>45</v>
      </c>
      <c r="BR58" s="2">
        <f>VLOOKUP([jobnumber],OvalData[],MATCH(Table2[[#Headers],[Insolated Total Slats]],Table2[#Headers],0),0)</f>
        <v>45</v>
      </c>
      <c r="BS58" s="2">
        <f>VLOOKUP([jobnumber],OvalData[],MATCH(Table2[[#Headers],[Number of Slats]],Table2[#Headers],0),0)</f>
        <v>44.69</v>
      </c>
      <c r="BT58" s="2">
        <f>VLOOKUP([jobnumber],OvalData[],MATCH(Table2[[#Headers],[Wrap]],Table2[#Headers],0),0)</f>
        <v>0</v>
      </c>
      <c r="BU58" s="2">
        <f>VLOOKUP([jobnumber],OvalData[],MATCH(Table2[[#Headers],[Wall Angle Thickness]],Table2[#Headers],0),0)</f>
        <v>0</v>
      </c>
      <c r="BV58" s="2">
        <f>VLOOKUP([jobnumber],OvalData[],MATCH(Table2[[#Headers],[windlocks]],Table2[#Headers],0),0)</f>
        <v>0</v>
      </c>
      <c r="BW58" s="2" t="str">
        <f>VLOOKUP([jobnumber],OvalData[],MATCH(Table2[[#Headers],[bottombartype]],Table2[#Headers],0),0)</f>
        <v>SPECIAL</v>
      </c>
      <c r="BX58" s="2">
        <f>VLOOKUP([jobnumber],OvalData[],MATCH(Table2[[#Headers],[endlockweight]],Table2[#Headers],0),0)</f>
        <v>0.17</v>
      </c>
      <c r="BY58" s="2">
        <f>VLOOKUP([jobnumber],OvalData[],MATCH(Table2[[#Headers],[Endlock Total Weight]],Table2[#Headers],0),0)</f>
        <v>7.5972999999999997</v>
      </c>
      <c r="BZ58" s="2">
        <f>VLOOKUP([jobnumber],OvalData[],MATCH(Table2[[#Headers],[Grille Weight]],Table2[#Headers],0),0)</f>
        <v>0</v>
      </c>
      <c r="CA58" s="2">
        <f>VLOOKUP([jobnumber],OvalData[],MATCH(Table2[[#Headers],[barrelrings]],Table2[#Headers],0),0)</f>
        <v>1</v>
      </c>
    </row>
    <row r="59" spans="2:79">
      <c r="B59" s="2" t="str">
        <f>VLOOKUP([jobnumber],OvalData[],MATCH(Table2[[#Headers],[Hand]],Table2[#Headers],0),0)</f>
        <v>RH</v>
      </c>
      <c r="C59" s="2" t="str">
        <f>VLOOKUP([jobnumber],OvalData[],MATCH(Table2[[#Headers],[Model]],Table2[#Headers],0),0)</f>
        <v>SFMPP</v>
      </c>
      <c r="D59" s="2" t="str">
        <f>VLOOKUP([jobnumber],OvalData[],MATCH(Table2[[#Headers],[width]],Table2[#Headers],0),0)</f>
        <v xml:space="preserve"> 18 ft.- 2"</v>
      </c>
      <c r="E59" s="2" t="str">
        <f>VLOOKUP([jobnumber],OvalData[],MATCH(Table2[[#Headers],[stopheight]],Table2[#Headers],0),0)</f>
        <v xml:space="preserve"> 10 ft.- 0"</v>
      </c>
      <c r="F59" s="2" t="str">
        <f>VLOOKUP([jobnumber],OvalData[],MATCH(Table2[[#Headers],[Between Brackets]],Table2[#Headers],0),0)</f>
        <v xml:space="preserve"> 18 ft.- 7 7/ 8"</v>
      </c>
      <c r="G59" s="2" t="str">
        <f>VLOOKUP([jobnumber],OvalData[],MATCH(Table2[[#Headers],[shell]],Table2[#Headers],0),0)</f>
        <v>6 INCH TUBE</v>
      </c>
      <c r="H59" s="2" t="str">
        <f>VLOOKUP([jobnumber],OvalData[],MATCH(Table2[[#Headers],[pipewidth]],Table2[#Headers],0),0)</f>
        <v xml:space="preserve"> 18 ft.- 1 3/ 8"</v>
      </c>
      <c r="I59" s="2">
        <f>VLOOKUP([jobnumber],OvalData[],MATCH(Table2[[#Headers],[Support Tubes]],Table2[#Headers],0),0)</f>
        <v>0</v>
      </c>
      <c r="J59" s="2">
        <f>VLOOKUP([jobnumber],OvalData[],MATCH(Table2[[#Headers],[Upset]],Table2[#Headers],0),0)</f>
        <v>2</v>
      </c>
      <c r="K59" s="2" t="str">
        <f>VLOOKUP([jobnumber],OvalData[],MATCH(Table2[[#Headers],[Guide Type]],Table2[#Headers],0),0)</f>
        <v>SN2-4 5/8-E</v>
      </c>
      <c r="L59" s="2" t="str">
        <f>VLOOKUP([jobnumber],OvalData[],MATCH(Table2[[#Headers],[Wall Angle]],Table2[#Headers],0),0)</f>
        <v xml:space="preserve"> 11 ft.- 8"</v>
      </c>
      <c r="M59" s="2" t="str">
        <f>VLOOKUP([jobnumber],OvalData[],MATCH(Table2[[#Headers],[Middle Angle]],Table2[#Headers],0),0)</f>
        <v xml:space="preserve"> 10 ft.- 4 1/ 2"</v>
      </c>
      <c r="N59" s="2" t="str">
        <f>VLOOKUP([jobnumber],OvalData[],MATCH(Table2[[#Headers],[Front Angle]],Table2[#Headers],0),0)</f>
        <v xml:space="preserve"> 10 ft.- 3"</v>
      </c>
      <c r="O59" s="2">
        <f>VLOOKUP([jobnumber],OvalData[],MATCH(Table2[[#Headers],[Pipe Center Line]],Table2[#Headers],0),0)</f>
        <v>131</v>
      </c>
      <c r="P59" s="2">
        <f>VLOOKUP([jobnumber],OvalData[],MATCH(Table2[[#Headers],[Heat Expansion Gap]],Table2[#Headers],0),0)</f>
        <v>0</v>
      </c>
      <c r="Q59" s="2">
        <f>VLOOKUP([jobnumber],OvalData[],MATCH(Table2[[#Headers],[Hanging Weight Closed]],Table2[#Headers],0),0)</f>
        <v>795</v>
      </c>
      <c r="R59" s="2">
        <f>VLOOKUP([jobnumber],OvalData[],MATCH(Table2[[#Headers],[Hanging Weight Open]],Table2[#Headers],0),0)</f>
        <v>140</v>
      </c>
      <c r="S59" s="2">
        <f>VLOOKUP([jobnumber],OvalData[],MATCH(Table2[[#Headers],[Initial Lever Arm]],Table2[#Headers],0),0)</f>
        <v>4.25</v>
      </c>
      <c r="T59" s="2">
        <f>VLOOKUP([jobnumber],OvalData[],MATCH(Table2[[#Headers],[Turns to Raise]],Table2[#Headers],0),0)</f>
        <v>3.5859999999999999</v>
      </c>
      <c r="U59" s="2">
        <f>VLOOKUP([jobnumber],OvalData[],MATCH(Table2[[#Headers],[Final Lever Arm]],Table2[#Headers],0),0)</f>
        <v>6.37</v>
      </c>
      <c r="V59" s="2">
        <f>VLOOKUP([jobnumber],OvalData[],MATCH(Table2[[#Headers],[Torque Required Closed]],Table2[#Headers],0),0)</f>
        <v>3377.9</v>
      </c>
      <c r="W59" s="2">
        <f>VLOOKUP([jobnumber],OvalData[],MATCH(Table2[[#Headers],[Torque Required Open]],Table2[#Headers],0),0)</f>
        <v>892</v>
      </c>
      <c r="X59" s="2">
        <f>VLOOKUP([jobnumber],OvalData[],MATCH(Table2[[#Headers],[Pre Turns]],Table2[#Headers],0),0)</f>
        <v>1.3332999999999999</v>
      </c>
      <c r="Y59" s="2">
        <f>VLOOKUP([jobnumber],OvalData[],MATCH(Table2[[#Headers],[Required Torque Per Turn]],Table2[#Headers],0),0)</f>
        <v>688</v>
      </c>
      <c r="Z59" s="2">
        <f>VLOOKUP([jobnumber],OvalData[],MATCH(Table2[[#Headers],[Total Turns]],Table2[#Headers],0),0)</f>
        <v>4.91</v>
      </c>
      <c r="AA59" s="2">
        <f>VLOOKUP([jobnumber],OvalData[],MATCH(Table2[[#Headers],[Grille Vision Section]],Table2[#Headers],0),0)</f>
        <v>0</v>
      </c>
      <c r="AB59" s="2">
        <f>VLOOKUP([jobnumber],OvalData[],MATCH(Table2[[#Headers],[Grille Amount]],Table2[#Headers],0),0)</f>
        <v>0</v>
      </c>
      <c r="AC59" s="2">
        <f>VLOOKUP([jobnumber],OvalData[],MATCH(Table2[[#Headers],[Grille Center]],Table2[#Headers],0),0)</f>
        <v>0</v>
      </c>
      <c r="AD59" s="2">
        <f>VLOOKUP([jobnumber],OvalData[],MATCH(Table2[[#Headers],[Grille Pattern]],Table2[#Headers],0),0)</f>
        <v>0</v>
      </c>
      <c r="AE59" s="2">
        <f>VLOOKUP([jobnumber],OvalData[],MATCH(Table2[[#Headers],[Grille First Tube]],Table2[#Headers],0),0)</f>
        <v>0</v>
      </c>
      <c r="AF59" s="2">
        <f>VLOOKUP([jobnumber],OvalData[],MATCH(Table2[[#Headers],[Grille Standard Tube]],Table2[#Headers],0),0)</f>
        <v>0</v>
      </c>
      <c r="AG59" s="2">
        <f>VLOOKUP([jobnumber],OvalData[],MATCH(Table2[[#Headers],[Grille Total Links]],Table2[#Headers],0),0)</f>
        <v>0</v>
      </c>
      <c r="AH59" s="2">
        <f>VLOOKUP([jobnumber],OvalData[],MATCH(Table2[[#Headers],[Grille Rods]],Table2[#Headers],0),0)</f>
        <v>0</v>
      </c>
      <c r="AI59" s="2">
        <f>VLOOKUP([jobnumber],OvalData[],MATCH(Table2[[#Headers],[Grille Rod Length]],Table2[#Headers],0),0)</f>
        <v>0</v>
      </c>
      <c r="AJ59" s="2">
        <f>VLOOKUP([jobnumber],OvalData[],MATCH(Table2[[#Headers],[slattype]],Table2[#Headers],0),0)</f>
        <v>2</v>
      </c>
      <c r="AK59" s="2">
        <f>VLOOKUP([jobnumber],OvalData[],MATCH(Table2[[#Headers],[slatgage]],Table2[#Headers],0),0)</f>
        <v>18</v>
      </c>
      <c r="AL59" s="2">
        <f>VLOOKUP([jobnumber],OvalData[],MATCH(Table2[[#Headers],[Numer of Top Slats]],Table2[#Headers],0),0)</f>
        <v>0</v>
      </c>
      <c r="AM59" s="2">
        <f>VLOOKUP([jobnumber],OvalData[],MATCH(Table2[[#Headers],[Number of Bottom Slats]],Table2[#Headers],0),0)</f>
        <v>0</v>
      </c>
      <c r="AN59" s="2">
        <f>VLOOKUP([jobnumber],OvalData[],MATCH(Table2[[#Headers],[Solid Bottom Height]],Table2[#Headers],0),0)</f>
        <v>0</v>
      </c>
      <c r="AO59" s="2" t="str">
        <f>VLOOKUP([jobnumber],OvalData[],MATCH(Table2[[#Headers],[slatlength]],Table2[#Headers],0),0)</f>
        <v xml:space="preserve"> 18 ft.- 5 7/ 8"</v>
      </c>
      <c r="AP59" s="2">
        <f>VLOOKUP([jobnumber],OvalData[],MATCH(Table2[[#Headers],[Bottom Slat Length]],Table2[#Headers],0),0)</f>
        <v>0</v>
      </c>
      <c r="AQ59" s="2">
        <f>VLOOKUP([jobnumber],OvalData[],MATCH(Table2[[#Headers],[Number of Perferated Slats]],Table2[#Headers],0),0)</f>
        <v>0</v>
      </c>
      <c r="AR59" s="2">
        <f>VLOOKUP([jobnumber],OvalData[],MATCH(Table2[[#Headers],[First Preferated Slat From End]],Table2[#Headers],0),0)</f>
        <v>0</v>
      </c>
      <c r="AS59" s="2">
        <f>VLOOKUP([jobnumber],OvalData[],MATCH(Table2[[#Headers],[First Preferated Slat From Bottom]],Table2[#Headers],0),0)</f>
        <v>0</v>
      </c>
      <c r="AT59" s="2">
        <f>VLOOKUP([jobnumber],OvalData[],MATCH(Table2[[#Headers],[Total Number of Slats]],Table2[#Headers],0),0)</f>
        <v>51</v>
      </c>
      <c r="AU59" s="2">
        <f>VLOOKUP([jobnumber],OvalData[],MATCH(Table2[[#Headers],[Bottom Bar Slope]],Table2[#Headers],0),0)</f>
        <v>0</v>
      </c>
      <c r="AV59" s="2">
        <f>VLOOKUP([jobnumber],OvalData[],MATCH(Table2[[#Headers],[Bottom Bar Weight]],Table2[#Headers],0),0)</f>
        <v>80.5</v>
      </c>
      <c r="AW59" s="2" t="str">
        <f>VLOOKUP([jobnumber],OvalData[],MATCH(Table2[[#Headers],[Outer Spring Gage]],Table2[#Headers],0),0)</f>
        <v>Null</v>
      </c>
      <c r="AX59" s="2" t="str">
        <f>VLOOKUP([jobnumber],OvalData[],MATCH(Table2[[#Headers],[Outer Spring OD]],Table2[#Headers],0),0)</f>
        <v>Null</v>
      </c>
      <c r="AY59" s="2" t="str">
        <f>VLOOKUP([jobnumber],OvalData[],MATCH(Table2[[#Headers],[Outer Spring Length]],Table2[#Headers],0),0)</f>
        <v>Null</v>
      </c>
      <c r="AZ59" s="2" t="str">
        <f>VLOOKUP([jobnumber],OvalData[],MATCH(Table2[[#Headers],[Outer Spring Stretch]],Table2[#Headers],0),0)</f>
        <v>Null</v>
      </c>
      <c r="BA59" s="2" t="str">
        <f>VLOOKUP([jobnumber],OvalData[],MATCH(Table2[[#Headers],[Outer Spring Torque]],Table2[#Headers],0),0)</f>
        <v>Null</v>
      </c>
      <c r="BB59" s="2" t="str">
        <f>VLOOKUP([jobnumber],OvalData[],MATCH(Table2[[#Headers],[Outer Spring Max Turns]],Table2[#Headers],0),0)</f>
        <v>Null</v>
      </c>
      <c r="BC59" s="2" t="str">
        <f>VLOOKUP([jobnumber],OvalData[],MATCH(Table2[[#Headers],[Outer Spring Weight]],Table2[#Headers],0),0)</f>
        <v>Null</v>
      </c>
      <c r="BD59" s="2" t="str">
        <f>VLOOKUP([jobnumber],OvalData[],MATCH(Table2[[#Headers],[Inner Spring Gage]],Table2[#Headers],0),0)</f>
        <v>Null</v>
      </c>
      <c r="BE59" s="2" t="str">
        <f>VLOOKUP([jobnumber],OvalData[],MATCH(Table2[[#Headers],[Inner Spring OD]],Table2[#Headers],0),0)</f>
        <v>Null</v>
      </c>
      <c r="BF59" s="2" t="str">
        <f>VLOOKUP([jobnumber],OvalData[],MATCH(Table2[[#Headers],[Inner Spring Length]],Table2[#Headers],0),0)</f>
        <v>Null</v>
      </c>
      <c r="BG59" s="2" t="str">
        <f>VLOOKUP([jobnumber],OvalData[],MATCH(Table2[[#Headers],[Inner Spring Stretch]],Table2[#Headers],0),0)</f>
        <v>Null</v>
      </c>
      <c r="BH59" s="2" t="str">
        <f>VLOOKUP([jobnumber],OvalData[],MATCH(Table2[[#Headers],[Inner Spring Torque]],Table2[#Headers],0),0)</f>
        <v>Null</v>
      </c>
      <c r="BI59" s="2" t="str">
        <f>VLOOKUP([jobnumber],OvalData[],MATCH(Table2[[#Headers],[Inner Spring Max Turns]],Table2[#Headers],0),0)</f>
        <v>Null</v>
      </c>
      <c r="BJ59" s="2" t="str">
        <f>VLOOKUP([jobnumber],OvalData[],MATCH(Table2[[#Headers],[Inner Spring Weight]],Table2[#Headers],0),0)</f>
        <v>Null</v>
      </c>
      <c r="BK59" s="2">
        <f>VLOOKUP([jobnumber],OvalData[],MATCH(Table2[[#Headers],[Cycles]],Table2[#Headers],0),0)</f>
        <v>0</v>
      </c>
      <c r="BL59" s="2">
        <f>VLOOKUP([jobnumber],OvalData[],MATCH(Table2[[#Headers],[Total Spring Torque]],Table2[#Headers],0),0)</f>
        <v>0</v>
      </c>
      <c r="BM59" s="2">
        <f>VLOOKUP([jobnumber],OvalData[],MATCH(Table2[[#Headers],[Total Spring Weight]],Table2[#Headers],0),0)</f>
        <v>0</v>
      </c>
      <c r="BN59" s="2">
        <f>VLOOKUP([jobnumber],OvalData[],MATCH(Table2[[#Headers],[Pipe Weight]],Table2[#Headers],0),0)</f>
        <v>688.24239999999998</v>
      </c>
      <c r="BO59" s="2">
        <f>VLOOKUP([jobnumber],OvalData[],MATCH(Table2[[#Headers],[Max Pipe Deflection]],Table2[#Headers],0),0)</f>
        <v>2309</v>
      </c>
      <c r="BP59" s="2">
        <f>VLOOKUP([jobnumber],OvalData[],MATCH(Table2[[#Headers],[Number Non-Insulated Wrap Slats]],Table2[#Headers],0),0)</f>
        <v>0</v>
      </c>
      <c r="BQ59" s="2">
        <f>VLOOKUP([jobnumber],OvalData[],MATCH(Table2[[#Headers],[Number of Insolated Top Slats]],Table2[#Headers],0),0)</f>
        <v>45</v>
      </c>
      <c r="BR59" s="2">
        <f>VLOOKUP([jobnumber],OvalData[],MATCH(Table2[[#Headers],[Insolated Total Slats]],Table2[#Headers],0),0)</f>
        <v>45</v>
      </c>
      <c r="BS59" s="2">
        <f>VLOOKUP([jobnumber],OvalData[],MATCH(Table2[[#Headers],[Number of Slats]],Table2[#Headers],0),0)</f>
        <v>44.69</v>
      </c>
      <c r="BT59" s="2">
        <f>VLOOKUP([jobnumber],OvalData[],MATCH(Table2[[#Headers],[Wrap]],Table2[#Headers],0),0)</f>
        <v>0</v>
      </c>
      <c r="BU59" s="2">
        <f>VLOOKUP([jobnumber],OvalData[],MATCH(Table2[[#Headers],[Wall Angle Thickness]],Table2[#Headers],0),0)</f>
        <v>0</v>
      </c>
      <c r="BV59" s="2">
        <f>VLOOKUP([jobnumber],OvalData[],MATCH(Table2[[#Headers],[windlocks]],Table2[#Headers],0),0)</f>
        <v>0</v>
      </c>
      <c r="BW59" s="2" t="str">
        <f>VLOOKUP([jobnumber],OvalData[],MATCH(Table2[[#Headers],[bottombartype]],Table2[#Headers],0),0)</f>
        <v>SPECIAL</v>
      </c>
      <c r="BX59" s="2">
        <f>VLOOKUP([jobnumber],OvalData[],MATCH(Table2[[#Headers],[endlockweight]],Table2[#Headers],0),0)</f>
        <v>0.17</v>
      </c>
      <c r="BY59" s="2">
        <f>VLOOKUP([jobnumber],OvalData[],MATCH(Table2[[#Headers],[Endlock Total Weight]],Table2[#Headers],0),0)</f>
        <v>7.5972999999999997</v>
      </c>
      <c r="BZ59" s="2">
        <f>VLOOKUP([jobnumber],OvalData[],MATCH(Table2[[#Headers],[Grille Weight]],Table2[#Headers],0),0)</f>
        <v>0</v>
      </c>
      <c r="CA59" s="2">
        <f>VLOOKUP([jobnumber],OvalData[],MATCH(Table2[[#Headers],[barrelrings]],Table2[#Headers],0),0)</f>
        <v>1</v>
      </c>
    </row>
    <row r="60" spans="2:79">
      <c r="B60" s="2" t="str">
        <f>VLOOKUP([jobnumber],OvalData[],MATCH(Table2[[#Headers],[Hand]],Table2[#Headers],0),0)</f>
        <v>RH</v>
      </c>
      <c r="C60" s="2" t="str">
        <f>VLOOKUP([jobnumber],OvalData[],MATCH(Table2[[#Headers],[Model]],Table2[#Headers],0),0)</f>
        <v>SFMPP</v>
      </c>
      <c r="D60" s="2" t="str">
        <f>VLOOKUP([jobnumber],OvalData[],MATCH(Table2[[#Headers],[width]],Table2[#Headers],0),0)</f>
        <v xml:space="preserve"> 18 ft.- 2"</v>
      </c>
      <c r="E60" s="2" t="str">
        <f>VLOOKUP([jobnumber],OvalData[],MATCH(Table2[[#Headers],[stopheight]],Table2[#Headers],0),0)</f>
        <v xml:space="preserve"> 10 ft.- 0"</v>
      </c>
      <c r="F60" s="2" t="str">
        <f>VLOOKUP([jobnumber],OvalData[],MATCH(Table2[[#Headers],[Between Brackets]],Table2[#Headers],0),0)</f>
        <v xml:space="preserve"> 18 ft.- 7 7/ 8"</v>
      </c>
      <c r="G60" s="2" t="str">
        <f>VLOOKUP([jobnumber],OvalData[],MATCH(Table2[[#Headers],[shell]],Table2[#Headers],0),0)</f>
        <v>6 INCH TUBE</v>
      </c>
      <c r="H60" s="2" t="str">
        <f>VLOOKUP([jobnumber],OvalData[],MATCH(Table2[[#Headers],[pipewidth]],Table2[#Headers],0),0)</f>
        <v xml:space="preserve"> 18 ft.- 1 3/ 8"</v>
      </c>
      <c r="I60" s="2">
        <f>VLOOKUP([jobnumber],OvalData[],MATCH(Table2[[#Headers],[Support Tubes]],Table2[#Headers],0),0)</f>
        <v>0</v>
      </c>
      <c r="J60" s="2">
        <f>VLOOKUP([jobnumber],OvalData[],MATCH(Table2[[#Headers],[Upset]],Table2[#Headers],0),0)</f>
        <v>2</v>
      </c>
      <c r="K60" s="2" t="str">
        <f>VLOOKUP([jobnumber],OvalData[],MATCH(Table2[[#Headers],[Guide Type]],Table2[#Headers],0),0)</f>
        <v>SN2-4 5/8-E</v>
      </c>
      <c r="L60" s="2" t="str">
        <f>VLOOKUP([jobnumber],OvalData[],MATCH(Table2[[#Headers],[Wall Angle]],Table2[#Headers],0),0)</f>
        <v xml:space="preserve"> 11 ft.- 8"</v>
      </c>
      <c r="M60" s="2" t="str">
        <f>VLOOKUP([jobnumber],OvalData[],MATCH(Table2[[#Headers],[Middle Angle]],Table2[#Headers],0),0)</f>
        <v xml:space="preserve"> 10 ft.- 4 1/ 2"</v>
      </c>
      <c r="N60" s="2" t="str">
        <f>VLOOKUP([jobnumber],OvalData[],MATCH(Table2[[#Headers],[Front Angle]],Table2[#Headers],0),0)</f>
        <v xml:space="preserve"> 10 ft.- 3"</v>
      </c>
      <c r="O60" s="2">
        <f>VLOOKUP([jobnumber],OvalData[],MATCH(Table2[[#Headers],[Pipe Center Line]],Table2[#Headers],0),0)</f>
        <v>131</v>
      </c>
      <c r="P60" s="2">
        <f>VLOOKUP([jobnumber],OvalData[],MATCH(Table2[[#Headers],[Heat Expansion Gap]],Table2[#Headers],0),0)</f>
        <v>0</v>
      </c>
      <c r="Q60" s="2">
        <f>VLOOKUP([jobnumber],OvalData[],MATCH(Table2[[#Headers],[Hanging Weight Closed]],Table2[#Headers],0),0)</f>
        <v>795</v>
      </c>
      <c r="R60" s="2">
        <f>VLOOKUP([jobnumber],OvalData[],MATCH(Table2[[#Headers],[Hanging Weight Open]],Table2[#Headers],0),0)</f>
        <v>140</v>
      </c>
      <c r="S60" s="2">
        <f>VLOOKUP([jobnumber],OvalData[],MATCH(Table2[[#Headers],[Initial Lever Arm]],Table2[#Headers],0),0)</f>
        <v>4.25</v>
      </c>
      <c r="T60" s="2">
        <f>VLOOKUP([jobnumber],OvalData[],MATCH(Table2[[#Headers],[Turns to Raise]],Table2[#Headers],0),0)</f>
        <v>3.5859999999999999</v>
      </c>
      <c r="U60" s="2">
        <f>VLOOKUP([jobnumber],OvalData[],MATCH(Table2[[#Headers],[Final Lever Arm]],Table2[#Headers],0),0)</f>
        <v>6.37</v>
      </c>
      <c r="V60" s="2">
        <f>VLOOKUP([jobnumber],OvalData[],MATCH(Table2[[#Headers],[Torque Required Closed]],Table2[#Headers],0),0)</f>
        <v>3377.9</v>
      </c>
      <c r="W60" s="2">
        <f>VLOOKUP([jobnumber],OvalData[],MATCH(Table2[[#Headers],[Torque Required Open]],Table2[#Headers],0),0)</f>
        <v>892</v>
      </c>
      <c r="X60" s="2">
        <f>VLOOKUP([jobnumber],OvalData[],MATCH(Table2[[#Headers],[Pre Turns]],Table2[#Headers],0),0)</f>
        <v>1.3332999999999999</v>
      </c>
      <c r="Y60" s="2">
        <f>VLOOKUP([jobnumber],OvalData[],MATCH(Table2[[#Headers],[Required Torque Per Turn]],Table2[#Headers],0),0)</f>
        <v>688</v>
      </c>
      <c r="Z60" s="2">
        <f>VLOOKUP([jobnumber],OvalData[],MATCH(Table2[[#Headers],[Total Turns]],Table2[#Headers],0),0)</f>
        <v>4.91</v>
      </c>
      <c r="AA60" s="2">
        <f>VLOOKUP([jobnumber],OvalData[],MATCH(Table2[[#Headers],[Grille Vision Section]],Table2[#Headers],0),0)</f>
        <v>0</v>
      </c>
      <c r="AB60" s="2">
        <f>VLOOKUP([jobnumber],OvalData[],MATCH(Table2[[#Headers],[Grille Amount]],Table2[#Headers],0),0)</f>
        <v>0</v>
      </c>
      <c r="AC60" s="2">
        <f>VLOOKUP([jobnumber],OvalData[],MATCH(Table2[[#Headers],[Grille Center]],Table2[#Headers],0),0)</f>
        <v>0</v>
      </c>
      <c r="AD60" s="2">
        <f>VLOOKUP([jobnumber],OvalData[],MATCH(Table2[[#Headers],[Grille Pattern]],Table2[#Headers],0),0)</f>
        <v>0</v>
      </c>
      <c r="AE60" s="2">
        <f>VLOOKUP([jobnumber],OvalData[],MATCH(Table2[[#Headers],[Grille First Tube]],Table2[#Headers],0),0)</f>
        <v>0</v>
      </c>
      <c r="AF60" s="2">
        <f>VLOOKUP([jobnumber],OvalData[],MATCH(Table2[[#Headers],[Grille Standard Tube]],Table2[#Headers],0),0)</f>
        <v>0</v>
      </c>
      <c r="AG60" s="2">
        <f>VLOOKUP([jobnumber],OvalData[],MATCH(Table2[[#Headers],[Grille Total Links]],Table2[#Headers],0),0)</f>
        <v>0</v>
      </c>
      <c r="AH60" s="2">
        <f>VLOOKUP([jobnumber],OvalData[],MATCH(Table2[[#Headers],[Grille Rods]],Table2[#Headers],0),0)</f>
        <v>0</v>
      </c>
      <c r="AI60" s="2">
        <f>VLOOKUP([jobnumber],OvalData[],MATCH(Table2[[#Headers],[Grille Rod Length]],Table2[#Headers],0),0)</f>
        <v>0</v>
      </c>
      <c r="AJ60" s="2">
        <f>VLOOKUP([jobnumber],OvalData[],MATCH(Table2[[#Headers],[slattype]],Table2[#Headers],0),0)</f>
        <v>2</v>
      </c>
      <c r="AK60" s="2">
        <f>VLOOKUP([jobnumber],OvalData[],MATCH(Table2[[#Headers],[slatgage]],Table2[#Headers],0),0)</f>
        <v>18</v>
      </c>
      <c r="AL60" s="2">
        <f>VLOOKUP([jobnumber],OvalData[],MATCH(Table2[[#Headers],[Numer of Top Slats]],Table2[#Headers],0),0)</f>
        <v>0</v>
      </c>
      <c r="AM60" s="2">
        <f>VLOOKUP([jobnumber],OvalData[],MATCH(Table2[[#Headers],[Number of Bottom Slats]],Table2[#Headers],0),0)</f>
        <v>0</v>
      </c>
      <c r="AN60" s="2">
        <f>VLOOKUP([jobnumber],OvalData[],MATCH(Table2[[#Headers],[Solid Bottom Height]],Table2[#Headers],0),0)</f>
        <v>0</v>
      </c>
      <c r="AO60" s="2" t="str">
        <f>VLOOKUP([jobnumber],OvalData[],MATCH(Table2[[#Headers],[slatlength]],Table2[#Headers],0),0)</f>
        <v xml:space="preserve"> 18 ft.- 5 7/ 8"</v>
      </c>
      <c r="AP60" s="2">
        <f>VLOOKUP([jobnumber],OvalData[],MATCH(Table2[[#Headers],[Bottom Slat Length]],Table2[#Headers],0),0)</f>
        <v>0</v>
      </c>
      <c r="AQ60" s="2">
        <f>VLOOKUP([jobnumber],OvalData[],MATCH(Table2[[#Headers],[Number of Perferated Slats]],Table2[#Headers],0),0)</f>
        <v>0</v>
      </c>
      <c r="AR60" s="2">
        <f>VLOOKUP([jobnumber],OvalData[],MATCH(Table2[[#Headers],[First Preferated Slat From End]],Table2[#Headers],0),0)</f>
        <v>0</v>
      </c>
      <c r="AS60" s="2">
        <f>VLOOKUP([jobnumber],OvalData[],MATCH(Table2[[#Headers],[First Preferated Slat From Bottom]],Table2[#Headers],0),0)</f>
        <v>0</v>
      </c>
      <c r="AT60" s="2">
        <f>VLOOKUP([jobnumber],OvalData[],MATCH(Table2[[#Headers],[Total Number of Slats]],Table2[#Headers],0),0)</f>
        <v>51</v>
      </c>
      <c r="AU60" s="2">
        <f>VLOOKUP([jobnumber],OvalData[],MATCH(Table2[[#Headers],[Bottom Bar Slope]],Table2[#Headers],0),0)</f>
        <v>0</v>
      </c>
      <c r="AV60" s="2">
        <f>VLOOKUP([jobnumber],OvalData[],MATCH(Table2[[#Headers],[Bottom Bar Weight]],Table2[#Headers],0),0)</f>
        <v>80.5</v>
      </c>
      <c r="AW60" s="2" t="str">
        <f>VLOOKUP([jobnumber],OvalData[],MATCH(Table2[[#Headers],[Outer Spring Gage]],Table2[#Headers],0),0)</f>
        <v>Null</v>
      </c>
      <c r="AX60" s="2" t="str">
        <f>VLOOKUP([jobnumber],OvalData[],MATCH(Table2[[#Headers],[Outer Spring OD]],Table2[#Headers],0),0)</f>
        <v>Null</v>
      </c>
      <c r="AY60" s="2" t="str">
        <f>VLOOKUP([jobnumber],OvalData[],MATCH(Table2[[#Headers],[Outer Spring Length]],Table2[#Headers],0),0)</f>
        <v>Null</v>
      </c>
      <c r="AZ60" s="2" t="str">
        <f>VLOOKUP([jobnumber],OvalData[],MATCH(Table2[[#Headers],[Outer Spring Stretch]],Table2[#Headers],0),0)</f>
        <v>Null</v>
      </c>
      <c r="BA60" s="2" t="str">
        <f>VLOOKUP([jobnumber],OvalData[],MATCH(Table2[[#Headers],[Outer Spring Torque]],Table2[#Headers],0),0)</f>
        <v>Null</v>
      </c>
      <c r="BB60" s="2" t="str">
        <f>VLOOKUP([jobnumber],OvalData[],MATCH(Table2[[#Headers],[Outer Spring Max Turns]],Table2[#Headers],0),0)</f>
        <v>Null</v>
      </c>
      <c r="BC60" s="2" t="str">
        <f>VLOOKUP([jobnumber],OvalData[],MATCH(Table2[[#Headers],[Outer Spring Weight]],Table2[#Headers],0),0)</f>
        <v>Null</v>
      </c>
      <c r="BD60" s="2" t="str">
        <f>VLOOKUP([jobnumber],OvalData[],MATCH(Table2[[#Headers],[Inner Spring Gage]],Table2[#Headers],0),0)</f>
        <v>Null</v>
      </c>
      <c r="BE60" s="2" t="str">
        <f>VLOOKUP([jobnumber],OvalData[],MATCH(Table2[[#Headers],[Inner Spring OD]],Table2[#Headers],0),0)</f>
        <v>Null</v>
      </c>
      <c r="BF60" s="2" t="str">
        <f>VLOOKUP([jobnumber],OvalData[],MATCH(Table2[[#Headers],[Inner Spring Length]],Table2[#Headers],0),0)</f>
        <v>Null</v>
      </c>
      <c r="BG60" s="2" t="str">
        <f>VLOOKUP([jobnumber],OvalData[],MATCH(Table2[[#Headers],[Inner Spring Stretch]],Table2[#Headers],0),0)</f>
        <v>Null</v>
      </c>
      <c r="BH60" s="2" t="str">
        <f>VLOOKUP([jobnumber],OvalData[],MATCH(Table2[[#Headers],[Inner Spring Torque]],Table2[#Headers],0),0)</f>
        <v>Null</v>
      </c>
      <c r="BI60" s="2" t="str">
        <f>VLOOKUP([jobnumber],OvalData[],MATCH(Table2[[#Headers],[Inner Spring Max Turns]],Table2[#Headers],0),0)</f>
        <v>Null</v>
      </c>
      <c r="BJ60" s="2" t="str">
        <f>VLOOKUP([jobnumber],OvalData[],MATCH(Table2[[#Headers],[Inner Spring Weight]],Table2[#Headers],0),0)</f>
        <v>Null</v>
      </c>
      <c r="BK60" s="2">
        <f>VLOOKUP([jobnumber],OvalData[],MATCH(Table2[[#Headers],[Cycles]],Table2[#Headers],0),0)</f>
        <v>0</v>
      </c>
      <c r="BL60" s="2">
        <f>VLOOKUP([jobnumber],OvalData[],MATCH(Table2[[#Headers],[Total Spring Torque]],Table2[#Headers],0),0)</f>
        <v>0</v>
      </c>
      <c r="BM60" s="2">
        <f>VLOOKUP([jobnumber],OvalData[],MATCH(Table2[[#Headers],[Total Spring Weight]],Table2[#Headers],0),0)</f>
        <v>0</v>
      </c>
      <c r="BN60" s="2">
        <f>VLOOKUP([jobnumber],OvalData[],MATCH(Table2[[#Headers],[Pipe Weight]],Table2[#Headers],0),0)</f>
        <v>688.24239999999998</v>
      </c>
      <c r="BO60" s="2">
        <f>VLOOKUP([jobnumber],OvalData[],MATCH(Table2[[#Headers],[Max Pipe Deflection]],Table2[#Headers],0),0)</f>
        <v>2309</v>
      </c>
      <c r="BP60" s="2">
        <f>VLOOKUP([jobnumber],OvalData[],MATCH(Table2[[#Headers],[Number Non-Insulated Wrap Slats]],Table2[#Headers],0),0)</f>
        <v>0</v>
      </c>
      <c r="BQ60" s="2">
        <f>VLOOKUP([jobnumber],OvalData[],MATCH(Table2[[#Headers],[Number of Insolated Top Slats]],Table2[#Headers],0),0)</f>
        <v>45</v>
      </c>
      <c r="BR60" s="2">
        <f>VLOOKUP([jobnumber],OvalData[],MATCH(Table2[[#Headers],[Insolated Total Slats]],Table2[#Headers],0),0)</f>
        <v>45</v>
      </c>
      <c r="BS60" s="2">
        <f>VLOOKUP([jobnumber],OvalData[],MATCH(Table2[[#Headers],[Number of Slats]],Table2[#Headers],0),0)</f>
        <v>44.69</v>
      </c>
      <c r="BT60" s="2">
        <f>VLOOKUP([jobnumber],OvalData[],MATCH(Table2[[#Headers],[Wrap]],Table2[#Headers],0),0)</f>
        <v>0</v>
      </c>
      <c r="BU60" s="2">
        <f>VLOOKUP([jobnumber],OvalData[],MATCH(Table2[[#Headers],[Wall Angle Thickness]],Table2[#Headers],0),0)</f>
        <v>0</v>
      </c>
      <c r="BV60" s="2">
        <f>VLOOKUP([jobnumber],OvalData[],MATCH(Table2[[#Headers],[windlocks]],Table2[#Headers],0),0)</f>
        <v>0</v>
      </c>
      <c r="BW60" s="2" t="str">
        <f>VLOOKUP([jobnumber],OvalData[],MATCH(Table2[[#Headers],[bottombartype]],Table2[#Headers],0),0)</f>
        <v>SPECIAL</v>
      </c>
      <c r="BX60" s="2">
        <f>VLOOKUP([jobnumber],OvalData[],MATCH(Table2[[#Headers],[endlockweight]],Table2[#Headers],0),0)</f>
        <v>0.17</v>
      </c>
      <c r="BY60" s="2">
        <f>VLOOKUP([jobnumber],OvalData[],MATCH(Table2[[#Headers],[Endlock Total Weight]],Table2[#Headers],0),0)</f>
        <v>7.5972999999999997</v>
      </c>
      <c r="BZ60" s="2">
        <f>VLOOKUP([jobnumber],OvalData[],MATCH(Table2[[#Headers],[Grille Weight]],Table2[#Headers],0),0)</f>
        <v>0</v>
      </c>
      <c r="CA60" s="2">
        <f>VLOOKUP([jobnumber],OvalData[],MATCH(Table2[[#Headers],[barrelrings]],Table2[#Headers],0),0)</f>
        <v>1</v>
      </c>
    </row>
    <row r="61" spans="2:79">
      <c r="B61" s="2" t="str">
        <f>VLOOKUP([jobnumber],OvalData[],MATCH(Table2[[#Headers],[Hand]],Table2[#Headers],0),0)</f>
        <v>RH</v>
      </c>
      <c r="C61" s="2" t="str">
        <f>VLOOKUP([jobnumber],OvalData[],MATCH(Table2[[#Headers],[Model]],Table2[#Headers],0),0)</f>
        <v>SFMPP</v>
      </c>
      <c r="D61" s="2" t="str">
        <f>VLOOKUP([jobnumber],OvalData[],MATCH(Table2[[#Headers],[width]],Table2[#Headers],0),0)</f>
        <v xml:space="preserve"> 18 ft.- 2"</v>
      </c>
      <c r="E61" s="2" t="str">
        <f>VLOOKUP([jobnumber],OvalData[],MATCH(Table2[[#Headers],[stopheight]],Table2[#Headers],0),0)</f>
        <v xml:space="preserve"> 10 ft.- 0"</v>
      </c>
      <c r="F61" s="2" t="str">
        <f>VLOOKUP([jobnumber],OvalData[],MATCH(Table2[[#Headers],[Between Brackets]],Table2[#Headers],0),0)</f>
        <v xml:space="preserve"> 18 ft.- 7 7/ 8"</v>
      </c>
      <c r="G61" s="2" t="str">
        <f>VLOOKUP([jobnumber],OvalData[],MATCH(Table2[[#Headers],[shell]],Table2[#Headers],0),0)</f>
        <v>6 INCH TUBE</v>
      </c>
      <c r="H61" s="2" t="str">
        <f>VLOOKUP([jobnumber],OvalData[],MATCH(Table2[[#Headers],[pipewidth]],Table2[#Headers],0),0)</f>
        <v xml:space="preserve"> 18 ft.- 1 3/ 8"</v>
      </c>
      <c r="I61" s="2">
        <f>VLOOKUP([jobnumber],OvalData[],MATCH(Table2[[#Headers],[Support Tubes]],Table2[#Headers],0),0)</f>
        <v>0</v>
      </c>
      <c r="J61" s="2">
        <f>VLOOKUP([jobnumber],OvalData[],MATCH(Table2[[#Headers],[Upset]],Table2[#Headers],0),0)</f>
        <v>2</v>
      </c>
      <c r="K61" s="2" t="str">
        <f>VLOOKUP([jobnumber],OvalData[],MATCH(Table2[[#Headers],[Guide Type]],Table2[#Headers],0),0)</f>
        <v>SN2-4 5/8-E</v>
      </c>
      <c r="L61" s="2" t="str">
        <f>VLOOKUP([jobnumber],OvalData[],MATCH(Table2[[#Headers],[Wall Angle]],Table2[#Headers],0),0)</f>
        <v xml:space="preserve"> 11 ft.- 8"</v>
      </c>
      <c r="M61" s="2" t="str">
        <f>VLOOKUP([jobnumber],OvalData[],MATCH(Table2[[#Headers],[Middle Angle]],Table2[#Headers],0),0)</f>
        <v xml:space="preserve"> 10 ft.- 4 1/ 2"</v>
      </c>
      <c r="N61" s="2" t="str">
        <f>VLOOKUP([jobnumber],OvalData[],MATCH(Table2[[#Headers],[Front Angle]],Table2[#Headers],0),0)</f>
        <v xml:space="preserve"> 10 ft.- 3"</v>
      </c>
      <c r="O61" s="2">
        <f>VLOOKUP([jobnumber],OvalData[],MATCH(Table2[[#Headers],[Pipe Center Line]],Table2[#Headers],0),0)</f>
        <v>131</v>
      </c>
      <c r="P61" s="2">
        <f>VLOOKUP([jobnumber],OvalData[],MATCH(Table2[[#Headers],[Heat Expansion Gap]],Table2[#Headers],0),0)</f>
        <v>0</v>
      </c>
      <c r="Q61" s="2">
        <f>VLOOKUP([jobnumber],OvalData[],MATCH(Table2[[#Headers],[Hanging Weight Closed]],Table2[#Headers],0),0)</f>
        <v>795</v>
      </c>
      <c r="R61" s="2">
        <f>VLOOKUP([jobnumber],OvalData[],MATCH(Table2[[#Headers],[Hanging Weight Open]],Table2[#Headers],0),0)</f>
        <v>140</v>
      </c>
      <c r="S61" s="2">
        <f>VLOOKUP([jobnumber],OvalData[],MATCH(Table2[[#Headers],[Initial Lever Arm]],Table2[#Headers],0),0)</f>
        <v>4.25</v>
      </c>
      <c r="T61" s="2">
        <f>VLOOKUP([jobnumber],OvalData[],MATCH(Table2[[#Headers],[Turns to Raise]],Table2[#Headers],0),0)</f>
        <v>3.5859999999999999</v>
      </c>
      <c r="U61" s="2">
        <f>VLOOKUP([jobnumber],OvalData[],MATCH(Table2[[#Headers],[Final Lever Arm]],Table2[#Headers],0),0)</f>
        <v>6.37</v>
      </c>
      <c r="V61" s="2">
        <f>VLOOKUP([jobnumber],OvalData[],MATCH(Table2[[#Headers],[Torque Required Closed]],Table2[#Headers],0),0)</f>
        <v>3377.9</v>
      </c>
      <c r="W61" s="2">
        <f>VLOOKUP([jobnumber],OvalData[],MATCH(Table2[[#Headers],[Torque Required Open]],Table2[#Headers],0),0)</f>
        <v>892</v>
      </c>
      <c r="X61" s="2">
        <f>VLOOKUP([jobnumber],OvalData[],MATCH(Table2[[#Headers],[Pre Turns]],Table2[#Headers],0),0)</f>
        <v>1.3332999999999999</v>
      </c>
      <c r="Y61" s="2">
        <f>VLOOKUP([jobnumber],OvalData[],MATCH(Table2[[#Headers],[Required Torque Per Turn]],Table2[#Headers],0),0)</f>
        <v>688</v>
      </c>
      <c r="Z61" s="2">
        <f>VLOOKUP([jobnumber],OvalData[],MATCH(Table2[[#Headers],[Total Turns]],Table2[#Headers],0),0)</f>
        <v>4.91</v>
      </c>
      <c r="AA61" s="2">
        <f>VLOOKUP([jobnumber],OvalData[],MATCH(Table2[[#Headers],[Grille Vision Section]],Table2[#Headers],0),0)</f>
        <v>0</v>
      </c>
      <c r="AB61" s="2">
        <f>VLOOKUP([jobnumber],OvalData[],MATCH(Table2[[#Headers],[Grille Amount]],Table2[#Headers],0),0)</f>
        <v>0</v>
      </c>
      <c r="AC61" s="2">
        <f>VLOOKUP([jobnumber],OvalData[],MATCH(Table2[[#Headers],[Grille Center]],Table2[#Headers],0),0)</f>
        <v>0</v>
      </c>
      <c r="AD61" s="2">
        <f>VLOOKUP([jobnumber],OvalData[],MATCH(Table2[[#Headers],[Grille Pattern]],Table2[#Headers],0),0)</f>
        <v>0</v>
      </c>
      <c r="AE61" s="2">
        <f>VLOOKUP([jobnumber],OvalData[],MATCH(Table2[[#Headers],[Grille First Tube]],Table2[#Headers],0),0)</f>
        <v>0</v>
      </c>
      <c r="AF61" s="2">
        <f>VLOOKUP([jobnumber],OvalData[],MATCH(Table2[[#Headers],[Grille Standard Tube]],Table2[#Headers],0),0)</f>
        <v>0</v>
      </c>
      <c r="AG61" s="2">
        <f>VLOOKUP([jobnumber],OvalData[],MATCH(Table2[[#Headers],[Grille Total Links]],Table2[#Headers],0),0)</f>
        <v>0</v>
      </c>
      <c r="AH61" s="2">
        <f>VLOOKUP([jobnumber],OvalData[],MATCH(Table2[[#Headers],[Grille Rods]],Table2[#Headers],0),0)</f>
        <v>0</v>
      </c>
      <c r="AI61" s="2">
        <f>VLOOKUP([jobnumber],OvalData[],MATCH(Table2[[#Headers],[Grille Rod Length]],Table2[#Headers],0),0)</f>
        <v>0</v>
      </c>
      <c r="AJ61" s="2">
        <f>VLOOKUP([jobnumber],OvalData[],MATCH(Table2[[#Headers],[slattype]],Table2[#Headers],0),0)</f>
        <v>2</v>
      </c>
      <c r="AK61" s="2">
        <f>VLOOKUP([jobnumber],OvalData[],MATCH(Table2[[#Headers],[slatgage]],Table2[#Headers],0),0)</f>
        <v>18</v>
      </c>
      <c r="AL61" s="2">
        <f>VLOOKUP([jobnumber],OvalData[],MATCH(Table2[[#Headers],[Numer of Top Slats]],Table2[#Headers],0),0)</f>
        <v>0</v>
      </c>
      <c r="AM61" s="2">
        <f>VLOOKUP([jobnumber],OvalData[],MATCH(Table2[[#Headers],[Number of Bottom Slats]],Table2[#Headers],0),0)</f>
        <v>0</v>
      </c>
      <c r="AN61" s="2">
        <f>VLOOKUP([jobnumber],OvalData[],MATCH(Table2[[#Headers],[Solid Bottom Height]],Table2[#Headers],0),0)</f>
        <v>0</v>
      </c>
      <c r="AO61" s="2" t="str">
        <f>VLOOKUP([jobnumber],OvalData[],MATCH(Table2[[#Headers],[slatlength]],Table2[#Headers],0),0)</f>
        <v xml:space="preserve"> 18 ft.- 5 7/ 8"</v>
      </c>
      <c r="AP61" s="2">
        <f>VLOOKUP([jobnumber],OvalData[],MATCH(Table2[[#Headers],[Bottom Slat Length]],Table2[#Headers],0),0)</f>
        <v>0</v>
      </c>
      <c r="AQ61" s="2">
        <f>VLOOKUP([jobnumber],OvalData[],MATCH(Table2[[#Headers],[Number of Perferated Slats]],Table2[#Headers],0),0)</f>
        <v>0</v>
      </c>
      <c r="AR61" s="2">
        <f>VLOOKUP([jobnumber],OvalData[],MATCH(Table2[[#Headers],[First Preferated Slat From End]],Table2[#Headers],0),0)</f>
        <v>0</v>
      </c>
      <c r="AS61" s="2">
        <f>VLOOKUP([jobnumber],OvalData[],MATCH(Table2[[#Headers],[First Preferated Slat From Bottom]],Table2[#Headers],0),0)</f>
        <v>0</v>
      </c>
      <c r="AT61" s="2">
        <f>VLOOKUP([jobnumber],OvalData[],MATCH(Table2[[#Headers],[Total Number of Slats]],Table2[#Headers],0),0)</f>
        <v>51</v>
      </c>
      <c r="AU61" s="2">
        <f>VLOOKUP([jobnumber],OvalData[],MATCH(Table2[[#Headers],[Bottom Bar Slope]],Table2[#Headers],0),0)</f>
        <v>0</v>
      </c>
      <c r="AV61" s="2">
        <f>VLOOKUP([jobnumber],OvalData[],MATCH(Table2[[#Headers],[Bottom Bar Weight]],Table2[#Headers],0),0)</f>
        <v>80.5</v>
      </c>
      <c r="AW61" s="2" t="str">
        <f>VLOOKUP([jobnumber],OvalData[],MATCH(Table2[[#Headers],[Outer Spring Gage]],Table2[#Headers],0),0)</f>
        <v>Null</v>
      </c>
      <c r="AX61" s="2" t="str">
        <f>VLOOKUP([jobnumber],OvalData[],MATCH(Table2[[#Headers],[Outer Spring OD]],Table2[#Headers],0),0)</f>
        <v>Null</v>
      </c>
      <c r="AY61" s="2" t="str">
        <f>VLOOKUP([jobnumber],OvalData[],MATCH(Table2[[#Headers],[Outer Spring Length]],Table2[#Headers],0),0)</f>
        <v>Null</v>
      </c>
      <c r="AZ61" s="2" t="str">
        <f>VLOOKUP([jobnumber],OvalData[],MATCH(Table2[[#Headers],[Outer Spring Stretch]],Table2[#Headers],0),0)</f>
        <v>Null</v>
      </c>
      <c r="BA61" s="2" t="str">
        <f>VLOOKUP([jobnumber],OvalData[],MATCH(Table2[[#Headers],[Outer Spring Torque]],Table2[#Headers],0),0)</f>
        <v>Null</v>
      </c>
      <c r="BB61" s="2" t="str">
        <f>VLOOKUP([jobnumber],OvalData[],MATCH(Table2[[#Headers],[Outer Spring Max Turns]],Table2[#Headers],0),0)</f>
        <v>Null</v>
      </c>
      <c r="BC61" s="2" t="str">
        <f>VLOOKUP([jobnumber],OvalData[],MATCH(Table2[[#Headers],[Outer Spring Weight]],Table2[#Headers],0),0)</f>
        <v>Null</v>
      </c>
      <c r="BD61" s="2" t="str">
        <f>VLOOKUP([jobnumber],OvalData[],MATCH(Table2[[#Headers],[Inner Spring Gage]],Table2[#Headers],0),0)</f>
        <v>Null</v>
      </c>
      <c r="BE61" s="2" t="str">
        <f>VLOOKUP([jobnumber],OvalData[],MATCH(Table2[[#Headers],[Inner Spring OD]],Table2[#Headers],0),0)</f>
        <v>Null</v>
      </c>
      <c r="BF61" s="2" t="str">
        <f>VLOOKUP([jobnumber],OvalData[],MATCH(Table2[[#Headers],[Inner Spring Length]],Table2[#Headers],0),0)</f>
        <v>Null</v>
      </c>
      <c r="BG61" s="2" t="str">
        <f>VLOOKUP([jobnumber],OvalData[],MATCH(Table2[[#Headers],[Inner Spring Stretch]],Table2[#Headers],0),0)</f>
        <v>Null</v>
      </c>
      <c r="BH61" s="2" t="str">
        <f>VLOOKUP([jobnumber],OvalData[],MATCH(Table2[[#Headers],[Inner Spring Torque]],Table2[#Headers],0),0)</f>
        <v>Null</v>
      </c>
      <c r="BI61" s="2" t="str">
        <f>VLOOKUP([jobnumber],OvalData[],MATCH(Table2[[#Headers],[Inner Spring Max Turns]],Table2[#Headers],0),0)</f>
        <v>Null</v>
      </c>
      <c r="BJ61" s="2" t="str">
        <f>VLOOKUP([jobnumber],OvalData[],MATCH(Table2[[#Headers],[Inner Spring Weight]],Table2[#Headers],0),0)</f>
        <v>Null</v>
      </c>
      <c r="BK61" s="2">
        <f>VLOOKUP([jobnumber],OvalData[],MATCH(Table2[[#Headers],[Cycles]],Table2[#Headers],0),0)</f>
        <v>0</v>
      </c>
      <c r="BL61" s="2">
        <f>VLOOKUP([jobnumber],OvalData[],MATCH(Table2[[#Headers],[Total Spring Torque]],Table2[#Headers],0),0)</f>
        <v>0</v>
      </c>
      <c r="BM61" s="2">
        <f>VLOOKUP([jobnumber],OvalData[],MATCH(Table2[[#Headers],[Total Spring Weight]],Table2[#Headers],0),0)</f>
        <v>0</v>
      </c>
      <c r="BN61" s="2">
        <f>VLOOKUP([jobnumber],OvalData[],MATCH(Table2[[#Headers],[Pipe Weight]],Table2[#Headers],0),0)</f>
        <v>688.24239999999998</v>
      </c>
      <c r="BO61" s="2">
        <f>VLOOKUP([jobnumber],OvalData[],MATCH(Table2[[#Headers],[Max Pipe Deflection]],Table2[#Headers],0),0)</f>
        <v>2309</v>
      </c>
      <c r="BP61" s="2">
        <f>VLOOKUP([jobnumber],OvalData[],MATCH(Table2[[#Headers],[Number Non-Insulated Wrap Slats]],Table2[#Headers],0),0)</f>
        <v>0</v>
      </c>
      <c r="BQ61" s="2">
        <f>VLOOKUP([jobnumber],OvalData[],MATCH(Table2[[#Headers],[Number of Insolated Top Slats]],Table2[#Headers],0),0)</f>
        <v>45</v>
      </c>
      <c r="BR61" s="2">
        <f>VLOOKUP([jobnumber],OvalData[],MATCH(Table2[[#Headers],[Insolated Total Slats]],Table2[#Headers],0),0)</f>
        <v>45</v>
      </c>
      <c r="BS61" s="2">
        <f>VLOOKUP([jobnumber],OvalData[],MATCH(Table2[[#Headers],[Number of Slats]],Table2[#Headers],0),0)</f>
        <v>44.69</v>
      </c>
      <c r="BT61" s="2">
        <f>VLOOKUP([jobnumber],OvalData[],MATCH(Table2[[#Headers],[Wrap]],Table2[#Headers],0),0)</f>
        <v>0</v>
      </c>
      <c r="BU61" s="2">
        <f>VLOOKUP([jobnumber],OvalData[],MATCH(Table2[[#Headers],[Wall Angle Thickness]],Table2[#Headers],0),0)</f>
        <v>0</v>
      </c>
      <c r="BV61" s="2">
        <f>VLOOKUP([jobnumber],OvalData[],MATCH(Table2[[#Headers],[windlocks]],Table2[#Headers],0),0)</f>
        <v>0</v>
      </c>
      <c r="BW61" s="2" t="str">
        <f>VLOOKUP([jobnumber],OvalData[],MATCH(Table2[[#Headers],[bottombartype]],Table2[#Headers],0),0)</f>
        <v>SPECIAL</v>
      </c>
      <c r="BX61" s="2">
        <f>VLOOKUP([jobnumber],OvalData[],MATCH(Table2[[#Headers],[endlockweight]],Table2[#Headers],0),0)</f>
        <v>0.17</v>
      </c>
      <c r="BY61" s="2">
        <f>VLOOKUP([jobnumber],OvalData[],MATCH(Table2[[#Headers],[Endlock Total Weight]],Table2[#Headers],0),0)</f>
        <v>7.5972999999999997</v>
      </c>
      <c r="BZ61" s="2">
        <f>VLOOKUP([jobnumber],OvalData[],MATCH(Table2[[#Headers],[Grille Weight]],Table2[#Headers],0),0)</f>
        <v>0</v>
      </c>
      <c r="CA61" s="2">
        <f>VLOOKUP([jobnumber],OvalData[],MATCH(Table2[[#Headers],[barrelrings]],Table2[#Headers],0),0)</f>
        <v>1</v>
      </c>
    </row>
    <row r="62" spans="2:79">
      <c r="B62" s="2" t="str">
        <f>VLOOKUP([jobnumber],OvalData[],MATCH(Table2[[#Headers],[Hand]],Table2[#Headers],0),0)</f>
        <v>RH</v>
      </c>
      <c r="C62" s="2" t="str">
        <f>VLOOKUP([jobnumber],OvalData[],MATCH(Table2[[#Headers],[Model]],Table2[#Headers],0),0)</f>
        <v>SFMPP</v>
      </c>
      <c r="D62" s="2" t="str">
        <f>VLOOKUP([jobnumber],OvalData[],MATCH(Table2[[#Headers],[width]],Table2[#Headers],0),0)</f>
        <v xml:space="preserve"> 18 ft.- 2"</v>
      </c>
      <c r="E62" s="2" t="str">
        <f>VLOOKUP([jobnumber],OvalData[],MATCH(Table2[[#Headers],[stopheight]],Table2[#Headers],0),0)</f>
        <v xml:space="preserve"> 10 ft.- 0"</v>
      </c>
      <c r="F62" s="2" t="str">
        <f>VLOOKUP([jobnumber],OvalData[],MATCH(Table2[[#Headers],[Between Brackets]],Table2[#Headers],0),0)</f>
        <v xml:space="preserve"> 18 ft.- 7 7/ 8"</v>
      </c>
      <c r="G62" s="2" t="str">
        <f>VLOOKUP([jobnumber],OvalData[],MATCH(Table2[[#Headers],[shell]],Table2[#Headers],0),0)</f>
        <v>6 INCH TUBE</v>
      </c>
      <c r="H62" s="2" t="str">
        <f>VLOOKUP([jobnumber],OvalData[],MATCH(Table2[[#Headers],[pipewidth]],Table2[#Headers],0),0)</f>
        <v xml:space="preserve"> 18 ft.- 1 3/ 8"</v>
      </c>
      <c r="I62" s="2">
        <f>VLOOKUP([jobnumber],OvalData[],MATCH(Table2[[#Headers],[Support Tubes]],Table2[#Headers],0),0)</f>
        <v>0</v>
      </c>
      <c r="J62" s="2">
        <f>VLOOKUP([jobnumber],OvalData[],MATCH(Table2[[#Headers],[Upset]],Table2[#Headers],0),0)</f>
        <v>2</v>
      </c>
      <c r="K62" s="2" t="str">
        <f>VLOOKUP([jobnumber],OvalData[],MATCH(Table2[[#Headers],[Guide Type]],Table2[#Headers],0),0)</f>
        <v>SN2-4 5/8-E</v>
      </c>
      <c r="L62" s="2" t="str">
        <f>VLOOKUP([jobnumber],OvalData[],MATCH(Table2[[#Headers],[Wall Angle]],Table2[#Headers],0),0)</f>
        <v xml:space="preserve"> 11 ft.- 8"</v>
      </c>
      <c r="M62" s="2" t="str">
        <f>VLOOKUP([jobnumber],OvalData[],MATCH(Table2[[#Headers],[Middle Angle]],Table2[#Headers],0),0)</f>
        <v xml:space="preserve"> 10 ft.- 4 1/ 2"</v>
      </c>
      <c r="N62" s="2" t="str">
        <f>VLOOKUP([jobnumber],OvalData[],MATCH(Table2[[#Headers],[Front Angle]],Table2[#Headers],0),0)</f>
        <v xml:space="preserve"> 10 ft.- 3"</v>
      </c>
      <c r="O62" s="2">
        <f>VLOOKUP([jobnumber],OvalData[],MATCH(Table2[[#Headers],[Pipe Center Line]],Table2[#Headers],0),0)</f>
        <v>131</v>
      </c>
      <c r="P62" s="2">
        <f>VLOOKUP([jobnumber],OvalData[],MATCH(Table2[[#Headers],[Heat Expansion Gap]],Table2[#Headers],0),0)</f>
        <v>0</v>
      </c>
      <c r="Q62" s="2">
        <f>VLOOKUP([jobnumber],OvalData[],MATCH(Table2[[#Headers],[Hanging Weight Closed]],Table2[#Headers],0),0)</f>
        <v>795</v>
      </c>
      <c r="R62" s="2">
        <f>VLOOKUP([jobnumber],OvalData[],MATCH(Table2[[#Headers],[Hanging Weight Open]],Table2[#Headers],0),0)</f>
        <v>140</v>
      </c>
      <c r="S62" s="2">
        <f>VLOOKUP([jobnumber],OvalData[],MATCH(Table2[[#Headers],[Initial Lever Arm]],Table2[#Headers],0),0)</f>
        <v>4.25</v>
      </c>
      <c r="T62" s="2">
        <f>VLOOKUP([jobnumber],OvalData[],MATCH(Table2[[#Headers],[Turns to Raise]],Table2[#Headers],0),0)</f>
        <v>3.5859999999999999</v>
      </c>
      <c r="U62" s="2">
        <f>VLOOKUP([jobnumber],OvalData[],MATCH(Table2[[#Headers],[Final Lever Arm]],Table2[#Headers],0),0)</f>
        <v>6.37</v>
      </c>
      <c r="V62" s="2">
        <f>VLOOKUP([jobnumber],OvalData[],MATCH(Table2[[#Headers],[Torque Required Closed]],Table2[#Headers],0),0)</f>
        <v>3377.9</v>
      </c>
      <c r="W62" s="2">
        <f>VLOOKUP([jobnumber],OvalData[],MATCH(Table2[[#Headers],[Torque Required Open]],Table2[#Headers],0),0)</f>
        <v>892</v>
      </c>
      <c r="X62" s="2">
        <f>VLOOKUP([jobnumber],OvalData[],MATCH(Table2[[#Headers],[Pre Turns]],Table2[#Headers],0),0)</f>
        <v>1.3332999999999999</v>
      </c>
      <c r="Y62" s="2">
        <f>VLOOKUP([jobnumber],OvalData[],MATCH(Table2[[#Headers],[Required Torque Per Turn]],Table2[#Headers],0),0)</f>
        <v>688</v>
      </c>
      <c r="Z62" s="2">
        <f>VLOOKUP([jobnumber],OvalData[],MATCH(Table2[[#Headers],[Total Turns]],Table2[#Headers],0),0)</f>
        <v>4.91</v>
      </c>
      <c r="AA62" s="2">
        <f>VLOOKUP([jobnumber],OvalData[],MATCH(Table2[[#Headers],[Grille Vision Section]],Table2[#Headers],0),0)</f>
        <v>0</v>
      </c>
      <c r="AB62" s="2">
        <f>VLOOKUP([jobnumber],OvalData[],MATCH(Table2[[#Headers],[Grille Amount]],Table2[#Headers],0),0)</f>
        <v>0</v>
      </c>
      <c r="AC62" s="2">
        <f>VLOOKUP([jobnumber],OvalData[],MATCH(Table2[[#Headers],[Grille Center]],Table2[#Headers],0),0)</f>
        <v>0</v>
      </c>
      <c r="AD62" s="2">
        <f>VLOOKUP([jobnumber],OvalData[],MATCH(Table2[[#Headers],[Grille Pattern]],Table2[#Headers],0),0)</f>
        <v>0</v>
      </c>
      <c r="AE62" s="2">
        <f>VLOOKUP([jobnumber],OvalData[],MATCH(Table2[[#Headers],[Grille First Tube]],Table2[#Headers],0),0)</f>
        <v>0</v>
      </c>
      <c r="AF62" s="2">
        <f>VLOOKUP([jobnumber],OvalData[],MATCH(Table2[[#Headers],[Grille Standard Tube]],Table2[#Headers],0),0)</f>
        <v>0</v>
      </c>
      <c r="AG62" s="2">
        <f>VLOOKUP([jobnumber],OvalData[],MATCH(Table2[[#Headers],[Grille Total Links]],Table2[#Headers],0),0)</f>
        <v>0</v>
      </c>
      <c r="AH62" s="2">
        <f>VLOOKUP([jobnumber],OvalData[],MATCH(Table2[[#Headers],[Grille Rods]],Table2[#Headers],0),0)</f>
        <v>0</v>
      </c>
      <c r="AI62" s="2">
        <f>VLOOKUP([jobnumber],OvalData[],MATCH(Table2[[#Headers],[Grille Rod Length]],Table2[#Headers],0),0)</f>
        <v>0</v>
      </c>
      <c r="AJ62" s="2">
        <f>VLOOKUP([jobnumber],OvalData[],MATCH(Table2[[#Headers],[slattype]],Table2[#Headers],0),0)</f>
        <v>2</v>
      </c>
      <c r="AK62" s="2">
        <f>VLOOKUP([jobnumber],OvalData[],MATCH(Table2[[#Headers],[slatgage]],Table2[#Headers],0),0)</f>
        <v>18</v>
      </c>
      <c r="AL62" s="2">
        <f>VLOOKUP([jobnumber],OvalData[],MATCH(Table2[[#Headers],[Numer of Top Slats]],Table2[#Headers],0),0)</f>
        <v>0</v>
      </c>
      <c r="AM62" s="2">
        <f>VLOOKUP([jobnumber],OvalData[],MATCH(Table2[[#Headers],[Number of Bottom Slats]],Table2[#Headers],0),0)</f>
        <v>0</v>
      </c>
      <c r="AN62" s="2">
        <f>VLOOKUP([jobnumber],OvalData[],MATCH(Table2[[#Headers],[Solid Bottom Height]],Table2[#Headers],0),0)</f>
        <v>0</v>
      </c>
      <c r="AO62" s="2" t="str">
        <f>VLOOKUP([jobnumber],OvalData[],MATCH(Table2[[#Headers],[slatlength]],Table2[#Headers],0),0)</f>
        <v xml:space="preserve"> 18 ft.- 5 7/ 8"</v>
      </c>
      <c r="AP62" s="2">
        <f>VLOOKUP([jobnumber],OvalData[],MATCH(Table2[[#Headers],[Bottom Slat Length]],Table2[#Headers],0),0)</f>
        <v>0</v>
      </c>
      <c r="AQ62" s="2">
        <f>VLOOKUP([jobnumber],OvalData[],MATCH(Table2[[#Headers],[Number of Perferated Slats]],Table2[#Headers],0),0)</f>
        <v>0</v>
      </c>
      <c r="AR62" s="2">
        <f>VLOOKUP([jobnumber],OvalData[],MATCH(Table2[[#Headers],[First Preferated Slat From End]],Table2[#Headers],0),0)</f>
        <v>0</v>
      </c>
      <c r="AS62" s="2">
        <f>VLOOKUP([jobnumber],OvalData[],MATCH(Table2[[#Headers],[First Preferated Slat From Bottom]],Table2[#Headers],0),0)</f>
        <v>0</v>
      </c>
      <c r="AT62" s="2">
        <f>VLOOKUP([jobnumber],OvalData[],MATCH(Table2[[#Headers],[Total Number of Slats]],Table2[#Headers],0),0)</f>
        <v>51</v>
      </c>
      <c r="AU62" s="2">
        <f>VLOOKUP([jobnumber],OvalData[],MATCH(Table2[[#Headers],[Bottom Bar Slope]],Table2[#Headers],0),0)</f>
        <v>0</v>
      </c>
      <c r="AV62" s="2">
        <f>VLOOKUP([jobnumber],OvalData[],MATCH(Table2[[#Headers],[Bottom Bar Weight]],Table2[#Headers],0),0)</f>
        <v>80.5</v>
      </c>
      <c r="AW62" s="2" t="str">
        <f>VLOOKUP([jobnumber],OvalData[],MATCH(Table2[[#Headers],[Outer Spring Gage]],Table2[#Headers],0),0)</f>
        <v>Null</v>
      </c>
      <c r="AX62" s="2" t="str">
        <f>VLOOKUP([jobnumber],OvalData[],MATCH(Table2[[#Headers],[Outer Spring OD]],Table2[#Headers],0),0)</f>
        <v>Null</v>
      </c>
      <c r="AY62" s="2" t="str">
        <f>VLOOKUP([jobnumber],OvalData[],MATCH(Table2[[#Headers],[Outer Spring Length]],Table2[#Headers],0),0)</f>
        <v>Null</v>
      </c>
      <c r="AZ62" s="2" t="str">
        <f>VLOOKUP([jobnumber],OvalData[],MATCH(Table2[[#Headers],[Outer Spring Stretch]],Table2[#Headers],0),0)</f>
        <v>Null</v>
      </c>
      <c r="BA62" s="2" t="str">
        <f>VLOOKUP([jobnumber],OvalData[],MATCH(Table2[[#Headers],[Outer Spring Torque]],Table2[#Headers],0),0)</f>
        <v>Null</v>
      </c>
      <c r="BB62" s="2" t="str">
        <f>VLOOKUP([jobnumber],OvalData[],MATCH(Table2[[#Headers],[Outer Spring Max Turns]],Table2[#Headers],0),0)</f>
        <v>Null</v>
      </c>
      <c r="BC62" s="2" t="str">
        <f>VLOOKUP([jobnumber],OvalData[],MATCH(Table2[[#Headers],[Outer Spring Weight]],Table2[#Headers],0),0)</f>
        <v>Null</v>
      </c>
      <c r="BD62" s="2" t="str">
        <f>VLOOKUP([jobnumber],OvalData[],MATCH(Table2[[#Headers],[Inner Spring Gage]],Table2[#Headers],0),0)</f>
        <v>Null</v>
      </c>
      <c r="BE62" s="2" t="str">
        <f>VLOOKUP([jobnumber],OvalData[],MATCH(Table2[[#Headers],[Inner Spring OD]],Table2[#Headers],0),0)</f>
        <v>Null</v>
      </c>
      <c r="BF62" s="2" t="str">
        <f>VLOOKUP([jobnumber],OvalData[],MATCH(Table2[[#Headers],[Inner Spring Length]],Table2[#Headers],0),0)</f>
        <v>Null</v>
      </c>
      <c r="BG62" s="2" t="str">
        <f>VLOOKUP([jobnumber],OvalData[],MATCH(Table2[[#Headers],[Inner Spring Stretch]],Table2[#Headers],0),0)</f>
        <v>Null</v>
      </c>
      <c r="BH62" s="2" t="str">
        <f>VLOOKUP([jobnumber],OvalData[],MATCH(Table2[[#Headers],[Inner Spring Torque]],Table2[#Headers],0),0)</f>
        <v>Null</v>
      </c>
      <c r="BI62" s="2" t="str">
        <f>VLOOKUP([jobnumber],OvalData[],MATCH(Table2[[#Headers],[Inner Spring Max Turns]],Table2[#Headers],0),0)</f>
        <v>Null</v>
      </c>
      <c r="BJ62" s="2" t="str">
        <f>VLOOKUP([jobnumber],OvalData[],MATCH(Table2[[#Headers],[Inner Spring Weight]],Table2[#Headers],0),0)</f>
        <v>Null</v>
      </c>
      <c r="BK62" s="2">
        <f>VLOOKUP([jobnumber],OvalData[],MATCH(Table2[[#Headers],[Cycles]],Table2[#Headers],0),0)</f>
        <v>0</v>
      </c>
      <c r="BL62" s="2">
        <f>VLOOKUP([jobnumber],OvalData[],MATCH(Table2[[#Headers],[Total Spring Torque]],Table2[#Headers],0),0)</f>
        <v>0</v>
      </c>
      <c r="BM62" s="2">
        <f>VLOOKUP([jobnumber],OvalData[],MATCH(Table2[[#Headers],[Total Spring Weight]],Table2[#Headers],0),0)</f>
        <v>0</v>
      </c>
      <c r="BN62" s="2">
        <f>VLOOKUP([jobnumber],OvalData[],MATCH(Table2[[#Headers],[Pipe Weight]],Table2[#Headers],0),0)</f>
        <v>688.24239999999998</v>
      </c>
      <c r="BO62" s="2">
        <f>VLOOKUP([jobnumber],OvalData[],MATCH(Table2[[#Headers],[Max Pipe Deflection]],Table2[#Headers],0),0)</f>
        <v>2309</v>
      </c>
      <c r="BP62" s="2">
        <f>VLOOKUP([jobnumber],OvalData[],MATCH(Table2[[#Headers],[Number Non-Insulated Wrap Slats]],Table2[#Headers],0),0)</f>
        <v>0</v>
      </c>
      <c r="BQ62" s="2">
        <f>VLOOKUP([jobnumber],OvalData[],MATCH(Table2[[#Headers],[Number of Insolated Top Slats]],Table2[#Headers],0),0)</f>
        <v>45</v>
      </c>
      <c r="BR62" s="2">
        <f>VLOOKUP([jobnumber],OvalData[],MATCH(Table2[[#Headers],[Insolated Total Slats]],Table2[#Headers],0),0)</f>
        <v>45</v>
      </c>
      <c r="BS62" s="2">
        <f>VLOOKUP([jobnumber],OvalData[],MATCH(Table2[[#Headers],[Number of Slats]],Table2[#Headers],0),0)</f>
        <v>44.69</v>
      </c>
      <c r="BT62" s="2">
        <f>VLOOKUP([jobnumber],OvalData[],MATCH(Table2[[#Headers],[Wrap]],Table2[#Headers],0),0)</f>
        <v>0</v>
      </c>
      <c r="BU62" s="2">
        <f>VLOOKUP([jobnumber],OvalData[],MATCH(Table2[[#Headers],[Wall Angle Thickness]],Table2[#Headers],0),0)</f>
        <v>0</v>
      </c>
      <c r="BV62" s="2">
        <f>VLOOKUP([jobnumber],OvalData[],MATCH(Table2[[#Headers],[windlocks]],Table2[#Headers],0),0)</f>
        <v>0</v>
      </c>
      <c r="BW62" s="2" t="str">
        <f>VLOOKUP([jobnumber],OvalData[],MATCH(Table2[[#Headers],[bottombartype]],Table2[#Headers],0),0)</f>
        <v>SPECIAL</v>
      </c>
      <c r="BX62" s="2">
        <f>VLOOKUP([jobnumber],OvalData[],MATCH(Table2[[#Headers],[endlockweight]],Table2[#Headers],0),0)</f>
        <v>0.17</v>
      </c>
      <c r="BY62" s="2">
        <f>VLOOKUP([jobnumber],OvalData[],MATCH(Table2[[#Headers],[Endlock Total Weight]],Table2[#Headers],0),0)</f>
        <v>7.5972999999999997</v>
      </c>
      <c r="BZ62" s="2">
        <f>VLOOKUP([jobnumber],OvalData[],MATCH(Table2[[#Headers],[Grille Weight]],Table2[#Headers],0),0)</f>
        <v>0</v>
      </c>
      <c r="CA62" s="2">
        <f>VLOOKUP([jobnumber],OvalData[],MATCH(Table2[[#Headers],[barrelrings]],Table2[#Headers],0),0)</f>
        <v>1</v>
      </c>
    </row>
    <row r="63" spans="2:79">
      <c r="B63" s="2" t="str">
        <f>VLOOKUP([jobnumber],OvalData[],MATCH(Table2[[#Headers],[Hand]],Table2[#Headers],0),0)</f>
        <v>RH</v>
      </c>
      <c r="C63" s="2" t="str">
        <f>VLOOKUP([jobnumber],OvalData[],MATCH(Table2[[#Headers],[Model]],Table2[#Headers],0),0)</f>
        <v>SFMPP</v>
      </c>
      <c r="D63" s="2" t="str">
        <f>VLOOKUP([jobnumber],OvalData[],MATCH(Table2[[#Headers],[width]],Table2[#Headers],0),0)</f>
        <v xml:space="preserve"> 18 ft.- 2"</v>
      </c>
      <c r="E63" s="2" t="str">
        <f>VLOOKUP([jobnumber],OvalData[],MATCH(Table2[[#Headers],[stopheight]],Table2[#Headers],0),0)</f>
        <v xml:space="preserve"> 10 ft.- 0"</v>
      </c>
      <c r="F63" s="2" t="str">
        <f>VLOOKUP([jobnumber],OvalData[],MATCH(Table2[[#Headers],[Between Brackets]],Table2[#Headers],0),0)</f>
        <v xml:space="preserve"> 18 ft.- 7 7/ 8"</v>
      </c>
      <c r="G63" s="2" t="str">
        <f>VLOOKUP([jobnumber],OvalData[],MATCH(Table2[[#Headers],[shell]],Table2[#Headers],0),0)</f>
        <v>6 INCH TUBE</v>
      </c>
      <c r="H63" s="2" t="str">
        <f>VLOOKUP([jobnumber],OvalData[],MATCH(Table2[[#Headers],[pipewidth]],Table2[#Headers],0),0)</f>
        <v xml:space="preserve"> 18 ft.- 1 3/ 8"</v>
      </c>
      <c r="I63" s="2">
        <f>VLOOKUP([jobnumber],OvalData[],MATCH(Table2[[#Headers],[Support Tubes]],Table2[#Headers],0),0)</f>
        <v>0</v>
      </c>
      <c r="J63" s="2">
        <f>VLOOKUP([jobnumber],OvalData[],MATCH(Table2[[#Headers],[Upset]],Table2[#Headers],0),0)</f>
        <v>2</v>
      </c>
      <c r="K63" s="2" t="str">
        <f>VLOOKUP([jobnumber],OvalData[],MATCH(Table2[[#Headers],[Guide Type]],Table2[#Headers],0),0)</f>
        <v>SN2-4 5/8-E</v>
      </c>
      <c r="L63" s="2" t="str">
        <f>VLOOKUP([jobnumber],OvalData[],MATCH(Table2[[#Headers],[Wall Angle]],Table2[#Headers],0),0)</f>
        <v xml:space="preserve"> 11 ft.- 8"</v>
      </c>
      <c r="M63" s="2" t="str">
        <f>VLOOKUP([jobnumber],OvalData[],MATCH(Table2[[#Headers],[Middle Angle]],Table2[#Headers],0),0)</f>
        <v xml:space="preserve"> 10 ft.- 4 1/ 2"</v>
      </c>
      <c r="N63" s="2" t="str">
        <f>VLOOKUP([jobnumber],OvalData[],MATCH(Table2[[#Headers],[Front Angle]],Table2[#Headers],0),0)</f>
        <v xml:space="preserve"> 10 ft.- 3"</v>
      </c>
      <c r="O63" s="2">
        <f>VLOOKUP([jobnumber],OvalData[],MATCH(Table2[[#Headers],[Pipe Center Line]],Table2[#Headers],0),0)</f>
        <v>131</v>
      </c>
      <c r="P63" s="2">
        <f>VLOOKUP([jobnumber],OvalData[],MATCH(Table2[[#Headers],[Heat Expansion Gap]],Table2[#Headers],0),0)</f>
        <v>0</v>
      </c>
      <c r="Q63" s="2">
        <f>VLOOKUP([jobnumber],OvalData[],MATCH(Table2[[#Headers],[Hanging Weight Closed]],Table2[#Headers],0),0)</f>
        <v>795</v>
      </c>
      <c r="R63" s="2">
        <f>VLOOKUP([jobnumber],OvalData[],MATCH(Table2[[#Headers],[Hanging Weight Open]],Table2[#Headers],0),0)</f>
        <v>140</v>
      </c>
      <c r="S63" s="2">
        <f>VLOOKUP([jobnumber],OvalData[],MATCH(Table2[[#Headers],[Initial Lever Arm]],Table2[#Headers],0),0)</f>
        <v>4.25</v>
      </c>
      <c r="T63" s="2">
        <f>VLOOKUP([jobnumber],OvalData[],MATCH(Table2[[#Headers],[Turns to Raise]],Table2[#Headers],0),0)</f>
        <v>3.5859999999999999</v>
      </c>
      <c r="U63" s="2">
        <f>VLOOKUP([jobnumber],OvalData[],MATCH(Table2[[#Headers],[Final Lever Arm]],Table2[#Headers],0),0)</f>
        <v>6.37</v>
      </c>
      <c r="V63" s="2">
        <f>VLOOKUP([jobnumber],OvalData[],MATCH(Table2[[#Headers],[Torque Required Closed]],Table2[#Headers],0),0)</f>
        <v>3377.9</v>
      </c>
      <c r="W63" s="2">
        <f>VLOOKUP([jobnumber],OvalData[],MATCH(Table2[[#Headers],[Torque Required Open]],Table2[#Headers],0),0)</f>
        <v>892</v>
      </c>
      <c r="X63" s="2">
        <f>VLOOKUP([jobnumber],OvalData[],MATCH(Table2[[#Headers],[Pre Turns]],Table2[#Headers],0),0)</f>
        <v>1.3332999999999999</v>
      </c>
      <c r="Y63" s="2">
        <f>VLOOKUP([jobnumber],OvalData[],MATCH(Table2[[#Headers],[Required Torque Per Turn]],Table2[#Headers],0),0)</f>
        <v>688</v>
      </c>
      <c r="Z63" s="2">
        <f>VLOOKUP([jobnumber],OvalData[],MATCH(Table2[[#Headers],[Total Turns]],Table2[#Headers],0),0)</f>
        <v>4.91</v>
      </c>
      <c r="AA63" s="2">
        <f>VLOOKUP([jobnumber],OvalData[],MATCH(Table2[[#Headers],[Grille Vision Section]],Table2[#Headers],0),0)</f>
        <v>0</v>
      </c>
      <c r="AB63" s="2">
        <f>VLOOKUP([jobnumber],OvalData[],MATCH(Table2[[#Headers],[Grille Amount]],Table2[#Headers],0),0)</f>
        <v>0</v>
      </c>
      <c r="AC63" s="2">
        <f>VLOOKUP([jobnumber],OvalData[],MATCH(Table2[[#Headers],[Grille Center]],Table2[#Headers],0),0)</f>
        <v>0</v>
      </c>
      <c r="AD63" s="2">
        <f>VLOOKUP([jobnumber],OvalData[],MATCH(Table2[[#Headers],[Grille Pattern]],Table2[#Headers],0),0)</f>
        <v>0</v>
      </c>
      <c r="AE63" s="2">
        <f>VLOOKUP([jobnumber],OvalData[],MATCH(Table2[[#Headers],[Grille First Tube]],Table2[#Headers],0),0)</f>
        <v>0</v>
      </c>
      <c r="AF63" s="2">
        <f>VLOOKUP([jobnumber],OvalData[],MATCH(Table2[[#Headers],[Grille Standard Tube]],Table2[#Headers],0),0)</f>
        <v>0</v>
      </c>
      <c r="AG63" s="2">
        <f>VLOOKUP([jobnumber],OvalData[],MATCH(Table2[[#Headers],[Grille Total Links]],Table2[#Headers],0),0)</f>
        <v>0</v>
      </c>
      <c r="AH63" s="2">
        <f>VLOOKUP([jobnumber],OvalData[],MATCH(Table2[[#Headers],[Grille Rods]],Table2[#Headers],0),0)</f>
        <v>0</v>
      </c>
      <c r="AI63" s="2">
        <f>VLOOKUP([jobnumber],OvalData[],MATCH(Table2[[#Headers],[Grille Rod Length]],Table2[#Headers],0),0)</f>
        <v>0</v>
      </c>
      <c r="AJ63" s="2">
        <f>VLOOKUP([jobnumber],OvalData[],MATCH(Table2[[#Headers],[slattype]],Table2[#Headers],0),0)</f>
        <v>2</v>
      </c>
      <c r="AK63" s="2">
        <f>VLOOKUP([jobnumber],OvalData[],MATCH(Table2[[#Headers],[slatgage]],Table2[#Headers],0),0)</f>
        <v>18</v>
      </c>
      <c r="AL63" s="2">
        <f>VLOOKUP([jobnumber],OvalData[],MATCH(Table2[[#Headers],[Numer of Top Slats]],Table2[#Headers],0),0)</f>
        <v>0</v>
      </c>
      <c r="AM63" s="2">
        <f>VLOOKUP([jobnumber],OvalData[],MATCH(Table2[[#Headers],[Number of Bottom Slats]],Table2[#Headers],0),0)</f>
        <v>0</v>
      </c>
      <c r="AN63" s="2">
        <f>VLOOKUP([jobnumber],OvalData[],MATCH(Table2[[#Headers],[Solid Bottom Height]],Table2[#Headers],0),0)</f>
        <v>0</v>
      </c>
      <c r="AO63" s="2" t="str">
        <f>VLOOKUP([jobnumber],OvalData[],MATCH(Table2[[#Headers],[slatlength]],Table2[#Headers],0),0)</f>
        <v xml:space="preserve"> 18 ft.- 5 7/ 8"</v>
      </c>
      <c r="AP63" s="2">
        <f>VLOOKUP([jobnumber],OvalData[],MATCH(Table2[[#Headers],[Bottom Slat Length]],Table2[#Headers],0),0)</f>
        <v>0</v>
      </c>
      <c r="AQ63" s="2">
        <f>VLOOKUP([jobnumber],OvalData[],MATCH(Table2[[#Headers],[Number of Perferated Slats]],Table2[#Headers],0),0)</f>
        <v>0</v>
      </c>
      <c r="AR63" s="2">
        <f>VLOOKUP([jobnumber],OvalData[],MATCH(Table2[[#Headers],[First Preferated Slat From End]],Table2[#Headers],0),0)</f>
        <v>0</v>
      </c>
      <c r="AS63" s="2">
        <f>VLOOKUP([jobnumber],OvalData[],MATCH(Table2[[#Headers],[First Preferated Slat From Bottom]],Table2[#Headers],0),0)</f>
        <v>0</v>
      </c>
      <c r="AT63" s="2">
        <f>VLOOKUP([jobnumber],OvalData[],MATCH(Table2[[#Headers],[Total Number of Slats]],Table2[#Headers],0),0)</f>
        <v>51</v>
      </c>
      <c r="AU63" s="2">
        <f>VLOOKUP([jobnumber],OvalData[],MATCH(Table2[[#Headers],[Bottom Bar Slope]],Table2[#Headers],0),0)</f>
        <v>0</v>
      </c>
      <c r="AV63" s="2">
        <f>VLOOKUP([jobnumber],OvalData[],MATCH(Table2[[#Headers],[Bottom Bar Weight]],Table2[#Headers],0),0)</f>
        <v>80.5</v>
      </c>
      <c r="AW63" s="2" t="str">
        <f>VLOOKUP([jobnumber],OvalData[],MATCH(Table2[[#Headers],[Outer Spring Gage]],Table2[#Headers],0),0)</f>
        <v>Null</v>
      </c>
      <c r="AX63" s="2" t="str">
        <f>VLOOKUP([jobnumber],OvalData[],MATCH(Table2[[#Headers],[Outer Spring OD]],Table2[#Headers],0),0)</f>
        <v>Null</v>
      </c>
      <c r="AY63" s="2" t="str">
        <f>VLOOKUP([jobnumber],OvalData[],MATCH(Table2[[#Headers],[Outer Spring Length]],Table2[#Headers],0),0)</f>
        <v>Null</v>
      </c>
      <c r="AZ63" s="2" t="str">
        <f>VLOOKUP([jobnumber],OvalData[],MATCH(Table2[[#Headers],[Outer Spring Stretch]],Table2[#Headers],0),0)</f>
        <v>Null</v>
      </c>
      <c r="BA63" s="2" t="str">
        <f>VLOOKUP([jobnumber],OvalData[],MATCH(Table2[[#Headers],[Outer Spring Torque]],Table2[#Headers],0),0)</f>
        <v>Null</v>
      </c>
      <c r="BB63" s="2" t="str">
        <f>VLOOKUP([jobnumber],OvalData[],MATCH(Table2[[#Headers],[Outer Spring Max Turns]],Table2[#Headers],0),0)</f>
        <v>Null</v>
      </c>
      <c r="BC63" s="2" t="str">
        <f>VLOOKUP([jobnumber],OvalData[],MATCH(Table2[[#Headers],[Outer Spring Weight]],Table2[#Headers],0),0)</f>
        <v>Null</v>
      </c>
      <c r="BD63" s="2" t="str">
        <f>VLOOKUP([jobnumber],OvalData[],MATCH(Table2[[#Headers],[Inner Spring Gage]],Table2[#Headers],0),0)</f>
        <v>Null</v>
      </c>
      <c r="BE63" s="2" t="str">
        <f>VLOOKUP([jobnumber],OvalData[],MATCH(Table2[[#Headers],[Inner Spring OD]],Table2[#Headers],0),0)</f>
        <v>Null</v>
      </c>
      <c r="BF63" s="2" t="str">
        <f>VLOOKUP([jobnumber],OvalData[],MATCH(Table2[[#Headers],[Inner Spring Length]],Table2[#Headers],0),0)</f>
        <v>Null</v>
      </c>
      <c r="BG63" s="2" t="str">
        <f>VLOOKUP([jobnumber],OvalData[],MATCH(Table2[[#Headers],[Inner Spring Stretch]],Table2[#Headers],0),0)</f>
        <v>Null</v>
      </c>
      <c r="BH63" s="2" t="str">
        <f>VLOOKUP([jobnumber],OvalData[],MATCH(Table2[[#Headers],[Inner Spring Torque]],Table2[#Headers],0),0)</f>
        <v>Null</v>
      </c>
      <c r="BI63" s="2" t="str">
        <f>VLOOKUP([jobnumber],OvalData[],MATCH(Table2[[#Headers],[Inner Spring Max Turns]],Table2[#Headers],0),0)</f>
        <v>Null</v>
      </c>
      <c r="BJ63" s="2" t="str">
        <f>VLOOKUP([jobnumber],OvalData[],MATCH(Table2[[#Headers],[Inner Spring Weight]],Table2[#Headers],0),0)</f>
        <v>Null</v>
      </c>
      <c r="BK63" s="2">
        <f>VLOOKUP([jobnumber],OvalData[],MATCH(Table2[[#Headers],[Cycles]],Table2[#Headers],0),0)</f>
        <v>0</v>
      </c>
      <c r="BL63" s="2">
        <f>VLOOKUP([jobnumber],OvalData[],MATCH(Table2[[#Headers],[Total Spring Torque]],Table2[#Headers],0),0)</f>
        <v>0</v>
      </c>
      <c r="BM63" s="2">
        <f>VLOOKUP([jobnumber],OvalData[],MATCH(Table2[[#Headers],[Total Spring Weight]],Table2[#Headers],0),0)</f>
        <v>0</v>
      </c>
      <c r="BN63" s="2">
        <f>VLOOKUP([jobnumber],OvalData[],MATCH(Table2[[#Headers],[Pipe Weight]],Table2[#Headers],0),0)</f>
        <v>688.24239999999998</v>
      </c>
      <c r="BO63" s="2">
        <f>VLOOKUP([jobnumber],OvalData[],MATCH(Table2[[#Headers],[Max Pipe Deflection]],Table2[#Headers],0),0)</f>
        <v>2309</v>
      </c>
      <c r="BP63" s="2">
        <f>VLOOKUP([jobnumber],OvalData[],MATCH(Table2[[#Headers],[Number Non-Insulated Wrap Slats]],Table2[#Headers],0),0)</f>
        <v>0</v>
      </c>
      <c r="BQ63" s="2">
        <f>VLOOKUP([jobnumber],OvalData[],MATCH(Table2[[#Headers],[Number of Insolated Top Slats]],Table2[#Headers],0),0)</f>
        <v>45</v>
      </c>
      <c r="BR63" s="2">
        <f>VLOOKUP([jobnumber],OvalData[],MATCH(Table2[[#Headers],[Insolated Total Slats]],Table2[#Headers],0),0)</f>
        <v>45</v>
      </c>
      <c r="BS63" s="2">
        <f>VLOOKUP([jobnumber],OvalData[],MATCH(Table2[[#Headers],[Number of Slats]],Table2[#Headers],0),0)</f>
        <v>44.69</v>
      </c>
      <c r="BT63" s="2">
        <f>VLOOKUP([jobnumber],OvalData[],MATCH(Table2[[#Headers],[Wrap]],Table2[#Headers],0),0)</f>
        <v>0</v>
      </c>
      <c r="BU63" s="2">
        <f>VLOOKUP([jobnumber],OvalData[],MATCH(Table2[[#Headers],[Wall Angle Thickness]],Table2[#Headers],0),0)</f>
        <v>0</v>
      </c>
      <c r="BV63" s="2">
        <f>VLOOKUP([jobnumber],OvalData[],MATCH(Table2[[#Headers],[windlocks]],Table2[#Headers],0),0)</f>
        <v>0</v>
      </c>
      <c r="BW63" s="2" t="str">
        <f>VLOOKUP([jobnumber],OvalData[],MATCH(Table2[[#Headers],[bottombartype]],Table2[#Headers],0),0)</f>
        <v>SPECIAL</v>
      </c>
      <c r="BX63" s="2">
        <f>VLOOKUP([jobnumber],OvalData[],MATCH(Table2[[#Headers],[endlockweight]],Table2[#Headers],0),0)</f>
        <v>0.17</v>
      </c>
      <c r="BY63" s="2">
        <f>VLOOKUP([jobnumber],OvalData[],MATCH(Table2[[#Headers],[Endlock Total Weight]],Table2[#Headers],0),0)</f>
        <v>7.5972999999999997</v>
      </c>
      <c r="BZ63" s="2">
        <f>VLOOKUP([jobnumber],OvalData[],MATCH(Table2[[#Headers],[Grille Weight]],Table2[#Headers],0),0)</f>
        <v>0</v>
      </c>
      <c r="CA63" s="2">
        <f>VLOOKUP([jobnumber],OvalData[],MATCH(Table2[[#Headers],[barrelrings]],Table2[#Headers],0),0)</f>
        <v>1</v>
      </c>
    </row>
    <row r="64" spans="2:79">
      <c r="B64" s="2" t="str">
        <f>VLOOKUP([jobnumber],OvalData[],MATCH(Table2[[#Headers],[Hand]],Table2[#Headers],0),0)</f>
        <v>RH</v>
      </c>
      <c r="C64" s="2" t="str">
        <f>VLOOKUP([jobnumber],OvalData[],MATCH(Table2[[#Headers],[Model]],Table2[#Headers],0),0)</f>
        <v>SFMPP</v>
      </c>
      <c r="D64" s="2" t="str">
        <f>VLOOKUP([jobnumber],OvalData[],MATCH(Table2[[#Headers],[width]],Table2[#Headers],0),0)</f>
        <v xml:space="preserve"> 18 ft.- 2"</v>
      </c>
      <c r="E64" s="2" t="str">
        <f>VLOOKUP([jobnumber],OvalData[],MATCH(Table2[[#Headers],[stopheight]],Table2[#Headers],0),0)</f>
        <v xml:space="preserve"> 10 ft.- 0"</v>
      </c>
      <c r="F64" s="2" t="str">
        <f>VLOOKUP([jobnumber],OvalData[],MATCH(Table2[[#Headers],[Between Brackets]],Table2[#Headers],0),0)</f>
        <v xml:space="preserve"> 18 ft.- 7 7/ 8"</v>
      </c>
      <c r="G64" s="2" t="str">
        <f>VLOOKUP([jobnumber],OvalData[],MATCH(Table2[[#Headers],[shell]],Table2[#Headers],0),0)</f>
        <v>6 INCH TUBE</v>
      </c>
      <c r="H64" s="2" t="str">
        <f>VLOOKUP([jobnumber],OvalData[],MATCH(Table2[[#Headers],[pipewidth]],Table2[#Headers],0),0)</f>
        <v xml:space="preserve"> 18 ft.- 1 3/ 8"</v>
      </c>
      <c r="I64" s="2">
        <f>VLOOKUP([jobnumber],OvalData[],MATCH(Table2[[#Headers],[Support Tubes]],Table2[#Headers],0),0)</f>
        <v>0</v>
      </c>
      <c r="J64" s="2">
        <f>VLOOKUP([jobnumber],OvalData[],MATCH(Table2[[#Headers],[Upset]],Table2[#Headers],0),0)</f>
        <v>2</v>
      </c>
      <c r="K64" s="2" t="str">
        <f>VLOOKUP([jobnumber],OvalData[],MATCH(Table2[[#Headers],[Guide Type]],Table2[#Headers],0),0)</f>
        <v>SN2-4 5/8-E</v>
      </c>
      <c r="L64" s="2" t="str">
        <f>VLOOKUP([jobnumber],OvalData[],MATCH(Table2[[#Headers],[Wall Angle]],Table2[#Headers],0),0)</f>
        <v xml:space="preserve"> 11 ft.- 8"</v>
      </c>
      <c r="M64" s="2" t="str">
        <f>VLOOKUP([jobnumber],OvalData[],MATCH(Table2[[#Headers],[Middle Angle]],Table2[#Headers],0),0)</f>
        <v xml:space="preserve"> 10 ft.- 4 1/ 2"</v>
      </c>
      <c r="N64" s="2" t="str">
        <f>VLOOKUP([jobnumber],OvalData[],MATCH(Table2[[#Headers],[Front Angle]],Table2[#Headers],0),0)</f>
        <v xml:space="preserve"> 10 ft.- 3"</v>
      </c>
      <c r="O64" s="2">
        <f>VLOOKUP([jobnumber],OvalData[],MATCH(Table2[[#Headers],[Pipe Center Line]],Table2[#Headers],0),0)</f>
        <v>131</v>
      </c>
      <c r="P64" s="2">
        <f>VLOOKUP([jobnumber],OvalData[],MATCH(Table2[[#Headers],[Heat Expansion Gap]],Table2[#Headers],0),0)</f>
        <v>0</v>
      </c>
      <c r="Q64" s="2">
        <f>VLOOKUP([jobnumber],OvalData[],MATCH(Table2[[#Headers],[Hanging Weight Closed]],Table2[#Headers],0),0)</f>
        <v>795</v>
      </c>
      <c r="R64" s="2">
        <f>VLOOKUP([jobnumber],OvalData[],MATCH(Table2[[#Headers],[Hanging Weight Open]],Table2[#Headers],0),0)</f>
        <v>140</v>
      </c>
      <c r="S64" s="2">
        <f>VLOOKUP([jobnumber],OvalData[],MATCH(Table2[[#Headers],[Initial Lever Arm]],Table2[#Headers],0),0)</f>
        <v>4.25</v>
      </c>
      <c r="T64" s="2">
        <f>VLOOKUP([jobnumber],OvalData[],MATCH(Table2[[#Headers],[Turns to Raise]],Table2[#Headers],0),0)</f>
        <v>3.5859999999999999</v>
      </c>
      <c r="U64" s="2">
        <f>VLOOKUP([jobnumber],OvalData[],MATCH(Table2[[#Headers],[Final Lever Arm]],Table2[#Headers],0),0)</f>
        <v>6.37</v>
      </c>
      <c r="V64" s="2">
        <f>VLOOKUP([jobnumber],OvalData[],MATCH(Table2[[#Headers],[Torque Required Closed]],Table2[#Headers],0),0)</f>
        <v>3377.9</v>
      </c>
      <c r="W64" s="2">
        <f>VLOOKUP([jobnumber],OvalData[],MATCH(Table2[[#Headers],[Torque Required Open]],Table2[#Headers],0),0)</f>
        <v>892</v>
      </c>
      <c r="X64" s="2">
        <f>VLOOKUP([jobnumber],OvalData[],MATCH(Table2[[#Headers],[Pre Turns]],Table2[#Headers],0),0)</f>
        <v>1.3332999999999999</v>
      </c>
      <c r="Y64" s="2">
        <f>VLOOKUP([jobnumber],OvalData[],MATCH(Table2[[#Headers],[Required Torque Per Turn]],Table2[#Headers],0),0)</f>
        <v>688</v>
      </c>
      <c r="Z64" s="2">
        <f>VLOOKUP([jobnumber],OvalData[],MATCH(Table2[[#Headers],[Total Turns]],Table2[#Headers],0),0)</f>
        <v>4.91</v>
      </c>
      <c r="AA64" s="2">
        <f>VLOOKUP([jobnumber],OvalData[],MATCH(Table2[[#Headers],[Grille Vision Section]],Table2[#Headers],0),0)</f>
        <v>0</v>
      </c>
      <c r="AB64" s="2">
        <f>VLOOKUP([jobnumber],OvalData[],MATCH(Table2[[#Headers],[Grille Amount]],Table2[#Headers],0),0)</f>
        <v>0</v>
      </c>
      <c r="AC64" s="2">
        <f>VLOOKUP([jobnumber],OvalData[],MATCH(Table2[[#Headers],[Grille Center]],Table2[#Headers],0),0)</f>
        <v>0</v>
      </c>
      <c r="AD64" s="2">
        <f>VLOOKUP([jobnumber],OvalData[],MATCH(Table2[[#Headers],[Grille Pattern]],Table2[#Headers],0),0)</f>
        <v>0</v>
      </c>
      <c r="AE64" s="2">
        <f>VLOOKUP([jobnumber],OvalData[],MATCH(Table2[[#Headers],[Grille First Tube]],Table2[#Headers],0),0)</f>
        <v>0</v>
      </c>
      <c r="AF64" s="2">
        <f>VLOOKUP([jobnumber],OvalData[],MATCH(Table2[[#Headers],[Grille Standard Tube]],Table2[#Headers],0),0)</f>
        <v>0</v>
      </c>
      <c r="AG64" s="2">
        <f>VLOOKUP([jobnumber],OvalData[],MATCH(Table2[[#Headers],[Grille Total Links]],Table2[#Headers],0),0)</f>
        <v>0</v>
      </c>
      <c r="AH64" s="2">
        <f>VLOOKUP([jobnumber],OvalData[],MATCH(Table2[[#Headers],[Grille Rods]],Table2[#Headers],0),0)</f>
        <v>0</v>
      </c>
      <c r="AI64" s="2">
        <f>VLOOKUP([jobnumber],OvalData[],MATCH(Table2[[#Headers],[Grille Rod Length]],Table2[#Headers],0),0)</f>
        <v>0</v>
      </c>
      <c r="AJ64" s="2">
        <f>VLOOKUP([jobnumber],OvalData[],MATCH(Table2[[#Headers],[slattype]],Table2[#Headers],0),0)</f>
        <v>2</v>
      </c>
      <c r="AK64" s="2">
        <f>VLOOKUP([jobnumber],OvalData[],MATCH(Table2[[#Headers],[slatgage]],Table2[#Headers],0),0)</f>
        <v>18</v>
      </c>
      <c r="AL64" s="2">
        <f>VLOOKUP([jobnumber],OvalData[],MATCH(Table2[[#Headers],[Numer of Top Slats]],Table2[#Headers],0),0)</f>
        <v>0</v>
      </c>
      <c r="AM64" s="2">
        <f>VLOOKUP([jobnumber],OvalData[],MATCH(Table2[[#Headers],[Number of Bottom Slats]],Table2[#Headers],0),0)</f>
        <v>0</v>
      </c>
      <c r="AN64" s="2">
        <f>VLOOKUP([jobnumber],OvalData[],MATCH(Table2[[#Headers],[Solid Bottom Height]],Table2[#Headers],0),0)</f>
        <v>0</v>
      </c>
      <c r="AO64" s="2" t="str">
        <f>VLOOKUP([jobnumber],OvalData[],MATCH(Table2[[#Headers],[slatlength]],Table2[#Headers],0),0)</f>
        <v xml:space="preserve"> 18 ft.- 5 7/ 8"</v>
      </c>
      <c r="AP64" s="2">
        <f>VLOOKUP([jobnumber],OvalData[],MATCH(Table2[[#Headers],[Bottom Slat Length]],Table2[#Headers],0),0)</f>
        <v>0</v>
      </c>
      <c r="AQ64" s="2">
        <f>VLOOKUP([jobnumber],OvalData[],MATCH(Table2[[#Headers],[Number of Perferated Slats]],Table2[#Headers],0),0)</f>
        <v>0</v>
      </c>
      <c r="AR64" s="2">
        <f>VLOOKUP([jobnumber],OvalData[],MATCH(Table2[[#Headers],[First Preferated Slat From End]],Table2[#Headers],0),0)</f>
        <v>0</v>
      </c>
      <c r="AS64" s="2">
        <f>VLOOKUP([jobnumber],OvalData[],MATCH(Table2[[#Headers],[First Preferated Slat From Bottom]],Table2[#Headers],0),0)</f>
        <v>0</v>
      </c>
      <c r="AT64" s="2">
        <f>VLOOKUP([jobnumber],OvalData[],MATCH(Table2[[#Headers],[Total Number of Slats]],Table2[#Headers],0),0)</f>
        <v>51</v>
      </c>
      <c r="AU64" s="2">
        <f>VLOOKUP([jobnumber],OvalData[],MATCH(Table2[[#Headers],[Bottom Bar Slope]],Table2[#Headers],0),0)</f>
        <v>0</v>
      </c>
      <c r="AV64" s="2">
        <f>VLOOKUP([jobnumber],OvalData[],MATCH(Table2[[#Headers],[Bottom Bar Weight]],Table2[#Headers],0),0)</f>
        <v>80.5</v>
      </c>
      <c r="AW64" s="2" t="str">
        <f>VLOOKUP([jobnumber],OvalData[],MATCH(Table2[[#Headers],[Outer Spring Gage]],Table2[#Headers],0),0)</f>
        <v>Null</v>
      </c>
      <c r="AX64" s="2" t="str">
        <f>VLOOKUP([jobnumber],OvalData[],MATCH(Table2[[#Headers],[Outer Spring OD]],Table2[#Headers],0),0)</f>
        <v>Null</v>
      </c>
      <c r="AY64" s="2" t="str">
        <f>VLOOKUP([jobnumber],OvalData[],MATCH(Table2[[#Headers],[Outer Spring Length]],Table2[#Headers],0),0)</f>
        <v>Null</v>
      </c>
      <c r="AZ64" s="2" t="str">
        <f>VLOOKUP([jobnumber],OvalData[],MATCH(Table2[[#Headers],[Outer Spring Stretch]],Table2[#Headers],0),0)</f>
        <v>Null</v>
      </c>
      <c r="BA64" s="2" t="str">
        <f>VLOOKUP([jobnumber],OvalData[],MATCH(Table2[[#Headers],[Outer Spring Torque]],Table2[#Headers],0),0)</f>
        <v>Null</v>
      </c>
      <c r="BB64" s="2" t="str">
        <f>VLOOKUP([jobnumber],OvalData[],MATCH(Table2[[#Headers],[Outer Spring Max Turns]],Table2[#Headers],0),0)</f>
        <v>Null</v>
      </c>
      <c r="BC64" s="2" t="str">
        <f>VLOOKUP([jobnumber],OvalData[],MATCH(Table2[[#Headers],[Outer Spring Weight]],Table2[#Headers],0),0)</f>
        <v>Null</v>
      </c>
      <c r="BD64" s="2" t="str">
        <f>VLOOKUP([jobnumber],OvalData[],MATCH(Table2[[#Headers],[Inner Spring Gage]],Table2[#Headers],0),0)</f>
        <v>Null</v>
      </c>
      <c r="BE64" s="2" t="str">
        <f>VLOOKUP([jobnumber],OvalData[],MATCH(Table2[[#Headers],[Inner Spring OD]],Table2[#Headers],0),0)</f>
        <v>Null</v>
      </c>
      <c r="BF64" s="2" t="str">
        <f>VLOOKUP([jobnumber],OvalData[],MATCH(Table2[[#Headers],[Inner Spring Length]],Table2[#Headers],0),0)</f>
        <v>Null</v>
      </c>
      <c r="BG64" s="2" t="str">
        <f>VLOOKUP([jobnumber],OvalData[],MATCH(Table2[[#Headers],[Inner Spring Stretch]],Table2[#Headers],0),0)</f>
        <v>Null</v>
      </c>
      <c r="BH64" s="2" t="str">
        <f>VLOOKUP([jobnumber],OvalData[],MATCH(Table2[[#Headers],[Inner Spring Torque]],Table2[#Headers],0),0)</f>
        <v>Null</v>
      </c>
      <c r="BI64" s="2" t="str">
        <f>VLOOKUP([jobnumber],OvalData[],MATCH(Table2[[#Headers],[Inner Spring Max Turns]],Table2[#Headers],0),0)</f>
        <v>Null</v>
      </c>
      <c r="BJ64" s="2" t="str">
        <f>VLOOKUP([jobnumber],OvalData[],MATCH(Table2[[#Headers],[Inner Spring Weight]],Table2[#Headers],0),0)</f>
        <v>Null</v>
      </c>
      <c r="BK64" s="2">
        <f>VLOOKUP([jobnumber],OvalData[],MATCH(Table2[[#Headers],[Cycles]],Table2[#Headers],0),0)</f>
        <v>0</v>
      </c>
      <c r="BL64" s="2">
        <f>VLOOKUP([jobnumber],OvalData[],MATCH(Table2[[#Headers],[Total Spring Torque]],Table2[#Headers],0),0)</f>
        <v>0</v>
      </c>
      <c r="BM64" s="2">
        <f>VLOOKUP([jobnumber],OvalData[],MATCH(Table2[[#Headers],[Total Spring Weight]],Table2[#Headers],0),0)</f>
        <v>0</v>
      </c>
      <c r="BN64" s="2">
        <f>VLOOKUP([jobnumber],OvalData[],MATCH(Table2[[#Headers],[Pipe Weight]],Table2[#Headers],0),0)</f>
        <v>688.24239999999998</v>
      </c>
      <c r="BO64" s="2">
        <f>VLOOKUP([jobnumber],OvalData[],MATCH(Table2[[#Headers],[Max Pipe Deflection]],Table2[#Headers],0),0)</f>
        <v>2309</v>
      </c>
      <c r="BP64" s="2">
        <f>VLOOKUP([jobnumber],OvalData[],MATCH(Table2[[#Headers],[Number Non-Insulated Wrap Slats]],Table2[#Headers],0),0)</f>
        <v>0</v>
      </c>
      <c r="BQ64" s="2">
        <f>VLOOKUP([jobnumber],OvalData[],MATCH(Table2[[#Headers],[Number of Insolated Top Slats]],Table2[#Headers],0),0)</f>
        <v>45</v>
      </c>
      <c r="BR64" s="2">
        <f>VLOOKUP([jobnumber],OvalData[],MATCH(Table2[[#Headers],[Insolated Total Slats]],Table2[#Headers],0),0)</f>
        <v>45</v>
      </c>
      <c r="BS64" s="2">
        <f>VLOOKUP([jobnumber],OvalData[],MATCH(Table2[[#Headers],[Number of Slats]],Table2[#Headers],0),0)</f>
        <v>44.69</v>
      </c>
      <c r="BT64" s="2">
        <f>VLOOKUP([jobnumber],OvalData[],MATCH(Table2[[#Headers],[Wrap]],Table2[#Headers],0),0)</f>
        <v>0</v>
      </c>
      <c r="BU64" s="2">
        <f>VLOOKUP([jobnumber],OvalData[],MATCH(Table2[[#Headers],[Wall Angle Thickness]],Table2[#Headers],0),0)</f>
        <v>0</v>
      </c>
      <c r="BV64" s="2">
        <f>VLOOKUP([jobnumber],OvalData[],MATCH(Table2[[#Headers],[windlocks]],Table2[#Headers],0),0)</f>
        <v>0</v>
      </c>
      <c r="BW64" s="2" t="str">
        <f>VLOOKUP([jobnumber],OvalData[],MATCH(Table2[[#Headers],[bottombartype]],Table2[#Headers],0),0)</f>
        <v>SPECIAL</v>
      </c>
      <c r="BX64" s="2">
        <f>VLOOKUP([jobnumber],OvalData[],MATCH(Table2[[#Headers],[endlockweight]],Table2[#Headers],0),0)</f>
        <v>0.17</v>
      </c>
      <c r="BY64" s="2">
        <f>VLOOKUP([jobnumber],OvalData[],MATCH(Table2[[#Headers],[Endlock Total Weight]],Table2[#Headers],0),0)</f>
        <v>7.5972999999999997</v>
      </c>
      <c r="BZ64" s="2">
        <f>VLOOKUP([jobnumber],OvalData[],MATCH(Table2[[#Headers],[Grille Weight]],Table2[#Headers],0),0)</f>
        <v>0</v>
      </c>
      <c r="CA64" s="2">
        <f>VLOOKUP([jobnumber],OvalData[],MATCH(Table2[[#Headers],[barrelrings]],Table2[#Headers],0),0)</f>
        <v>1</v>
      </c>
    </row>
    <row r="65" spans="2:79">
      <c r="B65" s="2" t="str">
        <f>VLOOKUP([jobnumber],OvalData[],MATCH(Table2[[#Headers],[Hand]],Table2[#Headers],0),0)</f>
        <v>RH</v>
      </c>
      <c r="C65" s="2" t="str">
        <f>VLOOKUP([jobnumber],OvalData[],MATCH(Table2[[#Headers],[Model]],Table2[#Headers],0),0)</f>
        <v>SFMPP</v>
      </c>
      <c r="D65" s="2" t="str">
        <f>VLOOKUP([jobnumber],OvalData[],MATCH(Table2[[#Headers],[width]],Table2[#Headers],0),0)</f>
        <v xml:space="preserve"> 18 ft.- 2"</v>
      </c>
      <c r="E65" s="2" t="str">
        <f>VLOOKUP([jobnumber],OvalData[],MATCH(Table2[[#Headers],[stopheight]],Table2[#Headers],0),0)</f>
        <v xml:space="preserve"> 10 ft.- 0"</v>
      </c>
      <c r="F65" s="2" t="str">
        <f>VLOOKUP([jobnumber],OvalData[],MATCH(Table2[[#Headers],[Between Brackets]],Table2[#Headers],0),0)</f>
        <v xml:space="preserve"> 18 ft.- 7 7/ 8"</v>
      </c>
      <c r="G65" s="2" t="str">
        <f>VLOOKUP([jobnumber],OvalData[],MATCH(Table2[[#Headers],[shell]],Table2[#Headers],0),0)</f>
        <v>6 INCH TUBE</v>
      </c>
      <c r="H65" s="2" t="str">
        <f>VLOOKUP([jobnumber],OvalData[],MATCH(Table2[[#Headers],[pipewidth]],Table2[#Headers],0),0)</f>
        <v xml:space="preserve"> 18 ft.- 1 3/ 8"</v>
      </c>
      <c r="I65" s="2">
        <f>VLOOKUP([jobnumber],OvalData[],MATCH(Table2[[#Headers],[Support Tubes]],Table2[#Headers],0),0)</f>
        <v>0</v>
      </c>
      <c r="J65" s="2">
        <f>VLOOKUP([jobnumber],OvalData[],MATCH(Table2[[#Headers],[Upset]],Table2[#Headers],0),0)</f>
        <v>2</v>
      </c>
      <c r="K65" s="2" t="str">
        <f>VLOOKUP([jobnumber],OvalData[],MATCH(Table2[[#Headers],[Guide Type]],Table2[#Headers],0),0)</f>
        <v>SN2-4 5/8-E</v>
      </c>
      <c r="L65" s="2" t="str">
        <f>VLOOKUP([jobnumber],OvalData[],MATCH(Table2[[#Headers],[Wall Angle]],Table2[#Headers],0),0)</f>
        <v xml:space="preserve"> 11 ft.- 8"</v>
      </c>
      <c r="M65" s="2" t="str">
        <f>VLOOKUP([jobnumber],OvalData[],MATCH(Table2[[#Headers],[Middle Angle]],Table2[#Headers],0),0)</f>
        <v xml:space="preserve"> 10 ft.- 4 1/ 2"</v>
      </c>
      <c r="N65" s="2" t="str">
        <f>VLOOKUP([jobnumber],OvalData[],MATCH(Table2[[#Headers],[Front Angle]],Table2[#Headers],0),0)</f>
        <v xml:space="preserve"> 10 ft.- 3"</v>
      </c>
      <c r="O65" s="2">
        <f>VLOOKUP([jobnumber],OvalData[],MATCH(Table2[[#Headers],[Pipe Center Line]],Table2[#Headers],0),0)</f>
        <v>131</v>
      </c>
      <c r="P65" s="2">
        <f>VLOOKUP([jobnumber],OvalData[],MATCH(Table2[[#Headers],[Heat Expansion Gap]],Table2[#Headers],0),0)</f>
        <v>0</v>
      </c>
      <c r="Q65" s="2">
        <f>VLOOKUP([jobnumber],OvalData[],MATCH(Table2[[#Headers],[Hanging Weight Closed]],Table2[#Headers],0),0)</f>
        <v>795</v>
      </c>
      <c r="R65" s="2">
        <f>VLOOKUP([jobnumber],OvalData[],MATCH(Table2[[#Headers],[Hanging Weight Open]],Table2[#Headers],0),0)</f>
        <v>140</v>
      </c>
      <c r="S65" s="2">
        <f>VLOOKUP([jobnumber],OvalData[],MATCH(Table2[[#Headers],[Initial Lever Arm]],Table2[#Headers],0),0)</f>
        <v>4.25</v>
      </c>
      <c r="T65" s="2">
        <f>VLOOKUP([jobnumber],OvalData[],MATCH(Table2[[#Headers],[Turns to Raise]],Table2[#Headers],0),0)</f>
        <v>3.5859999999999999</v>
      </c>
      <c r="U65" s="2">
        <f>VLOOKUP([jobnumber],OvalData[],MATCH(Table2[[#Headers],[Final Lever Arm]],Table2[#Headers],0),0)</f>
        <v>6.37</v>
      </c>
      <c r="V65" s="2">
        <f>VLOOKUP([jobnumber],OvalData[],MATCH(Table2[[#Headers],[Torque Required Closed]],Table2[#Headers],0),0)</f>
        <v>3377.9</v>
      </c>
      <c r="W65" s="2">
        <f>VLOOKUP([jobnumber],OvalData[],MATCH(Table2[[#Headers],[Torque Required Open]],Table2[#Headers],0),0)</f>
        <v>892</v>
      </c>
      <c r="X65" s="2">
        <f>VLOOKUP([jobnumber],OvalData[],MATCH(Table2[[#Headers],[Pre Turns]],Table2[#Headers],0),0)</f>
        <v>1.3332999999999999</v>
      </c>
      <c r="Y65" s="2">
        <f>VLOOKUP([jobnumber],OvalData[],MATCH(Table2[[#Headers],[Required Torque Per Turn]],Table2[#Headers],0),0)</f>
        <v>688</v>
      </c>
      <c r="Z65" s="2">
        <f>VLOOKUP([jobnumber],OvalData[],MATCH(Table2[[#Headers],[Total Turns]],Table2[#Headers],0),0)</f>
        <v>4.91</v>
      </c>
      <c r="AA65" s="2">
        <f>VLOOKUP([jobnumber],OvalData[],MATCH(Table2[[#Headers],[Grille Vision Section]],Table2[#Headers],0),0)</f>
        <v>0</v>
      </c>
      <c r="AB65" s="2">
        <f>VLOOKUP([jobnumber],OvalData[],MATCH(Table2[[#Headers],[Grille Amount]],Table2[#Headers],0),0)</f>
        <v>0</v>
      </c>
      <c r="AC65" s="2">
        <f>VLOOKUP([jobnumber],OvalData[],MATCH(Table2[[#Headers],[Grille Center]],Table2[#Headers],0),0)</f>
        <v>0</v>
      </c>
      <c r="AD65" s="2">
        <f>VLOOKUP([jobnumber],OvalData[],MATCH(Table2[[#Headers],[Grille Pattern]],Table2[#Headers],0),0)</f>
        <v>0</v>
      </c>
      <c r="AE65" s="2">
        <f>VLOOKUP([jobnumber],OvalData[],MATCH(Table2[[#Headers],[Grille First Tube]],Table2[#Headers],0),0)</f>
        <v>0</v>
      </c>
      <c r="AF65" s="2">
        <f>VLOOKUP([jobnumber],OvalData[],MATCH(Table2[[#Headers],[Grille Standard Tube]],Table2[#Headers],0),0)</f>
        <v>0</v>
      </c>
      <c r="AG65" s="2">
        <f>VLOOKUP([jobnumber],OvalData[],MATCH(Table2[[#Headers],[Grille Total Links]],Table2[#Headers],0),0)</f>
        <v>0</v>
      </c>
      <c r="AH65" s="2">
        <f>VLOOKUP([jobnumber],OvalData[],MATCH(Table2[[#Headers],[Grille Rods]],Table2[#Headers],0),0)</f>
        <v>0</v>
      </c>
      <c r="AI65" s="2">
        <f>VLOOKUP([jobnumber],OvalData[],MATCH(Table2[[#Headers],[Grille Rod Length]],Table2[#Headers],0),0)</f>
        <v>0</v>
      </c>
      <c r="AJ65" s="2">
        <f>VLOOKUP([jobnumber],OvalData[],MATCH(Table2[[#Headers],[slattype]],Table2[#Headers],0),0)</f>
        <v>2</v>
      </c>
      <c r="AK65" s="2">
        <f>VLOOKUP([jobnumber],OvalData[],MATCH(Table2[[#Headers],[slatgage]],Table2[#Headers],0),0)</f>
        <v>18</v>
      </c>
      <c r="AL65" s="2">
        <f>VLOOKUP([jobnumber],OvalData[],MATCH(Table2[[#Headers],[Numer of Top Slats]],Table2[#Headers],0),0)</f>
        <v>0</v>
      </c>
      <c r="AM65" s="2">
        <f>VLOOKUP([jobnumber],OvalData[],MATCH(Table2[[#Headers],[Number of Bottom Slats]],Table2[#Headers],0),0)</f>
        <v>0</v>
      </c>
      <c r="AN65" s="2">
        <f>VLOOKUP([jobnumber],OvalData[],MATCH(Table2[[#Headers],[Solid Bottom Height]],Table2[#Headers],0),0)</f>
        <v>0</v>
      </c>
      <c r="AO65" s="2" t="str">
        <f>VLOOKUP([jobnumber],OvalData[],MATCH(Table2[[#Headers],[slatlength]],Table2[#Headers],0),0)</f>
        <v xml:space="preserve"> 18 ft.- 5 7/ 8"</v>
      </c>
      <c r="AP65" s="2">
        <f>VLOOKUP([jobnumber],OvalData[],MATCH(Table2[[#Headers],[Bottom Slat Length]],Table2[#Headers],0),0)</f>
        <v>0</v>
      </c>
      <c r="AQ65" s="2">
        <f>VLOOKUP([jobnumber],OvalData[],MATCH(Table2[[#Headers],[Number of Perferated Slats]],Table2[#Headers],0),0)</f>
        <v>0</v>
      </c>
      <c r="AR65" s="2">
        <f>VLOOKUP([jobnumber],OvalData[],MATCH(Table2[[#Headers],[First Preferated Slat From End]],Table2[#Headers],0),0)</f>
        <v>0</v>
      </c>
      <c r="AS65" s="2">
        <f>VLOOKUP([jobnumber],OvalData[],MATCH(Table2[[#Headers],[First Preferated Slat From Bottom]],Table2[#Headers],0),0)</f>
        <v>0</v>
      </c>
      <c r="AT65" s="2">
        <f>VLOOKUP([jobnumber],OvalData[],MATCH(Table2[[#Headers],[Total Number of Slats]],Table2[#Headers],0),0)</f>
        <v>51</v>
      </c>
      <c r="AU65" s="2">
        <f>VLOOKUP([jobnumber],OvalData[],MATCH(Table2[[#Headers],[Bottom Bar Slope]],Table2[#Headers],0),0)</f>
        <v>0</v>
      </c>
      <c r="AV65" s="2">
        <f>VLOOKUP([jobnumber],OvalData[],MATCH(Table2[[#Headers],[Bottom Bar Weight]],Table2[#Headers],0),0)</f>
        <v>80.5</v>
      </c>
      <c r="AW65" s="2" t="str">
        <f>VLOOKUP([jobnumber],OvalData[],MATCH(Table2[[#Headers],[Outer Spring Gage]],Table2[#Headers],0),0)</f>
        <v>Null</v>
      </c>
      <c r="AX65" s="2" t="str">
        <f>VLOOKUP([jobnumber],OvalData[],MATCH(Table2[[#Headers],[Outer Spring OD]],Table2[#Headers],0),0)</f>
        <v>Null</v>
      </c>
      <c r="AY65" s="2" t="str">
        <f>VLOOKUP([jobnumber],OvalData[],MATCH(Table2[[#Headers],[Outer Spring Length]],Table2[#Headers],0),0)</f>
        <v>Null</v>
      </c>
      <c r="AZ65" s="2" t="str">
        <f>VLOOKUP([jobnumber],OvalData[],MATCH(Table2[[#Headers],[Outer Spring Stretch]],Table2[#Headers],0),0)</f>
        <v>Null</v>
      </c>
      <c r="BA65" s="2" t="str">
        <f>VLOOKUP([jobnumber],OvalData[],MATCH(Table2[[#Headers],[Outer Spring Torque]],Table2[#Headers],0),0)</f>
        <v>Null</v>
      </c>
      <c r="BB65" s="2" t="str">
        <f>VLOOKUP([jobnumber],OvalData[],MATCH(Table2[[#Headers],[Outer Spring Max Turns]],Table2[#Headers],0),0)</f>
        <v>Null</v>
      </c>
      <c r="BC65" s="2" t="str">
        <f>VLOOKUP([jobnumber],OvalData[],MATCH(Table2[[#Headers],[Outer Spring Weight]],Table2[#Headers],0),0)</f>
        <v>Null</v>
      </c>
      <c r="BD65" s="2" t="str">
        <f>VLOOKUP([jobnumber],OvalData[],MATCH(Table2[[#Headers],[Inner Spring Gage]],Table2[#Headers],0),0)</f>
        <v>Null</v>
      </c>
      <c r="BE65" s="2" t="str">
        <f>VLOOKUP([jobnumber],OvalData[],MATCH(Table2[[#Headers],[Inner Spring OD]],Table2[#Headers],0),0)</f>
        <v>Null</v>
      </c>
      <c r="BF65" s="2" t="str">
        <f>VLOOKUP([jobnumber],OvalData[],MATCH(Table2[[#Headers],[Inner Spring Length]],Table2[#Headers],0),0)</f>
        <v>Null</v>
      </c>
      <c r="BG65" s="2" t="str">
        <f>VLOOKUP([jobnumber],OvalData[],MATCH(Table2[[#Headers],[Inner Spring Stretch]],Table2[#Headers],0),0)</f>
        <v>Null</v>
      </c>
      <c r="BH65" s="2" t="str">
        <f>VLOOKUP([jobnumber],OvalData[],MATCH(Table2[[#Headers],[Inner Spring Torque]],Table2[#Headers],0),0)</f>
        <v>Null</v>
      </c>
      <c r="BI65" s="2" t="str">
        <f>VLOOKUP([jobnumber],OvalData[],MATCH(Table2[[#Headers],[Inner Spring Max Turns]],Table2[#Headers],0),0)</f>
        <v>Null</v>
      </c>
      <c r="BJ65" s="2" t="str">
        <f>VLOOKUP([jobnumber],OvalData[],MATCH(Table2[[#Headers],[Inner Spring Weight]],Table2[#Headers],0),0)</f>
        <v>Null</v>
      </c>
      <c r="BK65" s="2">
        <f>VLOOKUP([jobnumber],OvalData[],MATCH(Table2[[#Headers],[Cycles]],Table2[#Headers],0),0)</f>
        <v>0</v>
      </c>
      <c r="BL65" s="2">
        <f>VLOOKUP([jobnumber],OvalData[],MATCH(Table2[[#Headers],[Total Spring Torque]],Table2[#Headers],0),0)</f>
        <v>0</v>
      </c>
      <c r="BM65" s="2">
        <f>VLOOKUP([jobnumber],OvalData[],MATCH(Table2[[#Headers],[Total Spring Weight]],Table2[#Headers],0),0)</f>
        <v>0</v>
      </c>
      <c r="BN65" s="2">
        <f>VLOOKUP([jobnumber],OvalData[],MATCH(Table2[[#Headers],[Pipe Weight]],Table2[#Headers],0),0)</f>
        <v>688.24239999999998</v>
      </c>
      <c r="BO65" s="2">
        <f>VLOOKUP([jobnumber],OvalData[],MATCH(Table2[[#Headers],[Max Pipe Deflection]],Table2[#Headers],0),0)</f>
        <v>2309</v>
      </c>
      <c r="BP65" s="2">
        <f>VLOOKUP([jobnumber],OvalData[],MATCH(Table2[[#Headers],[Number Non-Insulated Wrap Slats]],Table2[#Headers],0),0)</f>
        <v>0</v>
      </c>
      <c r="BQ65" s="2">
        <f>VLOOKUP([jobnumber],OvalData[],MATCH(Table2[[#Headers],[Number of Insolated Top Slats]],Table2[#Headers],0),0)</f>
        <v>45</v>
      </c>
      <c r="BR65" s="2">
        <f>VLOOKUP([jobnumber],OvalData[],MATCH(Table2[[#Headers],[Insolated Total Slats]],Table2[#Headers],0),0)</f>
        <v>45</v>
      </c>
      <c r="BS65" s="2">
        <f>VLOOKUP([jobnumber],OvalData[],MATCH(Table2[[#Headers],[Number of Slats]],Table2[#Headers],0),0)</f>
        <v>44.69</v>
      </c>
      <c r="BT65" s="2">
        <f>VLOOKUP([jobnumber],OvalData[],MATCH(Table2[[#Headers],[Wrap]],Table2[#Headers],0),0)</f>
        <v>0</v>
      </c>
      <c r="BU65" s="2">
        <f>VLOOKUP([jobnumber],OvalData[],MATCH(Table2[[#Headers],[Wall Angle Thickness]],Table2[#Headers],0),0)</f>
        <v>0</v>
      </c>
      <c r="BV65" s="2">
        <f>VLOOKUP([jobnumber],OvalData[],MATCH(Table2[[#Headers],[windlocks]],Table2[#Headers],0),0)</f>
        <v>0</v>
      </c>
      <c r="BW65" s="2" t="str">
        <f>VLOOKUP([jobnumber],OvalData[],MATCH(Table2[[#Headers],[bottombartype]],Table2[#Headers],0),0)</f>
        <v>SPECIAL</v>
      </c>
      <c r="BX65" s="2">
        <f>VLOOKUP([jobnumber],OvalData[],MATCH(Table2[[#Headers],[endlockweight]],Table2[#Headers],0),0)</f>
        <v>0.17</v>
      </c>
      <c r="BY65" s="2">
        <f>VLOOKUP([jobnumber],OvalData[],MATCH(Table2[[#Headers],[Endlock Total Weight]],Table2[#Headers],0),0)</f>
        <v>7.5972999999999997</v>
      </c>
      <c r="BZ65" s="2">
        <f>VLOOKUP([jobnumber],OvalData[],MATCH(Table2[[#Headers],[Grille Weight]],Table2[#Headers],0),0)</f>
        <v>0</v>
      </c>
      <c r="CA65" s="2">
        <f>VLOOKUP([jobnumber],OvalData[],MATCH(Table2[[#Headers],[barrelrings]],Table2[#Headers],0),0)</f>
        <v>1</v>
      </c>
    </row>
    <row r="66" spans="2:79">
      <c r="B66" s="2" t="str">
        <f>VLOOKUP([jobnumber],OvalData[],MATCH(Table2[[#Headers],[Hand]],Table2[#Headers],0),0)</f>
        <v>RH</v>
      </c>
      <c r="C66" s="2" t="str">
        <f>VLOOKUP([jobnumber],OvalData[],MATCH(Table2[[#Headers],[Model]],Table2[#Headers],0),0)</f>
        <v>SFMPP</v>
      </c>
      <c r="D66" s="2" t="str">
        <f>VLOOKUP([jobnumber],OvalData[],MATCH(Table2[[#Headers],[width]],Table2[#Headers],0),0)</f>
        <v xml:space="preserve"> 18 ft.- 2"</v>
      </c>
      <c r="E66" s="2" t="str">
        <f>VLOOKUP([jobnumber],OvalData[],MATCH(Table2[[#Headers],[stopheight]],Table2[#Headers],0),0)</f>
        <v xml:space="preserve"> 10 ft.- 0"</v>
      </c>
      <c r="F66" s="2" t="str">
        <f>VLOOKUP([jobnumber],OvalData[],MATCH(Table2[[#Headers],[Between Brackets]],Table2[#Headers],0),0)</f>
        <v xml:space="preserve"> 18 ft.- 7 7/ 8"</v>
      </c>
      <c r="G66" s="2" t="str">
        <f>VLOOKUP([jobnumber],OvalData[],MATCH(Table2[[#Headers],[shell]],Table2[#Headers],0),0)</f>
        <v>6 INCH TUBE</v>
      </c>
      <c r="H66" s="2" t="str">
        <f>VLOOKUP([jobnumber],OvalData[],MATCH(Table2[[#Headers],[pipewidth]],Table2[#Headers],0),0)</f>
        <v xml:space="preserve"> 18 ft.- 1 3/ 8"</v>
      </c>
      <c r="I66" s="2">
        <f>VLOOKUP([jobnumber],OvalData[],MATCH(Table2[[#Headers],[Support Tubes]],Table2[#Headers],0),0)</f>
        <v>0</v>
      </c>
      <c r="J66" s="2">
        <f>VLOOKUP([jobnumber],OvalData[],MATCH(Table2[[#Headers],[Upset]],Table2[#Headers],0),0)</f>
        <v>2</v>
      </c>
      <c r="K66" s="2" t="str">
        <f>VLOOKUP([jobnumber],OvalData[],MATCH(Table2[[#Headers],[Guide Type]],Table2[#Headers],0),0)</f>
        <v>SN2-4 5/8-E</v>
      </c>
      <c r="L66" s="2" t="str">
        <f>VLOOKUP([jobnumber],OvalData[],MATCH(Table2[[#Headers],[Wall Angle]],Table2[#Headers],0),0)</f>
        <v xml:space="preserve"> 11 ft.- 8"</v>
      </c>
      <c r="M66" s="2" t="str">
        <f>VLOOKUP([jobnumber],OvalData[],MATCH(Table2[[#Headers],[Middle Angle]],Table2[#Headers],0),0)</f>
        <v xml:space="preserve"> 10 ft.- 4 1/ 2"</v>
      </c>
      <c r="N66" s="2" t="str">
        <f>VLOOKUP([jobnumber],OvalData[],MATCH(Table2[[#Headers],[Front Angle]],Table2[#Headers],0),0)</f>
        <v xml:space="preserve"> 10 ft.- 3"</v>
      </c>
      <c r="O66" s="2">
        <f>VLOOKUP([jobnumber],OvalData[],MATCH(Table2[[#Headers],[Pipe Center Line]],Table2[#Headers],0),0)</f>
        <v>131</v>
      </c>
      <c r="P66" s="2">
        <f>VLOOKUP([jobnumber],OvalData[],MATCH(Table2[[#Headers],[Heat Expansion Gap]],Table2[#Headers],0),0)</f>
        <v>0</v>
      </c>
      <c r="Q66" s="2">
        <f>VLOOKUP([jobnumber],OvalData[],MATCH(Table2[[#Headers],[Hanging Weight Closed]],Table2[#Headers],0),0)</f>
        <v>795</v>
      </c>
      <c r="R66" s="2">
        <f>VLOOKUP([jobnumber],OvalData[],MATCH(Table2[[#Headers],[Hanging Weight Open]],Table2[#Headers],0),0)</f>
        <v>140</v>
      </c>
      <c r="S66" s="2">
        <f>VLOOKUP([jobnumber],OvalData[],MATCH(Table2[[#Headers],[Initial Lever Arm]],Table2[#Headers],0),0)</f>
        <v>4.25</v>
      </c>
      <c r="T66" s="2">
        <f>VLOOKUP([jobnumber],OvalData[],MATCH(Table2[[#Headers],[Turns to Raise]],Table2[#Headers],0),0)</f>
        <v>3.5859999999999999</v>
      </c>
      <c r="U66" s="2">
        <f>VLOOKUP([jobnumber],OvalData[],MATCH(Table2[[#Headers],[Final Lever Arm]],Table2[#Headers],0),0)</f>
        <v>6.37</v>
      </c>
      <c r="V66" s="2">
        <f>VLOOKUP([jobnumber],OvalData[],MATCH(Table2[[#Headers],[Torque Required Closed]],Table2[#Headers],0),0)</f>
        <v>3377.9</v>
      </c>
      <c r="W66" s="2">
        <f>VLOOKUP([jobnumber],OvalData[],MATCH(Table2[[#Headers],[Torque Required Open]],Table2[#Headers],0),0)</f>
        <v>892</v>
      </c>
      <c r="X66" s="2">
        <f>VLOOKUP([jobnumber],OvalData[],MATCH(Table2[[#Headers],[Pre Turns]],Table2[#Headers],0),0)</f>
        <v>1.3332999999999999</v>
      </c>
      <c r="Y66" s="2">
        <f>VLOOKUP([jobnumber],OvalData[],MATCH(Table2[[#Headers],[Required Torque Per Turn]],Table2[#Headers],0),0)</f>
        <v>688</v>
      </c>
      <c r="Z66" s="2">
        <f>VLOOKUP([jobnumber],OvalData[],MATCH(Table2[[#Headers],[Total Turns]],Table2[#Headers],0),0)</f>
        <v>4.91</v>
      </c>
      <c r="AA66" s="2">
        <f>VLOOKUP([jobnumber],OvalData[],MATCH(Table2[[#Headers],[Grille Vision Section]],Table2[#Headers],0),0)</f>
        <v>0</v>
      </c>
      <c r="AB66" s="2">
        <f>VLOOKUP([jobnumber],OvalData[],MATCH(Table2[[#Headers],[Grille Amount]],Table2[#Headers],0),0)</f>
        <v>0</v>
      </c>
      <c r="AC66" s="2">
        <f>VLOOKUP([jobnumber],OvalData[],MATCH(Table2[[#Headers],[Grille Center]],Table2[#Headers],0),0)</f>
        <v>0</v>
      </c>
      <c r="AD66" s="2">
        <f>VLOOKUP([jobnumber],OvalData[],MATCH(Table2[[#Headers],[Grille Pattern]],Table2[#Headers],0),0)</f>
        <v>0</v>
      </c>
      <c r="AE66" s="2">
        <f>VLOOKUP([jobnumber],OvalData[],MATCH(Table2[[#Headers],[Grille First Tube]],Table2[#Headers],0),0)</f>
        <v>0</v>
      </c>
      <c r="AF66" s="2">
        <f>VLOOKUP([jobnumber],OvalData[],MATCH(Table2[[#Headers],[Grille Standard Tube]],Table2[#Headers],0),0)</f>
        <v>0</v>
      </c>
      <c r="AG66" s="2">
        <f>VLOOKUP([jobnumber],OvalData[],MATCH(Table2[[#Headers],[Grille Total Links]],Table2[#Headers],0),0)</f>
        <v>0</v>
      </c>
      <c r="AH66" s="2">
        <f>VLOOKUP([jobnumber],OvalData[],MATCH(Table2[[#Headers],[Grille Rods]],Table2[#Headers],0),0)</f>
        <v>0</v>
      </c>
      <c r="AI66" s="2">
        <f>VLOOKUP([jobnumber],OvalData[],MATCH(Table2[[#Headers],[Grille Rod Length]],Table2[#Headers],0),0)</f>
        <v>0</v>
      </c>
      <c r="AJ66" s="2">
        <f>VLOOKUP([jobnumber],OvalData[],MATCH(Table2[[#Headers],[slattype]],Table2[#Headers],0),0)</f>
        <v>2</v>
      </c>
      <c r="AK66" s="2">
        <f>VLOOKUP([jobnumber],OvalData[],MATCH(Table2[[#Headers],[slatgage]],Table2[#Headers],0),0)</f>
        <v>18</v>
      </c>
      <c r="AL66" s="2">
        <f>VLOOKUP([jobnumber],OvalData[],MATCH(Table2[[#Headers],[Numer of Top Slats]],Table2[#Headers],0),0)</f>
        <v>0</v>
      </c>
      <c r="AM66" s="2">
        <f>VLOOKUP([jobnumber],OvalData[],MATCH(Table2[[#Headers],[Number of Bottom Slats]],Table2[#Headers],0),0)</f>
        <v>0</v>
      </c>
      <c r="AN66" s="2">
        <f>VLOOKUP([jobnumber],OvalData[],MATCH(Table2[[#Headers],[Solid Bottom Height]],Table2[#Headers],0),0)</f>
        <v>0</v>
      </c>
      <c r="AO66" s="2" t="str">
        <f>VLOOKUP([jobnumber],OvalData[],MATCH(Table2[[#Headers],[slatlength]],Table2[#Headers],0),0)</f>
        <v xml:space="preserve"> 18 ft.- 5 7/ 8"</v>
      </c>
      <c r="AP66" s="2">
        <f>VLOOKUP([jobnumber],OvalData[],MATCH(Table2[[#Headers],[Bottom Slat Length]],Table2[#Headers],0),0)</f>
        <v>0</v>
      </c>
      <c r="AQ66" s="2">
        <f>VLOOKUP([jobnumber],OvalData[],MATCH(Table2[[#Headers],[Number of Perferated Slats]],Table2[#Headers],0),0)</f>
        <v>0</v>
      </c>
      <c r="AR66" s="2">
        <f>VLOOKUP([jobnumber],OvalData[],MATCH(Table2[[#Headers],[First Preferated Slat From End]],Table2[#Headers],0),0)</f>
        <v>0</v>
      </c>
      <c r="AS66" s="2">
        <f>VLOOKUP([jobnumber],OvalData[],MATCH(Table2[[#Headers],[First Preferated Slat From Bottom]],Table2[#Headers],0),0)</f>
        <v>0</v>
      </c>
      <c r="AT66" s="2">
        <f>VLOOKUP([jobnumber],OvalData[],MATCH(Table2[[#Headers],[Total Number of Slats]],Table2[#Headers],0),0)</f>
        <v>51</v>
      </c>
      <c r="AU66" s="2">
        <f>VLOOKUP([jobnumber],OvalData[],MATCH(Table2[[#Headers],[Bottom Bar Slope]],Table2[#Headers],0),0)</f>
        <v>0</v>
      </c>
      <c r="AV66" s="2">
        <f>VLOOKUP([jobnumber],OvalData[],MATCH(Table2[[#Headers],[Bottom Bar Weight]],Table2[#Headers],0),0)</f>
        <v>80.5</v>
      </c>
      <c r="AW66" s="2" t="str">
        <f>VLOOKUP([jobnumber],OvalData[],MATCH(Table2[[#Headers],[Outer Spring Gage]],Table2[#Headers],0),0)</f>
        <v>Null</v>
      </c>
      <c r="AX66" s="2" t="str">
        <f>VLOOKUP([jobnumber],OvalData[],MATCH(Table2[[#Headers],[Outer Spring OD]],Table2[#Headers],0),0)</f>
        <v>Null</v>
      </c>
      <c r="AY66" s="2" t="str">
        <f>VLOOKUP([jobnumber],OvalData[],MATCH(Table2[[#Headers],[Outer Spring Length]],Table2[#Headers],0),0)</f>
        <v>Null</v>
      </c>
      <c r="AZ66" s="2" t="str">
        <f>VLOOKUP([jobnumber],OvalData[],MATCH(Table2[[#Headers],[Outer Spring Stretch]],Table2[#Headers],0),0)</f>
        <v>Null</v>
      </c>
      <c r="BA66" s="2" t="str">
        <f>VLOOKUP([jobnumber],OvalData[],MATCH(Table2[[#Headers],[Outer Spring Torque]],Table2[#Headers],0),0)</f>
        <v>Null</v>
      </c>
      <c r="BB66" s="2" t="str">
        <f>VLOOKUP([jobnumber],OvalData[],MATCH(Table2[[#Headers],[Outer Spring Max Turns]],Table2[#Headers],0),0)</f>
        <v>Null</v>
      </c>
      <c r="BC66" s="2" t="str">
        <f>VLOOKUP([jobnumber],OvalData[],MATCH(Table2[[#Headers],[Outer Spring Weight]],Table2[#Headers],0),0)</f>
        <v>Null</v>
      </c>
      <c r="BD66" s="2" t="str">
        <f>VLOOKUP([jobnumber],OvalData[],MATCH(Table2[[#Headers],[Inner Spring Gage]],Table2[#Headers],0),0)</f>
        <v>Null</v>
      </c>
      <c r="BE66" s="2" t="str">
        <f>VLOOKUP([jobnumber],OvalData[],MATCH(Table2[[#Headers],[Inner Spring OD]],Table2[#Headers],0),0)</f>
        <v>Null</v>
      </c>
      <c r="BF66" s="2" t="str">
        <f>VLOOKUP([jobnumber],OvalData[],MATCH(Table2[[#Headers],[Inner Spring Length]],Table2[#Headers],0),0)</f>
        <v>Null</v>
      </c>
      <c r="BG66" s="2" t="str">
        <f>VLOOKUP([jobnumber],OvalData[],MATCH(Table2[[#Headers],[Inner Spring Stretch]],Table2[#Headers],0),0)</f>
        <v>Null</v>
      </c>
      <c r="BH66" s="2" t="str">
        <f>VLOOKUP([jobnumber],OvalData[],MATCH(Table2[[#Headers],[Inner Spring Torque]],Table2[#Headers],0),0)</f>
        <v>Null</v>
      </c>
      <c r="BI66" s="2" t="str">
        <f>VLOOKUP([jobnumber],OvalData[],MATCH(Table2[[#Headers],[Inner Spring Max Turns]],Table2[#Headers],0),0)</f>
        <v>Null</v>
      </c>
      <c r="BJ66" s="2" t="str">
        <f>VLOOKUP([jobnumber],OvalData[],MATCH(Table2[[#Headers],[Inner Spring Weight]],Table2[#Headers],0),0)</f>
        <v>Null</v>
      </c>
      <c r="BK66" s="2">
        <f>VLOOKUP([jobnumber],OvalData[],MATCH(Table2[[#Headers],[Cycles]],Table2[#Headers],0),0)</f>
        <v>0</v>
      </c>
      <c r="BL66" s="2">
        <f>VLOOKUP([jobnumber],OvalData[],MATCH(Table2[[#Headers],[Total Spring Torque]],Table2[#Headers],0),0)</f>
        <v>0</v>
      </c>
      <c r="BM66" s="2">
        <f>VLOOKUP([jobnumber],OvalData[],MATCH(Table2[[#Headers],[Total Spring Weight]],Table2[#Headers],0),0)</f>
        <v>0</v>
      </c>
      <c r="BN66" s="2">
        <f>VLOOKUP([jobnumber],OvalData[],MATCH(Table2[[#Headers],[Pipe Weight]],Table2[#Headers],0),0)</f>
        <v>688.24239999999998</v>
      </c>
      <c r="BO66" s="2">
        <f>VLOOKUP([jobnumber],OvalData[],MATCH(Table2[[#Headers],[Max Pipe Deflection]],Table2[#Headers],0),0)</f>
        <v>2309</v>
      </c>
      <c r="BP66" s="2">
        <f>VLOOKUP([jobnumber],OvalData[],MATCH(Table2[[#Headers],[Number Non-Insulated Wrap Slats]],Table2[#Headers],0),0)</f>
        <v>0</v>
      </c>
      <c r="BQ66" s="2">
        <f>VLOOKUP([jobnumber],OvalData[],MATCH(Table2[[#Headers],[Number of Insolated Top Slats]],Table2[#Headers],0),0)</f>
        <v>45</v>
      </c>
      <c r="BR66" s="2">
        <f>VLOOKUP([jobnumber],OvalData[],MATCH(Table2[[#Headers],[Insolated Total Slats]],Table2[#Headers],0),0)</f>
        <v>45</v>
      </c>
      <c r="BS66" s="2">
        <f>VLOOKUP([jobnumber],OvalData[],MATCH(Table2[[#Headers],[Number of Slats]],Table2[#Headers],0),0)</f>
        <v>44.69</v>
      </c>
      <c r="BT66" s="2">
        <f>VLOOKUP([jobnumber],OvalData[],MATCH(Table2[[#Headers],[Wrap]],Table2[#Headers],0),0)</f>
        <v>0</v>
      </c>
      <c r="BU66" s="2">
        <f>VLOOKUP([jobnumber],OvalData[],MATCH(Table2[[#Headers],[Wall Angle Thickness]],Table2[#Headers],0),0)</f>
        <v>0</v>
      </c>
      <c r="BV66" s="2">
        <f>VLOOKUP([jobnumber],OvalData[],MATCH(Table2[[#Headers],[windlocks]],Table2[#Headers],0),0)</f>
        <v>0</v>
      </c>
      <c r="BW66" s="2" t="str">
        <f>VLOOKUP([jobnumber],OvalData[],MATCH(Table2[[#Headers],[bottombartype]],Table2[#Headers],0),0)</f>
        <v>SPECIAL</v>
      </c>
      <c r="BX66" s="2">
        <f>VLOOKUP([jobnumber],OvalData[],MATCH(Table2[[#Headers],[endlockweight]],Table2[#Headers],0),0)</f>
        <v>0.17</v>
      </c>
      <c r="BY66" s="2">
        <f>VLOOKUP([jobnumber],OvalData[],MATCH(Table2[[#Headers],[Endlock Total Weight]],Table2[#Headers],0),0)</f>
        <v>7.5972999999999997</v>
      </c>
      <c r="BZ66" s="2">
        <f>VLOOKUP([jobnumber],OvalData[],MATCH(Table2[[#Headers],[Grille Weight]],Table2[#Headers],0),0)</f>
        <v>0</v>
      </c>
      <c r="CA66" s="2">
        <f>VLOOKUP([jobnumber],OvalData[],MATCH(Table2[[#Headers],[barrelrings]],Table2[#Headers],0),0)</f>
        <v>1</v>
      </c>
    </row>
    <row r="67" spans="2:79">
      <c r="B67" s="2" t="str">
        <f>VLOOKUP([jobnumber],OvalData[],MATCH(Table2[[#Headers],[Hand]],Table2[#Headers],0),0)</f>
        <v>RH</v>
      </c>
      <c r="C67" s="2" t="str">
        <f>VLOOKUP([jobnumber],OvalData[],MATCH(Table2[[#Headers],[Model]],Table2[#Headers],0),0)</f>
        <v>SFMPP</v>
      </c>
      <c r="D67" s="2" t="str">
        <f>VLOOKUP([jobnumber],OvalData[],MATCH(Table2[[#Headers],[width]],Table2[#Headers],0),0)</f>
        <v xml:space="preserve"> 18 ft.- 2"</v>
      </c>
      <c r="E67" s="2" t="str">
        <f>VLOOKUP([jobnumber],OvalData[],MATCH(Table2[[#Headers],[stopheight]],Table2[#Headers],0),0)</f>
        <v xml:space="preserve"> 10 ft.- 0"</v>
      </c>
      <c r="F67" s="2" t="str">
        <f>VLOOKUP([jobnumber],OvalData[],MATCH(Table2[[#Headers],[Between Brackets]],Table2[#Headers],0),0)</f>
        <v xml:space="preserve"> 18 ft.- 7 7/ 8"</v>
      </c>
      <c r="G67" s="2" t="str">
        <f>VLOOKUP([jobnumber],OvalData[],MATCH(Table2[[#Headers],[shell]],Table2[#Headers],0),0)</f>
        <v>6 INCH TUBE</v>
      </c>
      <c r="H67" s="2" t="str">
        <f>VLOOKUP([jobnumber],OvalData[],MATCH(Table2[[#Headers],[pipewidth]],Table2[#Headers],0),0)</f>
        <v xml:space="preserve"> 18 ft.- 1 3/ 8"</v>
      </c>
      <c r="I67" s="2">
        <f>VLOOKUP([jobnumber],OvalData[],MATCH(Table2[[#Headers],[Support Tubes]],Table2[#Headers],0),0)</f>
        <v>0</v>
      </c>
      <c r="J67" s="2">
        <f>VLOOKUP([jobnumber],OvalData[],MATCH(Table2[[#Headers],[Upset]],Table2[#Headers],0),0)</f>
        <v>2</v>
      </c>
      <c r="K67" s="2" t="str">
        <f>VLOOKUP([jobnumber],OvalData[],MATCH(Table2[[#Headers],[Guide Type]],Table2[#Headers],0),0)</f>
        <v>SN2-4 5/8-E</v>
      </c>
      <c r="L67" s="2" t="str">
        <f>VLOOKUP([jobnumber],OvalData[],MATCH(Table2[[#Headers],[Wall Angle]],Table2[#Headers],0),0)</f>
        <v xml:space="preserve"> 11 ft.- 8"</v>
      </c>
      <c r="M67" s="2" t="str">
        <f>VLOOKUP([jobnumber],OvalData[],MATCH(Table2[[#Headers],[Middle Angle]],Table2[#Headers],0),0)</f>
        <v xml:space="preserve"> 10 ft.- 4 1/ 2"</v>
      </c>
      <c r="N67" s="2" t="str">
        <f>VLOOKUP([jobnumber],OvalData[],MATCH(Table2[[#Headers],[Front Angle]],Table2[#Headers],0),0)</f>
        <v xml:space="preserve"> 10 ft.- 3"</v>
      </c>
      <c r="O67" s="2">
        <f>VLOOKUP([jobnumber],OvalData[],MATCH(Table2[[#Headers],[Pipe Center Line]],Table2[#Headers],0),0)</f>
        <v>131</v>
      </c>
      <c r="P67" s="2">
        <f>VLOOKUP([jobnumber],OvalData[],MATCH(Table2[[#Headers],[Heat Expansion Gap]],Table2[#Headers],0),0)</f>
        <v>0</v>
      </c>
      <c r="Q67" s="2">
        <f>VLOOKUP([jobnumber],OvalData[],MATCH(Table2[[#Headers],[Hanging Weight Closed]],Table2[#Headers],0),0)</f>
        <v>795</v>
      </c>
      <c r="R67" s="2">
        <f>VLOOKUP([jobnumber],OvalData[],MATCH(Table2[[#Headers],[Hanging Weight Open]],Table2[#Headers],0),0)</f>
        <v>140</v>
      </c>
      <c r="S67" s="2">
        <f>VLOOKUP([jobnumber],OvalData[],MATCH(Table2[[#Headers],[Initial Lever Arm]],Table2[#Headers],0),0)</f>
        <v>4.25</v>
      </c>
      <c r="T67" s="2">
        <f>VLOOKUP([jobnumber],OvalData[],MATCH(Table2[[#Headers],[Turns to Raise]],Table2[#Headers],0),0)</f>
        <v>3.5859999999999999</v>
      </c>
      <c r="U67" s="2">
        <f>VLOOKUP([jobnumber],OvalData[],MATCH(Table2[[#Headers],[Final Lever Arm]],Table2[#Headers],0),0)</f>
        <v>6.37</v>
      </c>
      <c r="V67" s="2">
        <f>VLOOKUP([jobnumber],OvalData[],MATCH(Table2[[#Headers],[Torque Required Closed]],Table2[#Headers],0),0)</f>
        <v>3377.9</v>
      </c>
      <c r="W67" s="2">
        <f>VLOOKUP([jobnumber],OvalData[],MATCH(Table2[[#Headers],[Torque Required Open]],Table2[#Headers],0),0)</f>
        <v>892</v>
      </c>
      <c r="X67" s="2">
        <f>VLOOKUP([jobnumber],OvalData[],MATCH(Table2[[#Headers],[Pre Turns]],Table2[#Headers],0),0)</f>
        <v>1.3332999999999999</v>
      </c>
      <c r="Y67" s="2">
        <f>VLOOKUP([jobnumber],OvalData[],MATCH(Table2[[#Headers],[Required Torque Per Turn]],Table2[#Headers],0),0)</f>
        <v>688</v>
      </c>
      <c r="Z67" s="2">
        <f>VLOOKUP([jobnumber],OvalData[],MATCH(Table2[[#Headers],[Total Turns]],Table2[#Headers],0),0)</f>
        <v>4.91</v>
      </c>
      <c r="AA67" s="2">
        <f>VLOOKUP([jobnumber],OvalData[],MATCH(Table2[[#Headers],[Grille Vision Section]],Table2[#Headers],0),0)</f>
        <v>0</v>
      </c>
      <c r="AB67" s="2">
        <f>VLOOKUP([jobnumber],OvalData[],MATCH(Table2[[#Headers],[Grille Amount]],Table2[#Headers],0),0)</f>
        <v>0</v>
      </c>
      <c r="AC67" s="2">
        <f>VLOOKUP([jobnumber],OvalData[],MATCH(Table2[[#Headers],[Grille Center]],Table2[#Headers],0),0)</f>
        <v>0</v>
      </c>
      <c r="AD67" s="2">
        <f>VLOOKUP([jobnumber],OvalData[],MATCH(Table2[[#Headers],[Grille Pattern]],Table2[#Headers],0),0)</f>
        <v>0</v>
      </c>
      <c r="AE67" s="2">
        <f>VLOOKUP([jobnumber],OvalData[],MATCH(Table2[[#Headers],[Grille First Tube]],Table2[#Headers],0),0)</f>
        <v>0</v>
      </c>
      <c r="AF67" s="2">
        <f>VLOOKUP([jobnumber],OvalData[],MATCH(Table2[[#Headers],[Grille Standard Tube]],Table2[#Headers],0),0)</f>
        <v>0</v>
      </c>
      <c r="AG67" s="2">
        <f>VLOOKUP([jobnumber],OvalData[],MATCH(Table2[[#Headers],[Grille Total Links]],Table2[#Headers],0),0)</f>
        <v>0</v>
      </c>
      <c r="AH67" s="2">
        <f>VLOOKUP([jobnumber],OvalData[],MATCH(Table2[[#Headers],[Grille Rods]],Table2[#Headers],0),0)</f>
        <v>0</v>
      </c>
      <c r="AI67" s="2">
        <f>VLOOKUP([jobnumber],OvalData[],MATCH(Table2[[#Headers],[Grille Rod Length]],Table2[#Headers],0),0)</f>
        <v>0</v>
      </c>
      <c r="AJ67" s="2">
        <f>VLOOKUP([jobnumber],OvalData[],MATCH(Table2[[#Headers],[slattype]],Table2[#Headers],0),0)</f>
        <v>2</v>
      </c>
      <c r="AK67" s="2">
        <f>VLOOKUP([jobnumber],OvalData[],MATCH(Table2[[#Headers],[slatgage]],Table2[#Headers],0),0)</f>
        <v>18</v>
      </c>
      <c r="AL67" s="2">
        <f>VLOOKUP([jobnumber],OvalData[],MATCH(Table2[[#Headers],[Numer of Top Slats]],Table2[#Headers],0),0)</f>
        <v>0</v>
      </c>
      <c r="AM67" s="2">
        <f>VLOOKUP([jobnumber],OvalData[],MATCH(Table2[[#Headers],[Number of Bottom Slats]],Table2[#Headers],0),0)</f>
        <v>0</v>
      </c>
      <c r="AN67" s="2">
        <f>VLOOKUP([jobnumber],OvalData[],MATCH(Table2[[#Headers],[Solid Bottom Height]],Table2[#Headers],0),0)</f>
        <v>0</v>
      </c>
      <c r="AO67" s="2" t="str">
        <f>VLOOKUP([jobnumber],OvalData[],MATCH(Table2[[#Headers],[slatlength]],Table2[#Headers],0),0)</f>
        <v xml:space="preserve"> 18 ft.- 5 7/ 8"</v>
      </c>
      <c r="AP67" s="2">
        <f>VLOOKUP([jobnumber],OvalData[],MATCH(Table2[[#Headers],[Bottom Slat Length]],Table2[#Headers],0),0)</f>
        <v>0</v>
      </c>
      <c r="AQ67" s="2">
        <f>VLOOKUP([jobnumber],OvalData[],MATCH(Table2[[#Headers],[Number of Perferated Slats]],Table2[#Headers],0),0)</f>
        <v>0</v>
      </c>
      <c r="AR67" s="2">
        <f>VLOOKUP([jobnumber],OvalData[],MATCH(Table2[[#Headers],[First Preferated Slat From End]],Table2[#Headers],0),0)</f>
        <v>0</v>
      </c>
      <c r="AS67" s="2">
        <f>VLOOKUP([jobnumber],OvalData[],MATCH(Table2[[#Headers],[First Preferated Slat From Bottom]],Table2[#Headers],0),0)</f>
        <v>0</v>
      </c>
      <c r="AT67" s="2">
        <f>VLOOKUP([jobnumber],OvalData[],MATCH(Table2[[#Headers],[Total Number of Slats]],Table2[#Headers],0),0)</f>
        <v>51</v>
      </c>
      <c r="AU67" s="2">
        <f>VLOOKUP([jobnumber],OvalData[],MATCH(Table2[[#Headers],[Bottom Bar Slope]],Table2[#Headers],0),0)</f>
        <v>0</v>
      </c>
      <c r="AV67" s="2">
        <f>VLOOKUP([jobnumber],OvalData[],MATCH(Table2[[#Headers],[Bottom Bar Weight]],Table2[#Headers],0),0)</f>
        <v>80.5</v>
      </c>
      <c r="AW67" s="2" t="str">
        <f>VLOOKUP([jobnumber],OvalData[],MATCH(Table2[[#Headers],[Outer Spring Gage]],Table2[#Headers],0),0)</f>
        <v>Null</v>
      </c>
      <c r="AX67" s="2" t="str">
        <f>VLOOKUP([jobnumber],OvalData[],MATCH(Table2[[#Headers],[Outer Spring OD]],Table2[#Headers],0),0)</f>
        <v>Null</v>
      </c>
      <c r="AY67" s="2" t="str">
        <f>VLOOKUP([jobnumber],OvalData[],MATCH(Table2[[#Headers],[Outer Spring Length]],Table2[#Headers],0),0)</f>
        <v>Null</v>
      </c>
      <c r="AZ67" s="2" t="str">
        <f>VLOOKUP([jobnumber],OvalData[],MATCH(Table2[[#Headers],[Outer Spring Stretch]],Table2[#Headers],0),0)</f>
        <v>Null</v>
      </c>
      <c r="BA67" s="2" t="str">
        <f>VLOOKUP([jobnumber],OvalData[],MATCH(Table2[[#Headers],[Outer Spring Torque]],Table2[#Headers],0),0)</f>
        <v>Null</v>
      </c>
      <c r="BB67" s="2" t="str">
        <f>VLOOKUP([jobnumber],OvalData[],MATCH(Table2[[#Headers],[Outer Spring Max Turns]],Table2[#Headers],0),0)</f>
        <v>Null</v>
      </c>
      <c r="BC67" s="2" t="str">
        <f>VLOOKUP([jobnumber],OvalData[],MATCH(Table2[[#Headers],[Outer Spring Weight]],Table2[#Headers],0),0)</f>
        <v>Null</v>
      </c>
      <c r="BD67" s="2" t="str">
        <f>VLOOKUP([jobnumber],OvalData[],MATCH(Table2[[#Headers],[Inner Spring Gage]],Table2[#Headers],0),0)</f>
        <v>Null</v>
      </c>
      <c r="BE67" s="2" t="str">
        <f>VLOOKUP([jobnumber],OvalData[],MATCH(Table2[[#Headers],[Inner Spring OD]],Table2[#Headers],0),0)</f>
        <v>Null</v>
      </c>
      <c r="BF67" s="2" t="str">
        <f>VLOOKUP([jobnumber],OvalData[],MATCH(Table2[[#Headers],[Inner Spring Length]],Table2[#Headers],0),0)</f>
        <v>Null</v>
      </c>
      <c r="BG67" s="2" t="str">
        <f>VLOOKUP([jobnumber],OvalData[],MATCH(Table2[[#Headers],[Inner Spring Stretch]],Table2[#Headers],0),0)</f>
        <v>Null</v>
      </c>
      <c r="BH67" s="2" t="str">
        <f>VLOOKUP([jobnumber],OvalData[],MATCH(Table2[[#Headers],[Inner Spring Torque]],Table2[#Headers],0),0)</f>
        <v>Null</v>
      </c>
      <c r="BI67" s="2" t="str">
        <f>VLOOKUP([jobnumber],OvalData[],MATCH(Table2[[#Headers],[Inner Spring Max Turns]],Table2[#Headers],0),0)</f>
        <v>Null</v>
      </c>
      <c r="BJ67" s="2" t="str">
        <f>VLOOKUP([jobnumber],OvalData[],MATCH(Table2[[#Headers],[Inner Spring Weight]],Table2[#Headers],0),0)</f>
        <v>Null</v>
      </c>
      <c r="BK67" s="2">
        <f>VLOOKUP([jobnumber],OvalData[],MATCH(Table2[[#Headers],[Cycles]],Table2[#Headers],0),0)</f>
        <v>0</v>
      </c>
      <c r="BL67" s="2">
        <f>VLOOKUP([jobnumber],OvalData[],MATCH(Table2[[#Headers],[Total Spring Torque]],Table2[#Headers],0),0)</f>
        <v>0</v>
      </c>
      <c r="BM67" s="2">
        <f>VLOOKUP([jobnumber],OvalData[],MATCH(Table2[[#Headers],[Total Spring Weight]],Table2[#Headers],0),0)</f>
        <v>0</v>
      </c>
      <c r="BN67" s="2">
        <f>VLOOKUP([jobnumber],OvalData[],MATCH(Table2[[#Headers],[Pipe Weight]],Table2[#Headers],0),0)</f>
        <v>688.24239999999998</v>
      </c>
      <c r="BO67" s="2">
        <f>VLOOKUP([jobnumber],OvalData[],MATCH(Table2[[#Headers],[Max Pipe Deflection]],Table2[#Headers],0),0)</f>
        <v>2309</v>
      </c>
      <c r="BP67" s="2">
        <f>VLOOKUP([jobnumber],OvalData[],MATCH(Table2[[#Headers],[Number Non-Insulated Wrap Slats]],Table2[#Headers],0),0)</f>
        <v>0</v>
      </c>
      <c r="BQ67" s="2">
        <f>VLOOKUP([jobnumber],OvalData[],MATCH(Table2[[#Headers],[Number of Insolated Top Slats]],Table2[#Headers],0),0)</f>
        <v>45</v>
      </c>
      <c r="BR67" s="2">
        <f>VLOOKUP([jobnumber],OvalData[],MATCH(Table2[[#Headers],[Insolated Total Slats]],Table2[#Headers],0),0)</f>
        <v>45</v>
      </c>
      <c r="BS67" s="2">
        <f>VLOOKUP([jobnumber],OvalData[],MATCH(Table2[[#Headers],[Number of Slats]],Table2[#Headers],0),0)</f>
        <v>44.69</v>
      </c>
      <c r="BT67" s="2">
        <f>VLOOKUP([jobnumber],OvalData[],MATCH(Table2[[#Headers],[Wrap]],Table2[#Headers],0),0)</f>
        <v>0</v>
      </c>
      <c r="BU67" s="2">
        <f>VLOOKUP([jobnumber],OvalData[],MATCH(Table2[[#Headers],[Wall Angle Thickness]],Table2[#Headers],0),0)</f>
        <v>0</v>
      </c>
      <c r="BV67" s="2">
        <f>VLOOKUP([jobnumber],OvalData[],MATCH(Table2[[#Headers],[windlocks]],Table2[#Headers],0),0)</f>
        <v>0</v>
      </c>
      <c r="BW67" s="2" t="str">
        <f>VLOOKUP([jobnumber],OvalData[],MATCH(Table2[[#Headers],[bottombartype]],Table2[#Headers],0),0)</f>
        <v>SPECIAL</v>
      </c>
      <c r="BX67" s="2">
        <f>VLOOKUP([jobnumber],OvalData[],MATCH(Table2[[#Headers],[endlockweight]],Table2[#Headers],0),0)</f>
        <v>0.17</v>
      </c>
      <c r="BY67" s="2">
        <f>VLOOKUP([jobnumber],OvalData[],MATCH(Table2[[#Headers],[Endlock Total Weight]],Table2[#Headers],0),0)</f>
        <v>7.5972999999999997</v>
      </c>
      <c r="BZ67" s="2">
        <f>VLOOKUP([jobnumber],OvalData[],MATCH(Table2[[#Headers],[Grille Weight]],Table2[#Headers],0),0)</f>
        <v>0</v>
      </c>
      <c r="CA67" s="2">
        <f>VLOOKUP([jobnumber],OvalData[],MATCH(Table2[[#Headers],[barrelrings]],Table2[#Headers],0),0)</f>
        <v>1</v>
      </c>
    </row>
    <row r="68" spans="2:79">
      <c r="B68" s="2" t="str">
        <f>VLOOKUP([jobnumber],OvalData[],MATCH(Table2[[#Headers],[Hand]],Table2[#Headers],0),0)</f>
        <v>RH</v>
      </c>
      <c r="C68" s="2" t="str">
        <f>VLOOKUP([jobnumber],OvalData[],MATCH(Table2[[#Headers],[Model]],Table2[#Headers],0),0)</f>
        <v>SFMPP</v>
      </c>
      <c r="D68" s="2" t="str">
        <f>VLOOKUP([jobnumber],OvalData[],MATCH(Table2[[#Headers],[width]],Table2[#Headers],0),0)</f>
        <v xml:space="preserve"> 18 ft.- 2"</v>
      </c>
      <c r="E68" s="2" t="str">
        <f>VLOOKUP([jobnumber],OvalData[],MATCH(Table2[[#Headers],[stopheight]],Table2[#Headers],0),0)</f>
        <v xml:space="preserve"> 10 ft.- 0"</v>
      </c>
      <c r="F68" s="2" t="str">
        <f>VLOOKUP([jobnumber],OvalData[],MATCH(Table2[[#Headers],[Between Brackets]],Table2[#Headers],0),0)</f>
        <v xml:space="preserve"> 18 ft.- 7 7/ 8"</v>
      </c>
      <c r="G68" s="2" t="str">
        <f>VLOOKUP([jobnumber],OvalData[],MATCH(Table2[[#Headers],[shell]],Table2[#Headers],0),0)</f>
        <v>6 INCH TUBE</v>
      </c>
      <c r="H68" s="2" t="str">
        <f>VLOOKUP([jobnumber],OvalData[],MATCH(Table2[[#Headers],[pipewidth]],Table2[#Headers],0),0)</f>
        <v xml:space="preserve"> 18 ft.- 1 3/ 8"</v>
      </c>
      <c r="I68" s="2">
        <f>VLOOKUP([jobnumber],OvalData[],MATCH(Table2[[#Headers],[Support Tubes]],Table2[#Headers],0),0)</f>
        <v>0</v>
      </c>
      <c r="J68" s="2">
        <f>VLOOKUP([jobnumber],OvalData[],MATCH(Table2[[#Headers],[Upset]],Table2[#Headers],0),0)</f>
        <v>2</v>
      </c>
      <c r="K68" s="2" t="str">
        <f>VLOOKUP([jobnumber],OvalData[],MATCH(Table2[[#Headers],[Guide Type]],Table2[#Headers],0),0)</f>
        <v>SN2-4 5/8-E</v>
      </c>
      <c r="L68" s="2" t="str">
        <f>VLOOKUP([jobnumber],OvalData[],MATCH(Table2[[#Headers],[Wall Angle]],Table2[#Headers],0),0)</f>
        <v xml:space="preserve"> 11 ft.- 8"</v>
      </c>
      <c r="M68" s="2" t="str">
        <f>VLOOKUP([jobnumber],OvalData[],MATCH(Table2[[#Headers],[Middle Angle]],Table2[#Headers],0),0)</f>
        <v xml:space="preserve"> 10 ft.- 4 1/ 2"</v>
      </c>
      <c r="N68" s="2" t="str">
        <f>VLOOKUP([jobnumber],OvalData[],MATCH(Table2[[#Headers],[Front Angle]],Table2[#Headers],0),0)</f>
        <v xml:space="preserve"> 10 ft.- 3"</v>
      </c>
      <c r="O68" s="2">
        <f>VLOOKUP([jobnumber],OvalData[],MATCH(Table2[[#Headers],[Pipe Center Line]],Table2[#Headers],0),0)</f>
        <v>131</v>
      </c>
      <c r="P68" s="2">
        <f>VLOOKUP([jobnumber],OvalData[],MATCH(Table2[[#Headers],[Heat Expansion Gap]],Table2[#Headers],0),0)</f>
        <v>0</v>
      </c>
      <c r="Q68" s="2">
        <f>VLOOKUP([jobnumber],OvalData[],MATCH(Table2[[#Headers],[Hanging Weight Closed]],Table2[#Headers],0),0)</f>
        <v>795</v>
      </c>
      <c r="R68" s="2">
        <f>VLOOKUP([jobnumber],OvalData[],MATCH(Table2[[#Headers],[Hanging Weight Open]],Table2[#Headers],0),0)</f>
        <v>140</v>
      </c>
      <c r="S68" s="2">
        <f>VLOOKUP([jobnumber],OvalData[],MATCH(Table2[[#Headers],[Initial Lever Arm]],Table2[#Headers],0),0)</f>
        <v>4.25</v>
      </c>
      <c r="T68" s="2">
        <f>VLOOKUP([jobnumber],OvalData[],MATCH(Table2[[#Headers],[Turns to Raise]],Table2[#Headers],0),0)</f>
        <v>3.5859999999999999</v>
      </c>
      <c r="U68" s="2">
        <f>VLOOKUP([jobnumber],OvalData[],MATCH(Table2[[#Headers],[Final Lever Arm]],Table2[#Headers],0),0)</f>
        <v>6.37</v>
      </c>
      <c r="V68" s="2">
        <f>VLOOKUP([jobnumber],OvalData[],MATCH(Table2[[#Headers],[Torque Required Closed]],Table2[#Headers],0),0)</f>
        <v>3377.9</v>
      </c>
      <c r="W68" s="2">
        <f>VLOOKUP([jobnumber],OvalData[],MATCH(Table2[[#Headers],[Torque Required Open]],Table2[#Headers],0),0)</f>
        <v>892</v>
      </c>
      <c r="X68" s="2">
        <f>VLOOKUP([jobnumber],OvalData[],MATCH(Table2[[#Headers],[Pre Turns]],Table2[#Headers],0),0)</f>
        <v>1.3332999999999999</v>
      </c>
      <c r="Y68" s="2">
        <f>VLOOKUP([jobnumber],OvalData[],MATCH(Table2[[#Headers],[Required Torque Per Turn]],Table2[#Headers],0),0)</f>
        <v>688</v>
      </c>
      <c r="Z68" s="2">
        <f>VLOOKUP([jobnumber],OvalData[],MATCH(Table2[[#Headers],[Total Turns]],Table2[#Headers],0),0)</f>
        <v>4.91</v>
      </c>
      <c r="AA68" s="2">
        <f>VLOOKUP([jobnumber],OvalData[],MATCH(Table2[[#Headers],[Grille Vision Section]],Table2[#Headers],0),0)</f>
        <v>0</v>
      </c>
      <c r="AB68" s="2">
        <f>VLOOKUP([jobnumber],OvalData[],MATCH(Table2[[#Headers],[Grille Amount]],Table2[#Headers],0),0)</f>
        <v>0</v>
      </c>
      <c r="AC68" s="2">
        <f>VLOOKUP([jobnumber],OvalData[],MATCH(Table2[[#Headers],[Grille Center]],Table2[#Headers],0),0)</f>
        <v>0</v>
      </c>
      <c r="AD68" s="2">
        <f>VLOOKUP([jobnumber],OvalData[],MATCH(Table2[[#Headers],[Grille Pattern]],Table2[#Headers],0),0)</f>
        <v>0</v>
      </c>
      <c r="AE68" s="2">
        <f>VLOOKUP([jobnumber],OvalData[],MATCH(Table2[[#Headers],[Grille First Tube]],Table2[#Headers],0),0)</f>
        <v>0</v>
      </c>
      <c r="AF68" s="2">
        <f>VLOOKUP([jobnumber],OvalData[],MATCH(Table2[[#Headers],[Grille Standard Tube]],Table2[#Headers],0),0)</f>
        <v>0</v>
      </c>
      <c r="AG68" s="2">
        <f>VLOOKUP([jobnumber],OvalData[],MATCH(Table2[[#Headers],[Grille Total Links]],Table2[#Headers],0),0)</f>
        <v>0</v>
      </c>
      <c r="AH68" s="2">
        <f>VLOOKUP([jobnumber],OvalData[],MATCH(Table2[[#Headers],[Grille Rods]],Table2[#Headers],0),0)</f>
        <v>0</v>
      </c>
      <c r="AI68" s="2">
        <f>VLOOKUP([jobnumber],OvalData[],MATCH(Table2[[#Headers],[Grille Rod Length]],Table2[#Headers],0),0)</f>
        <v>0</v>
      </c>
      <c r="AJ68" s="2">
        <f>VLOOKUP([jobnumber],OvalData[],MATCH(Table2[[#Headers],[slattype]],Table2[#Headers],0),0)</f>
        <v>2</v>
      </c>
      <c r="AK68" s="2">
        <f>VLOOKUP([jobnumber],OvalData[],MATCH(Table2[[#Headers],[slatgage]],Table2[#Headers],0),0)</f>
        <v>18</v>
      </c>
      <c r="AL68" s="2">
        <f>VLOOKUP([jobnumber],OvalData[],MATCH(Table2[[#Headers],[Numer of Top Slats]],Table2[#Headers],0),0)</f>
        <v>0</v>
      </c>
      <c r="AM68" s="2">
        <f>VLOOKUP([jobnumber],OvalData[],MATCH(Table2[[#Headers],[Number of Bottom Slats]],Table2[#Headers],0),0)</f>
        <v>0</v>
      </c>
      <c r="AN68" s="2">
        <f>VLOOKUP([jobnumber],OvalData[],MATCH(Table2[[#Headers],[Solid Bottom Height]],Table2[#Headers],0),0)</f>
        <v>0</v>
      </c>
      <c r="AO68" s="2" t="str">
        <f>VLOOKUP([jobnumber],OvalData[],MATCH(Table2[[#Headers],[slatlength]],Table2[#Headers],0),0)</f>
        <v xml:space="preserve"> 18 ft.- 5 7/ 8"</v>
      </c>
      <c r="AP68" s="2">
        <f>VLOOKUP([jobnumber],OvalData[],MATCH(Table2[[#Headers],[Bottom Slat Length]],Table2[#Headers],0),0)</f>
        <v>0</v>
      </c>
      <c r="AQ68" s="2">
        <f>VLOOKUP([jobnumber],OvalData[],MATCH(Table2[[#Headers],[Number of Perferated Slats]],Table2[#Headers],0),0)</f>
        <v>0</v>
      </c>
      <c r="AR68" s="2">
        <f>VLOOKUP([jobnumber],OvalData[],MATCH(Table2[[#Headers],[First Preferated Slat From End]],Table2[#Headers],0),0)</f>
        <v>0</v>
      </c>
      <c r="AS68" s="2">
        <f>VLOOKUP([jobnumber],OvalData[],MATCH(Table2[[#Headers],[First Preferated Slat From Bottom]],Table2[#Headers],0),0)</f>
        <v>0</v>
      </c>
      <c r="AT68" s="2">
        <f>VLOOKUP([jobnumber],OvalData[],MATCH(Table2[[#Headers],[Total Number of Slats]],Table2[#Headers],0),0)</f>
        <v>51</v>
      </c>
      <c r="AU68" s="2">
        <f>VLOOKUP([jobnumber],OvalData[],MATCH(Table2[[#Headers],[Bottom Bar Slope]],Table2[#Headers],0),0)</f>
        <v>0</v>
      </c>
      <c r="AV68" s="2">
        <f>VLOOKUP([jobnumber],OvalData[],MATCH(Table2[[#Headers],[Bottom Bar Weight]],Table2[#Headers],0),0)</f>
        <v>80.5</v>
      </c>
      <c r="AW68" s="2" t="str">
        <f>VLOOKUP([jobnumber],OvalData[],MATCH(Table2[[#Headers],[Outer Spring Gage]],Table2[#Headers],0),0)</f>
        <v>Null</v>
      </c>
      <c r="AX68" s="2" t="str">
        <f>VLOOKUP([jobnumber],OvalData[],MATCH(Table2[[#Headers],[Outer Spring OD]],Table2[#Headers],0),0)</f>
        <v>Null</v>
      </c>
      <c r="AY68" s="2" t="str">
        <f>VLOOKUP([jobnumber],OvalData[],MATCH(Table2[[#Headers],[Outer Spring Length]],Table2[#Headers],0),0)</f>
        <v>Null</v>
      </c>
      <c r="AZ68" s="2" t="str">
        <f>VLOOKUP([jobnumber],OvalData[],MATCH(Table2[[#Headers],[Outer Spring Stretch]],Table2[#Headers],0),0)</f>
        <v>Null</v>
      </c>
      <c r="BA68" s="2" t="str">
        <f>VLOOKUP([jobnumber],OvalData[],MATCH(Table2[[#Headers],[Outer Spring Torque]],Table2[#Headers],0),0)</f>
        <v>Null</v>
      </c>
      <c r="BB68" s="2" t="str">
        <f>VLOOKUP([jobnumber],OvalData[],MATCH(Table2[[#Headers],[Outer Spring Max Turns]],Table2[#Headers],0),0)</f>
        <v>Null</v>
      </c>
      <c r="BC68" s="2" t="str">
        <f>VLOOKUP([jobnumber],OvalData[],MATCH(Table2[[#Headers],[Outer Spring Weight]],Table2[#Headers],0),0)</f>
        <v>Null</v>
      </c>
      <c r="BD68" s="2" t="str">
        <f>VLOOKUP([jobnumber],OvalData[],MATCH(Table2[[#Headers],[Inner Spring Gage]],Table2[#Headers],0),0)</f>
        <v>Null</v>
      </c>
      <c r="BE68" s="2" t="str">
        <f>VLOOKUP([jobnumber],OvalData[],MATCH(Table2[[#Headers],[Inner Spring OD]],Table2[#Headers],0),0)</f>
        <v>Null</v>
      </c>
      <c r="BF68" s="2" t="str">
        <f>VLOOKUP([jobnumber],OvalData[],MATCH(Table2[[#Headers],[Inner Spring Length]],Table2[#Headers],0),0)</f>
        <v>Null</v>
      </c>
      <c r="BG68" s="2" t="str">
        <f>VLOOKUP([jobnumber],OvalData[],MATCH(Table2[[#Headers],[Inner Spring Stretch]],Table2[#Headers],0),0)</f>
        <v>Null</v>
      </c>
      <c r="BH68" s="2" t="str">
        <f>VLOOKUP([jobnumber],OvalData[],MATCH(Table2[[#Headers],[Inner Spring Torque]],Table2[#Headers],0),0)</f>
        <v>Null</v>
      </c>
      <c r="BI68" s="2" t="str">
        <f>VLOOKUP([jobnumber],OvalData[],MATCH(Table2[[#Headers],[Inner Spring Max Turns]],Table2[#Headers],0),0)</f>
        <v>Null</v>
      </c>
      <c r="BJ68" s="2" t="str">
        <f>VLOOKUP([jobnumber],OvalData[],MATCH(Table2[[#Headers],[Inner Spring Weight]],Table2[#Headers],0),0)</f>
        <v>Null</v>
      </c>
      <c r="BK68" s="2">
        <f>VLOOKUP([jobnumber],OvalData[],MATCH(Table2[[#Headers],[Cycles]],Table2[#Headers],0),0)</f>
        <v>0</v>
      </c>
      <c r="BL68" s="2">
        <f>VLOOKUP([jobnumber],OvalData[],MATCH(Table2[[#Headers],[Total Spring Torque]],Table2[#Headers],0),0)</f>
        <v>0</v>
      </c>
      <c r="BM68" s="2">
        <f>VLOOKUP([jobnumber],OvalData[],MATCH(Table2[[#Headers],[Total Spring Weight]],Table2[#Headers],0),0)</f>
        <v>0</v>
      </c>
      <c r="BN68" s="2">
        <f>VLOOKUP([jobnumber],OvalData[],MATCH(Table2[[#Headers],[Pipe Weight]],Table2[#Headers],0),0)</f>
        <v>688.24239999999998</v>
      </c>
      <c r="BO68" s="2">
        <f>VLOOKUP([jobnumber],OvalData[],MATCH(Table2[[#Headers],[Max Pipe Deflection]],Table2[#Headers],0),0)</f>
        <v>2309</v>
      </c>
      <c r="BP68" s="2">
        <f>VLOOKUP([jobnumber],OvalData[],MATCH(Table2[[#Headers],[Number Non-Insulated Wrap Slats]],Table2[#Headers],0),0)</f>
        <v>0</v>
      </c>
      <c r="BQ68" s="2">
        <f>VLOOKUP([jobnumber],OvalData[],MATCH(Table2[[#Headers],[Number of Insolated Top Slats]],Table2[#Headers],0),0)</f>
        <v>45</v>
      </c>
      <c r="BR68" s="2">
        <f>VLOOKUP([jobnumber],OvalData[],MATCH(Table2[[#Headers],[Insolated Total Slats]],Table2[#Headers],0),0)</f>
        <v>45</v>
      </c>
      <c r="BS68" s="2">
        <f>VLOOKUP([jobnumber],OvalData[],MATCH(Table2[[#Headers],[Number of Slats]],Table2[#Headers],0),0)</f>
        <v>44.69</v>
      </c>
      <c r="BT68" s="2">
        <f>VLOOKUP([jobnumber],OvalData[],MATCH(Table2[[#Headers],[Wrap]],Table2[#Headers],0),0)</f>
        <v>0</v>
      </c>
      <c r="BU68" s="2">
        <f>VLOOKUP([jobnumber],OvalData[],MATCH(Table2[[#Headers],[Wall Angle Thickness]],Table2[#Headers],0),0)</f>
        <v>0</v>
      </c>
      <c r="BV68" s="2">
        <f>VLOOKUP([jobnumber],OvalData[],MATCH(Table2[[#Headers],[windlocks]],Table2[#Headers],0),0)</f>
        <v>0</v>
      </c>
      <c r="BW68" s="2" t="str">
        <f>VLOOKUP([jobnumber],OvalData[],MATCH(Table2[[#Headers],[bottombartype]],Table2[#Headers],0),0)</f>
        <v>SPECIAL</v>
      </c>
      <c r="BX68" s="2">
        <f>VLOOKUP([jobnumber],OvalData[],MATCH(Table2[[#Headers],[endlockweight]],Table2[#Headers],0),0)</f>
        <v>0.17</v>
      </c>
      <c r="BY68" s="2">
        <f>VLOOKUP([jobnumber],OvalData[],MATCH(Table2[[#Headers],[Endlock Total Weight]],Table2[#Headers],0),0)</f>
        <v>7.5972999999999997</v>
      </c>
      <c r="BZ68" s="2">
        <f>VLOOKUP([jobnumber],OvalData[],MATCH(Table2[[#Headers],[Grille Weight]],Table2[#Headers],0),0)</f>
        <v>0</v>
      </c>
      <c r="CA68" s="2">
        <f>VLOOKUP([jobnumber],OvalData[],MATCH(Table2[[#Headers],[barrelrings]],Table2[#Headers],0),0)</f>
        <v>1</v>
      </c>
    </row>
    <row r="69" spans="2:79">
      <c r="B69" s="2" t="str">
        <f>VLOOKUP([jobnumber],OvalData[],MATCH(Table2[[#Headers],[Hand]],Table2[#Headers],0),0)</f>
        <v>RH</v>
      </c>
      <c r="C69" s="2" t="str">
        <f>VLOOKUP([jobnumber],OvalData[],MATCH(Table2[[#Headers],[Model]],Table2[#Headers],0),0)</f>
        <v>SFMPP</v>
      </c>
      <c r="D69" s="2" t="str">
        <f>VLOOKUP([jobnumber],OvalData[],MATCH(Table2[[#Headers],[width]],Table2[#Headers],0),0)</f>
        <v xml:space="preserve"> 18 ft.- 2"</v>
      </c>
      <c r="E69" s="2" t="str">
        <f>VLOOKUP([jobnumber],OvalData[],MATCH(Table2[[#Headers],[stopheight]],Table2[#Headers],0),0)</f>
        <v xml:space="preserve"> 10 ft.- 0"</v>
      </c>
      <c r="F69" s="2" t="str">
        <f>VLOOKUP([jobnumber],OvalData[],MATCH(Table2[[#Headers],[Between Brackets]],Table2[#Headers],0),0)</f>
        <v xml:space="preserve"> 18 ft.- 7 7/ 8"</v>
      </c>
      <c r="G69" s="2" t="str">
        <f>VLOOKUP([jobnumber],OvalData[],MATCH(Table2[[#Headers],[shell]],Table2[#Headers],0),0)</f>
        <v>6 INCH TUBE</v>
      </c>
      <c r="H69" s="2" t="str">
        <f>VLOOKUP([jobnumber],OvalData[],MATCH(Table2[[#Headers],[pipewidth]],Table2[#Headers],0),0)</f>
        <v xml:space="preserve"> 18 ft.- 1 3/ 8"</v>
      </c>
      <c r="I69" s="2">
        <f>VLOOKUP([jobnumber],OvalData[],MATCH(Table2[[#Headers],[Support Tubes]],Table2[#Headers],0),0)</f>
        <v>0</v>
      </c>
      <c r="J69" s="2">
        <f>VLOOKUP([jobnumber],OvalData[],MATCH(Table2[[#Headers],[Upset]],Table2[#Headers],0),0)</f>
        <v>2</v>
      </c>
      <c r="K69" s="2" t="str">
        <f>VLOOKUP([jobnumber],OvalData[],MATCH(Table2[[#Headers],[Guide Type]],Table2[#Headers],0),0)</f>
        <v>SN2-4 5/8-E</v>
      </c>
      <c r="L69" s="2" t="str">
        <f>VLOOKUP([jobnumber],OvalData[],MATCH(Table2[[#Headers],[Wall Angle]],Table2[#Headers],0),0)</f>
        <v xml:space="preserve"> 11 ft.- 8"</v>
      </c>
      <c r="M69" s="2" t="str">
        <f>VLOOKUP([jobnumber],OvalData[],MATCH(Table2[[#Headers],[Middle Angle]],Table2[#Headers],0),0)</f>
        <v xml:space="preserve"> 10 ft.- 4 1/ 2"</v>
      </c>
      <c r="N69" s="2" t="str">
        <f>VLOOKUP([jobnumber],OvalData[],MATCH(Table2[[#Headers],[Front Angle]],Table2[#Headers],0),0)</f>
        <v xml:space="preserve"> 10 ft.- 3"</v>
      </c>
      <c r="O69" s="2">
        <f>VLOOKUP([jobnumber],OvalData[],MATCH(Table2[[#Headers],[Pipe Center Line]],Table2[#Headers],0),0)</f>
        <v>131</v>
      </c>
      <c r="P69" s="2">
        <f>VLOOKUP([jobnumber],OvalData[],MATCH(Table2[[#Headers],[Heat Expansion Gap]],Table2[#Headers],0),0)</f>
        <v>0</v>
      </c>
      <c r="Q69" s="2">
        <f>VLOOKUP([jobnumber],OvalData[],MATCH(Table2[[#Headers],[Hanging Weight Closed]],Table2[#Headers],0),0)</f>
        <v>795</v>
      </c>
      <c r="R69" s="2">
        <f>VLOOKUP([jobnumber],OvalData[],MATCH(Table2[[#Headers],[Hanging Weight Open]],Table2[#Headers],0),0)</f>
        <v>140</v>
      </c>
      <c r="S69" s="2">
        <f>VLOOKUP([jobnumber],OvalData[],MATCH(Table2[[#Headers],[Initial Lever Arm]],Table2[#Headers],0),0)</f>
        <v>4.25</v>
      </c>
      <c r="T69" s="2">
        <f>VLOOKUP([jobnumber],OvalData[],MATCH(Table2[[#Headers],[Turns to Raise]],Table2[#Headers],0),0)</f>
        <v>3.5859999999999999</v>
      </c>
      <c r="U69" s="2">
        <f>VLOOKUP([jobnumber],OvalData[],MATCH(Table2[[#Headers],[Final Lever Arm]],Table2[#Headers],0),0)</f>
        <v>6.37</v>
      </c>
      <c r="V69" s="2">
        <f>VLOOKUP([jobnumber],OvalData[],MATCH(Table2[[#Headers],[Torque Required Closed]],Table2[#Headers],0),0)</f>
        <v>3377.9</v>
      </c>
      <c r="W69" s="2">
        <f>VLOOKUP([jobnumber],OvalData[],MATCH(Table2[[#Headers],[Torque Required Open]],Table2[#Headers],0),0)</f>
        <v>892</v>
      </c>
      <c r="X69" s="2">
        <f>VLOOKUP([jobnumber],OvalData[],MATCH(Table2[[#Headers],[Pre Turns]],Table2[#Headers],0),0)</f>
        <v>1.3332999999999999</v>
      </c>
      <c r="Y69" s="2">
        <f>VLOOKUP([jobnumber],OvalData[],MATCH(Table2[[#Headers],[Required Torque Per Turn]],Table2[#Headers],0),0)</f>
        <v>688</v>
      </c>
      <c r="Z69" s="2">
        <f>VLOOKUP([jobnumber],OvalData[],MATCH(Table2[[#Headers],[Total Turns]],Table2[#Headers],0),0)</f>
        <v>4.91</v>
      </c>
      <c r="AA69" s="2">
        <f>VLOOKUP([jobnumber],OvalData[],MATCH(Table2[[#Headers],[Grille Vision Section]],Table2[#Headers],0),0)</f>
        <v>0</v>
      </c>
      <c r="AB69" s="2">
        <f>VLOOKUP([jobnumber],OvalData[],MATCH(Table2[[#Headers],[Grille Amount]],Table2[#Headers],0),0)</f>
        <v>0</v>
      </c>
      <c r="AC69" s="2">
        <f>VLOOKUP([jobnumber],OvalData[],MATCH(Table2[[#Headers],[Grille Center]],Table2[#Headers],0),0)</f>
        <v>0</v>
      </c>
      <c r="AD69" s="2">
        <f>VLOOKUP([jobnumber],OvalData[],MATCH(Table2[[#Headers],[Grille Pattern]],Table2[#Headers],0),0)</f>
        <v>0</v>
      </c>
      <c r="AE69" s="2">
        <f>VLOOKUP([jobnumber],OvalData[],MATCH(Table2[[#Headers],[Grille First Tube]],Table2[#Headers],0),0)</f>
        <v>0</v>
      </c>
      <c r="AF69" s="2">
        <f>VLOOKUP([jobnumber],OvalData[],MATCH(Table2[[#Headers],[Grille Standard Tube]],Table2[#Headers],0),0)</f>
        <v>0</v>
      </c>
      <c r="AG69" s="2">
        <f>VLOOKUP([jobnumber],OvalData[],MATCH(Table2[[#Headers],[Grille Total Links]],Table2[#Headers],0),0)</f>
        <v>0</v>
      </c>
      <c r="AH69" s="2">
        <f>VLOOKUP([jobnumber],OvalData[],MATCH(Table2[[#Headers],[Grille Rods]],Table2[#Headers],0),0)</f>
        <v>0</v>
      </c>
      <c r="AI69" s="2">
        <f>VLOOKUP([jobnumber],OvalData[],MATCH(Table2[[#Headers],[Grille Rod Length]],Table2[#Headers],0),0)</f>
        <v>0</v>
      </c>
      <c r="AJ69" s="2">
        <f>VLOOKUP([jobnumber],OvalData[],MATCH(Table2[[#Headers],[slattype]],Table2[#Headers],0),0)</f>
        <v>2</v>
      </c>
      <c r="AK69" s="2">
        <f>VLOOKUP([jobnumber],OvalData[],MATCH(Table2[[#Headers],[slatgage]],Table2[#Headers],0),0)</f>
        <v>18</v>
      </c>
      <c r="AL69" s="2">
        <f>VLOOKUP([jobnumber],OvalData[],MATCH(Table2[[#Headers],[Numer of Top Slats]],Table2[#Headers],0),0)</f>
        <v>0</v>
      </c>
      <c r="AM69" s="2">
        <f>VLOOKUP([jobnumber],OvalData[],MATCH(Table2[[#Headers],[Number of Bottom Slats]],Table2[#Headers],0),0)</f>
        <v>0</v>
      </c>
      <c r="AN69" s="2">
        <f>VLOOKUP([jobnumber],OvalData[],MATCH(Table2[[#Headers],[Solid Bottom Height]],Table2[#Headers],0),0)</f>
        <v>0</v>
      </c>
      <c r="AO69" s="2" t="str">
        <f>VLOOKUP([jobnumber],OvalData[],MATCH(Table2[[#Headers],[slatlength]],Table2[#Headers],0),0)</f>
        <v xml:space="preserve"> 18 ft.- 5 7/ 8"</v>
      </c>
      <c r="AP69" s="2">
        <f>VLOOKUP([jobnumber],OvalData[],MATCH(Table2[[#Headers],[Bottom Slat Length]],Table2[#Headers],0),0)</f>
        <v>0</v>
      </c>
      <c r="AQ69" s="2">
        <f>VLOOKUP([jobnumber],OvalData[],MATCH(Table2[[#Headers],[Number of Perferated Slats]],Table2[#Headers],0),0)</f>
        <v>0</v>
      </c>
      <c r="AR69" s="2">
        <f>VLOOKUP([jobnumber],OvalData[],MATCH(Table2[[#Headers],[First Preferated Slat From End]],Table2[#Headers],0),0)</f>
        <v>0</v>
      </c>
      <c r="AS69" s="2">
        <f>VLOOKUP([jobnumber],OvalData[],MATCH(Table2[[#Headers],[First Preferated Slat From Bottom]],Table2[#Headers],0),0)</f>
        <v>0</v>
      </c>
      <c r="AT69" s="2">
        <f>VLOOKUP([jobnumber],OvalData[],MATCH(Table2[[#Headers],[Total Number of Slats]],Table2[#Headers],0),0)</f>
        <v>51</v>
      </c>
      <c r="AU69" s="2">
        <f>VLOOKUP([jobnumber],OvalData[],MATCH(Table2[[#Headers],[Bottom Bar Slope]],Table2[#Headers],0),0)</f>
        <v>0</v>
      </c>
      <c r="AV69" s="2">
        <f>VLOOKUP([jobnumber],OvalData[],MATCH(Table2[[#Headers],[Bottom Bar Weight]],Table2[#Headers],0),0)</f>
        <v>80.5</v>
      </c>
      <c r="AW69" s="2" t="str">
        <f>VLOOKUP([jobnumber],OvalData[],MATCH(Table2[[#Headers],[Outer Spring Gage]],Table2[#Headers],0),0)</f>
        <v>Null</v>
      </c>
      <c r="AX69" s="2" t="str">
        <f>VLOOKUP([jobnumber],OvalData[],MATCH(Table2[[#Headers],[Outer Spring OD]],Table2[#Headers],0),0)</f>
        <v>Null</v>
      </c>
      <c r="AY69" s="2" t="str">
        <f>VLOOKUP([jobnumber],OvalData[],MATCH(Table2[[#Headers],[Outer Spring Length]],Table2[#Headers],0),0)</f>
        <v>Null</v>
      </c>
      <c r="AZ69" s="2" t="str">
        <f>VLOOKUP([jobnumber],OvalData[],MATCH(Table2[[#Headers],[Outer Spring Stretch]],Table2[#Headers],0),0)</f>
        <v>Null</v>
      </c>
      <c r="BA69" s="2" t="str">
        <f>VLOOKUP([jobnumber],OvalData[],MATCH(Table2[[#Headers],[Outer Spring Torque]],Table2[#Headers],0),0)</f>
        <v>Null</v>
      </c>
      <c r="BB69" s="2" t="str">
        <f>VLOOKUP([jobnumber],OvalData[],MATCH(Table2[[#Headers],[Outer Spring Max Turns]],Table2[#Headers],0),0)</f>
        <v>Null</v>
      </c>
      <c r="BC69" s="2" t="str">
        <f>VLOOKUP([jobnumber],OvalData[],MATCH(Table2[[#Headers],[Outer Spring Weight]],Table2[#Headers],0),0)</f>
        <v>Null</v>
      </c>
      <c r="BD69" s="2" t="str">
        <f>VLOOKUP([jobnumber],OvalData[],MATCH(Table2[[#Headers],[Inner Spring Gage]],Table2[#Headers],0),0)</f>
        <v>Null</v>
      </c>
      <c r="BE69" s="2" t="str">
        <f>VLOOKUP([jobnumber],OvalData[],MATCH(Table2[[#Headers],[Inner Spring OD]],Table2[#Headers],0),0)</f>
        <v>Null</v>
      </c>
      <c r="BF69" s="2" t="str">
        <f>VLOOKUP([jobnumber],OvalData[],MATCH(Table2[[#Headers],[Inner Spring Length]],Table2[#Headers],0),0)</f>
        <v>Null</v>
      </c>
      <c r="BG69" s="2" t="str">
        <f>VLOOKUP([jobnumber],OvalData[],MATCH(Table2[[#Headers],[Inner Spring Stretch]],Table2[#Headers],0),0)</f>
        <v>Null</v>
      </c>
      <c r="BH69" s="2" t="str">
        <f>VLOOKUP([jobnumber],OvalData[],MATCH(Table2[[#Headers],[Inner Spring Torque]],Table2[#Headers],0),0)</f>
        <v>Null</v>
      </c>
      <c r="BI69" s="2" t="str">
        <f>VLOOKUP([jobnumber],OvalData[],MATCH(Table2[[#Headers],[Inner Spring Max Turns]],Table2[#Headers],0),0)</f>
        <v>Null</v>
      </c>
      <c r="BJ69" s="2" t="str">
        <f>VLOOKUP([jobnumber],OvalData[],MATCH(Table2[[#Headers],[Inner Spring Weight]],Table2[#Headers],0),0)</f>
        <v>Null</v>
      </c>
      <c r="BK69" s="2">
        <f>VLOOKUP([jobnumber],OvalData[],MATCH(Table2[[#Headers],[Cycles]],Table2[#Headers],0),0)</f>
        <v>0</v>
      </c>
      <c r="BL69" s="2">
        <f>VLOOKUP([jobnumber],OvalData[],MATCH(Table2[[#Headers],[Total Spring Torque]],Table2[#Headers],0),0)</f>
        <v>0</v>
      </c>
      <c r="BM69" s="2">
        <f>VLOOKUP([jobnumber],OvalData[],MATCH(Table2[[#Headers],[Total Spring Weight]],Table2[#Headers],0),0)</f>
        <v>0</v>
      </c>
      <c r="BN69" s="2">
        <f>VLOOKUP([jobnumber],OvalData[],MATCH(Table2[[#Headers],[Pipe Weight]],Table2[#Headers],0),0)</f>
        <v>688.24239999999998</v>
      </c>
      <c r="BO69" s="2">
        <f>VLOOKUP([jobnumber],OvalData[],MATCH(Table2[[#Headers],[Max Pipe Deflection]],Table2[#Headers],0),0)</f>
        <v>2309</v>
      </c>
      <c r="BP69" s="2">
        <f>VLOOKUP([jobnumber],OvalData[],MATCH(Table2[[#Headers],[Number Non-Insulated Wrap Slats]],Table2[#Headers],0),0)</f>
        <v>0</v>
      </c>
      <c r="BQ69" s="2">
        <f>VLOOKUP([jobnumber],OvalData[],MATCH(Table2[[#Headers],[Number of Insolated Top Slats]],Table2[#Headers],0),0)</f>
        <v>45</v>
      </c>
      <c r="BR69" s="2">
        <f>VLOOKUP([jobnumber],OvalData[],MATCH(Table2[[#Headers],[Insolated Total Slats]],Table2[#Headers],0),0)</f>
        <v>45</v>
      </c>
      <c r="BS69" s="2">
        <f>VLOOKUP([jobnumber],OvalData[],MATCH(Table2[[#Headers],[Number of Slats]],Table2[#Headers],0),0)</f>
        <v>44.69</v>
      </c>
      <c r="BT69" s="2">
        <f>VLOOKUP([jobnumber],OvalData[],MATCH(Table2[[#Headers],[Wrap]],Table2[#Headers],0),0)</f>
        <v>0</v>
      </c>
      <c r="BU69" s="2">
        <f>VLOOKUP([jobnumber],OvalData[],MATCH(Table2[[#Headers],[Wall Angle Thickness]],Table2[#Headers],0),0)</f>
        <v>0</v>
      </c>
      <c r="BV69" s="2">
        <f>VLOOKUP([jobnumber],OvalData[],MATCH(Table2[[#Headers],[windlocks]],Table2[#Headers],0),0)</f>
        <v>0</v>
      </c>
      <c r="BW69" s="2" t="str">
        <f>VLOOKUP([jobnumber],OvalData[],MATCH(Table2[[#Headers],[bottombartype]],Table2[#Headers],0),0)</f>
        <v>SPECIAL</v>
      </c>
      <c r="BX69" s="2">
        <f>VLOOKUP([jobnumber],OvalData[],MATCH(Table2[[#Headers],[endlockweight]],Table2[#Headers],0),0)</f>
        <v>0.17</v>
      </c>
      <c r="BY69" s="2">
        <f>VLOOKUP([jobnumber],OvalData[],MATCH(Table2[[#Headers],[Endlock Total Weight]],Table2[#Headers],0),0)</f>
        <v>7.5972999999999997</v>
      </c>
      <c r="BZ69" s="2">
        <f>VLOOKUP([jobnumber],OvalData[],MATCH(Table2[[#Headers],[Grille Weight]],Table2[#Headers],0),0)</f>
        <v>0</v>
      </c>
      <c r="CA69" s="2">
        <f>VLOOKUP([jobnumber],OvalData[],MATCH(Table2[[#Headers],[barrelrings]],Table2[#Headers],0),0)</f>
        <v>1</v>
      </c>
    </row>
    <row r="70" spans="2:79">
      <c r="B70" s="2" t="str">
        <f>VLOOKUP([jobnumber],OvalData[],MATCH(Table2[[#Headers],[Hand]],Table2[#Headers],0),0)</f>
        <v>RH</v>
      </c>
      <c r="C70" s="2" t="str">
        <f>VLOOKUP([jobnumber],OvalData[],MATCH(Table2[[#Headers],[Model]],Table2[#Headers],0),0)</f>
        <v>SFMPP</v>
      </c>
      <c r="D70" s="2" t="str">
        <f>VLOOKUP([jobnumber],OvalData[],MATCH(Table2[[#Headers],[width]],Table2[#Headers],0),0)</f>
        <v xml:space="preserve"> 18 ft.- 2"</v>
      </c>
      <c r="E70" s="2" t="str">
        <f>VLOOKUP([jobnumber],OvalData[],MATCH(Table2[[#Headers],[stopheight]],Table2[#Headers],0),0)</f>
        <v xml:space="preserve"> 10 ft.- 0"</v>
      </c>
      <c r="F70" s="2" t="str">
        <f>VLOOKUP([jobnumber],OvalData[],MATCH(Table2[[#Headers],[Between Brackets]],Table2[#Headers],0),0)</f>
        <v xml:space="preserve"> 18 ft.- 7 7/ 8"</v>
      </c>
      <c r="G70" s="2" t="str">
        <f>VLOOKUP([jobnumber],OvalData[],MATCH(Table2[[#Headers],[shell]],Table2[#Headers],0),0)</f>
        <v>6 INCH TUBE</v>
      </c>
      <c r="H70" s="2" t="str">
        <f>VLOOKUP([jobnumber],OvalData[],MATCH(Table2[[#Headers],[pipewidth]],Table2[#Headers],0),0)</f>
        <v xml:space="preserve"> 18 ft.- 1 3/ 8"</v>
      </c>
      <c r="I70" s="2">
        <f>VLOOKUP([jobnumber],OvalData[],MATCH(Table2[[#Headers],[Support Tubes]],Table2[#Headers],0),0)</f>
        <v>0</v>
      </c>
      <c r="J70" s="2">
        <f>VLOOKUP([jobnumber],OvalData[],MATCH(Table2[[#Headers],[Upset]],Table2[#Headers],0),0)</f>
        <v>2</v>
      </c>
      <c r="K70" s="2" t="str">
        <f>VLOOKUP([jobnumber],OvalData[],MATCH(Table2[[#Headers],[Guide Type]],Table2[#Headers],0),0)</f>
        <v>SN2-4 5/8-E</v>
      </c>
      <c r="L70" s="2" t="str">
        <f>VLOOKUP([jobnumber],OvalData[],MATCH(Table2[[#Headers],[Wall Angle]],Table2[#Headers],0),0)</f>
        <v xml:space="preserve"> 11 ft.- 8"</v>
      </c>
      <c r="M70" s="2" t="str">
        <f>VLOOKUP([jobnumber],OvalData[],MATCH(Table2[[#Headers],[Middle Angle]],Table2[#Headers],0),0)</f>
        <v xml:space="preserve"> 10 ft.- 4 1/ 2"</v>
      </c>
      <c r="N70" s="2" t="str">
        <f>VLOOKUP([jobnumber],OvalData[],MATCH(Table2[[#Headers],[Front Angle]],Table2[#Headers],0),0)</f>
        <v xml:space="preserve"> 10 ft.- 3"</v>
      </c>
      <c r="O70" s="2">
        <f>VLOOKUP([jobnumber],OvalData[],MATCH(Table2[[#Headers],[Pipe Center Line]],Table2[#Headers],0),0)</f>
        <v>131</v>
      </c>
      <c r="P70" s="2">
        <f>VLOOKUP([jobnumber],OvalData[],MATCH(Table2[[#Headers],[Heat Expansion Gap]],Table2[#Headers],0),0)</f>
        <v>0</v>
      </c>
      <c r="Q70" s="2">
        <f>VLOOKUP([jobnumber],OvalData[],MATCH(Table2[[#Headers],[Hanging Weight Closed]],Table2[#Headers],0),0)</f>
        <v>795</v>
      </c>
      <c r="R70" s="2">
        <f>VLOOKUP([jobnumber],OvalData[],MATCH(Table2[[#Headers],[Hanging Weight Open]],Table2[#Headers],0),0)</f>
        <v>140</v>
      </c>
      <c r="S70" s="2">
        <f>VLOOKUP([jobnumber],OvalData[],MATCH(Table2[[#Headers],[Initial Lever Arm]],Table2[#Headers],0),0)</f>
        <v>4.25</v>
      </c>
      <c r="T70" s="2">
        <f>VLOOKUP([jobnumber],OvalData[],MATCH(Table2[[#Headers],[Turns to Raise]],Table2[#Headers],0),0)</f>
        <v>3.5859999999999999</v>
      </c>
      <c r="U70" s="2">
        <f>VLOOKUP([jobnumber],OvalData[],MATCH(Table2[[#Headers],[Final Lever Arm]],Table2[#Headers],0),0)</f>
        <v>6.37</v>
      </c>
      <c r="V70" s="2">
        <f>VLOOKUP([jobnumber],OvalData[],MATCH(Table2[[#Headers],[Torque Required Closed]],Table2[#Headers],0),0)</f>
        <v>3377.9</v>
      </c>
      <c r="W70" s="2">
        <f>VLOOKUP([jobnumber],OvalData[],MATCH(Table2[[#Headers],[Torque Required Open]],Table2[#Headers],0),0)</f>
        <v>892</v>
      </c>
      <c r="X70" s="2">
        <f>VLOOKUP([jobnumber],OvalData[],MATCH(Table2[[#Headers],[Pre Turns]],Table2[#Headers],0),0)</f>
        <v>1.3332999999999999</v>
      </c>
      <c r="Y70" s="2">
        <f>VLOOKUP([jobnumber],OvalData[],MATCH(Table2[[#Headers],[Required Torque Per Turn]],Table2[#Headers],0),0)</f>
        <v>688</v>
      </c>
      <c r="Z70" s="2">
        <f>VLOOKUP([jobnumber],OvalData[],MATCH(Table2[[#Headers],[Total Turns]],Table2[#Headers],0),0)</f>
        <v>4.91</v>
      </c>
      <c r="AA70" s="2">
        <f>VLOOKUP([jobnumber],OvalData[],MATCH(Table2[[#Headers],[Grille Vision Section]],Table2[#Headers],0),0)</f>
        <v>0</v>
      </c>
      <c r="AB70" s="2">
        <f>VLOOKUP([jobnumber],OvalData[],MATCH(Table2[[#Headers],[Grille Amount]],Table2[#Headers],0),0)</f>
        <v>0</v>
      </c>
      <c r="AC70" s="2">
        <f>VLOOKUP([jobnumber],OvalData[],MATCH(Table2[[#Headers],[Grille Center]],Table2[#Headers],0),0)</f>
        <v>0</v>
      </c>
      <c r="AD70" s="2">
        <f>VLOOKUP([jobnumber],OvalData[],MATCH(Table2[[#Headers],[Grille Pattern]],Table2[#Headers],0),0)</f>
        <v>0</v>
      </c>
      <c r="AE70" s="2">
        <f>VLOOKUP([jobnumber],OvalData[],MATCH(Table2[[#Headers],[Grille First Tube]],Table2[#Headers],0),0)</f>
        <v>0</v>
      </c>
      <c r="AF70" s="2">
        <f>VLOOKUP([jobnumber],OvalData[],MATCH(Table2[[#Headers],[Grille Standard Tube]],Table2[#Headers],0),0)</f>
        <v>0</v>
      </c>
      <c r="AG70" s="2">
        <f>VLOOKUP([jobnumber],OvalData[],MATCH(Table2[[#Headers],[Grille Total Links]],Table2[#Headers],0),0)</f>
        <v>0</v>
      </c>
      <c r="AH70" s="2">
        <f>VLOOKUP([jobnumber],OvalData[],MATCH(Table2[[#Headers],[Grille Rods]],Table2[#Headers],0),0)</f>
        <v>0</v>
      </c>
      <c r="AI70" s="2">
        <f>VLOOKUP([jobnumber],OvalData[],MATCH(Table2[[#Headers],[Grille Rod Length]],Table2[#Headers],0),0)</f>
        <v>0</v>
      </c>
      <c r="AJ70" s="2">
        <f>VLOOKUP([jobnumber],OvalData[],MATCH(Table2[[#Headers],[slattype]],Table2[#Headers],0),0)</f>
        <v>2</v>
      </c>
      <c r="AK70" s="2">
        <f>VLOOKUP([jobnumber],OvalData[],MATCH(Table2[[#Headers],[slatgage]],Table2[#Headers],0),0)</f>
        <v>18</v>
      </c>
      <c r="AL70" s="2">
        <f>VLOOKUP([jobnumber],OvalData[],MATCH(Table2[[#Headers],[Numer of Top Slats]],Table2[#Headers],0),0)</f>
        <v>0</v>
      </c>
      <c r="AM70" s="2">
        <f>VLOOKUP([jobnumber],OvalData[],MATCH(Table2[[#Headers],[Number of Bottom Slats]],Table2[#Headers],0),0)</f>
        <v>0</v>
      </c>
      <c r="AN70" s="2">
        <f>VLOOKUP([jobnumber],OvalData[],MATCH(Table2[[#Headers],[Solid Bottom Height]],Table2[#Headers],0),0)</f>
        <v>0</v>
      </c>
      <c r="AO70" s="2" t="str">
        <f>VLOOKUP([jobnumber],OvalData[],MATCH(Table2[[#Headers],[slatlength]],Table2[#Headers],0),0)</f>
        <v xml:space="preserve"> 18 ft.- 5 7/ 8"</v>
      </c>
      <c r="AP70" s="2">
        <f>VLOOKUP([jobnumber],OvalData[],MATCH(Table2[[#Headers],[Bottom Slat Length]],Table2[#Headers],0),0)</f>
        <v>0</v>
      </c>
      <c r="AQ70" s="2">
        <f>VLOOKUP([jobnumber],OvalData[],MATCH(Table2[[#Headers],[Number of Perferated Slats]],Table2[#Headers],0),0)</f>
        <v>0</v>
      </c>
      <c r="AR70" s="2">
        <f>VLOOKUP([jobnumber],OvalData[],MATCH(Table2[[#Headers],[First Preferated Slat From End]],Table2[#Headers],0),0)</f>
        <v>0</v>
      </c>
      <c r="AS70" s="2">
        <f>VLOOKUP([jobnumber],OvalData[],MATCH(Table2[[#Headers],[First Preferated Slat From Bottom]],Table2[#Headers],0),0)</f>
        <v>0</v>
      </c>
      <c r="AT70" s="2">
        <f>VLOOKUP([jobnumber],OvalData[],MATCH(Table2[[#Headers],[Total Number of Slats]],Table2[#Headers],0),0)</f>
        <v>51</v>
      </c>
      <c r="AU70" s="2">
        <f>VLOOKUP([jobnumber],OvalData[],MATCH(Table2[[#Headers],[Bottom Bar Slope]],Table2[#Headers],0),0)</f>
        <v>0</v>
      </c>
      <c r="AV70" s="2">
        <f>VLOOKUP([jobnumber],OvalData[],MATCH(Table2[[#Headers],[Bottom Bar Weight]],Table2[#Headers],0),0)</f>
        <v>80.5</v>
      </c>
      <c r="AW70" s="2" t="str">
        <f>VLOOKUP([jobnumber],OvalData[],MATCH(Table2[[#Headers],[Outer Spring Gage]],Table2[#Headers],0),0)</f>
        <v>Null</v>
      </c>
      <c r="AX70" s="2" t="str">
        <f>VLOOKUP([jobnumber],OvalData[],MATCH(Table2[[#Headers],[Outer Spring OD]],Table2[#Headers],0),0)</f>
        <v>Null</v>
      </c>
      <c r="AY70" s="2" t="str">
        <f>VLOOKUP([jobnumber],OvalData[],MATCH(Table2[[#Headers],[Outer Spring Length]],Table2[#Headers],0),0)</f>
        <v>Null</v>
      </c>
      <c r="AZ70" s="2" t="str">
        <f>VLOOKUP([jobnumber],OvalData[],MATCH(Table2[[#Headers],[Outer Spring Stretch]],Table2[#Headers],0),0)</f>
        <v>Null</v>
      </c>
      <c r="BA70" s="2" t="str">
        <f>VLOOKUP([jobnumber],OvalData[],MATCH(Table2[[#Headers],[Outer Spring Torque]],Table2[#Headers],0),0)</f>
        <v>Null</v>
      </c>
      <c r="BB70" s="2" t="str">
        <f>VLOOKUP([jobnumber],OvalData[],MATCH(Table2[[#Headers],[Outer Spring Max Turns]],Table2[#Headers],0),0)</f>
        <v>Null</v>
      </c>
      <c r="BC70" s="2" t="str">
        <f>VLOOKUP([jobnumber],OvalData[],MATCH(Table2[[#Headers],[Outer Spring Weight]],Table2[#Headers],0),0)</f>
        <v>Null</v>
      </c>
      <c r="BD70" s="2" t="str">
        <f>VLOOKUP([jobnumber],OvalData[],MATCH(Table2[[#Headers],[Inner Spring Gage]],Table2[#Headers],0),0)</f>
        <v>Null</v>
      </c>
      <c r="BE70" s="2" t="str">
        <f>VLOOKUP([jobnumber],OvalData[],MATCH(Table2[[#Headers],[Inner Spring OD]],Table2[#Headers],0),0)</f>
        <v>Null</v>
      </c>
      <c r="BF70" s="2" t="str">
        <f>VLOOKUP([jobnumber],OvalData[],MATCH(Table2[[#Headers],[Inner Spring Length]],Table2[#Headers],0),0)</f>
        <v>Null</v>
      </c>
      <c r="BG70" s="2" t="str">
        <f>VLOOKUP([jobnumber],OvalData[],MATCH(Table2[[#Headers],[Inner Spring Stretch]],Table2[#Headers],0),0)</f>
        <v>Null</v>
      </c>
      <c r="BH70" s="2" t="str">
        <f>VLOOKUP([jobnumber],OvalData[],MATCH(Table2[[#Headers],[Inner Spring Torque]],Table2[#Headers],0),0)</f>
        <v>Null</v>
      </c>
      <c r="BI70" s="2" t="str">
        <f>VLOOKUP([jobnumber],OvalData[],MATCH(Table2[[#Headers],[Inner Spring Max Turns]],Table2[#Headers],0),0)</f>
        <v>Null</v>
      </c>
      <c r="BJ70" s="2" t="str">
        <f>VLOOKUP([jobnumber],OvalData[],MATCH(Table2[[#Headers],[Inner Spring Weight]],Table2[#Headers],0),0)</f>
        <v>Null</v>
      </c>
      <c r="BK70" s="2">
        <f>VLOOKUP([jobnumber],OvalData[],MATCH(Table2[[#Headers],[Cycles]],Table2[#Headers],0),0)</f>
        <v>0</v>
      </c>
      <c r="BL70" s="2">
        <f>VLOOKUP([jobnumber],OvalData[],MATCH(Table2[[#Headers],[Total Spring Torque]],Table2[#Headers],0),0)</f>
        <v>0</v>
      </c>
      <c r="BM70" s="2">
        <f>VLOOKUP([jobnumber],OvalData[],MATCH(Table2[[#Headers],[Total Spring Weight]],Table2[#Headers],0),0)</f>
        <v>0</v>
      </c>
      <c r="BN70" s="2">
        <f>VLOOKUP([jobnumber],OvalData[],MATCH(Table2[[#Headers],[Pipe Weight]],Table2[#Headers],0),0)</f>
        <v>688.24239999999998</v>
      </c>
      <c r="BO70" s="2">
        <f>VLOOKUP([jobnumber],OvalData[],MATCH(Table2[[#Headers],[Max Pipe Deflection]],Table2[#Headers],0),0)</f>
        <v>2309</v>
      </c>
      <c r="BP70" s="2">
        <f>VLOOKUP([jobnumber],OvalData[],MATCH(Table2[[#Headers],[Number Non-Insulated Wrap Slats]],Table2[#Headers],0),0)</f>
        <v>0</v>
      </c>
      <c r="BQ70" s="2">
        <f>VLOOKUP([jobnumber],OvalData[],MATCH(Table2[[#Headers],[Number of Insolated Top Slats]],Table2[#Headers],0),0)</f>
        <v>45</v>
      </c>
      <c r="BR70" s="2">
        <f>VLOOKUP([jobnumber],OvalData[],MATCH(Table2[[#Headers],[Insolated Total Slats]],Table2[#Headers],0),0)</f>
        <v>45</v>
      </c>
      <c r="BS70" s="2">
        <f>VLOOKUP([jobnumber],OvalData[],MATCH(Table2[[#Headers],[Number of Slats]],Table2[#Headers],0),0)</f>
        <v>44.69</v>
      </c>
      <c r="BT70" s="2">
        <f>VLOOKUP([jobnumber],OvalData[],MATCH(Table2[[#Headers],[Wrap]],Table2[#Headers],0),0)</f>
        <v>0</v>
      </c>
      <c r="BU70" s="2">
        <f>VLOOKUP([jobnumber],OvalData[],MATCH(Table2[[#Headers],[Wall Angle Thickness]],Table2[#Headers],0),0)</f>
        <v>0</v>
      </c>
      <c r="BV70" s="2">
        <f>VLOOKUP([jobnumber],OvalData[],MATCH(Table2[[#Headers],[windlocks]],Table2[#Headers],0),0)</f>
        <v>0</v>
      </c>
      <c r="BW70" s="2" t="str">
        <f>VLOOKUP([jobnumber],OvalData[],MATCH(Table2[[#Headers],[bottombartype]],Table2[#Headers],0),0)</f>
        <v>SPECIAL</v>
      </c>
      <c r="BX70" s="2">
        <f>VLOOKUP([jobnumber],OvalData[],MATCH(Table2[[#Headers],[endlockweight]],Table2[#Headers],0),0)</f>
        <v>0.17</v>
      </c>
      <c r="BY70" s="2">
        <f>VLOOKUP([jobnumber],OvalData[],MATCH(Table2[[#Headers],[Endlock Total Weight]],Table2[#Headers],0),0)</f>
        <v>7.5972999999999997</v>
      </c>
      <c r="BZ70" s="2">
        <f>VLOOKUP([jobnumber],OvalData[],MATCH(Table2[[#Headers],[Grille Weight]],Table2[#Headers],0),0)</f>
        <v>0</v>
      </c>
      <c r="CA70" s="2">
        <f>VLOOKUP([jobnumber],OvalData[],MATCH(Table2[[#Headers],[barrelrings]],Table2[#Headers],0),0)</f>
        <v>1</v>
      </c>
    </row>
    <row r="71" spans="2:79">
      <c r="B71" s="2" t="str">
        <f>VLOOKUP([jobnumber],OvalData[],MATCH(Table2[[#Headers],[Hand]],Table2[#Headers],0),0)</f>
        <v>RH</v>
      </c>
      <c r="C71" s="2" t="str">
        <f>VLOOKUP([jobnumber],OvalData[],MATCH(Table2[[#Headers],[Model]],Table2[#Headers],0),0)</f>
        <v>SFMPP</v>
      </c>
      <c r="D71" s="2" t="str">
        <f>VLOOKUP([jobnumber],OvalData[],MATCH(Table2[[#Headers],[width]],Table2[#Headers],0),0)</f>
        <v xml:space="preserve"> 18 ft.- 2"</v>
      </c>
      <c r="E71" s="2" t="str">
        <f>VLOOKUP([jobnumber],OvalData[],MATCH(Table2[[#Headers],[stopheight]],Table2[#Headers],0),0)</f>
        <v xml:space="preserve"> 10 ft.- 0"</v>
      </c>
      <c r="F71" s="2" t="str">
        <f>VLOOKUP([jobnumber],OvalData[],MATCH(Table2[[#Headers],[Between Brackets]],Table2[#Headers],0),0)</f>
        <v xml:space="preserve"> 18 ft.- 7 7/ 8"</v>
      </c>
      <c r="G71" s="2" t="str">
        <f>VLOOKUP([jobnumber],OvalData[],MATCH(Table2[[#Headers],[shell]],Table2[#Headers],0),0)</f>
        <v>6 INCH TUBE</v>
      </c>
      <c r="H71" s="2" t="str">
        <f>VLOOKUP([jobnumber],OvalData[],MATCH(Table2[[#Headers],[pipewidth]],Table2[#Headers],0),0)</f>
        <v xml:space="preserve"> 18 ft.- 1 3/ 8"</v>
      </c>
      <c r="I71" s="2">
        <f>VLOOKUP([jobnumber],OvalData[],MATCH(Table2[[#Headers],[Support Tubes]],Table2[#Headers],0),0)</f>
        <v>0</v>
      </c>
      <c r="J71" s="2">
        <f>VLOOKUP([jobnumber],OvalData[],MATCH(Table2[[#Headers],[Upset]],Table2[#Headers],0),0)</f>
        <v>2</v>
      </c>
      <c r="K71" s="2" t="str">
        <f>VLOOKUP([jobnumber],OvalData[],MATCH(Table2[[#Headers],[Guide Type]],Table2[#Headers],0),0)</f>
        <v>SN2-4 5/8-E</v>
      </c>
      <c r="L71" s="2" t="str">
        <f>VLOOKUP([jobnumber],OvalData[],MATCH(Table2[[#Headers],[Wall Angle]],Table2[#Headers],0),0)</f>
        <v xml:space="preserve"> 11 ft.- 8"</v>
      </c>
      <c r="M71" s="2" t="str">
        <f>VLOOKUP([jobnumber],OvalData[],MATCH(Table2[[#Headers],[Middle Angle]],Table2[#Headers],0),0)</f>
        <v xml:space="preserve"> 10 ft.- 4 1/ 2"</v>
      </c>
      <c r="N71" s="2" t="str">
        <f>VLOOKUP([jobnumber],OvalData[],MATCH(Table2[[#Headers],[Front Angle]],Table2[#Headers],0),0)</f>
        <v xml:space="preserve"> 10 ft.- 3"</v>
      </c>
      <c r="O71" s="2">
        <f>VLOOKUP([jobnumber],OvalData[],MATCH(Table2[[#Headers],[Pipe Center Line]],Table2[#Headers],0),0)</f>
        <v>131</v>
      </c>
      <c r="P71" s="2">
        <f>VLOOKUP([jobnumber],OvalData[],MATCH(Table2[[#Headers],[Heat Expansion Gap]],Table2[#Headers],0),0)</f>
        <v>0</v>
      </c>
      <c r="Q71" s="2">
        <f>VLOOKUP([jobnumber],OvalData[],MATCH(Table2[[#Headers],[Hanging Weight Closed]],Table2[#Headers],0),0)</f>
        <v>795</v>
      </c>
      <c r="R71" s="2">
        <f>VLOOKUP([jobnumber],OvalData[],MATCH(Table2[[#Headers],[Hanging Weight Open]],Table2[#Headers],0),0)</f>
        <v>140</v>
      </c>
      <c r="S71" s="2">
        <f>VLOOKUP([jobnumber],OvalData[],MATCH(Table2[[#Headers],[Initial Lever Arm]],Table2[#Headers],0),0)</f>
        <v>4.25</v>
      </c>
      <c r="T71" s="2">
        <f>VLOOKUP([jobnumber],OvalData[],MATCH(Table2[[#Headers],[Turns to Raise]],Table2[#Headers],0),0)</f>
        <v>3.5859999999999999</v>
      </c>
      <c r="U71" s="2">
        <f>VLOOKUP([jobnumber],OvalData[],MATCH(Table2[[#Headers],[Final Lever Arm]],Table2[#Headers],0),0)</f>
        <v>6.37</v>
      </c>
      <c r="V71" s="2">
        <f>VLOOKUP([jobnumber],OvalData[],MATCH(Table2[[#Headers],[Torque Required Closed]],Table2[#Headers],0),0)</f>
        <v>3377.9</v>
      </c>
      <c r="W71" s="2">
        <f>VLOOKUP([jobnumber],OvalData[],MATCH(Table2[[#Headers],[Torque Required Open]],Table2[#Headers],0),0)</f>
        <v>892</v>
      </c>
      <c r="X71" s="2">
        <f>VLOOKUP([jobnumber],OvalData[],MATCH(Table2[[#Headers],[Pre Turns]],Table2[#Headers],0),0)</f>
        <v>1.3332999999999999</v>
      </c>
      <c r="Y71" s="2">
        <f>VLOOKUP([jobnumber],OvalData[],MATCH(Table2[[#Headers],[Required Torque Per Turn]],Table2[#Headers],0),0)</f>
        <v>688</v>
      </c>
      <c r="Z71" s="2">
        <f>VLOOKUP([jobnumber],OvalData[],MATCH(Table2[[#Headers],[Total Turns]],Table2[#Headers],0),0)</f>
        <v>4.91</v>
      </c>
      <c r="AA71" s="2">
        <f>VLOOKUP([jobnumber],OvalData[],MATCH(Table2[[#Headers],[Grille Vision Section]],Table2[#Headers],0),0)</f>
        <v>0</v>
      </c>
      <c r="AB71" s="2">
        <f>VLOOKUP([jobnumber],OvalData[],MATCH(Table2[[#Headers],[Grille Amount]],Table2[#Headers],0),0)</f>
        <v>0</v>
      </c>
      <c r="AC71" s="2">
        <f>VLOOKUP([jobnumber],OvalData[],MATCH(Table2[[#Headers],[Grille Center]],Table2[#Headers],0),0)</f>
        <v>0</v>
      </c>
      <c r="AD71" s="2">
        <f>VLOOKUP([jobnumber],OvalData[],MATCH(Table2[[#Headers],[Grille Pattern]],Table2[#Headers],0),0)</f>
        <v>0</v>
      </c>
      <c r="AE71" s="2">
        <f>VLOOKUP([jobnumber],OvalData[],MATCH(Table2[[#Headers],[Grille First Tube]],Table2[#Headers],0),0)</f>
        <v>0</v>
      </c>
      <c r="AF71" s="2">
        <f>VLOOKUP([jobnumber],OvalData[],MATCH(Table2[[#Headers],[Grille Standard Tube]],Table2[#Headers],0),0)</f>
        <v>0</v>
      </c>
      <c r="AG71" s="2">
        <f>VLOOKUP([jobnumber],OvalData[],MATCH(Table2[[#Headers],[Grille Total Links]],Table2[#Headers],0),0)</f>
        <v>0</v>
      </c>
      <c r="AH71" s="2">
        <f>VLOOKUP([jobnumber],OvalData[],MATCH(Table2[[#Headers],[Grille Rods]],Table2[#Headers],0),0)</f>
        <v>0</v>
      </c>
      <c r="AI71" s="2">
        <f>VLOOKUP([jobnumber],OvalData[],MATCH(Table2[[#Headers],[Grille Rod Length]],Table2[#Headers],0),0)</f>
        <v>0</v>
      </c>
      <c r="AJ71" s="2">
        <f>VLOOKUP([jobnumber],OvalData[],MATCH(Table2[[#Headers],[slattype]],Table2[#Headers],0),0)</f>
        <v>2</v>
      </c>
      <c r="AK71" s="2">
        <f>VLOOKUP([jobnumber],OvalData[],MATCH(Table2[[#Headers],[slatgage]],Table2[#Headers],0),0)</f>
        <v>18</v>
      </c>
      <c r="AL71" s="2">
        <f>VLOOKUP([jobnumber],OvalData[],MATCH(Table2[[#Headers],[Numer of Top Slats]],Table2[#Headers],0),0)</f>
        <v>0</v>
      </c>
      <c r="AM71" s="2">
        <f>VLOOKUP([jobnumber],OvalData[],MATCH(Table2[[#Headers],[Number of Bottom Slats]],Table2[#Headers],0),0)</f>
        <v>0</v>
      </c>
      <c r="AN71" s="2">
        <f>VLOOKUP([jobnumber],OvalData[],MATCH(Table2[[#Headers],[Solid Bottom Height]],Table2[#Headers],0),0)</f>
        <v>0</v>
      </c>
      <c r="AO71" s="2" t="str">
        <f>VLOOKUP([jobnumber],OvalData[],MATCH(Table2[[#Headers],[slatlength]],Table2[#Headers],0),0)</f>
        <v xml:space="preserve"> 18 ft.- 5 7/ 8"</v>
      </c>
      <c r="AP71" s="2">
        <f>VLOOKUP([jobnumber],OvalData[],MATCH(Table2[[#Headers],[Bottom Slat Length]],Table2[#Headers],0),0)</f>
        <v>0</v>
      </c>
      <c r="AQ71" s="2">
        <f>VLOOKUP([jobnumber],OvalData[],MATCH(Table2[[#Headers],[Number of Perferated Slats]],Table2[#Headers],0),0)</f>
        <v>0</v>
      </c>
      <c r="AR71" s="2">
        <f>VLOOKUP([jobnumber],OvalData[],MATCH(Table2[[#Headers],[First Preferated Slat From End]],Table2[#Headers],0),0)</f>
        <v>0</v>
      </c>
      <c r="AS71" s="2">
        <f>VLOOKUP([jobnumber],OvalData[],MATCH(Table2[[#Headers],[First Preferated Slat From Bottom]],Table2[#Headers],0),0)</f>
        <v>0</v>
      </c>
      <c r="AT71" s="2">
        <f>VLOOKUP([jobnumber],OvalData[],MATCH(Table2[[#Headers],[Total Number of Slats]],Table2[#Headers],0),0)</f>
        <v>51</v>
      </c>
      <c r="AU71" s="2">
        <f>VLOOKUP([jobnumber],OvalData[],MATCH(Table2[[#Headers],[Bottom Bar Slope]],Table2[#Headers],0),0)</f>
        <v>0</v>
      </c>
      <c r="AV71" s="2">
        <f>VLOOKUP([jobnumber],OvalData[],MATCH(Table2[[#Headers],[Bottom Bar Weight]],Table2[#Headers],0),0)</f>
        <v>80.5</v>
      </c>
      <c r="AW71" s="2" t="str">
        <f>VLOOKUP([jobnumber],OvalData[],MATCH(Table2[[#Headers],[Outer Spring Gage]],Table2[#Headers],0),0)</f>
        <v>Null</v>
      </c>
      <c r="AX71" s="2" t="str">
        <f>VLOOKUP([jobnumber],OvalData[],MATCH(Table2[[#Headers],[Outer Spring OD]],Table2[#Headers],0),0)</f>
        <v>Null</v>
      </c>
      <c r="AY71" s="2" t="str">
        <f>VLOOKUP([jobnumber],OvalData[],MATCH(Table2[[#Headers],[Outer Spring Length]],Table2[#Headers],0),0)</f>
        <v>Null</v>
      </c>
      <c r="AZ71" s="2" t="str">
        <f>VLOOKUP([jobnumber],OvalData[],MATCH(Table2[[#Headers],[Outer Spring Stretch]],Table2[#Headers],0),0)</f>
        <v>Null</v>
      </c>
      <c r="BA71" s="2" t="str">
        <f>VLOOKUP([jobnumber],OvalData[],MATCH(Table2[[#Headers],[Outer Spring Torque]],Table2[#Headers],0),0)</f>
        <v>Null</v>
      </c>
      <c r="BB71" s="2" t="str">
        <f>VLOOKUP([jobnumber],OvalData[],MATCH(Table2[[#Headers],[Outer Spring Max Turns]],Table2[#Headers],0),0)</f>
        <v>Null</v>
      </c>
      <c r="BC71" s="2" t="str">
        <f>VLOOKUP([jobnumber],OvalData[],MATCH(Table2[[#Headers],[Outer Spring Weight]],Table2[#Headers],0),0)</f>
        <v>Null</v>
      </c>
      <c r="BD71" s="2" t="str">
        <f>VLOOKUP([jobnumber],OvalData[],MATCH(Table2[[#Headers],[Inner Spring Gage]],Table2[#Headers],0),0)</f>
        <v>Null</v>
      </c>
      <c r="BE71" s="2" t="str">
        <f>VLOOKUP([jobnumber],OvalData[],MATCH(Table2[[#Headers],[Inner Spring OD]],Table2[#Headers],0),0)</f>
        <v>Null</v>
      </c>
      <c r="BF71" s="2" t="str">
        <f>VLOOKUP([jobnumber],OvalData[],MATCH(Table2[[#Headers],[Inner Spring Length]],Table2[#Headers],0),0)</f>
        <v>Null</v>
      </c>
      <c r="BG71" s="2" t="str">
        <f>VLOOKUP([jobnumber],OvalData[],MATCH(Table2[[#Headers],[Inner Spring Stretch]],Table2[#Headers],0),0)</f>
        <v>Null</v>
      </c>
      <c r="BH71" s="2" t="str">
        <f>VLOOKUP([jobnumber],OvalData[],MATCH(Table2[[#Headers],[Inner Spring Torque]],Table2[#Headers],0),0)</f>
        <v>Null</v>
      </c>
      <c r="BI71" s="2" t="str">
        <f>VLOOKUP([jobnumber],OvalData[],MATCH(Table2[[#Headers],[Inner Spring Max Turns]],Table2[#Headers],0),0)</f>
        <v>Null</v>
      </c>
      <c r="BJ71" s="2" t="str">
        <f>VLOOKUP([jobnumber],OvalData[],MATCH(Table2[[#Headers],[Inner Spring Weight]],Table2[#Headers],0),0)</f>
        <v>Null</v>
      </c>
      <c r="BK71" s="2">
        <f>VLOOKUP([jobnumber],OvalData[],MATCH(Table2[[#Headers],[Cycles]],Table2[#Headers],0),0)</f>
        <v>0</v>
      </c>
      <c r="BL71" s="2">
        <f>VLOOKUP([jobnumber],OvalData[],MATCH(Table2[[#Headers],[Total Spring Torque]],Table2[#Headers],0),0)</f>
        <v>0</v>
      </c>
      <c r="BM71" s="2">
        <f>VLOOKUP([jobnumber],OvalData[],MATCH(Table2[[#Headers],[Total Spring Weight]],Table2[#Headers],0),0)</f>
        <v>0</v>
      </c>
      <c r="BN71" s="2">
        <f>VLOOKUP([jobnumber],OvalData[],MATCH(Table2[[#Headers],[Pipe Weight]],Table2[#Headers],0),0)</f>
        <v>688.24239999999998</v>
      </c>
      <c r="BO71" s="2">
        <f>VLOOKUP([jobnumber],OvalData[],MATCH(Table2[[#Headers],[Max Pipe Deflection]],Table2[#Headers],0),0)</f>
        <v>2309</v>
      </c>
      <c r="BP71" s="2">
        <f>VLOOKUP([jobnumber],OvalData[],MATCH(Table2[[#Headers],[Number Non-Insulated Wrap Slats]],Table2[#Headers],0),0)</f>
        <v>0</v>
      </c>
      <c r="BQ71" s="2">
        <f>VLOOKUP([jobnumber],OvalData[],MATCH(Table2[[#Headers],[Number of Insolated Top Slats]],Table2[#Headers],0),0)</f>
        <v>45</v>
      </c>
      <c r="BR71" s="2">
        <f>VLOOKUP([jobnumber],OvalData[],MATCH(Table2[[#Headers],[Insolated Total Slats]],Table2[#Headers],0),0)</f>
        <v>45</v>
      </c>
      <c r="BS71" s="2">
        <f>VLOOKUP([jobnumber],OvalData[],MATCH(Table2[[#Headers],[Number of Slats]],Table2[#Headers],0),0)</f>
        <v>44.69</v>
      </c>
      <c r="BT71" s="2">
        <f>VLOOKUP([jobnumber],OvalData[],MATCH(Table2[[#Headers],[Wrap]],Table2[#Headers],0),0)</f>
        <v>0</v>
      </c>
      <c r="BU71" s="2">
        <f>VLOOKUP([jobnumber],OvalData[],MATCH(Table2[[#Headers],[Wall Angle Thickness]],Table2[#Headers],0),0)</f>
        <v>0</v>
      </c>
      <c r="BV71" s="2">
        <f>VLOOKUP([jobnumber],OvalData[],MATCH(Table2[[#Headers],[windlocks]],Table2[#Headers],0),0)</f>
        <v>0</v>
      </c>
      <c r="BW71" s="2" t="str">
        <f>VLOOKUP([jobnumber],OvalData[],MATCH(Table2[[#Headers],[bottombartype]],Table2[#Headers],0),0)</f>
        <v>SPECIAL</v>
      </c>
      <c r="BX71" s="2">
        <f>VLOOKUP([jobnumber],OvalData[],MATCH(Table2[[#Headers],[endlockweight]],Table2[#Headers],0),0)</f>
        <v>0.17</v>
      </c>
      <c r="BY71" s="2">
        <f>VLOOKUP([jobnumber],OvalData[],MATCH(Table2[[#Headers],[Endlock Total Weight]],Table2[#Headers],0),0)</f>
        <v>7.5972999999999997</v>
      </c>
      <c r="BZ71" s="2">
        <f>VLOOKUP([jobnumber],OvalData[],MATCH(Table2[[#Headers],[Grille Weight]],Table2[#Headers],0),0)</f>
        <v>0</v>
      </c>
      <c r="CA71" s="2">
        <f>VLOOKUP([jobnumber],OvalData[],MATCH(Table2[[#Headers],[barrelrings]],Table2[#Headers],0),0)</f>
        <v>1</v>
      </c>
    </row>
    <row r="72" spans="2:79">
      <c r="B72" s="2" t="str">
        <f>VLOOKUP([jobnumber],OvalData[],MATCH(Table2[[#Headers],[Hand]],Table2[#Headers],0),0)</f>
        <v>RH</v>
      </c>
      <c r="C72" s="2" t="str">
        <f>VLOOKUP([jobnumber],OvalData[],MATCH(Table2[[#Headers],[Model]],Table2[#Headers],0),0)</f>
        <v>SFMPP</v>
      </c>
      <c r="D72" s="2" t="str">
        <f>VLOOKUP([jobnumber],OvalData[],MATCH(Table2[[#Headers],[width]],Table2[#Headers],0),0)</f>
        <v xml:space="preserve"> 18 ft.- 2"</v>
      </c>
      <c r="E72" s="2" t="str">
        <f>VLOOKUP([jobnumber],OvalData[],MATCH(Table2[[#Headers],[stopheight]],Table2[#Headers],0),0)</f>
        <v xml:space="preserve"> 10 ft.- 0"</v>
      </c>
      <c r="F72" s="2" t="str">
        <f>VLOOKUP([jobnumber],OvalData[],MATCH(Table2[[#Headers],[Between Brackets]],Table2[#Headers],0),0)</f>
        <v xml:space="preserve"> 18 ft.- 7 7/ 8"</v>
      </c>
      <c r="G72" s="2" t="str">
        <f>VLOOKUP([jobnumber],OvalData[],MATCH(Table2[[#Headers],[shell]],Table2[#Headers],0),0)</f>
        <v>6 INCH TUBE</v>
      </c>
      <c r="H72" s="2" t="str">
        <f>VLOOKUP([jobnumber],OvalData[],MATCH(Table2[[#Headers],[pipewidth]],Table2[#Headers],0),0)</f>
        <v xml:space="preserve"> 18 ft.- 1 3/ 8"</v>
      </c>
      <c r="I72" s="2">
        <f>VLOOKUP([jobnumber],OvalData[],MATCH(Table2[[#Headers],[Support Tubes]],Table2[#Headers],0),0)</f>
        <v>0</v>
      </c>
      <c r="J72" s="2">
        <f>VLOOKUP([jobnumber],OvalData[],MATCH(Table2[[#Headers],[Upset]],Table2[#Headers],0),0)</f>
        <v>2</v>
      </c>
      <c r="K72" s="2" t="str">
        <f>VLOOKUP([jobnumber],OvalData[],MATCH(Table2[[#Headers],[Guide Type]],Table2[#Headers],0),0)</f>
        <v>SN2-4 5/8-E</v>
      </c>
      <c r="L72" s="2" t="str">
        <f>VLOOKUP([jobnumber],OvalData[],MATCH(Table2[[#Headers],[Wall Angle]],Table2[#Headers],0),0)</f>
        <v xml:space="preserve"> 11 ft.- 8"</v>
      </c>
      <c r="M72" s="2" t="str">
        <f>VLOOKUP([jobnumber],OvalData[],MATCH(Table2[[#Headers],[Middle Angle]],Table2[#Headers],0),0)</f>
        <v xml:space="preserve"> 10 ft.- 4 1/ 2"</v>
      </c>
      <c r="N72" s="2" t="str">
        <f>VLOOKUP([jobnumber],OvalData[],MATCH(Table2[[#Headers],[Front Angle]],Table2[#Headers],0),0)</f>
        <v xml:space="preserve"> 10 ft.- 3"</v>
      </c>
      <c r="O72" s="2">
        <f>VLOOKUP([jobnumber],OvalData[],MATCH(Table2[[#Headers],[Pipe Center Line]],Table2[#Headers],0),0)</f>
        <v>131</v>
      </c>
      <c r="P72" s="2">
        <f>VLOOKUP([jobnumber],OvalData[],MATCH(Table2[[#Headers],[Heat Expansion Gap]],Table2[#Headers],0),0)</f>
        <v>0</v>
      </c>
      <c r="Q72" s="2">
        <f>VLOOKUP([jobnumber],OvalData[],MATCH(Table2[[#Headers],[Hanging Weight Closed]],Table2[#Headers],0),0)</f>
        <v>795</v>
      </c>
      <c r="R72" s="2">
        <f>VLOOKUP([jobnumber],OvalData[],MATCH(Table2[[#Headers],[Hanging Weight Open]],Table2[#Headers],0),0)</f>
        <v>140</v>
      </c>
      <c r="S72" s="2">
        <f>VLOOKUP([jobnumber],OvalData[],MATCH(Table2[[#Headers],[Initial Lever Arm]],Table2[#Headers],0),0)</f>
        <v>4.25</v>
      </c>
      <c r="T72" s="2">
        <f>VLOOKUP([jobnumber],OvalData[],MATCH(Table2[[#Headers],[Turns to Raise]],Table2[#Headers],0),0)</f>
        <v>3.5859999999999999</v>
      </c>
      <c r="U72" s="2">
        <f>VLOOKUP([jobnumber],OvalData[],MATCH(Table2[[#Headers],[Final Lever Arm]],Table2[#Headers],0),0)</f>
        <v>6.37</v>
      </c>
      <c r="V72" s="2">
        <f>VLOOKUP([jobnumber],OvalData[],MATCH(Table2[[#Headers],[Torque Required Closed]],Table2[#Headers],0),0)</f>
        <v>3377.9</v>
      </c>
      <c r="W72" s="2">
        <f>VLOOKUP([jobnumber],OvalData[],MATCH(Table2[[#Headers],[Torque Required Open]],Table2[#Headers],0),0)</f>
        <v>892</v>
      </c>
      <c r="X72" s="2">
        <f>VLOOKUP([jobnumber],OvalData[],MATCH(Table2[[#Headers],[Pre Turns]],Table2[#Headers],0),0)</f>
        <v>1.3332999999999999</v>
      </c>
      <c r="Y72" s="2">
        <f>VLOOKUP([jobnumber],OvalData[],MATCH(Table2[[#Headers],[Required Torque Per Turn]],Table2[#Headers],0),0)</f>
        <v>688</v>
      </c>
      <c r="Z72" s="2">
        <f>VLOOKUP([jobnumber],OvalData[],MATCH(Table2[[#Headers],[Total Turns]],Table2[#Headers],0),0)</f>
        <v>4.91</v>
      </c>
      <c r="AA72" s="2">
        <f>VLOOKUP([jobnumber],OvalData[],MATCH(Table2[[#Headers],[Grille Vision Section]],Table2[#Headers],0),0)</f>
        <v>0</v>
      </c>
      <c r="AB72" s="2">
        <f>VLOOKUP([jobnumber],OvalData[],MATCH(Table2[[#Headers],[Grille Amount]],Table2[#Headers],0),0)</f>
        <v>0</v>
      </c>
      <c r="AC72" s="2">
        <f>VLOOKUP([jobnumber],OvalData[],MATCH(Table2[[#Headers],[Grille Center]],Table2[#Headers],0),0)</f>
        <v>0</v>
      </c>
      <c r="AD72" s="2">
        <f>VLOOKUP([jobnumber],OvalData[],MATCH(Table2[[#Headers],[Grille Pattern]],Table2[#Headers],0),0)</f>
        <v>0</v>
      </c>
      <c r="AE72" s="2">
        <f>VLOOKUP([jobnumber],OvalData[],MATCH(Table2[[#Headers],[Grille First Tube]],Table2[#Headers],0),0)</f>
        <v>0</v>
      </c>
      <c r="AF72" s="2">
        <f>VLOOKUP([jobnumber],OvalData[],MATCH(Table2[[#Headers],[Grille Standard Tube]],Table2[#Headers],0),0)</f>
        <v>0</v>
      </c>
      <c r="AG72" s="2">
        <f>VLOOKUP([jobnumber],OvalData[],MATCH(Table2[[#Headers],[Grille Total Links]],Table2[#Headers],0),0)</f>
        <v>0</v>
      </c>
      <c r="AH72" s="2">
        <f>VLOOKUP([jobnumber],OvalData[],MATCH(Table2[[#Headers],[Grille Rods]],Table2[#Headers],0),0)</f>
        <v>0</v>
      </c>
      <c r="AI72" s="2">
        <f>VLOOKUP([jobnumber],OvalData[],MATCH(Table2[[#Headers],[Grille Rod Length]],Table2[#Headers],0),0)</f>
        <v>0</v>
      </c>
      <c r="AJ72" s="2">
        <f>VLOOKUP([jobnumber],OvalData[],MATCH(Table2[[#Headers],[slattype]],Table2[#Headers],0),0)</f>
        <v>2</v>
      </c>
      <c r="AK72" s="2">
        <f>VLOOKUP([jobnumber],OvalData[],MATCH(Table2[[#Headers],[slatgage]],Table2[#Headers],0),0)</f>
        <v>18</v>
      </c>
      <c r="AL72" s="2">
        <f>VLOOKUP([jobnumber],OvalData[],MATCH(Table2[[#Headers],[Numer of Top Slats]],Table2[#Headers],0),0)</f>
        <v>0</v>
      </c>
      <c r="AM72" s="2">
        <f>VLOOKUP([jobnumber],OvalData[],MATCH(Table2[[#Headers],[Number of Bottom Slats]],Table2[#Headers],0),0)</f>
        <v>0</v>
      </c>
      <c r="AN72" s="2">
        <f>VLOOKUP([jobnumber],OvalData[],MATCH(Table2[[#Headers],[Solid Bottom Height]],Table2[#Headers],0),0)</f>
        <v>0</v>
      </c>
      <c r="AO72" s="2" t="str">
        <f>VLOOKUP([jobnumber],OvalData[],MATCH(Table2[[#Headers],[slatlength]],Table2[#Headers],0),0)</f>
        <v xml:space="preserve"> 18 ft.- 5 7/ 8"</v>
      </c>
      <c r="AP72" s="2">
        <f>VLOOKUP([jobnumber],OvalData[],MATCH(Table2[[#Headers],[Bottom Slat Length]],Table2[#Headers],0),0)</f>
        <v>0</v>
      </c>
      <c r="AQ72" s="2">
        <f>VLOOKUP([jobnumber],OvalData[],MATCH(Table2[[#Headers],[Number of Perferated Slats]],Table2[#Headers],0),0)</f>
        <v>0</v>
      </c>
      <c r="AR72" s="2">
        <f>VLOOKUP([jobnumber],OvalData[],MATCH(Table2[[#Headers],[First Preferated Slat From End]],Table2[#Headers],0),0)</f>
        <v>0</v>
      </c>
      <c r="AS72" s="2">
        <f>VLOOKUP([jobnumber],OvalData[],MATCH(Table2[[#Headers],[First Preferated Slat From Bottom]],Table2[#Headers],0),0)</f>
        <v>0</v>
      </c>
      <c r="AT72" s="2">
        <f>VLOOKUP([jobnumber],OvalData[],MATCH(Table2[[#Headers],[Total Number of Slats]],Table2[#Headers],0),0)</f>
        <v>51</v>
      </c>
      <c r="AU72" s="2">
        <f>VLOOKUP([jobnumber],OvalData[],MATCH(Table2[[#Headers],[Bottom Bar Slope]],Table2[#Headers],0),0)</f>
        <v>0</v>
      </c>
      <c r="AV72" s="2">
        <f>VLOOKUP([jobnumber],OvalData[],MATCH(Table2[[#Headers],[Bottom Bar Weight]],Table2[#Headers],0),0)</f>
        <v>80.5</v>
      </c>
      <c r="AW72" s="2" t="str">
        <f>VLOOKUP([jobnumber],OvalData[],MATCH(Table2[[#Headers],[Outer Spring Gage]],Table2[#Headers],0),0)</f>
        <v>Null</v>
      </c>
      <c r="AX72" s="2" t="str">
        <f>VLOOKUP([jobnumber],OvalData[],MATCH(Table2[[#Headers],[Outer Spring OD]],Table2[#Headers],0),0)</f>
        <v>Null</v>
      </c>
      <c r="AY72" s="2" t="str">
        <f>VLOOKUP([jobnumber],OvalData[],MATCH(Table2[[#Headers],[Outer Spring Length]],Table2[#Headers],0),0)</f>
        <v>Null</v>
      </c>
      <c r="AZ72" s="2" t="str">
        <f>VLOOKUP([jobnumber],OvalData[],MATCH(Table2[[#Headers],[Outer Spring Stretch]],Table2[#Headers],0),0)</f>
        <v>Null</v>
      </c>
      <c r="BA72" s="2" t="str">
        <f>VLOOKUP([jobnumber],OvalData[],MATCH(Table2[[#Headers],[Outer Spring Torque]],Table2[#Headers],0),0)</f>
        <v>Null</v>
      </c>
      <c r="BB72" s="2" t="str">
        <f>VLOOKUP([jobnumber],OvalData[],MATCH(Table2[[#Headers],[Outer Spring Max Turns]],Table2[#Headers],0),0)</f>
        <v>Null</v>
      </c>
      <c r="BC72" s="2" t="str">
        <f>VLOOKUP([jobnumber],OvalData[],MATCH(Table2[[#Headers],[Outer Spring Weight]],Table2[#Headers],0),0)</f>
        <v>Null</v>
      </c>
      <c r="BD72" s="2" t="str">
        <f>VLOOKUP([jobnumber],OvalData[],MATCH(Table2[[#Headers],[Inner Spring Gage]],Table2[#Headers],0),0)</f>
        <v>Null</v>
      </c>
      <c r="BE72" s="2" t="str">
        <f>VLOOKUP([jobnumber],OvalData[],MATCH(Table2[[#Headers],[Inner Spring OD]],Table2[#Headers],0),0)</f>
        <v>Null</v>
      </c>
      <c r="BF72" s="2" t="str">
        <f>VLOOKUP([jobnumber],OvalData[],MATCH(Table2[[#Headers],[Inner Spring Length]],Table2[#Headers],0),0)</f>
        <v>Null</v>
      </c>
      <c r="BG72" s="2" t="str">
        <f>VLOOKUP([jobnumber],OvalData[],MATCH(Table2[[#Headers],[Inner Spring Stretch]],Table2[#Headers],0),0)</f>
        <v>Null</v>
      </c>
      <c r="BH72" s="2" t="str">
        <f>VLOOKUP([jobnumber],OvalData[],MATCH(Table2[[#Headers],[Inner Spring Torque]],Table2[#Headers],0),0)</f>
        <v>Null</v>
      </c>
      <c r="BI72" s="2" t="str">
        <f>VLOOKUP([jobnumber],OvalData[],MATCH(Table2[[#Headers],[Inner Spring Max Turns]],Table2[#Headers],0),0)</f>
        <v>Null</v>
      </c>
      <c r="BJ72" s="2" t="str">
        <f>VLOOKUP([jobnumber],OvalData[],MATCH(Table2[[#Headers],[Inner Spring Weight]],Table2[#Headers],0),0)</f>
        <v>Null</v>
      </c>
      <c r="BK72" s="2">
        <f>VLOOKUP([jobnumber],OvalData[],MATCH(Table2[[#Headers],[Cycles]],Table2[#Headers],0),0)</f>
        <v>0</v>
      </c>
      <c r="BL72" s="2">
        <f>VLOOKUP([jobnumber],OvalData[],MATCH(Table2[[#Headers],[Total Spring Torque]],Table2[#Headers],0),0)</f>
        <v>0</v>
      </c>
      <c r="BM72" s="2">
        <f>VLOOKUP([jobnumber],OvalData[],MATCH(Table2[[#Headers],[Total Spring Weight]],Table2[#Headers],0),0)</f>
        <v>0</v>
      </c>
      <c r="BN72" s="2">
        <f>VLOOKUP([jobnumber],OvalData[],MATCH(Table2[[#Headers],[Pipe Weight]],Table2[#Headers],0),0)</f>
        <v>688.24239999999998</v>
      </c>
      <c r="BO72" s="2">
        <f>VLOOKUP([jobnumber],OvalData[],MATCH(Table2[[#Headers],[Max Pipe Deflection]],Table2[#Headers],0),0)</f>
        <v>2309</v>
      </c>
      <c r="BP72" s="2">
        <f>VLOOKUP([jobnumber],OvalData[],MATCH(Table2[[#Headers],[Number Non-Insulated Wrap Slats]],Table2[#Headers],0),0)</f>
        <v>0</v>
      </c>
      <c r="BQ72" s="2">
        <f>VLOOKUP([jobnumber],OvalData[],MATCH(Table2[[#Headers],[Number of Insolated Top Slats]],Table2[#Headers],0),0)</f>
        <v>45</v>
      </c>
      <c r="BR72" s="2">
        <f>VLOOKUP([jobnumber],OvalData[],MATCH(Table2[[#Headers],[Insolated Total Slats]],Table2[#Headers],0),0)</f>
        <v>45</v>
      </c>
      <c r="BS72" s="2">
        <f>VLOOKUP([jobnumber],OvalData[],MATCH(Table2[[#Headers],[Number of Slats]],Table2[#Headers],0),0)</f>
        <v>44.69</v>
      </c>
      <c r="BT72" s="2">
        <f>VLOOKUP([jobnumber],OvalData[],MATCH(Table2[[#Headers],[Wrap]],Table2[#Headers],0),0)</f>
        <v>0</v>
      </c>
      <c r="BU72" s="2">
        <f>VLOOKUP([jobnumber],OvalData[],MATCH(Table2[[#Headers],[Wall Angle Thickness]],Table2[#Headers],0),0)</f>
        <v>0</v>
      </c>
      <c r="BV72" s="2">
        <f>VLOOKUP([jobnumber],OvalData[],MATCH(Table2[[#Headers],[windlocks]],Table2[#Headers],0),0)</f>
        <v>0</v>
      </c>
      <c r="BW72" s="2" t="str">
        <f>VLOOKUP([jobnumber],OvalData[],MATCH(Table2[[#Headers],[bottombartype]],Table2[#Headers],0),0)</f>
        <v>SPECIAL</v>
      </c>
      <c r="BX72" s="2">
        <f>VLOOKUP([jobnumber],OvalData[],MATCH(Table2[[#Headers],[endlockweight]],Table2[#Headers],0),0)</f>
        <v>0.17</v>
      </c>
      <c r="BY72" s="2">
        <f>VLOOKUP([jobnumber],OvalData[],MATCH(Table2[[#Headers],[Endlock Total Weight]],Table2[#Headers],0),0)</f>
        <v>7.5972999999999997</v>
      </c>
      <c r="BZ72" s="2">
        <f>VLOOKUP([jobnumber],OvalData[],MATCH(Table2[[#Headers],[Grille Weight]],Table2[#Headers],0),0)</f>
        <v>0</v>
      </c>
      <c r="CA72" s="2">
        <f>VLOOKUP([jobnumber],OvalData[],MATCH(Table2[[#Headers],[barrelrings]],Table2[#Headers],0),0)</f>
        <v>1</v>
      </c>
    </row>
    <row r="73" spans="2:79">
      <c r="B73" s="2" t="str">
        <f>VLOOKUP([jobnumber],OvalData[],MATCH(Table2[[#Headers],[Hand]],Table2[#Headers],0),0)</f>
        <v>RH</v>
      </c>
      <c r="C73" s="2" t="str">
        <f>VLOOKUP([jobnumber],OvalData[],MATCH(Table2[[#Headers],[Model]],Table2[#Headers],0),0)</f>
        <v>SFMPP</v>
      </c>
      <c r="D73" s="2" t="str">
        <f>VLOOKUP([jobnumber],OvalData[],MATCH(Table2[[#Headers],[width]],Table2[#Headers],0),0)</f>
        <v xml:space="preserve"> 18 ft.- 2"</v>
      </c>
      <c r="E73" s="2" t="str">
        <f>VLOOKUP([jobnumber],OvalData[],MATCH(Table2[[#Headers],[stopheight]],Table2[#Headers],0),0)</f>
        <v xml:space="preserve"> 10 ft.- 0"</v>
      </c>
      <c r="F73" s="2" t="str">
        <f>VLOOKUP([jobnumber],OvalData[],MATCH(Table2[[#Headers],[Between Brackets]],Table2[#Headers],0),0)</f>
        <v xml:space="preserve"> 18 ft.- 7 7/ 8"</v>
      </c>
      <c r="G73" s="2" t="str">
        <f>VLOOKUP([jobnumber],OvalData[],MATCH(Table2[[#Headers],[shell]],Table2[#Headers],0),0)</f>
        <v>6 INCH TUBE</v>
      </c>
      <c r="H73" s="2" t="str">
        <f>VLOOKUP([jobnumber],OvalData[],MATCH(Table2[[#Headers],[pipewidth]],Table2[#Headers],0),0)</f>
        <v xml:space="preserve"> 18 ft.- 1 3/ 8"</v>
      </c>
      <c r="I73" s="2">
        <f>VLOOKUP([jobnumber],OvalData[],MATCH(Table2[[#Headers],[Support Tubes]],Table2[#Headers],0),0)</f>
        <v>0</v>
      </c>
      <c r="J73" s="2">
        <f>VLOOKUP([jobnumber],OvalData[],MATCH(Table2[[#Headers],[Upset]],Table2[#Headers],0),0)</f>
        <v>2</v>
      </c>
      <c r="K73" s="2" t="str">
        <f>VLOOKUP([jobnumber],OvalData[],MATCH(Table2[[#Headers],[Guide Type]],Table2[#Headers],0),0)</f>
        <v>SN2-4 5/8-E</v>
      </c>
      <c r="L73" s="2" t="str">
        <f>VLOOKUP([jobnumber],OvalData[],MATCH(Table2[[#Headers],[Wall Angle]],Table2[#Headers],0),0)</f>
        <v xml:space="preserve"> 11 ft.- 8"</v>
      </c>
      <c r="M73" s="2" t="str">
        <f>VLOOKUP([jobnumber],OvalData[],MATCH(Table2[[#Headers],[Middle Angle]],Table2[#Headers],0),0)</f>
        <v xml:space="preserve"> 10 ft.- 4 1/ 2"</v>
      </c>
      <c r="N73" s="2" t="str">
        <f>VLOOKUP([jobnumber],OvalData[],MATCH(Table2[[#Headers],[Front Angle]],Table2[#Headers],0),0)</f>
        <v xml:space="preserve"> 10 ft.- 3"</v>
      </c>
      <c r="O73" s="2">
        <f>VLOOKUP([jobnumber],OvalData[],MATCH(Table2[[#Headers],[Pipe Center Line]],Table2[#Headers],0),0)</f>
        <v>131</v>
      </c>
      <c r="P73" s="2">
        <f>VLOOKUP([jobnumber],OvalData[],MATCH(Table2[[#Headers],[Heat Expansion Gap]],Table2[#Headers],0),0)</f>
        <v>0</v>
      </c>
      <c r="Q73" s="2">
        <f>VLOOKUP([jobnumber],OvalData[],MATCH(Table2[[#Headers],[Hanging Weight Closed]],Table2[#Headers],0),0)</f>
        <v>795</v>
      </c>
      <c r="R73" s="2">
        <f>VLOOKUP([jobnumber],OvalData[],MATCH(Table2[[#Headers],[Hanging Weight Open]],Table2[#Headers],0),0)</f>
        <v>140</v>
      </c>
      <c r="S73" s="2">
        <f>VLOOKUP([jobnumber],OvalData[],MATCH(Table2[[#Headers],[Initial Lever Arm]],Table2[#Headers],0),0)</f>
        <v>4.25</v>
      </c>
      <c r="T73" s="2">
        <f>VLOOKUP([jobnumber],OvalData[],MATCH(Table2[[#Headers],[Turns to Raise]],Table2[#Headers],0),0)</f>
        <v>3.5859999999999999</v>
      </c>
      <c r="U73" s="2">
        <f>VLOOKUP([jobnumber],OvalData[],MATCH(Table2[[#Headers],[Final Lever Arm]],Table2[#Headers],0),0)</f>
        <v>6.37</v>
      </c>
      <c r="V73" s="2">
        <f>VLOOKUP([jobnumber],OvalData[],MATCH(Table2[[#Headers],[Torque Required Closed]],Table2[#Headers],0),0)</f>
        <v>3377.9</v>
      </c>
      <c r="W73" s="2">
        <f>VLOOKUP([jobnumber],OvalData[],MATCH(Table2[[#Headers],[Torque Required Open]],Table2[#Headers],0),0)</f>
        <v>892</v>
      </c>
      <c r="X73" s="2">
        <f>VLOOKUP([jobnumber],OvalData[],MATCH(Table2[[#Headers],[Pre Turns]],Table2[#Headers],0),0)</f>
        <v>1.3332999999999999</v>
      </c>
      <c r="Y73" s="2">
        <f>VLOOKUP([jobnumber],OvalData[],MATCH(Table2[[#Headers],[Required Torque Per Turn]],Table2[#Headers],0),0)</f>
        <v>688</v>
      </c>
      <c r="Z73" s="2">
        <f>VLOOKUP([jobnumber],OvalData[],MATCH(Table2[[#Headers],[Total Turns]],Table2[#Headers],0),0)</f>
        <v>4.91</v>
      </c>
      <c r="AA73" s="2">
        <f>VLOOKUP([jobnumber],OvalData[],MATCH(Table2[[#Headers],[Grille Vision Section]],Table2[#Headers],0),0)</f>
        <v>0</v>
      </c>
      <c r="AB73" s="2">
        <f>VLOOKUP([jobnumber],OvalData[],MATCH(Table2[[#Headers],[Grille Amount]],Table2[#Headers],0),0)</f>
        <v>0</v>
      </c>
      <c r="AC73" s="2">
        <f>VLOOKUP([jobnumber],OvalData[],MATCH(Table2[[#Headers],[Grille Center]],Table2[#Headers],0),0)</f>
        <v>0</v>
      </c>
      <c r="AD73" s="2">
        <f>VLOOKUP([jobnumber],OvalData[],MATCH(Table2[[#Headers],[Grille Pattern]],Table2[#Headers],0),0)</f>
        <v>0</v>
      </c>
      <c r="AE73" s="2">
        <f>VLOOKUP([jobnumber],OvalData[],MATCH(Table2[[#Headers],[Grille First Tube]],Table2[#Headers],0),0)</f>
        <v>0</v>
      </c>
      <c r="AF73" s="2">
        <f>VLOOKUP([jobnumber],OvalData[],MATCH(Table2[[#Headers],[Grille Standard Tube]],Table2[#Headers],0),0)</f>
        <v>0</v>
      </c>
      <c r="AG73" s="2">
        <f>VLOOKUP([jobnumber],OvalData[],MATCH(Table2[[#Headers],[Grille Total Links]],Table2[#Headers],0),0)</f>
        <v>0</v>
      </c>
      <c r="AH73" s="2">
        <f>VLOOKUP([jobnumber],OvalData[],MATCH(Table2[[#Headers],[Grille Rods]],Table2[#Headers],0),0)</f>
        <v>0</v>
      </c>
      <c r="AI73" s="2">
        <f>VLOOKUP([jobnumber],OvalData[],MATCH(Table2[[#Headers],[Grille Rod Length]],Table2[#Headers],0),0)</f>
        <v>0</v>
      </c>
      <c r="AJ73" s="2">
        <f>VLOOKUP([jobnumber],OvalData[],MATCH(Table2[[#Headers],[slattype]],Table2[#Headers],0),0)</f>
        <v>2</v>
      </c>
      <c r="AK73" s="2">
        <f>VLOOKUP([jobnumber],OvalData[],MATCH(Table2[[#Headers],[slatgage]],Table2[#Headers],0),0)</f>
        <v>18</v>
      </c>
      <c r="AL73" s="2">
        <f>VLOOKUP([jobnumber],OvalData[],MATCH(Table2[[#Headers],[Numer of Top Slats]],Table2[#Headers],0),0)</f>
        <v>0</v>
      </c>
      <c r="AM73" s="2">
        <f>VLOOKUP([jobnumber],OvalData[],MATCH(Table2[[#Headers],[Number of Bottom Slats]],Table2[#Headers],0),0)</f>
        <v>0</v>
      </c>
      <c r="AN73" s="2">
        <f>VLOOKUP([jobnumber],OvalData[],MATCH(Table2[[#Headers],[Solid Bottom Height]],Table2[#Headers],0),0)</f>
        <v>0</v>
      </c>
      <c r="AO73" s="2" t="str">
        <f>VLOOKUP([jobnumber],OvalData[],MATCH(Table2[[#Headers],[slatlength]],Table2[#Headers],0),0)</f>
        <v xml:space="preserve"> 18 ft.- 5 7/ 8"</v>
      </c>
      <c r="AP73" s="2">
        <f>VLOOKUP([jobnumber],OvalData[],MATCH(Table2[[#Headers],[Bottom Slat Length]],Table2[#Headers],0),0)</f>
        <v>0</v>
      </c>
      <c r="AQ73" s="2">
        <f>VLOOKUP([jobnumber],OvalData[],MATCH(Table2[[#Headers],[Number of Perferated Slats]],Table2[#Headers],0),0)</f>
        <v>0</v>
      </c>
      <c r="AR73" s="2">
        <f>VLOOKUP([jobnumber],OvalData[],MATCH(Table2[[#Headers],[First Preferated Slat From End]],Table2[#Headers],0),0)</f>
        <v>0</v>
      </c>
      <c r="AS73" s="2">
        <f>VLOOKUP([jobnumber],OvalData[],MATCH(Table2[[#Headers],[First Preferated Slat From Bottom]],Table2[#Headers],0),0)</f>
        <v>0</v>
      </c>
      <c r="AT73" s="2">
        <f>VLOOKUP([jobnumber],OvalData[],MATCH(Table2[[#Headers],[Total Number of Slats]],Table2[#Headers],0),0)</f>
        <v>51</v>
      </c>
      <c r="AU73" s="2">
        <f>VLOOKUP([jobnumber],OvalData[],MATCH(Table2[[#Headers],[Bottom Bar Slope]],Table2[#Headers],0),0)</f>
        <v>0</v>
      </c>
      <c r="AV73" s="2">
        <f>VLOOKUP([jobnumber],OvalData[],MATCH(Table2[[#Headers],[Bottom Bar Weight]],Table2[#Headers],0),0)</f>
        <v>80.5</v>
      </c>
      <c r="AW73" s="2" t="str">
        <f>VLOOKUP([jobnumber],OvalData[],MATCH(Table2[[#Headers],[Outer Spring Gage]],Table2[#Headers],0),0)</f>
        <v>Null</v>
      </c>
      <c r="AX73" s="2" t="str">
        <f>VLOOKUP([jobnumber],OvalData[],MATCH(Table2[[#Headers],[Outer Spring OD]],Table2[#Headers],0),0)</f>
        <v>Null</v>
      </c>
      <c r="AY73" s="2" t="str">
        <f>VLOOKUP([jobnumber],OvalData[],MATCH(Table2[[#Headers],[Outer Spring Length]],Table2[#Headers],0),0)</f>
        <v>Null</v>
      </c>
      <c r="AZ73" s="2" t="str">
        <f>VLOOKUP([jobnumber],OvalData[],MATCH(Table2[[#Headers],[Outer Spring Stretch]],Table2[#Headers],0),0)</f>
        <v>Null</v>
      </c>
      <c r="BA73" s="2" t="str">
        <f>VLOOKUP([jobnumber],OvalData[],MATCH(Table2[[#Headers],[Outer Spring Torque]],Table2[#Headers],0),0)</f>
        <v>Null</v>
      </c>
      <c r="BB73" s="2" t="str">
        <f>VLOOKUP([jobnumber],OvalData[],MATCH(Table2[[#Headers],[Outer Spring Max Turns]],Table2[#Headers],0),0)</f>
        <v>Null</v>
      </c>
      <c r="BC73" s="2" t="str">
        <f>VLOOKUP([jobnumber],OvalData[],MATCH(Table2[[#Headers],[Outer Spring Weight]],Table2[#Headers],0),0)</f>
        <v>Null</v>
      </c>
      <c r="BD73" s="2" t="str">
        <f>VLOOKUP([jobnumber],OvalData[],MATCH(Table2[[#Headers],[Inner Spring Gage]],Table2[#Headers],0),0)</f>
        <v>Null</v>
      </c>
      <c r="BE73" s="2" t="str">
        <f>VLOOKUP([jobnumber],OvalData[],MATCH(Table2[[#Headers],[Inner Spring OD]],Table2[#Headers],0),0)</f>
        <v>Null</v>
      </c>
      <c r="BF73" s="2" t="str">
        <f>VLOOKUP([jobnumber],OvalData[],MATCH(Table2[[#Headers],[Inner Spring Length]],Table2[#Headers],0),0)</f>
        <v>Null</v>
      </c>
      <c r="BG73" s="2" t="str">
        <f>VLOOKUP([jobnumber],OvalData[],MATCH(Table2[[#Headers],[Inner Spring Stretch]],Table2[#Headers],0),0)</f>
        <v>Null</v>
      </c>
      <c r="BH73" s="2" t="str">
        <f>VLOOKUP([jobnumber],OvalData[],MATCH(Table2[[#Headers],[Inner Spring Torque]],Table2[#Headers],0),0)</f>
        <v>Null</v>
      </c>
      <c r="BI73" s="2" t="str">
        <f>VLOOKUP([jobnumber],OvalData[],MATCH(Table2[[#Headers],[Inner Spring Max Turns]],Table2[#Headers],0),0)</f>
        <v>Null</v>
      </c>
      <c r="BJ73" s="2" t="str">
        <f>VLOOKUP([jobnumber],OvalData[],MATCH(Table2[[#Headers],[Inner Spring Weight]],Table2[#Headers],0),0)</f>
        <v>Null</v>
      </c>
      <c r="BK73" s="2">
        <f>VLOOKUP([jobnumber],OvalData[],MATCH(Table2[[#Headers],[Cycles]],Table2[#Headers],0),0)</f>
        <v>0</v>
      </c>
      <c r="BL73" s="2">
        <f>VLOOKUP([jobnumber],OvalData[],MATCH(Table2[[#Headers],[Total Spring Torque]],Table2[#Headers],0),0)</f>
        <v>0</v>
      </c>
      <c r="BM73" s="2">
        <f>VLOOKUP([jobnumber],OvalData[],MATCH(Table2[[#Headers],[Total Spring Weight]],Table2[#Headers],0),0)</f>
        <v>0</v>
      </c>
      <c r="BN73" s="2">
        <f>VLOOKUP([jobnumber],OvalData[],MATCH(Table2[[#Headers],[Pipe Weight]],Table2[#Headers],0),0)</f>
        <v>688.24239999999998</v>
      </c>
      <c r="BO73" s="2">
        <f>VLOOKUP([jobnumber],OvalData[],MATCH(Table2[[#Headers],[Max Pipe Deflection]],Table2[#Headers],0),0)</f>
        <v>2309</v>
      </c>
      <c r="BP73" s="2">
        <f>VLOOKUP([jobnumber],OvalData[],MATCH(Table2[[#Headers],[Number Non-Insulated Wrap Slats]],Table2[#Headers],0),0)</f>
        <v>0</v>
      </c>
      <c r="BQ73" s="2">
        <f>VLOOKUP([jobnumber],OvalData[],MATCH(Table2[[#Headers],[Number of Insolated Top Slats]],Table2[#Headers],0),0)</f>
        <v>45</v>
      </c>
      <c r="BR73" s="2">
        <f>VLOOKUP([jobnumber],OvalData[],MATCH(Table2[[#Headers],[Insolated Total Slats]],Table2[#Headers],0),0)</f>
        <v>45</v>
      </c>
      <c r="BS73" s="2">
        <f>VLOOKUP([jobnumber],OvalData[],MATCH(Table2[[#Headers],[Number of Slats]],Table2[#Headers],0),0)</f>
        <v>44.69</v>
      </c>
      <c r="BT73" s="2">
        <f>VLOOKUP([jobnumber],OvalData[],MATCH(Table2[[#Headers],[Wrap]],Table2[#Headers],0),0)</f>
        <v>0</v>
      </c>
      <c r="BU73" s="2">
        <f>VLOOKUP([jobnumber],OvalData[],MATCH(Table2[[#Headers],[Wall Angle Thickness]],Table2[#Headers],0),0)</f>
        <v>0</v>
      </c>
      <c r="BV73" s="2">
        <f>VLOOKUP([jobnumber],OvalData[],MATCH(Table2[[#Headers],[windlocks]],Table2[#Headers],0),0)</f>
        <v>0</v>
      </c>
      <c r="BW73" s="2" t="str">
        <f>VLOOKUP([jobnumber],OvalData[],MATCH(Table2[[#Headers],[bottombartype]],Table2[#Headers],0),0)</f>
        <v>SPECIAL</v>
      </c>
      <c r="BX73" s="2">
        <f>VLOOKUP([jobnumber],OvalData[],MATCH(Table2[[#Headers],[endlockweight]],Table2[#Headers],0),0)</f>
        <v>0.17</v>
      </c>
      <c r="BY73" s="2">
        <f>VLOOKUP([jobnumber],OvalData[],MATCH(Table2[[#Headers],[Endlock Total Weight]],Table2[#Headers],0),0)</f>
        <v>7.5972999999999997</v>
      </c>
      <c r="BZ73" s="2">
        <f>VLOOKUP([jobnumber],OvalData[],MATCH(Table2[[#Headers],[Grille Weight]],Table2[#Headers],0),0)</f>
        <v>0</v>
      </c>
      <c r="CA73" s="2">
        <f>VLOOKUP([jobnumber],OvalData[],MATCH(Table2[[#Headers],[barrelrings]],Table2[#Headers],0),0)</f>
        <v>1</v>
      </c>
    </row>
    <row r="74" spans="2:79">
      <c r="B74" s="2" t="str">
        <f>VLOOKUP([jobnumber],OvalData[],MATCH(Table2[[#Headers],[Hand]],Table2[#Headers],0),0)</f>
        <v>RH</v>
      </c>
      <c r="C74" s="2" t="str">
        <f>VLOOKUP([jobnumber],OvalData[],MATCH(Table2[[#Headers],[Model]],Table2[#Headers],0),0)</f>
        <v>SFMPP</v>
      </c>
      <c r="D74" s="2" t="str">
        <f>VLOOKUP([jobnumber],OvalData[],MATCH(Table2[[#Headers],[width]],Table2[#Headers],0),0)</f>
        <v xml:space="preserve"> 18 ft.- 2"</v>
      </c>
      <c r="E74" s="2" t="str">
        <f>VLOOKUP([jobnumber],OvalData[],MATCH(Table2[[#Headers],[stopheight]],Table2[#Headers],0),0)</f>
        <v xml:space="preserve"> 10 ft.- 0"</v>
      </c>
      <c r="F74" s="2" t="str">
        <f>VLOOKUP([jobnumber],OvalData[],MATCH(Table2[[#Headers],[Between Brackets]],Table2[#Headers],0),0)</f>
        <v xml:space="preserve"> 18 ft.- 7 7/ 8"</v>
      </c>
      <c r="G74" s="2" t="str">
        <f>VLOOKUP([jobnumber],OvalData[],MATCH(Table2[[#Headers],[shell]],Table2[#Headers],0),0)</f>
        <v>6 INCH TUBE</v>
      </c>
      <c r="H74" s="2" t="str">
        <f>VLOOKUP([jobnumber],OvalData[],MATCH(Table2[[#Headers],[pipewidth]],Table2[#Headers],0),0)</f>
        <v xml:space="preserve"> 18 ft.- 1 3/ 8"</v>
      </c>
      <c r="I74" s="2">
        <f>VLOOKUP([jobnumber],OvalData[],MATCH(Table2[[#Headers],[Support Tubes]],Table2[#Headers],0),0)</f>
        <v>0</v>
      </c>
      <c r="J74" s="2">
        <f>VLOOKUP([jobnumber],OvalData[],MATCH(Table2[[#Headers],[Upset]],Table2[#Headers],0),0)</f>
        <v>2</v>
      </c>
      <c r="K74" s="2" t="str">
        <f>VLOOKUP([jobnumber],OvalData[],MATCH(Table2[[#Headers],[Guide Type]],Table2[#Headers],0),0)</f>
        <v>SN2-4 5/8-E</v>
      </c>
      <c r="L74" s="2" t="str">
        <f>VLOOKUP([jobnumber],OvalData[],MATCH(Table2[[#Headers],[Wall Angle]],Table2[#Headers],0),0)</f>
        <v xml:space="preserve"> 11 ft.- 8"</v>
      </c>
      <c r="M74" s="2" t="str">
        <f>VLOOKUP([jobnumber],OvalData[],MATCH(Table2[[#Headers],[Middle Angle]],Table2[#Headers],0),0)</f>
        <v xml:space="preserve"> 10 ft.- 4 1/ 2"</v>
      </c>
      <c r="N74" s="2" t="str">
        <f>VLOOKUP([jobnumber],OvalData[],MATCH(Table2[[#Headers],[Front Angle]],Table2[#Headers],0),0)</f>
        <v xml:space="preserve"> 10 ft.- 3"</v>
      </c>
      <c r="O74" s="2">
        <f>VLOOKUP([jobnumber],OvalData[],MATCH(Table2[[#Headers],[Pipe Center Line]],Table2[#Headers],0),0)</f>
        <v>131</v>
      </c>
      <c r="P74" s="2">
        <f>VLOOKUP([jobnumber],OvalData[],MATCH(Table2[[#Headers],[Heat Expansion Gap]],Table2[#Headers],0),0)</f>
        <v>0</v>
      </c>
      <c r="Q74" s="2">
        <f>VLOOKUP([jobnumber],OvalData[],MATCH(Table2[[#Headers],[Hanging Weight Closed]],Table2[#Headers],0),0)</f>
        <v>795</v>
      </c>
      <c r="R74" s="2">
        <f>VLOOKUP([jobnumber],OvalData[],MATCH(Table2[[#Headers],[Hanging Weight Open]],Table2[#Headers],0),0)</f>
        <v>140</v>
      </c>
      <c r="S74" s="2">
        <f>VLOOKUP([jobnumber],OvalData[],MATCH(Table2[[#Headers],[Initial Lever Arm]],Table2[#Headers],0),0)</f>
        <v>4.25</v>
      </c>
      <c r="T74" s="2">
        <f>VLOOKUP([jobnumber],OvalData[],MATCH(Table2[[#Headers],[Turns to Raise]],Table2[#Headers],0),0)</f>
        <v>3.5859999999999999</v>
      </c>
      <c r="U74" s="2">
        <f>VLOOKUP([jobnumber],OvalData[],MATCH(Table2[[#Headers],[Final Lever Arm]],Table2[#Headers],0),0)</f>
        <v>6.37</v>
      </c>
      <c r="V74" s="2">
        <f>VLOOKUP([jobnumber],OvalData[],MATCH(Table2[[#Headers],[Torque Required Closed]],Table2[#Headers],0),0)</f>
        <v>3377.9</v>
      </c>
      <c r="W74" s="2">
        <f>VLOOKUP([jobnumber],OvalData[],MATCH(Table2[[#Headers],[Torque Required Open]],Table2[#Headers],0),0)</f>
        <v>892</v>
      </c>
      <c r="X74" s="2">
        <f>VLOOKUP([jobnumber],OvalData[],MATCH(Table2[[#Headers],[Pre Turns]],Table2[#Headers],0),0)</f>
        <v>1.3332999999999999</v>
      </c>
      <c r="Y74" s="2">
        <f>VLOOKUP([jobnumber],OvalData[],MATCH(Table2[[#Headers],[Required Torque Per Turn]],Table2[#Headers],0),0)</f>
        <v>688</v>
      </c>
      <c r="Z74" s="2">
        <f>VLOOKUP([jobnumber],OvalData[],MATCH(Table2[[#Headers],[Total Turns]],Table2[#Headers],0),0)</f>
        <v>4.91</v>
      </c>
      <c r="AA74" s="2">
        <f>VLOOKUP([jobnumber],OvalData[],MATCH(Table2[[#Headers],[Grille Vision Section]],Table2[#Headers],0),0)</f>
        <v>0</v>
      </c>
      <c r="AB74" s="2">
        <f>VLOOKUP([jobnumber],OvalData[],MATCH(Table2[[#Headers],[Grille Amount]],Table2[#Headers],0),0)</f>
        <v>0</v>
      </c>
      <c r="AC74" s="2">
        <f>VLOOKUP([jobnumber],OvalData[],MATCH(Table2[[#Headers],[Grille Center]],Table2[#Headers],0),0)</f>
        <v>0</v>
      </c>
      <c r="AD74" s="2">
        <f>VLOOKUP([jobnumber],OvalData[],MATCH(Table2[[#Headers],[Grille Pattern]],Table2[#Headers],0),0)</f>
        <v>0</v>
      </c>
      <c r="AE74" s="2">
        <f>VLOOKUP([jobnumber],OvalData[],MATCH(Table2[[#Headers],[Grille First Tube]],Table2[#Headers],0),0)</f>
        <v>0</v>
      </c>
      <c r="AF74" s="2">
        <f>VLOOKUP([jobnumber],OvalData[],MATCH(Table2[[#Headers],[Grille Standard Tube]],Table2[#Headers],0),0)</f>
        <v>0</v>
      </c>
      <c r="AG74" s="2">
        <f>VLOOKUP([jobnumber],OvalData[],MATCH(Table2[[#Headers],[Grille Total Links]],Table2[#Headers],0),0)</f>
        <v>0</v>
      </c>
      <c r="AH74" s="2">
        <f>VLOOKUP([jobnumber],OvalData[],MATCH(Table2[[#Headers],[Grille Rods]],Table2[#Headers],0),0)</f>
        <v>0</v>
      </c>
      <c r="AI74" s="2">
        <f>VLOOKUP([jobnumber],OvalData[],MATCH(Table2[[#Headers],[Grille Rod Length]],Table2[#Headers],0),0)</f>
        <v>0</v>
      </c>
      <c r="AJ74" s="2">
        <f>VLOOKUP([jobnumber],OvalData[],MATCH(Table2[[#Headers],[slattype]],Table2[#Headers],0),0)</f>
        <v>2</v>
      </c>
      <c r="AK74" s="2">
        <f>VLOOKUP([jobnumber],OvalData[],MATCH(Table2[[#Headers],[slatgage]],Table2[#Headers],0),0)</f>
        <v>18</v>
      </c>
      <c r="AL74" s="2">
        <f>VLOOKUP([jobnumber],OvalData[],MATCH(Table2[[#Headers],[Numer of Top Slats]],Table2[#Headers],0),0)</f>
        <v>0</v>
      </c>
      <c r="AM74" s="2">
        <f>VLOOKUP([jobnumber],OvalData[],MATCH(Table2[[#Headers],[Number of Bottom Slats]],Table2[#Headers],0),0)</f>
        <v>0</v>
      </c>
      <c r="AN74" s="2">
        <f>VLOOKUP([jobnumber],OvalData[],MATCH(Table2[[#Headers],[Solid Bottom Height]],Table2[#Headers],0),0)</f>
        <v>0</v>
      </c>
      <c r="AO74" s="2" t="str">
        <f>VLOOKUP([jobnumber],OvalData[],MATCH(Table2[[#Headers],[slatlength]],Table2[#Headers],0),0)</f>
        <v xml:space="preserve"> 18 ft.- 5 7/ 8"</v>
      </c>
      <c r="AP74" s="2">
        <f>VLOOKUP([jobnumber],OvalData[],MATCH(Table2[[#Headers],[Bottom Slat Length]],Table2[#Headers],0),0)</f>
        <v>0</v>
      </c>
      <c r="AQ74" s="2">
        <f>VLOOKUP([jobnumber],OvalData[],MATCH(Table2[[#Headers],[Number of Perferated Slats]],Table2[#Headers],0),0)</f>
        <v>0</v>
      </c>
      <c r="AR74" s="2">
        <f>VLOOKUP([jobnumber],OvalData[],MATCH(Table2[[#Headers],[First Preferated Slat From End]],Table2[#Headers],0),0)</f>
        <v>0</v>
      </c>
      <c r="AS74" s="2">
        <f>VLOOKUP([jobnumber],OvalData[],MATCH(Table2[[#Headers],[First Preferated Slat From Bottom]],Table2[#Headers],0),0)</f>
        <v>0</v>
      </c>
      <c r="AT74" s="2">
        <f>VLOOKUP([jobnumber],OvalData[],MATCH(Table2[[#Headers],[Total Number of Slats]],Table2[#Headers],0),0)</f>
        <v>51</v>
      </c>
      <c r="AU74" s="2">
        <f>VLOOKUP([jobnumber],OvalData[],MATCH(Table2[[#Headers],[Bottom Bar Slope]],Table2[#Headers],0),0)</f>
        <v>0</v>
      </c>
      <c r="AV74" s="2">
        <f>VLOOKUP([jobnumber],OvalData[],MATCH(Table2[[#Headers],[Bottom Bar Weight]],Table2[#Headers],0),0)</f>
        <v>80.5</v>
      </c>
      <c r="AW74" s="2" t="str">
        <f>VLOOKUP([jobnumber],OvalData[],MATCH(Table2[[#Headers],[Outer Spring Gage]],Table2[#Headers],0),0)</f>
        <v>Null</v>
      </c>
      <c r="AX74" s="2" t="str">
        <f>VLOOKUP([jobnumber],OvalData[],MATCH(Table2[[#Headers],[Outer Spring OD]],Table2[#Headers],0),0)</f>
        <v>Null</v>
      </c>
      <c r="AY74" s="2" t="str">
        <f>VLOOKUP([jobnumber],OvalData[],MATCH(Table2[[#Headers],[Outer Spring Length]],Table2[#Headers],0),0)</f>
        <v>Null</v>
      </c>
      <c r="AZ74" s="2" t="str">
        <f>VLOOKUP([jobnumber],OvalData[],MATCH(Table2[[#Headers],[Outer Spring Stretch]],Table2[#Headers],0),0)</f>
        <v>Null</v>
      </c>
      <c r="BA74" s="2" t="str">
        <f>VLOOKUP([jobnumber],OvalData[],MATCH(Table2[[#Headers],[Outer Spring Torque]],Table2[#Headers],0),0)</f>
        <v>Null</v>
      </c>
      <c r="BB74" s="2" t="str">
        <f>VLOOKUP([jobnumber],OvalData[],MATCH(Table2[[#Headers],[Outer Spring Max Turns]],Table2[#Headers],0),0)</f>
        <v>Null</v>
      </c>
      <c r="BC74" s="2" t="str">
        <f>VLOOKUP([jobnumber],OvalData[],MATCH(Table2[[#Headers],[Outer Spring Weight]],Table2[#Headers],0),0)</f>
        <v>Null</v>
      </c>
      <c r="BD74" s="2" t="str">
        <f>VLOOKUP([jobnumber],OvalData[],MATCH(Table2[[#Headers],[Inner Spring Gage]],Table2[#Headers],0),0)</f>
        <v>Null</v>
      </c>
      <c r="BE74" s="2" t="str">
        <f>VLOOKUP([jobnumber],OvalData[],MATCH(Table2[[#Headers],[Inner Spring OD]],Table2[#Headers],0),0)</f>
        <v>Null</v>
      </c>
      <c r="BF74" s="2" t="str">
        <f>VLOOKUP([jobnumber],OvalData[],MATCH(Table2[[#Headers],[Inner Spring Length]],Table2[#Headers],0),0)</f>
        <v>Null</v>
      </c>
      <c r="BG74" s="2" t="str">
        <f>VLOOKUP([jobnumber],OvalData[],MATCH(Table2[[#Headers],[Inner Spring Stretch]],Table2[#Headers],0),0)</f>
        <v>Null</v>
      </c>
      <c r="BH74" s="2" t="str">
        <f>VLOOKUP([jobnumber],OvalData[],MATCH(Table2[[#Headers],[Inner Spring Torque]],Table2[#Headers],0),0)</f>
        <v>Null</v>
      </c>
      <c r="BI74" s="2" t="str">
        <f>VLOOKUP([jobnumber],OvalData[],MATCH(Table2[[#Headers],[Inner Spring Max Turns]],Table2[#Headers],0),0)</f>
        <v>Null</v>
      </c>
      <c r="BJ74" s="2" t="str">
        <f>VLOOKUP([jobnumber],OvalData[],MATCH(Table2[[#Headers],[Inner Spring Weight]],Table2[#Headers],0),0)</f>
        <v>Null</v>
      </c>
      <c r="BK74" s="2">
        <f>VLOOKUP([jobnumber],OvalData[],MATCH(Table2[[#Headers],[Cycles]],Table2[#Headers],0),0)</f>
        <v>0</v>
      </c>
      <c r="BL74" s="2">
        <f>VLOOKUP([jobnumber],OvalData[],MATCH(Table2[[#Headers],[Total Spring Torque]],Table2[#Headers],0),0)</f>
        <v>0</v>
      </c>
      <c r="BM74" s="2">
        <f>VLOOKUP([jobnumber],OvalData[],MATCH(Table2[[#Headers],[Total Spring Weight]],Table2[#Headers],0),0)</f>
        <v>0</v>
      </c>
      <c r="BN74" s="2">
        <f>VLOOKUP([jobnumber],OvalData[],MATCH(Table2[[#Headers],[Pipe Weight]],Table2[#Headers],0),0)</f>
        <v>688.24239999999998</v>
      </c>
      <c r="BO74" s="2">
        <f>VLOOKUP([jobnumber],OvalData[],MATCH(Table2[[#Headers],[Max Pipe Deflection]],Table2[#Headers],0),0)</f>
        <v>2309</v>
      </c>
      <c r="BP74" s="2">
        <f>VLOOKUP([jobnumber],OvalData[],MATCH(Table2[[#Headers],[Number Non-Insulated Wrap Slats]],Table2[#Headers],0),0)</f>
        <v>0</v>
      </c>
      <c r="BQ74" s="2">
        <f>VLOOKUP([jobnumber],OvalData[],MATCH(Table2[[#Headers],[Number of Insolated Top Slats]],Table2[#Headers],0),0)</f>
        <v>45</v>
      </c>
      <c r="BR74" s="2">
        <f>VLOOKUP([jobnumber],OvalData[],MATCH(Table2[[#Headers],[Insolated Total Slats]],Table2[#Headers],0),0)</f>
        <v>45</v>
      </c>
      <c r="BS74" s="2">
        <f>VLOOKUP([jobnumber],OvalData[],MATCH(Table2[[#Headers],[Number of Slats]],Table2[#Headers],0),0)</f>
        <v>44.69</v>
      </c>
      <c r="BT74" s="2">
        <f>VLOOKUP([jobnumber],OvalData[],MATCH(Table2[[#Headers],[Wrap]],Table2[#Headers],0),0)</f>
        <v>0</v>
      </c>
      <c r="BU74" s="2">
        <f>VLOOKUP([jobnumber],OvalData[],MATCH(Table2[[#Headers],[Wall Angle Thickness]],Table2[#Headers],0),0)</f>
        <v>0</v>
      </c>
      <c r="BV74" s="2">
        <f>VLOOKUP([jobnumber],OvalData[],MATCH(Table2[[#Headers],[windlocks]],Table2[#Headers],0),0)</f>
        <v>0</v>
      </c>
      <c r="BW74" s="2" t="str">
        <f>VLOOKUP([jobnumber],OvalData[],MATCH(Table2[[#Headers],[bottombartype]],Table2[#Headers],0),0)</f>
        <v>SPECIAL</v>
      </c>
      <c r="BX74" s="2">
        <f>VLOOKUP([jobnumber],OvalData[],MATCH(Table2[[#Headers],[endlockweight]],Table2[#Headers],0),0)</f>
        <v>0.17</v>
      </c>
      <c r="BY74" s="2">
        <f>VLOOKUP([jobnumber],OvalData[],MATCH(Table2[[#Headers],[Endlock Total Weight]],Table2[#Headers],0),0)</f>
        <v>7.5972999999999997</v>
      </c>
      <c r="BZ74" s="2">
        <f>VLOOKUP([jobnumber],OvalData[],MATCH(Table2[[#Headers],[Grille Weight]],Table2[#Headers],0),0)</f>
        <v>0</v>
      </c>
      <c r="CA74" s="2">
        <f>VLOOKUP([jobnumber],OvalData[],MATCH(Table2[[#Headers],[barrelrings]],Table2[#Headers],0),0)</f>
        <v>1</v>
      </c>
    </row>
    <row r="75" spans="2:79">
      <c r="B75" s="2" t="str">
        <f>VLOOKUP([jobnumber],OvalData[],MATCH(Table2[[#Headers],[Hand]],Table2[#Headers],0),0)</f>
        <v>RH</v>
      </c>
      <c r="C75" s="2" t="str">
        <f>VLOOKUP([jobnumber],OvalData[],MATCH(Table2[[#Headers],[Model]],Table2[#Headers],0),0)</f>
        <v>SFMPP</v>
      </c>
      <c r="D75" s="2" t="str">
        <f>VLOOKUP([jobnumber],OvalData[],MATCH(Table2[[#Headers],[width]],Table2[#Headers],0),0)</f>
        <v xml:space="preserve"> 18 ft.- 2"</v>
      </c>
      <c r="E75" s="2" t="str">
        <f>VLOOKUP([jobnumber],OvalData[],MATCH(Table2[[#Headers],[stopheight]],Table2[#Headers],0),0)</f>
        <v xml:space="preserve"> 10 ft.- 0"</v>
      </c>
      <c r="F75" s="2" t="str">
        <f>VLOOKUP([jobnumber],OvalData[],MATCH(Table2[[#Headers],[Between Brackets]],Table2[#Headers],0),0)</f>
        <v xml:space="preserve"> 18 ft.- 7 7/ 8"</v>
      </c>
      <c r="G75" s="2" t="str">
        <f>VLOOKUP([jobnumber],OvalData[],MATCH(Table2[[#Headers],[shell]],Table2[#Headers],0),0)</f>
        <v>6 INCH TUBE</v>
      </c>
      <c r="H75" s="2" t="str">
        <f>VLOOKUP([jobnumber],OvalData[],MATCH(Table2[[#Headers],[pipewidth]],Table2[#Headers],0),0)</f>
        <v xml:space="preserve"> 18 ft.- 1 3/ 8"</v>
      </c>
      <c r="I75" s="2">
        <f>VLOOKUP([jobnumber],OvalData[],MATCH(Table2[[#Headers],[Support Tubes]],Table2[#Headers],0),0)</f>
        <v>0</v>
      </c>
      <c r="J75" s="2">
        <f>VLOOKUP([jobnumber],OvalData[],MATCH(Table2[[#Headers],[Upset]],Table2[#Headers],0),0)</f>
        <v>2</v>
      </c>
      <c r="K75" s="2" t="str">
        <f>VLOOKUP([jobnumber],OvalData[],MATCH(Table2[[#Headers],[Guide Type]],Table2[#Headers],0),0)</f>
        <v>SN2-4 5/8-E</v>
      </c>
      <c r="L75" s="2" t="str">
        <f>VLOOKUP([jobnumber],OvalData[],MATCH(Table2[[#Headers],[Wall Angle]],Table2[#Headers],0),0)</f>
        <v xml:space="preserve"> 11 ft.- 8"</v>
      </c>
      <c r="M75" s="2" t="str">
        <f>VLOOKUP([jobnumber],OvalData[],MATCH(Table2[[#Headers],[Middle Angle]],Table2[#Headers],0),0)</f>
        <v xml:space="preserve"> 10 ft.- 4 1/ 2"</v>
      </c>
      <c r="N75" s="2" t="str">
        <f>VLOOKUP([jobnumber],OvalData[],MATCH(Table2[[#Headers],[Front Angle]],Table2[#Headers],0),0)</f>
        <v xml:space="preserve"> 10 ft.- 3"</v>
      </c>
      <c r="O75" s="2">
        <f>VLOOKUP([jobnumber],OvalData[],MATCH(Table2[[#Headers],[Pipe Center Line]],Table2[#Headers],0),0)</f>
        <v>131</v>
      </c>
      <c r="P75" s="2">
        <f>VLOOKUP([jobnumber],OvalData[],MATCH(Table2[[#Headers],[Heat Expansion Gap]],Table2[#Headers],0),0)</f>
        <v>0</v>
      </c>
      <c r="Q75" s="2">
        <f>VLOOKUP([jobnumber],OvalData[],MATCH(Table2[[#Headers],[Hanging Weight Closed]],Table2[#Headers],0),0)</f>
        <v>795</v>
      </c>
      <c r="R75" s="2">
        <f>VLOOKUP([jobnumber],OvalData[],MATCH(Table2[[#Headers],[Hanging Weight Open]],Table2[#Headers],0),0)</f>
        <v>140</v>
      </c>
      <c r="S75" s="2">
        <f>VLOOKUP([jobnumber],OvalData[],MATCH(Table2[[#Headers],[Initial Lever Arm]],Table2[#Headers],0),0)</f>
        <v>4.25</v>
      </c>
      <c r="T75" s="2">
        <f>VLOOKUP([jobnumber],OvalData[],MATCH(Table2[[#Headers],[Turns to Raise]],Table2[#Headers],0),0)</f>
        <v>3.5859999999999999</v>
      </c>
      <c r="U75" s="2">
        <f>VLOOKUP([jobnumber],OvalData[],MATCH(Table2[[#Headers],[Final Lever Arm]],Table2[#Headers],0),0)</f>
        <v>6.37</v>
      </c>
      <c r="V75" s="2">
        <f>VLOOKUP([jobnumber],OvalData[],MATCH(Table2[[#Headers],[Torque Required Closed]],Table2[#Headers],0),0)</f>
        <v>3377.9</v>
      </c>
      <c r="W75" s="2">
        <f>VLOOKUP([jobnumber],OvalData[],MATCH(Table2[[#Headers],[Torque Required Open]],Table2[#Headers],0),0)</f>
        <v>892</v>
      </c>
      <c r="X75" s="2">
        <f>VLOOKUP([jobnumber],OvalData[],MATCH(Table2[[#Headers],[Pre Turns]],Table2[#Headers],0),0)</f>
        <v>1.3332999999999999</v>
      </c>
      <c r="Y75" s="2">
        <f>VLOOKUP([jobnumber],OvalData[],MATCH(Table2[[#Headers],[Required Torque Per Turn]],Table2[#Headers],0),0)</f>
        <v>688</v>
      </c>
      <c r="Z75" s="2">
        <f>VLOOKUP([jobnumber],OvalData[],MATCH(Table2[[#Headers],[Total Turns]],Table2[#Headers],0),0)</f>
        <v>4.91</v>
      </c>
      <c r="AA75" s="2">
        <f>VLOOKUP([jobnumber],OvalData[],MATCH(Table2[[#Headers],[Grille Vision Section]],Table2[#Headers],0),0)</f>
        <v>0</v>
      </c>
      <c r="AB75" s="2">
        <f>VLOOKUP([jobnumber],OvalData[],MATCH(Table2[[#Headers],[Grille Amount]],Table2[#Headers],0),0)</f>
        <v>0</v>
      </c>
      <c r="AC75" s="2">
        <f>VLOOKUP([jobnumber],OvalData[],MATCH(Table2[[#Headers],[Grille Center]],Table2[#Headers],0),0)</f>
        <v>0</v>
      </c>
      <c r="AD75" s="2">
        <f>VLOOKUP([jobnumber],OvalData[],MATCH(Table2[[#Headers],[Grille Pattern]],Table2[#Headers],0),0)</f>
        <v>0</v>
      </c>
      <c r="AE75" s="2">
        <f>VLOOKUP([jobnumber],OvalData[],MATCH(Table2[[#Headers],[Grille First Tube]],Table2[#Headers],0),0)</f>
        <v>0</v>
      </c>
      <c r="AF75" s="2">
        <f>VLOOKUP([jobnumber],OvalData[],MATCH(Table2[[#Headers],[Grille Standard Tube]],Table2[#Headers],0),0)</f>
        <v>0</v>
      </c>
      <c r="AG75" s="2">
        <f>VLOOKUP([jobnumber],OvalData[],MATCH(Table2[[#Headers],[Grille Total Links]],Table2[#Headers],0),0)</f>
        <v>0</v>
      </c>
      <c r="AH75" s="2">
        <f>VLOOKUP([jobnumber],OvalData[],MATCH(Table2[[#Headers],[Grille Rods]],Table2[#Headers],0),0)</f>
        <v>0</v>
      </c>
      <c r="AI75" s="2">
        <f>VLOOKUP([jobnumber],OvalData[],MATCH(Table2[[#Headers],[Grille Rod Length]],Table2[#Headers],0),0)</f>
        <v>0</v>
      </c>
      <c r="AJ75" s="2">
        <f>VLOOKUP([jobnumber],OvalData[],MATCH(Table2[[#Headers],[slattype]],Table2[#Headers],0),0)</f>
        <v>2</v>
      </c>
      <c r="AK75" s="2">
        <f>VLOOKUP([jobnumber],OvalData[],MATCH(Table2[[#Headers],[slatgage]],Table2[#Headers],0),0)</f>
        <v>18</v>
      </c>
      <c r="AL75" s="2">
        <f>VLOOKUP([jobnumber],OvalData[],MATCH(Table2[[#Headers],[Numer of Top Slats]],Table2[#Headers],0),0)</f>
        <v>0</v>
      </c>
      <c r="AM75" s="2">
        <f>VLOOKUP([jobnumber],OvalData[],MATCH(Table2[[#Headers],[Number of Bottom Slats]],Table2[#Headers],0),0)</f>
        <v>0</v>
      </c>
      <c r="AN75" s="2">
        <f>VLOOKUP([jobnumber],OvalData[],MATCH(Table2[[#Headers],[Solid Bottom Height]],Table2[#Headers],0),0)</f>
        <v>0</v>
      </c>
      <c r="AO75" s="2" t="str">
        <f>VLOOKUP([jobnumber],OvalData[],MATCH(Table2[[#Headers],[slatlength]],Table2[#Headers],0),0)</f>
        <v xml:space="preserve"> 18 ft.- 5 7/ 8"</v>
      </c>
      <c r="AP75" s="2">
        <f>VLOOKUP([jobnumber],OvalData[],MATCH(Table2[[#Headers],[Bottom Slat Length]],Table2[#Headers],0),0)</f>
        <v>0</v>
      </c>
      <c r="AQ75" s="2">
        <f>VLOOKUP([jobnumber],OvalData[],MATCH(Table2[[#Headers],[Number of Perferated Slats]],Table2[#Headers],0),0)</f>
        <v>0</v>
      </c>
      <c r="AR75" s="2">
        <f>VLOOKUP([jobnumber],OvalData[],MATCH(Table2[[#Headers],[First Preferated Slat From End]],Table2[#Headers],0),0)</f>
        <v>0</v>
      </c>
      <c r="AS75" s="2">
        <f>VLOOKUP([jobnumber],OvalData[],MATCH(Table2[[#Headers],[First Preferated Slat From Bottom]],Table2[#Headers],0),0)</f>
        <v>0</v>
      </c>
      <c r="AT75" s="2">
        <f>VLOOKUP([jobnumber],OvalData[],MATCH(Table2[[#Headers],[Total Number of Slats]],Table2[#Headers],0),0)</f>
        <v>51</v>
      </c>
      <c r="AU75" s="2">
        <f>VLOOKUP([jobnumber],OvalData[],MATCH(Table2[[#Headers],[Bottom Bar Slope]],Table2[#Headers],0),0)</f>
        <v>0</v>
      </c>
      <c r="AV75" s="2">
        <f>VLOOKUP([jobnumber],OvalData[],MATCH(Table2[[#Headers],[Bottom Bar Weight]],Table2[#Headers],0),0)</f>
        <v>80.5</v>
      </c>
      <c r="AW75" s="2" t="str">
        <f>VLOOKUP([jobnumber],OvalData[],MATCH(Table2[[#Headers],[Outer Spring Gage]],Table2[#Headers],0),0)</f>
        <v>Null</v>
      </c>
      <c r="AX75" s="2" t="str">
        <f>VLOOKUP([jobnumber],OvalData[],MATCH(Table2[[#Headers],[Outer Spring OD]],Table2[#Headers],0),0)</f>
        <v>Null</v>
      </c>
      <c r="AY75" s="2" t="str">
        <f>VLOOKUP([jobnumber],OvalData[],MATCH(Table2[[#Headers],[Outer Spring Length]],Table2[#Headers],0),0)</f>
        <v>Null</v>
      </c>
      <c r="AZ75" s="2" t="str">
        <f>VLOOKUP([jobnumber],OvalData[],MATCH(Table2[[#Headers],[Outer Spring Stretch]],Table2[#Headers],0),0)</f>
        <v>Null</v>
      </c>
      <c r="BA75" s="2" t="str">
        <f>VLOOKUP([jobnumber],OvalData[],MATCH(Table2[[#Headers],[Outer Spring Torque]],Table2[#Headers],0),0)</f>
        <v>Null</v>
      </c>
      <c r="BB75" s="2" t="str">
        <f>VLOOKUP([jobnumber],OvalData[],MATCH(Table2[[#Headers],[Outer Spring Max Turns]],Table2[#Headers],0),0)</f>
        <v>Null</v>
      </c>
      <c r="BC75" s="2" t="str">
        <f>VLOOKUP([jobnumber],OvalData[],MATCH(Table2[[#Headers],[Outer Spring Weight]],Table2[#Headers],0),0)</f>
        <v>Null</v>
      </c>
      <c r="BD75" s="2" t="str">
        <f>VLOOKUP([jobnumber],OvalData[],MATCH(Table2[[#Headers],[Inner Spring Gage]],Table2[#Headers],0),0)</f>
        <v>Null</v>
      </c>
      <c r="BE75" s="2" t="str">
        <f>VLOOKUP([jobnumber],OvalData[],MATCH(Table2[[#Headers],[Inner Spring OD]],Table2[#Headers],0),0)</f>
        <v>Null</v>
      </c>
      <c r="BF75" s="2" t="str">
        <f>VLOOKUP([jobnumber],OvalData[],MATCH(Table2[[#Headers],[Inner Spring Length]],Table2[#Headers],0),0)</f>
        <v>Null</v>
      </c>
      <c r="BG75" s="2" t="str">
        <f>VLOOKUP([jobnumber],OvalData[],MATCH(Table2[[#Headers],[Inner Spring Stretch]],Table2[#Headers],0),0)</f>
        <v>Null</v>
      </c>
      <c r="BH75" s="2" t="str">
        <f>VLOOKUP([jobnumber],OvalData[],MATCH(Table2[[#Headers],[Inner Spring Torque]],Table2[#Headers],0),0)</f>
        <v>Null</v>
      </c>
      <c r="BI75" s="2" t="str">
        <f>VLOOKUP([jobnumber],OvalData[],MATCH(Table2[[#Headers],[Inner Spring Max Turns]],Table2[#Headers],0),0)</f>
        <v>Null</v>
      </c>
      <c r="BJ75" s="2" t="str">
        <f>VLOOKUP([jobnumber],OvalData[],MATCH(Table2[[#Headers],[Inner Spring Weight]],Table2[#Headers],0),0)</f>
        <v>Null</v>
      </c>
      <c r="BK75" s="2">
        <f>VLOOKUP([jobnumber],OvalData[],MATCH(Table2[[#Headers],[Cycles]],Table2[#Headers],0),0)</f>
        <v>0</v>
      </c>
      <c r="BL75" s="2">
        <f>VLOOKUP([jobnumber],OvalData[],MATCH(Table2[[#Headers],[Total Spring Torque]],Table2[#Headers],0),0)</f>
        <v>0</v>
      </c>
      <c r="BM75" s="2">
        <f>VLOOKUP([jobnumber],OvalData[],MATCH(Table2[[#Headers],[Total Spring Weight]],Table2[#Headers],0),0)</f>
        <v>0</v>
      </c>
      <c r="BN75" s="2">
        <f>VLOOKUP([jobnumber],OvalData[],MATCH(Table2[[#Headers],[Pipe Weight]],Table2[#Headers],0),0)</f>
        <v>688.24239999999998</v>
      </c>
      <c r="BO75" s="2">
        <f>VLOOKUP([jobnumber],OvalData[],MATCH(Table2[[#Headers],[Max Pipe Deflection]],Table2[#Headers],0),0)</f>
        <v>2309</v>
      </c>
      <c r="BP75" s="2">
        <f>VLOOKUP([jobnumber],OvalData[],MATCH(Table2[[#Headers],[Number Non-Insulated Wrap Slats]],Table2[#Headers],0),0)</f>
        <v>0</v>
      </c>
      <c r="BQ75" s="2">
        <f>VLOOKUP([jobnumber],OvalData[],MATCH(Table2[[#Headers],[Number of Insolated Top Slats]],Table2[#Headers],0),0)</f>
        <v>45</v>
      </c>
      <c r="BR75" s="2">
        <f>VLOOKUP([jobnumber],OvalData[],MATCH(Table2[[#Headers],[Insolated Total Slats]],Table2[#Headers],0),0)</f>
        <v>45</v>
      </c>
      <c r="BS75" s="2">
        <f>VLOOKUP([jobnumber],OvalData[],MATCH(Table2[[#Headers],[Number of Slats]],Table2[#Headers],0),0)</f>
        <v>44.69</v>
      </c>
      <c r="BT75" s="2">
        <f>VLOOKUP([jobnumber],OvalData[],MATCH(Table2[[#Headers],[Wrap]],Table2[#Headers],0),0)</f>
        <v>0</v>
      </c>
      <c r="BU75" s="2">
        <f>VLOOKUP([jobnumber],OvalData[],MATCH(Table2[[#Headers],[Wall Angle Thickness]],Table2[#Headers],0),0)</f>
        <v>0</v>
      </c>
      <c r="BV75" s="2">
        <f>VLOOKUP([jobnumber],OvalData[],MATCH(Table2[[#Headers],[windlocks]],Table2[#Headers],0),0)</f>
        <v>0</v>
      </c>
      <c r="BW75" s="2" t="str">
        <f>VLOOKUP([jobnumber],OvalData[],MATCH(Table2[[#Headers],[bottombartype]],Table2[#Headers],0),0)</f>
        <v>SPECIAL</v>
      </c>
      <c r="BX75" s="2">
        <f>VLOOKUP([jobnumber],OvalData[],MATCH(Table2[[#Headers],[endlockweight]],Table2[#Headers],0),0)</f>
        <v>0.17</v>
      </c>
      <c r="BY75" s="2">
        <f>VLOOKUP([jobnumber],OvalData[],MATCH(Table2[[#Headers],[Endlock Total Weight]],Table2[#Headers],0),0)</f>
        <v>7.5972999999999997</v>
      </c>
      <c r="BZ75" s="2">
        <f>VLOOKUP([jobnumber],OvalData[],MATCH(Table2[[#Headers],[Grille Weight]],Table2[#Headers],0),0)</f>
        <v>0</v>
      </c>
      <c r="CA75" s="2">
        <f>VLOOKUP([jobnumber],OvalData[],MATCH(Table2[[#Headers],[barrelrings]],Table2[#Headers],0),0)</f>
        <v>1</v>
      </c>
    </row>
    <row r="76" spans="2:79">
      <c r="B76" s="2" t="str">
        <f>VLOOKUP([jobnumber],OvalData[],MATCH(Table2[[#Headers],[Hand]],Table2[#Headers],0),0)</f>
        <v>RH</v>
      </c>
      <c r="C76" s="2" t="str">
        <f>VLOOKUP([jobnumber],OvalData[],MATCH(Table2[[#Headers],[Model]],Table2[#Headers],0),0)</f>
        <v>SFMPP</v>
      </c>
      <c r="D76" s="2" t="str">
        <f>VLOOKUP([jobnumber],OvalData[],MATCH(Table2[[#Headers],[width]],Table2[#Headers],0),0)</f>
        <v xml:space="preserve"> 18 ft.- 2"</v>
      </c>
      <c r="E76" s="2" t="str">
        <f>VLOOKUP([jobnumber],OvalData[],MATCH(Table2[[#Headers],[stopheight]],Table2[#Headers],0),0)</f>
        <v xml:space="preserve"> 10 ft.- 0"</v>
      </c>
      <c r="F76" s="2" t="str">
        <f>VLOOKUP([jobnumber],OvalData[],MATCH(Table2[[#Headers],[Between Brackets]],Table2[#Headers],0),0)</f>
        <v xml:space="preserve"> 18 ft.- 7 7/ 8"</v>
      </c>
      <c r="G76" s="2" t="str">
        <f>VLOOKUP([jobnumber],OvalData[],MATCH(Table2[[#Headers],[shell]],Table2[#Headers],0),0)</f>
        <v>6 INCH TUBE</v>
      </c>
      <c r="H76" s="2" t="str">
        <f>VLOOKUP([jobnumber],OvalData[],MATCH(Table2[[#Headers],[pipewidth]],Table2[#Headers],0),0)</f>
        <v xml:space="preserve"> 18 ft.- 1 3/ 8"</v>
      </c>
      <c r="I76" s="2">
        <f>VLOOKUP([jobnumber],OvalData[],MATCH(Table2[[#Headers],[Support Tubes]],Table2[#Headers],0),0)</f>
        <v>0</v>
      </c>
      <c r="J76" s="2">
        <f>VLOOKUP([jobnumber],OvalData[],MATCH(Table2[[#Headers],[Upset]],Table2[#Headers],0),0)</f>
        <v>2</v>
      </c>
      <c r="K76" s="2" t="str">
        <f>VLOOKUP([jobnumber],OvalData[],MATCH(Table2[[#Headers],[Guide Type]],Table2[#Headers],0),0)</f>
        <v>SN2-4 5/8-E</v>
      </c>
      <c r="L76" s="2" t="str">
        <f>VLOOKUP([jobnumber],OvalData[],MATCH(Table2[[#Headers],[Wall Angle]],Table2[#Headers],0),0)</f>
        <v xml:space="preserve"> 11 ft.- 8"</v>
      </c>
      <c r="M76" s="2" t="str">
        <f>VLOOKUP([jobnumber],OvalData[],MATCH(Table2[[#Headers],[Middle Angle]],Table2[#Headers],0),0)</f>
        <v xml:space="preserve"> 10 ft.- 4 1/ 2"</v>
      </c>
      <c r="N76" s="2" t="str">
        <f>VLOOKUP([jobnumber],OvalData[],MATCH(Table2[[#Headers],[Front Angle]],Table2[#Headers],0),0)</f>
        <v xml:space="preserve"> 10 ft.- 3"</v>
      </c>
      <c r="O76" s="2">
        <f>VLOOKUP([jobnumber],OvalData[],MATCH(Table2[[#Headers],[Pipe Center Line]],Table2[#Headers],0),0)</f>
        <v>131</v>
      </c>
      <c r="P76" s="2">
        <f>VLOOKUP([jobnumber],OvalData[],MATCH(Table2[[#Headers],[Heat Expansion Gap]],Table2[#Headers],0),0)</f>
        <v>0</v>
      </c>
      <c r="Q76" s="2">
        <f>VLOOKUP([jobnumber],OvalData[],MATCH(Table2[[#Headers],[Hanging Weight Closed]],Table2[#Headers],0),0)</f>
        <v>795</v>
      </c>
      <c r="R76" s="2">
        <f>VLOOKUP([jobnumber],OvalData[],MATCH(Table2[[#Headers],[Hanging Weight Open]],Table2[#Headers],0),0)</f>
        <v>140</v>
      </c>
      <c r="S76" s="2">
        <f>VLOOKUP([jobnumber],OvalData[],MATCH(Table2[[#Headers],[Initial Lever Arm]],Table2[#Headers],0),0)</f>
        <v>4.25</v>
      </c>
      <c r="T76" s="2">
        <f>VLOOKUP([jobnumber],OvalData[],MATCH(Table2[[#Headers],[Turns to Raise]],Table2[#Headers],0),0)</f>
        <v>3.5859999999999999</v>
      </c>
      <c r="U76" s="2">
        <f>VLOOKUP([jobnumber],OvalData[],MATCH(Table2[[#Headers],[Final Lever Arm]],Table2[#Headers],0),0)</f>
        <v>6.37</v>
      </c>
      <c r="V76" s="2">
        <f>VLOOKUP([jobnumber],OvalData[],MATCH(Table2[[#Headers],[Torque Required Closed]],Table2[#Headers],0),0)</f>
        <v>3377.9</v>
      </c>
      <c r="W76" s="2">
        <f>VLOOKUP([jobnumber],OvalData[],MATCH(Table2[[#Headers],[Torque Required Open]],Table2[#Headers],0),0)</f>
        <v>892</v>
      </c>
      <c r="X76" s="2">
        <f>VLOOKUP([jobnumber],OvalData[],MATCH(Table2[[#Headers],[Pre Turns]],Table2[#Headers],0),0)</f>
        <v>1.3332999999999999</v>
      </c>
      <c r="Y76" s="2">
        <f>VLOOKUP([jobnumber],OvalData[],MATCH(Table2[[#Headers],[Required Torque Per Turn]],Table2[#Headers],0),0)</f>
        <v>688</v>
      </c>
      <c r="Z76" s="2">
        <f>VLOOKUP([jobnumber],OvalData[],MATCH(Table2[[#Headers],[Total Turns]],Table2[#Headers],0),0)</f>
        <v>4.91</v>
      </c>
      <c r="AA76" s="2">
        <f>VLOOKUP([jobnumber],OvalData[],MATCH(Table2[[#Headers],[Grille Vision Section]],Table2[#Headers],0),0)</f>
        <v>0</v>
      </c>
      <c r="AB76" s="2">
        <f>VLOOKUP([jobnumber],OvalData[],MATCH(Table2[[#Headers],[Grille Amount]],Table2[#Headers],0),0)</f>
        <v>0</v>
      </c>
      <c r="AC76" s="2">
        <f>VLOOKUP([jobnumber],OvalData[],MATCH(Table2[[#Headers],[Grille Center]],Table2[#Headers],0),0)</f>
        <v>0</v>
      </c>
      <c r="AD76" s="2">
        <f>VLOOKUP([jobnumber],OvalData[],MATCH(Table2[[#Headers],[Grille Pattern]],Table2[#Headers],0),0)</f>
        <v>0</v>
      </c>
      <c r="AE76" s="2">
        <f>VLOOKUP([jobnumber],OvalData[],MATCH(Table2[[#Headers],[Grille First Tube]],Table2[#Headers],0),0)</f>
        <v>0</v>
      </c>
      <c r="AF76" s="2">
        <f>VLOOKUP([jobnumber],OvalData[],MATCH(Table2[[#Headers],[Grille Standard Tube]],Table2[#Headers],0),0)</f>
        <v>0</v>
      </c>
      <c r="AG76" s="2">
        <f>VLOOKUP([jobnumber],OvalData[],MATCH(Table2[[#Headers],[Grille Total Links]],Table2[#Headers],0),0)</f>
        <v>0</v>
      </c>
      <c r="AH76" s="2">
        <f>VLOOKUP([jobnumber],OvalData[],MATCH(Table2[[#Headers],[Grille Rods]],Table2[#Headers],0),0)</f>
        <v>0</v>
      </c>
      <c r="AI76" s="2">
        <f>VLOOKUP([jobnumber],OvalData[],MATCH(Table2[[#Headers],[Grille Rod Length]],Table2[#Headers],0),0)</f>
        <v>0</v>
      </c>
      <c r="AJ76" s="2">
        <f>VLOOKUP([jobnumber],OvalData[],MATCH(Table2[[#Headers],[slattype]],Table2[#Headers],0),0)</f>
        <v>2</v>
      </c>
      <c r="AK76" s="2">
        <f>VLOOKUP([jobnumber],OvalData[],MATCH(Table2[[#Headers],[slatgage]],Table2[#Headers],0),0)</f>
        <v>18</v>
      </c>
      <c r="AL76" s="2">
        <f>VLOOKUP([jobnumber],OvalData[],MATCH(Table2[[#Headers],[Numer of Top Slats]],Table2[#Headers],0),0)</f>
        <v>0</v>
      </c>
      <c r="AM76" s="2">
        <f>VLOOKUP([jobnumber],OvalData[],MATCH(Table2[[#Headers],[Number of Bottom Slats]],Table2[#Headers],0),0)</f>
        <v>0</v>
      </c>
      <c r="AN76" s="2">
        <f>VLOOKUP([jobnumber],OvalData[],MATCH(Table2[[#Headers],[Solid Bottom Height]],Table2[#Headers],0),0)</f>
        <v>0</v>
      </c>
      <c r="AO76" s="2" t="str">
        <f>VLOOKUP([jobnumber],OvalData[],MATCH(Table2[[#Headers],[slatlength]],Table2[#Headers],0),0)</f>
        <v xml:space="preserve"> 18 ft.- 5 7/ 8"</v>
      </c>
      <c r="AP76" s="2">
        <f>VLOOKUP([jobnumber],OvalData[],MATCH(Table2[[#Headers],[Bottom Slat Length]],Table2[#Headers],0),0)</f>
        <v>0</v>
      </c>
      <c r="AQ76" s="2">
        <f>VLOOKUP([jobnumber],OvalData[],MATCH(Table2[[#Headers],[Number of Perferated Slats]],Table2[#Headers],0),0)</f>
        <v>0</v>
      </c>
      <c r="AR76" s="2">
        <f>VLOOKUP([jobnumber],OvalData[],MATCH(Table2[[#Headers],[First Preferated Slat From End]],Table2[#Headers],0),0)</f>
        <v>0</v>
      </c>
      <c r="AS76" s="2">
        <f>VLOOKUP([jobnumber],OvalData[],MATCH(Table2[[#Headers],[First Preferated Slat From Bottom]],Table2[#Headers],0),0)</f>
        <v>0</v>
      </c>
      <c r="AT76" s="2">
        <f>VLOOKUP([jobnumber],OvalData[],MATCH(Table2[[#Headers],[Total Number of Slats]],Table2[#Headers],0),0)</f>
        <v>51</v>
      </c>
      <c r="AU76" s="2">
        <f>VLOOKUP([jobnumber],OvalData[],MATCH(Table2[[#Headers],[Bottom Bar Slope]],Table2[#Headers],0),0)</f>
        <v>0</v>
      </c>
      <c r="AV76" s="2">
        <f>VLOOKUP([jobnumber],OvalData[],MATCH(Table2[[#Headers],[Bottom Bar Weight]],Table2[#Headers],0),0)</f>
        <v>80.5</v>
      </c>
      <c r="AW76" s="2" t="str">
        <f>VLOOKUP([jobnumber],OvalData[],MATCH(Table2[[#Headers],[Outer Spring Gage]],Table2[#Headers],0),0)</f>
        <v>Null</v>
      </c>
      <c r="AX76" s="2" t="str">
        <f>VLOOKUP([jobnumber],OvalData[],MATCH(Table2[[#Headers],[Outer Spring OD]],Table2[#Headers],0),0)</f>
        <v>Null</v>
      </c>
      <c r="AY76" s="2" t="str">
        <f>VLOOKUP([jobnumber],OvalData[],MATCH(Table2[[#Headers],[Outer Spring Length]],Table2[#Headers],0),0)</f>
        <v>Null</v>
      </c>
      <c r="AZ76" s="2" t="str">
        <f>VLOOKUP([jobnumber],OvalData[],MATCH(Table2[[#Headers],[Outer Spring Stretch]],Table2[#Headers],0),0)</f>
        <v>Null</v>
      </c>
      <c r="BA76" s="2" t="str">
        <f>VLOOKUP([jobnumber],OvalData[],MATCH(Table2[[#Headers],[Outer Spring Torque]],Table2[#Headers],0),0)</f>
        <v>Null</v>
      </c>
      <c r="BB76" s="2" t="str">
        <f>VLOOKUP([jobnumber],OvalData[],MATCH(Table2[[#Headers],[Outer Spring Max Turns]],Table2[#Headers],0),0)</f>
        <v>Null</v>
      </c>
      <c r="BC76" s="2" t="str">
        <f>VLOOKUP([jobnumber],OvalData[],MATCH(Table2[[#Headers],[Outer Spring Weight]],Table2[#Headers],0),0)</f>
        <v>Null</v>
      </c>
      <c r="BD76" s="2" t="str">
        <f>VLOOKUP([jobnumber],OvalData[],MATCH(Table2[[#Headers],[Inner Spring Gage]],Table2[#Headers],0),0)</f>
        <v>Null</v>
      </c>
      <c r="BE76" s="2" t="str">
        <f>VLOOKUP([jobnumber],OvalData[],MATCH(Table2[[#Headers],[Inner Spring OD]],Table2[#Headers],0),0)</f>
        <v>Null</v>
      </c>
      <c r="BF76" s="2" t="str">
        <f>VLOOKUP([jobnumber],OvalData[],MATCH(Table2[[#Headers],[Inner Spring Length]],Table2[#Headers],0),0)</f>
        <v>Null</v>
      </c>
      <c r="BG76" s="2" t="str">
        <f>VLOOKUP([jobnumber],OvalData[],MATCH(Table2[[#Headers],[Inner Spring Stretch]],Table2[#Headers],0),0)</f>
        <v>Null</v>
      </c>
      <c r="BH76" s="2" t="str">
        <f>VLOOKUP([jobnumber],OvalData[],MATCH(Table2[[#Headers],[Inner Spring Torque]],Table2[#Headers],0),0)</f>
        <v>Null</v>
      </c>
      <c r="BI76" s="2" t="str">
        <f>VLOOKUP([jobnumber],OvalData[],MATCH(Table2[[#Headers],[Inner Spring Max Turns]],Table2[#Headers],0),0)</f>
        <v>Null</v>
      </c>
      <c r="BJ76" s="2" t="str">
        <f>VLOOKUP([jobnumber],OvalData[],MATCH(Table2[[#Headers],[Inner Spring Weight]],Table2[#Headers],0),0)</f>
        <v>Null</v>
      </c>
      <c r="BK76" s="2">
        <f>VLOOKUP([jobnumber],OvalData[],MATCH(Table2[[#Headers],[Cycles]],Table2[#Headers],0),0)</f>
        <v>0</v>
      </c>
      <c r="BL76" s="2">
        <f>VLOOKUP([jobnumber],OvalData[],MATCH(Table2[[#Headers],[Total Spring Torque]],Table2[#Headers],0),0)</f>
        <v>0</v>
      </c>
      <c r="BM76" s="2">
        <f>VLOOKUP([jobnumber],OvalData[],MATCH(Table2[[#Headers],[Total Spring Weight]],Table2[#Headers],0),0)</f>
        <v>0</v>
      </c>
      <c r="BN76" s="2">
        <f>VLOOKUP([jobnumber],OvalData[],MATCH(Table2[[#Headers],[Pipe Weight]],Table2[#Headers],0),0)</f>
        <v>688.24239999999998</v>
      </c>
      <c r="BO76" s="2">
        <f>VLOOKUP([jobnumber],OvalData[],MATCH(Table2[[#Headers],[Max Pipe Deflection]],Table2[#Headers],0),0)</f>
        <v>2309</v>
      </c>
      <c r="BP76" s="2">
        <f>VLOOKUP([jobnumber],OvalData[],MATCH(Table2[[#Headers],[Number Non-Insulated Wrap Slats]],Table2[#Headers],0),0)</f>
        <v>0</v>
      </c>
      <c r="BQ76" s="2">
        <f>VLOOKUP([jobnumber],OvalData[],MATCH(Table2[[#Headers],[Number of Insolated Top Slats]],Table2[#Headers],0),0)</f>
        <v>45</v>
      </c>
      <c r="BR76" s="2">
        <f>VLOOKUP([jobnumber],OvalData[],MATCH(Table2[[#Headers],[Insolated Total Slats]],Table2[#Headers],0),0)</f>
        <v>45</v>
      </c>
      <c r="BS76" s="2">
        <f>VLOOKUP([jobnumber],OvalData[],MATCH(Table2[[#Headers],[Number of Slats]],Table2[#Headers],0),0)</f>
        <v>44.69</v>
      </c>
      <c r="BT76" s="2">
        <f>VLOOKUP([jobnumber],OvalData[],MATCH(Table2[[#Headers],[Wrap]],Table2[#Headers],0),0)</f>
        <v>0</v>
      </c>
      <c r="BU76" s="2">
        <f>VLOOKUP([jobnumber],OvalData[],MATCH(Table2[[#Headers],[Wall Angle Thickness]],Table2[#Headers],0),0)</f>
        <v>0</v>
      </c>
      <c r="BV76" s="2">
        <f>VLOOKUP([jobnumber],OvalData[],MATCH(Table2[[#Headers],[windlocks]],Table2[#Headers],0),0)</f>
        <v>0</v>
      </c>
      <c r="BW76" s="2" t="str">
        <f>VLOOKUP([jobnumber],OvalData[],MATCH(Table2[[#Headers],[bottombartype]],Table2[#Headers],0),0)</f>
        <v>SPECIAL</v>
      </c>
      <c r="BX76" s="2">
        <f>VLOOKUP([jobnumber],OvalData[],MATCH(Table2[[#Headers],[endlockweight]],Table2[#Headers],0),0)</f>
        <v>0.17</v>
      </c>
      <c r="BY76" s="2">
        <f>VLOOKUP([jobnumber],OvalData[],MATCH(Table2[[#Headers],[Endlock Total Weight]],Table2[#Headers],0),0)</f>
        <v>7.5972999999999997</v>
      </c>
      <c r="BZ76" s="2">
        <f>VLOOKUP([jobnumber],OvalData[],MATCH(Table2[[#Headers],[Grille Weight]],Table2[#Headers],0),0)</f>
        <v>0</v>
      </c>
      <c r="CA76" s="2">
        <f>VLOOKUP([jobnumber],OvalData[],MATCH(Table2[[#Headers],[barrelrings]],Table2[#Headers],0),0)</f>
        <v>1</v>
      </c>
    </row>
    <row r="77" spans="2:79">
      <c r="B77" s="2" t="str">
        <f>VLOOKUP([jobnumber],OvalData[],MATCH(Table2[[#Headers],[Hand]],Table2[#Headers],0),0)</f>
        <v>RH</v>
      </c>
      <c r="C77" s="2" t="str">
        <f>VLOOKUP([jobnumber],OvalData[],MATCH(Table2[[#Headers],[Model]],Table2[#Headers],0),0)</f>
        <v>SFMPP</v>
      </c>
      <c r="D77" s="2" t="str">
        <f>VLOOKUP([jobnumber],OvalData[],MATCH(Table2[[#Headers],[width]],Table2[#Headers],0),0)</f>
        <v xml:space="preserve"> 18 ft.- 2"</v>
      </c>
      <c r="E77" s="2" t="str">
        <f>VLOOKUP([jobnumber],OvalData[],MATCH(Table2[[#Headers],[stopheight]],Table2[#Headers],0),0)</f>
        <v xml:space="preserve"> 10 ft.- 0"</v>
      </c>
      <c r="F77" s="2" t="str">
        <f>VLOOKUP([jobnumber],OvalData[],MATCH(Table2[[#Headers],[Between Brackets]],Table2[#Headers],0),0)</f>
        <v xml:space="preserve"> 18 ft.- 7 7/ 8"</v>
      </c>
      <c r="G77" s="2" t="str">
        <f>VLOOKUP([jobnumber],OvalData[],MATCH(Table2[[#Headers],[shell]],Table2[#Headers],0),0)</f>
        <v>6 INCH TUBE</v>
      </c>
      <c r="H77" s="2" t="str">
        <f>VLOOKUP([jobnumber],OvalData[],MATCH(Table2[[#Headers],[pipewidth]],Table2[#Headers],0),0)</f>
        <v xml:space="preserve"> 18 ft.- 1 3/ 8"</v>
      </c>
      <c r="I77" s="2">
        <f>VLOOKUP([jobnumber],OvalData[],MATCH(Table2[[#Headers],[Support Tubes]],Table2[#Headers],0),0)</f>
        <v>0</v>
      </c>
      <c r="J77" s="2">
        <f>VLOOKUP([jobnumber],OvalData[],MATCH(Table2[[#Headers],[Upset]],Table2[#Headers],0),0)</f>
        <v>2</v>
      </c>
      <c r="K77" s="2" t="str">
        <f>VLOOKUP([jobnumber],OvalData[],MATCH(Table2[[#Headers],[Guide Type]],Table2[#Headers],0),0)</f>
        <v>SN2-4 5/8-E</v>
      </c>
      <c r="L77" s="2" t="str">
        <f>VLOOKUP([jobnumber],OvalData[],MATCH(Table2[[#Headers],[Wall Angle]],Table2[#Headers],0),0)</f>
        <v xml:space="preserve"> 11 ft.- 8"</v>
      </c>
      <c r="M77" s="2" t="str">
        <f>VLOOKUP([jobnumber],OvalData[],MATCH(Table2[[#Headers],[Middle Angle]],Table2[#Headers],0),0)</f>
        <v xml:space="preserve"> 10 ft.- 4 1/ 2"</v>
      </c>
      <c r="N77" s="2" t="str">
        <f>VLOOKUP([jobnumber],OvalData[],MATCH(Table2[[#Headers],[Front Angle]],Table2[#Headers],0),0)</f>
        <v xml:space="preserve"> 10 ft.- 3"</v>
      </c>
      <c r="O77" s="2">
        <f>VLOOKUP([jobnumber],OvalData[],MATCH(Table2[[#Headers],[Pipe Center Line]],Table2[#Headers],0),0)</f>
        <v>131</v>
      </c>
      <c r="P77" s="2">
        <f>VLOOKUP([jobnumber],OvalData[],MATCH(Table2[[#Headers],[Heat Expansion Gap]],Table2[#Headers],0),0)</f>
        <v>0</v>
      </c>
      <c r="Q77" s="2">
        <f>VLOOKUP([jobnumber],OvalData[],MATCH(Table2[[#Headers],[Hanging Weight Closed]],Table2[#Headers],0),0)</f>
        <v>795</v>
      </c>
      <c r="R77" s="2">
        <f>VLOOKUP([jobnumber],OvalData[],MATCH(Table2[[#Headers],[Hanging Weight Open]],Table2[#Headers],0),0)</f>
        <v>140</v>
      </c>
      <c r="S77" s="2">
        <f>VLOOKUP([jobnumber],OvalData[],MATCH(Table2[[#Headers],[Initial Lever Arm]],Table2[#Headers],0),0)</f>
        <v>4.25</v>
      </c>
      <c r="T77" s="2">
        <f>VLOOKUP([jobnumber],OvalData[],MATCH(Table2[[#Headers],[Turns to Raise]],Table2[#Headers],0),0)</f>
        <v>3.5859999999999999</v>
      </c>
      <c r="U77" s="2">
        <f>VLOOKUP([jobnumber],OvalData[],MATCH(Table2[[#Headers],[Final Lever Arm]],Table2[#Headers],0),0)</f>
        <v>6.37</v>
      </c>
      <c r="V77" s="2">
        <f>VLOOKUP([jobnumber],OvalData[],MATCH(Table2[[#Headers],[Torque Required Closed]],Table2[#Headers],0),0)</f>
        <v>3377.9</v>
      </c>
      <c r="W77" s="2">
        <f>VLOOKUP([jobnumber],OvalData[],MATCH(Table2[[#Headers],[Torque Required Open]],Table2[#Headers],0),0)</f>
        <v>892</v>
      </c>
      <c r="X77" s="2">
        <f>VLOOKUP([jobnumber],OvalData[],MATCH(Table2[[#Headers],[Pre Turns]],Table2[#Headers],0),0)</f>
        <v>1.3332999999999999</v>
      </c>
      <c r="Y77" s="2">
        <f>VLOOKUP([jobnumber],OvalData[],MATCH(Table2[[#Headers],[Required Torque Per Turn]],Table2[#Headers],0),0)</f>
        <v>688</v>
      </c>
      <c r="Z77" s="2">
        <f>VLOOKUP([jobnumber],OvalData[],MATCH(Table2[[#Headers],[Total Turns]],Table2[#Headers],0),0)</f>
        <v>4.91</v>
      </c>
      <c r="AA77" s="2">
        <f>VLOOKUP([jobnumber],OvalData[],MATCH(Table2[[#Headers],[Grille Vision Section]],Table2[#Headers],0),0)</f>
        <v>0</v>
      </c>
      <c r="AB77" s="2">
        <f>VLOOKUP([jobnumber],OvalData[],MATCH(Table2[[#Headers],[Grille Amount]],Table2[#Headers],0),0)</f>
        <v>0</v>
      </c>
      <c r="AC77" s="2">
        <f>VLOOKUP([jobnumber],OvalData[],MATCH(Table2[[#Headers],[Grille Center]],Table2[#Headers],0),0)</f>
        <v>0</v>
      </c>
      <c r="AD77" s="2">
        <f>VLOOKUP([jobnumber],OvalData[],MATCH(Table2[[#Headers],[Grille Pattern]],Table2[#Headers],0),0)</f>
        <v>0</v>
      </c>
      <c r="AE77" s="2">
        <f>VLOOKUP([jobnumber],OvalData[],MATCH(Table2[[#Headers],[Grille First Tube]],Table2[#Headers],0),0)</f>
        <v>0</v>
      </c>
      <c r="AF77" s="2">
        <f>VLOOKUP([jobnumber],OvalData[],MATCH(Table2[[#Headers],[Grille Standard Tube]],Table2[#Headers],0),0)</f>
        <v>0</v>
      </c>
      <c r="AG77" s="2">
        <f>VLOOKUP([jobnumber],OvalData[],MATCH(Table2[[#Headers],[Grille Total Links]],Table2[#Headers],0),0)</f>
        <v>0</v>
      </c>
      <c r="AH77" s="2">
        <f>VLOOKUP([jobnumber],OvalData[],MATCH(Table2[[#Headers],[Grille Rods]],Table2[#Headers],0),0)</f>
        <v>0</v>
      </c>
      <c r="AI77" s="2">
        <f>VLOOKUP([jobnumber],OvalData[],MATCH(Table2[[#Headers],[Grille Rod Length]],Table2[#Headers],0),0)</f>
        <v>0</v>
      </c>
      <c r="AJ77" s="2">
        <f>VLOOKUP([jobnumber],OvalData[],MATCH(Table2[[#Headers],[slattype]],Table2[#Headers],0),0)</f>
        <v>2</v>
      </c>
      <c r="AK77" s="2">
        <f>VLOOKUP([jobnumber],OvalData[],MATCH(Table2[[#Headers],[slatgage]],Table2[#Headers],0),0)</f>
        <v>18</v>
      </c>
      <c r="AL77" s="2">
        <f>VLOOKUP([jobnumber],OvalData[],MATCH(Table2[[#Headers],[Numer of Top Slats]],Table2[#Headers],0),0)</f>
        <v>0</v>
      </c>
      <c r="AM77" s="2">
        <f>VLOOKUP([jobnumber],OvalData[],MATCH(Table2[[#Headers],[Number of Bottom Slats]],Table2[#Headers],0),0)</f>
        <v>0</v>
      </c>
      <c r="AN77" s="2">
        <f>VLOOKUP([jobnumber],OvalData[],MATCH(Table2[[#Headers],[Solid Bottom Height]],Table2[#Headers],0),0)</f>
        <v>0</v>
      </c>
      <c r="AO77" s="2" t="str">
        <f>VLOOKUP([jobnumber],OvalData[],MATCH(Table2[[#Headers],[slatlength]],Table2[#Headers],0),0)</f>
        <v xml:space="preserve"> 18 ft.- 5 7/ 8"</v>
      </c>
      <c r="AP77" s="2">
        <f>VLOOKUP([jobnumber],OvalData[],MATCH(Table2[[#Headers],[Bottom Slat Length]],Table2[#Headers],0),0)</f>
        <v>0</v>
      </c>
      <c r="AQ77" s="2">
        <f>VLOOKUP([jobnumber],OvalData[],MATCH(Table2[[#Headers],[Number of Perferated Slats]],Table2[#Headers],0),0)</f>
        <v>0</v>
      </c>
      <c r="AR77" s="2">
        <f>VLOOKUP([jobnumber],OvalData[],MATCH(Table2[[#Headers],[First Preferated Slat From End]],Table2[#Headers],0),0)</f>
        <v>0</v>
      </c>
      <c r="AS77" s="2">
        <f>VLOOKUP([jobnumber],OvalData[],MATCH(Table2[[#Headers],[First Preferated Slat From Bottom]],Table2[#Headers],0),0)</f>
        <v>0</v>
      </c>
      <c r="AT77" s="2">
        <f>VLOOKUP([jobnumber],OvalData[],MATCH(Table2[[#Headers],[Total Number of Slats]],Table2[#Headers],0),0)</f>
        <v>51</v>
      </c>
      <c r="AU77" s="2">
        <f>VLOOKUP([jobnumber],OvalData[],MATCH(Table2[[#Headers],[Bottom Bar Slope]],Table2[#Headers],0),0)</f>
        <v>0</v>
      </c>
      <c r="AV77" s="2">
        <f>VLOOKUP([jobnumber],OvalData[],MATCH(Table2[[#Headers],[Bottom Bar Weight]],Table2[#Headers],0),0)</f>
        <v>80.5</v>
      </c>
      <c r="AW77" s="2" t="str">
        <f>VLOOKUP([jobnumber],OvalData[],MATCH(Table2[[#Headers],[Outer Spring Gage]],Table2[#Headers],0),0)</f>
        <v>Null</v>
      </c>
      <c r="AX77" s="2" t="str">
        <f>VLOOKUP([jobnumber],OvalData[],MATCH(Table2[[#Headers],[Outer Spring OD]],Table2[#Headers],0),0)</f>
        <v>Null</v>
      </c>
      <c r="AY77" s="2" t="str">
        <f>VLOOKUP([jobnumber],OvalData[],MATCH(Table2[[#Headers],[Outer Spring Length]],Table2[#Headers],0),0)</f>
        <v>Null</v>
      </c>
      <c r="AZ77" s="2" t="str">
        <f>VLOOKUP([jobnumber],OvalData[],MATCH(Table2[[#Headers],[Outer Spring Stretch]],Table2[#Headers],0),0)</f>
        <v>Null</v>
      </c>
      <c r="BA77" s="2" t="str">
        <f>VLOOKUP([jobnumber],OvalData[],MATCH(Table2[[#Headers],[Outer Spring Torque]],Table2[#Headers],0),0)</f>
        <v>Null</v>
      </c>
      <c r="BB77" s="2" t="str">
        <f>VLOOKUP([jobnumber],OvalData[],MATCH(Table2[[#Headers],[Outer Spring Max Turns]],Table2[#Headers],0),0)</f>
        <v>Null</v>
      </c>
      <c r="BC77" s="2" t="str">
        <f>VLOOKUP([jobnumber],OvalData[],MATCH(Table2[[#Headers],[Outer Spring Weight]],Table2[#Headers],0),0)</f>
        <v>Null</v>
      </c>
      <c r="BD77" s="2" t="str">
        <f>VLOOKUP([jobnumber],OvalData[],MATCH(Table2[[#Headers],[Inner Spring Gage]],Table2[#Headers],0),0)</f>
        <v>Null</v>
      </c>
      <c r="BE77" s="2" t="str">
        <f>VLOOKUP([jobnumber],OvalData[],MATCH(Table2[[#Headers],[Inner Spring OD]],Table2[#Headers],0),0)</f>
        <v>Null</v>
      </c>
      <c r="BF77" s="2" t="str">
        <f>VLOOKUP([jobnumber],OvalData[],MATCH(Table2[[#Headers],[Inner Spring Length]],Table2[#Headers],0),0)</f>
        <v>Null</v>
      </c>
      <c r="BG77" s="2" t="str">
        <f>VLOOKUP([jobnumber],OvalData[],MATCH(Table2[[#Headers],[Inner Spring Stretch]],Table2[#Headers],0),0)</f>
        <v>Null</v>
      </c>
      <c r="BH77" s="2" t="str">
        <f>VLOOKUP([jobnumber],OvalData[],MATCH(Table2[[#Headers],[Inner Spring Torque]],Table2[#Headers],0),0)</f>
        <v>Null</v>
      </c>
      <c r="BI77" s="2" t="str">
        <f>VLOOKUP([jobnumber],OvalData[],MATCH(Table2[[#Headers],[Inner Spring Max Turns]],Table2[#Headers],0),0)</f>
        <v>Null</v>
      </c>
      <c r="BJ77" s="2" t="str">
        <f>VLOOKUP([jobnumber],OvalData[],MATCH(Table2[[#Headers],[Inner Spring Weight]],Table2[#Headers],0),0)</f>
        <v>Null</v>
      </c>
      <c r="BK77" s="2">
        <f>VLOOKUP([jobnumber],OvalData[],MATCH(Table2[[#Headers],[Cycles]],Table2[#Headers],0),0)</f>
        <v>0</v>
      </c>
      <c r="BL77" s="2">
        <f>VLOOKUP([jobnumber],OvalData[],MATCH(Table2[[#Headers],[Total Spring Torque]],Table2[#Headers],0),0)</f>
        <v>0</v>
      </c>
      <c r="BM77" s="2">
        <f>VLOOKUP([jobnumber],OvalData[],MATCH(Table2[[#Headers],[Total Spring Weight]],Table2[#Headers],0),0)</f>
        <v>0</v>
      </c>
      <c r="BN77" s="2">
        <f>VLOOKUP([jobnumber],OvalData[],MATCH(Table2[[#Headers],[Pipe Weight]],Table2[#Headers],0),0)</f>
        <v>688.24239999999998</v>
      </c>
      <c r="BO77" s="2">
        <f>VLOOKUP([jobnumber],OvalData[],MATCH(Table2[[#Headers],[Max Pipe Deflection]],Table2[#Headers],0),0)</f>
        <v>2309</v>
      </c>
      <c r="BP77" s="2">
        <f>VLOOKUP([jobnumber],OvalData[],MATCH(Table2[[#Headers],[Number Non-Insulated Wrap Slats]],Table2[#Headers],0),0)</f>
        <v>0</v>
      </c>
      <c r="BQ77" s="2">
        <f>VLOOKUP([jobnumber],OvalData[],MATCH(Table2[[#Headers],[Number of Insolated Top Slats]],Table2[#Headers],0),0)</f>
        <v>45</v>
      </c>
      <c r="BR77" s="2">
        <f>VLOOKUP([jobnumber],OvalData[],MATCH(Table2[[#Headers],[Insolated Total Slats]],Table2[#Headers],0),0)</f>
        <v>45</v>
      </c>
      <c r="BS77" s="2">
        <f>VLOOKUP([jobnumber],OvalData[],MATCH(Table2[[#Headers],[Number of Slats]],Table2[#Headers],0),0)</f>
        <v>44.69</v>
      </c>
      <c r="BT77" s="2">
        <f>VLOOKUP([jobnumber],OvalData[],MATCH(Table2[[#Headers],[Wrap]],Table2[#Headers],0),0)</f>
        <v>0</v>
      </c>
      <c r="BU77" s="2">
        <f>VLOOKUP([jobnumber],OvalData[],MATCH(Table2[[#Headers],[Wall Angle Thickness]],Table2[#Headers],0),0)</f>
        <v>0</v>
      </c>
      <c r="BV77" s="2">
        <f>VLOOKUP([jobnumber],OvalData[],MATCH(Table2[[#Headers],[windlocks]],Table2[#Headers],0),0)</f>
        <v>0</v>
      </c>
      <c r="BW77" s="2" t="str">
        <f>VLOOKUP([jobnumber],OvalData[],MATCH(Table2[[#Headers],[bottombartype]],Table2[#Headers],0),0)</f>
        <v>SPECIAL</v>
      </c>
      <c r="BX77" s="2">
        <f>VLOOKUP([jobnumber],OvalData[],MATCH(Table2[[#Headers],[endlockweight]],Table2[#Headers],0),0)</f>
        <v>0.17</v>
      </c>
      <c r="BY77" s="2">
        <f>VLOOKUP([jobnumber],OvalData[],MATCH(Table2[[#Headers],[Endlock Total Weight]],Table2[#Headers],0),0)</f>
        <v>7.5972999999999997</v>
      </c>
      <c r="BZ77" s="2">
        <f>VLOOKUP([jobnumber],OvalData[],MATCH(Table2[[#Headers],[Grille Weight]],Table2[#Headers],0),0)</f>
        <v>0</v>
      </c>
      <c r="CA77" s="2">
        <f>VLOOKUP([jobnumber],OvalData[],MATCH(Table2[[#Headers],[barrelrings]],Table2[#Headers],0),0)</f>
        <v>1</v>
      </c>
    </row>
    <row r="78" spans="2:79">
      <c r="B78" s="2" t="str">
        <f>VLOOKUP([jobnumber],OvalData[],MATCH(Table2[[#Headers],[Hand]],Table2[#Headers],0),0)</f>
        <v>RH</v>
      </c>
      <c r="C78" s="2" t="str">
        <f>VLOOKUP([jobnumber],OvalData[],MATCH(Table2[[#Headers],[Model]],Table2[#Headers],0),0)</f>
        <v>SFMPP</v>
      </c>
      <c r="D78" s="2" t="str">
        <f>VLOOKUP([jobnumber],OvalData[],MATCH(Table2[[#Headers],[width]],Table2[#Headers],0),0)</f>
        <v xml:space="preserve"> 18 ft.- 2"</v>
      </c>
      <c r="E78" s="2" t="str">
        <f>VLOOKUP([jobnumber],OvalData[],MATCH(Table2[[#Headers],[stopheight]],Table2[#Headers],0),0)</f>
        <v xml:space="preserve"> 10 ft.- 0"</v>
      </c>
      <c r="F78" s="2" t="str">
        <f>VLOOKUP([jobnumber],OvalData[],MATCH(Table2[[#Headers],[Between Brackets]],Table2[#Headers],0),0)</f>
        <v xml:space="preserve"> 18 ft.- 7 7/ 8"</v>
      </c>
      <c r="G78" s="2" t="str">
        <f>VLOOKUP([jobnumber],OvalData[],MATCH(Table2[[#Headers],[shell]],Table2[#Headers],0),0)</f>
        <v>6 INCH TUBE</v>
      </c>
      <c r="H78" s="2" t="str">
        <f>VLOOKUP([jobnumber],OvalData[],MATCH(Table2[[#Headers],[pipewidth]],Table2[#Headers],0),0)</f>
        <v xml:space="preserve"> 18 ft.- 1 3/ 8"</v>
      </c>
      <c r="I78" s="2">
        <f>VLOOKUP([jobnumber],OvalData[],MATCH(Table2[[#Headers],[Support Tubes]],Table2[#Headers],0),0)</f>
        <v>0</v>
      </c>
      <c r="J78" s="2">
        <f>VLOOKUP([jobnumber],OvalData[],MATCH(Table2[[#Headers],[Upset]],Table2[#Headers],0),0)</f>
        <v>2</v>
      </c>
      <c r="K78" s="2" t="str">
        <f>VLOOKUP([jobnumber],OvalData[],MATCH(Table2[[#Headers],[Guide Type]],Table2[#Headers],0),0)</f>
        <v>SN2-4 5/8-E</v>
      </c>
      <c r="L78" s="2" t="str">
        <f>VLOOKUP([jobnumber],OvalData[],MATCH(Table2[[#Headers],[Wall Angle]],Table2[#Headers],0),0)</f>
        <v xml:space="preserve"> 11 ft.- 8"</v>
      </c>
      <c r="M78" s="2" t="str">
        <f>VLOOKUP([jobnumber],OvalData[],MATCH(Table2[[#Headers],[Middle Angle]],Table2[#Headers],0),0)</f>
        <v xml:space="preserve"> 10 ft.- 4 1/ 2"</v>
      </c>
      <c r="N78" s="2" t="str">
        <f>VLOOKUP([jobnumber],OvalData[],MATCH(Table2[[#Headers],[Front Angle]],Table2[#Headers],0),0)</f>
        <v xml:space="preserve"> 10 ft.- 3"</v>
      </c>
      <c r="O78" s="2">
        <f>VLOOKUP([jobnumber],OvalData[],MATCH(Table2[[#Headers],[Pipe Center Line]],Table2[#Headers],0),0)</f>
        <v>131</v>
      </c>
      <c r="P78" s="2">
        <f>VLOOKUP([jobnumber],OvalData[],MATCH(Table2[[#Headers],[Heat Expansion Gap]],Table2[#Headers],0),0)</f>
        <v>0</v>
      </c>
      <c r="Q78" s="2">
        <f>VLOOKUP([jobnumber],OvalData[],MATCH(Table2[[#Headers],[Hanging Weight Closed]],Table2[#Headers],0),0)</f>
        <v>795</v>
      </c>
      <c r="R78" s="2">
        <f>VLOOKUP([jobnumber],OvalData[],MATCH(Table2[[#Headers],[Hanging Weight Open]],Table2[#Headers],0),0)</f>
        <v>140</v>
      </c>
      <c r="S78" s="2">
        <f>VLOOKUP([jobnumber],OvalData[],MATCH(Table2[[#Headers],[Initial Lever Arm]],Table2[#Headers],0),0)</f>
        <v>4.25</v>
      </c>
      <c r="T78" s="2">
        <f>VLOOKUP([jobnumber],OvalData[],MATCH(Table2[[#Headers],[Turns to Raise]],Table2[#Headers],0),0)</f>
        <v>3.5859999999999999</v>
      </c>
      <c r="U78" s="2">
        <f>VLOOKUP([jobnumber],OvalData[],MATCH(Table2[[#Headers],[Final Lever Arm]],Table2[#Headers],0),0)</f>
        <v>6.37</v>
      </c>
      <c r="V78" s="2">
        <f>VLOOKUP([jobnumber],OvalData[],MATCH(Table2[[#Headers],[Torque Required Closed]],Table2[#Headers],0),0)</f>
        <v>3377.9</v>
      </c>
      <c r="W78" s="2">
        <f>VLOOKUP([jobnumber],OvalData[],MATCH(Table2[[#Headers],[Torque Required Open]],Table2[#Headers],0),0)</f>
        <v>892</v>
      </c>
      <c r="X78" s="2">
        <f>VLOOKUP([jobnumber],OvalData[],MATCH(Table2[[#Headers],[Pre Turns]],Table2[#Headers],0),0)</f>
        <v>1.3332999999999999</v>
      </c>
      <c r="Y78" s="2">
        <f>VLOOKUP([jobnumber],OvalData[],MATCH(Table2[[#Headers],[Required Torque Per Turn]],Table2[#Headers],0),0)</f>
        <v>688</v>
      </c>
      <c r="Z78" s="2">
        <f>VLOOKUP([jobnumber],OvalData[],MATCH(Table2[[#Headers],[Total Turns]],Table2[#Headers],0),0)</f>
        <v>4.91</v>
      </c>
      <c r="AA78" s="2">
        <f>VLOOKUP([jobnumber],OvalData[],MATCH(Table2[[#Headers],[Grille Vision Section]],Table2[#Headers],0),0)</f>
        <v>0</v>
      </c>
      <c r="AB78" s="2">
        <f>VLOOKUP([jobnumber],OvalData[],MATCH(Table2[[#Headers],[Grille Amount]],Table2[#Headers],0),0)</f>
        <v>0</v>
      </c>
      <c r="AC78" s="2">
        <f>VLOOKUP([jobnumber],OvalData[],MATCH(Table2[[#Headers],[Grille Center]],Table2[#Headers],0),0)</f>
        <v>0</v>
      </c>
      <c r="AD78" s="2">
        <f>VLOOKUP([jobnumber],OvalData[],MATCH(Table2[[#Headers],[Grille Pattern]],Table2[#Headers],0),0)</f>
        <v>0</v>
      </c>
      <c r="AE78" s="2">
        <f>VLOOKUP([jobnumber],OvalData[],MATCH(Table2[[#Headers],[Grille First Tube]],Table2[#Headers],0),0)</f>
        <v>0</v>
      </c>
      <c r="AF78" s="2">
        <f>VLOOKUP([jobnumber],OvalData[],MATCH(Table2[[#Headers],[Grille Standard Tube]],Table2[#Headers],0),0)</f>
        <v>0</v>
      </c>
      <c r="AG78" s="2">
        <f>VLOOKUP([jobnumber],OvalData[],MATCH(Table2[[#Headers],[Grille Total Links]],Table2[#Headers],0),0)</f>
        <v>0</v>
      </c>
      <c r="AH78" s="2">
        <f>VLOOKUP([jobnumber],OvalData[],MATCH(Table2[[#Headers],[Grille Rods]],Table2[#Headers],0),0)</f>
        <v>0</v>
      </c>
      <c r="AI78" s="2">
        <f>VLOOKUP([jobnumber],OvalData[],MATCH(Table2[[#Headers],[Grille Rod Length]],Table2[#Headers],0),0)</f>
        <v>0</v>
      </c>
      <c r="AJ78" s="2">
        <f>VLOOKUP([jobnumber],OvalData[],MATCH(Table2[[#Headers],[slattype]],Table2[#Headers],0),0)</f>
        <v>2</v>
      </c>
      <c r="AK78" s="2">
        <f>VLOOKUP([jobnumber],OvalData[],MATCH(Table2[[#Headers],[slatgage]],Table2[#Headers],0),0)</f>
        <v>18</v>
      </c>
      <c r="AL78" s="2">
        <f>VLOOKUP([jobnumber],OvalData[],MATCH(Table2[[#Headers],[Numer of Top Slats]],Table2[#Headers],0),0)</f>
        <v>0</v>
      </c>
      <c r="AM78" s="2">
        <f>VLOOKUP([jobnumber],OvalData[],MATCH(Table2[[#Headers],[Number of Bottom Slats]],Table2[#Headers],0),0)</f>
        <v>0</v>
      </c>
      <c r="AN78" s="2">
        <f>VLOOKUP([jobnumber],OvalData[],MATCH(Table2[[#Headers],[Solid Bottom Height]],Table2[#Headers],0),0)</f>
        <v>0</v>
      </c>
      <c r="AO78" s="2" t="str">
        <f>VLOOKUP([jobnumber],OvalData[],MATCH(Table2[[#Headers],[slatlength]],Table2[#Headers],0),0)</f>
        <v xml:space="preserve"> 18 ft.- 5 7/ 8"</v>
      </c>
      <c r="AP78" s="2">
        <f>VLOOKUP([jobnumber],OvalData[],MATCH(Table2[[#Headers],[Bottom Slat Length]],Table2[#Headers],0),0)</f>
        <v>0</v>
      </c>
      <c r="AQ78" s="2">
        <f>VLOOKUP([jobnumber],OvalData[],MATCH(Table2[[#Headers],[Number of Perferated Slats]],Table2[#Headers],0),0)</f>
        <v>0</v>
      </c>
      <c r="AR78" s="2">
        <f>VLOOKUP([jobnumber],OvalData[],MATCH(Table2[[#Headers],[First Preferated Slat From End]],Table2[#Headers],0),0)</f>
        <v>0</v>
      </c>
      <c r="AS78" s="2">
        <f>VLOOKUP([jobnumber],OvalData[],MATCH(Table2[[#Headers],[First Preferated Slat From Bottom]],Table2[#Headers],0),0)</f>
        <v>0</v>
      </c>
      <c r="AT78" s="2">
        <f>VLOOKUP([jobnumber],OvalData[],MATCH(Table2[[#Headers],[Total Number of Slats]],Table2[#Headers],0),0)</f>
        <v>51</v>
      </c>
      <c r="AU78" s="2">
        <f>VLOOKUP([jobnumber],OvalData[],MATCH(Table2[[#Headers],[Bottom Bar Slope]],Table2[#Headers],0),0)</f>
        <v>0</v>
      </c>
      <c r="AV78" s="2">
        <f>VLOOKUP([jobnumber],OvalData[],MATCH(Table2[[#Headers],[Bottom Bar Weight]],Table2[#Headers],0),0)</f>
        <v>80.5</v>
      </c>
      <c r="AW78" s="2" t="str">
        <f>VLOOKUP([jobnumber],OvalData[],MATCH(Table2[[#Headers],[Outer Spring Gage]],Table2[#Headers],0),0)</f>
        <v>Null</v>
      </c>
      <c r="AX78" s="2" t="str">
        <f>VLOOKUP([jobnumber],OvalData[],MATCH(Table2[[#Headers],[Outer Spring OD]],Table2[#Headers],0),0)</f>
        <v>Null</v>
      </c>
      <c r="AY78" s="2" t="str">
        <f>VLOOKUP([jobnumber],OvalData[],MATCH(Table2[[#Headers],[Outer Spring Length]],Table2[#Headers],0),0)</f>
        <v>Null</v>
      </c>
      <c r="AZ78" s="2" t="str">
        <f>VLOOKUP([jobnumber],OvalData[],MATCH(Table2[[#Headers],[Outer Spring Stretch]],Table2[#Headers],0),0)</f>
        <v>Null</v>
      </c>
      <c r="BA78" s="2" t="str">
        <f>VLOOKUP([jobnumber],OvalData[],MATCH(Table2[[#Headers],[Outer Spring Torque]],Table2[#Headers],0),0)</f>
        <v>Null</v>
      </c>
      <c r="BB78" s="2" t="str">
        <f>VLOOKUP([jobnumber],OvalData[],MATCH(Table2[[#Headers],[Outer Spring Max Turns]],Table2[#Headers],0),0)</f>
        <v>Null</v>
      </c>
      <c r="BC78" s="2" t="str">
        <f>VLOOKUP([jobnumber],OvalData[],MATCH(Table2[[#Headers],[Outer Spring Weight]],Table2[#Headers],0),0)</f>
        <v>Null</v>
      </c>
      <c r="BD78" s="2" t="str">
        <f>VLOOKUP([jobnumber],OvalData[],MATCH(Table2[[#Headers],[Inner Spring Gage]],Table2[#Headers],0),0)</f>
        <v>Null</v>
      </c>
      <c r="BE78" s="2" t="str">
        <f>VLOOKUP([jobnumber],OvalData[],MATCH(Table2[[#Headers],[Inner Spring OD]],Table2[#Headers],0),0)</f>
        <v>Null</v>
      </c>
      <c r="BF78" s="2" t="str">
        <f>VLOOKUP([jobnumber],OvalData[],MATCH(Table2[[#Headers],[Inner Spring Length]],Table2[#Headers],0),0)</f>
        <v>Null</v>
      </c>
      <c r="BG78" s="2" t="str">
        <f>VLOOKUP([jobnumber],OvalData[],MATCH(Table2[[#Headers],[Inner Spring Stretch]],Table2[#Headers],0),0)</f>
        <v>Null</v>
      </c>
      <c r="BH78" s="2" t="str">
        <f>VLOOKUP([jobnumber],OvalData[],MATCH(Table2[[#Headers],[Inner Spring Torque]],Table2[#Headers],0),0)</f>
        <v>Null</v>
      </c>
      <c r="BI78" s="2" t="str">
        <f>VLOOKUP([jobnumber],OvalData[],MATCH(Table2[[#Headers],[Inner Spring Max Turns]],Table2[#Headers],0),0)</f>
        <v>Null</v>
      </c>
      <c r="BJ78" s="2" t="str">
        <f>VLOOKUP([jobnumber],OvalData[],MATCH(Table2[[#Headers],[Inner Spring Weight]],Table2[#Headers],0),0)</f>
        <v>Null</v>
      </c>
      <c r="BK78" s="2">
        <f>VLOOKUP([jobnumber],OvalData[],MATCH(Table2[[#Headers],[Cycles]],Table2[#Headers],0),0)</f>
        <v>0</v>
      </c>
      <c r="BL78" s="2">
        <f>VLOOKUP([jobnumber],OvalData[],MATCH(Table2[[#Headers],[Total Spring Torque]],Table2[#Headers],0),0)</f>
        <v>0</v>
      </c>
      <c r="BM78" s="2">
        <f>VLOOKUP([jobnumber],OvalData[],MATCH(Table2[[#Headers],[Total Spring Weight]],Table2[#Headers],0),0)</f>
        <v>0</v>
      </c>
      <c r="BN78" s="2">
        <f>VLOOKUP([jobnumber],OvalData[],MATCH(Table2[[#Headers],[Pipe Weight]],Table2[#Headers],0),0)</f>
        <v>688.24239999999998</v>
      </c>
      <c r="BO78" s="2">
        <f>VLOOKUP([jobnumber],OvalData[],MATCH(Table2[[#Headers],[Max Pipe Deflection]],Table2[#Headers],0),0)</f>
        <v>2309</v>
      </c>
      <c r="BP78" s="2">
        <f>VLOOKUP([jobnumber],OvalData[],MATCH(Table2[[#Headers],[Number Non-Insulated Wrap Slats]],Table2[#Headers],0),0)</f>
        <v>0</v>
      </c>
      <c r="BQ78" s="2">
        <f>VLOOKUP([jobnumber],OvalData[],MATCH(Table2[[#Headers],[Number of Insolated Top Slats]],Table2[#Headers],0),0)</f>
        <v>45</v>
      </c>
      <c r="BR78" s="2">
        <f>VLOOKUP([jobnumber],OvalData[],MATCH(Table2[[#Headers],[Insolated Total Slats]],Table2[#Headers],0),0)</f>
        <v>45</v>
      </c>
      <c r="BS78" s="2">
        <f>VLOOKUP([jobnumber],OvalData[],MATCH(Table2[[#Headers],[Number of Slats]],Table2[#Headers],0),0)</f>
        <v>44.69</v>
      </c>
      <c r="BT78" s="2">
        <f>VLOOKUP([jobnumber],OvalData[],MATCH(Table2[[#Headers],[Wrap]],Table2[#Headers],0),0)</f>
        <v>0</v>
      </c>
      <c r="BU78" s="2">
        <f>VLOOKUP([jobnumber],OvalData[],MATCH(Table2[[#Headers],[Wall Angle Thickness]],Table2[#Headers],0),0)</f>
        <v>0</v>
      </c>
      <c r="BV78" s="2">
        <f>VLOOKUP([jobnumber],OvalData[],MATCH(Table2[[#Headers],[windlocks]],Table2[#Headers],0),0)</f>
        <v>0</v>
      </c>
      <c r="BW78" s="2" t="str">
        <f>VLOOKUP([jobnumber],OvalData[],MATCH(Table2[[#Headers],[bottombartype]],Table2[#Headers],0),0)</f>
        <v>SPECIAL</v>
      </c>
      <c r="BX78" s="2">
        <f>VLOOKUP([jobnumber],OvalData[],MATCH(Table2[[#Headers],[endlockweight]],Table2[#Headers],0),0)</f>
        <v>0.17</v>
      </c>
      <c r="BY78" s="2">
        <f>VLOOKUP([jobnumber],OvalData[],MATCH(Table2[[#Headers],[Endlock Total Weight]],Table2[#Headers],0),0)</f>
        <v>7.5972999999999997</v>
      </c>
      <c r="BZ78" s="2">
        <f>VLOOKUP([jobnumber],OvalData[],MATCH(Table2[[#Headers],[Grille Weight]],Table2[#Headers],0),0)</f>
        <v>0</v>
      </c>
      <c r="CA78" s="2">
        <f>VLOOKUP([jobnumber],OvalData[],MATCH(Table2[[#Headers],[barrelrings]],Table2[#Headers],0),0)</f>
        <v>1</v>
      </c>
    </row>
    <row r="79" spans="2:79">
      <c r="B79" s="2" t="str">
        <f>VLOOKUP([jobnumber],OvalData[],MATCH(Table2[[#Headers],[Hand]],Table2[#Headers],0),0)</f>
        <v>RH</v>
      </c>
      <c r="C79" s="2" t="str">
        <f>VLOOKUP([jobnumber],OvalData[],MATCH(Table2[[#Headers],[Model]],Table2[#Headers],0),0)</f>
        <v>SFMPP</v>
      </c>
      <c r="D79" s="2" t="str">
        <f>VLOOKUP([jobnumber],OvalData[],MATCH(Table2[[#Headers],[width]],Table2[#Headers],0),0)</f>
        <v xml:space="preserve"> 18 ft.- 2"</v>
      </c>
      <c r="E79" s="2" t="str">
        <f>VLOOKUP([jobnumber],OvalData[],MATCH(Table2[[#Headers],[stopheight]],Table2[#Headers],0),0)</f>
        <v xml:space="preserve"> 10 ft.- 0"</v>
      </c>
      <c r="F79" s="2" t="str">
        <f>VLOOKUP([jobnumber],OvalData[],MATCH(Table2[[#Headers],[Between Brackets]],Table2[#Headers],0),0)</f>
        <v xml:space="preserve"> 18 ft.- 7 7/ 8"</v>
      </c>
      <c r="G79" s="2" t="str">
        <f>VLOOKUP([jobnumber],OvalData[],MATCH(Table2[[#Headers],[shell]],Table2[#Headers],0),0)</f>
        <v>6 INCH TUBE</v>
      </c>
      <c r="H79" s="2" t="str">
        <f>VLOOKUP([jobnumber],OvalData[],MATCH(Table2[[#Headers],[pipewidth]],Table2[#Headers],0),0)</f>
        <v xml:space="preserve"> 18 ft.- 1 3/ 8"</v>
      </c>
      <c r="I79" s="2">
        <f>VLOOKUP([jobnumber],OvalData[],MATCH(Table2[[#Headers],[Support Tubes]],Table2[#Headers],0),0)</f>
        <v>0</v>
      </c>
      <c r="J79" s="2">
        <f>VLOOKUP([jobnumber],OvalData[],MATCH(Table2[[#Headers],[Upset]],Table2[#Headers],0),0)</f>
        <v>2</v>
      </c>
      <c r="K79" s="2" t="str">
        <f>VLOOKUP([jobnumber],OvalData[],MATCH(Table2[[#Headers],[Guide Type]],Table2[#Headers],0),0)</f>
        <v>SN2-4 5/8-E</v>
      </c>
      <c r="L79" s="2" t="str">
        <f>VLOOKUP([jobnumber],OvalData[],MATCH(Table2[[#Headers],[Wall Angle]],Table2[#Headers],0),0)</f>
        <v xml:space="preserve"> 11 ft.- 8"</v>
      </c>
      <c r="M79" s="2" t="str">
        <f>VLOOKUP([jobnumber],OvalData[],MATCH(Table2[[#Headers],[Middle Angle]],Table2[#Headers],0),0)</f>
        <v xml:space="preserve"> 10 ft.- 4 1/ 2"</v>
      </c>
      <c r="N79" s="2" t="str">
        <f>VLOOKUP([jobnumber],OvalData[],MATCH(Table2[[#Headers],[Front Angle]],Table2[#Headers],0),0)</f>
        <v xml:space="preserve"> 10 ft.- 3"</v>
      </c>
      <c r="O79" s="2">
        <f>VLOOKUP([jobnumber],OvalData[],MATCH(Table2[[#Headers],[Pipe Center Line]],Table2[#Headers],0),0)</f>
        <v>131</v>
      </c>
      <c r="P79" s="2">
        <f>VLOOKUP([jobnumber],OvalData[],MATCH(Table2[[#Headers],[Heat Expansion Gap]],Table2[#Headers],0),0)</f>
        <v>0</v>
      </c>
      <c r="Q79" s="2">
        <f>VLOOKUP([jobnumber],OvalData[],MATCH(Table2[[#Headers],[Hanging Weight Closed]],Table2[#Headers],0),0)</f>
        <v>795</v>
      </c>
      <c r="R79" s="2">
        <f>VLOOKUP([jobnumber],OvalData[],MATCH(Table2[[#Headers],[Hanging Weight Open]],Table2[#Headers],0),0)</f>
        <v>140</v>
      </c>
      <c r="S79" s="2">
        <f>VLOOKUP([jobnumber],OvalData[],MATCH(Table2[[#Headers],[Initial Lever Arm]],Table2[#Headers],0),0)</f>
        <v>4.25</v>
      </c>
      <c r="T79" s="2">
        <f>VLOOKUP([jobnumber],OvalData[],MATCH(Table2[[#Headers],[Turns to Raise]],Table2[#Headers],0),0)</f>
        <v>3.5859999999999999</v>
      </c>
      <c r="U79" s="2">
        <f>VLOOKUP([jobnumber],OvalData[],MATCH(Table2[[#Headers],[Final Lever Arm]],Table2[#Headers],0),0)</f>
        <v>6.37</v>
      </c>
      <c r="V79" s="2">
        <f>VLOOKUP([jobnumber],OvalData[],MATCH(Table2[[#Headers],[Torque Required Closed]],Table2[#Headers],0),0)</f>
        <v>3377.9</v>
      </c>
      <c r="W79" s="2">
        <f>VLOOKUP([jobnumber],OvalData[],MATCH(Table2[[#Headers],[Torque Required Open]],Table2[#Headers],0),0)</f>
        <v>892</v>
      </c>
      <c r="X79" s="2">
        <f>VLOOKUP([jobnumber],OvalData[],MATCH(Table2[[#Headers],[Pre Turns]],Table2[#Headers],0),0)</f>
        <v>1.3332999999999999</v>
      </c>
      <c r="Y79" s="2">
        <f>VLOOKUP([jobnumber],OvalData[],MATCH(Table2[[#Headers],[Required Torque Per Turn]],Table2[#Headers],0),0)</f>
        <v>688</v>
      </c>
      <c r="Z79" s="2">
        <f>VLOOKUP([jobnumber],OvalData[],MATCH(Table2[[#Headers],[Total Turns]],Table2[#Headers],0),0)</f>
        <v>4.91</v>
      </c>
      <c r="AA79" s="2">
        <f>VLOOKUP([jobnumber],OvalData[],MATCH(Table2[[#Headers],[Grille Vision Section]],Table2[#Headers],0),0)</f>
        <v>0</v>
      </c>
      <c r="AB79" s="2">
        <f>VLOOKUP([jobnumber],OvalData[],MATCH(Table2[[#Headers],[Grille Amount]],Table2[#Headers],0),0)</f>
        <v>0</v>
      </c>
      <c r="AC79" s="2">
        <f>VLOOKUP([jobnumber],OvalData[],MATCH(Table2[[#Headers],[Grille Center]],Table2[#Headers],0),0)</f>
        <v>0</v>
      </c>
      <c r="AD79" s="2">
        <f>VLOOKUP([jobnumber],OvalData[],MATCH(Table2[[#Headers],[Grille Pattern]],Table2[#Headers],0),0)</f>
        <v>0</v>
      </c>
      <c r="AE79" s="2">
        <f>VLOOKUP([jobnumber],OvalData[],MATCH(Table2[[#Headers],[Grille First Tube]],Table2[#Headers],0),0)</f>
        <v>0</v>
      </c>
      <c r="AF79" s="2">
        <f>VLOOKUP([jobnumber],OvalData[],MATCH(Table2[[#Headers],[Grille Standard Tube]],Table2[#Headers],0),0)</f>
        <v>0</v>
      </c>
      <c r="AG79" s="2">
        <f>VLOOKUP([jobnumber],OvalData[],MATCH(Table2[[#Headers],[Grille Total Links]],Table2[#Headers],0),0)</f>
        <v>0</v>
      </c>
      <c r="AH79" s="2">
        <f>VLOOKUP([jobnumber],OvalData[],MATCH(Table2[[#Headers],[Grille Rods]],Table2[#Headers],0),0)</f>
        <v>0</v>
      </c>
      <c r="AI79" s="2">
        <f>VLOOKUP([jobnumber],OvalData[],MATCH(Table2[[#Headers],[Grille Rod Length]],Table2[#Headers],0),0)</f>
        <v>0</v>
      </c>
      <c r="AJ79" s="2">
        <f>VLOOKUP([jobnumber],OvalData[],MATCH(Table2[[#Headers],[slattype]],Table2[#Headers],0),0)</f>
        <v>2</v>
      </c>
      <c r="AK79" s="2">
        <f>VLOOKUP([jobnumber],OvalData[],MATCH(Table2[[#Headers],[slatgage]],Table2[#Headers],0),0)</f>
        <v>18</v>
      </c>
      <c r="AL79" s="2">
        <f>VLOOKUP([jobnumber],OvalData[],MATCH(Table2[[#Headers],[Numer of Top Slats]],Table2[#Headers],0),0)</f>
        <v>0</v>
      </c>
      <c r="AM79" s="2">
        <f>VLOOKUP([jobnumber],OvalData[],MATCH(Table2[[#Headers],[Number of Bottom Slats]],Table2[#Headers],0),0)</f>
        <v>0</v>
      </c>
      <c r="AN79" s="2">
        <f>VLOOKUP([jobnumber],OvalData[],MATCH(Table2[[#Headers],[Solid Bottom Height]],Table2[#Headers],0),0)</f>
        <v>0</v>
      </c>
      <c r="AO79" s="2" t="str">
        <f>VLOOKUP([jobnumber],OvalData[],MATCH(Table2[[#Headers],[slatlength]],Table2[#Headers],0),0)</f>
        <v xml:space="preserve"> 18 ft.- 5 7/ 8"</v>
      </c>
      <c r="AP79" s="2">
        <f>VLOOKUP([jobnumber],OvalData[],MATCH(Table2[[#Headers],[Bottom Slat Length]],Table2[#Headers],0),0)</f>
        <v>0</v>
      </c>
      <c r="AQ79" s="2">
        <f>VLOOKUP([jobnumber],OvalData[],MATCH(Table2[[#Headers],[Number of Perferated Slats]],Table2[#Headers],0),0)</f>
        <v>0</v>
      </c>
      <c r="AR79" s="2">
        <f>VLOOKUP([jobnumber],OvalData[],MATCH(Table2[[#Headers],[First Preferated Slat From End]],Table2[#Headers],0),0)</f>
        <v>0</v>
      </c>
      <c r="AS79" s="2">
        <f>VLOOKUP([jobnumber],OvalData[],MATCH(Table2[[#Headers],[First Preferated Slat From Bottom]],Table2[#Headers],0),0)</f>
        <v>0</v>
      </c>
      <c r="AT79" s="2">
        <f>VLOOKUP([jobnumber],OvalData[],MATCH(Table2[[#Headers],[Total Number of Slats]],Table2[#Headers],0),0)</f>
        <v>51</v>
      </c>
      <c r="AU79" s="2">
        <f>VLOOKUP([jobnumber],OvalData[],MATCH(Table2[[#Headers],[Bottom Bar Slope]],Table2[#Headers],0),0)</f>
        <v>0</v>
      </c>
      <c r="AV79" s="2">
        <f>VLOOKUP([jobnumber],OvalData[],MATCH(Table2[[#Headers],[Bottom Bar Weight]],Table2[#Headers],0),0)</f>
        <v>80.5</v>
      </c>
      <c r="AW79" s="2" t="str">
        <f>VLOOKUP([jobnumber],OvalData[],MATCH(Table2[[#Headers],[Outer Spring Gage]],Table2[#Headers],0),0)</f>
        <v>Null</v>
      </c>
      <c r="AX79" s="2" t="str">
        <f>VLOOKUP([jobnumber],OvalData[],MATCH(Table2[[#Headers],[Outer Spring OD]],Table2[#Headers],0),0)</f>
        <v>Null</v>
      </c>
      <c r="AY79" s="2" t="str">
        <f>VLOOKUP([jobnumber],OvalData[],MATCH(Table2[[#Headers],[Outer Spring Length]],Table2[#Headers],0),0)</f>
        <v>Null</v>
      </c>
      <c r="AZ79" s="2" t="str">
        <f>VLOOKUP([jobnumber],OvalData[],MATCH(Table2[[#Headers],[Outer Spring Stretch]],Table2[#Headers],0),0)</f>
        <v>Null</v>
      </c>
      <c r="BA79" s="2" t="str">
        <f>VLOOKUP([jobnumber],OvalData[],MATCH(Table2[[#Headers],[Outer Spring Torque]],Table2[#Headers],0),0)</f>
        <v>Null</v>
      </c>
      <c r="BB79" s="2" t="str">
        <f>VLOOKUP([jobnumber],OvalData[],MATCH(Table2[[#Headers],[Outer Spring Max Turns]],Table2[#Headers],0),0)</f>
        <v>Null</v>
      </c>
      <c r="BC79" s="2" t="str">
        <f>VLOOKUP([jobnumber],OvalData[],MATCH(Table2[[#Headers],[Outer Spring Weight]],Table2[#Headers],0),0)</f>
        <v>Null</v>
      </c>
      <c r="BD79" s="2" t="str">
        <f>VLOOKUP([jobnumber],OvalData[],MATCH(Table2[[#Headers],[Inner Spring Gage]],Table2[#Headers],0),0)</f>
        <v>Null</v>
      </c>
      <c r="BE79" s="2" t="str">
        <f>VLOOKUP([jobnumber],OvalData[],MATCH(Table2[[#Headers],[Inner Spring OD]],Table2[#Headers],0),0)</f>
        <v>Null</v>
      </c>
      <c r="BF79" s="2" t="str">
        <f>VLOOKUP([jobnumber],OvalData[],MATCH(Table2[[#Headers],[Inner Spring Length]],Table2[#Headers],0),0)</f>
        <v>Null</v>
      </c>
      <c r="BG79" s="2" t="str">
        <f>VLOOKUP([jobnumber],OvalData[],MATCH(Table2[[#Headers],[Inner Spring Stretch]],Table2[#Headers],0),0)</f>
        <v>Null</v>
      </c>
      <c r="BH79" s="2" t="str">
        <f>VLOOKUP([jobnumber],OvalData[],MATCH(Table2[[#Headers],[Inner Spring Torque]],Table2[#Headers],0),0)</f>
        <v>Null</v>
      </c>
      <c r="BI79" s="2" t="str">
        <f>VLOOKUP([jobnumber],OvalData[],MATCH(Table2[[#Headers],[Inner Spring Max Turns]],Table2[#Headers],0),0)</f>
        <v>Null</v>
      </c>
      <c r="BJ79" s="2" t="str">
        <f>VLOOKUP([jobnumber],OvalData[],MATCH(Table2[[#Headers],[Inner Spring Weight]],Table2[#Headers],0),0)</f>
        <v>Null</v>
      </c>
      <c r="BK79" s="2">
        <f>VLOOKUP([jobnumber],OvalData[],MATCH(Table2[[#Headers],[Cycles]],Table2[#Headers],0),0)</f>
        <v>0</v>
      </c>
      <c r="BL79" s="2">
        <f>VLOOKUP([jobnumber],OvalData[],MATCH(Table2[[#Headers],[Total Spring Torque]],Table2[#Headers],0),0)</f>
        <v>0</v>
      </c>
      <c r="BM79" s="2">
        <f>VLOOKUP([jobnumber],OvalData[],MATCH(Table2[[#Headers],[Total Spring Weight]],Table2[#Headers],0),0)</f>
        <v>0</v>
      </c>
      <c r="BN79" s="2">
        <f>VLOOKUP([jobnumber],OvalData[],MATCH(Table2[[#Headers],[Pipe Weight]],Table2[#Headers],0),0)</f>
        <v>688.24239999999998</v>
      </c>
      <c r="BO79" s="2">
        <f>VLOOKUP([jobnumber],OvalData[],MATCH(Table2[[#Headers],[Max Pipe Deflection]],Table2[#Headers],0),0)</f>
        <v>2309</v>
      </c>
      <c r="BP79" s="2">
        <f>VLOOKUP([jobnumber],OvalData[],MATCH(Table2[[#Headers],[Number Non-Insulated Wrap Slats]],Table2[#Headers],0),0)</f>
        <v>0</v>
      </c>
      <c r="BQ79" s="2">
        <f>VLOOKUP([jobnumber],OvalData[],MATCH(Table2[[#Headers],[Number of Insolated Top Slats]],Table2[#Headers],0),0)</f>
        <v>45</v>
      </c>
      <c r="BR79" s="2">
        <f>VLOOKUP([jobnumber],OvalData[],MATCH(Table2[[#Headers],[Insolated Total Slats]],Table2[#Headers],0),0)</f>
        <v>45</v>
      </c>
      <c r="BS79" s="2">
        <f>VLOOKUP([jobnumber],OvalData[],MATCH(Table2[[#Headers],[Number of Slats]],Table2[#Headers],0),0)</f>
        <v>44.69</v>
      </c>
      <c r="BT79" s="2">
        <f>VLOOKUP([jobnumber],OvalData[],MATCH(Table2[[#Headers],[Wrap]],Table2[#Headers],0),0)</f>
        <v>0</v>
      </c>
      <c r="BU79" s="2">
        <f>VLOOKUP([jobnumber],OvalData[],MATCH(Table2[[#Headers],[Wall Angle Thickness]],Table2[#Headers],0),0)</f>
        <v>0</v>
      </c>
      <c r="BV79" s="2">
        <f>VLOOKUP([jobnumber],OvalData[],MATCH(Table2[[#Headers],[windlocks]],Table2[#Headers],0),0)</f>
        <v>0</v>
      </c>
      <c r="BW79" s="2" t="str">
        <f>VLOOKUP([jobnumber],OvalData[],MATCH(Table2[[#Headers],[bottombartype]],Table2[#Headers],0),0)</f>
        <v>SPECIAL</v>
      </c>
      <c r="BX79" s="2">
        <f>VLOOKUP([jobnumber],OvalData[],MATCH(Table2[[#Headers],[endlockweight]],Table2[#Headers],0),0)</f>
        <v>0.17</v>
      </c>
      <c r="BY79" s="2">
        <f>VLOOKUP([jobnumber],OvalData[],MATCH(Table2[[#Headers],[Endlock Total Weight]],Table2[#Headers],0),0)</f>
        <v>7.5972999999999997</v>
      </c>
      <c r="BZ79" s="2">
        <f>VLOOKUP([jobnumber],OvalData[],MATCH(Table2[[#Headers],[Grille Weight]],Table2[#Headers],0),0)</f>
        <v>0</v>
      </c>
      <c r="CA79" s="2">
        <f>VLOOKUP([jobnumber],OvalData[],MATCH(Table2[[#Headers],[barrelrings]],Table2[#Headers],0),0)</f>
        <v>1</v>
      </c>
    </row>
    <row r="80" spans="2:79">
      <c r="B80" s="2" t="str">
        <f>VLOOKUP([jobnumber],OvalData[],MATCH(Table2[[#Headers],[Hand]],Table2[#Headers],0),0)</f>
        <v>RH</v>
      </c>
      <c r="C80" s="2" t="str">
        <f>VLOOKUP([jobnumber],OvalData[],MATCH(Table2[[#Headers],[Model]],Table2[#Headers],0),0)</f>
        <v>SFMPP</v>
      </c>
      <c r="D80" s="2" t="str">
        <f>VLOOKUP([jobnumber],OvalData[],MATCH(Table2[[#Headers],[width]],Table2[#Headers],0),0)</f>
        <v xml:space="preserve"> 18 ft.- 2"</v>
      </c>
      <c r="E80" s="2" t="str">
        <f>VLOOKUP([jobnumber],OvalData[],MATCH(Table2[[#Headers],[stopheight]],Table2[#Headers],0),0)</f>
        <v xml:space="preserve"> 10 ft.- 0"</v>
      </c>
      <c r="F80" s="2" t="str">
        <f>VLOOKUP([jobnumber],OvalData[],MATCH(Table2[[#Headers],[Between Brackets]],Table2[#Headers],0),0)</f>
        <v xml:space="preserve"> 18 ft.- 7 7/ 8"</v>
      </c>
      <c r="G80" s="2" t="str">
        <f>VLOOKUP([jobnumber],OvalData[],MATCH(Table2[[#Headers],[shell]],Table2[#Headers],0),0)</f>
        <v>6 INCH TUBE</v>
      </c>
      <c r="H80" s="2" t="str">
        <f>VLOOKUP([jobnumber],OvalData[],MATCH(Table2[[#Headers],[pipewidth]],Table2[#Headers],0),0)</f>
        <v xml:space="preserve"> 18 ft.- 1 3/ 8"</v>
      </c>
      <c r="I80" s="2">
        <f>VLOOKUP([jobnumber],OvalData[],MATCH(Table2[[#Headers],[Support Tubes]],Table2[#Headers],0),0)</f>
        <v>0</v>
      </c>
      <c r="J80" s="2">
        <f>VLOOKUP([jobnumber],OvalData[],MATCH(Table2[[#Headers],[Upset]],Table2[#Headers],0),0)</f>
        <v>2</v>
      </c>
      <c r="K80" s="2" t="str">
        <f>VLOOKUP([jobnumber],OvalData[],MATCH(Table2[[#Headers],[Guide Type]],Table2[#Headers],0),0)</f>
        <v>SN2-4 5/8-E</v>
      </c>
      <c r="L80" s="2" t="str">
        <f>VLOOKUP([jobnumber],OvalData[],MATCH(Table2[[#Headers],[Wall Angle]],Table2[#Headers],0),0)</f>
        <v xml:space="preserve"> 11 ft.- 8"</v>
      </c>
      <c r="M80" s="2" t="str">
        <f>VLOOKUP([jobnumber],OvalData[],MATCH(Table2[[#Headers],[Middle Angle]],Table2[#Headers],0),0)</f>
        <v xml:space="preserve"> 10 ft.- 4 1/ 2"</v>
      </c>
      <c r="N80" s="2" t="str">
        <f>VLOOKUP([jobnumber],OvalData[],MATCH(Table2[[#Headers],[Front Angle]],Table2[#Headers],0),0)</f>
        <v xml:space="preserve"> 10 ft.- 3"</v>
      </c>
      <c r="O80" s="2">
        <f>VLOOKUP([jobnumber],OvalData[],MATCH(Table2[[#Headers],[Pipe Center Line]],Table2[#Headers],0),0)</f>
        <v>131</v>
      </c>
      <c r="P80" s="2">
        <f>VLOOKUP([jobnumber],OvalData[],MATCH(Table2[[#Headers],[Heat Expansion Gap]],Table2[#Headers],0),0)</f>
        <v>0</v>
      </c>
      <c r="Q80" s="2">
        <f>VLOOKUP([jobnumber],OvalData[],MATCH(Table2[[#Headers],[Hanging Weight Closed]],Table2[#Headers],0),0)</f>
        <v>795</v>
      </c>
      <c r="R80" s="2">
        <f>VLOOKUP([jobnumber],OvalData[],MATCH(Table2[[#Headers],[Hanging Weight Open]],Table2[#Headers],0),0)</f>
        <v>140</v>
      </c>
      <c r="S80" s="2">
        <f>VLOOKUP([jobnumber],OvalData[],MATCH(Table2[[#Headers],[Initial Lever Arm]],Table2[#Headers],0),0)</f>
        <v>4.25</v>
      </c>
      <c r="T80" s="2">
        <f>VLOOKUP([jobnumber],OvalData[],MATCH(Table2[[#Headers],[Turns to Raise]],Table2[#Headers],0),0)</f>
        <v>3.5859999999999999</v>
      </c>
      <c r="U80" s="2">
        <f>VLOOKUP([jobnumber],OvalData[],MATCH(Table2[[#Headers],[Final Lever Arm]],Table2[#Headers],0),0)</f>
        <v>6.37</v>
      </c>
      <c r="V80" s="2">
        <f>VLOOKUP([jobnumber],OvalData[],MATCH(Table2[[#Headers],[Torque Required Closed]],Table2[#Headers],0),0)</f>
        <v>3377.9</v>
      </c>
      <c r="W80" s="2">
        <f>VLOOKUP([jobnumber],OvalData[],MATCH(Table2[[#Headers],[Torque Required Open]],Table2[#Headers],0),0)</f>
        <v>892</v>
      </c>
      <c r="X80" s="2">
        <f>VLOOKUP([jobnumber],OvalData[],MATCH(Table2[[#Headers],[Pre Turns]],Table2[#Headers],0),0)</f>
        <v>1.3332999999999999</v>
      </c>
      <c r="Y80" s="2">
        <f>VLOOKUP([jobnumber],OvalData[],MATCH(Table2[[#Headers],[Required Torque Per Turn]],Table2[#Headers],0),0)</f>
        <v>688</v>
      </c>
      <c r="Z80" s="2">
        <f>VLOOKUP([jobnumber],OvalData[],MATCH(Table2[[#Headers],[Total Turns]],Table2[#Headers],0),0)</f>
        <v>4.91</v>
      </c>
      <c r="AA80" s="2">
        <f>VLOOKUP([jobnumber],OvalData[],MATCH(Table2[[#Headers],[Grille Vision Section]],Table2[#Headers],0),0)</f>
        <v>0</v>
      </c>
      <c r="AB80" s="2">
        <f>VLOOKUP([jobnumber],OvalData[],MATCH(Table2[[#Headers],[Grille Amount]],Table2[#Headers],0),0)</f>
        <v>0</v>
      </c>
      <c r="AC80" s="2">
        <f>VLOOKUP([jobnumber],OvalData[],MATCH(Table2[[#Headers],[Grille Center]],Table2[#Headers],0),0)</f>
        <v>0</v>
      </c>
      <c r="AD80" s="2">
        <f>VLOOKUP([jobnumber],OvalData[],MATCH(Table2[[#Headers],[Grille Pattern]],Table2[#Headers],0),0)</f>
        <v>0</v>
      </c>
      <c r="AE80" s="2">
        <f>VLOOKUP([jobnumber],OvalData[],MATCH(Table2[[#Headers],[Grille First Tube]],Table2[#Headers],0),0)</f>
        <v>0</v>
      </c>
      <c r="AF80" s="2">
        <f>VLOOKUP([jobnumber],OvalData[],MATCH(Table2[[#Headers],[Grille Standard Tube]],Table2[#Headers],0),0)</f>
        <v>0</v>
      </c>
      <c r="AG80" s="2">
        <f>VLOOKUP([jobnumber],OvalData[],MATCH(Table2[[#Headers],[Grille Total Links]],Table2[#Headers],0),0)</f>
        <v>0</v>
      </c>
      <c r="AH80" s="2">
        <f>VLOOKUP([jobnumber],OvalData[],MATCH(Table2[[#Headers],[Grille Rods]],Table2[#Headers],0),0)</f>
        <v>0</v>
      </c>
      <c r="AI80" s="2">
        <f>VLOOKUP([jobnumber],OvalData[],MATCH(Table2[[#Headers],[Grille Rod Length]],Table2[#Headers],0),0)</f>
        <v>0</v>
      </c>
      <c r="AJ80" s="2">
        <f>VLOOKUP([jobnumber],OvalData[],MATCH(Table2[[#Headers],[slattype]],Table2[#Headers],0),0)</f>
        <v>2</v>
      </c>
      <c r="AK80" s="2">
        <f>VLOOKUP([jobnumber],OvalData[],MATCH(Table2[[#Headers],[slatgage]],Table2[#Headers],0),0)</f>
        <v>18</v>
      </c>
      <c r="AL80" s="2">
        <f>VLOOKUP([jobnumber],OvalData[],MATCH(Table2[[#Headers],[Numer of Top Slats]],Table2[#Headers],0),0)</f>
        <v>0</v>
      </c>
      <c r="AM80" s="2">
        <f>VLOOKUP([jobnumber],OvalData[],MATCH(Table2[[#Headers],[Number of Bottom Slats]],Table2[#Headers],0),0)</f>
        <v>0</v>
      </c>
      <c r="AN80" s="2">
        <f>VLOOKUP([jobnumber],OvalData[],MATCH(Table2[[#Headers],[Solid Bottom Height]],Table2[#Headers],0),0)</f>
        <v>0</v>
      </c>
      <c r="AO80" s="2" t="str">
        <f>VLOOKUP([jobnumber],OvalData[],MATCH(Table2[[#Headers],[slatlength]],Table2[#Headers],0),0)</f>
        <v xml:space="preserve"> 18 ft.- 5 7/ 8"</v>
      </c>
      <c r="AP80" s="2">
        <f>VLOOKUP([jobnumber],OvalData[],MATCH(Table2[[#Headers],[Bottom Slat Length]],Table2[#Headers],0),0)</f>
        <v>0</v>
      </c>
      <c r="AQ80" s="2">
        <f>VLOOKUP([jobnumber],OvalData[],MATCH(Table2[[#Headers],[Number of Perferated Slats]],Table2[#Headers],0),0)</f>
        <v>0</v>
      </c>
      <c r="AR80" s="2">
        <f>VLOOKUP([jobnumber],OvalData[],MATCH(Table2[[#Headers],[First Preferated Slat From End]],Table2[#Headers],0),0)</f>
        <v>0</v>
      </c>
      <c r="AS80" s="2">
        <f>VLOOKUP([jobnumber],OvalData[],MATCH(Table2[[#Headers],[First Preferated Slat From Bottom]],Table2[#Headers],0),0)</f>
        <v>0</v>
      </c>
      <c r="AT80" s="2">
        <f>VLOOKUP([jobnumber],OvalData[],MATCH(Table2[[#Headers],[Total Number of Slats]],Table2[#Headers],0),0)</f>
        <v>51</v>
      </c>
      <c r="AU80" s="2">
        <f>VLOOKUP([jobnumber],OvalData[],MATCH(Table2[[#Headers],[Bottom Bar Slope]],Table2[#Headers],0),0)</f>
        <v>0</v>
      </c>
      <c r="AV80" s="2">
        <f>VLOOKUP([jobnumber],OvalData[],MATCH(Table2[[#Headers],[Bottom Bar Weight]],Table2[#Headers],0),0)</f>
        <v>80.5</v>
      </c>
      <c r="AW80" s="2" t="str">
        <f>VLOOKUP([jobnumber],OvalData[],MATCH(Table2[[#Headers],[Outer Spring Gage]],Table2[#Headers],0),0)</f>
        <v>Null</v>
      </c>
      <c r="AX80" s="2" t="str">
        <f>VLOOKUP([jobnumber],OvalData[],MATCH(Table2[[#Headers],[Outer Spring OD]],Table2[#Headers],0),0)</f>
        <v>Null</v>
      </c>
      <c r="AY80" s="2" t="str">
        <f>VLOOKUP([jobnumber],OvalData[],MATCH(Table2[[#Headers],[Outer Spring Length]],Table2[#Headers],0),0)</f>
        <v>Null</v>
      </c>
      <c r="AZ80" s="2" t="str">
        <f>VLOOKUP([jobnumber],OvalData[],MATCH(Table2[[#Headers],[Outer Spring Stretch]],Table2[#Headers],0),0)</f>
        <v>Null</v>
      </c>
      <c r="BA80" s="2" t="str">
        <f>VLOOKUP([jobnumber],OvalData[],MATCH(Table2[[#Headers],[Outer Spring Torque]],Table2[#Headers],0),0)</f>
        <v>Null</v>
      </c>
      <c r="BB80" s="2" t="str">
        <f>VLOOKUP([jobnumber],OvalData[],MATCH(Table2[[#Headers],[Outer Spring Max Turns]],Table2[#Headers],0),0)</f>
        <v>Null</v>
      </c>
      <c r="BC80" s="2" t="str">
        <f>VLOOKUP([jobnumber],OvalData[],MATCH(Table2[[#Headers],[Outer Spring Weight]],Table2[#Headers],0),0)</f>
        <v>Null</v>
      </c>
      <c r="BD80" s="2" t="str">
        <f>VLOOKUP([jobnumber],OvalData[],MATCH(Table2[[#Headers],[Inner Spring Gage]],Table2[#Headers],0),0)</f>
        <v>Null</v>
      </c>
      <c r="BE80" s="2" t="str">
        <f>VLOOKUP([jobnumber],OvalData[],MATCH(Table2[[#Headers],[Inner Spring OD]],Table2[#Headers],0),0)</f>
        <v>Null</v>
      </c>
      <c r="BF80" s="2" t="str">
        <f>VLOOKUP([jobnumber],OvalData[],MATCH(Table2[[#Headers],[Inner Spring Length]],Table2[#Headers],0),0)</f>
        <v>Null</v>
      </c>
      <c r="BG80" s="2" t="str">
        <f>VLOOKUP([jobnumber],OvalData[],MATCH(Table2[[#Headers],[Inner Spring Stretch]],Table2[#Headers],0),0)</f>
        <v>Null</v>
      </c>
      <c r="BH80" s="2" t="str">
        <f>VLOOKUP([jobnumber],OvalData[],MATCH(Table2[[#Headers],[Inner Spring Torque]],Table2[#Headers],0),0)</f>
        <v>Null</v>
      </c>
      <c r="BI80" s="2" t="str">
        <f>VLOOKUP([jobnumber],OvalData[],MATCH(Table2[[#Headers],[Inner Spring Max Turns]],Table2[#Headers],0),0)</f>
        <v>Null</v>
      </c>
      <c r="BJ80" s="2" t="str">
        <f>VLOOKUP([jobnumber],OvalData[],MATCH(Table2[[#Headers],[Inner Spring Weight]],Table2[#Headers],0),0)</f>
        <v>Null</v>
      </c>
      <c r="BK80" s="2">
        <f>VLOOKUP([jobnumber],OvalData[],MATCH(Table2[[#Headers],[Cycles]],Table2[#Headers],0),0)</f>
        <v>0</v>
      </c>
      <c r="BL80" s="2">
        <f>VLOOKUP([jobnumber],OvalData[],MATCH(Table2[[#Headers],[Total Spring Torque]],Table2[#Headers],0),0)</f>
        <v>0</v>
      </c>
      <c r="BM80" s="2">
        <f>VLOOKUP([jobnumber],OvalData[],MATCH(Table2[[#Headers],[Total Spring Weight]],Table2[#Headers],0),0)</f>
        <v>0</v>
      </c>
      <c r="BN80" s="2">
        <f>VLOOKUP([jobnumber],OvalData[],MATCH(Table2[[#Headers],[Pipe Weight]],Table2[#Headers],0),0)</f>
        <v>688.24239999999998</v>
      </c>
      <c r="BO80" s="2">
        <f>VLOOKUP([jobnumber],OvalData[],MATCH(Table2[[#Headers],[Max Pipe Deflection]],Table2[#Headers],0),0)</f>
        <v>2309</v>
      </c>
      <c r="BP80" s="2">
        <f>VLOOKUP([jobnumber],OvalData[],MATCH(Table2[[#Headers],[Number Non-Insulated Wrap Slats]],Table2[#Headers],0),0)</f>
        <v>0</v>
      </c>
      <c r="BQ80" s="2">
        <f>VLOOKUP([jobnumber],OvalData[],MATCH(Table2[[#Headers],[Number of Insolated Top Slats]],Table2[#Headers],0),0)</f>
        <v>45</v>
      </c>
      <c r="BR80" s="2">
        <f>VLOOKUP([jobnumber],OvalData[],MATCH(Table2[[#Headers],[Insolated Total Slats]],Table2[#Headers],0),0)</f>
        <v>45</v>
      </c>
      <c r="BS80" s="2">
        <f>VLOOKUP([jobnumber],OvalData[],MATCH(Table2[[#Headers],[Number of Slats]],Table2[#Headers],0),0)</f>
        <v>44.69</v>
      </c>
      <c r="BT80" s="2">
        <f>VLOOKUP([jobnumber],OvalData[],MATCH(Table2[[#Headers],[Wrap]],Table2[#Headers],0),0)</f>
        <v>0</v>
      </c>
      <c r="BU80" s="2">
        <f>VLOOKUP([jobnumber],OvalData[],MATCH(Table2[[#Headers],[Wall Angle Thickness]],Table2[#Headers],0),0)</f>
        <v>0</v>
      </c>
      <c r="BV80" s="2">
        <f>VLOOKUP([jobnumber],OvalData[],MATCH(Table2[[#Headers],[windlocks]],Table2[#Headers],0),0)</f>
        <v>0</v>
      </c>
      <c r="BW80" s="2" t="str">
        <f>VLOOKUP([jobnumber],OvalData[],MATCH(Table2[[#Headers],[bottombartype]],Table2[#Headers],0),0)</f>
        <v>SPECIAL</v>
      </c>
      <c r="BX80" s="2">
        <f>VLOOKUP([jobnumber],OvalData[],MATCH(Table2[[#Headers],[endlockweight]],Table2[#Headers],0),0)</f>
        <v>0.17</v>
      </c>
      <c r="BY80" s="2">
        <f>VLOOKUP([jobnumber],OvalData[],MATCH(Table2[[#Headers],[Endlock Total Weight]],Table2[#Headers],0),0)</f>
        <v>7.5972999999999997</v>
      </c>
      <c r="BZ80" s="2">
        <f>VLOOKUP([jobnumber],OvalData[],MATCH(Table2[[#Headers],[Grille Weight]],Table2[#Headers],0),0)</f>
        <v>0</v>
      </c>
      <c r="CA80" s="2">
        <f>VLOOKUP([jobnumber],OvalData[],MATCH(Table2[[#Headers],[barrelrings]],Table2[#Headers],0),0)</f>
        <v>1</v>
      </c>
    </row>
    <row r="81" spans="2:79">
      <c r="B81" s="2" t="str">
        <f>VLOOKUP([jobnumber],OvalData[],MATCH(Table2[[#Headers],[Hand]],Table2[#Headers],0),0)</f>
        <v>RH</v>
      </c>
      <c r="C81" s="2" t="str">
        <f>VLOOKUP([jobnumber],OvalData[],MATCH(Table2[[#Headers],[Model]],Table2[#Headers],0),0)</f>
        <v>SFMPP</v>
      </c>
      <c r="D81" s="2" t="str">
        <f>VLOOKUP([jobnumber],OvalData[],MATCH(Table2[[#Headers],[width]],Table2[#Headers],0),0)</f>
        <v xml:space="preserve"> 18 ft.- 2"</v>
      </c>
      <c r="E81" s="2" t="str">
        <f>VLOOKUP([jobnumber],OvalData[],MATCH(Table2[[#Headers],[stopheight]],Table2[#Headers],0),0)</f>
        <v xml:space="preserve"> 10 ft.- 0"</v>
      </c>
      <c r="F81" s="2" t="str">
        <f>VLOOKUP([jobnumber],OvalData[],MATCH(Table2[[#Headers],[Between Brackets]],Table2[#Headers],0),0)</f>
        <v xml:space="preserve"> 18 ft.- 7 7/ 8"</v>
      </c>
      <c r="G81" s="2" t="str">
        <f>VLOOKUP([jobnumber],OvalData[],MATCH(Table2[[#Headers],[shell]],Table2[#Headers],0),0)</f>
        <v>6 INCH TUBE</v>
      </c>
      <c r="H81" s="2" t="str">
        <f>VLOOKUP([jobnumber],OvalData[],MATCH(Table2[[#Headers],[pipewidth]],Table2[#Headers],0),0)</f>
        <v xml:space="preserve"> 18 ft.- 1 3/ 8"</v>
      </c>
      <c r="I81" s="2">
        <f>VLOOKUP([jobnumber],OvalData[],MATCH(Table2[[#Headers],[Support Tubes]],Table2[#Headers],0),0)</f>
        <v>0</v>
      </c>
      <c r="J81" s="2">
        <f>VLOOKUP([jobnumber],OvalData[],MATCH(Table2[[#Headers],[Upset]],Table2[#Headers],0),0)</f>
        <v>2</v>
      </c>
      <c r="K81" s="2" t="str">
        <f>VLOOKUP([jobnumber],OvalData[],MATCH(Table2[[#Headers],[Guide Type]],Table2[#Headers],0),0)</f>
        <v>SN2-4 5/8-E</v>
      </c>
      <c r="L81" s="2" t="str">
        <f>VLOOKUP([jobnumber],OvalData[],MATCH(Table2[[#Headers],[Wall Angle]],Table2[#Headers],0),0)</f>
        <v xml:space="preserve"> 11 ft.- 8"</v>
      </c>
      <c r="M81" s="2" t="str">
        <f>VLOOKUP([jobnumber],OvalData[],MATCH(Table2[[#Headers],[Middle Angle]],Table2[#Headers],0),0)</f>
        <v xml:space="preserve"> 10 ft.- 4 1/ 2"</v>
      </c>
      <c r="N81" s="2" t="str">
        <f>VLOOKUP([jobnumber],OvalData[],MATCH(Table2[[#Headers],[Front Angle]],Table2[#Headers],0),0)</f>
        <v xml:space="preserve"> 10 ft.- 3"</v>
      </c>
      <c r="O81" s="2">
        <f>VLOOKUP([jobnumber],OvalData[],MATCH(Table2[[#Headers],[Pipe Center Line]],Table2[#Headers],0),0)</f>
        <v>131</v>
      </c>
      <c r="P81" s="2">
        <f>VLOOKUP([jobnumber],OvalData[],MATCH(Table2[[#Headers],[Heat Expansion Gap]],Table2[#Headers],0),0)</f>
        <v>0</v>
      </c>
      <c r="Q81" s="2">
        <f>VLOOKUP([jobnumber],OvalData[],MATCH(Table2[[#Headers],[Hanging Weight Closed]],Table2[#Headers],0),0)</f>
        <v>795</v>
      </c>
      <c r="R81" s="2">
        <f>VLOOKUP([jobnumber],OvalData[],MATCH(Table2[[#Headers],[Hanging Weight Open]],Table2[#Headers],0),0)</f>
        <v>140</v>
      </c>
      <c r="S81" s="2">
        <f>VLOOKUP([jobnumber],OvalData[],MATCH(Table2[[#Headers],[Initial Lever Arm]],Table2[#Headers],0),0)</f>
        <v>4.25</v>
      </c>
      <c r="T81" s="2">
        <f>VLOOKUP([jobnumber],OvalData[],MATCH(Table2[[#Headers],[Turns to Raise]],Table2[#Headers],0),0)</f>
        <v>3.5859999999999999</v>
      </c>
      <c r="U81" s="2">
        <f>VLOOKUP([jobnumber],OvalData[],MATCH(Table2[[#Headers],[Final Lever Arm]],Table2[#Headers],0),0)</f>
        <v>6.37</v>
      </c>
      <c r="V81" s="2">
        <f>VLOOKUP([jobnumber],OvalData[],MATCH(Table2[[#Headers],[Torque Required Closed]],Table2[#Headers],0),0)</f>
        <v>3377.9</v>
      </c>
      <c r="W81" s="2">
        <f>VLOOKUP([jobnumber],OvalData[],MATCH(Table2[[#Headers],[Torque Required Open]],Table2[#Headers],0),0)</f>
        <v>892</v>
      </c>
      <c r="X81" s="2">
        <f>VLOOKUP([jobnumber],OvalData[],MATCH(Table2[[#Headers],[Pre Turns]],Table2[#Headers],0),0)</f>
        <v>1.3332999999999999</v>
      </c>
      <c r="Y81" s="2">
        <f>VLOOKUP([jobnumber],OvalData[],MATCH(Table2[[#Headers],[Required Torque Per Turn]],Table2[#Headers],0),0)</f>
        <v>688</v>
      </c>
      <c r="Z81" s="2">
        <f>VLOOKUP([jobnumber],OvalData[],MATCH(Table2[[#Headers],[Total Turns]],Table2[#Headers],0),0)</f>
        <v>4.91</v>
      </c>
      <c r="AA81" s="2">
        <f>VLOOKUP([jobnumber],OvalData[],MATCH(Table2[[#Headers],[Grille Vision Section]],Table2[#Headers],0),0)</f>
        <v>0</v>
      </c>
      <c r="AB81" s="2">
        <f>VLOOKUP([jobnumber],OvalData[],MATCH(Table2[[#Headers],[Grille Amount]],Table2[#Headers],0),0)</f>
        <v>0</v>
      </c>
      <c r="AC81" s="2">
        <f>VLOOKUP([jobnumber],OvalData[],MATCH(Table2[[#Headers],[Grille Center]],Table2[#Headers],0),0)</f>
        <v>0</v>
      </c>
      <c r="AD81" s="2">
        <f>VLOOKUP([jobnumber],OvalData[],MATCH(Table2[[#Headers],[Grille Pattern]],Table2[#Headers],0),0)</f>
        <v>0</v>
      </c>
      <c r="AE81" s="2">
        <f>VLOOKUP([jobnumber],OvalData[],MATCH(Table2[[#Headers],[Grille First Tube]],Table2[#Headers],0),0)</f>
        <v>0</v>
      </c>
      <c r="AF81" s="2">
        <f>VLOOKUP([jobnumber],OvalData[],MATCH(Table2[[#Headers],[Grille Standard Tube]],Table2[#Headers],0),0)</f>
        <v>0</v>
      </c>
      <c r="AG81" s="2">
        <f>VLOOKUP([jobnumber],OvalData[],MATCH(Table2[[#Headers],[Grille Total Links]],Table2[#Headers],0),0)</f>
        <v>0</v>
      </c>
      <c r="AH81" s="2">
        <f>VLOOKUP([jobnumber],OvalData[],MATCH(Table2[[#Headers],[Grille Rods]],Table2[#Headers],0),0)</f>
        <v>0</v>
      </c>
      <c r="AI81" s="2">
        <f>VLOOKUP([jobnumber],OvalData[],MATCH(Table2[[#Headers],[Grille Rod Length]],Table2[#Headers],0),0)</f>
        <v>0</v>
      </c>
      <c r="AJ81" s="2">
        <f>VLOOKUP([jobnumber],OvalData[],MATCH(Table2[[#Headers],[slattype]],Table2[#Headers],0),0)</f>
        <v>2</v>
      </c>
      <c r="AK81" s="2">
        <f>VLOOKUP([jobnumber],OvalData[],MATCH(Table2[[#Headers],[slatgage]],Table2[#Headers],0),0)</f>
        <v>18</v>
      </c>
      <c r="AL81" s="2">
        <f>VLOOKUP([jobnumber],OvalData[],MATCH(Table2[[#Headers],[Numer of Top Slats]],Table2[#Headers],0),0)</f>
        <v>0</v>
      </c>
      <c r="AM81" s="2">
        <f>VLOOKUP([jobnumber],OvalData[],MATCH(Table2[[#Headers],[Number of Bottom Slats]],Table2[#Headers],0),0)</f>
        <v>0</v>
      </c>
      <c r="AN81" s="2">
        <f>VLOOKUP([jobnumber],OvalData[],MATCH(Table2[[#Headers],[Solid Bottom Height]],Table2[#Headers],0),0)</f>
        <v>0</v>
      </c>
      <c r="AO81" s="2" t="str">
        <f>VLOOKUP([jobnumber],OvalData[],MATCH(Table2[[#Headers],[slatlength]],Table2[#Headers],0),0)</f>
        <v xml:space="preserve"> 18 ft.- 5 7/ 8"</v>
      </c>
      <c r="AP81" s="2">
        <f>VLOOKUP([jobnumber],OvalData[],MATCH(Table2[[#Headers],[Bottom Slat Length]],Table2[#Headers],0),0)</f>
        <v>0</v>
      </c>
      <c r="AQ81" s="2">
        <f>VLOOKUP([jobnumber],OvalData[],MATCH(Table2[[#Headers],[Number of Perferated Slats]],Table2[#Headers],0),0)</f>
        <v>0</v>
      </c>
      <c r="AR81" s="2">
        <f>VLOOKUP([jobnumber],OvalData[],MATCH(Table2[[#Headers],[First Preferated Slat From End]],Table2[#Headers],0),0)</f>
        <v>0</v>
      </c>
      <c r="AS81" s="2">
        <f>VLOOKUP([jobnumber],OvalData[],MATCH(Table2[[#Headers],[First Preferated Slat From Bottom]],Table2[#Headers],0),0)</f>
        <v>0</v>
      </c>
      <c r="AT81" s="2">
        <f>VLOOKUP([jobnumber],OvalData[],MATCH(Table2[[#Headers],[Total Number of Slats]],Table2[#Headers],0),0)</f>
        <v>51</v>
      </c>
      <c r="AU81" s="2">
        <f>VLOOKUP([jobnumber],OvalData[],MATCH(Table2[[#Headers],[Bottom Bar Slope]],Table2[#Headers],0),0)</f>
        <v>0</v>
      </c>
      <c r="AV81" s="2">
        <f>VLOOKUP([jobnumber],OvalData[],MATCH(Table2[[#Headers],[Bottom Bar Weight]],Table2[#Headers],0),0)</f>
        <v>80.5</v>
      </c>
      <c r="AW81" s="2" t="str">
        <f>VLOOKUP([jobnumber],OvalData[],MATCH(Table2[[#Headers],[Outer Spring Gage]],Table2[#Headers],0),0)</f>
        <v>Null</v>
      </c>
      <c r="AX81" s="2" t="str">
        <f>VLOOKUP([jobnumber],OvalData[],MATCH(Table2[[#Headers],[Outer Spring OD]],Table2[#Headers],0),0)</f>
        <v>Null</v>
      </c>
      <c r="AY81" s="2" t="str">
        <f>VLOOKUP([jobnumber],OvalData[],MATCH(Table2[[#Headers],[Outer Spring Length]],Table2[#Headers],0),0)</f>
        <v>Null</v>
      </c>
      <c r="AZ81" s="2" t="str">
        <f>VLOOKUP([jobnumber],OvalData[],MATCH(Table2[[#Headers],[Outer Spring Stretch]],Table2[#Headers],0),0)</f>
        <v>Null</v>
      </c>
      <c r="BA81" s="2" t="str">
        <f>VLOOKUP([jobnumber],OvalData[],MATCH(Table2[[#Headers],[Outer Spring Torque]],Table2[#Headers],0),0)</f>
        <v>Null</v>
      </c>
      <c r="BB81" s="2" t="str">
        <f>VLOOKUP([jobnumber],OvalData[],MATCH(Table2[[#Headers],[Outer Spring Max Turns]],Table2[#Headers],0),0)</f>
        <v>Null</v>
      </c>
      <c r="BC81" s="2" t="str">
        <f>VLOOKUP([jobnumber],OvalData[],MATCH(Table2[[#Headers],[Outer Spring Weight]],Table2[#Headers],0),0)</f>
        <v>Null</v>
      </c>
      <c r="BD81" s="2" t="str">
        <f>VLOOKUP([jobnumber],OvalData[],MATCH(Table2[[#Headers],[Inner Spring Gage]],Table2[#Headers],0),0)</f>
        <v>Null</v>
      </c>
      <c r="BE81" s="2" t="str">
        <f>VLOOKUP([jobnumber],OvalData[],MATCH(Table2[[#Headers],[Inner Spring OD]],Table2[#Headers],0),0)</f>
        <v>Null</v>
      </c>
      <c r="BF81" s="2" t="str">
        <f>VLOOKUP([jobnumber],OvalData[],MATCH(Table2[[#Headers],[Inner Spring Length]],Table2[#Headers],0),0)</f>
        <v>Null</v>
      </c>
      <c r="BG81" s="2" t="str">
        <f>VLOOKUP([jobnumber],OvalData[],MATCH(Table2[[#Headers],[Inner Spring Stretch]],Table2[#Headers],0),0)</f>
        <v>Null</v>
      </c>
      <c r="BH81" s="2" t="str">
        <f>VLOOKUP([jobnumber],OvalData[],MATCH(Table2[[#Headers],[Inner Spring Torque]],Table2[#Headers],0),0)</f>
        <v>Null</v>
      </c>
      <c r="BI81" s="2" t="str">
        <f>VLOOKUP([jobnumber],OvalData[],MATCH(Table2[[#Headers],[Inner Spring Max Turns]],Table2[#Headers],0),0)</f>
        <v>Null</v>
      </c>
      <c r="BJ81" s="2" t="str">
        <f>VLOOKUP([jobnumber],OvalData[],MATCH(Table2[[#Headers],[Inner Spring Weight]],Table2[#Headers],0),0)</f>
        <v>Null</v>
      </c>
      <c r="BK81" s="2">
        <f>VLOOKUP([jobnumber],OvalData[],MATCH(Table2[[#Headers],[Cycles]],Table2[#Headers],0),0)</f>
        <v>0</v>
      </c>
      <c r="BL81" s="2">
        <f>VLOOKUP([jobnumber],OvalData[],MATCH(Table2[[#Headers],[Total Spring Torque]],Table2[#Headers],0),0)</f>
        <v>0</v>
      </c>
      <c r="BM81" s="2">
        <f>VLOOKUP([jobnumber],OvalData[],MATCH(Table2[[#Headers],[Total Spring Weight]],Table2[#Headers],0),0)</f>
        <v>0</v>
      </c>
      <c r="BN81" s="2">
        <f>VLOOKUP([jobnumber],OvalData[],MATCH(Table2[[#Headers],[Pipe Weight]],Table2[#Headers],0),0)</f>
        <v>688.24239999999998</v>
      </c>
      <c r="BO81" s="2">
        <f>VLOOKUP([jobnumber],OvalData[],MATCH(Table2[[#Headers],[Max Pipe Deflection]],Table2[#Headers],0),0)</f>
        <v>2309</v>
      </c>
      <c r="BP81" s="2">
        <f>VLOOKUP([jobnumber],OvalData[],MATCH(Table2[[#Headers],[Number Non-Insulated Wrap Slats]],Table2[#Headers],0),0)</f>
        <v>0</v>
      </c>
      <c r="BQ81" s="2">
        <f>VLOOKUP([jobnumber],OvalData[],MATCH(Table2[[#Headers],[Number of Insolated Top Slats]],Table2[#Headers],0),0)</f>
        <v>45</v>
      </c>
      <c r="BR81" s="2">
        <f>VLOOKUP([jobnumber],OvalData[],MATCH(Table2[[#Headers],[Insolated Total Slats]],Table2[#Headers],0),0)</f>
        <v>45</v>
      </c>
      <c r="BS81" s="2">
        <f>VLOOKUP([jobnumber],OvalData[],MATCH(Table2[[#Headers],[Number of Slats]],Table2[#Headers],0),0)</f>
        <v>44.69</v>
      </c>
      <c r="BT81" s="2">
        <f>VLOOKUP([jobnumber],OvalData[],MATCH(Table2[[#Headers],[Wrap]],Table2[#Headers],0),0)</f>
        <v>0</v>
      </c>
      <c r="BU81" s="2">
        <f>VLOOKUP([jobnumber],OvalData[],MATCH(Table2[[#Headers],[Wall Angle Thickness]],Table2[#Headers],0),0)</f>
        <v>0</v>
      </c>
      <c r="BV81" s="2">
        <f>VLOOKUP([jobnumber],OvalData[],MATCH(Table2[[#Headers],[windlocks]],Table2[#Headers],0),0)</f>
        <v>0</v>
      </c>
      <c r="BW81" s="2" t="str">
        <f>VLOOKUP([jobnumber],OvalData[],MATCH(Table2[[#Headers],[bottombartype]],Table2[#Headers],0),0)</f>
        <v>SPECIAL</v>
      </c>
      <c r="BX81" s="2">
        <f>VLOOKUP([jobnumber],OvalData[],MATCH(Table2[[#Headers],[endlockweight]],Table2[#Headers],0),0)</f>
        <v>0.17</v>
      </c>
      <c r="BY81" s="2">
        <f>VLOOKUP([jobnumber],OvalData[],MATCH(Table2[[#Headers],[Endlock Total Weight]],Table2[#Headers],0),0)</f>
        <v>7.5972999999999997</v>
      </c>
      <c r="BZ81" s="2">
        <f>VLOOKUP([jobnumber],OvalData[],MATCH(Table2[[#Headers],[Grille Weight]],Table2[#Headers],0),0)</f>
        <v>0</v>
      </c>
      <c r="CA81" s="2">
        <f>VLOOKUP([jobnumber],OvalData[],MATCH(Table2[[#Headers],[barrelrings]],Table2[#Headers],0),0)</f>
        <v>1</v>
      </c>
    </row>
    <row r="82" spans="2:79">
      <c r="B82" s="2" t="str">
        <f>VLOOKUP([jobnumber],OvalData[],MATCH(Table2[[#Headers],[Hand]],Table2[#Headers],0),0)</f>
        <v>RH</v>
      </c>
      <c r="C82" s="2" t="str">
        <f>VLOOKUP([jobnumber],OvalData[],MATCH(Table2[[#Headers],[Model]],Table2[#Headers],0),0)</f>
        <v>SFMPP</v>
      </c>
      <c r="D82" s="2" t="str">
        <f>VLOOKUP([jobnumber],OvalData[],MATCH(Table2[[#Headers],[width]],Table2[#Headers],0),0)</f>
        <v xml:space="preserve"> 18 ft.- 2"</v>
      </c>
      <c r="E82" s="2" t="str">
        <f>VLOOKUP([jobnumber],OvalData[],MATCH(Table2[[#Headers],[stopheight]],Table2[#Headers],0),0)</f>
        <v xml:space="preserve"> 10 ft.- 0"</v>
      </c>
      <c r="F82" s="2" t="str">
        <f>VLOOKUP([jobnumber],OvalData[],MATCH(Table2[[#Headers],[Between Brackets]],Table2[#Headers],0),0)</f>
        <v xml:space="preserve"> 18 ft.- 7 7/ 8"</v>
      </c>
      <c r="G82" s="2" t="str">
        <f>VLOOKUP([jobnumber],OvalData[],MATCH(Table2[[#Headers],[shell]],Table2[#Headers],0),0)</f>
        <v>6 INCH TUBE</v>
      </c>
      <c r="H82" s="2" t="str">
        <f>VLOOKUP([jobnumber],OvalData[],MATCH(Table2[[#Headers],[pipewidth]],Table2[#Headers],0),0)</f>
        <v xml:space="preserve"> 18 ft.- 1 3/ 8"</v>
      </c>
      <c r="I82" s="2">
        <f>VLOOKUP([jobnumber],OvalData[],MATCH(Table2[[#Headers],[Support Tubes]],Table2[#Headers],0),0)</f>
        <v>0</v>
      </c>
      <c r="J82" s="2">
        <f>VLOOKUP([jobnumber],OvalData[],MATCH(Table2[[#Headers],[Upset]],Table2[#Headers],0),0)</f>
        <v>2</v>
      </c>
      <c r="K82" s="2" t="str">
        <f>VLOOKUP([jobnumber],OvalData[],MATCH(Table2[[#Headers],[Guide Type]],Table2[#Headers],0),0)</f>
        <v>SN2-4 5/8-E</v>
      </c>
      <c r="L82" s="2" t="str">
        <f>VLOOKUP([jobnumber],OvalData[],MATCH(Table2[[#Headers],[Wall Angle]],Table2[#Headers],0),0)</f>
        <v xml:space="preserve"> 11 ft.- 8"</v>
      </c>
      <c r="M82" s="2" t="str">
        <f>VLOOKUP([jobnumber],OvalData[],MATCH(Table2[[#Headers],[Middle Angle]],Table2[#Headers],0),0)</f>
        <v xml:space="preserve"> 10 ft.- 4 1/ 2"</v>
      </c>
      <c r="N82" s="2" t="str">
        <f>VLOOKUP([jobnumber],OvalData[],MATCH(Table2[[#Headers],[Front Angle]],Table2[#Headers],0),0)</f>
        <v xml:space="preserve"> 10 ft.- 3"</v>
      </c>
      <c r="O82" s="2">
        <f>VLOOKUP([jobnumber],OvalData[],MATCH(Table2[[#Headers],[Pipe Center Line]],Table2[#Headers],0),0)</f>
        <v>131</v>
      </c>
      <c r="P82" s="2">
        <f>VLOOKUP([jobnumber],OvalData[],MATCH(Table2[[#Headers],[Heat Expansion Gap]],Table2[#Headers],0),0)</f>
        <v>0</v>
      </c>
      <c r="Q82" s="2">
        <f>VLOOKUP([jobnumber],OvalData[],MATCH(Table2[[#Headers],[Hanging Weight Closed]],Table2[#Headers],0),0)</f>
        <v>795</v>
      </c>
      <c r="R82" s="2">
        <f>VLOOKUP([jobnumber],OvalData[],MATCH(Table2[[#Headers],[Hanging Weight Open]],Table2[#Headers],0),0)</f>
        <v>140</v>
      </c>
      <c r="S82" s="2">
        <f>VLOOKUP([jobnumber],OvalData[],MATCH(Table2[[#Headers],[Initial Lever Arm]],Table2[#Headers],0),0)</f>
        <v>4.25</v>
      </c>
      <c r="T82" s="2">
        <f>VLOOKUP([jobnumber],OvalData[],MATCH(Table2[[#Headers],[Turns to Raise]],Table2[#Headers],0),0)</f>
        <v>3.5859999999999999</v>
      </c>
      <c r="U82" s="2">
        <f>VLOOKUP([jobnumber],OvalData[],MATCH(Table2[[#Headers],[Final Lever Arm]],Table2[#Headers],0),0)</f>
        <v>6.37</v>
      </c>
      <c r="V82" s="2">
        <f>VLOOKUP([jobnumber],OvalData[],MATCH(Table2[[#Headers],[Torque Required Closed]],Table2[#Headers],0),0)</f>
        <v>3377.9</v>
      </c>
      <c r="W82" s="2">
        <f>VLOOKUP([jobnumber],OvalData[],MATCH(Table2[[#Headers],[Torque Required Open]],Table2[#Headers],0),0)</f>
        <v>892</v>
      </c>
      <c r="X82" s="2">
        <f>VLOOKUP([jobnumber],OvalData[],MATCH(Table2[[#Headers],[Pre Turns]],Table2[#Headers],0),0)</f>
        <v>1.3332999999999999</v>
      </c>
      <c r="Y82" s="2">
        <f>VLOOKUP([jobnumber],OvalData[],MATCH(Table2[[#Headers],[Required Torque Per Turn]],Table2[#Headers],0),0)</f>
        <v>688</v>
      </c>
      <c r="Z82" s="2">
        <f>VLOOKUP([jobnumber],OvalData[],MATCH(Table2[[#Headers],[Total Turns]],Table2[#Headers],0),0)</f>
        <v>4.91</v>
      </c>
      <c r="AA82" s="2">
        <f>VLOOKUP([jobnumber],OvalData[],MATCH(Table2[[#Headers],[Grille Vision Section]],Table2[#Headers],0),0)</f>
        <v>0</v>
      </c>
      <c r="AB82" s="2">
        <f>VLOOKUP([jobnumber],OvalData[],MATCH(Table2[[#Headers],[Grille Amount]],Table2[#Headers],0),0)</f>
        <v>0</v>
      </c>
      <c r="AC82" s="2">
        <f>VLOOKUP([jobnumber],OvalData[],MATCH(Table2[[#Headers],[Grille Center]],Table2[#Headers],0),0)</f>
        <v>0</v>
      </c>
      <c r="AD82" s="2">
        <f>VLOOKUP([jobnumber],OvalData[],MATCH(Table2[[#Headers],[Grille Pattern]],Table2[#Headers],0),0)</f>
        <v>0</v>
      </c>
      <c r="AE82" s="2">
        <f>VLOOKUP([jobnumber],OvalData[],MATCH(Table2[[#Headers],[Grille First Tube]],Table2[#Headers],0),0)</f>
        <v>0</v>
      </c>
      <c r="AF82" s="2">
        <f>VLOOKUP([jobnumber],OvalData[],MATCH(Table2[[#Headers],[Grille Standard Tube]],Table2[#Headers],0),0)</f>
        <v>0</v>
      </c>
      <c r="AG82" s="2">
        <f>VLOOKUP([jobnumber],OvalData[],MATCH(Table2[[#Headers],[Grille Total Links]],Table2[#Headers],0),0)</f>
        <v>0</v>
      </c>
      <c r="AH82" s="2">
        <f>VLOOKUP([jobnumber],OvalData[],MATCH(Table2[[#Headers],[Grille Rods]],Table2[#Headers],0),0)</f>
        <v>0</v>
      </c>
      <c r="AI82" s="2">
        <f>VLOOKUP([jobnumber],OvalData[],MATCH(Table2[[#Headers],[Grille Rod Length]],Table2[#Headers],0),0)</f>
        <v>0</v>
      </c>
      <c r="AJ82" s="2">
        <f>VLOOKUP([jobnumber],OvalData[],MATCH(Table2[[#Headers],[slattype]],Table2[#Headers],0),0)</f>
        <v>2</v>
      </c>
      <c r="AK82" s="2">
        <f>VLOOKUP([jobnumber],OvalData[],MATCH(Table2[[#Headers],[slatgage]],Table2[#Headers],0),0)</f>
        <v>18</v>
      </c>
      <c r="AL82" s="2">
        <f>VLOOKUP([jobnumber],OvalData[],MATCH(Table2[[#Headers],[Numer of Top Slats]],Table2[#Headers],0),0)</f>
        <v>0</v>
      </c>
      <c r="AM82" s="2">
        <f>VLOOKUP([jobnumber],OvalData[],MATCH(Table2[[#Headers],[Number of Bottom Slats]],Table2[#Headers],0),0)</f>
        <v>0</v>
      </c>
      <c r="AN82" s="2">
        <f>VLOOKUP([jobnumber],OvalData[],MATCH(Table2[[#Headers],[Solid Bottom Height]],Table2[#Headers],0),0)</f>
        <v>0</v>
      </c>
      <c r="AO82" s="2" t="str">
        <f>VLOOKUP([jobnumber],OvalData[],MATCH(Table2[[#Headers],[slatlength]],Table2[#Headers],0),0)</f>
        <v xml:space="preserve"> 18 ft.- 5 7/ 8"</v>
      </c>
      <c r="AP82" s="2">
        <f>VLOOKUP([jobnumber],OvalData[],MATCH(Table2[[#Headers],[Bottom Slat Length]],Table2[#Headers],0),0)</f>
        <v>0</v>
      </c>
      <c r="AQ82" s="2">
        <f>VLOOKUP([jobnumber],OvalData[],MATCH(Table2[[#Headers],[Number of Perferated Slats]],Table2[#Headers],0),0)</f>
        <v>0</v>
      </c>
      <c r="AR82" s="2">
        <f>VLOOKUP([jobnumber],OvalData[],MATCH(Table2[[#Headers],[First Preferated Slat From End]],Table2[#Headers],0),0)</f>
        <v>0</v>
      </c>
      <c r="AS82" s="2">
        <f>VLOOKUP([jobnumber],OvalData[],MATCH(Table2[[#Headers],[First Preferated Slat From Bottom]],Table2[#Headers],0),0)</f>
        <v>0</v>
      </c>
      <c r="AT82" s="2">
        <f>VLOOKUP([jobnumber],OvalData[],MATCH(Table2[[#Headers],[Total Number of Slats]],Table2[#Headers],0),0)</f>
        <v>51</v>
      </c>
      <c r="AU82" s="2">
        <f>VLOOKUP([jobnumber],OvalData[],MATCH(Table2[[#Headers],[Bottom Bar Slope]],Table2[#Headers],0),0)</f>
        <v>0</v>
      </c>
      <c r="AV82" s="2">
        <f>VLOOKUP([jobnumber],OvalData[],MATCH(Table2[[#Headers],[Bottom Bar Weight]],Table2[#Headers],0),0)</f>
        <v>80.5</v>
      </c>
      <c r="AW82" s="2" t="str">
        <f>VLOOKUP([jobnumber],OvalData[],MATCH(Table2[[#Headers],[Outer Spring Gage]],Table2[#Headers],0),0)</f>
        <v>Null</v>
      </c>
      <c r="AX82" s="2" t="str">
        <f>VLOOKUP([jobnumber],OvalData[],MATCH(Table2[[#Headers],[Outer Spring OD]],Table2[#Headers],0),0)</f>
        <v>Null</v>
      </c>
      <c r="AY82" s="2" t="str">
        <f>VLOOKUP([jobnumber],OvalData[],MATCH(Table2[[#Headers],[Outer Spring Length]],Table2[#Headers],0),0)</f>
        <v>Null</v>
      </c>
      <c r="AZ82" s="2" t="str">
        <f>VLOOKUP([jobnumber],OvalData[],MATCH(Table2[[#Headers],[Outer Spring Stretch]],Table2[#Headers],0),0)</f>
        <v>Null</v>
      </c>
      <c r="BA82" s="2" t="str">
        <f>VLOOKUP([jobnumber],OvalData[],MATCH(Table2[[#Headers],[Outer Spring Torque]],Table2[#Headers],0),0)</f>
        <v>Null</v>
      </c>
      <c r="BB82" s="2" t="str">
        <f>VLOOKUP([jobnumber],OvalData[],MATCH(Table2[[#Headers],[Outer Spring Max Turns]],Table2[#Headers],0),0)</f>
        <v>Null</v>
      </c>
      <c r="BC82" s="2" t="str">
        <f>VLOOKUP([jobnumber],OvalData[],MATCH(Table2[[#Headers],[Outer Spring Weight]],Table2[#Headers],0),0)</f>
        <v>Null</v>
      </c>
      <c r="BD82" s="2" t="str">
        <f>VLOOKUP([jobnumber],OvalData[],MATCH(Table2[[#Headers],[Inner Spring Gage]],Table2[#Headers],0),0)</f>
        <v>Null</v>
      </c>
      <c r="BE82" s="2" t="str">
        <f>VLOOKUP([jobnumber],OvalData[],MATCH(Table2[[#Headers],[Inner Spring OD]],Table2[#Headers],0),0)</f>
        <v>Null</v>
      </c>
      <c r="BF82" s="2" t="str">
        <f>VLOOKUP([jobnumber],OvalData[],MATCH(Table2[[#Headers],[Inner Spring Length]],Table2[#Headers],0),0)</f>
        <v>Null</v>
      </c>
      <c r="BG82" s="2" t="str">
        <f>VLOOKUP([jobnumber],OvalData[],MATCH(Table2[[#Headers],[Inner Spring Stretch]],Table2[#Headers],0),0)</f>
        <v>Null</v>
      </c>
      <c r="BH82" s="2" t="str">
        <f>VLOOKUP([jobnumber],OvalData[],MATCH(Table2[[#Headers],[Inner Spring Torque]],Table2[#Headers],0),0)</f>
        <v>Null</v>
      </c>
      <c r="BI82" s="2" t="str">
        <f>VLOOKUP([jobnumber],OvalData[],MATCH(Table2[[#Headers],[Inner Spring Max Turns]],Table2[#Headers],0),0)</f>
        <v>Null</v>
      </c>
      <c r="BJ82" s="2" t="str">
        <f>VLOOKUP([jobnumber],OvalData[],MATCH(Table2[[#Headers],[Inner Spring Weight]],Table2[#Headers],0),0)</f>
        <v>Null</v>
      </c>
      <c r="BK82" s="2">
        <f>VLOOKUP([jobnumber],OvalData[],MATCH(Table2[[#Headers],[Cycles]],Table2[#Headers],0),0)</f>
        <v>0</v>
      </c>
      <c r="BL82" s="2">
        <f>VLOOKUP([jobnumber],OvalData[],MATCH(Table2[[#Headers],[Total Spring Torque]],Table2[#Headers],0),0)</f>
        <v>0</v>
      </c>
      <c r="BM82" s="2">
        <f>VLOOKUP([jobnumber],OvalData[],MATCH(Table2[[#Headers],[Total Spring Weight]],Table2[#Headers],0),0)</f>
        <v>0</v>
      </c>
      <c r="BN82" s="2">
        <f>VLOOKUP([jobnumber],OvalData[],MATCH(Table2[[#Headers],[Pipe Weight]],Table2[#Headers],0),0)</f>
        <v>688.24239999999998</v>
      </c>
      <c r="BO82" s="2">
        <f>VLOOKUP([jobnumber],OvalData[],MATCH(Table2[[#Headers],[Max Pipe Deflection]],Table2[#Headers],0),0)</f>
        <v>2309</v>
      </c>
      <c r="BP82" s="2">
        <f>VLOOKUP([jobnumber],OvalData[],MATCH(Table2[[#Headers],[Number Non-Insulated Wrap Slats]],Table2[#Headers],0),0)</f>
        <v>0</v>
      </c>
      <c r="BQ82" s="2">
        <f>VLOOKUP([jobnumber],OvalData[],MATCH(Table2[[#Headers],[Number of Insolated Top Slats]],Table2[#Headers],0),0)</f>
        <v>45</v>
      </c>
      <c r="BR82" s="2">
        <f>VLOOKUP([jobnumber],OvalData[],MATCH(Table2[[#Headers],[Insolated Total Slats]],Table2[#Headers],0),0)</f>
        <v>45</v>
      </c>
      <c r="BS82" s="2">
        <f>VLOOKUP([jobnumber],OvalData[],MATCH(Table2[[#Headers],[Number of Slats]],Table2[#Headers],0),0)</f>
        <v>44.69</v>
      </c>
      <c r="BT82" s="2">
        <f>VLOOKUP([jobnumber],OvalData[],MATCH(Table2[[#Headers],[Wrap]],Table2[#Headers],0),0)</f>
        <v>0</v>
      </c>
      <c r="BU82" s="2">
        <f>VLOOKUP([jobnumber],OvalData[],MATCH(Table2[[#Headers],[Wall Angle Thickness]],Table2[#Headers],0),0)</f>
        <v>0</v>
      </c>
      <c r="BV82" s="2">
        <f>VLOOKUP([jobnumber],OvalData[],MATCH(Table2[[#Headers],[windlocks]],Table2[#Headers],0),0)</f>
        <v>0</v>
      </c>
      <c r="BW82" s="2" t="str">
        <f>VLOOKUP([jobnumber],OvalData[],MATCH(Table2[[#Headers],[bottombartype]],Table2[#Headers],0),0)</f>
        <v>SPECIAL</v>
      </c>
      <c r="BX82" s="2">
        <f>VLOOKUP([jobnumber],OvalData[],MATCH(Table2[[#Headers],[endlockweight]],Table2[#Headers],0),0)</f>
        <v>0.17</v>
      </c>
      <c r="BY82" s="2">
        <f>VLOOKUP([jobnumber],OvalData[],MATCH(Table2[[#Headers],[Endlock Total Weight]],Table2[#Headers],0),0)</f>
        <v>7.5972999999999997</v>
      </c>
      <c r="BZ82" s="2">
        <f>VLOOKUP([jobnumber],OvalData[],MATCH(Table2[[#Headers],[Grille Weight]],Table2[#Headers],0),0)</f>
        <v>0</v>
      </c>
      <c r="CA82" s="2">
        <f>VLOOKUP([jobnumber],OvalData[],MATCH(Table2[[#Headers],[barrelrings]],Table2[#Headers],0),0)</f>
        <v>1</v>
      </c>
    </row>
    <row r="83" spans="2:79">
      <c r="B83" s="2" t="str">
        <f>VLOOKUP([jobnumber],OvalData[],MATCH(Table2[[#Headers],[Hand]],Table2[#Headers],0),0)</f>
        <v>RH</v>
      </c>
      <c r="C83" s="2" t="str">
        <f>VLOOKUP([jobnumber],OvalData[],MATCH(Table2[[#Headers],[Model]],Table2[#Headers],0),0)</f>
        <v>SFMPP</v>
      </c>
      <c r="D83" s="2" t="str">
        <f>VLOOKUP([jobnumber],OvalData[],MATCH(Table2[[#Headers],[width]],Table2[#Headers],0),0)</f>
        <v xml:space="preserve"> 18 ft.- 2"</v>
      </c>
      <c r="E83" s="2" t="str">
        <f>VLOOKUP([jobnumber],OvalData[],MATCH(Table2[[#Headers],[stopheight]],Table2[#Headers],0),0)</f>
        <v xml:space="preserve"> 10 ft.- 0"</v>
      </c>
      <c r="F83" s="2" t="str">
        <f>VLOOKUP([jobnumber],OvalData[],MATCH(Table2[[#Headers],[Between Brackets]],Table2[#Headers],0),0)</f>
        <v xml:space="preserve"> 18 ft.- 7 7/ 8"</v>
      </c>
      <c r="G83" s="2" t="str">
        <f>VLOOKUP([jobnumber],OvalData[],MATCH(Table2[[#Headers],[shell]],Table2[#Headers],0),0)</f>
        <v>6 INCH TUBE</v>
      </c>
      <c r="H83" s="2" t="str">
        <f>VLOOKUP([jobnumber],OvalData[],MATCH(Table2[[#Headers],[pipewidth]],Table2[#Headers],0),0)</f>
        <v xml:space="preserve"> 18 ft.- 1 3/ 8"</v>
      </c>
      <c r="I83" s="2">
        <f>VLOOKUP([jobnumber],OvalData[],MATCH(Table2[[#Headers],[Support Tubes]],Table2[#Headers],0),0)</f>
        <v>0</v>
      </c>
      <c r="J83" s="2">
        <f>VLOOKUP([jobnumber],OvalData[],MATCH(Table2[[#Headers],[Upset]],Table2[#Headers],0),0)</f>
        <v>2</v>
      </c>
      <c r="K83" s="2" t="str">
        <f>VLOOKUP([jobnumber],OvalData[],MATCH(Table2[[#Headers],[Guide Type]],Table2[#Headers],0),0)</f>
        <v>SN2-4 5/8-E</v>
      </c>
      <c r="L83" s="2" t="str">
        <f>VLOOKUP([jobnumber],OvalData[],MATCH(Table2[[#Headers],[Wall Angle]],Table2[#Headers],0),0)</f>
        <v xml:space="preserve"> 11 ft.- 8"</v>
      </c>
      <c r="M83" s="2" t="str">
        <f>VLOOKUP([jobnumber],OvalData[],MATCH(Table2[[#Headers],[Middle Angle]],Table2[#Headers],0),0)</f>
        <v xml:space="preserve"> 10 ft.- 4 1/ 2"</v>
      </c>
      <c r="N83" s="2" t="str">
        <f>VLOOKUP([jobnumber],OvalData[],MATCH(Table2[[#Headers],[Front Angle]],Table2[#Headers],0),0)</f>
        <v xml:space="preserve"> 10 ft.- 3"</v>
      </c>
      <c r="O83" s="2">
        <f>VLOOKUP([jobnumber],OvalData[],MATCH(Table2[[#Headers],[Pipe Center Line]],Table2[#Headers],0),0)</f>
        <v>131</v>
      </c>
      <c r="P83" s="2">
        <f>VLOOKUP([jobnumber],OvalData[],MATCH(Table2[[#Headers],[Heat Expansion Gap]],Table2[#Headers],0),0)</f>
        <v>0</v>
      </c>
      <c r="Q83" s="2">
        <f>VLOOKUP([jobnumber],OvalData[],MATCH(Table2[[#Headers],[Hanging Weight Closed]],Table2[#Headers],0),0)</f>
        <v>795</v>
      </c>
      <c r="R83" s="2">
        <f>VLOOKUP([jobnumber],OvalData[],MATCH(Table2[[#Headers],[Hanging Weight Open]],Table2[#Headers],0),0)</f>
        <v>140</v>
      </c>
      <c r="S83" s="2">
        <f>VLOOKUP([jobnumber],OvalData[],MATCH(Table2[[#Headers],[Initial Lever Arm]],Table2[#Headers],0),0)</f>
        <v>4.25</v>
      </c>
      <c r="T83" s="2">
        <f>VLOOKUP([jobnumber],OvalData[],MATCH(Table2[[#Headers],[Turns to Raise]],Table2[#Headers],0),0)</f>
        <v>3.5859999999999999</v>
      </c>
      <c r="U83" s="2">
        <f>VLOOKUP([jobnumber],OvalData[],MATCH(Table2[[#Headers],[Final Lever Arm]],Table2[#Headers],0),0)</f>
        <v>6.37</v>
      </c>
      <c r="V83" s="2">
        <f>VLOOKUP([jobnumber],OvalData[],MATCH(Table2[[#Headers],[Torque Required Closed]],Table2[#Headers],0),0)</f>
        <v>3377.9</v>
      </c>
      <c r="W83" s="2">
        <f>VLOOKUP([jobnumber],OvalData[],MATCH(Table2[[#Headers],[Torque Required Open]],Table2[#Headers],0),0)</f>
        <v>892</v>
      </c>
      <c r="X83" s="2">
        <f>VLOOKUP([jobnumber],OvalData[],MATCH(Table2[[#Headers],[Pre Turns]],Table2[#Headers],0),0)</f>
        <v>1.3332999999999999</v>
      </c>
      <c r="Y83" s="2">
        <f>VLOOKUP([jobnumber],OvalData[],MATCH(Table2[[#Headers],[Required Torque Per Turn]],Table2[#Headers],0),0)</f>
        <v>688</v>
      </c>
      <c r="Z83" s="2">
        <f>VLOOKUP([jobnumber],OvalData[],MATCH(Table2[[#Headers],[Total Turns]],Table2[#Headers],0),0)</f>
        <v>4.91</v>
      </c>
      <c r="AA83" s="2">
        <f>VLOOKUP([jobnumber],OvalData[],MATCH(Table2[[#Headers],[Grille Vision Section]],Table2[#Headers],0),0)</f>
        <v>0</v>
      </c>
      <c r="AB83" s="2">
        <f>VLOOKUP([jobnumber],OvalData[],MATCH(Table2[[#Headers],[Grille Amount]],Table2[#Headers],0),0)</f>
        <v>0</v>
      </c>
      <c r="AC83" s="2">
        <f>VLOOKUP([jobnumber],OvalData[],MATCH(Table2[[#Headers],[Grille Center]],Table2[#Headers],0),0)</f>
        <v>0</v>
      </c>
      <c r="AD83" s="2">
        <f>VLOOKUP([jobnumber],OvalData[],MATCH(Table2[[#Headers],[Grille Pattern]],Table2[#Headers],0),0)</f>
        <v>0</v>
      </c>
      <c r="AE83" s="2">
        <f>VLOOKUP([jobnumber],OvalData[],MATCH(Table2[[#Headers],[Grille First Tube]],Table2[#Headers],0),0)</f>
        <v>0</v>
      </c>
      <c r="AF83" s="2">
        <f>VLOOKUP([jobnumber],OvalData[],MATCH(Table2[[#Headers],[Grille Standard Tube]],Table2[#Headers],0),0)</f>
        <v>0</v>
      </c>
      <c r="AG83" s="2">
        <f>VLOOKUP([jobnumber],OvalData[],MATCH(Table2[[#Headers],[Grille Total Links]],Table2[#Headers],0),0)</f>
        <v>0</v>
      </c>
      <c r="AH83" s="2">
        <f>VLOOKUP([jobnumber],OvalData[],MATCH(Table2[[#Headers],[Grille Rods]],Table2[#Headers],0),0)</f>
        <v>0</v>
      </c>
      <c r="AI83" s="2">
        <f>VLOOKUP([jobnumber],OvalData[],MATCH(Table2[[#Headers],[Grille Rod Length]],Table2[#Headers],0),0)</f>
        <v>0</v>
      </c>
      <c r="AJ83" s="2">
        <f>VLOOKUP([jobnumber],OvalData[],MATCH(Table2[[#Headers],[slattype]],Table2[#Headers],0),0)</f>
        <v>2</v>
      </c>
      <c r="AK83" s="2">
        <f>VLOOKUP([jobnumber],OvalData[],MATCH(Table2[[#Headers],[slatgage]],Table2[#Headers],0),0)</f>
        <v>18</v>
      </c>
      <c r="AL83" s="2">
        <f>VLOOKUP([jobnumber],OvalData[],MATCH(Table2[[#Headers],[Numer of Top Slats]],Table2[#Headers],0),0)</f>
        <v>0</v>
      </c>
      <c r="AM83" s="2">
        <f>VLOOKUP([jobnumber],OvalData[],MATCH(Table2[[#Headers],[Number of Bottom Slats]],Table2[#Headers],0),0)</f>
        <v>0</v>
      </c>
      <c r="AN83" s="2">
        <f>VLOOKUP([jobnumber],OvalData[],MATCH(Table2[[#Headers],[Solid Bottom Height]],Table2[#Headers],0),0)</f>
        <v>0</v>
      </c>
      <c r="AO83" s="2" t="str">
        <f>VLOOKUP([jobnumber],OvalData[],MATCH(Table2[[#Headers],[slatlength]],Table2[#Headers],0),0)</f>
        <v xml:space="preserve"> 18 ft.- 5 7/ 8"</v>
      </c>
      <c r="AP83" s="2">
        <f>VLOOKUP([jobnumber],OvalData[],MATCH(Table2[[#Headers],[Bottom Slat Length]],Table2[#Headers],0),0)</f>
        <v>0</v>
      </c>
      <c r="AQ83" s="2">
        <f>VLOOKUP([jobnumber],OvalData[],MATCH(Table2[[#Headers],[Number of Perferated Slats]],Table2[#Headers],0),0)</f>
        <v>0</v>
      </c>
      <c r="AR83" s="2">
        <f>VLOOKUP([jobnumber],OvalData[],MATCH(Table2[[#Headers],[First Preferated Slat From End]],Table2[#Headers],0),0)</f>
        <v>0</v>
      </c>
      <c r="AS83" s="2">
        <f>VLOOKUP([jobnumber],OvalData[],MATCH(Table2[[#Headers],[First Preferated Slat From Bottom]],Table2[#Headers],0),0)</f>
        <v>0</v>
      </c>
      <c r="AT83" s="2">
        <f>VLOOKUP([jobnumber],OvalData[],MATCH(Table2[[#Headers],[Total Number of Slats]],Table2[#Headers],0),0)</f>
        <v>51</v>
      </c>
      <c r="AU83" s="2">
        <f>VLOOKUP([jobnumber],OvalData[],MATCH(Table2[[#Headers],[Bottom Bar Slope]],Table2[#Headers],0),0)</f>
        <v>0</v>
      </c>
      <c r="AV83" s="2">
        <f>VLOOKUP([jobnumber],OvalData[],MATCH(Table2[[#Headers],[Bottom Bar Weight]],Table2[#Headers],0),0)</f>
        <v>80.5</v>
      </c>
      <c r="AW83" s="2" t="str">
        <f>VLOOKUP([jobnumber],OvalData[],MATCH(Table2[[#Headers],[Outer Spring Gage]],Table2[#Headers],0),0)</f>
        <v>Null</v>
      </c>
      <c r="AX83" s="2" t="str">
        <f>VLOOKUP([jobnumber],OvalData[],MATCH(Table2[[#Headers],[Outer Spring OD]],Table2[#Headers],0),0)</f>
        <v>Null</v>
      </c>
      <c r="AY83" s="2" t="str">
        <f>VLOOKUP([jobnumber],OvalData[],MATCH(Table2[[#Headers],[Outer Spring Length]],Table2[#Headers],0),0)</f>
        <v>Null</v>
      </c>
      <c r="AZ83" s="2" t="str">
        <f>VLOOKUP([jobnumber],OvalData[],MATCH(Table2[[#Headers],[Outer Spring Stretch]],Table2[#Headers],0),0)</f>
        <v>Null</v>
      </c>
      <c r="BA83" s="2" t="str">
        <f>VLOOKUP([jobnumber],OvalData[],MATCH(Table2[[#Headers],[Outer Spring Torque]],Table2[#Headers],0),0)</f>
        <v>Null</v>
      </c>
      <c r="BB83" s="2" t="str">
        <f>VLOOKUP([jobnumber],OvalData[],MATCH(Table2[[#Headers],[Outer Spring Max Turns]],Table2[#Headers],0),0)</f>
        <v>Null</v>
      </c>
      <c r="BC83" s="2" t="str">
        <f>VLOOKUP([jobnumber],OvalData[],MATCH(Table2[[#Headers],[Outer Spring Weight]],Table2[#Headers],0),0)</f>
        <v>Null</v>
      </c>
      <c r="BD83" s="2" t="str">
        <f>VLOOKUP([jobnumber],OvalData[],MATCH(Table2[[#Headers],[Inner Spring Gage]],Table2[#Headers],0),0)</f>
        <v>Null</v>
      </c>
      <c r="BE83" s="2" t="str">
        <f>VLOOKUP([jobnumber],OvalData[],MATCH(Table2[[#Headers],[Inner Spring OD]],Table2[#Headers],0),0)</f>
        <v>Null</v>
      </c>
      <c r="BF83" s="2" t="str">
        <f>VLOOKUP([jobnumber],OvalData[],MATCH(Table2[[#Headers],[Inner Spring Length]],Table2[#Headers],0),0)</f>
        <v>Null</v>
      </c>
      <c r="BG83" s="2" t="str">
        <f>VLOOKUP([jobnumber],OvalData[],MATCH(Table2[[#Headers],[Inner Spring Stretch]],Table2[#Headers],0),0)</f>
        <v>Null</v>
      </c>
      <c r="BH83" s="2" t="str">
        <f>VLOOKUP([jobnumber],OvalData[],MATCH(Table2[[#Headers],[Inner Spring Torque]],Table2[#Headers],0),0)</f>
        <v>Null</v>
      </c>
      <c r="BI83" s="2" t="str">
        <f>VLOOKUP([jobnumber],OvalData[],MATCH(Table2[[#Headers],[Inner Spring Max Turns]],Table2[#Headers],0),0)</f>
        <v>Null</v>
      </c>
      <c r="BJ83" s="2" t="str">
        <f>VLOOKUP([jobnumber],OvalData[],MATCH(Table2[[#Headers],[Inner Spring Weight]],Table2[#Headers],0),0)</f>
        <v>Null</v>
      </c>
      <c r="BK83" s="2">
        <f>VLOOKUP([jobnumber],OvalData[],MATCH(Table2[[#Headers],[Cycles]],Table2[#Headers],0),0)</f>
        <v>0</v>
      </c>
      <c r="BL83" s="2">
        <f>VLOOKUP([jobnumber],OvalData[],MATCH(Table2[[#Headers],[Total Spring Torque]],Table2[#Headers],0),0)</f>
        <v>0</v>
      </c>
      <c r="BM83" s="2">
        <f>VLOOKUP([jobnumber],OvalData[],MATCH(Table2[[#Headers],[Total Spring Weight]],Table2[#Headers],0),0)</f>
        <v>0</v>
      </c>
      <c r="BN83" s="2">
        <f>VLOOKUP([jobnumber],OvalData[],MATCH(Table2[[#Headers],[Pipe Weight]],Table2[#Headers],0),0)</f>
        <v>688.24239999999998</v>
      </c>
      <c r="BO83" s="2">
        <f>VLOOKUP([jobnumber],OvalData[],MATCH(Table2[[#Headers],[Max Pipe Deflection]],Table2[#Headers],0),0)</f>
        <v>2309</v>
      </c>
      <c r="BP83" s="2">
        <f>VLOOKUP([jobnumber],OvalData[],MATCH(Table2[[#Headers],[Number Non-Insulated Wrap Slats]],Table2[#Headers],0),0)</f>
        <v>0</v>
      </c>
      <c r="BQ83" s="2">
        <f>VLOOKUP([jobnumber],OvalData[],MATCH(Table2[[#Headers],[Number of Insolated Top Slats]],Table2[#Headers],0),0)</f>
        <v>45</v>
      </c>
      <c r="BR83" s="2">
        <f>VLOOKUP([jobnumber],OvalData[],MATCH(Table2[[#Headers],[Insolated Total Slats]],Table2[#Headers],0),0)</f>
        <v>45</v>
      </c>
      <c r="BS83" s="2">
        <f>VLOOKUP([jobnumber],OvalData[],MATCH(Table2[[#Headers],[Number of Slats]],Table2[#Headers],0),0)</f>
        <v>44.69</v>
      </c>
      <c r="BT83" s="2">
        <f>VLOOKUP([jobnumber],OvalData[],MATCH(Table2[[#Headers],[Wrap]],Table2[#Headers],0),0)</f>
        <v>0</v>
      </c>
      <c r="BU83" s="2">
        <f>VLOOKUP([jobnumber],OvalData[],MATCH(Table2[[#Headers],[Wall Angle Thickness]],Table2[#Headers],0),0)</f>
        <v>0</v>
      </c>
      <c r="BV83" s="2">
        <f>VLOOKUP([jobnumber],OvalData[],MATCH(Table2[[#Headers],[windlocks]],Table2[#Headers],0),0)</f>
        <v>0</v>
      </c>
      <c r="BW83" s="2" t="str">
        <f>VLOOKUP([jobnumber],OvalData[],MATCH(Table2[[#Headers],[bottombartype]],Table2[#Headers],0),0)</f>
        <v>SPECIAL</v>
      </c>
      <c r="BX83" s="2">
        <f>VLOOKUP([jobnumber],OvalData[],MATCH(Table2[[#Headers],[endlockweight]],Table2[#Headers],0),0)</f>
        <v>0.17</v>
      </c>
      <c r="BY83" s="2">
        <f>VLOOKUP([jobnumber],OvalData[],MATCH(Table2[[#Headers],[Endlock Total Weight]],Table2[#Headers],0),0)</f>
        <v>7.5972999999999997</v>
      </c>
      <c r="BZ83" s="2">
        <f>VLOOKUP([jobnumber],OvalData[],MATCH(Table2[[#Headers],[Grille Weight]],Table2[#Headers],0),0)</f>
        <v>0</v>
      </c>
      <c r="CA83" s="2">
        <f>VLOOKUP([jobnumber],OvalData[],MATCH(Table2[[#Headers],[barrelrings]],Table2[#Headers],0),0)</f>
        <v>1</v>
      </c>
    </row>
    <row r="84" spans="2:79">
      <c r="B84" s="2" t="str">
        <f>VLOOKUP([jobnumber],OvalData[],MATCH(Table2[[#Headers],[Hand]],Table2[#Headers],0),0)</f>
        <v>RH</v>
      </c>
      <c r="C84" s="2" t="str">
        <f>VLOOKUP([jobnumber],OvalData[],MATCH(Table2[[#Headers],[Model]],Table2[#Headers],0),0)</f>
        <v>SFMPP</v>
      </c>
      <c r="D84" s="2" t="str">
        <f>VLOOKUP([jobnumber],OvalData[],MATCH(Table2[[#Headers],[width]],Table2[#Headers],0),0)</f>
        <v xml:space="preserve"> 18 ft.- 2"</v>
      </c>
      <c r="E84" s="2" t="str">
        <f>VLOOKUP([jobnumber],OvalData[],MATCH(Table2[[#Headers],[stopheight]],Table2[#Headers],0),0)</f>
        <v xml:space="preserve"> 10 ft.- 0"</v>
      </c>
      <c r="F84" s="2" t="str">
        <f>VLOOKUP([jobnumber],OvalData[],MATCH(Table2[[#Headers],[Between Brackets]],Table2[#Headers],0),0)</f>
        <v xml:space="preserve"> 18 ft.- 7 7/ 8"</v>
      </c>
      <c r="G84" s="2" t="str">
        <f>VLOOKUP([jobnumber],OvalData[],MATCH(Table2[[#Headers],[shell]],Table2[#Headers],0),0)</f>
        <v>6 INCH TUBE</v>
      </c>
      <c r="H84" s="2" t="str">
        <f>VLOOKUP([jobnumber],OvalData[],MATCH(Table2[[#Headers],[pipewidth]],Table2[#Headers],0),0)</f>
        <v xml:space="preserve"> 18 ft.- 1 3/ 8"</v>
      </c>
      <c r="I84" s="2">
        <f>VLOOKUP([jobnumber],OvalData[],MATCH(Table2[[#Headers],[Support Tubes]],Table2[#Headers],0),0)</f>
        <v>0</v>
      </c>
      <c r="J84" s="2">
        <f>VLOOKUP([jobnumber],OvalData[],MATCH(Table2[[#Headers],[Upset]],Table2[#Headers],0),0)</f>
        <v>2</v>
      </c>
      <c r="K84" s="2" t="str">
        <f>VLOOKUP([jobnumber],OvalData[],MATCH(Table2[[#Headers],[Guide Type]],Table2[#Headers],0),0)</f>
        <v>SN2-4 5/8-E</v>
      </c>
      <c r="L84" s="2" t="str">
        <f>VLOOKUP([jobnumber],OvalData[],MATCH(Table2[[#Headers],[Wall Angle]],Table2[#Headers],0),0)</f>
        <v xml:space="preserve"> 11 ft.- 8"</v>
      </c>
      <c r="M84" s="2" t="str">
        <f>VLOOKUP([jobnumber],OvalData[],MATCH(Table2[[#Headers],[Middle Angle]],Table2[#Headers],0),0)</f>
        <v xml:space="preserve"> 10 ft.- 4 1/ 2"</v>
      </c>
      <c r="N84" s="2" t="str">
        <f>VLOOKUP([jobnumber],OvalData[],MATCH(Table2[[#Headers],[Front Angle]],Table2[#Headers],0),0)</f>
        <v xml:space="preserve"> 10 ft.- 3"</v>
      </c>
      <c r="O84" s="2">
        <f>VLOOKUP([jobnumber],OvalData[],MATCH(Table2[[#Headers],[Pipe Center Line]],Table2[#Headers],0),0)</f>
        <v>131</v>
      </c>
      <c r="P84" s="2">
        <f>VLOOKUP([jobnumber],OvalData[],MATCH(Table2[[#Headers],[Heat Expansion Gap]],Table2[#Headers],0),0)</f>
        <v>0</v>
      </c>
      <c r="Q84" s="2">
        <f>VLOOKUP([jobnumber],OvalData[],MATCH(Table2[[#Headers],[Hanging Weight Closed]],Table2[#Headers],0),0)</f>
        <v>795</v>
      </c>
      <c r="R84" s="2">
        <f>VLOOKUP([jobnumber],OvalData[],MATCH(Table2[[#Headers],[Hanging Weight Open]],Table2[#Headers],0),0)</f>
        <v>140</v>
      </c>
      <c r="S84" s="2">
        <f>VLOOKUP([jobnumber],OvalData[],MATCH(Table2[[#Headers],[Initial Lever Arm]],Table2[#Headers],0),0)</f>
        <v>4.25</v>
      </c>
      <c r="T84" s="2">
        <f>VLOOKUP([jobnumber],OvalData[],MATCH(Table2[[#Headers],[Turns to Raise]],Table2[#Headers],0),0)</f>
        <v>3.5859999999999999</v>
      </c>
      <c r="U84" s="2">
        <f>VLOOKUP([jobnumber],OvalData[],MATCH(Table2[[#Headers],[Final Lever Arm]],Table2[#Headers],0),0)</f>
        <v>6.37</v>
      </c>
      <c r="V84" s="2">
        <f>VLOOKUP([jobnumber],OvalData[],MATCH(Table2[[#Headers],[Torque Required Closed]],Table2[#Headers],0),0)</f>
        <v>3377.9</v>
      </c>
      <c r="W84" s="2">
        <f>VLOOKUP([jobnumber],OvalData[],MATCH(Table2[[#Headers],[Torque Required Open]],Table2[#Headers],0),0)</f>
        <v>892</v>
      </c>
      <c r="X84" s="2">
        <f>VLOOKUP([jobnumber],OvalData[],MATCH(Table2[[#Headers],[Pre Turns]],Table2[#Headers],0),0)</f>
        <v>1.3332999999999999</v>
      </c>
      <c r="Y84" s="2">
        <f>VLOOKUP([jobnumber],OvalData[],MATCH(Table2[[#Headers],[Required Torque Per Turn]],Table2[#Headers],0),0)</f>
        <v>688</v>
      </c>
      <c r="Z84" s="2">
        <f>VLOOKUP([jobnumber],OvalData[],MATCH(Table2[[#Headers],[Total Turns]],Table2[#Headers],0),0)</f>
        <v>4.91</v>
      </c>
      <c r="AA84" s="2">
        <f>VLOOKUP([jobnumber],OvalData[],MATCH(Table2[[#Headers],[Grille Vision Section]],Table2[#Headers],0),0)</f>
        <v>0</v>
      </c>
      <c r="AB84" s="2">
        <f>VLOOKUP([jobnumber],OvalData[],MATCH(Table2[[#Headers],[Grille Amount]],Table2[#Headers],0),0)</f>
        <v>0</v>
      </c>
      <c r="AC84" s="2">
        <f>VLOOKUP([jobnumber],OvalData[],MATCH(Table2[[#Headers],[Grille Center]],Table2[#Headers],0),0)</f>
        <v>0</v>
      </c>
      <c r="AD84" s="2">
        <f>VLOOKUP([jobnumber],OvalData[],MATCH(Table2[[#Headers],[Grille Pattern]],Table2[#Headers],0),0)</f>
        <v>0</v>
      </c>
      <c r="AE84" s="2">
        <f>VLOOKUP([jobnumber],OvalData[],MATCH(Table2[[#Headers],[Grille First Tube]],Table2[#Headers],0),0)</f>
        <v>0</v>
      </c>
      <c r="AF84" s="2">
        <f>VLOOKUP([jobnumber],OvalData[],MATCH(Table2[[#Headers],[Grille Standard Tube]],Table2[#Headers],0),0)</f>
        <v>0</v>
      </c>
      <c r="AG84" s="2">
        <f>VLOOKUP([jobnumber],OvalData[],MATCH(Table2[[#Headers],[Grille Total Links]],Table2[#Headers],0),0)</f>
        <v>0</v>
      </c>
      <c r="AH84" s="2">
        <f>VLOOKUP([jobnumber],OvalData[],MATCH(Table2[[#Headers],[Grille Rods]],Table2[#Headers],0),0)</f>
        <v>0</v>
      </c>
      <c r="AI84" s="2">
        <f>VLOOKUP([jobnumber],OvalData[],MATCH(Table2[[#Headers],[Grille Rod Length]],Table2[#Headers],0),0)</f>
        <v>0</v>
      </c>
      <c r="AJ84" s="2">
        <f>VLOOKUP([jobnumber],OvalData[],MATCH(Table2[[#Headers],[slattype]],Table2[#Headers],0),0)</f>
        <v>2</v>
      </c>
      <c r="AK84" s="2">
        <f>VLOOKUP([jobnumber],OvalData[],MATCH(Table2[[#Headers],[slatgage]],Table2[#Headers],0),0)</f>
        <v>18</v>
      </c>
      <c r="AL84" s="2">
        <f>VLOOKUP([jobnumber],OvalData[],MATCH(Table2[[#Headers],[Numer of Top Slats]],Table2[#Headers],0),0)</f>
        <v>0</v>
      </c>
      <c r="AM84" s="2">
        <f>VLOOKUP([jobnumber],OvalData[],MATCH(Table2[[#Headers],[Number of Bottom Slats]],Table2[#Headers],0),0)</f>
        <v>0</v>
      </c>
      <c r="AN84" s="2">
        <f>VLOOKUP([jobnumber],OvalData[],MATCH(Table2[[#Headers],[Solid Bottom Height]],Table2[#Headers],0),0)</f>
        <v>0</v>
      </c>
      <c r="AO84" s="2" t="str">
        <f>VLOOKUP([jobnumber],OvalData[],MATCH(Table2[[#Headers],[slatlength]],Table2[#Headers],0),0)</f>
        <v xml:space="preserve"> 18 ft.- 5 7/ 8"</v>
      </c>
      <c r="AP84" s="2">
        <f>VLOOKUP([jobnumber],OvalData[],MATCH(Table2[[#Headers],[Bottom Slat Length]],Table2[#Headers],0),0)</f>
        <v>0</v>
      </c>
      <c r="AQ84" s="2">
        <f>VLOOKUP([jobnumber],OvalData[],MATCH(Table2[[#Headers],[Number of Perferated Slats]],Table2[#Headers],0),0)</f>
        <v>0</v>
      </c>
      <c r="AR84" s="2">
        <f>VLOOKUP([jobnumber],OvalData[],MATCH(Table2[[#Headers],[First Preferated Slat From End]],Table2[#Headers],0),0)</f>
        <v>0</v>
      </c>
      <c r="AS84" s="2">
        <f>VLOOKUP([jobnumber],OvalData[],MATCH(Table2[[#Headers],[First Preferated Slat From Bottom]],Table2[#Headers],0),0)</f>
        <v>0</v>
      </c>
      <c r="AT84" s="2">
        <f>VLOOKUP([jobnumber],OvalData[],MATCH(Table2[[#Headers],[Total Number of Slats]],Table2[#Headers],0),0)</f>
        <v>51</v>
      </c>
      <c r="AU84" s="2">
        <f>VLOOKUP([jobnumber],OvalData[],MATCH(Table2[[#Headers],[Bottom Bar Slope]],Table2[#Headers],0),0)</f>
        <v>0</v>
      </c>
      <c r="AV84" s="2">
        <f>VLOOKUP([jobnumber],OvalData[],MATCH(Table2[[#Headers],[Bottom Bar Weight]],Table2[#Headers],0),0)</f>
        <v>80.5</v>
      </c>
      <c r="AW84" s="2" t="str">
        <f>VLOOKUP([jobnumber],OvalData[],MATCH(Table2[[#Headers],[Outer Spring Gage]],Table2[#Headers],0),0)</f>
        <v>Null</v>
      </c>
      <c r="AX84" s="2" t="str">
        <f>VLOOKUP([jobnumber],OvalData[],MATCH(Table2[[#Headers],[Outer Spring OD]],Table2[#Headers],0),0)</f>
        <v>Null</v>
      </c>
      <c r="AY84" s="2" t="str">
        <f>VLOOKUP([jobnumber],OvalData[],MATCH(Table2[[#Headers],[Outer Spring Length]],Table2[#Headers],0),0)</f>
        <v>Null</v>
      </c>
      <c r="AZ84" s="2" t="str">
        <f>VLOOKUP([jobnumber],OvalData[],MATCH(Table2[[#Headers],[Outer Spring Stretch]],Table2[#Headers],0),0)</f>
        <v>Null</v>
      </c>
      <c r="BA84" s="2" t="str">
        <f>VLOOKUP([jobnumber],OvalData[],MATCH(Table2[[#Headers],[Outer Spring Torque]],Table2[#Headers],0),0)</f>
        <v>Null</v>
      </c>
      <c r="BB84" s="2" t="str">
        <f>VLOOKUP([jobnumber],OvalData[],MATCH(Table2[[#Headers],[Outer Spring Max Turns]],Table2[#Headers],0),0)</f>
        <v>Null</v>
      </c>
      <c r="BC84" s="2" t="str">
        <f>VLOOKUP([jobnumber],OvalData[],MATCH(Table2[[#Headers],[Outer Spring Weight]],Table2[#Headers],0),0)</f>
        <v>Null</v>
      </c>
      <c r="BD84" s="2" t="str">
        <f>VLOOKUP([jobnumber],OvalData[],MATCH(Table2[[#Headers],[Inner Spring Gage]],Table2[#Headers],0),0)</f>
        <v>Null</v>
      </c>
      <c r="BE84" s="2" t="str">
        <f>VLOOKUP([jobnumber],OvalData[],MATCH(Table2[[#Headers],[Inner Spring OD]],Table2[#Headers],0),0)</f>
        <v>Null</v>
      </c>
      <c r="BF84" s="2" t="str">
        <f>VLOOKUP([jobnumber],OvalData[],MATCH(Table2[[#Headers],[Inner Spring Length]],Table2[#Headers],0),0)</f>
        <v>Null</v>
      </c>
      <c r="BG84" s="2" t="str">
        <f>VLOOKUP([jobnumber],OvalData[],MATCH(Table2[[#Headers],[Inner Spring Stretch]],Table2[#Headers],0),0)</f>
        <v>Null</v>
      </c>
      <c r="BH84" s="2" t="str">
        <f>VLOOKUP([jobnumber],OvalData[],MATCH(Table2[[#Headers],[Inner Spring Torque]],Table2[#Headers],0),0)</f>
        <v>Null</v>
      </c>
      <c r="BI84" s="2" t="str">
        <f>VLOOKUP([jobnumber],OvalData[],MATCH(Table2[[#Headers],[Inner Spring Max Turns]],Table2[#Headers],0),0)</f>
        <v>Null</v>
      </c>
      <c r="BJ84" s="2" t="str">
        <f>VLOOKUP([jobnumber],OvalData[],MATCH(Table2[[#Headers],[Inner Spring Weight]],Table2[#Headers],0),0)</f>
        <v>Null</v>
      </c>
      <c r="BK84" s="2">
        <f>VLOOKUP([jobnumber],OvalData[],MATCH(Table2[[#Headers],[Cycles]],Table2[#Headers],0),0)</f>
        <v>0</v>
      </c>
      <c r="BL84" s="2">
        <f>VLOOKUP([jobnumber],OvalData[],MATCH(Table2[[#Headers],[Total Spring Torque]],Table2[#Headers],0),0)</f>
        <v>0</v>
      </c>
      <c r="BM84" s="2">
        <f>VLOOKUP([jobnumber],OvalData[],MATCH(Table2[[#Headers],[Total Spring Weight]],Table2[#Headers],0),0)</f>
        <v>0</v>
      </c>
      <c r="BN84" s="2">
        <f>VLOOKUP([jobnumber],OvalData[],MATCH(Table2[[#Headers],[Pipe Weight]],Table2[#Headers],0),0)</f>
        <v>688.24239999999998</v>
      </c>
      <c r="BO84" s="2">
        <f>VLOOKUP([jobnumber],OvalData[],MATCH(Table2[[#Headers],[Max Pipe Deflection]],Table2[#Headers],0),0)</f>
        <v>2309</v>
      </c>
      <c r="BP84" s="2">
        <f>VLOOKUP([jobnumber],OvalData[],MATCH(Table2[[#Headers],[Number Non-Insulated Wrap Slats]],Table2[#Headers],0),0)</f>
        <v>0</v>
      </c>
      <c r="BQ84" s="2">
        <f>VLOOKUP([jobnumber],OvalData[],MATCH(Table2[[#Headers],[Number of Insolated Top Slats]],Table2[#Headers],0),0)</f>
        <v>45</v>
      </c>
      <c r="BR84" s="2">
        <f>VLOOKUP([jobnumber],OvalData[],MATCH(Table2[[#Headers],[Insolated Total Slats]],Table2[#Headers],0),0)</f>
        <v>45</v>
      </c>
      <c r="BS84" s="2">
        <f>VLOOKUP([jobnumber],OvalData[],MATCH(Table2[[#Headers],[Number of Slats]],Table2[#Headers],0),0)</f>
        <v>44.69</v>
      </c>
      <c r="BT84" s="2">
        <f>VLOOKUP([jobnumber],OvalData[],MATCH(Table2[[#Headers],[Wrap]],Table2[#Headers],0),0)</f>
        <v>0</v>
      </c>
      <c r="BU84" s="2">
        <f>VLOOKUP([jobnumber],OvalData[],MATCH(Table2[[#Headers],[Wall Angle Thickness]],Table2[#Headers],0),0)</f>
        <v>0</v>
      </c>
      <c r="BV84" s="2">
        <f>VLOOKUP([jobnumber],OvalData[],MATCH(Table2[[#Headers],[windlocks]],Table2[#Headers],0),0)</f>
        <v>0</v>
      </c>
      <c r="BW84" s="2" t="str">
        <f>VLOOKUP([jobnumber],OvalData[],MATCH(Table2[[#Headers],[bottombartype]],Table2[#Headers],0),0)</f>
        <v>SPECIAL</v>
      </c>
      <c r="BX84" s="2">
        <f>VLOOKUP([jobnumber],OvalData[],MATCH(Table2[[#Headers],[endlockweight]],Table2[#Headers],0),0)</f>
        <v>0.17</v>
      </c>
      <c r="BY84" s="2">
        <f>VLOOKUP([jobnumber],OvalData[],MATCH(Table2[[#Headers],[Endlock Total Weight]],Table2[#Headers],0),0)</f>
        <v>7.5972999999999997</v>
      </c>
      <c r="BZ84" s="2">
        <f>VLOOKUP([jobnumber],OvalData[],MATCH(Table2[[#Headers],[Grille Weight]],Table2[#Headers],0),0)</f>
        <v>0</v>
      </c>
      <c r="CA84" s="2">
        <f>VLOOKUP([jobnumber],OvalData[],MATCH(Table2[[#Headers],[barrelrings]],Table2[#Headers],0),0)</f>
        <v>1</v>
      </c>
    </row>
    <row r="85" spans="2:79">
      <c r="B85" s="2" t="str">
        <f>VLOOKUP([jobnumber],OvalData[],MATCH(Table2[[#Headers],[Hand]],Table2[#Headers],0),0)</f>
        <v>RH</v>
      </c>
      <c r="C85" s="2" t="str">
        <f>VLOOKUP([jobnumber],OvalData[],MATCH(Table2[[#Headers],[Model]],Table2[#Headers],0),0)</f>
        <v>SFMPP</v>
      </c>
      <c r="D85" s="2" t="str">
        <f>VLOOKUP([jobnumber],OvalData[],MATCH(Table2[[#Headers],[width]],Table2[#Headers],0),0)</f>
        <v xml:space="preserve"> 18 ft.- 2"</v>
      </c>
      <c r="E85" s="2" t="str">
        <f>VLOOKUP([jobnumber],OvalData[],MATCH(Table2[[#Headers],[stopheight]],Table2[#Headers],0),0)</f>
        <v xml:space="preserve"> 10 ft.- 0"</v>
      </c>
      <c r="F85" s="2" t="str">
        <f>VLOOKUP([jobnumber],OvalData[],MATCH(Table2[[#Headers],[Between Brackets]],Table2[#Headers],0),0)</f>
        <v xml:space="preserve"> 18 ft.- 7 7/ 8"</v>
      </c>
      <c r="G85" s="2" t="str">
        <f>VLOOKUP([jobnumber],OvalData[],MATCH(Table2[[#Headers],[shell]],Table2[#Headers],0),0)</f>
        <v>6 INCH TUBE</v>
      </c>
      <c r="H85" s="2" t="str">
        <f>VLOOKUP([jobnumber],OvalData[],MATCH(Table2[[#Headers],[pipewidth]],Table2[#Headers],0),0)</f>
        <v xml:space="preserve"> 18 ft.- 1 3/ 8"</v>
      </c>
      <c r="I85" s="2">
        <f>VLOOKUP([jobnumber],OvalData[],MATCH(Table2[[#Headers],[Support Tubes]],Table2[#Headers],0),0)</f>
        <v>0</v>
      </c>
      <c r="J85" s="2">
        <f>VLOOKUP([jobnumber],OvalData[],MATCH(Table2[[#Headers],[Upset]],Table2[#Headers],0),0)</f>
        <v>2</v>
      </c>
      <c r="K85" s="2" t="str">
        <f>VLOOKUP([jobnumber],OvalData[],MATCH(Table2[[#Headers],[Guide Type]],Table2[#Headers],0),0)</f>
        <v>SN2-4 5/8-E</v>
      </c>
      <c r="L85" s="2" t="str">
        <f>VLOOKUP([jobnumber],OvalData[],MATCH(Table2[[#Headers],[Wall Angle]],Table2[#Headers],0),0)</f>
        <v xml:space="preserve"> 11 ft.- 8"</v>
      </c>
      <c r="M85" s="2" t="str">
        <f>VLOOKUP([jobnumber],OvalData[],MATCH(Table2[[#Headers],[Middle Angle]],Table2[#Headers],0),0)</f>
        <v xml:space="preserve"> 10 ft.- 4 1/ 2"</v>
      </c>
      <c r="N85" s="2" t="str">
        <f>VLOOKUP([jobnumber],OvalData[],MATCH(Table2[[#Headers],[Front Angle]],Table2[#Headers],0),0)</f>
        <v xml:space="preserve"> 10 ft.- 3"</v>
      </c>
      <c r="O85" s="2">
        <f>VLOOKUP([jobnumber],OvalData[],MATCH(Table2[[#Headers],[Pipe Center Line]],Table2[#Headers],0),0)</f>
        <v>131</v>
      </c>
      <c r="P85" s="2">
        <f>VLOOKUP([jobnumber],OvalData[],MATCH(Table2[[#Headers],[Heat Expansion Gap]],Table2[#Headers],0),0)</f>
        <v>0</v>
      </c>
      <c r="Q85" s="2">
        <f>VLOOKUP([jobnumber],OvalData[],MATCH(Table2[[#Headers],[Hanging Weight Closed]],Table2[#Headers],0),0)</f>
        <v>795</v>
      </c>
      <c r="R85" s="2">
        <f>VLOOKUP([jobnumber],OvalData[],MATCH(Table2[[#Headers],[Hanging Weight Open]],Table2[#Headers],0),0)</f>
        <v>140</v>
      </c>
      <c r="S85" s="2">
        <f>VLOOKUP([jobnumber],OvalData[],MATCH(Table2[[#Headers],[Initial Lever Arm]],Table2[#Headers],0),0)</f>
        <v>4.25</v>
      </c>
      <c r="T85" s="2">
        <f>VLOOKUP([jobnumber],OvalData[],MATCH(Table2[[#Headers],[Turns to Raise]],Table2[#Headers],0),0)</f>
        <v>3.5859999999999999</v>
      </c>
      <c r="U85" s="2">
        <f>VLOOKUP([jobnumber],OvalData[],MATCH(Table2[[#Headers],[Final Lever Arm]],Table2[#Headers],0),0)</f>
        <v>6.37</v>
      </c>
      <c r="V85" s="2">
        <f>VLOOKUP([jobnumber],OvalData[],MATCH(Table2[[#Headers],[Torque Required Closed]],Table2[#Headers],0),0)</f>
        <v>3377.9</v>
      </c>
      <c r="W85" s="2">
        <f>VLOOKUP([jobnumber],OvalData[],MATCH(Table2[[#Headers],[Torque Required Open]],Table2[#Headers],0),0)</f>
        <v>892</v>
      </c>
      <c r="X85" s="2">
        <f>VLOOKUP([jobnumber],OvalData[],MATCH(Table2[[#Headers],[Pre Turns]],Table2[#Headers],0),0)</f>
        <v>1.3332999999999999</v>
      </c>
      <c r="Y85" s="2">
        <f>VLOOKUP([jobnumber],OvalData[],MATCH(Table2[[#Headers],[Required Torque Per Turn]],Table2[#Headers],0),0)</f>
        <v>688</v>
      </c>
      <c r="Z85" s="2">
        <f>VLOOKUP([jobnumber],OvalData[],MATCH(Table2[[#Headers],[Total Turns]],Table2[#Headers],0),0)</f>
        <v>4.91</v>
      </c>
      <c r="AA85" s="2">
        <f>VLOOKUP([jobnumber],OvalData[],MATCH(Table2[[#Headers],[Grille Vision Section]],Table2[#Headers],0),0)</f>
        <v>0</v>
      </c>
      <c r="AB85" s="2">
        <f>VLOOKUP([jobnumber],OvalData[],MATCH(Table2[[#Headers],[Grille Amount]],Table2[#Headers],0),0)</f>
        <v>0</v>
      </c>
      <c r="AC85" s="2">
        <f>VLOOKUP([jobnumber],OvalData[],MATCH(Table2[[#Headers],[Grille Center]],Table2[#Headers],0),0)</f>
        <v>0</v>
      </c>
      <c r="AD85" s="2">
        <f>VLOOKUP([jobnumber],OvalData[],MATCH(Table2[[#Headers],[Grille Pattern]],Table2[#Headers],0),0)</f>
        <v>0</v>
      </c>
      <c r="AE85" s="2">
        <f>VLOOKUP([jobnumber],OvalData[],MATCH(Table2[[#Headers],[Grille First Tube]],Table2[#Headers],0),0)</f>
        <v>0</v>
      </c>
      <c r="AF85" s="2">
        <f>VLOOKUP([jobnumber],OvalData[],MATCH(Table2[[#Headers],[Grille Standard Tube]],Table2[#Headers],0),0)</f>
        <v>0</v>
      </c>
      <c r="AG85" s="2">
        <f>VLOOKUP([jobnumber],OvalData[],MATCH(Table2[[#Headers],[Grille Total Links]],Table2[#Headers],0),0)</f>
        <v>0</v>
      </c>
      <c r="AH85" s="2">
        <f>VLOOKUP([jobnumber],OvalData[],MATCH(Table2[[#Headers],[Grille Rods]],Table2[#Headers],0),0)</f>
        <v>0</v>
      </c>
      <c r="AI85" s="2">
        <f>VLOOKUP([jobnumber],OvalData[],MATCH(Table2[[#Headers],[Grille Rod Length]],Table2[#Headers],0),0)</f>
        <v>0</v>
      </c>
      <c r="AJ85" s="2">
        <f>VLOOKUP([jobnumber],OvalData[],MATCH(Table2[[#Headers],[slattype]],Table2[#Headers],0),0)</f>
        <v>2</v>
      </c>
      <c r="AK85" s="2">
        <f>VLOOKUP([jobnumber],OvalData[],MATCH(Table2[[#Headers],[slatgage]],Table2[#Headers],0),0)</f>
        <v>18</v>
      </c>
      <c r="AL85" s="2">
        <f>VLOOKUP([jobnumber],OvalData[],MATCH(Table2[[#Headers],[Numer of Top Slats]],Table2[#Headers],0),0)</f>
        <v>0</v>
      </c>
      <c r="AM85" s="2">
        <f>VLOOKUP([jobnumber],OvalData[],MATCH(Table2[[#Headers],[Number of Bottom Slats]],Table2[#Headers],0),0)</f>
        <v>0</v>
      </c>
      <c r="AN85" s="2">
        <f>VLOOKUP([jobnumber],OvalData[],MATCH(Table2[[#Headers],[Solid Bottom Height]],Table2[#Headers],0),0)</f>
        <v>0</v>
      </c>
      <c r="AO85" s="2" t="str">
        <f>VLOOKUP([jobnumber],OvalData[],MATCH(Table2[[#Headers],[slatlength]],Table2[#Headers],0),0)</f>
        <v xml:space="preserve"> 18 ft.- 5 7/ 8"</v>
      </c>
      <c r="AP85" s="2">
        <f>VLOOKUP([jobnumber],OvalData[],MATCH(Table2[[#Headers],[Bottom Slat Length]],Table2[#Headers],0),0)</f>
        <v>0</v>
      </c>
      <c r="AQ85" s="2">
        <f>VLOOKUP([jobnumber],OvalData[],MATCH(Table2[[#Headers],[Number of Perferated Slats]],Table2[#Headers],0),0)</f>
        <v>0</v>
      </c>
      <c r="AR85" s="2">
        <f>VLOOKUP([jobnumber],OvalData[],MATCH(Table2[[#Headers],[First Preferated Slat From End]],Table2[#Headers],0),0)</f>
        <v>0</v>
      </c>
      <c r="AS85" s="2">
        <f>VLOOKUP([jobnumber],OvalData[],MATCH(Table2[[#Headers],[First Preferated Slat From Bottom]],Table2[#Headers],0),0)</f>
        <v>0</v>
      </c>
      <c r="AT85" s="2">
        <f>VLOOKUP([jobnumber],OvalData[],MATCH(Table2[[#Headers],[Total Number of Slats]],Table2[#Headers],0),0)</f>
        <v>51</v>
      </c>
      <c r="AU85" s="2">
        <f>VLOOKUP([jobnumber],OvalData[],MATCH(Table2[[#Headers],[Bottom Bar Slope]],Table2[#Headers],0),0)</f>
        <v>0</v>
      </c>
      <c r="AV85" s="2">
        <f>VLOOKUP([jobnumber],OvalData[],MATCH(Table2[[#Headers],[Bottom Bar Weight]],Table2[#Headers],0),0)</f>
        <v>80.5</v>
      </c>
      <c r="AW85" s="2" t="str">
        <f>VLOOKUP([jobnumber],OvalData[],MATCH(Table2[[#Headers],[Outer Spring Gage]],Table2[#Headers],0),0)</f>
        <v>Null</v>
      </c>
      <c r="AX85" s="2" t="str">
        <f>VLOOKUP([jobnumber],OvalData[],MATCH(Table2[[#Headers],[Outer Spring OD]],Table2[#Headers],0),0)</f>
        <v>Null</v>
      </c>
      <c r="AY85" s="2" t="str">
        <f>VLOOKUP([jobnumber],OvalData[],MATCH(Table2[[#Headers],[Outer Spring Length]],Table2[#Headers],0),0)</f>
        <v>Null</v>
      </c>
      <c r="AZ85" s="2" t="str">
        <f>VLOOKUP([jobnumber],OvalData[],MATCH(Table2[[#Headers],[Outer Spring Stretch]],Table2[#Headers],0),0)</f>
        <v>Null</v>
      </c>
      <c r="BA85" s="2" t="str">
        <f>VLOOKUP([jobnumber],OvalData[],MATCH(Table2[[#Headers],[Outer Spring Torque]],Table2[#Headers],0),0)</f>
        <v>Null</v>
      </c>
      <c r="BB85" s="2" t="str">
        <f>VLOOKUP([jobnumber],OvalData[],MATCH(Table2[[#Headers],[Outer Spring Max Turns]],Table2[#Headers],0),0)</f>
        <v>Null</v>
      </c>
      <c r="BC85" s="2" t="str">
        <f>VLOOKUP([jobnumber],OvalData[],MATCH(Table2[[#Headers],[Outer Spring Weight]],Table2[#Headers],0),0)</f>
        <v>Null</v>
      </c>
      <c r="BD85" s="2" t="str">
        <f>VLOOKUP([jobnumber],OvalData[],MATCH(Table2[[#Headers],[Inner Spring Gage]],Table2[#Headers],0),0)</f>
        <v>Null</v>
      </c>
      <c r="BE85" s="2" t="str">
        <f>VLOOKUP([jobnumber],OvalData[],MATCH(Table2[[#Headers],[Inner Spring OD]],Table2[#Headers],0),0)</f>
        <v>Null</v>
      </c>
      <c r="BF85" s="2" t="str">
        <f>VLOOKUP([jobnumber],OvalData[],MATCH(Table2[[#Headers],[Inner Spring Length]],Table2[#Headers],0),0)</f>
        <v>Null</v>
      </c>
      <c r="BG85" s="2" t="str">
        <f>VLOOKUP([jobnumber],OvalData[],MATCH(Table2[[#Headers],[Inner Spring Stretch]],Table2[#Headers],0),0)</f>
        <v>Null</v>
      </c>
      <c r="BH85" s="2" t="str">
        <f>VLOOKUP([jobnumber],OvalData[],MATCH(Table2[[#Headers],[Inner Spring Torque]],Table2[#Headers],0),0)</f>
        <v>Null</v>
      </c>
      <c r="BI85" s="2" t="str">
        <f>VLOOKUP([jobnumber],OvalData[],MATCH(Table2[[#Headers],[Inner Spring Max Turns]],Table2[#Headers],0),0)</f>
        <v>Null</v>
      </c>
      <c r="BJ85" s="2" t="str">
        <f>VLOOKUP([jobnumber],OvalData[],MATCH(Table2[[#Headers],[Inner Spring Weight]],Table2[#Headers],0),0)</f>
        <v>Null</v>
      </c>
      <c r="BK85" s="2">
        <f>VLOOKUP([jobnumber],OvalData[],MATCH(Table2[[#Headers],[Cycles]],Table2[#Headers],0),0)</f>
        <v>0</v>
      </c>
      <c r="BL85" s="2">
        <f>VLOOKUP([jobnumber],OvalData[],MATCH(Table2[[#Headers],[Total Spring Torque]],Table2[#Headers],0),0)</f>
        <v>0</v>
      </c>
      <c r="BM85" s="2">
        <f>VLOOKUP([jobnumber],OvalData[],MATCH(Table2[[#Headers],[Total Spring Weight]],Table2[#Headers],0),0)</f>
        <v>0</v>
      </c>
      <c r="BN85" s="2">
        <f>VLOOKUP([jobnumber],OvalData[],MATCH(Table2[[#Headers],[Pipe Weight]],Table2[#Headers],0),0)</f>
        <v>688.24239999999998</v>
      </c>
      <c r="BO85" s="2">
        <f>VLOOKUP([jobnumber],OvalData[],MATCH(Table2[[#Headers],[Max Pipe Deflection]],Table2[#Headers],0),0)</f>
        <v>2309</v>
      </c>
      <c r="BP85" s="2">
        <f>VLOOKUP([jobnumber],OvalData[],MATCH(Table2[[#Headers],[Number Non-Insulated Wrap Slats]],Table2[#Headers],0),0)</f>
        <v>0</v>
      </c>
      <c r="BQ85" s="2">
        <f>VLOOKUP([jobnumber],OvalData[],MATCH(Table2[[#Headers],[Number of Insolated Top Slats]],Table2[#Headers],0),0)</f>
        <v>45</v>
      </c>
      <c r="BR85" s="2">
        <f>VLOOKUP([jobnumber],OvalData[],MATCH(Table2[[#Headers],[Insolated Total Slats]],Table2[#Headers],0),0)</f>
        <v>45</v>
      </c>
      <c r="BS85" s="2">
        <f>VLOOKUP([jobnumber],OvalData[],MATCH(Table2[[#Headers],[Number of Slats]],Table2[#Headers],0),0)</f>
        <v>44.69</v>
      </c>
      <c r="BT85" s="2">
        <f>VLOOKUP([jobnumber],OvalData[],MATCH(Table2[[#Headers],[Wrap]],Table2[#Headers],0),0)</f>
        <v>0</v>
      </c>
      <c r="BU85" s="2">
        <f>VLOOKUP([jobnumber],OvalData[],MATCH(Table2[[#Headers],[Wall Angle Thickness]],Table2[#Headers],0),0)</f>
        <v>0</v>
      </c>
      <c r="BV85" s="2">
        <f>VLOOKUP([jobnumber],OvalData[],MATCH(Table2[[#Headers],[windlocks]],Table2[#Headers],0),0)</f>
        <v>0</v>
      </c>
      <c r="BW85" s="2" t="str">
        <f>VLOOKUP([jobnumber],OvalData[],MATCH(Table2[[#Headers],[bottombartype]],Table2[#Headers],0),0)</f>
        <v>SPECIAL</v>
      </c>
      <c r="BX85" s="2">
        <f>VLOOKUP([jobnumber],OvalData[],MATCH(Table2[[#Headers],[endlockweight]],Table2[#Headers],0),0)</f>
        <v>0.17</v>
      </c>
      <c r="BY85" s="2">
        <f>VLOOKUP([jobnumber],OvalData[],MATCH(Table2[[#Headers],[Endlock Total Weight]],Table2[#Headers],0),0)</f>
        <v>7.5972999999999997</v>
      </c>
      <c r="BZ85" s="2">
        <f>VLOOKUP([jobnumber],OvalData[],MATCH(Table2[[#Headers],[Grille Weight]],Table2[#Headers],0),0)</f>
        <v>0</v>
      </c>
      <c r="CA85" s="2">
        <f>VLOOKUP([jobnumber],OvalData[],MATCH(Table2[[#Headers],[barrelrings]],Table2[#Headers],0),0)</f>
        <v>1</v>
      </c>
    </row>
    <row r="86" spans="2:79">
      <c r="B86" s="2" t="str">
        <f>VLOOKUP([jobnumber],OvalData[],MATCH(Table2[[#Headers],[Hand]],Table2[#Headers],0),0)</f>
        <v>RH</v>
      </c>
      <c r="C86" s="2" t="str">
        <f>VLOOKUP([jobnumber],OvalData[],MATCH(Table2[[#Headers],[Model]],Table2[#Headers],0),0)</f>
        <v>SFMPP</v>
      </c>
      <c r="D86" s="2" t="str">
        <f>VLOOKUP([jobnumber],OvalData[],MATCH(Table2[[#Headers],[width]],Table2[#Headers],0),0)</f>
        <v xml:space="preserve"> 18 ft.- 2"</v>
      </c>
      <c r="E86" s="2" t="str">
        <f>VLOOKUP([jobnumber],OvalData[],MATCH(Table2[[#Headers],[stopheight]],Table2[#Headers],0),0)</f>
        <v xml:space="preserve"> 10 ft.- 0"</v>
      </c>
      <c r="F86" s="2" t="str">
        <f>VLOOKUP([jobnumber],OvalData[],MATCH(Table2[[#Headers],[Between Brackets]],Table2[#Headers],0),0)</f>
        <v xml:space="preserve"> 18 ft.- 7 7/ 8"</v>
      </c>
      <c r="G86" s="2" t="str">
        <f>VLOOKUP([jobnumber],OvalData[],MATCH(Table2[[#Headers],[shell]],Table2[#Headers],0),0)</f>
        <v>6 INCH TUBE</v>
      </c>
      <c r="H86" s="2" t="str">
        <f>VLOOKUP([jobnumber],OvalData[],MATCH(Table2[[#Headers],[pipewidth]],Table2[#Headers],0),0)</f>
        <v xml:space="preserve"> 18 ft.- 1 3/ 8"</v>
      </c>
      <c r="I86" s="2">
        <f>VLOOKUP([jobnumber],OvalData[],MATCH(Table2[[#Headers],[Support Tubes]],Table2[#Headers],0),0)</f>
        <v>0</v>
      </c>
      <c r="J86" s="2">
        <f>VLOOKUP([jobnumber],OvalData[],MATCH(Table2[[#Headers],[Upset]],Table2[#Headers],0),0)</f>
        <v>2</v>
      </c>
      <c r="K86" s="2" t="str">
        <f>VLOOKUP([jobnumber],OvalData[],MATCH(Table2[[#Headers],[Guide Type]],Table2[#Headers],0),0)</f>
        <v>SN2-4 5/8-E</v>
      </c>
      <c r="L86" s="2" t="str">
        <f>VLOOKUP([jobnumber],OvalData[],MATCH(Table2[[#Headers],[Wall Angle]],Table2[#Headers],0),0)</f>
        <v xml:space="preserve"> 11 ft.- 8"</v>
      </c>
      <c r="M86" s="2" t="str">
        <f>VLOOKUP([jobnumber],OvalData[],MATCH(Table2[[#Headers],[Middle Angle]],Table2[#Headers],0),0)</f>
        <v xml:space="preserve"> 10 ft.- 4 1/ 2"</v>
      </c>
      <c r="N86" s="2" t="str">
        <f>VLOOKUP([jobnumber],OvalData[],MATCH(Table2[[#Headers],[Front Angle]],Table2[#Headers],0),0)</f>
        <v xml:space="preserve"> 10 ft.- 3"</v>
      </c>
      <c r="O86" s="2">
        <f>VLOOKUP([jobnumber],OvalData[],MATCH(Table2[[#Headers],[Pipe Center Line]],Table2[#Headers],0),0)</f>
        <v>131</v>
      </c>
      <c r="P86" s="2">
        <f>VLOOKUP([jobnumber],OvalData[],MATCH(Table2[[#Headers],[Heat Expansion Gap]],Table2[#Headers],0),0)</f>
        <v>0</v>
      </c>
      <c r="Q86" s="2">
        <f>VLOOKUP([jobnumber],OvalData[],MATCH(Table2[[#Headers],[Hanging Weight Closed]],Table2[#Headers],0),0)</f>
        <v>795</v>
      </c>
      <c r="R86" s="2">
        <f>VLOOKUP([jobnumber],OvalData[],MATCH(Table2[[#Headers],[Hanging Weight Open]],Table2[#Headers],0),0)</f>
        <v>140</v>
      </c>
      <c r="S86" s="2">
        <f>VLOOKUP([jobnumber],OvalData[],MATCH(Table2[[#Headers],[Initial Lever Arm]],Table2[#Headers],0),0)</f>
        <v>4.25</v>
      </c>
      <c r="T86" s="2">
        <f>VLOOKUP([jobnumber],OvalData[],MATCH(Table2[[#Headers],[Turns to Raise]],Table2[#Headers],0),0)</f>
        <v>3.5859999999999999</v>
      </c>
      <c r="U86" s="2">
        <f>VLOOKUP([jobnumber],OvalData[],MATCH(Table2[[#Headers],[Final Lever Arm]],Table2[#Headers],0),0)</f>
        <v>6.37</v>
      </c>
      <c r="V86" s="2">
        <f>VLOOKUP([jobnumber],OvalData[],MATCH(Table2[[#Headers],[Torque Required Closed]],Table2[#Headers],0),0)</f>
        <v>3377.9</v>
      </c>
      <c r="W86" s="2">
        <f>VLOOKUP([jobnumber],OvalData[],MATCH(Table2[[#Headers],[Torque Required Open]],Table2[#Headers],0),0)</f>
        <v>892</v>
      </c>
      <c r="X86" s="2">
        <f>VLOOKUP([jobnumber],OvalData[],MATCH(Table2[[#Headers],[Pre Turns]],Table2[#Headers],0),0)</f>
        <v>1.3332999999999999</v>
      </c>
      <c r="Y86" s="2">
        <f>VLOOKUP([jobnumber],OvalData[],MATCH(Table2[[#Headers],[Required Torque Per Turn]],Table2[#Headers],0),0)</f>
        <v>688</v>
      </c>
      <c r="Z86" s="2">
        <f>VLOOKUP([jobnumber],OvalData[],MATCH(Table2[[#Headers],[Total Turns]],Table2[#Headers],0),0)</f>
        <v>4.91</v>
      </c>
      <c r="AA86" s="2">
        <f>VLOOKUP([jobnumber],OvalData[],MATCH(Table2[[#Headers],[Grille Vision Section]],Table2[#Headers],0),0)</f>
        <v>0</v>
      </c>
      <c r="AB86" s="2">
        <f>VLOOKUP([jobnumber],OvalData[],MATCH(Table2[[#Headers],[Grille Amount]],Table2[#Headers],0),0)</f>
        <v>0</v>
      </c>
      <c r="AC86" s="2">
        <f>VLOOKUP([jobnumber],OvalData[],MATCH(Table2[[#Headers],[Grille Center]],Table2[#Headers],0),0)</f>
        <v>0</v>
      </c>
      <c r="AD86" s="2">
        <f>VLOOKUP([jobnumber],OvalData[],MATCH(Table2[[#Headers],[Grille Pattern]],Table2[#Headers],0),0)</f>
        <v>0</v>
      </c>
      <c r="AE86" s="2">
        <f>VLOOKUP([jobnumber],OvalData[],MATCH(Table2[[#Headers],[Grille First Tube]],Table2[#Headers],0),0)</f>
        <v>0</v>
      </c>
      <c r="AF86" s="2">
        <f>VLOOKUP([jobnumber],OvalData[],MATCH(Table2[[#Headers],[Grille Standard Tube]],Table2[#Headers],0),0)</f>
        <v>0</v>
      </c>
      <c r="AG86" s="2">
        <f>VLOOKUP([jobnumber],OvalData[],MATCH(Table2[[#Headers],[Grille Total Links]],Table2[#Headers],0),0)</f>
        <v>0</v>
      </c>
      <c r="AH86" s="2">
        <f>VLOOKUP([jobnumber],OvalData[],MATCH(Table2[[#Headers],[Grille Rods]],Table2[#Headers],0),0)</f>
        <v>0</v>
      </c>
      <c r="AI86" s="2">
        <f>VLOOKUP([jobnumber],OvalData[],MATCH(Table2[[#Headers],[Grille Rod Length]],Table2[#Headers],0),0)</f>
        <v>0</v>
      </c>
      <c r="AJ86" s="2">
        <f>VLOOKUP([jobnumber],OvalData[],MATCH(Table2[[#Headers],[slattype]],Table2[#Headers],0),0)</f>
        <v>2</v>
      </c>
      <c r="AK86" s="2">
        <f>VLOOKUP([jobnumber],OvalData[],MATCH(Table2[[#Headers],[slatgage]],Table2[#Headers],0),0)</f>
        <v>18</v>
      </c>
      <c r="AL86" s="2">
        <f>VLOOKUP([jobnumber],OvalData[],MATCH(Table2[[#Headers],[Numer of Top Slats]],Table2[#Headers],0),0)</f>
        <v>0</v>
      </c>
      <c r="AM86" s="2">
        <f>VLOOKUP([jobnumber],OvalData[],MATCH(Table2[[#Headers],[Number of Bottom Slats]],Table2[#Headers],0),0)</f>
        <v>0</v>
      </c>
      <c r="AN86" s="2">
        <f>VLOOKUP([jobnumber],OvalData[],MATCH(Table2[[#Headers],[Solid Bottom Height]],Table2[#Headers],0),0)</f>
        <v>0</v>
      </c>
      <c r="AO86" s="2" t="str">
        <f>VLOOKUP([jobnumber],OvalData[],MATCH(Table2[[#Headers],[slatlength]],Table2[#Headers],0),0)</f>
        <v xml:space="preserve"> 18 ft.- 5 7/ 8"</v>
      </c>
      <c r="AP86" s="2">
        <f>VLOOKUP([jobnumber],OvalData[],MATCH(Table2[[#Headers],[Bottom Slat Length]],Table2[#Headers],0),0)</f>
        <v>0</v>
      </c>
      <c r="AQ86" s="2">
        <f>VLOOKUP([jobnumber],OvalData[],MATCH(Table2[[#Headers],[Number of Perferated Slats]],Table2[#Headers],0),0)</f>
        <v>0</v>
      </c>
      <c r="AR86" s="2">
        <f>VLOOKUP([jobnumber],OvalData[],MATCH(Table2[[#Headers],[First Preferated Slat From End]],Table2[#Headers],0),0)</f>
        <v>0</v>
      </c>
      <c r="AS86" s="2">
        <f>VLOOKUP([jobnumber],OvalData[],MATCH(Table2[[#Headers],[First Preferated Slat From Bottom]],Table2[#Headers],0),0)</f>
        <v>0</v>
      </c>
      <c r="AT86" s="2">
        <f>VLOOKUP([jobnumber],OvalData[],MATCH(Table2[[#Headers],[Total Number of Slats]],Table2[#Headers],0),0)</f>
        <v>51</v>
      </c>
      <c r="AU86" s="2">
        <f>VLOOKUP([jobnumber],OvalData[],MATCH(Table2[[#Headers],[Bottom Bar Slope]],Table2[#Headers],0),0)</f>
        <v>0</v>
      </c>
      <c r="AV86" s="2">
        <f>VLOOKUP([jobnumber],OvalData[],MATCH(Table2[[#Headers],[Bottom Bar Weight]],Table2[#Headers],0),0)</f>
        <v>80.5</v>
      </c>
      <c r="AW86" s="2" t="str">
        <f>VLOOKUP([jobnumber],OvalData[],MATCH(Table2[[#Headers],[Outer Spring Gage]],Table2[#Headers],0),0)</f>
        <v>Null</v>
      </c>
      <c r="AX86" s="2" t="str">
        <f>VLOOKUP([jobnumber],OvalData[],MATCH(Table2[[#Headers],[Outer Spring OD]],Table2[#Headers],0),0)</f>
        <v>Null</v>
      </c>
      <c r="AY86" s="2" t="str">
        <f>VLOOKUP([jobnumber],OvalData[],MATCH(Table2[[#Headers],[Outer Spring Length]],Table2[#Headers],0),0)</f>
        <v>Null</v>
      </c>
      <c r="AZ86" s="2" t="str">
        <f>VLOOKUP([jobnumber],OvalData[],MATCH(Table2[[#Headers],[Outer Spring Stretch]],Table2[#Headers],0),0)</f>
        <v>Null</v>
      </c>
      <c r="BA86" s="2" t="str">
        <f>VLOOKUP([jobnumber],OvalData[],MATCH(Table2[[#Headers],[Outer Spring Torque]],Table2[#Headers],0),0)</f>
        <v>Null</v>
      </c>
      <c r="BB86" s="2" t="str">
        <f>VLOOKUP([jobnumber],OvalData[],MATCH(Table2[[#Headers],[Outer Spring Max Turns]],Table2[#Headers],0),0)</f>
        <v>Null</v>
      </c>
      <c r="BC86" s="2" t="str">
        <f>VLOOKUP([jobnumber],OvalData[],MATCH(Table2[[#Headers],[Outer Spring Weight]],Table2[#Headers],0),0)</f>
        <v>Null</v>
      </c>
      <c r="BD86" s="2" t="str">
        <f>VLOOKUP([jobnumber],OvalData[],MATCH(Table2[[#Headers],[Inner Spring Gage]],Table2[#Headers],0),0)</f>
        <v>Null</v>
      </c>
      <c r="BE86" s="2" t="str">
        <f>VLOOKUP([jobnumber],OvalData[],MATCH(Table2[[#Headers],[Inner Spring OD]],Table2[#Headers],0),0)</f>
        <v>Null</v>
      </c>
      <c r="BF86" s="2" t="str">
        <f>VLOOKUP([jobnumber],OvalData[],MATCH(Table2[[#Headers],[Inner Spring Length]],Table2[#Headers],0),0)</f>
        <v>Null</v>
      </c>
      <c r="BG86" s="2" t="str">
        <f>VLOOKUP([jobnumber],OvalData[],MATCH(Table2[[#Headers],[Inner Spring Stretch]],Table2[#Headers],0),0)</f>
        <v>Null</v>
      </c>
      <c r="BH86" s="2" t="str">
        <f>VLOOKUP([jobnumber],OvalData[],MATCH(Table2[[#Headers],[Inner Spring Torque]],Table2[#Headers],0),0)</f>
        <v>Null</v>
      </c>
      <c r="BI86" s="2" t="str">
        <f>VLOOKUP([jobnumber],OvalData[],MATCH(Table2[[#Headers],[Inner Spring Max Turns]],Table2[#Headers],0),0)</f>
        <v>Null</v>
      </c>
      <c r="BJ86" s="2" t="str">
        <f>VLOOKUP([jobnumber],OvalData[],MATCH(Table2[[#Headers],[Inner Spring Weight]],Table2[#Headers],0),0)</f>
        <v>Null</v>
      </c>
      <c r="BK86" s="2">
        <f>VLOOKUP([jobnumber],OvalData[],MATCH(Table2[[#Headers],[Cycles]],Table2[#Headers],0),0)</f>
        <v>0</v>
      </c>
      <c r="BL86" s="2">
        <f>VLOOKUP([jobnumber],OvalData[],MATCH(Table2[[#Headers],[Total Spring Torque]],Table2[#Headers],0),0)</f>
        <v>0</v>
      </c>
      <c r="BM86" s="2">
        <f>VLOOKUP([jobnumber],OvalData[],MATCH(Table2[[#Headers],[Total Spring Weight]],Table2[#Headers],0),0)</f>
        <v>0</v>
      </c>
      <c r="BN86" s="2">
        <f>VLOOKUP([jobnumber],OvalData[],MATCH(Table2[[#Headers],[Pipe Weight]],Table2[#Headers],0),0)</f>
        <v>688.24239999999998</v>
      </c>
      <c r="BO86" s="2">
        <f>VLOOKUP([jobnumber],OvalData[],MATCH(Table2[[#Headers],[Max Pipe Deflection]],Table2[#Headers],0),0)</f>
        <v>2309</v>
      </c>
      <c r="BP86" s="2">
        <f>VLOOKUP([jobnumber],OvalData[],MATCH(Table2[[#Headers],[Number Non-Insulated Wrap Slats]],Table2[#Headers],0),0)</f>
        <v>0</v>
      </c>
      <c r="BQ86" s="2">
        <f>VLOOKUP([jobnumber],OvalData[],MATCH(Table2[[#Headers],[Number of Insolated Top Slats]],Table2[#Headers],0),0)</f>
        <v>45</v>
      </c>
      <c r="BR86" s="2">
        <f>VLOOKUP([jobnumber],OvalData[],MATCH(Table2[[#Headers],[Insolated Total Slats]],Table2[#Headers],0),0)</f>
        <v>45</v>
      </c>
      <c r="BS86" s="2">
        <f>VLOOKUP([jobnumber],OvalData[],MATCH(Table2[[#Headers],[Number of Slats]],Table2[#Headers],0),0)</f>
        <v>44.69</v>
      </c>
      <c r="BT86" s="2">
        <f>VLOOKUP([jobnumber],OvalData[],MATCH(Table2[[#Headers],[Wrap]],Table2[#Headers],0),0)</f>
        <v>0</v>
      </c>
      <c r="BU86" s="2">
        <f>VLOOKUP([jobnumber],OvalData[],MATCH(Table2[[#Headers],[Wall Angle Thickness]],Table2[#Headers],0),0)</f>
        <v>0</v>
      </c>
      <c r="BV86" s="2">
        <f>VLOOKUP([jobnumber],OvalData[],MATCH(Table2[[#Headers],[windlocks]],Table2[#Headers],0),0)</f>
        <v>0</v>
      </c>
      <c r="BW86" s="2" t="str">
        <f>VLOOKUP([jobnumber],OvalData[],MATCH(Table2[[#Headers],[bottombartype]],Table2[#Headers],0),0)</f>
        <v>SPECIAL</v>
      </c>
      <c r="BX86" s="2">
        <f>VLOOKUP([jobnumber],OvalData[],MATCH(Table2[[#Headers],[endlockweight]],Table2[#Headers],0),0)</f>
        <v>0.17</v>
      </c>
      <c r="BY86" s="2">
        <f>VLOOKUP([jobnumber],OvalData[],MATCH(Table2[[#Headers],[Endlock Total Weight]],Table2[#Headers],0),0)</f>
        <v>7.5972999999999997</v>
      </c>
      <c r="BZ86" s="2">
        <f>VLOOKUP([jobnumber],OvalData[],MATCH(Table2[[#Headers],[Grille Weight]],Table2[#Headers],0),0)</f>
        <v>0</v>
      </c>
      <c r="CA86" s="2">
        <f>VLOOKUP([jobnumber],OvalData[],MATCH(Table2[[#Headers],[barrelrings]],Table2[#Headers],0),0)</f>
        <v>1</v>
      </c>
    </row>
    <row r="87" spans="2:79">
      <c r="B87" s="2" t="str">
        <f>VLOOKUP([jobnumber],OvalData[],MATCH(Table2[[#Headers],[Hand]],Table2[#Headers],0),0)</f>
        <v>RH</v>
      </c>
      <c r="C87" s="2" t="str">
        <f>VLOOKUP([jobnumber],OvalData[],MATCH(Table2[[#Headers],[Model]],Table2[#Headers],0),0)</f>
        <v>SFMPP</v>
      </c>
      <c r="D87" s="2" t="str">
        <f>VLOOKUP([jobnumber],OvalData[],MATCH(Table2[[#Headers],[width]],Table2[#Headers],0),0)</f>
        <v xml:space="preserve"> 18 ft.- 2"</v>
      </c>
      <c r="E87" s="2" t="str">
        <f>VLOOKUP([jobnumber],OvalData[],MATCH(Table2[[#Headers],[stopheight]],Table2[#Headers],0),0)</f>
        <v xml:space="preserve"> 10 ft.- 0"</v>
      </c>
      <c r="F87" s="2" t="str">
        <f>VLOOKUP([jobnumber],OvalData[],MATCH(Table2[[#Headers],[Between Brackets]],Table2[#Headers],0),0)</f>
        <v xml:space="preserve"> 18 ft.- 7 7/ 8"</v>
      </c>
      <c r="G87" s="2" t="str">
        <f>VLOOKUP([jobnumber],OvalData[],MATCH(Table2[[#Headers],[shell]],Table2[#Headers],0),0)</f>
        <v>6 INCH TUBE</v>
      </c>
      <c r="H87" s="2" t="str">
        <f>VLOOKUP([jobnumber],OvalData[],MATCH(Table2[[#Headers],[pipewidth]],Table2[#Headers],0),0)</f>
        <v xml:space="preserve"> 18 ft.- 1 3/ 8"</v>
      </c>
      <c r="I87" s="2">
        <f>VLOOKUP([jobnumber],OvalData[],MATCH(Table2[[#Headers],[Support Tubes]],Table2[#Headers],0),0)</f>
        <v>0</v>
      </c>
      <c r="J87" s="2">
        <f>VLOOKUP([jobnumber],OvalData[],MATCH(Table2[[#Headers],[Upset]],Table2[#Headers],0),0)</f>
        <v>2</v>
      </c>
      <c r="K87" s="2" t="str">
        <f>VLOOKUP([jobnumber],OvalData[],MATCH(Table2[[#Headers],[Guide Type]],Table2[#Headers],0),0)</f>
        <v>SN2-4 5/8-E</v>
      </c>
      <c r="L87" s="2" t="str">
        <f>VLOOKUP([jobnumber],OvalData[],MATCH(Table2[[#Headers],[Wall Angle]],Table2[#Headers],0),0)</f>
        <v xml:space="preserve"> 11 ft.- 8"</v>
      </c>
      <c r="M87" s="2" t="str">
        <f>VLOOKUP([jobnumber],OvalData[],MATCH(Table2[[#Headers],[Middle Angle]],Table2[#Headers],0),0)</f>
        <v xml:space="preserve"> 10 ft.- 4 1/ 2"</v>
      </c>
      <c r="N87" s="2" t="str">
        <f>VLOOKUP([jobnumber],OvalData[],MATCH(Table2[[#Headers],[Front Angle]],Table2[#Headers],0),0)</f>
        <v xml:space="preserve"> 10 ft.- 3"</v>
      </c>
      <c r="O87" s="2">
        <f>VLOOKUP([jobnumber],OvalData[],MATCH(Table2[[#Headers],[Pipe Center Line]],Table2[#Headers],0),0)</f>
        <v>131</v>
      </c>
      <c r="P87" s="2">
        <f>VLOOKUP([jobnumber],OvalData[],MATCH(Table2[[#Headers],[Heat Expansion Gap]],Table2[#Headers],0),0)</f>
        <v>0</v>
      </c>
      <c r="Q87" s="2">
        <f>VLOOKUP([jobnumber],OvalData[],MATCH(Table2[[#Headers],[Hanging Weight Closed]],Table2[#Headers],0),0)</f>
        <v>795</v>
      </c>
      <c r="R87" s="2">
        <f>VLOOKUP([jobnumber],OvalData[],MATCH(Table2[[#Headers],[Hanging Weight Open]],Table2[#Headers],0),0)</f>
        <v>140</v>
      </c>
      <c r="S87" s="2">
        <f>VLOOKUP([jobnumber],OvalData[],MATCH(Table2[[#Headers],[Initial Lever Arm]],Table2[#Headers],0),0)</f>
        <v>4.25</v>
      </c>
      <c r="T87" s="2">
        <f>VLOOKUP([jobnumber],OvalData[],MATCH(Table2[[#Headers],[Turns to Raise]],Table2[#Headers],0),0)</f>
        <v>3.5859999999999999</v>
      </c>
      <c r="U87" s="2">
        <f>VLOOKUP([jobnumber],OvalData[],MATCH(Table2[[#Headers],[Final Lever Arm]],Table2[#Headers],0),0)</f>
        <v>6.37</v>
      </c>
      <c r="V87" s="2">
        <f>VLOOKUP([jobnumber],OvalData[],MATCH(Table2[[#Headers],[Torque Required Closed]],Table2[#Headers],0),0)</f>
        <v>3377.9</v>
      </c>
      <c r="W87" s="2">
        <f>VLOOKUP([jobnumber],OvalData[],MATCH(Table2[[#Headers],[Torque Required Open]],Table2[#Headers],0),0)</f>
        <v>892</v>
      </c>
      <c r="X87" s="2">
        <f>VLOOKUP([jobnumber],OvalData[],MATCH(Table2[[#Headers],[Pre Turns]],Table2[#Headers],0),0)</f>
        <v>1.3332999999999999</v>
      </c>
      <c r="Y87" s="2">
        <f>VLOOKUP([jobnumber],OvalData[],MATCH(Table2[[#Headers],[Required Torque Per Turn]],Table2[#Headers],0),0)</f>
        <v>688</v>
      </c>
      <c r="Z87" s="2">
        <f>VLOOKUP([jobnumber],OvalData[],MATCH(Table2[[#Headers],[Total Turns]],Table2[#Headers],0),0)</f>
        <v>4.91</v>
      </c>
      <c r="AA87" s="2">
        <f>VLOOKUP([jobnumber],OvalData[],MATCH(Table2[[#Headers],[Grille Vision Section]],Table2[#Headers],0),0)</f>
        <v>0</v>
      </c>
      <c r="AB87" s="2">
        <f>VLOOKUP([jobnumber],OvalData[],MATCH(Table2[[#Headers],[Grille Amount]],Table2[#Headers],0),0)</f>
        <v>0</v>
      </c>
      <c r="AC87" s="2">
        <f>VLOOKUP([jobnumber],OvalData[],MATCH(Table2[[#Headers],[Grille Center]],Table2[#Headers],0),0)</f>
        <v>0</v>
      </c>
      <c r="AD87" s="2">
        <f>VLOOKUP([jobnumber],OvalData[],MATCH(Table2[[#Headers],[Grille Pattern]],Table2[#Headers],0),0)</f>
        <v>0</v>
      </c>
      <c r="AE87" s="2">
        <f>VLOOKUP([jobnumber],OvalData[],MATCH(Table2[[#Headers],[Grille First Tube]],Table2[#Headers],0),0)</f>
        <v>0</v>
      </c>
      <c r="AF87" s="2">
        <f>VLOOKUP([jobnumber],OvalData[],MATCH(Table2[[#Headers],[Grille Standard Tube]],Table2[#Headers],0),0)</f>
        <v>0</v>
      </c>
      <c r="AG87" s="2">
        <f>VLOOKUP([jobnumber],OvalData[],MATCH(Table2[[#Headers],[Grille Total Links]],Table2[#Headers],0),0)</f>
        <v>0</v>
      </c>
      <c r="AH87" s="2">
        <f>VLOOKUP([jobnumber],OvalData[],MATCH(Table2[[#Headers],[Grille Rods]],Table2[#Headers],0),0)</f>
        <v>0</v>
      </c>
      <c r="AI87" s="2">
        <f>VLOOKUP([jobnumber],OvalData[],MATCH(Table2[[#Headers],[Grille Rod Length]],Table2[#Headers],0),0)</f>
        <v>0</v>
      </c>
      <c r="AJ87" s="2">
        <f>VLOOKUP([jobnumber],OvalData[],MATCH(Table2[[#Headers],[slattype]],Table2[#Headers],0),0)</f>
        <v>2</v>
      </c>
      <c r="AK87" s="2">
        <f>VLOOKUP([jobnumber],OvalData[],MATCH(Table2[[#Headers],[slatgage]],Table2[#Headers],0),0)</f>
        <v>18</v>
      </c>
      <c r="AL87" s="2">
        <f>VLOOKUP([jobnumber],OvalData[],MATCH(Table2[[#Headers],[Numer of Top Slats]],Table2[#Headers],0),0)</f>
        <v>0</v>
      </c>
      <c r="AM87" s="2">
        <f>VLOOKUP([jobnumber],OvalData[],MATCH(Table2[[#Headers],[Number of Bottom Slats]],Table2[#Headers],0),0)</f>
        <v>0</v>
      </c>
      <c r="AN87" s="2">
        <f>VLOOKUP([jobnumber],OvalData[],MATCH(Table2[[#Headers],[Solid Bottom Height]],Table2[#Headers],0),0)</f>
        <v>0</v>
      </c>
      <c r="AO87" s="2" t="str">
        <f>VLOOKUP([jobnumber],OvalData[],MATCH(Table2[[#Headers],[slatlength]],Table2[#Headers],0),0)</f>
        <v xml:space="preserve"> 18 ft.- 5 7/ 8"</v>
      </c>
      <c r="AP87" s="2">
        <f>VLOOKUP([jobnumber],OvalData[],MATCH(Table2[[#Headers],[Bottom Slat Length]],Table2[#Headers],0),0)</f>
        <v>0</v>
      </c>
      <c r="AQ87" s="2">
        <f>VLOOKUP([jobnumber],OvalData[],MATCH(Table2[[#Headers],[Number of Perferated Slats]],Table2[#Headers],0),0)</f>
        <v>0</v>
      </c>
      <c r="AR87" s="2">
        <f>VLOOKUP([jobnumber],OvalData[],MATCH(Table2[[#Headers],[First Preferated Slat From End]],Table2[#Headers],0),0)</f>
        <v>0</v>
      </c>
      <c r="AS87" s="2">
        <f>VLOOKUP([jobnumber],OvalData[],MATCH(Table2[[#Headers],[First Preferated Slat From Bottom]],Table2[#Headers],0),0)</f>
        <v>0</v>
      </c>
      <c r="AT87" s="2">
        <f>VLOOKUP([jobnumber],OvalData[],MATCH(Table2[[#Headers],[Total Number of Slats]],Table2[#Headers],0),0)</f>
        <v>51</v>
      </c>
      <c r="AU87" s="2">
        <f>VLOOKUP([jobnumber],OvalData[],MATCH(Table2[[#Headers],[Bottom Bar Slope]],Table2[#Headers],0),0)</f>
        <v>0</v>
      </c>
      <c r="AV87" s="2">
        <f>VLOOKUP([jobnumber],OvalData[],MATCH(Table2[[#Headers],[Bottom Bar Weight]],Table2[#Headers],0),0)</f>
        <v>80.5</v>
      </c>
      <c r="AW87" s="2" t="str">
        <f>VLOOKUP([jobnumber],OvalData[],MATCH(Table2[[#Headers],[Outer Spring Gage]],Table2[#Headers],0),0)</f>
        <v>Null</v>
      </c>
      <c r="AX87" s="2" t="str">
        <f>VLOOKUP([jobnumber],OvalData[],MATCH(Table2[[#Headers],[Outer Spring OD]],Table2[#Headers],0),0)</f>
        <v>Null</v>
      </c>
      <c r="AY87" s="2" t="str">
        <f>VLOOKUP([jobnumber],OvalData[],MATCH(Table2[[#Headers],[Outer Spring Length]],Table2[#Headers],0),0)</f>
        <v>Null</v>
      </c>
      <c r="AZ87" s="2" t="str">
        <f>VLOOKUP([jobnumber],OvalData[],MATCH(Table2[[#Headers],[Outer Spring Stretch]],Table2[#Headers],0),0)</f>
        <v>Null</v>
      </c>
      <c r="BA87" s="2" t="str">
        <f>VLOOKUP([jobnumber],OvalData[],MATCH(Table2[[#Headers],[Outer Spring Torque]],Table2[#Headers],0),0)</f>
        <v>Null</v>
      </c>
      <c r="BB87" s="2" t="str">
        <f>VLOOKUP([jobnumber],OvalData[],MATCH(Table2[[#Headers],[Outer Spring Max Turns]],Table2[#Headers],0),0)</f>
        <v>Null</v>
      </c>
      <c r="BC87" s="2" t="str">
        <f>VLOOKUP([jobnumber],OvalData[],MATCH(Table2[[#Headers],[Outer Spring Weight]],Table2[#Headers],0),0)</f>
        <v>Null</v>
      </c>
      <c r="BD87" s="2" t="str">
        <f>VLOOKUP([jobnumber],OvalData[],MATCH(Table2[[#Headers],[Inner Spring Gage]],Table2[#Headers],0),0)</f>
        <v>Null</v>
      </c>
      <c r="BE87" s="2" t="str">
        <f>VLOOKUP([jobnumber],OvalData[],MATCH(Table2[[#Headers],[Inner Spring OD]],Table2[#Headers],0),0)</f>
        <v>Null</v>
      </c>
      <c r="BF87" s="2" t="str">
        <f>VLOOKUP([jobnumber],OvalData[],MATCH(Table2[[#Headers],[Inner Spring Length]],Table2[#Headers],0),0)</f>
        <v>Null</v>
      </c>
      <c r="BG87" s="2" t="str">
        <f>VLOOKUP([jobnumber],OvalData[],MATCH(Table2[[#Headers],[Inner Spring Stretch]],Table2[#Headers],0),0)</f>
        <v>Null</v>
      </c>
      <c r="BH87" s="2" t="str">
        <f>VLOOKUP([jobnumber],OvalData[],MATCH(Table2[[#Headers],[Inner Spring Torque]],Table2[#Headers],0),0)</f>
        <v>Null</v>
      </c>
      <c r="BI87" s="2" t="str">
        <f>VLOOKUP([jobnumber],OvalData[],MATCH(Table2[[#Headers],[Inner Spring Max Turns]],Table2[#Headers],0),0)</f>
        <v>Null</v>
      </c>
      <c r="BJ87" s="2" t="str">
        <f>VLOOKUP([jobnumber],OvalData[],MATCH(Table2[[#Headers],[Inner Spring Weight]],Table2[#Headers],0),0)</f>
        <v>Null</v>
      </c>
      <c r="BK87" s="2">
        <f>VLOOKUP([jobnumber],OvalData[],MATCH(Table2[[#Headers],[Cycles]],Table2[#Headers],0),0)</f>
        <v>0</v>
      </c>
      <c r="BL87" s="2">
        <f>VLOOKUP([jobnumber],OvalData[],MATCH(Table2[[#Headers],[Total Spring Torque]],Table2[#Headers],0),0)</f>
        <v>0</v>
      </c>
      <c r="BM87" s="2">
        <f>VLOOKUP([jobnumber],OvalData[],MATCH(Table2[[#Headers],[Total Spring Weight]],Table2[#Headers],0),0)</f>
        <v>0</v>
      </c>
      <c r="BN87" s="2">
        <f>VLOOKUP([jobnumber],OvalData[],MATCH(Table2[[#Headers],[Pipe Weight]],Table2[#Headers],0),0)</f>
        <v>688.24239999999998</v>
      </c>
      <c r="BO87" s="2">
        <f>VLOOKUP([jobnumber],OvalData[],MATCH(Table2[[#Headers],[Max Pipe Deflection]],Table2[#Headers],0),0)</f>
        <v>2309</v>
      </c>
      <c r="BP87" s="2">
        <f>VLOOKUP([jobnumber],OvalData[],MATCH(Table2[[#Headers],[Number Non-Insulated Wrap Slats]],Table2[#Headers],0),0)</f>
        <v>0</v>
      </c>
      <c r="BQ87" s="2">
        <f>VLOOKUP([jobnumber],OvalData[],MATCH(Table2[[#Headers],[Number of Insolated Top Slats]],Table2[#Headers],0),0)</f>
        <v>45</v>
      </c>
      <c r="BR87" s="2">
        <f>VLOOKUP([jobnumber],OvalData[],MATCH(Table2[[#Headers],[Insolated Total Slats]],Table2[#Headers],0),0)</f>
        <v>45</v>
      </c>
      <c r="BS87" s="2">
        <f>VLOOKUP([jobnumber],OvalData[],MATCH(Table2[[#Headers],[Number of Slats]],Table2[#Headers],0),0)</f>
        <v>44.69</v>
      </c>
      <c r="BT87" s="2">
        <f>VLOOKUP([jobnumber],OvalData[],MATCH(Table2[[#Headers],[Wrap]],Table2[#Headers],0),0)</f>
        <v>0</v>
      </c>
      <c r="BU87" s="2">
        <f>VLOOKUP([jobnumber],OvalData[],MATCH(Table2[[#Headers],[Wall Angle Thickness]],Table2[#Headers],0),0)</f>
        <v>0</v>
      </c>
      <c r="BV87" s="2">
        <f>VLOOKUP([jobnumber],OvalData[],MATCH(Table2[[#Headers],[windlocks]],Table2[#Headers],0),0)</f>
        <v>0</v>
      </c>
      <c r="BW87" s="2" t="str">
        <f>VLOOKUP([jobnumber],OvalData[],MATCH(Table2[[#Headers],[bottombartype]],Table2[#Headers],0),0)</f>
        <v>SPECIAL</v>
      </c>
      <c r="BX87" s="2">
        <f>VLOOKUP([jobnumber],OvalData[],MATCH(Table2[[#Headers],[endlockweight]],Table2[#Headers],0),0)</f>
        <v>0.17</v>
      </c>
      <c r="BY87" s="2">
        <f>VLOOKUP([jobnumber],OvalData[],MATCH(Table2[[#Headers],[Endlock Total Weight]],Table2[#Headers],0),0)</f>
        <v>7.5972999999999997</v>
      </c>
      <c r="BZ87" s="2">
        <f>VLOOKUP([jobnumber],OvalData[],MATCH(Table2[[#Headers],[Grille Weight]],Table2[#Headers],0),0)</f>
        <v>0</v>
      </c>
      <c r="CA87" s="2">
        <f>VLOOKUP([jobnumber],OvalData[],MATCH(Table2[[#Headers],[barrelrings]],Table2[#Headers],0),0)</f>
        <v>1</v>
      </c>
    </row>
    <row r="88" spans="2:79">
      <c r="B88" s="2" t="str">
        <f>VLOOKUP([jobnumber],OvalData[],MATCH(Table2[[#Headers],[Hand]],Table2[#Headers],0),0)</f>
        <v>RH</v>
      </c>
      <c r="C88" s="2" t="str">
        <f>VLOOKUP([jobnumber],OvalData[],MATCH(Table2[[#Headers],[Model]],Table2[#Headers],0),0)</f>
        <v>SFMPP</v>
      </c>
      <c r="D88" s="2" t="str">
        <f>VLOOKUP([jobnumber],OvalData[],MATCH(Table2[[#Headers],[width]],Table2[#Headers],0),0)</f>
        <v xml:space="preserve"> 18 ft.- 2"</v>
      </c>
      <c r="E88" s="2" t="str">
        <f>VLOOKUP([jobnumber],OvalData[],MATCH(Table2[[#Headers],[stopheight]],Table2[#Headers],0),0)</f>
        <v xml:space="preserve"> 10 ft.- 0"</v>
      </c>
      <c r="F88" s="2" t="str">
        <f>VLOOKUP([jobnumber],OvalData[],MATCH(Table2[[#Headers],[Between Brackets]],Table2[#Headers],0),0)</f>
        <v xml:space="preserve"> 18 ft.- 7 7/ 8"</v>
      </c>
      <c r="G88" s="2" t="str">
        <f>VLOOKUP([jobnumber],OvalData[],MATCH(Table2[[#Headers],[shell]],Table2[#Headers],0),0)</f>
        <v>6 INCH TUBE</v>
      </c>
      <c r="H88" s="2" t="str">
        <f>VLOOKUP([jobnumber],OvalData[],MATCH(Table2[[#Headers],[pipewidth]],Table2[#Headers],0),0)</f>
        <v xml:space="preserve"> 18 ft.- 1 3/ 8"</v>
      </c>
      <c r="I88" s="2">
        <f>VLOOKUP([jobnumber],OvalData[],MATCH(Table2[[#Headers],[Support Tubes]],Table2[#Headers],0),0)</f>
        <v>0</v>
      </c>
      <c r="J88" s="2">
        <f>VLOOKUP([jobnumber],OvalData[],MATCH(Table2[[#Headers],[Upset]],Table2[#Headers],0),0)</f>
        <v>2</v>
      </c>
      <c r="K88" s="2" t="str">
        <f>VLOOKUP([jobnumber],OvalData[],MATCH(Table2[[#Headers],[Guide Type]],Table2[#Headers],0),0)</f>
        <v>SN2-4 5/8-E</v>
      </c>
      <c r="L88" s="2" t="str">
        <f>VLOOKUP([jobnumber],OvalData[],MATCH(Table2[[#Headers],[Wall Angle]],Table2[#Headers],0),0)</f>
        <v xml:space="preserve"> 11 ft.- 8"</v>
      </c>
      <c r="M88" s="2" t="str">
        <f>VLOOKUP([jobnumber],OvalData[],MATCH(Table2[[#Headers],[Middle Angle]],Table2[#Headers],0),0)</f>
        <v xml:space="preserve"> 10 ft.- 4 1/ 2"</v>
      </c>
      <c r="N88" s="2" t="str">
        <f>VLOOKUP([jobnumber],OvalData[],MATCH(Table2[[#Headers],[Front Angle]],Table2[#Headers],0),0)</f>
        <v xml:space="preserve"> 10 ft.- 3"</v>
      </c>
      <c r="O88" s="2">
        <f>VLOOKUP([jobnumber],OvalData[],MATCH(Table2[[#Headers],[Pipe Center Line]],Table2[#Headers],0),0)</f>
        <v>131</v>
      </c>
      <c r="P88" s="2">
        <f>VLOOKUP([jobnumber],OvalData[],MATCH(Table2[[#Headers],[Heat Expansion Gap]],Table2[#Headers],0),0)</f>
        <v>0</v>
      </c>
      <c r="Q88" s="2">
        <f>VLOOKUP([jobnumber],OvalData[],MATCH(Table2[[#Headers],[Hanging Weight Closed]],Table2[#Headers],0),0)</f>
        <v>795</v>
      </c>
      <c r="R88" s="2">
        <f>VLOOKUP([jobnumber],OvalData[],MATCH(Table2[[#Headers],[Hanging Weight Open]],Table2[#Headers],0),0)</f>
        <v>140</v>
      </c>
      <c r="S88" s="2">
        <f>VLOOKUP([jobnumber],OvalData[],MATCH(Table2[[#Headers],[Initial Lever Arm]],Table2[#Headers],0),0)</f>
        <v>4.25</v>
      </c>
      <c r="T88" s="2">
        <f>VLOOKUP([jobnumber],OvalData[],MATCH(Table2[[#Headers],[Turns to Raise]],Table2[#Headers],0),0)</f>
        <v>3.5859999999999999</v>
      </c>
      <c r="U88" s="2">
        <f>VLOOKUP([jobnumber],OvalData[],MATCH(Table2[[#Headers],[Final Lever Arm]],Table2[#Headers],0),0)</f>
        <v>6.37</v>
      </c>
      <c r="V88" s="2">
        <f>VLOOKUP([jobnumber],OvalData[],MATCH(Table2[[#Headers],[Torque Required Closed]],Table2[#Headers],0),0)</f>
        <v>3377.9</v>
      </c>
      <c r="W88" s="2">
        <f>VLOOKUP([jobnumber],OvalData[],MATCH(Table2[[#Headers],[Torque Required Open]],Table2[#Headers],0),0)</f>
        <v>892</v>
      </c>
      <c r="X88" s="2">
        <f>VLOOKUP([jobnumber],OvalData[],MATCH(Table2[[#Headers],[Pre Turns]],Table2[#Headers],0),0)</f>
        <v>1.3332999999999999</v>
      </c>
      <c r="Y88" s="2">
        <f>VLOOKUP([jobnumber],OvalData[],MATCH(Table2[[#Headers],[Required Torque Per Turn]],Table2[#Headers],0),0)</f>
        <v>688</v>
      </c>
      <c r="Z88" s="2">
        <f>VLOOKUP([jobnumber],OvalData[],MATCH(Table2[[#Headers],[Total Turns]],Table2[#Headers],0),0)</f>
        <v>4.91</v>
      </c>
      <c r="AA88" s="2">
        <f>VLOOKUP([jobnumber],OvalData[],MATCH(Table2[[#Headers],[Grille Vision Section]],Table2[#Headers],0),0)</f>
        <v>0</v>
      </c>
      <c r="AB88" s="2">
        <f>VLOOKUP([jobnumber],OvalData[],MATCH(Table2[[#Headers],[Grille Amount]],Table2[#Headers],0),0)</f>
        <v>0</v>
      </c>
      <c r="AC88" s="2">
        <f>VLOOKUP([jobnumber],OvalData[],MATCH(Table2[[#Headers],[Grille Center]],Table2[#Headers],0),0)</f>
        <v>0</v>
      </c>
      <c r="AD88" s="2">
        <f>VLOOKUP([jobnumber],OvalData[],MATCH(Table2[[#Headers],[Grille Pattern]],Table2[#Headers],0),0)</f>
        <v>0</v>
      </c>
      <c r="AE88" s="2">
        <f>VLOOKUP([jobnumber],OvalData[],MATCH(Table2[[#Headers],[Grille First Tube]],Table2[#Headers],0),0)</f>
        <v>0</v>
      </c>
      <c r="AF88" s="2">
        <f>VLOOKUP([jobnumber],OvalData[],MATCH(Table2[[#Headers],[Grille Standard Tube]],Table2[#Headers],0),0)</f>
        <v>0</v>
      </c>
      <c r="AG88" s="2">
        <f>VLOOKUP([jobnumber],OvalData[],MATCH(Table2[[#Headers],[Grille Total Links]],Table2[#Headers],0),0)</f>
        <v>0</v>
      </c>
      <c r="AH88" s="2">
        <f>VLOOKUP([jobnumber],OvalData[],MATCH(Table2[[#Headers],[Grille Rods]],Table2[#Headers],0),0)</f>
        <v>0</v>
      </c>
      <c r="AI88" s="2">
        <f>VLOOKUP([jobnumber],OvalData[],MATCH(Table2[[#Headers],[Grille Rod Length]],Table2[#Headers],0),0)</f>
        <v>0</v>
      </c>
      <c r="AJ88" s="2">
        <f>VLOOKUP([jobnumber],OvalData[],MATCH(Table2[[#Headers],[slattype]],Table2[#Headers],0),0)</f>
        <v>2</v>
      </c>
      <c r="AK88" s="2">
        <f>VLOOKUP([jobnumber],OvalData[],MATCH(Table2[[#Headers],[slatgage]],Table2[#Headers],0),0)</f>
        <v>18</v>
      </c>
      <c r="AL88" s="2">
        <f>VLOOKUP([jobnumber],OvalData[],MATCH(Table2[[#Headers],[Numer of Top Slats]],Table2[#Headers],0),0)</f>
        <v>0</v>
      </c>
      <c r="AM88" s="2">
        <f>VLOOKUP([jobnumber],OvalData[],MATCH(Table2[[#Headers],[Number of Bottom Slats]],Table2[#Headers],0),0)</f>
        <v>0</v>
      </c>
      <c r="AN88" s="2">
        <f>VLOOKUP([jobnumber],OvalData[],MATCH(Table2[[#Headers],[Solid Bottom Height]],Table2[#Headers],0),0)</f>
        <v>0</v>
      </c>
      <c r="AO88" s="2" t="str">
        <f>VLOOKUP([jobnumber],OvalData[],MATCH(Table2[[#Headers],[slatlength]],Table2[#Headers],0),0)</f>
        <v xml:space="preserve"> 18 ft.- 5 7/ 8"</v>
      </c>
      <c r="AP88" s="2">
        <f>VLOOKUP([jobnumber],OvalData[],MATCH(Table2[[#Headers],[Bottom Slat Length]],Table2[#Headers],0),0)</f>
        <v>0</v>
      </c>
      <c r="AQ88" s="2">
        <f>VLOOKUP([jobnumber],OvalData[],MATCH(Table2[[#Headers],[Number of Perferated Slats]],Table2[#Headers],0),0)</f>
        <v>0</v>
      </c>
      <c r="AR88" s="2">
        <f>VLOOKUP([jobnumber],OvalData[],MATCH(Table2[[#Headers],[First Preferated Slat From End]],Table2[#Headers],0),0)</f>
        <v>0</v>
      </c>
      <c r="AS88" s="2">
        <f>VLOOKUP([jobnumber],OvalData[],MATCH(Table2[[#Headers],[First Preferated Slat From Bottom]],Table2[#Headers],0),0)</f>
        <v>0</v>
      </c>
      <c r="AT88" s="2">
        <f>VLOOKUP([jobnumber],OvalData[],MATCH(Table2[[#Headers],[Total Number of Slats]],Table2[#Headers],0),0)</f>
        <v>51</v>
      </c>
      <c r="AU88" s="2">
        <f>VLOOKUP([jobnumber],OvalData[],MATCH(Table2[[#Headers],[Bottom Bar Slope]],Table2[#Headers],0),0)</f>
        <v>0</v>
      </c>
      <c r="AV88" s="2">
        <f>VLOOKUP([jobnumber],OvalData[],MATCH(Table2[[#Headers],[Bottom Bar Weight]],Table2[#Headers],0),0)</f>
        <v>80.5</v>
      </c>
      <c r="AW88" s="2" t="str">
        <f>VLOOKUP([jobnumber],OvalData[],MATCH(Table2[[#Headers],[Outer Spring Gage]],Table2[#Headers],0),0)</f>
        <v>Null</v>
      </c>
      <c r="AX88" s="2" t="str">
        <f>VLOOKUP([jobnumber],OvalData[],MATCH(Table2[[#Headers],[Outer Spring OD]],Table2[#Headers],0),0)</f>
        <v>Null</v>
      </c>
      <c r="AY88" s="2" t="str">
        <f>VLOOKUP([jobnumber],OvalData[],MATCH(Table2[[#Headers],[Outer Spring Length]],Table2[#Headers],0),0)</f>
        <v>Null</v>
      </c>
      <c r="AZ88" s="2" t="str">
        <f>VLOOKUP([jobnumber],OvalData[],MATCH(Table2[[#Headers],[Outer Spring Stretch]],Table2[#Headers],0),0)</f>
        <v>Null</v>
      </c>
      <c r="BA88" s="2" t="str">
        <f>VLOOKUP([jobnumber],OvalData[],MATCH(Table2[[#Headers],[Outer Spring Torque]],Table2[#Headers],0),0)</f>
        <v>Null</v>
      </c>
      <c r="BB88" s="2" t="str">
        <f>VLOOKUP([jobnumber],OvalData[],MATCH(Table2[[#Headers],[Outer Spring Max Turns]],Table2[#Headers],0),0)</f>
        <v>Null</v>
      </c>
      <c r="BC88" s="2" t="str">
        <f>VLOOKUP([jobnumber],OvalData[],MATCH(Table2[[#Headers],[Outer Spring Weight]],Table2[#Headers],0),0)</f>
        <v>Null</v>
      </c>
      <c r="BD88" s="2" t="str">
        <f>VLOOKUP([jobnumber],OvalData[],MATCH(Table2[[#Headers],[Inner Spring Gage]],Table2[#Headers],0),0)</f>
        <v>Null</v>
      </c>
      <c r="BE88" s="2" t="str">
        <f>VLOOKUP([jobnumber],OvalData[],MATCH(Table2[[#Headers],[Inner Spring OD]],Table2[#Headers],0),0)</f>
        <v>Null</v>
      </c>
      <c r="BF88" s="2" t="str">
        <f>VLOOKUP([jobnumber],OvalData[],MATCH(Table2[[#Headers],[Inner Spring Length]],Table2[#Headers],0),0)</f>
        <v>Null</v>
      </c>
      <c r="BG88" s="2" t="str">
        <f>VLOOKUP([jobnumber],OvalData[],MATCH(Table2[[#Headers],[Inner Spring Stretch]],Table2[#Headers],0),0)</f>
        <v>Null</v>
      </c>
      <c r="BH88" s="2" t="str">
        <f>VLOOKUP([jobnumber],OvalData[],MATCH(Table2[[#Headers],[Inner Spring Torque]],Table2[#Headers],0),0)</f>
        <v>Null</v>
      </c>
      <c r="BI88" s="2" t="str">
        <f>VLOOKUP([jobnumber],OvalData[],MATCH(Table2[[#Headers],[Inner Spring Max Turns]],Table2[#Headers],0),0)</f>
        <v>Null</v>
      </c>
      <c r="BJ88" s="2" t="str">
        <f>VLOOKUP([jobnumber],OvalData[],MATCH(Table2[[#Headers],[Inner Spring Weight]],Table2[#Headers],0),0)</f>
        <v>Null</v>
      </c>
      <c r="BK88" s="2">
        <f>VLOOKUP([jobnumber],OvalData[],MATCH(Table2[[#Headers],[Cycles]],Table2[#Headers],0),0)</f>
        <v>0</v>
      </c>
      <c r="BL88" s="2">
        <f>VLOOKUP([jobnumber],OvalData[],MATCH(Table2[[#Headers],[Total Spring Torque]],Table2[#Headers],0),0)</f>
        <v>0</v>
      </c>
      <c r="BM88" s="2">
        <f>VLOOKUP([jobnumber],OvalData[],MATCH(Table2[[#Headers],[Total Spring Weight]],Table2[#Headers],0),0)</f>
        <v>0</v>
      </c>
      <c r="BN88" s="2">
        <f>VLOOKUP([jobnumber],OvalData[],MATCH(Table2[[#Headers],[Pipe Weight]],Table2[#Headers],0),0)</f>
        <v>688.24239999999998</v>
      </c>
      <c r="BO88" s="2">
        <f>VLOOKUP([jobnumber],OvalData[],MATCH(Table2[[#Headers],[Max Pipe Deflection]],Table2[#Headers],0),0)</f>
        <v>2309</v>
      </c>
      <c r="BP88" s="2">
        <f>VLOOKUP([jobnumber],OvalData[],MATCH(Table2[[#Headers],[Number Non-Insulated Wrap Slats]],Table2[#Headers],0),0)</f>
        <v>0</v>
      </c>
      <c r="BQ88" s="2">
        <f>VLOOKUP([jobnumber],OvalData[],MATCH(Table2[[#Headers],[Number of Insolated Top Slats]],Table2[#Headers],0),0)</f>
        <v>45</v>
      </c>
      <c r="BR88" s="2">
        <f>VLOOKUP([jobnumber],OvalData[],MATCH(Table2[[#Headers],[Insolated Total Slats]],Table2[#Headers],0),0)</f>
        <v>45</v>
      </c>
      <c r="BS88" s="2">
        <f>VLOOKUP([jobnumber],OvalData[],MATCH(Table2[[#Headers],[Number of Slats]],Table2[#Headers],0),0)</f>
        <v>44.69</v>
      </c>
      <c r="BT88" s="2">
        <f>VLOOKUP([jobnumber],OvalData[],MATCH(Table2[[#Headers],[Wrap]],Table2[#Headers],0),0)</f>
        <v>0</v>
      </c>
      <c r="BU88" s="2">
        <f>VLOOKUP([jobnumber],OvalData[],MATCH(Table2[[#Headers],[Wall Angle Thickness]],Table2[#Headers],0),0)</f>
        <v>0</v>
      </c>
      <c r="BV88" s="2">
        <f>VLOOKUP([jobnumber],OvalData[],MATCH(Table2[[#Headers],[windlocks]],Table2[#Headers],0),0)</f>
        <v>0</v>
      </c>
      <c r="BW88" s="2" t="str">
        <f>VLOOKUP([jobnumber],OvalData[],MATCH(Table2[[#Headers],[bottombartype]],Table2[#Headers],0),0)</f>
        <v>SPECIAL</v>
      </c>
      <c r="BX88" s="2">
        <f>VLOOKUP([jobnumber],OvalData[],MATCH(Table2[[#Headers],[endlockweight]],Table2[#Headers],0),0)</f>
        <v>0.17</v>
      </c>
      <c r="BY88" s="2">
        <f>VLOOKUP([jobnumber],OvalData[],MATCH(Table2[[#Headers],[Endlock Total Weight]],Table2[#Headers],0),0)</f>
        <v>7.5972999999999997</v>
      </c>
      <c r="BZ88" s="2">
        <f>VLOOKUP([jobnumber],OvalData[],MATCH(Table2[[#Headers],[Grille Weight]],Table2[#Headers],0),0)</f>
        <v>0</v>
      </c>
      <c r="CA88" s="2">
        <f>VLOOKUP([jobnumber],OvalData[],MATCH(Table2[[#Headers],[barrelrings]],Table2[#Headers],0),0)</f>
        <v>1</v>
      </c>
    </row>
    <row r="89" spans="2:79">
      <c r="B89" s="2" t="str">
        <f>VLOOKUP([jobnumber],OvalData[],MATCH(Table2[[#Headers],[Hand]],Table2[#Headers],0),0)</f>
        <v>RH</v>
      </c>
      <c r="C89" s="2" t="str">
        <f>VLOOKUP([jobnumber],OvalData[],MATCH(Table2[[#Headers],[Model]],Table2[#Headers],0),0)</f>
        <v>SFMPP</v>
      </c>
      <c r="D89" s="2" t="str">
        <f>VLOOKUP([jobnumber],OvalData[],MATCH(Table2[[#Headers],[width]],Table2[#Headers],0),0)</f>
        <v xml:space="preserve"> 18 ft.- 2"</v>
      </c>
      <c r="E89" s="2" t="str">
        <f>VLOOKUP([jobnumber],OvalData[],MATCH(Table2[[#Headers],[stopheight]],Table2[#Headers],0),0)</f>
        <v xml:space="preserve"> 10 ft.- 0"</v>
      </c>
      <c r="F89" s="2" t="str">
        <f>VLOOKUP([jobnumber],OvalData[],MATCH(Table2[[#Headers],[Between Brackets]],Table2[#Headers],0),0)</f>
        <v xml:space="preserve"> 18 ft.- 7 7/ 8"</v>
      </c>
      <c r="G89" s="2" t="str">
        <f>VLOOKUP([jobnumber],OvalData[],MATCH(Table2[[#Headers],[shell]],Table2[#Headers],0),0)</f>
        <v>6 INCH TUBE</v>
      </c>
      <c r="H89" s="2" t="str">
        <f>VLOOKUP([jobnumber],OvalData[],MATCH(Table2[[#Headers],[pipewidth]],Table2[#Headers],0),0)</f>
        <v xml:space="preserve"> 18 ft.- 1 3/ 8"</v>
      </c>
      <c r="I89" s="2">
        <f>VLOOKUP([jobnumber],OvalData[],MATCH(Table2[[#Headers],[Support Tubes]],Table2[#Headers],0),0)</f>
        <v>0</v>
      </c>
      <c r="J89" s="2">
        <f>VLOOKUP([jobnumber],OvalData[],MATCH(Table2[[#Headers],[Upset]],Table2[#Headers],0),0)</f>
        <v>2</v>
      </c>
      <c r="K89" s="2" t="str">
        <f>VLOOKUP([jobnumber],OvalData[],MATCH(Table2[[#Headers],[Guide Type]],Table2[#Headers],0),0)</f>
        <v>SN2-4 5/8-E</v>
      </c>
      <c r="L89" s="2" t="str">
        <f>VLOOKUP([jobnumber],OvalData[],MATCH(Table2[[#Headers],[Wall Angle]],Table2[#Headers],0),0)</f>
        <v xml:space="preserve"> 11 ft.- 8"</v>
      </c>
      <c r="M89" s="2" t="str">
        <f>VLOOKUP([jobnumber],OvalData[],MATCH(Table2[[#Headers],[Middle Angle]],Table2[#Headers],0),0)</f>
        <v xml:space="preserve"> 10 ft.- 4 1/ 2"</v>
      </c>
      <c r="N89" s="2" t="str">
        <f>VLOOKUP([jobnumber],OvalData[],MATCH(Table2[[#Headers],[Front Angle]],Table2[#Headers],0),0)</f>
        <v xml:space="preserve"> 10 ft.- 3"</v>
      </c>
      <c r="O89" s="2">
        <f>VLOOKUP([jobnumber],OvalData[],MATCH(Table2[[#Headers],[Pipe Center Line]],Table2[#Headers],0),0)</f>
        <v>131</v>
      </c>
      <c r="P89" s="2">
        <f>VLOOKUP([jobnumber],OvalData[],MATCH(Table2[[#Headers],[Heat Expansion Gap]],Table2[#Headers],0),0)</f>
        <v>0</v>
      </c>
      <c r="Q89" s="2">
        <f>VLOOKUP([jobnumber],OvalData[],MATCH(Table2[[#Headers],[Hanging Weight Closed]],Table2[#Headers],0),0)</f>
        <v>795</v>
      </c>
      <c r="R89" s="2">
        <f>VLOOKUP([jobnumber],OvalData[],MATCH(Table2[[#Headers],[Hanging Weight Open]],Table2[#Headers],0),0)</f>
        <v>140</v>
      </c>
      <c r="S89" s="2">
        <f>VLOOKUP([jobnumber],OvalData[],MATCH(Table2[[#Headers],[Initial Lever Arm]],Table2[#Headers],0),0)</f>
        <v>4.25</v>
      </c>
      <c r="T89" s="2">
        <f>VLOOKUP([jobnumber],OvalData[],MATCH(Table2[[#Headers],[Turns to Raise]],Table2[#Headers],0),0)</f>
        <v>3.5859999999999999</v>
      </c>
      <c r="U89" s="2">
        <f>VLOOKUP([jobnumber],OvalData[],MATCH(Table2[[#Headers],[Final Lever Arm]],Table2[#Headers],0),0)</f>
        <v>6.37</v>
      </c>
      <c r="V89" s="2">
        <f>VLOOKUP([jobnumber],OvalData[],MATCH(Table2[[#Headers],[Torque Required Closed]],Table2[#Headers],0),0)</f>
        <v>3377.9</v>
      </c>
      <c r="W89" s="2">
        <f>VLOOKUP([jobnumber],OvalData[],MATCH(Table2[[#Headers],[Torque Required Open]],Table2[#Headers],0),0)</f>
        <v>892</v>
      </c>
      <c r="X89" s="2">
        <f>VLOOKUP([jobnumber],OvalData[],MATCH(Table2[[#Headers],[Pre Turns]],Table2[#Headers],0),0)</f>
        <v>1.3332999999999999</v>
      </c>
      <c r="Y89" s="2">
        <f>VLOOKUP([jobnumber],OvalData[],MATCH(Table2[[#Headers],[Required Torque Per Turn]],Table2[#Headers],0),0)</f>
        <v>688</v>
      </c>
      <c r="Z89" s="2">
        <f>VLOOKUP([jobnumber],OvalData[],MATCH(Table2[[#Headers],[Total Turns]],Table2[#Headers],0),0)</f>
        <v>4.91</v>
      </c>
      <c r="AA89" s="2">
        <f>VLOOKUP([jobnumber],OvalData[],MATCH(Table2[[#Headers],[Grille Vision Section]],Table2[#Headers],0),0)</f>
        <v>0</v>
      </c>
      <c r="AB89" s="2">
        <f>VLOOKUP([jobnumber],OvalData[],MATCH(Table2[[#Headers],[Grille Amount]],Table2[#Headers],0),0)</f>
        <v>0</v>
      </c>
      <c r="AC89" s="2">
        <f>VLOOKUP([jobnumber],OvalData[],MATCH(Table2[[#Headers],[Grille Center]],Table2[#Headers],0),0)</f>
        <v>0</v>
      </c>
      <c r="AD89" s="2">
        <f>VLOOKUP([jobnumber],OvalData[],MATCH(Table2[[#Headers],[Grille Pattern]],Table2[#Headers],0),0)</f>
        <v>0</v>
      </c>
      <c r="AE89" s="2">
        <f>VLOOKUP([jobnumber],OvalData[],MATCH(Table2[[#Headers],[Grille First Tube]],Table2[#Headers],0),0)</f>
        <v>0</v>
      </c>
      <c r="AF89" s="2">
        <f>VLOOKUP([jobnumber],OvalData[],MATCH(Table2[[#Headers],[Grille Standard Tube]],Table2[#Headers],0),0)</f>
        <v>0</v>
      </c>
      <c r="AG89" s="2">
        <f>VLOOKUP([jobnumber],OvalData[],MATCH(Table2[[#Headers],[Grille Total Links]],Table2[#Headers],0),0)</f>
        <v>0</v>
      </c>
      <c r="AH89" s="2">
        <f>VLOOKUP([jobnumber],OvalData[],MATCH(Table2[[#Headers],[Grille Rods]],Table2[#Headers],0),0)</f>
        <v>0</v>
      </c>
      <c r="AI89" s="2">
        <f>VLOOKUP([jobnumber],OvalData[],MATCH(Table2[[#Headers],[Grille Rod Length]],Table2[#Headers],0),0)</f>
        <v>0</v>
      </c>
      <c r="AJ89" s="2">
        <f>VLOOKUP([jobnumber],OvalData[],MATCH(Table2[[#Headers],[slattype]],Table2[#Headers],0),0)</f>
        <v>2</v>
      </c>
      <c r="AK89" s="2">
        <f>VLOOKUP([jobnumber],OvalData[],MATCH(Table2[[#Headers],[slatgage]],Table2[#Headers],0),0)</f>
        <v>18</v>
      </c>
      <c r="AL89" s="2">
        <f>VLOOKUP([jobnumber],OvalData[],MATCH(Table2[[#Headers],[Numer of Top Slats]],Table2[#Headers],0),0)</f>
        <v>0</v>
      </c>
      <c r="AM89" s="2">
        <f>VLOOKUP([jobnumber],OvalData[],MATCH(Table2[[#Headers],[Number of Bottom Slats]],Table2[#Headers],0),0)</f>
        <v>0</v>
      </c>
      <c r="AN89" s="2">
        <f>VLOOKUP([jobnumber],OvalData[],MATCH(Table2[[#Headers],[Solid Bottom Height]],Table2[#Headers],0),0)</f>
        <v>0</v>
      </c>
      <c r="AO89" s="2" t="str">
        <f>VLOOKUP([jobnumber],OvalData[],MATCH(Table2[[#Headers],[slatlength]],Table2[#Headers],0),0)</f>
        <v xml:space="preserve"> 18 ft.- 5 7/ 8"</v>
      </c>
      <c r="AP89" s="2">
        <f>VLOOKUP([jobnumber],OvalData[],MATCH(Table2[[#Headers],[Bottom Slat Length]],Table2[#Headers],0),0)</f>
        <v>0</v>
      </c>
      <c r="AQ89" s="2">
        <f>VLOOKUP([jobnumber],OvalData[],MATCH(Table2[[#Headers],[Number of Perferated Slats]],Table2[#Headers],0),0)</f>
        <v>0</v>
      </c>
      <c r="AR89" s="2">
        <f>VLOOKUP([jobnumber],OvalData[],MATCH(Table2[[#Headers],[First Preferated Slat From End]],Table2[#Headers],0),0)</f>
        <v>0</v>
      </c>
      <c r="AS89" s="2">
        <f>VLOOKUP([jobnumber],OvalData[],MATCH(Table2[[#Headers],[First Preferated Slat From Bottom]],Table2[#Headers],0),0)</f>
        <v>0</v>
      </c>
      <c r="AT89" s="2">
        <f>VLOOKUP([jobnumber],OvalData[],MATCH(Table2[[#Headers],[Total Number of Slats]],Table2[#Headers],0),0)</f>
        <v>51</v>
      </c>
      <c r="AU89" s="2">
        <f>VLOOKUP([jobnumber],OvalData[],MATCH(Table2[[#Headers],[Bottom Bar Slope]],Table2[#Headers],0),0)</f>
        <v>0</v>
      </c>
      <c r="AV89" s="2">
        <f>VLOOKUP([jobnumber],OvalData[],MATCH(Table2[[#Headers],[Bottom Bar Weight]],Table2[#Headers],0),0)</f>
        <v>80.5</v>
      </c>
      <c r="AW89" s="2" t="str">
        <f>VLOOKUP([jobnumber],OvalData[],MATCH(Table2[[#Headers],[Outer Spring Gage]],Table2[#Headers],0),0)</f>
        <v>Null</v>
      </c>
      <c r="AX89" s="2" t="str">
        <f>VLOOKUP([jobnumber],OvalData[],MATCH(Table2[[#Headers],[Outer Spring OD]],Table2[#Headers],0),0)</f>
        <v>Null</v>
      </c>
      <c r="AY89" s="2" t="str">
        <f>VLOOKUP([jobnumber],OvalData[],MATCH(Table2[[#Headers],[Outer Spring Length]],Table2[#Headers],0),0)</f>
        <v>Null</v>
      </c>
      <c r="AZ89" s="2" t="str">
        <f>VLOOKUP([jobnumber],OvalData[],MATCH(Table2[[#Headers],[Outer Spring Stretch]],Table2[#Headers],0),0)</f>
        <v>Null</v>
      </c>
      <c r="BA89" s="2" t="str">
        <f>VLOOKUP([jobnumber],OvalData[],MATCH(Table2[[#Headers],[Outer Spring Torque]],Table2[#Headers],0),0)</f>
        <v>Null</v>
      </c>
      <c r="BB89" s="2" t="str">
        <f>VLOOKUP([jobnumber],OvalData[],MATCH(Table2[[#Headers],[Outer Spring Max Turns]],Table2[#Headers],0),0)</f>
        <v>Null</v>
      </c>
      <c r="BC89" s="2" t="str">
        <f>VLOOKUP([jobnumber],OvalData[],MATCH(Table2[[#Headers],[Outer Spring Weight]],Table2[#Headers],0),0)</f>
        <v>Null</v>
      </c>
      <c r="BD89" s="2" t="str">
        <f>VLOOKUP([jobnumber],OvalData[],MATCH(Table2[[#Headers],[Inner Spring Gage]],Table2[#Headers],0),0)</f>
        <v>Null</v>
      </c>
      <c r="BE89" s="2" t="str">
        <f>VLOOKUP([jobnumber],OvalData[],MATCH(Table2[[#Headers],[Inner Spring OD]],Table2[#Headers],0),0)</f>
        <v>Null</v>
      </c>
      <c r="BF89" s="2" t="str">
        <f>VLOOKUP([jobnumber],OvalData[],MATCH(Table2[[#Headers],[Inner Spring Length]],Table2[#Headers],0),0)</f>
        <v>Null</v>
      </c>
      <c r="BG89" s="2" t="str">
        <f>VLOOKUP([jobnumber],OvalData[],MATCH(Table2[[#Headers],[Inner Spring Stretch]],Table2[#Headers],0),0)</f>
        <v>Null</v>
      </c>
      <c r="BH89" s="2" t="str">
        <f>VLOOKUP([jobnumber],OvalData[],MATCH(Table2[[#Headers],[Inner Spring Torque]],Table2[#Headers],0),0)</f>
        <v>Null</v>
      </c>
      <c r="BI89" s="2" t="str">
        <f>VLOOKUP([jobnumber],OvalData[],MATCH(Table2[[#Headers],[Inner Spring Max Turns]],Table2[#Headers],0),0)</f>
        <v>Null</v>
      </c>
      <c r="BJ89" s="2" t="str">
        <f>VLOOKUP([jobnumber],OvalData[],MATCH(Table2[[#Headers],[Inner Spring Weight]],Table2[#Headers],0),0)</f>
        <v>Null</v>
      </c>
      <c r="BK89" s="2">
        <f>VLOOKUP([jobnumber],OvalData[],MATCH(Table2[[#Headers],[Cycles]],Table2[#Headers],0),0)</f>
        <v>0</v>
      </c>
      <c r="BL89" s="2">
        <f>VLOOKUP([jobnumber],OvalData[],MATCH(Table2[[#Headers],[Total Spring Torque]],Table2[#Headers],0),0)</f>
        <v>0</v>
      </c>
      <c r="BM89" s="2">
        <f>VLOOKUP([jobnumber],OvalData[],MATCH(Table2[[#Headers],[Total Spring Weight]],Table2[#Headers],0),0)</f>
        <v>0</v>
      </c>
      <c r="BN89" s="2">
        <f>VLOOKUP([jobnumber],OvalData[],MATCH(Table2[[#Headers],[Pipe Weight]],Table2[#Headers],0),0)</f>
        <v>688.24239999999998</v>
      </c>
      <c r="BO89" s="2">
        <f>VLOOKUP([jobnumber],OvalData[],MATCH(Table2[[#Headers],[Max Pipe Deflection]],Table2[#Headers],0),0)</f>
        <v>2309</v>
      </c>
      <c r="BP89" s="2">
        <f>VLOOKUP([jobnumber],OvalData[],MATCH(Table2[[#Headers],[Number Non-Insulated Wrap Slats]],Table2[#Headers],0),0)</f>
        <v>0</v>
      </c>
      <c r="BQ89" s="2">
        <f>VLOOKUP([jobnumber],OvalData[],MATCH(Table2[[#Headers],[Number of Insolated Top Slats]],Table2[#Headers],0),0)</f>
        <v>45</v>
      </c>
      <c r="BR89" s="2">
        <f>VLOOKUP([jobnumber],OvalData[],MATCH(Table2[[#Headers],[Insolated Total Slats]],Table2[#Headers],0),0)</f>
        <v>45</v>
      </c>
      <c r="BS89" s="2">
        <f>VLOOKUP([jobnumber],OvalData[],MATCH(Table2[[#Headers],[Number of Slats]],Table2[#Headers],0),0)</f>
        <v>44.69</v>
      </c>
      <c r="BT89" s="2">
        <f>VLOOKUP([jobnumber],OvalData[],MATCH(Table2[[#Headers],[Wrap]],Table2[#Headers],0),0)</f>
        <v>0</v>
      </c>
      <c r="BU89" s="2">
        <f>VLOOKUP([jobnumber],OvalData[],MATCH(Table2[[#Headers],[Wall Angle Thickness]],Table2[#Headers],0),0)</f>
        <v>0</v>
      </c>
      <c r="BV89" s="2">
        <f>VLOOKUP([jobnumber],OvalData[],MATCH(Table2[[#Headers],[windlocks]],Table2[#Headers],0),0)</f>
        <v>0</v>
      </c>
      <c r="BW89" s="2" t="str">
        <f>VLOOKUP([jobnumber],OvalData[],MATCH(Table2[[#Headers],[bottombartype]],Table2[#Headers],0),0)</f>
        <v>SPECIAL</v>
      </c>
      <c r="BX89" s="2">
        <f>VLOOKUP([jobnumber],OvalData[],MATCH(Table2[[#Headers],[endlockweight]],Table2[#Headers],0),0)</f>
        <v>0.17</v>
      </c>
      <c r="BY89" s="2">
        <f>VLOOKUP([jobnumber],OvalData[],MATCH(Table2[[#Headers],[Endlock Total Weight]],Table2[#Headers],0),0)</f>
        <v>7.5972999999999997</v>
      </c>
      <c r="BZ89" s="2">
        <f>VLOOKUP([jobnumber],OvalData[],MATCH(Table2[[#Headers],[Grille Weight]],Table2[#Headers],0),0)</f>
        <v>0</v>
      </c>
      <c r="CA89" s="2">
        <f>VLOOKUP([jobnumber],OvalData[],MATCH(Table2[[#Headers],[barrelrings]],Table2[#Headers],0),0)</f>
        <v>1</v>
      </c>
    </row>
    <row r="90" spans="2:79">
      <c r="B90" s="2" t="str">
        <f>VLOOKUP([jobnumber],OvalData[],MATCH(Table2[[#Headers],[Hand]],Table2[#Headers],0),0)</f>
        <v>RH</v>
      </c>
      <c r="C90" s="2" t="str">
        <f>VLOOKUP([jobnumber],OvalData[],MATCH(Table2[[#Headers],[Model]],Table2[#Headers],0),0)</f>
        <v>SFMPP</v>
      </c>
      <c r="D90" s="2" t="str">
        <f>VLOOKUP([jobnumber],OvalData[],MATCH(Table2[[#Headers],[width]],Table2[#Headers],0),0)</f>
        <v xml:space="preserve"> 18 ft.- 2"</v>
      </c>
      <c r="E90" s="2" t="str">
        <f>VLOOKUP([jobnumber],OvalData[],MATCH(Table2[[#Headers],[stopheight]],Table2[#Headers],0),0)</f>
        <v xml:space="preserve"> 10 ft.- 0"</v>
      </c>
      <c r="F90" s="2" t="str">
        <f>VLOOKUP([jobnumber],OvalData[],MATCH(Table2[[#Headers],[Between Brackets]],Table2[#Headers],0),0)</f>
        <v xml:space="preserve"> 18 ft.- 7 7/ 8"</v>
      </c>
      <c r="G90" s="2" t="str">
        <f>VLOOKUP([jobnumber],OvalData[],MATCH(Table2[[#Headers],[shell]],Table2[#Headers],0),0)</f>
        <v>6 INCH TUBE</v>
      </c>
      <c r="H90" s="2" t="str">
        <f>VLOOKUP([jobnumber],OvalData[],MATCH(Table2[[#Headers],[pipewidth]],Table2[#Headers],0),0)</f>
        <v xml:space="preserve"> 18 ft.- 1 3/ 8"</v>
      </c>
      <c r="I90" s="2">
        <f>VLOOKUP([jobnumber],OvalData[],MATCH(Table2[[#Headers],[Support Tubes]],Table2[#Headers],0),0)</f>
        <v>0</v>
      </c>
      <c r="J90" s="2">
        <f>VLOOKUP([jobnumber],OvalData[],MATCH(Table2[[#Headers],[Upset]],Table2[#Headers],0),0)</f>
        <v>2</v>
      </c>
      <c r="K90" s="2" t="str">
        <f>VLOOKUP([jobnumber],OvalData[],MATCH(Table2[[#Headers],[Guide Type]],Table2[#Headers],0),0)</f>
        <v>SN2-4 5/8-E</v>
      </c>
      <c r="L90" s="2" t="str">
        <f>VLOOKUP([jobnumber],OvalData[],MATCH(Table2[[#Headers],[Wall Angle]],Table2[#Headers],0),0)</f>
        <v xml:space="preserve"> 11 ft.- 8"</v>
      </c>
      <c r="M90" s="2" t="str">
        <f>VLOOKUP([jobnumber],OvalData[],MATCH(Table2[[#Headers],[Middle Angle]],Table2[#Headers],0),0)</f>
        <v xml:space="preserve"> 10 ft.- 4 1/ 2"</v>
      </c>
      <c r="N90" s="2" t="str">
        <f>VLOOKUP([jobnumber],OvalData[],MATCH(Table2[[#Headers],[Front Angle]],Table2[#Headers],0),0)</f>
        <v xml:space="preserve"> 10 ft.- 3"</v>
      </c>
      <c r="O90" s="2">
        <f>VLOOKUP([jobnumber],OvalData[],MATCH(Table2[[#Headers],[Pipe Center Line]],Table2[#Headers],0),0)</f>
        <v>131</v>
      </c>
      <c r="P90" s="2">
        <f>VLOOKUP([jobnumber],OvalData[],MATCH(Table2[[#Headers],[Heat Expansion Gap]],Table2[#Headers],0),0)</f>
        <v>0</v>
      </c>
      <c r="Q90" s="2">
        <f>VLOOKUP([jobnumber],OvalData[],MATCH(Table2[[#Headers],[Hanging Weight Closed]],Table2[#Headers],0),0)</f>
        <v>795</v>
      </c>
      <c r="R90" s="2">
        <f>VLOOKUP([jobnumber],OvalData[],MATCH(Table2[[#Headers],[Hanging Weight Open]],Table2[#Headers],0),0)</f>
        <v>140</v>
      </c>
      <c r="S90" s="2">
        <f>VLOOKUP([jobnumber],OvalData[],MATCH(Table2[[#Headers],[Initial Lever Arm]],Table2[#Headers],0),0)</f>
        <v>4.25</v>
      </c>
      <c r="T90" s="2">
        <f>VLOOKUP([jobnumber],OvalData[],MATCH(Table2[[#Headers],[Turns to Raise]],Table2[#Headers],0),0)</f>
        <v>3.5859999999999999</v>
      </c>
      <c r="U90" s="2">
        <f>VLOOKUP([jobnumber],OvalData[],MATCH(Table2[[#Headers],[Final Lever Arm]],Table2[#Headers],0),0)</f>
        <v>6.37</v>
      </c>
      <c r="V90" s="2">
        <f>VLOOKUP([jobnumber],OvalData[],MATCH(Table2[[#Headers],[Torque Required Closed]],Table2[#Headers],0),0)</f>
        <v>3377.9</v>
      </c>
      <c r="W90" s="2">
        <f>VLOOKUP([jobnumber],OvalData[],MATCH(Table2[[#Headers],[Torque Required Open]],Table2[#Headers],0),0)</f>
        <v>892</v>
      </c>
      <c r="X90" s="2">
        <f>VLOOKUP([jobnumber],OvalData[],MATCH(Table2[[#Headers],[Pre Turns]],Table2[#Headers],0),0)</f>
        <v>1.3332999999999999</v>
      </c>
      <c r="Y90" s="2">
        <f>VLOOKUP([jobnumber],OvalData[],MATCH(Table2[[#Headers],[Required Torque Per Turn]],Table2[#Headers],0),0)</f>
        <v>688</v>
      </c>
      <c r="Z90" s="2">
        <f>VLOOKUP([jobnumber],OvalData[],MATCH(Table2[[#Headers],[Total Turns]],Table2[#Headers],0),0)</f>
        <v>4.91</v>
      </c>
      <c r="AA90" s="2">
        <f>VLOOKUP([jobnumber],OvalData[],MATCH(Table2[[#Headers],[Grille Vision Section]],Table2[#Headers],0),0)</f>
        <v>0</v>
      </c>
      <c r="AB90" s="2">
        <f>VLOOKUP([jobnumber],OvalData[],MATCH(Table2[[#Headers],[Grille Amount]],Table2[#Headers],0),0)</f>
        <v>0</v>
      </c>
      <c r="AC90" s="2">
        <f>VLOOKUP([jobnumber],OvalData[],MATCH(Table2[[#Headers],[Grille Center]],Table2[#Headers],0),0)</f>
        <v>0</v>
      </c>
      <c r="AD90" s="2">
        <f>VLOOKUP([jobnumber],OvalData[],MATCH(Table2[[#Headers],[Grille Pattern]],Table2[#Headers],0),0)</f>
        <v>0</v>
      </c>
      <c r="AE90" s="2">
        <f>VLOOKUP([jobnumber],OvalData[],MATCH(Table2[[#Headers],[Grille First Tube]],Table2[#Headers],0),0)</f>
        <v>0</v>
      </c>
      <c r="AF90" s="2">
        <f>VLOOKUP([jobnumber],OvalData[],MATCH(Table2[[#Headers],[Grille Standard Tube]],Table2[#Headers],0),0)</f>
        <v>0</v>
      </c>
      <c r="AG90" s="2">
        <f>VLOOKUP([jobnumber],OvalData[],MATCH(Table2[[#Headers],[Grille Total Links]],Table2[#Headers],0),0)</f>
        <v>0</v>
      </c>
      <c r="AH90" s="2">
        <f>VLOOKUP([jobnumber],OvalData[],MATCH(Table2[[#Headers],[Grille Rods]],Table2[#Headers],0),0)</f>
        <v>0</v>
      </c>
      <c r="AI90" s="2">
        <f>VLOOKUP([jobnumber],OvalData[],MATCH(Table2[[#Headers],[Grille Rod Length]],Table2[#Headers],0),0)</f>
        <v>0</v>
      </c>
      <c r="AJ90" s="2">
        <f>VLOOKUP([jobnumber],OvalData[],MATCH(Table2[[#Headers],[slattype]],Table2[#Headers],0),0)</f>
        <v>2</v>
      </c>
      <c r="AK90" s="2">
        <f>VLOOKUP([jobnumber],OvalData[],MATCH(Table2[[#Headers],[slatgage]],Table2[#Headers],0),0)</f>
        <v>18</v>
      </c>
      <c r="AL90" s="2">
        <f>VLOOKUP([jobnumber],OvalData[],MATCH(Table2[[#Headers],[Numer of Top Slats]],Table2[#Headers],0),0)</f>
        <v>0</v>
      </c>
      <c r="AM90" s="2">
        <f>VLOOKUP([jobnumber],OvalData[],MATCH(Table2[[#Headers],[Number of Bottom Slats]],Table2[#Headers],0),0)</f>
        <v>0</v>
      </c>
      <c r="AN90" s="2">
        <f>VLOOKUP([jobnumber],OvalData[],MATCH(Table2[[#Headers],[Solid Bottom Height]],Table2[#Headers],0),0)</f>
        <v>0</v>
      </c>
      <c r="AO90" s="2" t="str">
        <f>VLOOKUP([jobnumber],OvalData[],MATCH(Table2[[#Headers],[slatlength]],Table2[#Headers],0),0)</f>
        <v xml:space="preserve"> 18 ft.- 5 7/ 8"</v>
      </c>
      <c r="AP90" s="2">
        <f>VLOOKUP([jobnumber],OvalData[],MATCH(Table2[[#Headers],[Bottom Slat Length]],Table2[#Headers],0),0)</f>
        <v>0</v>
      </c>
      <c r="AQ90" s="2">
        <f>VLOOKUP([jobnumber],OvalData[],MATCH(Table2[[#Headers],[Number of Perferated Slats]],Table2[#Headers],0),0)</f>
        <v>0</v>
      </c>
      <c r="AR90" s="2">
        <f>VLOOKUP([jobnumber],OvalData[],MATCH(Table2[[#Headers],[First Preferated Slat From End]],Table2[#Headers],0),0)</f>
        <v>0</v>
      </c>
      <c r="AS90" s="2">
        <f>VLOOKUP([jobnumber],OvalData[],MATCH(Table2[[#Headers],[First Preferated Slat From Bottom]],Table2[#Headers],0),0)</f>
        <v>0</v>
      </c>
      <c r="AT90" s="2">
        <f>VLOOKUP([jobnumber],OvalData[],MATCH(Table2[[#Headers],[Total Number of Slats]],Table2[#Headers],0),0)</f>
        <v>51</v>
      </c>
      <c r="AU90" s="2">
        <f>VLOOKUP([jobnumber],OvalData[],MATCH(Table2[[#Headers],[Bottom Bar Slope]],Table2[#Headers],0),0)</f>
        <v>0</v>
      </c>
      <c r="AV90" s="2">
        <f>VLOOKUP([jobnumber],OvalData[],MATCH(Table2[[#Headers],[Bottom Bar Weight]],Table2[#Headers],0),0)</f>
        <v>80.5</v>
      </c>
      <c r="AW90" s="2" t="str">
        <f>VLOOKUP([jobnumber],OvalData[],MATCH(Table2[[#Headers],[Outer Spring Gage]],Table2[#Headers],0),0)</f>
        <v>Null</v>
      </c>
      <c r="AX90" s="2" t="str">
        <f>VLOOKUP([jobnumber],OvalData[],MATCH(Table2[[#Headers],[Outer Spring OD]],Table2[#Headers],0),0)</f>
        <v>Null</v>
      </c>
      <c r="AY90" s="2" t="str">
        <f>VLOOKUP([jobnumber],OvalData[],MATCH(Table2[[#Headers],[Outer Spring Length]],Table2[#Headers],0),0)</f>
        <v>Null</v>
      </c>
      <c r="AZ90" s="2" t="str">
        <f>VLOOKUP([jobnumber],OvalData[],MATCH(Table2[[#Headers],[Outer Spring Stretch]],Table2[#Headers],0),0)</f>
        <v>Null</v>
      </c>
      <c r="BA90" s="2" t="str">
        <f>VLOOKUP([jobnumber],OvalData[],MATCH(Table2[[#Headers],[Outer Spring Torque]],Table2[#Headers],0),0)</f>
        <v>Null</v>
      </c>
      <c r="BB90" s="2" t="str">
        <f>VLOOKUP([jobnumber],OvalData[],MATCH(Table2[[#Headers],[Outer Spring Max Turns]],Table2[#Headers],0),0)</f>
        <v>Null</v>
      </c>
      <c r="BC90" s="2" t="str">
        <f>VLOOKUP([jobnumber],OvalData[],MATCH(Table2[[#Headers],[Outer Spring Weight]],Table2[#Headers],0),0)</f>
        <v>Null</v>
      </c>
      <c r="BD90" s="2" t="str">
        <f>VLOOKUP([jobnumber],OvalData[],MATCH(Table2[[#Headers],[Inner Spring Gage]],Table2[#Headers],0),0)</f>
        <v>Null</v>
      </c>
      <c r="BE90" s="2" t="str">
        <f>VLOOKUP([jobnumber],OvalData[],MATCH(Table2[[#Headers],[Inner Spring OD]],Table2[#Headers],0),0)</f>
        <v>Null</v>
      </c>
      <c r="BF90" s="2" t="str">
        <f>VLOOKUP([jobnumber],OvalData[],MATCH(Table2[[#Headers],[Inner Spring Length]],Table2[#Headers],0),0)</f>
        <v>Null</v>
      </c>
      <c r="BG90" s="2" t="str">
        <f>VLOOKUP([jobnumber],OvalData[],MATCH(Table2[[#Headers],[Inner Spring Stretch]],Table2[#Headers],0),0)</f>
        <v>Null</v>
      </c>
      <c r="BH90" s="2" t="str">
        <f>VLOOKUP([jobnumber],OvalData[],MATCH(Table2[[#Headers],[Inner Spring Torque]],Table2[#Headers],0),0)</f>
        <v>Null</v>
      </c>
      <c r="BI90" s="2" t="str">
        <f>VLOOKUP([jobnumber],OvalData[],MATCH(Table2[[#Headers],[Inner Spring Max Turns]],Table2[#Headers],0),0)</f>
        <v>Null</v>
      </c>
      <c r="BJ90" s="2" t="str">
        <f>VLOOKUP([jobnumber],OvalData[],MATCH(Table2[[#Headers],[Inner Spring Weight]],Table2[#Headers],0),0)</f>
        <v>Null</v>
      </c>
      <c r="BK90" s="2">
        <f>VLOOKUP([jobnumber],OvalData[],MATCH(Table2[[#Headers],[Cycles]],Table2[#Headers],0),0)</f>
        <v>0</v>
      </c>
      <c r="BL90" s="2">
        <f>VLOOKUP([jobnumber],OvalData[],MATCH(Table2[[#Headers],[Total Spring Torque]],Table2[#Headers],0),0)</f>
        <v>0</v>
      </c>
      <c r="BM90" s="2">
        <f>VLOOKUP([jobnumber],OvalData[],MATCH(Table2[[#Headers],[Total Spring Weight]],Table2[#Headers],0),0)</f>
        <v>0</v>
      </c>
      <c r="BN90" s="2">
        <f>VLOOKUP([jobnumber],OvalData[],MATCH(Table2[[#Headers],[Pipe Weight]],Table2[#Headers],0),0)</f>
        <v>688.24239999999998</v>
      </c>
      <c r="BO90" s="2">
        <f>VLOOKUP([jobnumber],OvalData[],MATCH(Table2[[#Headers],[Max Pipe Deflection]],Table2[#Headers],0),0)</f>
        <v>2309</v>
      </c>
      <c r="BP90" s="2">
        <f>VLOOKUP([jobnumber],OvalData[],MATCH(Table2[[#Headers],[Number Non-Insulated Wrap Slats]],Table2[#Headers],0),0)</f>
        <v>0</v>
      </c>
      <c r="BQ90" s="2">
        <f>VLOOKUP([jobnumber],OvalData[],MATCH(Table2[[#Headers],[Number of Insolated Top Slats]],Table2[#Headers],0),0)</f>
        <v>45</v>
      </c>
      <c r="BR90" s="2">
        <f>VLOOKUP([jobnumber],OvalData[],MATCH(Table2[[#Headers],[Insolated Total Slats]],Table2[#Headers],0),0)</f>
        <v>45</v>
      </c>
      <c r="BS90" s="2">
        <f>VLOOKUP([jobnumber],OvalData[],MATCH(Table2[[#Headers],[Number of Slats]],Table2[#Headers],0),0)</f>
        <v>44.69</v>
      </c>
      <c r="BT90" s="2">
        <f>VLOOKUP([jobnumber],OvalData[],MATCH(Table2[[#Headers],[Wrap]],Table2[#Headers],0),0)</f>
        <v>0</v>
      </c>
      <c r="BU90" s="2">
        <f>VLOOKUP([jobnumber],OvalData[],MATCH(Table2[[#Headers],[Wall Angle Thickness]],Table2[#Headers],0),0)</f>
        <v>0</v>
      </c>
      <c r="BV90" s="2">
        <f>VLOOKUP([jobnumber],OvalData[],MATCH(Table2[[#Headers],[windlocks]],Table2[#Headers],0),0)</f>
        <v>0</v>
      </c>
      <c r="BW90" s="2" t="str">
        <f>VLOOKUP([jobnumber],OvalData[],MATCH(Table2[[#Headers],[bottombartype]],Table2[#Headers],0),0)</f>
        <v>SPECIAL</v>
      </c>
      <c r="BX90" s="2">
        <f>VLOOKUP([jobnumber],OvalData[],MATCH(Table2[[#Headers],[endlockweight]],Table2[#Headers],0),0)</f>
        <v>0.17</v>
      </c>
      <c r="BY90" s="2">
        <f>VLOOKUP([jobnumber],OvalData[],MATCH(Table2[[#Headers],[Endlock Total Weight]],Table2[#Headers],0),0)</f>
        <v>7.5972999999999997</v>
      </c>
      <c r="BZ90" s="2">
        <f>VLOOKUP([jobnumber],OvalData[],MATCH(Table2[[#Headers],[Grille Weight]],Table2[#Headers],0),0)</f>
        <v>0</v>
      </c>
      <c r="CA90" s="2">
        <f>VLOOKUP([jobnumber],OvalData[],MATCH(Table2[[#Headers],[barrelrings]],Table2[#Headers],0),0)</f>
        <v>1</v>
      </c>
    </row>
    <row r="91" spans="2:79">
      <c r="B91" s="2" t="str">
        <f>VLOOKUP([jobnumber],OvalData[],MATCH(Table2[[#Headers],[Hand]],Table2[#Headers],0),0)</f>
        <v>RH</v>
      </c>
      <c r="C91" s="2" t="str">
        <f>VLOOKUP([jobnumber],OvalData[],MATCH(Table2[[#Headers],[Model]],Table2[#Headers],0),0)</f>
        <v>SFMPP</v>
      </c>
      <c r="D91" s="2" t="str">
        <f>VLOOKUP([jobnumber],OvalData[],MATCH(Table2[[#Headers],[width]],Table2[#Headers],0),0)</f>
        <v xml:space="preserve"> 18 ft.- 2"</v>
      </c>
      <c r="E91" s="2" t="str">
        <f>VLOOKUP([jobnumber],OvalData[],MATCH(Table2[[#Headers],[stopheight]],Table2[#Headers],0),0)</f>
        <v xml:space="preserve"> 10 ft.- 0"</v>
      </c>
      <c r="F91" s="2" t="str">
        <f>VLOOKUP([jobnumber],OvalData[],MATCH(Table2[[#Headers],[Between Brackets]],Table2[#Headers],0),0)</f>
        <v xml:space="preserve"> 18 ft.- 7 7/ 8"</v>
      </c>
      <c r="G91" s="2" t="str">
        <f>VLOOKUP([jobnumber],OvalData[],MATCH(Table2[[#Headers],[shell]],Table2[#Headers],0),0)</f>
        <v>6 INCH TUBE</v>
      </c>
      <c r="H91" s="2" t="str">
        <f>VLOOKUP([jobnumber],OvalData[],MATCH(Table2[[#Headers],[pipewidth]],Table2[#Headers],0),0)</f>
        <v xml:space="preserve"> 18 ft.- 1 3/ 8"</v>
      </c>
      <c r="I91" s="2">
        <f>VLOOKUP([jobnumber],OvalData[],MATCH(Table2[[#Headers],[Support Tubes]],Table2[#Headers],0),0)</f>
        <v>0</v>
      </c>
      <c r="J91" s="2">
        <f>VLOOKUP([jobnumber],OvalData[],MATCH(Table2[[#Headers],[Upset]],Table2[#Headers],0),0)</f>
        <v>2</v>
      </c>
      <c r="K91" s="2" t="str">
        <f>VLOOKUP([jobnumber],OvalData[],MATCH(Table2[[#Headers],[Guide Type]],Table2[#Headers],0),0)</f>
        <v>SN2-4 5/8-E</v>
      </c>
      <c r="L91" s="2" t="str">
        <f>VLOOKUP([jobnumber],OvalData[],MATCH(Table2[[#Headers],[Wall Angle]],Table2[#Headers],0),0)</f>
        <v xml:space="preserve"> 11 ft.- 8"</v>
      </c>
      <c r="M91" s="2" t="str">
        <f>VLOOKUP([jobnumber],OvalData[],MATCH(Table2[[#Headers],[Middle Angle]],Table2[#Headers],0),0)</f>
        <v xml:space="preserve"> 10 ft.- 4 1/ 2"</v>
      </c>
      <c r="N91" s="2" t="str">
        <f>VLOOKUP([jobnumber],OvalData[],MATCH(Table2[[#Headers],[Front Angle]],Table2[#Headers],0),0)</f>
        <v xml:space="preserve"> 10 ft.- 3"</v>
      </c>
      <c r="O91" s="2">
        <f>VLOOKUP([jobnumber],OvalData[],MATCH(Table2[[#Headers],[Pipe Center Line]],Table2[#Headers],0),0)</f>
        <v>131</v>
      </c>
      <c r="P91" s="2">
        <f>VLOOKUP([jobnumber],OvalData[],MATCH(Table2[[#Headers],[Heat Expansion Gap]],Table2[#Headers],0),0)</f>
        <v>0</v>
      </c>
      <c r="Q91" s="2">
        <f>VLOOKUP([jobnumber],OvalData[],MATCH(Table2[[#Headers],[Hanging Weight Closed]],Table2[#Headers],0),0)</f>
        <v>795</v>
      </c>
      <c r="R91" s="2">
        <f>VLOOKUP([jobnumber],OvalData[],MATCH(Table2[[#Headers],[Hanging Weight Open]],Table2[#Headers],0),0)</f>
        <v>140</v>
      </c>
      <c r="S91" s="2">
        <f>VLOOKUP([jobnumber],OvalData[],MATCH(Table2[[#Headers],[Initial Lever Arm]],Table2[#Headers],0),0)</f>
        <v>4.25</v>
      </c>
      <c r="T91" s="2">
        <f>VLOOKUP([jobnumber],OvalData[],MATCH(Table2[[#Headers],[Turns to Raise]],Table2[#Headers],0),0)</f>
        <v>3.5859999999999999</v>
      </c>
      <c r="U91" s="2">
        <f>VLOOKUP([jobnumber],OvalData[],MATCH(Table2[[#Headers],[Final Lever Arm]],Table2[#Headers],0),0)</f>
        <v>6.37</v>
      </c>
      <c r="V91" s="2">
        <f>VLOOKUP([jobnumber],OvalData[],MATCH(Table2[[#Headers],[Torque Required Closed]],Table2[#Headers],0),0)</f>
        <v>3377.9</v>
      </c>
      <c r="W91" s="2">
        <f>VLOOKUP([jobnumber],OvalData[],MATCH(Table2[[#Headers],[Torque Required Open]],Table2[#Headers],0),0)</f>
        <v>892</v>
      </c>
      <c r="X91" s="2">
        <f>VLOOKUP([jobnumber],OvalData[],MATCH(Table2[[#Headers],[Pre Turns]],Table2[#Headers],0),0)</f>
        <v>1.3332999999999999</v>
      </c>
      <c r="Y91" s="2">
        <f>VLOOKUP([jobnumber],OvalData[],MATCH(Table2[[#Headers],[Required Torque Per Turn]],Table2[#Headers],0),0)</f>
        <v>688</v>
      </c>
      <c r="Z91" s="2">
        <f>VLOOKUP([jobnumber],OvalData[],MATCH(Table2[[#Headers],[Total Turns]],Table2[#Headers],0),0)</f>
        <v>4.91</v>
      </c>
      <c r="AA91" s="2">
        <f>VLOOKUP([jobnumber],OvalData[],MATCH(Table2[[#Headers],[Grille Vision Section]],Table2[#Headers],0),0)</f>
        <v>0</v>
      </c>
      <c r="AB91" s="2">
        <f>VLOOKUP([jobnumber],OvalData[],MATCH(Table2[[#Headers],[Grille Amount]],Table2[#Headers],0),0)</f>
        <v>0</v>
      </c>
      <c r="AC91" s="2">
        <f>VLOOKUP([jobnumber],OvalData[],MATCH(Table2[[#Headers],[Grille Center]],Table2[#Headers],0),0)</f>
        <v>0</v>
      </c>
      <c r="AD91" s="2">
        <f>VLOOKUP([jobnumber],OvalData[],MATCH(Table2[[#Headers],[Grille Pattern]],Table2[#Headers],0),0)</f>
        <v>0</v>
      </c>
      <c r="AE91" s="2">
        <f>VLOOKUP([jobnumber],OvalData[],MATCH(Table2[[#Headers],[Grille First Tube]],Table2[#Headers],0),0)</f>
        <v>0</v>
      </c>
      <c r="AF91" s="2">
        <f>VLOOKUP([jobnumber],OvalData[],MATCH(Table2[[#Headers],[Grille Standard Tube]],Table2[#Headers],0),0)</f>
        <v>0</v>
      </c>
      <c r="AG91" s="2">
        <f>VLOOKUP([jobnumber],OvalData[],MATCH(Table2[[#Headers],[Grille Total Links]],Table2[#Headers],0),0)</f>
        <v>0</v>
      </c>
      <c r="AH91" s="2">
        <f>VLOOKUP([jobnumber],OvalData[],MATCH(Table2[[#Headers],[Grille Rods]],Table2[#Headers],0),0)</f>
        <v>0</v>
      </c>
      <c r="AI91" s="2">
        <f>VLOOKUP([jobnumber],OvalData[],MATCH(Table2[[#Headers],[Grille Rod Length]],Table2[#Headers],0),0)</f>
        <v>0</v>
      </c>
      <c r="AJ91" s="2">
        <f>VLOOKUP([jobnumber],OvalData[],MATCH(Table2[[#Headers],[slattype]],Table2[#Headers],0),0)</f>
        <v>2</v>
      </c>
      <c r="AK91" s="2">
        <f>VLOOKUP([jobnumber],OvalData[],MATCH(Table2[[#Headers],[slatgage]],Table2[#Headers],0),0)</f>
        <v>18</v>
      </c>
      <c r="AL91" s="2">
        <f>VLOOKUP([jobnumber],OvalData[],MATCH(Table2[[#Headers],[Numer of Top Slats]],Table2[#Headers],0),0)</f>
        <v>0</v>
      </c>
      <c r="AM91" s="2">
        <f>VLOOKUP([jobnumber],OvalData[],MATCH(Table2[[#Headers],[Number of Bottom Slats]],Table2[#Headers],0),0)</f>
        <v>0</v>
      </c>
      <c r="AN91" s="2">
        <f>VLOOKUP([jobnumber],OvalData[],MATCH(Table2[[#Headers],[Solid Bottom Height]],Table2[#Headers],0),0)</f>
        <v>0</v>
      </c>
      <c r="AO91" s="2" t="str">
        <f>VLOOKUP([jobnumber],OvalData[],MATCH(Table2[[#Headers],[slatlength]],Table2[#Headers],0),0)</f>
        <v xml:space="preserve"> 18 ft.- 5 7/ 8"</v>
      </c>
      <c r="AP91" s="2">
        <f>VLOOKUP([jobnumber],OvalData[],MATCH(Table2[[#Headers],[Bottom Slat Length]],Table2[#Headers],0),0)</f>
        <v>0</v>
      </c>
      <c r="AQ91" s="2">
        <f>VLOOKUP([jobnumber],OvalData[],MATCH(Table2[[#Headers],[Number of Perferated Slats]],Table2[#Headers],0),0)</f>
        <v>0</v>
      </c>
      <c r="AR91" s="2">
        <f>VLOOKUP([jobnumber],OvalData[],MATCH(Table2[[#Headers],[First Preferated Slat From End]],Table2[#Headers],0),0)</f>
        <v>0</v>
      </c>
      <c r="AS91" s="2">
        <f>VLOOKUP([jobnumber],OvalData[],MATCH(Table2[[#Headers],[First Preferated Slat From Bottom]],Table2[#Headers],0),0)</f>
        <v>0</v>
      </c>
      <c r="AT91" s="2">
        <f>VLOOKUP([jobnumber],OvalData[],MATCH(Table2[[#Headers],[Total Number of Slats]],Table2[#Headers],0),0)</f>
        <v>51</v>
      </c>
      <c r="AU91" s="2">
        <f>VLOOKUP([jobnumber],OvalData[],MATCH(Table2[[#Headers],[Bottom Bar Slope]],Table2[#Headers],0),0)</f>
        <v>0</v>
      </c>
      <c r="AV91" s="2">
        <f>VLOOKUP([jobnumber],OvalData[],MATCH(Table2[[#Headers],[Bottom Bar Weight]],Table2[#Headers],0),0)</f>
        <v>80.5</v>
      </c>
      <c r="AW91" s="2" t="str">
        <f>VLOOKUP([jobnumber],OvalData[],MATCH(Table2[[#Headers],[Outer Spring Gage]],Table2[#Headers],0),0)</f>
        <v>Null</v>
      </c>
      <c r="AX91" s="2" t="str">
        <f>VLOOKUP([jobnumber],OvalData[],MATCH(Table2[[#Headers],[Outer Spring OD]],Table2[#Headers],0),0)</f>
        <v>Null</v>
      </c>
      <c r="AY91" s="2" t="str">
        <f>VLOOKUP([jobnumber],OvalData[],MATCH(Table2[[#Headers],[Outer Spring Length]],Table2[#Headers],0),0)</f>
        <v>Null</v>
      </c>
      <c r="AZ91" s="2" t="str">
        <f>VLOOKUP([jobnumber],OvalData[],MATCH(Table2[[#Headers],[Outer Spring Stretch]],Table2[#Headers],0),0)</f>
        <v>Null</v>
      </c>
      <c r="BA91" s="2" t="str">
        <f>VLOOKUP([jobnumber],OvalData[],MATCH(Table2[[#Headers],[Outer Spring Torque]],Table2[#Headers],0),0)</f>
        <v>Null</v>
      </c>
      <c r="BB91" s="2" t="str">
        <f>VLOOKUP([jobnumber],OvalData[],MATCH(Table2[[#Headers],[Outer Spring Max Turns]],Table2[#Headers],0),0)</f>
        <v>Null</v>
      </c>
      <c r="BC91" s="2" t="str">
        <f>VLOOKUP([jobnumber],OvalData[],MATCH(Table2[[#Headers],[Outer Spring Weight]],Table2[#Headers],0),0)</f>
        <v>Null</v>
      </c>
      <c r="BD91" s="2" t="str">
        <f>VLOOKUP([jobnumber],OvalData[],MATCH(Table2[[#Headers],[Inner Spring Gage]],Table2[#Headers],0),0)</f>
        <v>Null</v>
      </c>
      <c r="BE91" s="2" t="str">
        <f>VLOOKUP([jobnumber],OvalData[],MATCH(Table2[[#Headers],[Inner Spring OD]],Table2[#Headers],0),0)</f>
        <v>Null</v>
      </c>
      <c r="BF91" s="2" t="str">
        <f>VLOOKUP([jobnumber],OvalData[],MATCH(Table2[[#Headers],[Inner Spring Length]],Table2[#Headers],0),0)</f>
        <v>Null</v>
      </c>
      <c r="BG91" s="2" t="str">
        <f>VLOOKUP([jobnumber],OvalData[],MATCH(Table2[[#Headers],[Inner Spring Stretch]],Table2[#Headers],0),0)</f>
        <v>Null</v>
      </c>
      <c r="BH91" s="2" t="str">
        <f>VLOOKUP([jobnumber],OvalData[],MATCH(Table2[[#Headers],[Inner Spring Torque]],Table2[#Headers],0),0)</f>
        <v>Null</v>
      </c>
      <c r="BI91" s="2" t="str">
        <f>VLOOKUP([jobnumber],OvalData[],MATCH(Table2[[#Headers],[Inner Spring Max Turns]],Table2[#Headers],0),0)</f>
        <v>Null</v>
      </c>
      <c r="BJ91" s="2" t="str">
        <f>VLOOKUP([jobnumber],OvalData[],MATCH(Table2[[#Headers],[Inner Spring Weight]],Table2[#Headers],0),0)</f>
        <v>Null</v>
      </c>
      <c r="BK91" s="2">
        <f>VLOOKUP([jobnumber],OvalData[],MATCH(Table2[[#Headers],[Cycles]],Table2[#Headers],0),0)</f>
        <v>0</v>
      </c>
      <c r="BL91" s="2">
        <f>VLOOKUP([jobnumber],OvalData[],MATCH(Table2[[#Headers],[Total Spring Torque]],Table2[#Headers],0),0)</f>
        <v>0</v>
      </c>
      <c r="BM91" s="2">
        <f>VLOOKUP([jobnumber],OvalData[],MATCH(Table2[[#Headers],[Total Spring Weight]],Table2[#Headers],0),0)</f>
        <v>0</v>
      </c>
      <c r="BN91" s="2">
        <f>VLOOKUP([jobnumber],OvalData[],MATCH(Table2[[#Headers],[Pipe Weight]],Table2[#Headers],0),0)</f>
        <v>688.24239999999998</v>
      </c>
      <c r="BO91" s="2">
        <f>VLOOKUP([jobnumber],OvalData[],MATCH(Table2[[#Headers],[Max Pipe Deflection]],Table2[#Headers],0),0)</f>
        <v>2309</v>
      </c>
      <c r="BP91" s="2">
        <f>VLOOKUP([jobnumber],OvalData[],MATCH(Table2[[#Headers],[Number Non-Insulated Wrap Slats]],Table2[#Headers],0),0)</f>
        <v>0</v>
      </c>
      <c r="BQ91" s="2">
        <f>VLOOKUP([jobnumber],OvalData[],MATCH(Table2[[#Headers],[Number of Insolated Top Slats]],Table2[#Headers],0),0)</f>
        <v>45</v>
      </c>
      <c r="BR91" s="2">
        <f>VLOOKUP([jobnumber],OvalData[],MATCH(Table2[[#Headers],[Insolated Total Slats]],Table2[#Headers],0),0)</f>
        <v>45</v>
      </c>
      <c r="BS91" s="2">
        <f>VLOOKUP([jobnumber],OvalData[],MATCH(Table2[[#Headers],[Number of Slats]],Table2[#Headers],0),0)</f>
        <v>44.69</v>
      </c>
      <c r="BT91" s="2">
        <f>VLOOKUP([jobnumber],OvalData[],MATCH(Table2[[#Headers],[Wrap]],Table2[#Headers],0),0)</f>
        <v>0</v>
      </c>
      <c r="BU91" s="2">
        <f>VLOOKUP([jobnumber],OvalData[],MATCH(Table2[[#Headers],[Wall Angle Thickness]],Table2[#Headers],0),0)</f>
        <v>0</v>
      </c>
      <c r="BV91" s="2">
        <f>VLOOKUP([jobnumber],OvalData[],MATCH(Table2[[#Headers],[windlocks]],Table2[#Headers],0),0)</f>
        <v>0</v>
      </c>
      <c r="BW91" s="2" t="str">
        <f>VLOOKUP([jobnumber],OvalData[],MATCH(Table2[[#Headers],[bottombartype]],Table2[#Headers],0),0)</f>
        <v>SPECIAL</v>
      </c>
      <c r="BX91" s="2">
        <f>VLOOKUP([jobnumber],OvalData[],MATCH(Table2[[#Headers],[endlockweight]],Table2[#Headers],0),0)</f>
        <v>0.17</v>
      </c>
      <c r="BY91" s="2">
        <f>VLOOKUP([jobnumber],OvalData[],MATCH(Table2[[#Headers],[Endlock Total Weight]],Table2[#Headers],0),0)</f>
        <v>7.5972999999999997</v>
      </c>
      <c r="BZ91" s="2">
        <f>VLOOKUP([jobnumber],OvalData[],MATCH(Table2[[#Headers],[Grille Weight]],Table2[#Headers],0),0)</f>
        <v>0</v>
      </c>
      <c r="CA91" s="2">
        <f>VLOOKUP([jobnumber],OvalData[],MATCH(Table2[[#Headers],[barrelrings]],Table2[#Headers],0),0)</f>
        <v>1</v>
      </c>
    </row>
    <row r="92" spans="2:79">
      <c r="B92" s="2" t="str">
        <f>VLOOKUP([jobnumber],OvalData[],MATCH(Table2[[#Headers],[Hand]],Table2[#Headers],0),0)</f>
        <v>RH</v>
      </c>
      <c r="C92" s="2" t="str">
        <f>VLOOKUP([jobnumber],OvalData[],MATCH(Table2[[#Headers],[Model]],Table2[#Headers],0),0)</f>
        <v>SFMPP</v>
      </c>
      <c r="D92" s="2" t="str">
        <f>VLOOKUP([jobnumber],OvalData[],MATCH(Table2[[#Headers],[width]],Table2[#Headers],0),0)</f>
        <v xml:space="preserve"> 18 ft.- 2"</v>
      </c>
      <c r="E92" s="2" t="str">
        <f>VLOOKUP([jobnumber],OvalData[],MATCH(Table2[[#Headers],[stopheight]],Table2[#Headers],0),0)</f>
        <v xml:space="preserve"> 10 ft.- 0"</v>
      </c>
      <c r="F92" s="2" t="str">
        <f>VLOOKUP([jobnumber],OvalData[],MATCH(Table2[[#Headers],[Between Brackets]],Table2[#Headers],0),0)</f>
        <v xml:space="preserve"> 18 ft.- 7 7/ 8"</v>
      </c>
      <c r="G92" s="2" t="str">
        <f>VLOOKUP([jobnumber],OvalData[],MATCH(Table2[[#Headers],[shell]],Table2[#Headers],0),0)</f>
        <v>6 INCH TUBE</v>
      </c>
      <c r="H92" s="2" t="str">
        <f>VLOOKUP([jobnumber],OvalData[],MATCH(Table2[[#Headers],[pipewidth]],Table2[#Headers],0),0)</f>
        <v xml:space="preserve"> 18 ft.- 1 3/ 8"</v>
      </c>
      <c r="I92" s="2">
        <f>VLOOKUP([jobnumber],OvalData[],MATCH(Table2[[#Headers],[Support Tubes]],Table2[#Headers],0),0)</f>
        <v>0</v>
      </c>
      <c r="J92" s="2">
        <f>VLOOKUP([jobnumber],OvalData[],MATCH(Table2[[#Headers],[Upset]],Table2[#Headers],0),0)</f>
        <v>2</v>
      </c>
      <c r="K92" s="2" t="str">
        <f>VLOOKUP([jobnumber],OvalData[],MATCH(Table2[[#Headers],[Guide Type]],Table2[#Headers],0),0)</f>
        <v>SN2-4 5/8-E</v>
      </c>
      <c r="L92" s="2" t="str">
        <f>VLOOKUP([jobnumber],OvalData[],MATCH(Table2[[#Headers],[Wall Angle]],Table2[#Headers],0),0)</f>
        <v xml:space="preserve"> 11 ft.- 8"</v>
      </c>
      <c r="M92" s="2" t="str">
        <f>VLOOKUP([jobnumber],OvalData[],MATCH(Table2[[#Headers],[Middle Angle]],Table2[#Headers],0),0)</f>
        <v xml:space="preserve"> 10 ft.- 4 1/ 2"</v>
      </c>
      <c r="N92" s="2" t="str">
        <f>VLOOKUP([jobnumber],OvalData[],MATCH(Table2[[#Headers],[Front Angle]],Table2[#Headers],0),0)</f>
        <v xml:space="preserve"> 10 ft.- 3"</v>
      </c>
      <c r="O92" s="2">
        <f>VLOOKUP([jobnumber],OvalData[],MATCH(Table2[[#Headers],[Pipe Center Line]],Table2[#Headers],0),0)</f>
        <v>131</v>
      </c>
      <c r="P92" s="2">
        <f>VLOOKUP([jobnumber],OvalData[],MATCH(Table2[[#Headers],[Heat Expansion Gap]],Table2[#Headers],0),0)</f>
        <v>0</v>
      </c>
      <c r="Q92" s="2">
        <f>VLOOKUP([jobnumber],OvalData[],MATCH(Table2[[#Headers],[Hanging Weight Closed]],Table2[#Headers],0),0)</f>
        <v>795</v>
      </c>
      <c r="R92" s="2">
        <f>VLOOKUP([jobnumber],OvalData[],MATCH(Table2[[#Headers],[Hanging Weight Open]],Table2[#Headers],0),0)</f>
        <v>140</v>
      </c>
      <c r="S92" s="2">
        <f>VLOOKUP([jobnumber],OvalData[],MATCH(Table2[[#Headers],[Initial Lever Arm]],Table2[#Headers],0),0)</f>
        <v>4.25</v>
      </c>
      <c r="T92" s="2">
        <f>VLOOKUP([jobnumber],OvalData[],MATCH(Table2[[#Headers],[Turns to Raise]],Table2[#Headers],0),0)</f>
        <v>3.5859999999999999</v>
      </c>
      <c r="U92" s="2">
        <f>VLOOKUP([jobnumber],OvalData[],MATCH(Table2[[#Headers],[Final Lever Arm]],Table2[#Headers],0),0)</f>
        <v>6.37</v>
      </c>
      <c r="V92" s="2">
        <f>VLOOKUP([jobnumber],OvalData[],MATCH(Table2[[#Headers],[Torque Required Closed]],Table2[#Headers],0),0)</f>
        <v>3377.9</v>
      </c>
      <c r="W92" s="2">
        <f>VLOOKUP([jobnumber],OvalData[],MATCH(Table2[[#Headers],[Torque Required Open]],Table2[#Headers],0),0)</f>
        <v>892</v>
      </c>
      <c r="X92" s="2">
        <f>VLOOKUP([jobnumber],OvalData[],MATCH(Table2[[#Headers],[Pre Turns]],Table2[#Headers],0),0)</f>
        <v>1.3332999999999999</v>
      </c>
      <c r="Y92" s="2">
        <f>VLOOKUP([jobnumber],OvalData[],MATCH(Table2[[#Headers],[Required Torque Per Turn]],Table2[#Headers],0),0)</f>
        <v>688</v>
      </c>
      <c r="Z92" s="2">
        <f>VLOOKUP([jobnumber],OvalData[],MATCH(Table2[[#Headers],[Total Turns]],Table2[#Headers],0),0)</f>
        <v>4.91</v>
      </c>
      <c r="AA92" s="2">
        <f>VLOOKUP([jobnumber],OvalData[],MATCH(Table2[[#Headers],[Grille Vision Section]],Table2[#Headers],0),0)</f>
        <v>0</v>
      </c>
      <c r="AB92" s="2">
        <f>VLOOKUP([jobnumber],OvalData[],MATCH(Table2[[#Headers],[Grille Amount]],Table2[#Headers],0),0)</f>
        <v>0</v>
      </c>
      <c r="AC92" s="2">
        <f>VLOOKUP([jobnumber],OvalData[],MATCH(Table2[[#Headers],[Grille Center]],Table2[#Headers],0),0)</f>
        <v>0</v>
      </c>
      <c r="AD92" s="2">
        <f>VLOOKUP([jobnumber],OvalData[],MATCH(Table2[[#Headers],[Grille Pattern]],Table2[#Headers],0),0)</f>
        <v>0</v>
      </c>
      <c r="AE92" s="2">
        <f>VLOOKUP([jobnumber],OvalData[],MATCH(Table2[[#Headers],[Grille First Tube]],Table2[#Headers],0),0)</f>
        <v>0</v>
      </c>
      <c r="AF92" s="2">
        <f>VLOOKUP([jobnumber],OvalData[],MATCH(Table2[[#Headers],[Grille Standard Tube]],Table2[#Headers],0),0)</f>
        <v>0</v>
      </c>
      <c r="AG92" s="2">
        <f>VLOOKUP([jobnumber],OvalData[],MATCH(Table2[[#Headers],[Grille Total Links]],Table2[#Headers],0),0)</f>
        <v>0</v>
      </c>
      <c r="AH92" s="2">
        <f>VLOOKUP([jobnumber],OvalData[],MATCH(Table2[[#Headers],[Grille Rods]],Table2[#Headers],0),0)</f>
        <v>0</v>
      </c>
      <c r="AI92" s="2">
        <f>VLOOKUP([jobnumber],OvalData[],MATCH(Table2[[#Headers],[Grille Rod Length]],Table2[#Headers],0),0)</f>
        <v>0</v>
      </c>
      <c r="AJ92" s="2">
        <f>VLOOKUP([jobnumber],OvalData[],MATCH(Table2[[#Headers],[slattype]],Table2[#Headers],0),0)</f>
        <v>2</v>
      </c>
      <c r="AK92" s="2">
        <f>VLOOKUP([jobnumber],OvalData[],MATCH(Table2[[#Headers],[slatgage]],Table2[#Headers],0),0)</f>
        <v>18</v>
      </c>
      <c r="AL92" s="2">
        <f>VLOOKUP([jobnumber],OvalData[],MATCH(Table2[[#Headers],[Numer of Top Slats]],Table2[#Headers],0),0)</f>
        <v>0</v>
      </c>
      <c r="AM92" s="2">
        <f>VLOOKUP([jobnumber],OvalData[],MATCH(Table2[[#Headers],[Number of Bottom Slats]],Table2[#Headers],0),0)</f>
        <v>0</v>
      </c>
      <c r="AN92" s="2">
        <f>VLOOKUP([jobnumber],OvalData[],MATCH(Table2[[#Headers],[Solid Bottom Height]],Table2[#Headers],0),0)</f>
        <v>0</v>
      </c>
      <c r="AO92" s="2" t="str">
        <f>VLOOKUP([jobnumber],OvalData[],MATCH(Table2[[#Headers],[slatlength]],Table2[#Headers],0),0)</f>
        <v xml:space="preserve"> 18 ft.- 5 7/ 8"</v>
      </c>
      <c r="AP92" s="2">
        <f>VLOOKUP([jobnumber],OvalData[],MATCH(Table2[[#Headers],[Bottom Slat Length]],Table2[#Headers],0),0)</f>
        <v>0</v>
      </c>
      <c r="AQ92" s="2">
        <f>VLOOKUP([jobnumber],OvalData[],MATCH(Table2[[#Headers],[Number of Perferated Slats]],Table2[#Headers],0),0)</f>
        <v>0</v>
      </c>
      <c r="AR92" s="2">
        <f>VLOOKUP([jobnumber],OvalData[],MATCH(Table2[[#Headers],[First Preferated Slat From End]],Table2[#Headers],0),0)</f>
        <v>0</v>
      </c>
      <c r="AS92" s="2">
        <f>VLOOKUP([jobnumber],OvalData[],MATCH(Table2[[#Headers],[First Preferated Slat From Bottom]],Table2[#Headers],0),0)</f>
        <v>0</v>
      </c>
      <c r="AT92" s="2">
        <f>VLOOKUP([jobnumber],OvalData[],MATCH(Table2[[#Headers],[Total Number of Slats]],Table2[#Headers],0),0)</f>
        <v>51</v>
      </c>
      <c r="AU92" s="2">
        <f>VLOOKUP([jobnumber],OvalData[],MATCH(Table2[[#Headers],[Bottom Bar Slope]],Table2[#Headers],0),0)</f>
        <v>0</v>
      </c>
      <c r="AV92" s="2">
        <f>VLOOKUP([jobnumber],OvalData[],MATCH(Table2[[#Headers],[Bottom Bar Weight]],Table2[#Headers],0),0)</f>
        <v>80.5</v>
      </c>
      <c r="AW92" s="2" t="str">
        <f>VLOOKUP([jobnumber],OvalData[],MATCH(Table2[[#Headers],[Outer Spring Gage]],Table2[#Headers],0),0)</f>
        <v>Null</v>
      </c>
      <c r="AX92" s="2" t="str">
        <f>VLOOKUP([jobnumber],OvalData[],MATCH(Table2[[#Headers],[Outer Spring OD]],Table2[#Headers],0),0)</f>
        <v>Null</v>
      </c>
      <c r="AY92" s="2" t="str">
        <f>VLOOKUP([jobnumber],OvalData[],MATCH(Table2[[#Headers],[Outer Spring Length]],Table2[#Headers],0),0)</f>
        <v>Null</v>
      </c>
      <c r="AZ92" s="2" t="str">
        <f>VLOOKUP([jobnumber],OvalData[],MATCH(Table2[[#Headers],[Outer Spring Stretch]],Table2[#Headers],0),0)</f>
        <v>Null</v>
      </c>
      <c r="BA92" s="2" t="str">
        <f>VLOOKUP([jobnumber],OvalData[],MATCH(Table2[[#Headers],[Outer Spring Torque]],Table2[#Headers],0),0)</f>
        <v>Null</v>
      </c>
      <c r="BB92" s="2" t="str">
        <f>VLOOKUP([jobnumber],OvalData[],MATCH(Table2[[#Headers],[Outer Spring Max Turns]],Table2[#Headers],0),0)</f>
        <v>Null</v>
      </c>
      <c r="BC92" s="2" t="str">
        <f>VLOOKUP([jobnumber],OvalData[],MATCH(Table2[[#Headers],[Outer Spring Weight]],Table2[#Headers],0),0)</f>
        <v>Null</v>
      </c>
      <c r="BD92" s="2" t="str">
        <f>VLOOKUP([jobnumber],OvalData[],MATCH(Table2[[#Headers],[Inner Spring Gage]],Table2[#Headers],0),0)</f>
        <v>Null</v>
      </c>
      <c r="BE92" s="2" t="str">
        <f>VLOOKUP([jobnumber],OvalData[],MATCH(Table2[[#Headers],[Inner Spring OD]],Table2[#Headers],0),0)</f>
        <v>Null</v>
      </c>
      <c r="BF92" s="2" t="str">
        <f>VLOOKUP([jobnumber],OvalData[],MATCH(Table2[[#Headers],[Inner Spring Length]],Table2[#Headers],0),0)</f>
        <v>Null</v>
      </c>
      <c r="BG92" s="2" t="str">
        <f>VLOOKUP([jobnumber],OvalData[],MATCH(Table2[[#Headers],[Inner Spring Stretch]],Table2[#Headers],0),0)</f>
        <v>Null</v>
      </c>
      <c r="BH92" s="2" t="str">
        <f>VLOOKUP([jobnumber],OvalData[],MATCH(Table2[[#Headers],[Inner Spring Torque]],Table2[#Headers],0),0)</f>
        <v>Null</v>
      </c>
      <c r="BI92" s="2" t="str">
        <f>VLOOKUP([jobnumber],OvalData[],MATCH(Table2[[#Headers],[Inner Spring Max Turns]],Table2[#Headers],0),0)</f>
        <v>Null</v>
      </c>
      <c r="BJ92" s="2" t="str">
        <f>VLOOKUP([jobnumber],OvalData[],MATCH(Table2[[#Headers],[Inner Spring Weight]],Table2[#Headers],0),0)</f>
        <v>Null</v>
      </c>
      <c r="BK92" s="2">
        <f>VLOOKUP([jobnumber],OvalData[],MATCH(Table2[[#Headers],[Cycles]],Table2[#Headers],0),0)</f>
        <v>0</v>
      </c>
      <c r="BL92" s="2">
        <f>VLOOKUP([jobnumber],OvalData[],MATCH(Table2[[#Headers],[Total Spring Torque]],Table2[#Headers],0),0)</f>
        <v>0</v>
      </c>
      <c r="BM92" s="2">
        <f>VLOOKUP([jobnumber],OvalData[],MATCH(Table2[[#Headers],[Total Spring Weight]],Table2[#Headers],0),0)</f>
        <v>0</v>
      </c>
      <c r="BN92" s="2">
        <f>VLOOKUP([jobnumber],OvalData[],MATCH(Table2[[#Headers],[Pipe Weight]],Table2[#Headers],0),0)</f>
        <v>688.24239999999998</v>
      </c>
      <c r="BO92" s="2">
        <f>VLOOKUP([jobnumber],OvalData[],MATCH(Table2[[#Headers],[Max Pipe Deflection]],Table2[#Headers],0),0)</f>
        <v>2309</v>
      </c>
      <c r="BP92" s="2">
        <f>VLOOKUP([jobnumber],OvalData[],MATCH(Table2[[#Headers],[Number Non-Insulated Wrap Slats]],Table2[#Headers],0),0)</f>
        <v>0</v>
      </c>
      <c r="BQ92" s="2">
        <f>VLOOKUP([jobnumber],OvalData[],MATCH(Table2[[#Headers],[Number of Insolated Top Slats]],Table2[#Headers],0),0)</f>
        <v>45</v>
      </c>
      <c r="BR92" s="2">
        <f>VLOOKUP([jobnumber],OvalData[],MATCH(Table2[[#Headers],[Insolated Total Slats]],Table2[#Headers],0),0)</f>
        <v>45</v>
      </c>
      <c r="BS92" s="2">
        <f>VLOOKUP([jobnumber],OvalData[],MATCH(Table2[[#Headers],[Number of Slats]],Table2[#Headers],0),0)</f>
        <v>44.69</v>
      </c>
      <c r="BT92" s="2">
        <f>VLOOKUP([jobnumber],OvalData[],MATCH(Table2[[#Headers],[Wrap]],Table2[#Headers],0),0)</f>
        <v>0</v>
      </c>
      <c r="BU92" s="2">
        <f>VLOOKUP([jobnumber],OvalData[],MATCH(Table2[[#Headers],[Wall Angle Thickness]],Table2[#Headers],0),0)</f>
        <v>0</v>
      </c>
      <c r="BV92" s="2">
        <f>VLOOKUP([jobnumber],OvalData[],MATCH(Table2[[#Headers],[windlocks]],Table2[#Headers],0),0)</f>
        <v>0</v>
      </c>
      <c r="BW92" s="2" t="str">
        <f>VLOOKUP([jobnumber],OvalData[],MATCH(Table2[[#Headers],[bottombartype]],Table2[#Headers],0),0)</f>
        <v>SPECIAL</v>
      </c>
      <c r="BX92" s="2">
        <f>VLOOKUP([jobnumber],OvalData[],MATCH(Table2[[#Headers],[endlockweight]],Table2[#Headers],0),0)</f>
        <v>0.17</v>
      </c>
      <c r="BY92" s="2">
        <f>VLOOKUP([jobnumber],OvalData[],MATCH(Table2[[#Headers],[Endlock Total Weight]],Table2[#Headers],0),0)</f>
        <v>7.5972999999999997</v>
      </c>
      <c r="BZ92" s="2">
        <f>VLOOKUP([jobnumber],OvalData[],MATCH(Table2[[#Headers],[Grille Weight]],Table2[#Headers],0),0)</f>
        <v>0</v>
      </c>
      <c r="CA92" s="2">
        <f>VLOOKUP([jobnumber],OvalData[],MATCH(Table2[[#Headers],[barrelrings]],Table2[#Headers],0),0)</f>
        <v>1</v>
      </c>
    </row>
    <row r="93" spans="2:79">
      <c r="B93" s="2" t="str">
        <f>VLOOKUP([jobnumber],OvalData[],MATCH(Table2[[#Headers],[Hand]],Table2[#Headers],0),0)</f>
        <v>RH</v>
      </c>
      <c r="C93" s="2" t="str">
        <f>VLOOKUP([jobnumber],OvalData[],MATCH(Table2[[#Headers],[Model]],Table2[#Headers],0),0)</f>
        <v>SFMPP</v>
      </c>
      <c r="D93" s="2" t="str">
        <f>VLOOKUP([jobnumber],OvalData[],MATCH(Table2[[#Headers],[width]],Table2[#Headers],0),0)</f>
        <v xml:space="preserve"> 18 ft.- 2"</v>
      </c>
      <c r="E93" s="2" t="str">
        <f>VLOOKUP([jobnumber],OvalData[],MATCH(Table2[[#Headers],[stopheight]],Table2[#Headers],0),0)</f>
        <v xml:space="preserve"> 10 ft.- 0"</v>
      </c>
      <c r="F93" s="2" t="str">
        <f>VLOOKUP([jobnumber],OvalData[],MATCH(Table2[[#Headers],[Between Brackets]],Table2[#Headers],0),0)</f>
        <v xml:space="preserve"> 18 ft.- 7 7/ 8"</v>
      </c>
      <c r="G93" s="2" t="str">
        <f>VLOOKUP([jobnumber],OvalData[],MATCH(Table2[[#Headers],[shell]],Table2[#Headers],0),0)</f>
        <v>6 INCH TUBE</v>
      </c>
      <c r="H93" s="2" t="str">
        <f>VLOOKUP([jobnumber],OvalData[],MATCH(Table2[[#Headers],[pipewidth]],Table2[#Headers],0),0)</f>
        <v xml:space="preserve"> 18 ft.- 1 3/ 8"</v>
      </c>
      <c r="I93" s="2">
        <f>VLOOKUP([jobnumber],OvalData[],MATCH(Table2[[#Headers],[Support Tubes]],Table2[#Headers],0),0)</f>
        <v>0</v>
      </c>
      <c r="J93" s="2">
        <f>VLOOKUP([jobnumber],OvalData[],MATCH(Table2[[#Headers],[Upset]],Table2[#Headers],0),0)</f>
        <v>2</v>
      </c>
      <c r="K93" s="2" t="str">
        <f>VLOOKUP([jobnumber],OvalData[],MATCH(Table2[[#Headers],[Guide Type]],Table2[#Headers],0),0)</f>
        <v>SN2-4 5/8-E</v>
      </c>
      <c r="L93" s="2" t="str">
        <f>VLOOKUP([jobnumber],OvalData[],MATCH(Table2[[#Headers],[Wall Angle]],Table2[#Headers],0),0)</f>
        <v xml:space="preserve"> 11 ft.- 8"</v>
      </c>
      <c r="M93" s="2" t="str">
        <f>VLOOKUP([jobnumber],OvalData[],MATCH(Table2[[#Headers],[Middle Angle]],Table2[#Headers],0),0)</f>
        <v xml:space="preserve"> 10 ft.- 4 1/ 2"</v>
      </c>
      <c r="N93" s="2" t="str">
        <f>VLOOKUP([jobnumber],OvalData[],MATCH(Table2[[#Headers],[Front Angle]],Table2[#Headers],0),0)</f>
        <v xml:space="preserve"> 10 ft.- 3"</v>
      </c>
      <c r="O93" s="2">
        <f>VLOOKUP([jobnumber],OvalData[],MATCH(Table2[[#Headers],[Pipe Center Line]],Table2[#Headers],0),0)</f>
        <v>131</v>
      </c>
      <c r="P93" s="2">
        <f>VLOOKUP([jobnumber],OvalData[],MATCH(Table2[[#Headers],[Heat Expansion Gap]],Table2[#Headers],0),0)</f>
        <v>0</v>
      </c>
      <c r="Q93" s="2">
        <f>VLOOKUP([jobnumber],OvalData[],MATCH(Table2[[#Headers],[Hanging Weight Closed]],Table2[#Headers],0),0)</f>
        <v>795</v>
      </c>
      <c r="R93" s="2">
        <f>VLOOKUP([jobnumber],OvalData[],MATCH(Table2[[#Headers],[Hanging Weight Open]],Table2[#Headers],0),0)</f>
        <v>140</v>
      </c>
      <c r="S93" s="2">
        <f>VLOOKUP([jobnumber],OvalData[],MATCH(Table2[[#Headers],[Initial Lever Arm]],Table2[#Headers],0),0)</f>
        <v>4.25</v>
      </c>
      <c r="T93" s="2">
        <f>VLOOKUP([jobnumber],OvalData[],MATCH(Table2[[#Headers],[Turns to Raise]],Table2[#Headers],0),0)</f>
        <v>3.5859999999999999</v>
      </c>
      <c r="U93" s="2">
        <f>VLOOKUP([jobnumber],OvalData[],MATCH(Table2[[#Headers],[Final Lever Arm]],Table2[#Headers],0),0)</f>
        <v>6.37</v>
      </c>
      <c r="V93" s="2">
        <f>VLOOKUP([jobnumber],OvalData[],MATCH(Table2[[#Headers],[Torque Required Closed]],Table2[#Headers],0),0)</f>
        <v>3377.9</v>
      </c>
      <c r="W93" s="2">
        <f>VLOOKUP([jobnumber],OvalData[],MATCH(Table2[[#Headers],[Torque Required Open]],Table2[#Headers],0),0)</f>
        <v>892</v>
      </c>
      <c r="X93" s="2">
        <f>VLOOKUP([jobnumber],OvalData[],MATCH(Table2[[#Headers],[Pre Turns]],Table2[#Headers],0),0)</f>
        <v>1.3332999999999999</v>
      </c>
      <c r="Y93" s="2">
        <f>VLOOKUP([jobnumber],OvalData[],MATCH(Table2[[#Headers],[Required Torque Per Turn]],Table2[#Headers],0),0)</f>
        <v>688</v>
      </c>
      <c r="Z93" s="2">
        <f>VLOOKUP([jobnumber],OvalData[],MATCH(Table2[[#Headers],[Total Turns]],Table2[#Headers],0),0)</f>
        <v>4.91</v>
      </c>
      <c r="AA93" s="2">
        <f>VLOOKUP([jobnumber],OvalData[],MATCH(Table2[[#Headers],[Grille Vision Section]],Table2[#Headers],0),0)</f>
        <v>0</v>
      </c>
      <c r="AB93" s="2">
        <f>VLOOKUP([jobnumber],OvalData[],MATCH(Table2[[#Headers],[Grille Amount]],Table2[#Headers],0),0)</f>
        <v>0</v>
      </c>
      <c r="AC93" s="2">
        <f>VLOOKUP([jobnumber],OvalData[],MATCH(Table2[[#Headers],[Grille Center]],Table2[#Headers],0),0)</f>
        <v>0</v>
      </c>
      <c r="AD93" s="2">
        <f>VLOOKUP([jobnumber],OvalData[],MATCH(Table2[[#Headers],[Grille Pattern]],Table2[#Headers],0),0)</f>
        <v>0</v>
      </c>
      <c r="AE93" s="2">
        <f>VLOOKUP([jobnumber],OvalData[],MATCH(Table2[[#Headers],[Grille First Tube]],Table2[#Headers],0),0)</f>
        <v>0</v>
      </c>
      <c r="AF93" s="2">
        <f>VLOOKUP([jobnumber],OvalData[],MATCH(Table2[[#Headers],[Grille Standard Tube]],Table2[#Headers],0),0)</f>
        <v>0</v>
      </c>
      <c r="AG93" s="2">
        <f>VLOOKUP([jobnumber],OvalData[],MATCH(Table2[[#Headers],[Grille Total Links]],Table2[#Headers],0),0)</f>
        <v>0</v>
      </c>
      <c r="AH93" s="2">
        <f>VLOOKUP([jobnumber],OvalData[],MATCH(Table2[[#Headers],[Grille Rods]],Table2[#Headers],0),0)</f>
        <v>0</v>
      </c>
      <c r="AI93" s="2">
        <f>VLOOKUP([jobnumber],OvalData[],MATCH(Table2[[#Headers],[Grille Rod Length]],Table2[#Headers],0),0)</f>
        <v>0</v>
      </c>
      <c r="AJ93" s="2">
        <f>VLOOKUP([jobnumber],OvalData[],MATCH(Table2[[#Headers],[slattype]],Table2[#Headers],0),0)</f>
        <v>2</v>
      </c>
      <c r="AK93" s="2">
        <f>VLOOKUP([jobnumber],OvalData[],MATCH(Table2[[#Headers],[slatgage]],Table2[#Headers],0),0)</f>
        <v>18</v>
      </c>
      <c r="AL93" s="2">
        <f>VLOOKUP([jobnumber],OvalData[],MATCH(Table2[[#Headers],[Numer of Top Slats]],Table2[#Headers],0),0)</f>
        <v>0</v>
      </c>
      <c r="AM93" s="2">
        <f>VLOOKUP([jobnumber],OvalData[],MATCH(Table2[[#Headers],[Number of Bottom Slats]],Table2[#Headers],0),0)</f>
        <v>0</v>
      </c>
      <c r="AN93" s="2">
        <f>VLOOKUP([jobnumber],OvalData[],MATCH(Table2[[#Headers],[Solid Bottom Height]],Table2[#Headers],0),0)</f>
        <v>0</v>
      </c>
      <c r="AO93" s="2" t="str">
        <f>VLOOKUP([jobnumber],OvalData[],MATCH(Table2[[#Headers],[slatlength]],Table2[#Headers],0),0)</f>
        <v xml:space="preserve"> 18 ft.- 5 7/ 8"</v>
      </c>
      <c r="AP93" s="2">
        <f>VLOOKUP([jobnumber],OvalData[],MATCH(Table2[[#Headers],[Bottom Slat Length]],Table2[#Headers],0),0)</f>
        <v>0</v>
      </c>
      <c r="AQ93" s="2">
        <f>VLOOKUP([jobnumber],OvalData[],MATCH(Table2[[#Headers],[Number of Perferated Slats]],Table2[#Headers],0),0)</f>
        <v>0</v>
      </c>
      <c r="AR93" s="2">
        <f>VLOOKUP([jobnumber],OvalData[],MATCH(Table2[[#Headers],[First Preferated Slat From End]],Table2[#Headers],0),0)</f>
        <v>0</v>
      </c>
      <c r="AS93" s="2">
        <f>VLOOKUP([jobnumber],OvalData[],MATCH(Table2[[#Headers],[First Preferated Slat From Bottom]],Table2[#Headers],0),0)</f>
        <v>0</v>
      </c>
      <c r="AT93" s="2">
        <f>VLOOKUP([jobnumber],OvalData[],MATCH(Table2[[#Headers],[Total Number of Slats]],Table2[#Headers],0),0)</f>
        <v>51</v>
      </c>
      <c r="AU93" s="2">
        <f>VLOOKUP([jobnumber],OvalData[],MATCH(Table2[[#Headers],[Bottom Bar Slope]],Table2[#Headers],0),0)</f>
        <v>0</v>
      </c>
      <c r="AV93" s="2">
        <f>VLOOKUP([jobnumber],OvalData[],MATCH(Table2[[#Headers],[Bottom Bar Weight]],Table2[#Headers],0),0)</f>
        <v>80.5</v>
      </c>
      <c r="AW93" s="2" t="str">
        <f>VLOOKUP([jobnumber],OvalData[],MATCH(Table2[[#Headers],[Outer Spring Gage]],Table2[#Headers],0),0)</f>
        <v>Null</v>
      </c>
      <c r="AX93" s="2" t="str">
        <f>VLOOKUP([jobnumber],OvalData[],MATCH(Table2[[#Headers],[Outer Spring OD]],Table2[#Headers],0),0)</f>
        <v>Null</v>
      </c>
      <c r="AY93" s="2" t="str">
        <f>VLOOKUP([jobnumber],OvalData[],MATCH(Table2[[#Headers],[Outer Spring Length]],Table2[#Headers],0),0)</f>
        <v>Null</v>
      </c>
      <c r="AZ93" s="2" t="str">
        <f>VLOOKUP([jobnumber],OvalData[],MATCH(Table2[[#Headers],[Outer Spring Stretch]],Table2[#Headers],0),0)</f>
        <v>Null</v>
      </c>
      <c r="BA93" s="2" t="str">
        <f>VLOOKUP([jobnumber],OvalData[],MATCH(Table2[[#Headers],[Outer Spring Torque]],Table2[#Headers],0),0)</f>
        <v>Null</v>
      </c>
      <c r="BB93" s="2" t="str">
        <f>VLOOKUP([jobnumber],OvalData[],MATCH(Table2[[#Headers],[Outer Spring Max Turns]],Table2[#Headers],0),0)</f>
        <v>Null</v>
      </c>
      <c r="BC93" s="2" t="str">
        <f>VLOOKUP([jobnumber],OvalData[],MATCH(Table2[[#Headers],[Outer Spring Weight]],Table2[#Headers],0),0)</f>
        <v>Null</v>
      </c>
      <c r="BD93" s="2" t="str">
        <f>VLOOKUP([jobnumber],OvalData[],MATCH(Table2[[#Headers],[Inner Spring Gage]],Table2[#Headers],0),0)</f>
        <v>Null</v>
      </c>
      <c r="BE93" s="2" t="str">
        <f>VLOOKUP([jobnumber],OvalData[],MATCH(Table2[[#Headers],[Inner Spring OD]],Table2[#Headers],0),0)</f>
        <v>Null</v>
      </c>
      <c r="BF93" s="2" t="str">
        <f>VLOOKUP([jobnumber],OvalData[],MATCH(Table2[[#Headers],[Inner Spring Length]],Table2[#Headers],0),0)</f>
        <v>Null</v>
      </c>
      <c r="BG93" s="2" t="str">
        <f>VLOOKUP([jobnumber],OvalData[],MATCH(Table2[[#Headers],[Inner Spring Stretch]],Table2[#Headers],0),0)</f>
        <v>Null</v>
      </c>
      <c r="BH93" s="2" t="str">
        <f>VLOOKUP([jobnumber],OvalData[],MATCH(Table2[[#Headers],[Inner Spring Torque]],Table2[#Headers],0),0)</f>
        <v>Null</v>
      </c>
      <c r="BI93" s="2" t="str">
        <f>VLOOKUP([jobnumber],OvalData[],MATCH(Table2[[#Headers],[Inner Spring Max Turns]],Table2[#Headers],0),0)</f>
        <v>Null</v>
      </c>
      <c r="BJ93" s="2" t="str">
        <f>VLOOKUP([jobnumber],OvalData[],MATCH(Table2[[#Headers],[Inner Spring Weight]],Table2[#Headers],0),0)</f>
        <v>Null</v>
      </c>
      <c r="BK93" s="2">
        <f>VLOOKUP([jobnumber],OvalData[],MATCH(Table2[[#Headers],[Cycles]],Table2[#Headers],0),0)</f>
        <v>0</v>
      </c>
      <c r="BL93" s="2">
        <f>VLOOKUP([jobnumber],OvalData[],MATCH(Table2[[#Headers],[Total Spring Torque]],Table2[#Headers],0),0)</f>
        <v>0</v>
      </c>
      <c r="BM93" s="2">
        <f>VLOOKUP([jobnumber],OvalData[],MATCH(Table2[[#Headers],[Total Spring Weight]],Table2[#Headers],0),0)</f>
        <v>0</v>
      </c>
      <c r="BN93" s="2">
        <f>VLOOKUP([jobnumber],OvalData[],MATCH(Table2[[#Headers],[Pipe Weight]],Table2[#Headers],0),0)</f>
        <v>688.24239999999998</v>
      </c>
      <c r="BO93" s="2">
        <f>VLOOKUP([jobnumber],OvalData[],MATCH(Table2[[#Headers],[Max Pipe Deflection]],Table2[#Headers],0),0)</f>
        <v>2309</v>
      </c>
      <c r="BP93" s="2">
        <f>VLOOKUP([jobnumber],OvalData[],MATCH(Table2[[#Headers],[Number Non-Insulated Wrap Slats]],Table2[#Headers],0),0)</f>
        <v>0</v>
      </c>
      <c r="BQ93" s="2">
        <f>VLOOKUP([jobnumber],OvalData[],MATCH(Table2[[#Headers],[Number of Insolated Top Slats]],Table2[#Headers],0),0)</f>
        <v>45</v>
      </c>
      <c r="BR93" s="2">
        <f>VLOOKUP([jobnumber],OvalData[],MATCH(Table2[[#Headers],[Insolated Total Slats]],Table2[#Headers],0),0)</f>
        <v>45</v>
      </c>
      <c r="BS93" s="2">
        <f>VLOOKUP([jobnumber],OvalData[],MATCH(Table2[[#Headers],[Number of Slats]],Table2[#Headers],0),0)</f>
        <v>44.69</v>
      </c>
      <c r="BT93" s="2">
        <f>VLOOKUP([jobnumber],OvalData[],MATCH(Table2[[#Headers],[Wrap]],Table2[#Headers],0),0)</f>
        <v>0</v>
      </c>
      <c r="BU93" s="2">
        <f>VLOOKUP([jobnumber],OvalData[],MATCH(Table2[[#Headers],[Wall Angle Thickness]],Table2[#Headers],0),0)</f>
        <v>0</v>
      </c>
      <c r="BV93" s="2">
        <f>VLOOKUP([jobnumber],OvalData[],MATCH(Table2[[#Headers],[windlocks]],Table2[#Headers],0),0)</f>
        <v>0</v>
      </c>
      <c r="BW93" s="2" t="str">
        <f>VLOOKUP([jobnumber],OvalData[],MATCH(Table2[[#Headers],[bottombartype]],Table2[#Headers],0),0)</f>
        <v>SPECIAL</v>
      </c>
      <c r="BX93" s="2">
        <f>VLOOKUP([jobnumber],OvalData[],MATCH(Table2[[#Headers],[endlockweight]],Table2[#Headers],0),0)</f>
        <v>0.17</v>
      </c>
      <c r="BY93" s="2">
        <f>VLOOKUP([jobnumber],OvalData[],MATCH(Table2[[#Headers],[Endlock Total Weight]],Table2[#Headers],0),0)</f>
        <v>7.5972999999999997</v>
      </c>
      <c r="BZ93" s="2">
        <f>VLOOKUP([jobnumber],OvalData[],MATCH(Table2[[#Headers],[Grille Weight]],Table2[#Headers],0),0)</f>
        <v>0</v>
      </c>
      <c r="CA93" s="2">
        <f>VLOOKUP([jobnumber],OvalData[],MATCH(Table2[[#Headers],[barrelrings]],Table2[#Headers],0),0)</f>
        <v>1</v>
      </c>
    </row>
    <row r="94" spans="2:79">
      <c r="B94" s="2" t="str">
        <f>VLOOKUP([jobnumber],OvalData[],MATCH(Table2[[#Headers],[Hand]],Table2[#Headers],0),0)</f>
        <v>RH</v>
      </c>
      <c r="C94" s="2" t="str">
        <f>VLOOKUP([jobnumber],OvalData[],MATCH(Table2[[#Headers],[Model]],Table2[#Headers],0),0)</f>
        <v>SFMPP</v>
      </c>
      <c r="D94" s="2" t="str">
        <f>VLOOKUP([jobnumber],OvalData[],MATCH(Table2[[#Headers],[width]],Table2[#Headers],0),0)</f>
        <v xml:space="preserve"> 18 ft.- 2"</v>
      </c>
      <c r="E94" s="2" t="str">
        <f>VLOOKUP([jobnumber],OvalData[],MATCH(Table2[[#Headers],[stopheight]],Table2[#Headers],0),0)</f>
        <v xml:space="preserve"> 10 ft.- 0"</v>
      </c>
      <c r="F94" s="2" t="str">
        <f>VLOOKUP([jobnumber],OvalData[],MATCH(Table2[[#Headers],[Between Brackets]],Table2[#Headers],0),0)</f>
        <v xml:space="preserve"> 18 ft.- 7 7/ 8"</v>
      </c>
      <c r="G94" s="2" t="str">
        <f>VLOOKUP([jobnumber],OvalData[],MATCH(Table2[[#Headers],[shell]],Table2[#Headers],0),0)</f>
        <v>6 INCH TUBE</v>
      </c>
      <c r="H94" s="2" t="str">
        <f>VLOOKUP([jobnumber],OvalData[],MATCH(Table2[[#Headers],[pipewidth]],Table2[#Headers],0),0)</f>
        <v xml:space="preserve"> 18 ft.- 1 3/ 8"</v>
      </c>
      <c r="I94" s="2">
        <f>VLOOKUP([jobnumber],OvalData[],MATCH(Table2[[#Headers],[Support Tubes]],Table2[#Headers],0),0)</f>
        <v>0</v>
      </c>
      <c r="J94" s="2">
        <f>VLOOKUP([jobnumber],OvalData[],MATCH(Table2[[#Headers],[Upset]],Table2[#Headers],0),0)</f>
        <v>2</v>
      </c>
      <c r="K94" s="2" t="str">
        <f>VLOOKUP([jobnumber],OvalData[],MATCH(Table2[[#Headers],[Guide Type]],Table2[#Headers],0),0)</f>
        <v>SN2-4 5/8-E</v>
      </c>
      <c r="L94" s="2" t="str">
        <f>VLOOKUP([jobnumber],OvalData[],MATCH(Table2[[#Headers],[Wall Angle]],Table2[#Headers],0),0)</f>
        <v xml:space="preserve"> 11 ft.- 8"</v>
      </c>
      <c r="M94" s="2" t="str">
        <f>VLOOKUP([jobnumber],OvalData[],MATCH(Table2[[#Headers],[Middle Angle]],Table2[#Headers],0),0)</f>
        <v xml:space="preserve"> 10 ft.- 4 1/ 2"</v>
      </c>
      <c r="N94" s="2" t="str">
        <f>VLOOKUP([jobnumber],OvalData[],MATCH(Table2[[#Headers],[Front Angle]],Table2[#Headers],0),0)</f>
        <v xml:space="preserve"> 10 ft.- 3"</v>
      </c>
      <c r="O94" s="2">
        <f>VLOOKUP([jobnumber],OvalData[],MATCH(Table2[[#Headers],[Pipe Center Line]],Table2[#Headers],0),0)</f>
        <v>131</v>
      </c>
      <c r="P94" s="2">
        <f>VLOOKUP([jobnumber],OvalData[],MATCH(Table2[[#Headers],[Heat Expansion Gap]],Table2[#Headers],0),0)</f>
        <v>0</v>
      </c>
      <c r="Q94" s="2">
        <f>VLOOKUP([jobnumber],OvalData[],MATCH(Table2[[#Headers],[Hanging Weight Closed]],Table2[#Headers],0),0)</f>
        <v>795</v>
      </c>
      <c r="R94" s="2">
        <f>VLOOKUP([jobnumber],OvalData[],MATCH(Table2[[#Headers],[Hanging Weight Open]],Table2[#Headers],0),0)</f>
        <v>140</v>
      </c>
      <c r="S94" s="2">
        <f>VLOOKUP([jobnumber],OvalData[],MATCH(Table2[[#Headers],[Initial Lever Arm]],Table2[#Headers],0),0)</f>
        <v>4.25</v>
      </c>
      <c r="T94" s="2">
        <f>VLOOKUP([jobnumber],OvalData[],MATCH(Table2[[#Headers],[Turns to Raise]],Table2[#Headers],0),0)</f>
        <v>3.5859999999999999</v>
      </c>
      <c r="U94" s="2">
        <f>VLOOKUP([jobnumber],OvalData[],MATCH(Table2[[#Headers],[Final Lever Arm]],Table2[#Headers],0),0)</f>
        <v>6.37</v>
      </c>
      <c r="V94" s="2">
        <f>VLOOKUP([jobnumber],OvalData[],MATCH(Table2[[#Headers],[Torque Required Closed]],Table2[#Headers],0),0)</f>
        <v>3377.9</v>
      </c>
      <c r="W94" s="2">
        <f>VLOOKUP([jobnumber],OvalData[],MATCH(Table2[[#Headers],[Torque Required Open]],Table2[#Headers],0),0)</f>
        <v>892</v>
      </c>
      <c r="X94" s="2">
        <f>VLOOKUP([jobnumber],OvalData[],MATCH(Table2[[#Headers],[Pre Turns]],Table2[#Headers],0),0)</f>
        <v>1.3332999999999999</v>
      </c>
      <c r="Y94" s="2">
        <f>VLOOKUP([jobnumber],OvalData[],MATCH(Table2[[#Headers],[Required Torque Per Turn]],Table2[#Headers],0),0)</f>
        <v>688</v>
      </c>
      <c r="Z94" s="2">
        <f>VLOOKUP([jobnumber],OvalData[],MATCH(Table2[[#Headers],[Total Turns]],Table2[#Headers],0),0)</f>
        <v>4.91</v>
      </c>
      <c r="AA94" s="2">
        <f>VLOOKUP([jobnumber],OvalData[],MATCH(Table2[[#Headers],[Grille Vision Section]],Table2[#Headers],0),0)</f>
        <v>0</v>
      </c>
      <c r="AB94" s="2">
        <f>VLOOKUP([jobnumber],OvalData[],MATCH(Table2[[#Headers],[Grille Amount]],Table2[#Headers],0),0)</f>
        <v>0</v>
      </c>
      <c r="AC94" s="2">
        <f>VLOOKUP([jobnumber],OvalData[],MATCH(Table2[[#Headers],[Grille Center]],Table2[#Headers],0),0)</f>
        <v>0</v>
      </c>
      <c r="AD94" s="2">
        <f>VLOOKUP([jobnumber],OvalData[],MATCH(Table2[[#Headers],[Grille Pattern]],Table2[#Headers],0),0)</f>
        <v>0</v>
      </c>
      <c r="AE94" s="2">
        <f>VLOOKUP([jobnumber],OvalData[],MATCH(Table2[[#Headers],[Grille First Tube]],Table2[#Headers],0),0)</f>
        <v>0</v>
      </c>
      <c r="AF94" s="2">
        <f>VLOOKUP([jobnumber],OvalData[],MATCH(Table2[[#Headers],[Grille Standard Tube]],Table2[#Headers],0),0)</f>
        <v>0</v>
      </c>
      <c r="AG94" s="2">
        <f>VLOOKUP([jobnumber],OvalData[],MATCH(Table2[[#Headers],[Grille Total Links]],Table2[#Headers],0),0)</f>
        <v>0</v>
      </c>
      <c r="AH94" s="2">
        <f>VLOOKUP([jobnumber],OvalData[],MATCH(Table2[[#Headers],[Grille Rods]],Table2[#Headers],0),0)</f>
        <v>0</v>
      </c>
      <c r="AI94" s="2">
        <f>VLOOKUP([jobnumber],OvalData[],MATCH(Table2[[#Headers],[Grille Rod Length]],Table2[#Headers],0),0)</f>
        <v>0</v>
      </c>
      <c r="AJ94" s="2">
        <f>VLOOKUP([jobnumber],OvalData[],MATCH(Table2[[#Headers],[slattype]],Table2[#Headers],0),0)</f>
        <v>2</v>
      </c>
      <c r="AK94" s="2">
        <f>VLOOKUP([jobnumber],OvalData[],MATCH(Table2[[#Headers],[slatgage]],Table2[#Headers],0),0)</f>
        <v>18</v>
      </c>
      <c r="AL94" s="2">
        <f>VLOOKUP([jobnumber],OvalData[],MATCH(Table2[[#Headers],[Numer of Top Slats]],Table2[#Headers],0),0)</f>
        <v>0</v>
      </c>
      <c r="AM94" s="2">
        <f>VLOOKUP([jobnumber],OvalData[],MATCH(Table2[[#Headers],[Number of Bottom Slats]],Table2[#Headers],0),0)</f>
        <v>0</v>
      </c>
      <c r="AN94" s="2">
        <f>VLOOKUP([jobnumber],OvalData[],MATCH(Table2[[#Headers],[Solid Bottom Height]],Table2[#Headers],0),0)</f>
        <v>0</v>
      </c>
      <c r="AO94" s="2" t="str">
        <f>VLOOKUP([jobnumber],OvalData[],MATCH(Table2[[#Headers],[slatlength]],Table2[#Headers],0),0)</f>
        <v xml:space="preserve"> 18 ft.- 5 7/ 8"</v>
      </c>
      <c r="AP94" s="2">
        <f>VLOOKUP([jobnumber],OvalData[],MATCH(Table2[[#Headers],[Bottom Slat Length]],Table2[#Headers],0),0)</f>
        <v>0</v>
      </c>
      <c r="AQ94" s="2">
        <f>VLOOKUP([jobnumber],OvalData[],MATCH(Table2[[#Headers],[Number of Perferated Slats]],Table2[#Headers],0),0)</f>
        <v>0</v>
      </c>
      <c r="AR94" s="2">
        <f>VLOOKUP([jobnumber],OvalData[],MATCH(Table2[[#Headers],[First Preferated Slat From End]],Table2[#Headers],0),0)</f>
        <v>0</v>
      </c>
      <c r="AS94" s="2">
        <f>VLOOKUP([jobnumber],OvalData[],MATCH(Table2[[#Headers],[First Preferated Slat From Bottom]],Table2[#Headers],0),0)</f>
        <v>0</v>
      </c>
      <c r="AT94" s="2">
        <f>VLOOKUP([jobnumber],OvalData[],MATCH(Table2[[#Headers],[Total Number of Slats]],Table2[#Headers],0),0)</f>
        <v>51</v>
      </c>
      <c r="AU94" s="2">
        <f>VLOOKUP([jobnumber],OvalData[],MATCH(Table2[[#Headers],[Bottom Bar Slope]],Table2[#Headers],0),0)</f>
        <v>0</v>
      </c>
      <c r="AV94" s="2">
        <f>VLOOKUP([jobnumber],OvalData[],MATCH(Table2[[#Headers],[Bottom Bar Weight]],Table2[#Headers],0),0)</f>
        <v>80.5</v>
      </c>
      <c r="AW94" s="2" t="str">
        <f>VLOOKUP([jobnumber],OvalData[],MATCH(Table2[[#Headers],[Outer Spring Gage]],Table2[#Headers],0),0)</f>
        <v>Null</v>
      </c>
      <c r="AX94" s="2" t="str">
        <f>VLOOKUP([jobnumber],OvalData[],MATCH(Table2[[#Headers],[Outer Spring OD]],Table2[#Headers],0),0)</f>
        <v>Null</v>
      </c>
      <c r="AY94" s="2" t="str">
        <f>VLOOKUP([jobnumber],OvalData[],MATCH(Table2[[#Headers],[Outer Spring Length]],Table2[#Headers],0),0)</f>
        <v>Null</v>
      </c>
      <c r="AZ94" s="2" t="str">
        <f>VLOOKUP([jobnumber],OvalData[],MATCH(Table2[[#Headers],[Outer Spring Stretch]],Table2[#Headers],0),0)</f>
        <v>Null</v>
      </c>
      <c r="BA94" s="2" t="str">
        <f>VLOOKUP([jobnumber],OvalData[],MATCH(Table2[[#Headers],[Outer Spring Torque]],Table2[#Headers],0),0)</f>
        <v>Null</v>
      </c>
      <c r="BB94" s="2" t="str">
        <f>VLOOKUP([jobnumber],OvalData[],MATCH(Table2[[#Headers],[Outer Spring Max Turns]],Table2[#Headers],0),0)</f>
        <v>Null</v>
      </c>
      <c r="BC94" s="2" t="str">
        <f>VLOOKUP([jobnumber],OvalData[],MATCH(Table2[[#Headers],[Outer Spring Weight]],Table2[#Headers],0),0)</f>
        <v>Null</v>
      </c>
      <c r="BD94" s="2" t="str">
        <f>VLOOKUP([jobnumber],OvalData[],MATCH(Table2[[#Headers],[Inner Spring Gage]],Table2[#Headers],0),0)</f>
        <v>Null</v>
      </c>
      <c r="BE94" s="2" t="str">
        <f>VLOOKUP([jobnumber],OvalData[],MATCH(Table2[[#Headers],[Inner Spring OD]],Table2[#Headers],0),0)</f>
        <v>Null</v>
      </c>
      <c r="BF94" s="2" t="str">
        <f>VLOOKUP([jobnumber],OvalData[],MATCH(Table2[[#Headers],[Inner Spring Length]],Table2[#Headers],0),0)</f>
        <v>Null</v>
      </c>
      <c r="BG94" s="2" t="str">
        <f>VLOOKUP([jobnumber],OvalData[],MATCH(Table2[[#Headers],[Inner Spring Stretch]],Table2[#Headers],0),0)</f>
        <v>Null</v>
      </c>
      <c r="BH94" s="2" t="str">
        <f>VLOOKUP([jobnumber],OvalData[],MATCH(Table2[[#Headers],[Inner Spring Torque]],Table2[#Headers],0),0)</f>
        <v>Null</v>
      </c>
      <c r="BI94" s="2" t="str">
        <f>VLOOKUP([jobnumber],OvalData[],MATCH(Table2[[#Headers],[Inner Spring Max Turns]],Table2[#Headers],0),0)</f>
        <v>Null</v>
      </c>
      <c r="BJ94" s="2" t="str">
        <f>VLOOKUP([jobnumber],OvalData[],MATCH(Table2[[#Headers],[Inner Spring Weight]],Table2[#Headers],0),0)</f>
        <v>Null</v>
      </c>
      <c r="BK94" s="2">
        <f>VLOOKUP([jobnumber],OvalData[],MATCH(Table2[[#Headers],[Cycles]],Table2[#Headers],0),0)</f>
        <v>0</v>
      </c>
      <c r="BL94" s="2">
        <f>VLOOKUP([jobnumber],OvalData[],MATCH(Table2[[#Headers],[Total Spring Torque]],Table2[#Headers],0),0)</f>
        <v>0</v>
      </c>
      <c r="BM94" s="2">
        <f>VLOOKUP([jobnumber],OvalData[],MATCH(Table2[[#Headers],[Total Spring Weight]],Table2[#Headers],0),0)</f>
        <v>0</v>
      </c>
      <c r="BN94" s="2">
        <f>VLOOKUP([jobnumber],OvalData[],MATCH(Table2[[#Headers],[Pipe Weight]],Table2[#Headers],0),0)</f>
        <v>688.24239999999998</v>
      </c>
      <c r="BO94" s="2">
        <f>VLOOKUP([jobnumber],OvalData[],MATCH(Table2[[#Headers],[Max Pipe Deflection]],Table2[#Headers],0),0)</f>
        <v>2309</v>
      </c>
      <c r="BP94" s="2">
        <f>VLOOKUP([jobnumber],OvalData[],MATCH(Table2[[#Headers],[Number Non-Insulated Wrap Slats]],Table2[#Headers],0),0)</f>
        <v>0</v>
      </c>
      <c r="BQ94" s="2">
        <f>VLOOKUP([jobnumber],OvalData[],MATCH(Table2[[#Headers],[Number of Insolated Top Slats]],Table2[#Headers],0),0)</f>
        <v>45</v>
      </c>
      <c r="BR94" s="2">
        <f>VLOOKUP([jobnumber],OvalData[],MATCH(Table2[[#Headers],[Insolated Total Slats]],Table2[#Headers],0),0)</f>
        <v>45</v>
      </c>
      <c r="BS94" s="2">
        <f>VLOOKUP([jobnumber],OvalData[],MATCH(Table2[[#Headers],[Number of Slats]],Table2[#Headers],0),0)</f>
        <v>44.69</v>
      </c>
      <c r="BT94" s="2">
        <f>VLOOKUP([jobnumber],OvalData[],MATCH(Table2[[#Headers],[Wrap]],Table2[#Headers],0),0)</f>
        <v>0</v>
      </c>
      <c r="BU94" s="2">
        <f>VLOOKUP([jobnumber],OvalData[],MATCH(Table2[[#Headers],[Wall Angle Thickness]],Table2[#Headers],0),0)</f>
        <v>0</v>
      </c>
      <c r="BV94" s="2">
        <f>VLOOKUP([jobnumber],OvalData[],MATCH(Table2[[#Headers],[windlocks]],Table2[#Headers],0),0)</f>
        <v>0</v>
      </c>
      <c r="BW94" s="2" t="str">
        <f>VLOOKUP([jobnumber],OvalData[],MATCH(Table2[[#Headers],[bottombartype]],Table2[#Headers],0),0)</f>
        <v>SPECIAL</v>
      </c>
      <c r="BX94" s="2">
        <f>VLOOKUP([jobnumber],OvalData[],MATCH(Table2[[#Headers],[endlockweight]],Table2[#Headers],0),0)</f>
        <v>0.17</v>
      </c>
      <c r="BY94" s="2">
        <f>VLOOKUP([jobnumber],OvalData[],MATCH(Table2[[#Headers],[Endlock Total Weight]],Table2[#Headers],0),0)</f>
        <v>7.5972999999999997</v>
      </c>
      <c r="BZ94" s="2">
        <f>VLOOKUP([jobnumber],OvalData[],MATCH(Table2[[#Headers],[Grille Weight]],Table2[#Headers],0),0)</f>
        <v>0</v>
      </c>
      <c r="CA94" s="2">
        <f>VLOOKUP([jobnumber],OvalData[],MATCH(Table2[[#Headers],[barrelrings]],Table2[#Headers],0),0)</f>
        <v>1</v>
      </c>
    </row>
    <row r="95" spans="2:79">
      <c r="B95" s="2" t="str">
        <f>VLOOKUP([jobnumber],OvalData[],MATCH(Table2[[#Headers],[Hand]],Table2[#Headers],0),0)</f>
        <v>RH</v>
      </c>
      <c r="C95" s="2" t="str">
        <f>VLOOKUP([jobnumber],OvalData[],MATCH(Table2[[#Headers],[Model]],Table2[#Headers],0),0)</f>
        <v>SFMPP</v>
      </c>
      <c r="D95" s="2" t="str">
        <f>VLOOKUP([jobnumber],OvalData[],MATCH(Table2[[#Headers],[width]],Table2[#Headers],0),0)</f>
        <v xml:space="preserve"> 18 ft.- 2"</v>
      </c>
      <c r="E95" s="2" t="str">
        <f>VLOOKUP([jobnumber],OvalData[],MATCH(Table2[[#Headers],[stopheight]],Table2[#Headers],0),0)</f>
        <v xml:space="preserve"> 10 ft.- 0"</v>
      </c>
      <c r="F95" s="2" t="str">
        <f>VLOOKUP([jobnumber],OvalData[],MATCH(Table2[[#Headers],[Between Brackets]],Table2[#Headers],0),0)</f>
        <v xml:space="preserve"> 18 ft.- 7 7/ 8"</v>
      </c>
      <c r="G95" s="2" t="str">
        <f>VLOOKUP([jobnumber],OvalData[],MATCH(Table2[[#Headers],[shell]],Table2[#Headers],0),0)</f>
        <v>6 INCH TUBE</v>
      </c>
      <c r="H95" s="2" t="str">
        <f>VLOOKUP([jobnumber],OvalData[],MATCH(Table2[[#Headers],[pipewidth]],Table2[#Headers],0),0)</f>
        <v xml:space="preserve"> 18 ft.- 1 3/ 8"</v>
      </c>
      <c r="I95" s="2">
        <f>VLOOKUP([jobnumber],OvalData[],MATCH(Table2[[#Headers],[Support Tubes]],Table2[#Headers],0),0)</f>
        <v>0</v>
      </c>
      <c r="J95" s="2">
        <f>VLOOKUP([jobnumber],OvalData[],MATCH(Table2[[#Headers],[Upset]],Table2[#Headers],0),0)</f>
        <v>2</v>
      </c>
      <c r="K95" s="2" t="str">
        <f>VLOOKUP([jobnumber],OvalData[],MATCH(Table2[[#Headers],[Guide Type]],Table2[#Headers],0),0)</f>
        <v>SN2-4 5/8-E</v>
      </c>
      <c r="L95" s="2" t="str">
        <f>VLOOKUP([jobnumber],OvalData[],MATCH(Table2[[#Headers],[Wall Angle]],Table2[#Headers],0),0)</f>
        <v xml:space="preserve"> 11 ft.- 8"</v>
      </c>
      <c r="M95" s="2" t="str">
        <f>VLOOKUP([jobnumber],OvalData[],MATCH(Table2[[#Headers],[Middle Angle]],Table2[#Headers],0),0)</f>
        <v xml:space="preserve"> 10 ft.- 4 1/ 2"</v>
      </c>
      <c r="N95" s="2" t="str">
        <f>VLOOKUP([jobnumber],OvalData[],MATCH(Table2[[#Headers],[Front Angle]],Table2[#Headers],0),0)</f>
        <v xml:space="preserve"> 10 ft.- 3"</v>
      </c>
      <c r="O95" s="2">
        <f>VLOOKUP([jobnumber],OvalData[],MATCH(Table2[[#Headers],[Pipe Center Line]],Table2[#Headers],0),0)</f>
        <v>131</v>
      </c>
      <c r="P95" s="2">
        <f>VLOOKUP([jobnumber],OvalData[],MATCH(Table2[[#Headers],[Heat Expansion Gap]],Table2[#Headers],0),0)</f>
        <v>0</v>
      </c>
      <c r="Q95" s="2">
        <f>VLOOKUP([jobnumber],OvalData[],MATCH(Table2[[#Headers],[Hanging Weight Closed]],Table2[#Headers],0),0)</f>
        <v>795</v>
      </c>
      <c r="R95" s="2">
        <f>VLOOKUP([jobnumber],OvalData[],MATCH(Table2[[#Headers],[Hanging Weight Open]],Table2[#Headers],0),0)</f>
        <v>140</v>
      </c>
      <c r="S95" s="2">
        <f>VLOOKUP([jobnumber],OvalData[],MATCH(Table2[[#Headers],[Initial Lever Arm]],Table2[#Headers],0),0)</f>
        <v>4.25</v>
      </c>
      <c r="T95" s="2">
        <f>VLOOKUP([jobnumber],OvalData[],MATCH(Table2[[#Headers],[Turns to Raise]],Table2[#Headers],0),0)</f>
        <v>3.5859999999999999</v>
      </c>
      <c r="U95" s="2">
        <f>VLOOKUP([jobnumber],OvalData[],MATCH(Table2[[#Headers],[Final Lever Arm]],Table2[#Headers],0),0)</f>
        <v>6.37</v>
      </c>
      <c r="V95" s="2">
        <f>VLOOKUP([jobnumber],OvalData[],MATCH(Table2[[#Headers],[Torque Required Closed]],Table2[#Headers],0),0)</f>
        <v>3377.9</v>
      </c>
      <c r="W95" s="2">
        <f>VLOOKUP([jobnumber],OvalData[],MATCH(Table2[[#Headers],[Torque Required Open]],Table2[#Headers],0),0)</f>
        <v>892</v>
      </c>
      <c r="X95" s="2">
        <f>VLOOKUP([jobnumber],OvalData[],MATCH(Table2[[#Headers],[Pre Turns]],Table2[#Headers],0),0)</f>
        <v>1.3332999999999999</v>
      </c>
      <c r="Y95" s="2">
        <f>VLOOKUP([jobnumber],OvalData[],MATCH(Table2[[#Headers],[Required Torque Per Turn]],Table2[#Headers],0),0)</f>
        <v>688</v>
      </c>
      <c r="Z95" s="2">
        <f>VLOOKUP([jobnumber],OvalData[],MATCH(Table2[[#Headers],[Total Turns]],Table2[#Headers],0),0)</f>
        <v>4.91</v>
      </c>
      <c r="AA95" s="2">
        <f>VLOOKUP([jobnumber],OvalData[],MATCH(Table2[[#Headers],[Grille Vision Section]],Table2[#Headers],0),0)</f>
        <v>0</v>
      </c>
      <c r="AB95" s="2">
        <f>VLOOKUP([jobnumber],OvalData[],MATCH(Table2[[#Headers],[Grille Amount]],Table2[#Headers],0),0)</f>
        <v>0</v>
      </c>
      <c r="AC95" s="2">
        <f>VLOOKUP([jobnumber],OvalData[],MATCH(Table2[[#Headers],[Grille Center]],Table2[#Headers],0),0)</f>
        <v>0</v>
      </c>
      <c r="AD95" s="2">
        <f>VLOOKUP([jobnumber],OvalData[],MATCH(Table2[[#Headers],[Grille Pattern]],Table2[#Headers],0),0)</f>
        <v>0</v>
      </c>
      <c r="AE95" s="2">
        <f>VLOOKUP([jobnumber],OvalData[],MATCH(Table2[[#Headers],[Grille First Tube]],Table2[#Headers],0),0)</f>
        <v>0</v>
      </c>
      <c r="AF95" s="2">
        <f>VLOOKUP([jobnumber],OvalData[],MATCH(Table2[[#Headers],[Grille Standard Tube]],Table2[#Headers],0),0)</f>
        <v>0</v>
      </c>
      <c r="AG95" s="2">
        <f>VLOOKUP([jobnumber],OvalData[],MATCH(Table2[[#Headers],[Grille Total Links]],Table2[#Headers],0),0)</f>
        <v>0</v>
      </c>
      <c r="AH95" s="2">
        <f>VLOOKUP([jobnumber],OvalData[],MATCH(Table2[[#Headers],[Grille Rods]],Table2[#Headers],0),0)</f>
        <v>0</v>
      </c>
      <c r="AI95" s="2">
        <f>VLOOKUP([jobnumber],OvalData[],MATCH(Table2[[#Headers],[Grille Rod Length]],Table2[#Headers],0),0)</f>
        <v>0</v>
      </c>
      <c r="AJ95" s="2">
        <f>VLOOKUP([jobnumber],OvalData[],MATCH(Table2[[#Headers],[slattype]],Table2[#Headers],0),0)</f>
        <v>2</v>
      </c>
      <c r="AK95" s="2">
        <f>VLOOKUP([jobnumber],OvalData[],MATCH(Table2[[#Headers],[slatgage]],Table2[#Headers],0),0)</f>
        <v>18</v>
      </c>
      <c r="AL95" s="2">
        <f>VLOOKUP([jobnumber],OvalData[],MATCH(Table2[[#Headers],[Numer of Top Slats]],Table2[#Headers],0),0)</f>
        <v>0</v>
      </c>
      <c r="AM95" s="2">
        <f>VLOOKUP([jobnumber],OvalData[],MATCH(Table2[[#Headers],[Number of Bottom Slats]],Table2[#Headers],0),0)</f>
        <v>0</v>
      </c>
      <c r="AN95" s="2">
        <f>VLOOKUP([jobnumber],OvalData[],MATCH(Table2[[#Headers],[Solid Bottom Height]],Table2[#Headers],0),0)</f>
        <v>0</v>
      </c>
      <c r="AO95" s="2" t="str">
        <f>VLOOKUP([jobnumber],OvalData[],MATCH(Table2[[#Headers],[slatlength]],Table2[#Headers],0),0)</f>
        <v xml:space="preserve"> 18 ft.- 5 7/ 8"</v>
      </c>
      <c r="AP95" s="2">
        <f>VLOOKUP([jobnumber],OvalData[],MATCH(Table2[[#Headers],[Bottom Slat Length]],Table2[#Headers],0),0)</f>
        <v>0</v>
      </c>
      <c r="AQ95" s="2">
        <f>VLOOKUP([jobnumber],OvalData[],MATCH(Table2[[#Headers],[Number of Perferated Slats]],Table2[#Headers],0),0)</f>
        <v>0</v>
      </c>
      <c r="AR95" s="2">
        <f>VLOOKUP([jobnumber],OvalData[],MATCH(Table2[[#Headers],[First Preferated Slat From End]],Table2[#Headers],0),0)</f>
        <v>0</v>
      </c>
      <c r="AS95" s="2">
        <f>VLOOKUP([jobnumber],OvalData[],MATCH(Table2[[#Headers],[First Preferated Slat From Bottom]],Table2[#Headers],0),0)</f>
        <v>0</v>
      </c>
      <c r="AT95" s="2">
        <f>VLOOKUP([jobnumber],OvalData[],MATCH(Table2[[#Headers],[Total Number of Slats]],Table2[#Headers],0),0)</f>
        <v>51</v>
      </c>
      <c r="AU95" s="2">
        <f>VLOOKUP([jobnumber],OvalData[],MATCH(Table2[[#Headers],[Bottom Bar Slope]],Table2[#Headers],0),0)</f>
        <v>0</v>
      </c>
      <c r="AV95" s="2">
        <f>VLOOKUP([jobnumber],OvalData[],MATCH(Table2[[#Headers],[Bottom Bar Weight]],Table2[#Headers],0),0)</f>
        <v>80.5</v>
      </c>
      <c r="AW95" s="2" t="str">
        <f>VLOOKUP([jobnumber],OvalData[],MATCH(Table2[[#Headers],[Outer Spring Gage]],Table2[#Headers],0),0)</f>
        <v>Null</v>
      </c>
      <c r="AX95" s="2" t="str">
        <f>VLOOKUP([jobnumber],OvalData[],MATCH(Table2[[#Headers],[Outer Spring OD]],Table2[#Headers],0),0)</f>
        <v>Null</v>
      </c>
      <c r="AY95" s="2" t="str">
        <f>VLOOKUP([jobnumber],OvalData[],MATCH(Table2[[#Headers],[Outer Spring Length]],Table2[#Headers],0),0)</f>
        <v>Null</v>
      </c>
      <c r="AZ95" s="2" t="str">
        <f>VLOOKUP([jobnumber],OvalData[],MATCH(Table2[[#Headers],[Outer Spring Stretch]],Table2[#Headers],0),0)</f>
        <v>Null</v>
      </c>
      <c r="BA95" s="2" t="str">
        <f>VLOOKUP([jobnumber],OvalData[],MATCH(Table2[[#Headers],[Outer Spring Torque]],Table2[#Headers],0),0)</f>
        <v>Null</v>
      </c>
      <c r="BB95" s="2" t="str">
        <f>VLOOKUP([jobnumber],OvalData[],MATCH(Table2[[#Headers],[Outer Spring Max Turns]],Table2[#Headers],0),0)</f>
        <v>Null</v>
      </c>
      <c r="BC95" s="2" t="str">
        <f>VLOOKUP([jobnumber],OvalData[],MATCH(Table2[[#Headers],[Outer Spring Weight]],Table2[#Headers],0),0)</f>
        <v>Null</v>
      </c>
      <c r="BD95" s="2" t="str">
        <f>VLOOKUP([jobnumber],OvalData[],MATCH(Table2[[#Headers],[Inner Spring Gage]],Table2[#Headers],0),0)</f>
        <v>Null</v>
      </c>
      <c r="BE95" s="2" t="str">
        <f>VLOOKUP([jobnumber],OvalData[],MATCH(Table2[[#Headers],[Inner Spring OD]],Table2[#Headers],0),0)</f>
        <v>Null</v>
      </c>
      <c r="BF95" s="2" t="str">
        <f>VLOOKUP([jobnumber],OvalData[],MATCH(Table2[[#Headers],[Inner Spring Length]],Table2[#Headers],0),0)</f>
        <v>Null</v>
      </c>
      <c r="BG95" s="2" t="str">
        <f>VLOOKUP([jobnumber],OvalData[],MATCH(Table2[[#Headers],[Inner Spring Stretch]],Table2[#Headers],0),0)</f>
        <v>Null</v>
      </c>
      <c r="BH95" s="2" t="str">
        <f>VLOOKUP([jobnumber],OvalData[],MATCH(Table2[[#Headers],[Inner Spring Torque]],Table2[#Headers],0),0)</f>
        <v>Null</v>
      </c>
      <c r="BI95" s="2" t="str">
        <f>VLOOKUP([jobnumber],OvalData[],MATCH(Table2[[#Headers],[Inner Spring Max Turns]],Table2[#Headers],0),0)</f>
        <v>Null</v>
      </c>
      <c r="BJ95" s="2" t="str">
        <f>VLOOKUP([jobnumber],OvalData[],MATCH(Table2[[#Headers],[Inner Spring Weight]],Table2[#Headers],0),0)</f>
        <v>Null</v>
      </c>
      <c r="BK95" s="2">
        <f>VLOOKUP([jobnumber],OvalData[],MATCH(Table2[[#Headers],[Cycles]],Table2[#Headers],0),0)</f>
        <v>0</v>
      </c>
      <c r="BL95" s="2">
        <f>VLOOKUP([jobnumber],OvalData[],MATCH(Table2[[#Headers],[Total Spring Torque]],Table2[#Headers],0),0)</f>
        <v>0</v>
      </c>
      <c r="BM95" s="2">
        <f>VLOOKUP([jobnumber],OvalData[],MATCH(Table2[[#Headers],[Total Spring Weight]],Table2[#Headers],0),0)</f>
        <v>0</v>
      </c>
      <c r="BN95" s="2">
        <f>VLOOKUP([jobnumber],OvalData[],MATCH(Table2[[#Headers],[Pipe Weight]],Table2[#Headers],0),0)</f>
        <v>688.24239999999998</v>
      </c>
      <c r="BO95" s="2">
        <f>VLOOKUP([jobnumber],OvalData[],MATCH(Table2[[#Headers],[Max Pipe Deflection]],Table2[#Headers],0),0)</f>
        <v>2309</v>
      </c>
      <c r="BP95" s="2">
        <f>VLOOKUP([jobnumber],OvalData[],MATCH(Table2[[#Headers],[Number Non-Insulated Wrap Slats]],Table2[#Headers],0),0)</f>
        <v>0</v>
      </c>
      <c r="BQ95" s="2">
        <f>VLOOKUP([jobnumber],OvalData[],MATCH(Table2[[#Headers],[Number of Insolated Top Slats]],Table2[#Headers],0),0)</f>
        <v>45</v>
      </c>
      <c r="BR95" s="2">
        <f>VLOOKUP([jobnumber],OvalData[],MATCH(Table2[[#Headers],[Insolated Total Slats]],Table2[#Headers],0),0)</f>
        <v>45</v>
      </c>
      <c r="BS95" s="2">
        <f>VLOOKUP([jobnumber],OvalData[],MATCH(Table2[[#Headers],[Number of Slats]],Table2[#Headers],0),0)</f>
        <v>44.69</v>
      </c>
      <c r="BT95" s="2">
        <f>VLOOKUP([jobnumber],OvalData[],MATCH(Table2[[#Headers],[Wrap]],Table2[#Headers],0),0)</f>
        <v>0</v>
      </c>
      <c r="BU95" s="2">
        <f>VLOOKUP([jobnumber],OvalData[],MATCH(Table2[[#Headers],[Wall Angle Thickness]],Table2[#Headers],0),0)</f>
        <v>0</v>
      </c>
      <c r="BV95" s="2">
        <f>VLOOKUP([jobnumber],OvalData[],MATCH(Table2[[#Headers],[windlocks]],Table2[#Headers],0),0)</f>
        <v>0</v>
      </c>
      <c r="BW95" s="2" t="str">
        <f>VLOOKUP([jobnumber],OvalData[],MATCH(Table2[[#Headers],[bottombartype]],Table2[#Headers],0),0)</f>
        <v>SPECIAL</v>
      </c>
      <c r="BX95" s="2">
        <f>VLOOKUP([jobnumber],OvalData[],MATCH(Table2[[#Headers],[endlockweight]],Table2[#Headers],0),0)</f>
        <v>0.17</v>
      </c>
      <c r="BY95" s="2">
        <f>VLOOKUP([jobnumber],OvalData[],MATCH(Table2[[#Headers],[Endlock Total Weight]],Table2[#Headers],0),0)</f>
        <v>7.5972999999999997</v>
      </c>
      <c r="BZ95" s="2">
        <f>VLOOKUP([jobnumber],OvalData[],MATCH(Table2[[#Headers],[Grille Weight]],Table2[#Headers],0),0)</f>
        <v>0</v>
      </c>
      <c r="CA95" s="2">
        <f>VLOOKUP([jobnumber],OvalData[],MATCH(Table2[[#Headers],[barrelrings]],Table2[#Headers],0),0)</f>
        <v>1</v>
      </c>
    </row>
    <row r="96" spans="2:79">
      <c r="B96" s="2" t="str">
        <f>VLOOKUP([jobnumber],OvalData[],MATCH(Table2[[#Headers],[Hand]],Table2[#Headers],0),0)</f>
        <v>RH</v>
      </c>
      <c r="C96" s="2" t="str">
        <f>VLOOKUP([jobnumber],OvalData[],MATCH(Table2[[#Headers],[Model]],Table2[#Headers],0),0)</f>
        <v>SFMPP</v>
      </c>
      <c r="D96" s="2" t="str">
        <f>VLOOKUP([jobnumber],OvalData[],MATCH(Table2[[#Headers],[width]],Table2[#Headers],0),0)</f>
        <v xml:space="preserve"> 18 ft.- 2"</v>
      </c>
      <c r="E96" s="2" t="str">
        <f>VLOOKUP([jobnumber],OvalData[],MATCH(Table2[[#Headers],[stopheight]],Table2[#Headers],0),0)</f>
        <v xml:space="preserve"> 10 ft.- 0"</v>
      </c>
      <c r="F96" s="2" t="str">
        <f>VLOOKUP([jobnumber],OvalData[],MATCH(Table2[[#Headers],[Between Brackets]],Table2[#Headers],0),0)</f>
        <v xml:space="preserve"> 18 ft.- 7 7/ 8"</v>
      </c>
      <c r="G96" s="2" t="str">
        <f>VLOOKUP([jobnumber],OvalData[],MATCH(Table2[[#Headers],[shell]],Table2[#Headers],0),0)</f>
        <v>6 INCH TUBE</v>
      </c>
      <c r="H96" s="2" t="str">
        <f>VLOOKUP([jobnumber],OvalData[],MATCH(Table2[[#Headers],[pipewidth]],Table2[#Headers],0),0)</f>
        <v xml:space="preserve"> 18 ft.- 1 3/ 8"</v>
      </c>
      <c r="I96" s="2">
        <f>VLOOKUP([jobnumber],OvalData[],MATCH(Table2[[#Headers],[Support Tubes]],Table2[#Headers],0),0)</f>
        <v>0</v>
      </c>
      <c r="J96" s="2">
        <f>VLOOKUP([jobnumber],OvalData[],MATCH(Table2[[#Headers],[Upset]],Table2[#Headers],0),0)</f>
        <v>2</v>
      </c>
      <c r="K96" s="2" t="str">
        <f>VLOOKUP([jobnumber],OvalData[],MATCH(Table2[[#Headers],[Guide Type]],Table2[#Headers],0),0)</f>
        <v>SN2-4 5/8-E</v>
      </c>
      <c r="L96" s="2" t="str">
        <f>VLOOKUP([jobnumber],OvalData[],MATCH(Table2[[#Headers],[Wall Angle]],Table2[#Headers],0),0)</f>
        <v xml:space="preserve"> 11 ft.- 8"</v>
      </c>
      <c r="M96" s="2" t="str">
        <f>VLOOKUP([jobnumber],OvalData[],MATCH(Table2[[#Headers],[Middle Angle]],Table2[#Headers],0),0)</f>
        <v xml:space="preserve"> 10 ft.- 4 1/ 2"</v>
      </c>
      <c r="N96" s="2" t="str">
        <f>VLOOKUP([jobnumber],OvalData[],MATCH(Table2[[#Headers],[Front Angle]],Table2[#Headers],0),0)</f>
        <v xml:space="preserve"> 10 ft.- 3"</v>
      </c>
      <c r="O96" s="2">
        <f>VLOOKUP([jobnumber],OvalData[],MATCH(Table2[[#Headers],[Pipe Center Line]],Table2[#Headers],0),0)</f>
        <v>131</v>
      </c>
      <c r="P96" s="2">
        <f>VLOOKUP([jobnumber],OvalData[],MATCH(Table2[[#Headers],[Heat Expansion Gap]],Table2[#Headers],0),0)</f>
        <v>0</v>
      </c>
      <c r="Q96" s="2">
        <f>VLOOKUP([jobnumber],OvalData[],MATCH(Table2[[#Headers],[Hanging Weight Closed]],Table2[#Headers],0),0)</f>
        <v>795</v>
      </c>
      <c r="R96" s="2">
        <f>VLOOKUP([jobnumber],OvalData[],MATCH(Table2[[#Headers],[Hanging Weight Open]],Table2[#Headers],0),0)</f>
        <v>140</v>
      </c>
      <c r="S96" s="2">
        <f>VLOOKUP([jobnumber],OvalData[],MATCH(Table2[[#Headers],[Initial Lever Arm]],Table2[#Headers],0),0)</f>
        <v>4.25</v>
      </c>
      <c r="T96" s="2">
        <f>VLOOKUP([jobnumber],OvalData[],MATCH(Table2[[#Headers],[Turns to Raise]],Table2[#Headers],0),0)</f>
        <v>3.5859999999999999</v>
      </c>
      <c r="U96" s="2">
        <f>VLOOKUP([jobnumber],OvalData[],MATCH(Table2[[#Headers],[Final Lever Arm]],Table2[#Headers],0),0)</f>
        <v>6.37</v>
      </c>
      <c r="V96" s="2">
        <f>VLOOKUP([jobnumber],OvalData[],MATCH(Table2[[#Headers],[Torque Required Closed]],Table2[#Headers],0),0)</f>
        <v>3377.9</v>
      </c>
      <c r="W96" s="2">
        <f>VLOOKUP([jobnumber],OvalData[],MATCH(Table2[[#Headers],[Torque Required Open]],Table2[#Headers],0),0)</f>
        <v>892</v>
      </c>
      <c r="X96" s="2">
        <f>VLOOKUP([jobnumber],OvalData[],MATCH(Table2[[#Headers],[Pre Turns]],Table2[#Headers],0),0)</f>
        <v>1.3332999999999999</v>
      </c>
      <c r="Y96" s="2">
        <f>VLOOKUP([jobnumber],OvalData[],MATCH(Table2[[#Headers],[Required Torque Per Turn]],Table2[#Headers],0),0)</f>
        <v>688</v>
      </c>
      <c r="Z96" s="2">
        <f>VLOOKUP([jobnumber],OvalData[],MATCH(Table2[[#Headers],[Total Turns]],Table2[#Headers],0),0)</f>
        <v>4.91</v>
      </c>
      <c r="AA96" s="2">
        <f>VLOOKUP([jobnumber],OvalData[],MATCH(Table2[[#Headers],[Grille Vision Section]],Table2[#Headers],0),0)</f>
        <v>0</v>
      </c>
      <c r="AB96" s="2">
        <f>VLOOKUP([jobnumber],OvalData[],MATCH(Table2[[#Headers],[Grille Amount]],Table2[#Headers],0),0)</f>
        <v>0</v>
      </c>
      <c r="AC96" s="2">
        <f>VLOOKUP([jobnumber],OvalData[],MATCH(Table2[[#Headers],[Grille Center]],Table2[#Headers],0),0)</f>
        <v>0</v>
      </c>
      <c r="AD96" s="2">
        <f>VLOOKUP([jobnumber],OvalData[],MATCH(Table2[[#Headers],[Grille Pattern]],Table2[#Headers],0),0)</f>
        <v>0</v>
      </c>
      <c r="AE96" s="2">
        <f>VLOOKUP([jobnumber],OvalData[],MATCH(Table2[[#Headers],[Grille First Tube]],Table2[#Headers],0),0)</f>
        <v>0</v>
      </c>
      <c r="AF96" s="2">
        <f>VLOOKUP([jobnumber],OvalData[],MATCH(Table2[[#Headers],[Grille Standard Tube]],Table2[#Headers],0),0)</f>
        <v>0</v>
      </c>
      <c r="AG96" s="2">
        <f>VLOOKUP([jobnumber],OvalData[],MATCH(Table2[[#Headers],[Grille Total Links]],Table2[#Headers],0),0)</f>
        <v>0</v>
      </c>
      <c r="AH96" s="2">
        <f>VLOOKUP([jobnumber],OvalData[],MATCH(Table2[[#Headers],[Grille Rods]],Table2[#Headers],0),0)</f>
        <v>0</v>
      </c>
      <c r="AI96" s="2">
        <f>VLOOKUP([jobnumber],OvalData[],MATCH(Table2[[#Headers],[Grille Rod Length]],Table2[#Headers],0),0)</f>
        <v>0</v>
      </c>
      <c r="AJ96" s="2">
        <f>VLOOKUP([jobnumber],OvalData[],MATCH(Table2[[#Headers],[slattype]],Table2[#Headers],0),0)</f>
        <v>2</v>
      </c>
      <c r="AK96" s="2">
        <f>VLOOKUP([jobnumber],OvalData[],MATCH(Table2[[#Headers],[slatgage]],Table2[#Headers],0),0)</f>
        <v>18</v>
      </c>
      <c r="AL96" s="2">
        <f>VLOOKUP([jobnumber],OvalData[],MATCH(Table2[[#Headers],[Numer of Top Slats]],Table2[#Headers],0),0)</f>
        <v>0</v>
      </c>
      <c r="AM96" s="2">
        <f>VLOOKUP([jobnumber],OvalData[],MATCH(Table2[[#Headers],[Number of Bottom Slats]],Table2[#Headers],0),0)</f>
        <v>0</v>
      </c>
      <c r="AN96" s="2">
        <f>VLOOKUP([jobnumber],OvalData[],MATCH(Table2[[#Headers],[Solid Bottom Height]],Table2[#Headers],0),0)</f>
        <v>0</v>
      </c>
      <c r="AO96" s="2" t="str">
        <f>VLOOKUP([jobnumber],OvalData[],MATCH(Table2[[#Headers],[slatlength]],Table2[#Headers],0),0)</f>
        <v xml:space="preserve"> 18 ft.- 5 7/ 8"</v>
      </c>
      <c r="AP96" s="2">
        <f>VLOOKUP([jobnumber],OvalData[],MATCH(Table2[[#Headers],[Bottom Slat Length]],Table2[#Headers],0),0)</f>
        <v>0</v>
      </c>
      <c r="AQ96" s="2">
        <f>VLOOKUP([jobnumber],OvalData[],MATCH(Table2[[#Headers],[Number of Perferated Slats]],Table2[#Headers],0),0)</f>
        <v>0</v>
      </c>
      <c r="AR96" s="2">
        <f>VLOOKUP([jobnumber],OvalData[],MATCH(Table2[[#Headers],[First Preferated Slat From End]],Table2[#Headers],0),0)</f>
        <v>0</v>
      </c>
      <c r="AS96" s="2">
        <f>VLOOKUP([jobnumber],OvalData[],MATCH(Table2[[#Headers],[First Preferated Slat From Bottom]],Table2[#Headers],0),0)</f>
        <v>0</v>
      </c>
      <c r="AT96" s="2">
        <f>VLOOKUP([jobnumber],OvalData[],MATCH(Table2[[#Headers],[Total Number of Slats]],Table2[#Headers],0),0)</f>
        <v>51</v>
      </c>
      <c r="AU96" s="2">
        <f>VLOOKUP([jobnumber],OvalData[],MATCH(Table2[[#Headers],[Bottom Bar Slope]],Table2[#Headers],0),0)</f>
        <v>0</v>
      </c>
      <c r="AV96" s="2">
        <f>VLOOKUP([jobnumber],OvalData[],MATCH(Table2[[#Headers],[Bottom Bar Weight]],Table2[#Headers],0),0)</f>
        <v>80.5</v>
      </c>
      <c r="AW96" s="2" t="str">
        <f>VLOOKUP([jobnumber],OvalData[],MATCH(Table2[[#Headers],[Outer Spring Gage]],Table2[#Headers],0),0)</f>
        <v>Null</v>
      </c>
      <c r="AX96" s="2" t="str">
        <f>VLOOKUP([jobnumber],OvalData[],MATCH(Table2[[#Headers],[Outer Spring OD]],Table2[#Headers],0),0)</f>
        <v>Null</v>
      </c>
      <c r="AY96" s="2" t="str">
        <f>VLOOKUP([jobnumber],OvalData[],MATCH(Table2[[#Headers],[Outer Spring Length]],Table2[#Headers],0),0)</f>
        <v>Null</v>
      </c>
      <c r="AZ96" s="2" t="str">
        <f>VLOOKUP([jobnumber],OvalData[],MATCH(Table2[[#Headers],[Outer Spring Stretch]],Table2[#Headers],0),0)</f>
        <v>Null</v>
      </c>
      <c r="BA96" s="2" t="str">
        <f>VLOOKUP([jobnumber],OvalData[],MATCH(Table2[[#Headers],[Outer Spring Torque]],Table2[#Headers],0),0)</f>
        <v>Null</v>
      </c>
      <c r="BB96" s="2" t="str">
        <f>VLOOKUP([jobnumber],OvalData[],MATCH(Table2[[#Headers],[Outer Spring Max Turns]],Table2[#Headers],0),0)</f>
        <v>Null</v>
      </c>
      <c r="BC96" s="2" t="str">
        <f>VLOOKUP([jobnumber],OvalData[],MATCH(Table2[[#Headers],[Outer Spring Weight]],Table2[#Headers],0),0)</f>
        <v>Null</v>
      </c>
      <c r="BD96" s="2" t="str">
        <f>VLOOKUP([jobnumber],OvalData[],MATCH(Table2[[#Headers],[Inner Spring Gage]],Table2[#Headers],0),0)</f>
        <v>Null</v>
      </c>
      <c r="BE96" s="2" t="str">
        <f>VLOOKUP([jobnumber],OvalData[],MATCH(Table2[[#Headers],[Inner Spring OD]],Table2[#Headers],0),0)</f>
        <v>Null</v>
      </c>
      <c r="BF96" s="2" t="str">
        <f>VLOOKUP([jobnumber],OvalData[],MATCH(Table2[[#Headers],[Inner Spring Length]],Table2[#Headers],0),0)</f>
        <v>Null</v>
      </c>
      <c r="BG96" s="2" t="str">
        <f>VLOOKUP([jobnumber],OvalData[],MATCH(Table2[[#Headers],[Inner Spring Stretch]],Table2[#Headers],0),0)</f>
        <v>Null</v>
      </c>
      <c r="BH96" s="2" t="str">
        <f>VLOOKUP([jobnumber],OvalData[],MATCH(Table2[[#Headers],[Inner Spring Torque]],Table2[#Headers],0),0)</f>
        <v>Null</v>
      </c>
      <c r="BI96" s="2" t="str">
        <f>VLOOKUP([jobnumber],OvalData[],MATCH(Table2[[#Headers],[Inner Spring Max Turns]],Table2[#Headers],0),0)</f>
        <v>Null</v>
      </c>
      <c r="BJ96" s="2" t="str">
        <f>VLOOKUP([jobnumber],OvalData[],MATCH(Table2[[#Headers],[Inner Spring Weight]],Table2[#Headers],0),0)</f>
        <v>Null</v>
      </c>
      <c r="BK96" s="2">
        <f>VLOOKUP([jobnumber],OvalData[],MATCH(Table2[[#Headers],[Cycles]],Table2[#Headers],0),0)</f>
        <v>0</v>
      </c>
      <c r="BL96" s="2">
        <f>VLOOKUP([jobnumber],OvalData[],MATCH(Table2[[#Headers],[Total Spring Torque]],Table2[#Headers],0),0)</f>
        <v>0</v>
      </c>
      <c r="BM96" s="2">
        <f>VLOOKUP([jobnumber],OvalData[],MATCH(Table2[[#Headers],[Total Spring Weight]],Table2[#Headers],0),0)</f>
        <v>0</v>
      </c>
      <c r="BN96" s="2">
        <f>VLOOKUP([jobnumber],OvalData[],MATCH(Table2[[#Headers],[Pipe Weight]],Table2[#Headers],0),0)</f>
        <v>688.24239999999998</v>
      </c>
      <c r="BO96" s="2">
        <f>VLOOKUP([jobnumber],OvalData[],MATCH(Table2[[#Headers],[Max Pipe Deflection]],Table2[#Headers],0),0)</f>
        <v>2309</v>
      </c>
      <c r="BP96" s="2">
        <f>VLOOKUP([jobnumber],OvalData[],MATCH(Table2[[#Headers],[Number Non-Insulated Wrap Slats]],Table2[#Headers],0),0)</f>
        <v>0</v>
      </c>
      <c r="BQ96" s="2">
        <f>VLOOKUP([jobnumber],OvalData[],MATCH(Table2[[#Headers],[Number of Insolated Top Slats]],Table2[#Headers],0),0)</f>
        <v>45</v>
      </c>
      <c r="BR96" s="2">
        <f>VLOOKUP([jobnumber],OvalData[],MATCH(Table2[[#Headers],[Insolated Total Slats]],Table2[#Headers],0),0)</f>
        <v>45</v>
      </c>
      <c r="BS96" s="2">
        <f>VLOOKUP([jobnumber],OvalData[],MATCH(Table2[[#Headers],[Number of Slats]],Table2[#Headers],0),0)</f>
        <v>44.69</v>
      </c>
      <c r="BT96" s="2">
        <f>VLOOKUP([jobnumber],OvalData[],MATCH(Table2[[#Headers],[Wrap]],Table2[#Headers],0),0)</f>
        <v>0</v>
      </c>
      <c r="BU96" s="2">
        <f>VLOOKUP([jobnumber],OvalData[],MATCH(Table2[[#Headers],[Wall Angle Thickness]],Table2[#Headers],0),0)</f>
        <v>0</v>
      </c>
      <c r="BV96" s="2">
        <f>VLOOKUP([jobnumber],OvalData[],MATCH(Table2[[#Headers],[windlocks]],Table2[#Headers],0),0)</f>
        <v>0</v>
      </c>
      <c r="BW96" s="2" t="str">
        <f>VLOOKUP([jobnumber],OvalData[],MATCH(Table2[[#Headers],[bottombartype]],Table2[#Headers],0),0)</f>
        <v>SPECIAL</v>
      </c>
      <c r="BX96" s="2">
        <f>VLOOKUP([jobnumber],OvalData[],MATCH(Table2[[#Headers],[endlockweight]],Table2[#Headers],0),0)</f>
        <v>0.17</v>
      </c>
      <c r="BY96" s="2">
        <f>VLOOKUP([jobnumber],OvalData[],MATCH(Table2[[#Headers],[Endlock Total Weight]],Table2[#Headers],0),0)</f>
        <v>7.5972999999999997</v>
      </c>
      <c r="BZ96" s="2">
        <f>VLOOKUP([jobnumber],OvalData[],MATCH(Table2[[#Headers],[Grille Weight]],Table2[#Headers],0),0)</f>
        <v>0</v>
      </c>
      <c r="CA96" s="2">
        <f>VLOOKUP([jobnumber],OvalData[],MATCH(Table2[[#Headers],[barrelrings]],Table2[#Headers],0),0)</f>
        <v>1</v>
      </c>
    </row>
    <row r="97" spans="2:79">
      <c r="B97" s="2" t="str">
        <f>VLOOKUP([jobnumber],OvalData[],MATCH(Table2[[#Headers],[Hand]],Table2[#Headers],0),0)</f>
        <v>RH</v>
      </c>
      <c r="C97" s="2" t="str">
        <f>VLOOKUP([jobnumber],OvalData[],MATCH(Table2[[#Headers],[Model]],Table2[#Headers],0),0)</f>
        <v>SFMPP</v>
      </c>
      <c r="D97" s="2" t="str">
        <f>VLOOKUP([jobnumber],OvalData[],MATCH(Table2[[#Headers],[width]],Table2[#Headers],0),0)</f>
        <v xml:space="preserve"> 18 ft.- 2"</v>
      </c>
      <c r="E97" s="2" t="str">
        <f>VLOOKUP([jobnumber],OvalData[],MATCH(Table2[[#Headers],[stopheight]],Table2[#Headers],0),0)</f>
        <v xml:space="preserve"> 10 ft.- 0"</v>
      </c>
      <c r="F97" s="2" t="str">
        <f>VLOOKUP([jobnumber],OvalData[],MATCH(Table2[[#Headers],[Between Brackets]],Table2[#Headers],0),0)</f>
        <v xml:space="preserve"> 18 ft.- 7 7/ 8"</v>
      </c>
      <c r="G97" s="2" t="str">
        <f>VLOOKUP([jobnumber],OvalData[],MATCH(Table2[[#Headers],[shell]],Table2[#Headers],0),0)</f>
        <v>6 INCH TUBE</v>
      </c>
      <c r="H97" s="2" t="str">
        <f>VLOOKUP([jobnumber],OvalData[],MATCH(Table2[[#Headers],[pipewidth]],Table2[#Headers],0),0)</f>
        <v xml:space="preserve"> 18 ft.- 1 3/ 8"</v>
      </c>
      <c r="I97" s="2">
        <f>VLOOKUP([jobnumber],OvalData[],MATCH(Table2[[#Headers],[Support Tubes]],Table2[#Headers],0),0)</f>
        <v>0</v>
      </c>
      <c r="J97" s="2">
        <f>VLOOKUP([jobnumber],OvalData[],MATCH(Table2[[#Headers],[Upset]],Table2[#Headers],0),0)</f>
        <v>2</v>
      </c>
      <c r="K97" s="2" t="str">
        <f>VLOOKUP([jobnumber],OvalData[],MATCH(Table2[[#Headers],[Guide Type]],Table2[#Headers],0),0)</f>
        <v>SN2-4 5/8-E</v>
      </c>
      <c r="L97" s="2" t="str">
        <f>VLOOKUP([jobnumber],OvalData[],MATCH(Table2[[#Headers],[Wall Angle]],Table2[#Headers],0),0)</f>
        <v xml:space="preserve"> 11 ft.- 8"</v>
      </c>
      <c r="M97" s="2" t="str">
        <f>VLOOKUP([jobnumber],OvalData[],MATCH(Table2[[#Headers],[Middle Angle]],Table2[#Headers],0),0)</f>
        <v xml:space="preserve"> 10 ft.- 4 1/ 2"</v>
      </c>
      <c r="N97" s="2" t="str">
        <f>VLOOKUP([jobnumber],OvalData[],MATCH(Table2[[#Headers],[Front Angle]],Table2[#Headers],0),0)</f>
        <v xml:space="preserve"> 10 ft.- 3"</v>
      </c>
      <c r="O97" s="2">
        <f>VLOOKUP([jobnumber],OvalData[],MATCH(Table2[[#Headers],[Pipe Center Line]],Table2[#Headers],0),0)</f>
        <v>131</v>
      </c>
      <c r="P97" s="2">
        <f>VLOOKUP([jobnumber],OvalData[],MATCH(Table2[[#Headers],[Heat Expansion Gap]],Table2[#Headers],0),0)</f>
        <v>0</v>
      </c>
      <c r="Q97" s="2">
        <f>VLOOKUP([jobnumber],OvalData[],MATCH(Table2[[#Headers],[Hanging Weight Closed]],Table2[#Headers],0),0)</f>
        <v>795</v>
      </c>
      <c r="R97" s="2">
        <f>VLOOKUP([jobnumber],OvalData[],MATCH(Table2[[#Headers],[Hanging Weight Open]],Table2[#Headers],0),0)</f>
        <v>140</v>
      </c>
      <c r="S97" s="2">
        <f>VLOOKUP([jobnumber],OvalData[],MATCH(Table2[[#Headers],[Initial Lever Arm]],Table2[#Headers],0),0)</f>
        <v>4.25</v>
      </c>
      <c r="T97" s="2">
        <f>VLOOKUP([jobnumber],OvalData[],MATCH(Table2[[#Headers],[Turns to Raise]],Table2[#Headers],0),0)</f>
        <v>3.5859999999999999</v>
      </c>
      <c r="U97" s="2">
        <f>VLOOKUP([jobnumber],OvalData[],MATCH(Table2[[#Headers],[Final Lever Arm]],Table2[#Headers],0),0)</f>
        <v>6.37</v>
      </c>
      <c r="V97" s="2">
        <f>VLOOKUP([jobnumber],OvalData[],MATCH(Table2[[#Headers],[Torque Required Closed]],Table2[#Headers],0),0)</f>
        <v>3377.9</v>
      </c>
      <c r="W97" s="2">
        <f>VLOOKUP([jobnumber],OvalData[],MATCH(Table2[[#Headers],[Torque Required Open]],Table2[#Headers],0),0)</f>
        <v>892</v>
      </c>
      <c r="X97" s="2">
        <f>VLOOKUP([jobnumber],OvalData[],MATCH(Table2[[#Headers],[Pre Turns]],Table2[#Headers],0),0)</f>
        <v>1.3332999999999999</v>
      </c>
      <c r="Y97" s="2">
        <f>VLOOKUP([jobnumber],OvalData[],MATCH(Table2[[#Headers],[Required Torque Per Turn]],Table2[#Headers],0),0)</f>
        <v>688</v>
      </c>
      <c r="Z97" s="2">
        <f>VLOOKUP([jobnumber],OvalData[],MATCH(Table2[[#Headers],[Total Turns]],Table2[#Headers],0),0)</f>
        <v>4.91</v>
      </c>
      <c r="AA97" s="2">
        <f>VLOOKUP([jobnumber],OvalData[],MATCH(Table2[[#Headers],[Grille Vision Section]],Table2[#Headers],0),0)</f>
        <v>0</v>
      </c>
      <c r="AB97" s="2">
        <f>VLOOKUP([jobnumber],OvalData[],MATCH(Table2[[#Headers],[Grille Amount]],Table2[#Headers],0),0)</f>
        <v>0</v>
      </c>
      <c r="AC97" s="2">
        <f>VLOOKUP([jobnumber],OvalData[],MATCH(Table2[[#Headers],[Grille Center]],Table2[#Headers],0),0)</f>
        <v>0</v>
      </c>
      <c r="AD97" s="2">
        <f>VLOOKUP([jobnumber],OvalData[],MATCH(Table2[[#Headers],[Grille Pattern]],Table2[#Headers],0),0)</f>
        <v>0</v>
      </c>
      <c r="AE97" s="2">
        <f>VLOOKUP([jobnumber],OvalData[],MATCH(Table2[[#Headers],[Grille First Tube]],Table2[#Headers],0),0)</f>
        <v>0</v>
      </c>
      <c r="AF97" s="2">
        <f>VLOOKUP([jobnumber],OvalData[],MATCH(Table2[[#Headers],[Grille Standard Tube]],Table2[#Headers],0),0)</f>
        <v>0</v>
      </c>
      <c r="AG97" s="2">
        <f>VLOOKUP([jobnumber],OvalData[],MATCH(Table2[[#Headers],[Grille Total Links]],Table2[#Headers],0),0)</f>
        <v>0</v>
      </c>
      <c r="AH97" s="2">
        <f>VLOOKUP([jobnumber],OvalData[],MATCH(Table2[[#Headers],[Grille Rods]],Table2[#Headers],0),0)</f>
        <v>0</v>
      </c>
      <c r="AI97" s="2">
        <f>VLOOKUP([jobnumber],OvalData[],MATCH(Table2[[#Headers],[Grille Rod Length]],Table2[#Headers],0),0)</f>
        <v>0</v>
      </c>
      <c r="AJ97" s="2">
        <f>VLOOKUP([jobnumber],OvalData[],MATCH(Table2[[#Headers],[slattype]],Table2[#Headers],0),0)</f>
        <v>2</v>
      </c>
      <c r="AK97" s="2">
        <f>VLOOKUP([jobnumber],OvalData[],MATCH(Table2[[#Headers],[slatgage]],Table2[#Headers],0),0)</f>
        <v>18</v>
      </c>
      <c r="AL97" s="2">
        <f>VLOOKUP([jobnumber],OvalData[],MATCH(Table2[[#Headers],[Numer of Top Slats]],Table2[#Headers],0),0)</f>
        <v>0</v>
      </c>
      <c r="AM97" s="2">
        <f>VLOOKUP([jobnumber],OvalData[],MATCH(Table2[[#Headers],[Number of Bottom Slats]],Table2[#Headers],0),0)</f>
        <v>0</v>
      </c>
      <c r="AN97" s="2">
        <f>VLOOKUP([jobnumber],OvalData[],MATCH(Table2[[#Headers],[Solid Bottom Height]],Table2[#Headers],0),0)</f>
        <v>0</v>
      </c>
      <c r="AO97" s="2" t="str">
        <f>VLOOKUP([jobnumber],OvalData[],MATCH(Table2[[#Headers],[slatlength]],Table2[#Headers],0),0)</f>
        <v xml:space="preserve"> 18 ft.- 5 7/ 8"</v>
      </c>
      <c r="AP97" s="2">
        <f>VLOOKUP([jobnumber],OvalData[],MATCH(Table2[[#Headers],[Bottom Slat Length]],Table2[#Headers],0),0)</f>
        <v>0</v>
      </c>
      <c r="AQ97" s="2">
        <f>VLOOKUP([jobnumber],OvalData[],MATCH(Table2[[#Headers],[Number of Perferated Slats]],Table2[#Headers],0),0)</f>
        <v>0</v>
      </c>
      <c r="AR97" s="2">
        <f>VLOOKUP([jobnumber],OvalData[],MATCH(Table2[[#Headers],[First Preferated Slat From End]],Table2[#Headers],0),0)</f>
        <v>0</v>
      </c>
      <c r="AS97" s="2">
        <f>VLOOKUP([jobnumber],OvalData[],MATCH(Table2[[#Headers],[First Preferated Slat From Bottom]],Table2[#Headers],0),0)</f>
        <v>0</v>
      </c>
      <c r="AT97" s="2">
        <f>VLOOKUP([jobnumber],OvalData[],MATCH(Table2[[#Headers],[Total Number of Slats]],Table2[#Headers],0),0)</f>
        <v>51</v>
      </c>
      <c r="AU97" s="2">
        <f>VLOOKUP([jobnumber],OvalData[],MATCH(Table2[[#Headers],[Bottom Bar Slope]],Table2[#Headers],0),0)</f>
        <v>0</v>
      </c>
      <c r="AV97" s="2">
        <f>VLOOKUP([jobnumber],OvalData[],MATCH(Table2[[#Headers],[Bottom Bar Weight]],Table2[#Headers],0),0)</f>
        <v>80.5</v>
      </c>
      <c r="AW97" s="2" t="str">
        <f>VLOOKUP([jobnumber],OvalData[],MATCH(Table2[[#Headers],[Outer Spring Gage]],Table2[#Headers],0),0)</f>
        <v>Null</v>
      </c>
      <c r="AX97" s="2" t="str">
        <f>VLOOKUP([jobnumber],OvalData[],MATCH(Table2[[#Headers],[Outer Spring OD]],Table2[#Headers],0),0)</f>
        <v>Null</v>
      </c>
      <c r="AY97" s="2" t="str">
        <f>VLOOKUP([jobnumber],OvalData[],MATCH(Table2[[#Headers],[Outer Spring Length]],Table2[#Headers],0),0)</f>
        <v>Null</v>
      </c>
      <c r="AZ97" s="2" t="str">
        <f>VLOOKUP([jobnumber],OvalData[],MATCH(Table2[[#Headers],[Outer Spring Stretch]],Table2[#Headers],0),0)</f>
        <v>Null</v>
      </c>
      <c r="BA97" s="2" t="str">
        <f>VLOOKUP([jobnumber],OvalData[],MATCH(Table2[[#Headers],[Outer Spring Torque]],Table2[#Headers],0),0)</f>
        <v>Null</v>
      </c>
      <c r="BB97" s="2" t="str">
        <f>VLOOKUP([jobnumber],OvalData[],MATCH(Table2[[#Headers],[Outer Spring Max Turns]],Table2[#Headers],0),0)</f>
        <v>Null</v>
      </c>
      <c r="BC97" s="2" t="str">
        <f>VLOOKUP([jobnumber],OvalData[],MATCH(Table2[[#Headers],[Outer Spring Weight]],Table2[#Headers],0),0)</f>
        <v>Null</v>
      </c>
      <c r="BD97" s="2" t="str">
        <f>VLOOKUP([jobnumber],OvalData[],MATCH(Table2[[#Headers],[Inner Spring Gage]],Table2[#Headers],0),0)</f>
        <v>Null</v>
      </c>
      <c r="BE97" s="2" t="str">
        <f>VLOOKUP([jobnumber],OvalData[],MATCH(Table2[[#Headers],[Inner Spring OD]],Table2[#Headers],0),0)</f>
        <v>Null</v>
      </c>
      <c r="BF97" s="2" t="str">
        <f>VLOOKUP([jobnumber],OvalData[],MATCH(Table2[[#Headers],[Inner Spring Length]],Table2[#Headers],0),0)</f>
        <v>Null</v>
      </c>
      <c r="BG97" s="2" t="str">
        <f>VLOOKUP([jobnumber],OvalData[],MATCH(Table2[[#Headers],[Inner Spring Stretch]],Table2[#Headers],0),0)</f>
        <v>Null</v>
      </c>
      <c r="BH97" s="2" t="str">
        <f>VLOOKUP([jobnumber],OvalData[],MATCH(Table2[[#Headers],[Inner Spring Torque]],Table2[#Headers],0),0)</f>
        <v>Null</v>
      </c>
      <c r="BI97" s="2" t="str">
        <f>VLOOKUP([jobnumber],OvalData[],MATCH(Table2[[#Headers],[Inner Spring Max Turns]],Table2[#Headers],0),0)</f>
        <v>Null</v>
      </c>
      <c r="BJ97" s="2" t="str">
        <f>VLOOKUP([jobnumber],OvalData[],MATCH(Table2[[#Headers],[Inner Spring Weight]],Table2[#Headers],0),0)</f>
        <v>Null</v>
      </c>
      <c r="BK97" s="2">
        <f>VLOOKUP([jobnumber],OvalData[],MATCH(Table2[[#Headers],[Cycles]],Table2[#Headers],0),0)</f>
        <v>0</v>
      </c>
      <c r="BL97" s="2">
        <f>VLOOKUP([jobnumber],OvalData[],MATCH(Table2[[#Headers],[Total Spring Torque]],Table2[#Headers],0),0)</f>
        <v>0</v>
      </c>
      <c r="BM97" s="2">
        <f>VLOOKUP([jobnumber],OvalData[],MATCH(Table2[[#Headers],[Total Spring Weight]],Table2[#Headers],0),0)</f>
        <v>0</v>
      </c>
      <c r="BN97" s="2">
        <f>VLOOKUP([jobnumber],OvalData[],MATCH(Table2[[#Headers],[Pipe Weight]],Table2[#Headers],0),0)</f>
        <v>688.24239999999998</v>
      </c>
      <c r="BO97" s="2">
        <f>VLOOKUP([jobnumber],OvalData[],MATCH(Table2[[#Headers],[Max Pipe Deflection]],Table2[#Headers],0),0)</f>
        <v>2309</v>
      </c>
      <c r="BP97" s="2">
        <f>VLOOKUP([jobnumber],OvalData[],MATCH(Table2[[#Headers],[Number Non-Insulated Wrap Slats]],Table2[#Headers],0),0)</f>
        <v>0</v>
      </c>
      <c r="BQ97" s="2">
        <f>VLOOKUP([jobnumber],OvalData[],MATCH(Table2[[#Headers],[Number of Insolated Top Slats]],Table2[#Headers],0),0)</f>
        <v>45</v>
      </c>
      <c r="BR97" s="2">
        <f>VLOOKUP([jobnumber],OvalData[],MATCH(Table2[[#Headers],[Insolated Total Slats]],Table2[#Headers],0),0)</f>
        <v>45</v>
      </c>
      <c r="BS97" s="2">
        <f>VLOOKUP([jobnumber],OvalData[],MATCH(Table2[[#Headers],[Number of Slats]],Table2[#Headers],0),0)</f>
        <v>44.69</v>
      </c>
      <c r="BT97" s="2">
        <f>VLOOKUP([jobnumber],OvalData[],MATCH(Table2[[#Headers],[Wrap]],Table2[#Headers],0),0)</f>
        <v>0</v>
      </c>
      <c r="BU97" s="2">
        <f>VLOOKUP([jobnumber],OvalData[],MATCH(Table2[[#Headers],[Wall Angle Thickness]],Table2[#Headers],0),0)</f>
        <v>0</v>
      </c>
      <c r="BV97" s="2">
        <f>VLOOKUP([jobnumber],OvalData[],MATCH(Table2[[#Headers],[windlocks]],Table2[#Headers],0),0)</f>
        <v>0</v>
      </c>
      <c r="BW97" s="2" t="str">
        <f>VLOOKUP([jobnumber],OvalData[],MATCH(Table2[[#Headers],[bottombartype]],Table2[#Headers],0),0)</f>
        <v>SPECIAL</v>
      </c>
      <c r="BX97" s="2">
        <f>VLOOKUP([jobnumber],OvalData[],MATCH(Table2[[#Headers],[endlockweight]],Table2[#Headers],0),0)</f>
        <v>0.17</v>
      </c>
      <c r="BY97" s="2">
        <f>VLOOKUP([jobnumber],OvalData[],MATCH(Table2[[#Headers],[Endlock Total Weight]],Table2[#Headers],0),0)</f>
        <v>7.5972999999999997</v>
      </c>
      <c r="BZ97" s="2">
        <f>VLOOKUP([jobnumber],OvalData[],MATCH(Table2[[#Headers],[Grille Weight]],Table2[#Headers],0),0)</f>
        <v>0</v>
      </c>
      <c r="CA97" s="2">
        <f>VLOOKUP([jobnumber],OvalData[],MATCH(Table2[[#Headers],[barrelrings]],Table2[#Headers],0),0)</f>
        <v>1</v>
      </c>
    </row>
    <row r="98" spans="2:79">
      <c r="B98" s="2" t="str">
        <f>VLOOKUP([jobnumber],OvalData[],MATCH(Table2[[#Headers],[Hand]],Table2[#Headers],0),0)</f>
        <v>RH</v>
      </c>
      <c r="C98" s="2" t="str">
        <f>VLOOKUP([jobnumber],OvalData[],MATCH(Table2[[#Headers],[Model]],Table2[#Headers],0),0)</f>
        <v>SFMPP</v>
      </c>
      <c r="D98" s="2" t="str">
        <f>VLOOKUP([jobnumber],OvalData[],MATCH(Table2[[#Headers],[width]],Table2[#Headers],0),0)</f>
        <v xml:space="preserve"> 18 ft.- 2"</v>
      </c>
      <c r="E98" s="2" t="str">
        <f>VLOOKUP([jobnumber],OvalData[],MATCH(Table2[[#Headers],[stopheight]],Table2[#Headers],0),0)</f>
        <v xml:space="preserve"> 10 ft.- 0"</v>
      </c>
      <c r="F98" s="2" t="str">
        <f>VLOOKUP([jobnumber],OvalData[],MATCH(Table2[[#Headers],[Between Brackets]],Table2[#Headers],0),0)</f>
        <v xml:space="preserve"> 18 ft.- 7 7/ 8"</v>
      </c>
      <c r="G98" s="2" t="str">
        <f>VLOOKUP([jobnumber],OvalData[],MATCH(Table2[[#Headers],[shell]],Table2[#Headers],0),0)</f>
        <v>6 INCH TUBE</v>
      </c>
      <c r="H98" s="2" t="str">
        <f>VLOOKUP([jobnumber],OvalData[],MATCH(Table2[[#Headers],[pipewidth]],Table2[#Headers],0),0)</f>
        <v xml:space="preserve"> 18 ft.- 1 3/ 8"</v>
      </c>
      <c r="I98" s="2">
        <f>VLOOKUP([jobnumber],OvalData[],MATCH(Table2[[#Headers],[Support Tubes]],Table2[#Headers],0),0)</f>
        <v>0</v>
      </c>
      <c r="J98" s="2">
        <f>VLOOKUP([jobnumber],OvalData[],MATCH(Table2[[#Headers],[Upset]],Table2[#Headers],0),0)</f>
        <v>2</v>
      </c>
      <c r="K98" s="2" t="str">
        <f>VLOOKUP([jobnumber],OvalData[],MATCH(Table2[[#Headers],[Guide Type]],Table2[#Headers],0),0)</f>
        <v>SN2-4 5/8-E</v>
      </c>
      <c r="L98" s="2" t="str">
        <f>VLOOKUP([jobnumber],OvalData[],MATCH(Table2[[#Headers],[Wall Angle]],Table2[#Headers],0),0)</f>
        <v xml:space="preserve"> 11 ft.- 8"</v>
      </c>
      <c r="M98" s="2" t="str">
        <f>VLOOKUP([jobnumber],OvalData[],MATCH(Table2[[#Headers],[Middle Angle]],Table2[#Headers],0),0)</f>
        <v xml:space="preserve"> 10 ft.- 4 1/ 2"</v>
      </c>
      <c r="N98" s="2" t="str">
        <f>VLOOKUP([jobnumber],OvalData[],MATCH(Table2[[#Headers],[Front Angle]],Table2[#Headers],0),0)</f>
        <v xml:space="preserve"> 10 ft.- 3"</v>
      </c>
      <c r="O98" s="2">
        <f>VLOOKUP([jobnumber],OvalData[],MATCH(Table2[[#Headers],[Pipe Center Line]],Table2[#Headers],0),0)</f>
        <v>131</v>
      </c>
      <c r="P98" s="2">
        <f>VLOOKUP([jobnumber],OvalData[],MATCH(Table2[[#Headers],[Heat Expansion Gap]],Table2[#Headers],0),0)</f>
        <v>0</v>
      </c>
      <c r="Q98" s="2">
        <f>VLOOKUP([jobnumber],OvalData[],MATCH(Table2[[#Headers],[Hanging Weight Closed]],Table2[#Headers],0),0)</f>
        <v>795</v>
      </c>
      <c r="R98" s="2">
        <f>VLOOKUP([jobnumber],OvalData[],MATCH(Table2[[#Headers],[Hanging Weight Open]],Table2[#Headers],0),0)</f>
        <v>140</v>
      </c>
      <c r="S98" s="2">
        <f>VLOOKUP([jobnumber],OvalData[],MATCH(Table2[[#Headers],[Initial Lever Arm]],Table2[#Headers],0),0)</f>
        <v>4.25</v>
      </c>
      <c r="T98" s="2">
        <f>VLOOKUP([jobnumber],OvalData[],MATCH(Table2[[#Headers],[Turns to Raise]],Table2[#Headers],0),0)</f>
        <v>3.5859999999999999</v>
      </c>
      <c r="U98" s="2">
        <f>VLOOKUP([jobnumber],OvalData[],MATCH(Table2[[#Headers],[Final Lever Arm]],Table2[#Headers],0),0)</f>
        <v>6.37</v>
      </c>
      <c r="V98" s="2">
        <f>VLOOKUP([jobnumber],OvalData[],MATCH(Table2[[#Headers],[Torque Required Closed]],Table2[#Headers],0),0)</f>
        <v>3377.9</v>
      </c>
      <c r="W98" s="2">
        <f>VLOOKUP([jobnumber],OvalData[],MATCH(Table2[[#Headers],[Torque Required Open]],Table2[#Headers],0),0)</f>
        <v>892</v>
      </c>
      <c r="X98" s="2">
        <f>VLOOKUP([jobnumber],OvalData[],MATCH(Table2[[#Headers],[Pre Turns]],Table2[#Headers],0),0)</f>
        <v>1.3332999999999999</v>
      </c>
      <c r="Y98" s="2">
        <f>VLOOKUP([jobnumber],OvalData[],MATCH(Table2[[#Headers],[Required Torque Per Turn]],Table2[#Headers],0),0)</f>
        <v>688</v>
      </c>
      <c r="Z98" s="2">
        <f>VLOOKUP([jobnumber],OvalData[],MATCH(Table2[[#Headers],[Total Turns]],Table2[#Headers],0),0)</f>
        <v>4.91</v>
      </c>
      <c r="AA98" s="2">
        <f>VLOOKUP([jobnumber],OvalData[],MATCH(Table2[[#Headers],[Grille Vision Section]],Table2[#Headers],0),0)</f>
        <v>0</v>
      </c>
      <c r="AB98" s="2">
        <f>VLOOKUP([jobnumber],OvalData[],MATCH(Table2[[#Headers],[Grille Amount]],Table2[#Headers],0),0)</f>
        <v>0</v>
      </c>
      <c r="AC98" s="2">
        <f>VLOOKUP([jobnumber],OvalData[],MATCH(Table2[[#Headers],[Grille Center]],Table2[#Headers],0),0)</f>
        <v>0</v>
      </c>
      <c r="AD98" s="2">
        <f>VLOOKUP([jobnumber],OvalData[],MATCH(Table2[[#Headers],[Grille Pattern]],Table2[#Headers],0),0)</f>
        <v>0</v>
      </c>
      <c r="AE98" s="2">
        <f>VLOOKUP([jobnumber],OvalData[],MATCH(Table2[[#Headers],[Grille First Tube]],Table2[#Headers],0),0)</f>
        <v>0</v>
      </c>
      <c r="AF98" s="2">
        <f>VLOOKUP([jobnumber],OvalData[],MATCH(Table2[[#Headers],[Grille Standard Tube]],Table2[#Headers],0),0)</f>
        <v>0</v>
      </c>
      <c r="AG98" s="2">
        <f>VLOOKUP([jobnumber],OvalData[],MATCH(Table2[[#Headers],[Grille Total Links]],Table2[#Headers],0),0)</f>
        <v>0</v>
      </c>
      <c r="AH98" s="2">
        <f>VLOOKUP([jobnumber],OvalData[],MATCH(Table2[[#Headers],[Grille Rods]],Table2[#Headers],0),0)</f>
        <v>0</v>
      </c>
      <c r="AI98" s="2">
        <f>VLOOKUP([jobnumber],OvalData[],MATCH(Table2[[#Headers],[Grille Rod Length]],Table2[#Headers],0),0)</f>
        <v>0</v>
      </c>
      <c r="AJ98" s="2">
        <f>VLOOKUP([jobnumber],OvalData[],MATCH(Table2[[#Headers],[slattype]],Table2[#Headers],0),0)</f>
        <v>2</v>
      </c>
      <c r="AK98" s="2">
        <f>VLOOKUP([jobnumber],OvalData[],MATCH(Table2[[#Headers],[slatgage]],Table2[#Headers],0),0)</f>
        <v>18</v>
      </c>
      <c r="AL98" s="2">
        <f>VLOOKUP([jobnumber],OvalData[],MATCH(Table2[[#Headers],[Numer of Top Slats]],Table2[#Headers],0),0)</f>
        <v>0</v>
      </c>
      <c r="AM98" s="2">
        <f>VLOOKUP([jobnumber],OvalData[],MATCH(Table2[[#Headers],[Number of Bottom Slats]],Table2[#Headers],0),0)</f>
        <v>0</v>
      </c>
      <c r="AN98" s="2">
        <f>VLOOKUP([jobnumber],OvalData[],MATCH(Table2[[#Headers],[Solid Bottom Height]],Table2[#Headers],0),0)</f>
        <v>0</v>
      </c>
      <c r="AO98" s="2" t="str">
        <f>VLOOKUP([jobnumber],OvalData[],MATCH(Table2[[#Headers],[slatlength]],Table2[#Headers],0),0)</f>
        <v xml:space="preserve"> 18 ft.- 5 7/ 8"</v>
      </c>
      <c r="AP98" s="2">
        <f>VLOOKUP([jobnumber],OvalData[],MATCH(Table2[[#Headers],[Bottom Slat Length]],Table2[#Headers],0),0)</f>
        <v>0</v>
      </c>
      <c r="AQ98" s="2">
        <f>VLOOKUP([jobnumber],OvalData[],MATCH(Table2[[#Headers],[Number of Perferated Slats]],Table2[#Headers],0),0)</f>
        <v>0</v>
      </c>
      <c r="AR98" s="2">
        <f>VLOOKUP([jobnumber],OvalData[],MATCH(Table2[[#Headers],[First Preferated Slat From End]],Table2[#Headers],0),0)</f>
        <v>0</v>
      </c>
      <c r="AS98" s="2">
        <f>VLOOKUP([jobnumber],OvalData[],MATCH(Table2[[#Headers],[First Preferated Slat From Bottom]],Table2[#Headers],0),0)</f>
        <v>0</v>
      </c>
      <c r="AT98" s="2">
        <f>VLOOKUP([jobnumber],OvalData[],MATCH(Table2[[#Headers],[Total Number of Slats]],Table2[#Headers],0),0)</f>
        <v>51</v>
      </c>
      <c r="AU98" s="2">
        <f>VLOOKUP([jobnumber],OvalData[],MATCH(Table2[[#Headers],[Bottom Bar Slope]],Table2[#Headers],0),0)</f>
        <v>0</v>
      </c>
      <c r="AV98" s="2">
        <f>VLOOKUP([jobnumber],OvalData[],MATCH(Table2[[#Headers],[Bottom Bar Weight]],Table2[#Headers],0),0)</f>
        <v>80.5</v>
      </c>
      <c r="AW98" s="2" t="str">
        <f>VLOOKUP([jobnumber],OvalData[],MATCH(Table2[[#Headers],[Outer Spring Gage]],Table2[#Headers],0),0)</f>
        <v>Null</v>
      </c>
      <c r="AX98" s="2" t="str">
        <f>VLOOKUP([jobnumber],OvalData[],MATCH(Table2[[#Headers],[Outer Spring OD]],Table2[#Headers],0),0)</f>
        <v>Null</v>
      </c>
      <c r="AY98" s="2" t="str">
        <f>VLOOKUP([jobnumber],OvalData[],MATCH(Table2[[#Headers],[Outer Spring Length]],Table2[#Headers],0),0)</f>
        <v>Null</v>
      </c>
      <c r="AZ98" s="2" t="str">
        <f>VLOOKUP([jobnumber],OvalData[],MATCH(Table2[[#Headers],[Outer Spring Stretch]],Table2[#Headers],0),0)</f>
        <v>Null</v>
      </c>
      <c r="BA98" s="2" t="str">
        <f>VLOOKUP([jobnumber],OvalData[],MATCH(Table2[[#Headers],[Outer Spring Torque]],Table2[#Headers],0),0)</f>
        <v>Null</v>
      </c>
      <c r="BB98" s="2" t="str">
        <f>VLOOKUP([jobnumber],OvalData[],MATCH(Table2[[#Headers],[Outer Spring Max Turns]],Table2[#Headers],0),0)</f>
        <v>Null</v>
      </c>
      <c r="BC98" s="2" t="str">
        <f>VLOOKUP([jobnumber],OvalData[],MATCH(Table2[[#Headers],[Outer Spring Weight]],Table2[#Headers],0),0)</f>
        <v>Null</v>
      </c>
      <c r="BD98" s="2" t="str">
        <f>VLOOKUP([jobnumber],OvalData[],MATCH(Table2[[#Headers],[Inner Spring Gage]],Table2[#Headers],0),0)</f>
        <v>Null</v>
      </c>
      <c r="BE98" s="2" t="str">
        <f>VLOOKUP([jobnumber],OvalData[],MATCH(Table2[[#Headers],[Inner Spring OD]],Table2[#Headers],0),0)</f>
        <v>Null</v>
      </c>
      <c r="BF98" s="2" t="str">
        <f>VLOOKUP([jobnumber],OvalData[],MATCH(Table2[[#Headers],[Inner Spring Length]],Table2[#Headers],0),0)</f>
        <v>Null</v>
      </c>
      <c r="BG98" s="2" t="str">
        <f>VLOOKUP([jobnumber],OvalData[],MATCH(Table2[[#Headers],[Inner Spring Stretch]],Table2[#Headers],0),0)</f>
        <v>Null</v>
      </c>
      <c r="BH98" s="2" t="str">
        <f>VLOOKUP([jobnumber],OvalData[],MATCH(Table2[[#Headers],[Inner Spring Torque]],Table2[#Headers],0),0)</f>
        <v>Null</v>
      </c>
      <c r="BI98" s="2" t="str">
        <f>VLOOKUP([jobnumber],OvalData[],MATCH(Table2[[#Headers],[Inner Spring Max Turns]],Table2[#Headers],0),0)</f>
        <v>Null</v>
      </c>
      <c r="BJ98" s="2" t="str">
        <f>VLOOKUP([jobnumber],OvalData[],MATCH(Table2[[#Headers],[Inner Spring Weight]],Table2[#Headers],0),0)</f>
        <v>Null</v>
      </c>
      <c r="BK98" s="2">
        <f>VLOOKUP([jobnumber],OvalData[],MATCH(Table2[[#Headers],[Cycles]],Table2[#Headers],0),0)</f>
        <v>0</v>
      </c>
      <c r="BL98" s="2">
        <f>VLOOKUP([jobnumber],OvalData[],MATCH(Table2[[#Headers],[Total Spring Torque]],Table2[#Headers],0),0)</f>
        <v>0</v>
      </c>
      <c r="BM98" s="2">
        <f>VLOOKUP([jobnumber],OvalData[],MATCH(Table2[[#Headers],[Total Spring Weight]],Table2[#Headers],0),0)</f>
        <v>0</v>
      </c>
      <c r="BN98" s="2">
        <f>VLOOKUP([jobnumber],OvalData[],MATCH(Table2[[#Headers],[Pipe Weight]],Table2[#Headers],0),0)</f>
        <v>688.24239999999998</v>
      </c>
      <c r="BO98" s="2">
        <f>VLOOKUP([jobnumber],OvalData[],MATCH(Table2[[#Headers],[Max Pipe Deflection]],Table2[#Headers],0),0)</f>
        <v>2309</v>
      </c>
      <c r="BP98" s="2">
        <f>VLOOKUP([jobnumber],OvalData[],MATCH(Table2[[#Headers],[Number Non-Insulated Wrap Slats]],Table2[#Headers],0),0)</f>
        <v>0</v>
      </c>
      <c r="BQ98" s="2">
        <f>VLOOKUP([jobnumber],OvalData[],MATCH(Table2[[#Headers],[Number of Insolated Top Slats]],Table2[#Headers],0),0)</f>
        <v>45</v>
      </c>
      <c r="BR98" s="2">
        <f>VLOOKUP([jobnumber],OvalData[],MATCH(Table2[[#Headers],[Insolated Total Slats]],Table2[#Headers],0),0)</f>
        <v>45</v>
      </c>
      <c r="BS98" s="2">
        <f>VLOOKUP([jobnumber],OvalData[],MATCH(Table2[[#Headers],[Number of Slats]],Table2[#Headers],0),0)</f>
        <v>44.69</v>
      </c>
      <c r="BT98" s="2">
        <f>VLOOKUP([jobnumber],OvalData[],MATCH(Table2[[#Headers],[Wrap]],Table2[#Headers],0),0)</f>
        <v>0</v>
      </c>
      <c r="BU98" s="2">
        <f>VLOOKUP([jobnumber],OvalData[],MATCH(Table2[[#Headers],[Wall Angle Thickness]],Table2[#Headers],0),0)</f>
        <v>0</v>
      </c>
      <c r="BV98" s="2">
        <f>VLOOKUP([jobnumber],OvalData[],MATCH(Table2[[#Headers],[windlocks]],Table2[#Headers],0),0)</f>
        <v>0</v>
      </c>
      <c r="BW98" s="2" t="str">
        <f>VLOOKUP([jobnumber],OvalData[],MATCH(Table2[[#Headers],[bottombartype]],Table2[#Headers],0),0)</f>
        <v>SPECIAL</v>
      </c>
      <c r="BX98" s="2">
        <f>VLOOKUP([jobnumber],OvalData[],MATCH(Table2[[#Headers],[endlockweight]],Table2[#Headers],0),0)</f>
        <v>0.17</v>
      </c>
      <c r="BY98" s="2">
        <f>VLOOKUP([jobnumber],OvalData[],MATCH(Table2[[#Headers],[Endlock Total Weight]],Table2[#Headers],0),0)</f>
        <v>7.5972999999999997</v>
      </c>
      <c r="BZ98" s="2">
        <f>VLOOKUP([jobnumber],OvalData[],MATCH(Table2[[#Headers],[Grille Weight]],Table2[#Headers],0),0)</f>
        <v>0</v>
      </c>
      <c r="CA98" s="2">
        <f>VLOOKUP([jobnumber],OvalData[],MATCH(Table2[[#Headers],[barrelrings]],Table2[#Headers],0),0)</f>
        <v>1</v>
      </c>
    </row>
    <row r="99" spans="2:79">
      <c r="B99" s="2" t="str">
        <f>VLOOKUP([jobnumber],OvalData[],MATCH(Table2[[#Headers],[Hand]],Table2[#Headers],0),0)</f>
        <v>RH</v>
      </c>
      <c r="C99" s="2" t="str">
        <f>VLOOKUP([jobnumber],OvalData[],MATCH(Table2[[#Headers],[Model]],Table2[#Headers],0),0)</f>
        <v>SFMPP</v>
      </c>
      <c r="D99" s="2" t="str">
        <f>VLOOKUP([jobnumber],OvalData[],MATCH(Table2[[#Headers],[width]],Table2[#Headers],0),0)</f>
        <v xml:space="preserve"> 18 ft.- 2"</v>
      </c>
      <c r="E99" s="2" t="str">
        <f>VLOOKUP([jobnumber],OvalData[],MATCH(Table2[[#Headers],[stopheight]],Table2[#Headers],0),0)</f>
        <v xml:space="preserve"> 10 ft.- 0"</v>
      </c>
      <c r="F99" s="2" t="str">
        <f>VLOOKUP([jobnumber],OvalData[],MATCH(Table2[[#Headers],[Between Brackets]],Table2[#Headers],0),0)</f>
        <v xml:space="preserve"> 18 ft.- 7 7/ 8"</v>
      </c>
      <c r="G99" s="2" t="str">
        <f>VLOOKUP([jobnumber],OvalData[],MATCH(Table2[[#Headers],[shell]],Table2[#Headers],0),0)</f>
        <v>6 INCH TUBE</v>
      </c>
      <c r="H99" s="2" t="str">
        <f>VLOOKUP([jobnumber],OvalData[],MATCH(Table2[[#Headers],[pipewidth]],Table2[#Headers],0),0)</f>
        <v xml:space="preserve"> 18 ft.- 1 3/ 8"</v>
      </c>
      <c r="I99" s="2">
        <f>VLOOKUP([jobnumber],OvalData[],MATCH(Table2[[#Headers],[Support Tubes]],Table2[#Headers],0),0)</f>
        <v>0</v>
      </c>
      <c r="J99" s="2">
        <f>VLOOKUP([jobnumber],OvalData[],MATCH(Table2[[#Headers],[Upset]],Table2[#Headers],0),0)</f>
        <v>2</v>
      </c>
      <c r="K99" s="2" t="str">
        <f>VLOOKUP([jobnumber],OvalData[],MATCH(Table2[[#Headers],[Guide Type]],Table2[#Headers],0),0)</f>
        <v>SN2-4 5/8-E</v>
      </c>
      <c r="L99" s="2" t="str">
        <f>VLOOKUP([jobnumber],OvalData[],MATCH(Table2[[#Headers],[Wall Angle]],Table2[#Headers],0),0)</f>
        <v xml:space="preserve"> 11 ft.- 8"</v>
      </c>
      <c r="M99" s="2" t="str">
        <f>VLOOKUP([jobnumber],OvalData[],MATCH(Table2[[#Headers],[Middle Angle]],Table2[#Headers],0),0)</f>
        <v xml:space="preserve"> 10 ft.- 4 1/ 2"</v>
      </c>
      <c r="N99" s="2" t="str">
        <f>VLOOKUP([jobnumber],OvalData[],MATCH(Table2[[#Headers],[Front Angle]],Table2[#Headers],0),0)</f>
        <v xml:space="preserve"> 10 ft.- 3"</v>
      </c>
      <c r="O99" s="2">
        <f>VLOOKUP([jobnumber],OvalData[],MATCH(Table2[[#Headers],[Pipe Center Line]],Table2[#Headers],0),0)</f>
        <v>131</v>
      </c>
      <c r="P99" s="2">
        <f>VLOOKUP([jobnumber],OvalData[],MATCH(Table2[[#Headers],[Heat Expansion Gap]],Table2[#Headers],0),0)</f>
        <v>0</v>
      </c>
      <c r="Q99" s="2">
        <f>VLOOKUP([jobnumber],OvalData[],MATCH(Table2[[#Headers],[Hanging Weight Closed]],Table2[#Headers],0),0)</f>
        <v>795</v>
      </c>
      <c r="R99" s="2">
        <f>VLOOKUP([jobnumber],OvalData[],MATCH(Table2[[#Headers],[Hanging Weight Open]],Table2[#Headers],0),0)</f>
        <v>140</v>
      </c>
      <c r="S99" s="2">
        <f>VLOOKUP([jobnumber],OvalData[],MATCH(Table2[[#Headers],[Initial Lever Arm]],Table2[#Headers],0),0)</f>
        <v>4.25</v>
      </c>
      <c r="T99" s="2">
        <f>VLOOKUP([jobnumber],OvalData[],MATCH(Table2[[#Headers],[Turns to Raise]],Table2[#Headers],0),0)</f>
        <v>3.5859999999999999</v>
      </c>
      <c r="U99" s="2">
        <f>VLOOKUP([jobnumber],OvalData[],MATCH(Table2[[#Headers],[Final Lever Arm]],Table2[#Headers],0),0)</f>
        <v>6.37</v>
      </c>
      <c r="V99" s="2">
        <f>VLOOKUP([jobnumber],OvalData[],MATCH(Table2[[#Headers],[Torque Required Closed]],Table2[#Headers],0),0)</f>
        <v>3377.9</v>
      </c>
      <c r="W99" s="2">
        <f>VLOOKUP([jobnumber],OvalData[],MATCH(Table2[[#Headers],[Torque Required Open]],Table2[#Headers],0),0)</f>
        <v>892</v>
      </c>
      <c r="X99" s="2">
        <f>VLOOKUP([jobnumber],OvalData[],MATCH(Table2[[#Headers],[Pre Turns]],Table2[#Headers],0),0)</f>
        <v>1.3332999999999999</v>
      </c>
      <c r="Y99" s="2">
        <f>VLOOKUP([jobnumber],OvalData[],MATCH(Table2[[#Headers],[Required Torque Per Turn]],Table2[#Headers],0),0)</f>
        <v>688</v>
      </c>
      <c r="Z99" s="2">
        <f>VLOOKUP([jobnumber],OvalData[],MATCH(Table2[[#Headers],[Total Turns]],Table2[#Headers],0),0)</f>
        <v>4.91</v>
      </c>
      <c r="AA99" s="2">
        <f>VLOOKUP([jobnumber],OvalData[],MATCH(Table2[[#Headers],[Grille Vision Section]],Table2[#Headers],0),0)</f>
        <v>0</v>
      </c>
      <c r="AB99" s="2">
        <f>VLOOKUP([jobnumber],OvalData[],MATCH(Table2[[#Headers],[Grille Amount]],Table2[#Headers],0),0)</f>
        <v>0</v>
      </c>
      <c r="AC99" s="2">
        <f>VLOOKUP([jobnumber],OvalData[],MATCH(Table2[[#Headers],[Grille Center]],Table2[#Headers],0),0)</f>
        <v>0</v>
      </c>
      <c r="AD99" s="2">
        <f>VLOOKUP([jobnumber],OvalData[],MATCH(Table2[[#Headers],[Grille Pattern]],Table2[#Headers],0),0)</f>
        <v>0</v>
      </c>
      <c r="AE99" s="2">
        <f>VLOOKUP([jobnumber],OvalData[],MATCH(Table2[[#Headers],[Grille First Tube]],Table2[#Headers],0),0)</f>
        <v>0</v>
      </c>
      <c r="AF99" s="2">
        <f>VLOOKUP([jobnumber],OvalData[],MATCH(Table2[[#Headers],[Grille Standard Tube]],Table2[#Headers],0),0)</f>
        <v>0</v>
      </c>
      <c r="AG99" s="2">
        <f>VLOOKUP([jobnumber],OvalData[],MATCH(Table2[[#Headers],[Grille Total Links]],Table2[#Headers],0),0)</f>
        <v>0</v>
      </c>
      <c r="AH99" s="2">
        <f>VLOOKUP([jobnumber],OvalData[],MATCH(Table2[[#Headers],[Grille Rods]],Table2[#Headers],0),0)</f>
        <v>0</v>
      </c>
      <c r="AI99" s="2">
        <f>VLOOKUP([jobnumber],OvalData[],MATCH(Table2[[#Headers],[Grille Rod Length]],Table2[#Headers],0),0)</f>
        <v>0</v>
      </c>
      <c r="AJ99" s="2">
        <f>VLOOKUP([jobnumber],OvalData[],MATCH(Table2[[#Headers],[slattype]],Table2[#Headers],0),0)</f>
        <v>2</v>
      </c>
      <c r="AK99" s="2">
        <f>VLOOKUP([jobnumber],OvalData[],MATCH(Table2[[#Headers],[slatgage]],Table2[#Headers],0),0)</f>
        <v>18</v>
      </c>
      <c r="AL99" s="2">
        <f>VLOOKUP([jobnumber],OvalData[],MATCH(Table2[[#Headers],[Numer of Top Slats]],Table2[#Headers],0),0)</f>
        <v>0</v>
      </c>
      <c r="AM99" s="2">
        <f>VLOOKUP([jobnumber],OvalData[],MATCH(Table2[[#Headers],[Number of Bottom Slats]],Table2[#Headers],0),0)</f>
        <v>0</v>
      </c>
      <c r="AN99" s="2">
        <f>VLOOKUP([jobnumber],OvalData[],MATCH(Table2[[#Headers],[Solid Bottom Height]],Table2[#Headers],0),0)</f>
        <v>0</v>
      </c>
      <c r="AO99" s="2" t="str">
        <f>VLOOKUP([jobnumber],OvalData[],MATCH(Table2[[#Headers],[slatlength]],Table2[#Headers],0),0)</f>
        <v xml:space="preserve"> 18 ft.- 5 7/ 8"</v>
      </c>
      <c r="AP99" s="2">
        <f>VLOOKUP([jobnumber],OvalData[],MATCH(Table2[[#Headers],[Bottom Slat Length]],Table2[#Headers],0),0)</f>
        <v>0</v>
      </c>
      <c r="AQ99" s="2">
        <f>VLOOKUP([jobnumber],OvalData[],MATCH(Table2[[#Headers],[Number of Perferated Slats]],Table2[#Headers],0),0)</f>
        <v>0</v>
      </c>
      <c r="AR99" s="2">
        <f>VLOOKUP([jobnumber],OvalData[],MATCH(Table2[[#Headers],[First Preferated Slat From End]],Table2[#Headers],0),0)</f>
        <v>0</v>
      </c>
      <c r="AS99" s="2">
        <f>VLOOKUP([jobnumber],OvalData[],MATCH(Table2[[#Headers],[First Preferated Slat From Bottom]],Table2[#Headers],0),0)</f>
        <v>0</v>
      </c>
      <c r="AT99" s="2">
        <f>VLOOKUP([jobnumber],OvalData[],MATCH(Table2[[#Headers],[Total Number of Slats]],Table2[#Headers],0),0)</f>
        <v>51</v>
      </c>
      <c r="AU99" s="2">
        <f>VLOOKUP([jobnumber],OvalData[],MATCH(Table2[[#Headers],[Bottom Bar Slope]],Table2[#Headers],0),0)</f>
        <v>0</v>
      </c>
      <c r="AV99" s="2">
        <f>VLOOKUP([jobnumber],OvalData[],MATCH(Table2[[#Headers],[Bottom Bar Weight]],Table2[#Headers],0),0)</f>
        <v>80.5</v>
      </c>
      <c r="AW99" s="2" t="str">
        <f>VLOOKUP([jobnumber],OvalData[],MATCH(Table2[[#Headers],[Outer Spring Gage]],Table2[#Headers],0),0)</f>
        <v>Null</v>
      </c>
      <c r="AX99" s="2" t="str">
        <f>VLOOKUP([jobnumber],OvalData[],MATCH(Table2[[#Headers],[Outer Spring OD]],Table2[#Headers],0),0)</f>
        <v>Null</v>
      </c>
      <c r="AY99" s="2" t="str">
        <f>VLOOKUP([jobnumber],OvalData[],MATCH(Table2[[#Headers],[Outer Spring Length]],Table2[#Headers],0),0)</f>
        <v>Null</v>
      </c>
      <c r="AZ99" s="2" t="str">
        <f>VLOOKUP([jobnumber],OvalData[],MATCH(Table2[[#Headers],[Outer Spring Stretch]],Table2[#Headers],0),0)</f>
        <v>Null</v>
      </c>
      <c r="BA99" s="2" t="str">
        <f>VLOOKUP([jobnumber],OvalData[],MATCH(Table2[[#Headers],[Outer Spring Torque]],Table2[#Headers],0),0)</f>
        <v>Null</v>
      </c>
      <c r="BB99" s="2" t="str">
        <f>VLOOKUP([jobnumber],OvalData[],MATCH(Table2[[#Headers],[Outer Spring Max Turns]],Table2[#Headers],0),0)</f>
        <v>Null</v>
      </c>
      <c r="BC99" s="2" t="str">
        <f>VLOOKUP([jobnumber],OvalData[],MATCH(Table2[[#Headers],[Outer Spring Weight]],Table2[#Headers],0),0)</f>
        <v>Null</v>
      </c>
      <c r="BD99" s="2" t="str">
        <f>VLOOKUP([jobnumber],OvalData[],MATCH(Table2[[#Headers],[Inner Spring Gage]],Table2[#Headers],0),0)</f>
        <v>Null</v>
      </c>
      <c r="BE99" s="2" t="str">
        <f>VLOOKUP([jobnumber],OvalData[],MATCH(Table2[[#Headers],[Inner Spring OD]],Table2[#Headers],0),0)</f>
        <v>Null</v>
      </c>
      <c r="BF99" s="2" t="str">
        <f>VLOOKUP([jobnumber],OvalData[],MATCH(Table2[[#Headers],[Inner Spring Length]],Table2[#Headers],0),0)</f>
        <v>Null</v>
      </c>
      <c r="BG99" s="2" t="str">
        <f>VLOOKUP([jobnumber],OvalData[],MATCH(Table2[[#Headers],[Inner Spring Stretch]],Table2[#Headers],0),0)</f>
        <v>Null</v>
      </c>
      <c r="BH99" s="2" t="str">
        <f>VLOOKUP([jobnumber],OvalData[],MATCH(Table2[[#Headers],[Inner Spring Torque]],Table2[#Headers],0),0)</f>
        <v>Null</v>
      </c>
      <c r="BI99" s="2" t="str">
        <f>VLOOKUP([jobnumber],OvalData[],MATCH(Table2[[#Headers],[Inner Spring Max Turns]],Table2[#Headers],0),0)</f>
        <v>Null</v>
      </c>
      <c r="BJ99" s="2" t="str">
        <f>VLOOKUP([jobnumber],OvalData[],MATCH(Table2[[#Headers],[Inner Spring Weight]],Table2[#Headers],0),0)</f>
        <v>Null</v>
      </c>
      <c r="BK99" s="2">
        <f>VLOOKUP([jobnumber],OvalData[],MATCH(Table2[[#Headers],[Cycles]],Table2[#Headers],0),0)</f>
        <v>0</v>
      </c>
      <c r="BL99" s="2">
        <f>VLOOKUP([jobnumber],OvalData[],MATCH(Table2[[#Headers],[Total Spring Torque]],Table2[#Headers],0),0)</f>
        <v>0</v>
      </c>
      <c r="BM99" s="2">
        <f>VLOOKUP([jobnumber],OvalData[],MATCH(Table2[[#Headers],[Total Spring Weight]],Table2[#Headers],0),0)</f>
        <v>0</v>
      </c>
      <c r="BN99" s="2">
        <f>VLOOKUP([jobnumber],OvalData[],MATCH(Table2[[#Headers],[Pipe Weight]],Table2[#Headers],0),0)</f>
        <v>688.24239999999998</v>
      </c>
      <c r="BO99" s="2">
        <f>VLOOKUP([jobnumber],OvalData[],MATCH(Table2[[#Headers],[Max Pipe Deflection]],Table2[#Headers],0),0)</f>
        <v>2309</v>
      </c>
      <c r="BP99" s="2">
        <f>VLOOKUP([jobnumber],OvalData[],MATCH(Table2[[#Headers],[Number Non-Insulated Wrap Slats]],Table2[#Headers],0),0)</f>
        <v>0</v>
      </c>
      <c r="BQ99" s="2">
        <f>VLOOKUP([jobnumber],OvalData[],MATCH(Table2[[#Headers],[Number of Insolated Top Slats]],Table2[#Headers],0),0)</f>
        <v>45</v>
      </c>
      <c r="BR99" s="2">
        <f>VLOOKUP([jobnumber],OvalData[],MATCH(Table2[[#Headers],[Insolated Total Slats]],Table2[#Headers],0),0)</f>
        <v>45</v>
      </c>
      <c r="BS99" s="2">
        <f>VLOOKUP([jobnumber],OvalData[],MATCH(Table2[[#Headers],[Number of Slats]],Table2[#Headers],0),0)</f>
        <v>44.69</v>
      </c>
      <c r="BT99" s="2">
        <f>VLOOKUP([jobnumber],OvalData[],MATCH(Table2[[#Headers],[Wrap]],Table2[#Headers],0),0)</f>
        <v>0</v>
      </c>
      <c r="BU99" s="2">
        <f>VLOOKUP([jobnumber],OvalData[],MATCH(Table2[[#Headers],[Wall Angle Thickness]],Table2[#Headers],0),0)</f>
        <v>0</v>
      </c>
      <c r="BV99" s="2">
        <f>VLOOKUP([jobnumber],OvalData[],MATCH(Table2[[#Headers],[windlocks]],Table2[#Headers],0),0)</f>
        <v>0</v>
      </c>
      <c r="BW99" s="2" t="str">
        <f>VLOOKUP([jobnumber],OvalData[],MATCH(Table2[[#Headers],[bottombartype]],Table2[#Headers],0),0)</f>
        <v>SPECIAL</v>
      </c>
      <c r="BX99" s="2">
        <f>VLOOKUP([jobnumber],OvalData[],MATCH(Table2[[#Headers],[endlockweight]],Table2[#Headers],0),0)</f>
        <v>0.17</v>
      </c>
      <c r="BY99" s="2">
        <f>VLOOKUP([jobnumber],OvalData[],MATCH(Table2[[#Headers],[Endlock Total Weight]],Table2[#Headers],0),0)</f>
        <v>7.5972999999999997</v>
      </c>
      <c r="BZ99" s="2">
        <f>VLOOKUP([jobnumber],OvalData[],MATCH(Table2[[#Headers],[Grille Weight]],Table2[#Headers],0),0)</f>
        <v>0</v>
      </c>
      <c r="CA99" s="2">
        <f>VLOOKUP([jobnumber],OvalData[],MATCH(Table2[[#Headers],[barrelrings]],Table2[#Headers],0),0)</f>
        <v>1</v>
      </c>
    </row>
    <row r="100" spans="2:79">
      <c r="B100" s="2" t="str">
        <f>VLOOKUP([jobnumber],OvalData[],MATCH(Table2[[#Headers],[Hand]],Table2[#Headers],0),0)</f>
        <v>RH</v>
      </c>
      <c r="C100" s="2" t="str">
        <f>VLOOKUP([jobnumber],OvalData[],MATCH(Table2[[#Headers],[Model]],Table2[#Headers],0),0)</f>
        <v>SFMPP</v>
      </c>
      <c r="D100" s="2" t="str">
        <f>VLOOKUP([jobnumber],OvalData[],MATCH(Table2[[#Headers],[width]],Table2[#Headers],0),0)</f>
        <v xml:space="preserve"> 18 ft.- 2"</v>
      </c>
      <c r="E100" s="2" t="str">
        <f>VLOOKUP([jobnumber],OvalData[],MATCH(Table2[[#Headers],[stopheight]],Table2[#Headers],0),0)</f>
        <v xml:space="preserve"> 10 ft.- 0"</v>
      </c>
      <c r="F100" s="2" t="str">
        <f>VLOOKUP([jobnumber],OvalData[],MATCH(Table2[[#Headers],[Between Brackets]],Table2[#Headers],0),0)</f>
        <v xml:space="preserve"> 18 ft.- 7 7/ 8"</v>
      </c>
      <c r="G100" s="2" t="str">
        <f>VLOOKUP([jobnumber],OvalData[],MATCH(Table2[[#Headers],[shell]],Table2[#Headers],0),0)</f>
        <v>6 INCH TUBE</v>
      </c>
      <c r="H100" s="2" t="str">
        <f>VLOOKUP([jobnumber],OvalData[],MATCH(Table2[[#Headers],[pipewidth]],Table2[#Headers],0),0)</f>
        <v xml:space="preserve"> 18 ft.- 1 3/ 8"</v>
      </c>
      <c r="I100" s="2">
        <f>VLOOKUP([jobnumber],OvalData[],MATCH(Table2[[#Headers],[Support Tubes]],Table2[#Headers],0),0)</f>
        <v>0</v>
      </c>
      <c r="J100" s="2">
        <f>VLOOKUP([jobnumber],OvalData[],MATCH(Table2[[#Headers],[Upset]],Table2[#Headers],0),0)</f>
        <v>2</v>
      </c>
      <c r="K100" s="2" t="str">
        <f>VLOOKUP([jobnumber],OvalData[],MATCH(Table2[[#Headers],[Guide Type]],Table2[#Headers],0),0)</f>
        <v>SN2-4 5/8-E</v>
      </c>
      <c r="L100" s="2" t="str">
        <f>VLOOKUP([jobnumber],OvalData[],MATCH(Table2[[#Headers],[Wall Angle]],Table2[#Headers],0),0)</f>
        <v xml:space="preserve"> 11 ft.- 8"</v>
      </c>
      <c r="M100" s="2" t="str">
        <f>VLOOKUP([jobnumber],OvalData[],MATCH(Table2[[#Headers],[Middle Angle]],Table2[#Headers],0),0)</f>
        <v xml:space="preserve"> 10 ft.- 4 1/ 2"</v>
      </c>
      <c r="N100" s="2" t="str">
        <f>VLOOKUP([jobnumber],OvalData[],MATCH(Table2[[#Headers],[Front Angle]],Table2[#Headers],0),0)</f>
        <v xml:space="preserve"> 10 ft.- 3"</v>
      </c>
      <c r="O100" s="2">
        <f>VLOOKUP([jobnumber],OvalData[],MATCH(Table2[[#Headers],[Pipe Center Line]],Table2[#Headers],0),0)</f>
        <v>131</v>
      </c>
      <c r="P100" s="2">
        <f>VLOOKUP([jobnumber],OvalData[],MATCH(Table2[[#Headers],[Heat Expansion Gap]],Table2[#Headers],0),0)</f>
        <v>0</v>
      </c>
      <c r="Q100" s="2">
        <f>VLOOKUP([jobnumber],OvalData[],MATCH(Table2[[#Headers],[Hanging Weight Closed]],Table2[#Headers],0),0)</f>
        <v>795</v>
      </c>
      <c r="R100" s="2">
        <f>VLOOKUP([jobnumber],OvalData[],MATCH(Table2[[#Headers],[Hanging Weight Open]],Table2[#Headers],0),0)</f>
        <v>140</v>
      </c>
      <c r="S100" s="2">
        <f>VLOOKUP([jobnumber],OvalData[],MATCH(Table2[[#Headers],[Initial Lever Arm]],Table2[#Headers],0),0)</f>
        <v>4.25</v>
      </c>
      <c r="T100" s="2">
        <f>VLOOKUP([jobnumber],OvalData[],MATCH(Table2[[#Headers],[Turns to Raise]],Table2[#Headers],0),0)</f>
        <v>3.5859999999999999</v>
      </c>
      <c r="U100" s="2">
        <f>VLOOKUP([jobnumber],OvalData[],MATCH(Table2[[#Headers],[Final Lever Arm]],Table2[#Headers],0),0)</f>
        <v>6.37</v>
      </c>
      <c r="V100" s="2">
        <f>VLOOKUP([jobnumber],OvalData[],MATCH(Table2[[#Headers],[Torque Required Closed]],Table2[#Headers],0),0)</f>
        <v>3377.9</v>
      </c>
      <c r="W100" s="2">
        <f>VLOOKUP([jobnumber],OvalData[],MATCH(Table2[[#Headers],[Torque Required Open]],Table2[#Headers],0),0)</f>
        <v>892</v>
      </c>
      <c r="X100" s="2">
        <f>VLOOKUP([jobnumber],OvalData[],MATCH(Table2[[#Headers],[Pre Turns]],Table2[#Headers],0),0)</f>
        <v>1.3332999999999999</v>
      </c>
      <c r="Y100" s="2">
        <f>VLOOKUP([jobnumber],OvalData[],MATCH(Table2[[#Headers],[Required Torque Per Turn]],Table2[#Headers],0),0)</f>
        <v>688</v>
      </c>
      <c r="Z100" s="2">
        <f>VLOOKUP([jobnumber],OvalData[],MATCH(Table2[[#Headers],[Total Turns]],Table2[#Headers],0),0)</f>
        <v>4.91</v>
      </c>
      <c r="AA100" s="2">
        <f>VLOOKUP([jobnumber],OvalData[],MATCH(Table2[[#Headers],[Grille Vision Section]],Table2[#Headers],0),0)</f>
        <v>0</v>
      </c>
      <c r="AB100" s="2">
        <f>VLOOKUP([jobnumber],OvalData[],MATCH(Table2[[#Headers],[Grille Amount]],Table2[#Headers],0),0)</f>
        <v>0</v>
      </c>
      <c r="AC100" s="2">
        <f>VLOOKUP([jobnumber],OvalData[],MATCH(Table2[[#Headers],[Grille Center]],Table2[#Headers],0),0)</f>
        <v>0</v>
      </c>
      <c r="AD100" s="2">
        <f>VLOOKUP([jobnumber],OvalData[],MATCH(Table2[[#Headers],[Grille Pattern]],Table2[#Headers],0),0)</f>
        <v>0</v>
      </c>
      <c r="AE100" s="2">
        <f>VLOOKUP([jobnumber],OvalData[],MATCH(Table2[[#Headers],[Grille First Tube]],Table2[#Headers],0),0)</f>
        <v>0</v>
      </c>
      <c r="AF100" s="2">
        <f>VLOOKUP([jobnumber],OvalData[],MATCH(Table2[[#Headers],[Grille Standard Tube]],Table2[#Headers],0),0)</f>
        <v>0</v>
      </c>
      <c r="AG100" s="2">
        <f>VLOOKUP([jobnumber],OvalData[],MATCH(Table2[[#Headers],[Grille Total Links]],Table2[#Headers],0),0)</f>
        <v>0</v>
      </c>
      <c r="AH100" s="2">
        <f>VLOOKUP([jobnumber],OvalData[],MATCH(Table2[[#Headers],[Grille Rods]],Table2[#Headers],0),0)</f>
        <v>0</v>
      </c>
      <c r="AI100" s="2">
        <f>VLOOKUP([jobnumber],OvalData[],MATCH(Table2[[#Headers],[Grille Rod Length]],Table2[#Headers],0),0)</f>
        <v>0</v>
      </c>
      <c r="AJ100" s="2">
        <f>VLOOKUP([jobnumber],OvalData[],MATCH(Table2[[#Headers],[slattype]],Table2[#Headers],0),0)</f>
        <v>2</v>
      </c>
      <c r="AK100" s="2">
        <f>VLOOKUP([jobnumber],OvalData[],MATCH(Table2[[#Headers],[slatgage]],Table2[#Headers],0),0)</f>
        <v>18</v>
      </c>
      <c r="AL100" s="2">
        <f>VLOOKUP([jobnumber],OvalData[],MATCH(Table2[[#Headers],[Numer of Top Slats]],Table2[#Headers],0),0)</f>
        <v>0</v>
      </c>
      <c r="AM100" s="2">
        <f>VLOOKUP([jobnumber],OvalData[],MATCH(Table2[[#Headers],[Number of Bottom Slats]],Table2[#Headers],0),0)</f>
        <v>0</v>
      </c>
      <c r="AN100" s="2">
        <f>VLOOKUP([jobnumber],OvalData[],MATCH(Table2[[#Headers],[Solid Bottom Height]],Table2[#Headers],0),0)</f>
        <v>0</v>
      </c>
      <c r="AO100" s="2" t="str">
        <f>VLOOKUP([jobnumber],OvalData[],MATCH(Table2[[#Headers],[slatlength]],Table2[#Headers],0),0)</f>
        <v xml:space="preserve"> 18 ft.- 5 7/ 8"</v>
      </c>
      <c r="AP100" s="2">
        <f>VLOOKUP([jobnumber],OvalData[],MATCH(Table2[[#Headers],[Bottom Slat Length]],Table2[#Headers],0),0)</f>
        <v>0</v>
      </c>
      <c r="AQ100" s="2">
        <f>VLOOKUP([jobnumber],OvalData[],MATCH(Table2[[#Headers],[Number of Perferated Slats]],Table2[#Headers],0),0)</f>
        <v>0</v>
      </c>
      <c r="AR100" s="2">
        <f>VLOOKUP([jobnumber],OvalData[],MATCH(Table2[[#Headers],[First Preferated Slat From End]],Table2[#Headers],0),0)</f>
        <v>0</v>
      </c>
      <c r="AS100" s="2">
        <f>VLOOKUP([jobnumber],OvalData[],MATCH(Table2[[#Headers],[First Preferated Slat From Bottom]],Table2[#Headers],0),0)</f>
        <v>0</v>
      </c>
      <c r="AT100" s="2">
        <f>VLOOKUP([jobnumber],OvalData[],MATCH(Table2[[#Headers],[Total Number of Slats]],Table2[#Headers],0),0)</f>
        <v>51</v>
      </c>
      <c r="AU100" s="2">
        <f>VLOOKUP([jobnumber],OvalData[],MATCH(Table2[[#Headers],[Bottom Bar Slope]],Table2[#Headers],0),0)</f>
        <v>0</v>
      </c>
      <c r="AV100" s="2">
        <f>VLOOKUP([jobnumber],OvalData[],MATCH(Table2[[#Headers],[Bottom Bar Weight]],Table2[#Headers],0),0)</f>
        <v>80.5</v>
      </c>
      <c r="AW100" s="2" t="str">
        <f>VLOOKUP([jobnumber],OvalData[],MATCH(Table2[[#Headers],[Outer Spring Gage]],Table2[#Headers],0),0)</f>
        <v>Null</v>
      </c>
      <c r="AX100" s="2" t="str">
        <f>VLOOKUP([jobnumber],OvalData[],MATCH(Table2[[#Headers],[Outer Spring OD]],Table2[#Headers],0),0)</f>
        <v>Null</v>
      </c>
      <c r="AY100" s="2" t="str">
        <f>VLOOKUP([jobnumber],OvalData[],MATCH(Table2[[#Headers],[Outer Spring Length]],Table2[#Headers],0),0)</f>
        <v>Null</v>
      </c>
      <c r="AZ100" s="2" t="str">
        <f>VLOOKUP([jobnumber],OvalData[],MATCH(Table2[[#Headers],[Outer Spring Stretch]],Table2[#Headers],0),0)</f>
        <v>Null</v>
      </c>
      <c r="BA100" s="2" t="str">
        <f>VLOOKUP([jobnumber],OvalData[],MATCH(Table2[[#Headers],[Outer Spring Torque]],Table2[#Headers],0),0)</f>
        <v>Null</v>
      </c>
      <c r="BB100" s="2" t="str">
        <f>VLOOKUP([jobnumber],OvalData[],MATCH(Table2[[#Headers],[Outer Spring Max Turns]],Table2[#Headers],0),0)</f>
        <v>Null</v>
      </c>
      <c r="BC100" s="2" t="str">
        <f>VLOOKUP([jobnumber],OvalData[],MATCH(Table2[[#Headers],[Outer Spring Weight]],Table2[#Headers],0),0)</f>
        <v>Null</v>
      </c>
      <c r="BD100" s="2" t="str">
        <f>VLOOKUP([jobnumber],OvalData[],MATCH(Table2[[#Headers],[Inner Spring Gage]],Table2[#Headers],0),0)</f>
        <v>Null</v>
      </c>
      <c r="BE100" s="2" t="str">
        <f>VLOOKUP([jobnumber],OvalData[],MATCH(Table2[[#Headers],[Inner Spring OD]],Table2[#Headers],0),0)</f>
        <v>Null</v>
      </c>
      <c r="BF100" s="2" t="str">
        <f>VLOOKUP([jobnumber],OvalData[],MATCH(Table2[[#Headers],[Inner Spring Length]],Table2[#Headers],0),0)</f>
        <v>Null</v>
      </c>
      <c r="BG100" s="2" t="str">
        <f>VLOOKUP([jobnumber],OvalData[],MATCH(Table2[[#Headers],[Inner Spring Stretch]],Table2[#Headers],0),0)</f>
        <v>Null</v>
      </c>
      <c r="BH100" s="2" t="str">
        <f>VLOOKUP([jobnumber],OvalData[],MATCH(Table2[[#Headers],[Inner Spring Torque]],Table2[#Headers],0),0)</f>
        <v>Null</v>
      </c>
      <c r="BI100" s="2" t="str">
        <f>VLOOKUP([jobnumber],OvalData[],MATCH(Table2[[#Headers],[Inner Spring Max Turns]],Table2[#Headers],0),0)</f>
        <v>Null</v>
      </c>
      <c r="BJ100" s="2" t="str">
        <f>VLOOKUP([jobnumber],OvalData[],MATCH(Table2[[#Headers],[Inner Spring Weight]],Table2[#Headers],0),0)</f>
        <v>Null</v>
      </c>
      <c r="BK100" s="2">
        <f>VLOOKUP([jobnumber],OvalData[],MATCH(Table2[[#Headers],[Cycles]],Table2[#Headers],0),0)</f>
        <v>0</v>
      </c>
      <c r="BL100" s="2">
        <f>VLOOKUP([jobnumber],OvalData[],MATCH(Table2[[#Headers],[Total Spring Torque]],Table2[#Headers],0),0)</f>
        <v>0</v>
      </c>
      <c r="BM100" s="2">
        <f>VLOOKUP([jobnumber],OvalData[],MATCH(Table2[[#Headers],[Total Spring Weight]],Table2[#Headers],0),0)</f>
        <v>0</v>
      </c>
      <c r="BN100" s="2">
        <f>VLOOKUP([jobnumber],OvalData[],MATCH(Table2[[#Headers],[Pipe Weight]],Table2[#Headers],0),0)</f>
        <v>688.24239999999998</v>
      </c>
      <c r="BO100" s="2">
        <f>VLOOKUP([jobnumber],OvalData[],MATCH(Table2[[#Headers],[Max Pipe Deflection]],Table2[#Headers],0),0)</f>
        <v>2309</v>
      </c>
      <c r="BP100" s="2">
        <f>VLOOKUP([jobnumber],OvalData[],MATCH(Table2[[#Headers],[Number Non-Insulated Wrap Slats]],Table2[#Headers],0),0)</f>
        <v>0</v>
      </c>
      <c r="BQ100" s="2">
        <f>VLOOKUP([jobnumber],OvalData[],MATCH(Table2[[#Headers],[Number of Insolated Top Slats]],Table2[#Headers],0),0)</f>
        <v>45</v>
      </c>
      <c r="BR100" s="2">
        <f>VLOOKUP([jobnumber],OvalData[],MATCH(Table2[[#Headers],[Insolated Total Slats]],Table2[#Headers],0),0)</f>
        <v>45</v>
      </c>
      <c r="BS100" s="2">
        <f>VLOOKUP([jobnumber],OvalData[],MATCH(Table2[[#Headers],[Number of Slats]],Table2[#Headers],0),0)</f>
        <v>44.69</v>
      </c>
      <c r="BT100" s="2">
        <f>VLOOKUP([jobnumber],OvalData[],MATCH(Table2[[#Headers],[Wrap]],Table2[#Headers],0),0)</f>
        <v>0</v>
      </c>
      <c r="BU100" s="2">
        <f>VLOOKUP([jobnumber],OvalData[],MATCH(Table2[[#Headers],[Wall Angle Thickness]],Table2[#Headers],0),0)</f>
        <v>0</v>
      </c>
      <c r="BV100" s="2">
        <f>VLOOKUP([jobnumber],OvalData[],MATCH(Table2[[#Headers],[windlocks]],Table2[#Headers],0),0)</f>
        <v>0</v>
      </c>
      <c r="BW100" s="2" t="str">
        <f>VLOOKUP([jobnumber],OvalData[],MATCH(Table2[[#Headers],[bottombartype]],Table2[#Headers],0),0)</f>
        <v>SPECIAL</v>
      </c>
      <c r="BX100" s="2">
        <f>VLOOKUP([jobnumber],OvalData[],MATCH(Table2[[#Headers],[endlockweight]],Table2[#Headers],0),0)</f>
        <v>0.17</v>
      </c>
      <c r="BY100" s="2">
        <f>VLOOKUP([jobnumber],OvalData[],MATCH(Table2[[#Headers],[Endlock Total Weight]],Table2[#Headers],0),0)</f>
        <v>7.5972999999999997</v>
      </c>
      <c r="BZ100" s="2">
        <f>VLOOKUP([jobnumber],OvalData[],MATCH(Table2[[#Headers],[Grille Weight]],Table2[#Headers],0),0)</f>
        <v>0</v>
      </c>
      <c r="CA100" s="2">
        <f>VLOOKUP([jobnumber],OvalData[],MATCH(Table2[[#Headers],[barrelrings]],Table2[#Headers],0),0)</f>
        <v>1</v>
      </c>
    </row>
    <row r="101" spans="2:79">
      <c r="B101" s="2" t="str">
        <f>VLOOKUP([jobnumber],OvalData[],MATCH(Table2[[#Headers],[Hand]],Table2[#Headers],0),0)</f>
        <v>RH</v>
      </c>
      <c r="C101" s="2" t="str">
        <f>VLOOKUP([jobnumber],OvalData[],MATCH(Table2[[#Headers],[Model]],Table2[#Headers],0),0)</f>
        <v>SFMPP</v>
      </c>
      <c r="D101" s="2" t="str">
        <f>VLOOKUP([jobnumber],OvalData[],MATCH(Table2[[#Headers],[width]],Table2[#Headers],0),0)</f>
        <v xml:space="preserve"> 18 ft.- 2"</v>
      </c>
      <c r="E101" s="2" t="str">
        <f>VLOOKUP([jobnumber],OvalData[],MATCH(Table2[[#Headers],[stopheight]],Table2[#Headers],0),0)</f>
        <v xml:space="preserve"> 10 ft.- 0"</v>
      </c>
      <c r="F101" s="2" t="str">
        <f>VLOOKUP([jobnumber],OvalData[],MATCH(Table2[[#Headers],[Between Brackets]],Table2[#Headers],0),0)</f>
        <v xml:space="preserve"> 18 ft.- 7 7/ 8"</v>
      </c>
      <c r="G101" s="2" t="str">
        <f>VLOOKUP([jobnumber],OvalData[],MATCH(Table2[[#Headers],[shell]],Table2[#Headers],0),0)</f>
        <v>6 INCH TUBE</v>
      </c>
      <c r="H101" s="2" t="str">
        <f>VLOOKUP([jobnumber],OvalData[],MATCH(Table2[[#Headers],[pipewidth]],Table2[#Headers],0),0)</f>
        <v xml:space="preserve"> 18 ft.- 1 3/ 8"</v>
      </c>
      <c r="I101" s="2">
        <f>VLOOKUP([jobnumber],OvalData[],MATCH(Table2[[#Headers],[Support Tubes]],Table2[#Headers],0),0)</f>
        <v>0</v>
      </c>
      <c r="J101" s="2">
        <f>VLOOKUP([jobnumber],OvalData[],MATCH(Table2[[#Headers],[Upset]],Table2[#Headers],0),0)</f>
        <v>2</v>
      </c>
      <c r="K101" s="2" t="str">
        <f>VLOOKUP([jobnumber],OvalData[],MATCH(Table2[[#Headers],[Guide Type]],Table2[#Headers],0),0)</f>
        <v>SN2-4 5/8-E</v>
      </c>
      <c r="L101" s="2" t="str">
        <f>VLOOKUP([jobnumber],OvalData[],MATCH(Table2[[#Headers],[Wall Angle]],Table2[#Headers],0),0)</f>
        <v xml:space="preserve"> 11 ft.- 8"</v>
      </c>
      <c r="M101" s="2" t="str">
        <f>VLOOKUP([jobnumber],OvalData[],MATCH(Table2[[#Headers],[Middle Angle]],Table2[#Headers],0),0)</f>
        <v xml:space="preserve"> 10 ft.- 4 1/ 2"</v>
      </c>
      <c r="N101" s="2" t="str">
        <f>VLOOKUP([jobnumber],OvalData[],MATCH(Table2[[#Headers],[Front Angle]],Table2[#Headers],0),0)</f>
        <v xml:space="preserve"> 10 ft.- 3"</v>
      </c>
      <c r="O101" s="2">
        <f>VLOOKUP([jobnumber],OvalData[],MATCH(Table2[[#Headers],[Pipe Center Line]],Table2[#Headers],0),0)</f>
        <v>131</v>
      </c>
      <c r="P101" s="2">
        <f>VLOOKUP([jobnumber],OvalData[],MATCH(Table2[[#Headers],[Heat Expansion Gap]],Table2[#Headers],0),0)</f>
        <v>0</v>
      </c>
      <c r="Q101" s="2">
        <f>VLOOKUP([jobnumber],OvalData[],MATCH(Table2[[#Headers],[Hanging Weight Closed]],Table2[#Headers],0),0)</f>
        <v>795</v>
      </c>
      <c r="R101" s="2">
        <f>VLOOKUP([jobnumber],OvalData[],MATCH(Table2[[#Headers],[Hanging Weight Open]],Table2[#Headers],0),0)</f>
        <v>140</v>
      </c>
      <c r="S101" s="2">
        <f>VLOOKUP([jobnumber],OvalData[],MATCH(Table2[[#Headers],[Initial Lever Arm]],Table2[#Headers],0),0)</f>
        <v>4.25</v>
      </c>
      <c r="T101" s="2">
        <f>VLOOKUP([jobnumber],OvalData[],MATCH(Table2[[#Headers],[Turns to Raise]],Table2[#Headers],0),0)</f>
        <v>3.5859999999999999</v>
      </c>
      <c r="U101" s="2">
        <f>VLOOKUP([jobnumber],OvalData[],MATCH(Table2[[#Headers],[Final Lever Arm]],Table2[#Headers],0),0)</f>
        <v>6.37</v>
      </c>
      <c r="V101" s="2">
        <f>VLOOKUP([jobnumber],OvalData[],MATCH(Table2[[#Headers],[Torque Required Closed]],Table2[#Headers],0),0)</f>
        <v>3377.9</v>
      </c>
      <c r="W101" s="2">
        <f>VLOOKUP([jobnumber],OvalData[],MATCH(Table2[[#Headers],[Torque Required Open]],Table2[#Headers],0),0)</f>
        <v>892</v>
      </c>
      <c r="X101" s="2">
        <f>VLOOKUP([jobnumber],OvalData[],MATCH(Table2[[#Headers],[Pre Turns]],Table2[#Headers],0),0)</f>
        <v>1.3332999999999999</v>
      </c>
      <c r="Y101" s="2">
        <f>VLOOKUP([jobnumber],OvalData[],MATCH(Table2[[#Headers],[Required Torque Per Turn]],Table2[#Headers],0),0)</f>
        <v>688</v>
      </c>
      <c r="Z101" s="2">
        <f>VLOOKUP([jobnumber],OvalData[],MATCH(Table2[[#Headers],[Total Turns]],Table2[#Headers],0),0)</f>
        <v>4.91</v>
      </c>
      <c r="AA101" s="2">
        <f>VLOOKUP([jobnumber],OvalData[],MATCH(Table2[[#Headers],[Grille Vision Section]],Table2[#Headers],0),0)</f>
        <v>0</v>
      </c>
      <c r="AB101" s="2">
        <f>VLOOKUP([jobnumber],OvalData[],MATCH(Table2[[#Headers],[Grille Amount]],Table2[#Headers],0),0)</f>
        <v>0</v>
      </c>
      <c r="AC101" s="2">
        <f>VLOOKUP([jobnumber],OvalData[],MATCH(Table2[[#Headers],[Grille Center]],Table2[#Headers],0),0)</f>
        <v>0</v>
      </c>
      <c r="AD101" s="2">
        <f>VLOOKUP([jobnumber],OvalData[],MATCH(Table2[[#Headers],[Grille Pattern]],Table2[#Headers],0),0)</f>
        <v>0</v>
      </c>
      <c r="AE101" s="2">
        <f>VLOOKUP([jobnumber],OvalData[],MATCH(Table2[[#Headers],[Grille First Tube]],Table2[#Headers],0),0)</f>
        <v>0</v>
      </c>
      <c r="AF101" s="2">
        <f>VLOOKUP([jobnumber],OvalData[],MATCH(Table2[[#Headers],[Grille Standard Tube]],Table2[#Headers],0),0)</f>
        <v>0</v>
      </c>
      <c r="AG101" s="2">
        <f>VLOOKUP([jobnumber],OvalData[],MATCH(Table2[[#Headers],[Grille Total Links]],Table2[#Headers],0),0)</f>
        <v>0</v>
      </c>
      <c r="AH101" s="2">
        <f>VLOOKUP([jobnumber],OvalData[],MATCH(Table2[[#Headers],[Grille Rods]],Table2[#Headers],0),0)</f>
        <v>0</v>
      </c>
      <c r="AI101" s="2">
        <f>VLOOKUP([jobnumber],OvalData[],MATCH(Table2[[#Headers],[Grille Rod Length]],Table2[#Headers],0),0)</f>
        <v>0</v>
      </c>
      <c r="AJ101" s="2">
        <f>VLOOKUP([jobnumber],OvalData[],MATCH(Table2[[#Headers],[slattype]],Table2[#Headers],0),0)</f>
        <v>2</v>
      </c>
      <c r="AK101" s="2">
        <f>VLOOKUP([jobnumber],OvalData[],MATCH(Table2[[#Headers],[slatgage]],Table2[#Headers],0),0)</f>
        <v>18</v>
      </c>
      <c r="AL101" s="2">
        <f>VLOOKUP([jobnumber],OvalData[],MATCH(Table2[[#Headers],[Numer of Top Slats]],Table2[#Headers],0),0)</f>
        <v>0</v>
      </c>
      <c r="AM101" s="2">
        <f>VLOOKUP([jobnumber],OvalData[],MATCH(Table2[[#Headers],[Number of Bottom Slats]],Table2[#Headers],0),0)</f>
        <v>0</v>
      </c>
      <c r="AN101" s="2">
        <f>VLOOKUP([jobnumber],OvalData[],MATCH(Table2[[#Headers],[Solid Bottom Height]],Table2[#Headers],0),0)</f>
        <v>0</v>
      </c>
      <c r="AO101" s="2" t="str">
        <f>VLOOKUP([jobnumber],OvalData[],MATCH(Table2[[#Headers],[slatlength]],Table2[#Headers],0),0)</f>
        <v xml:space="preserve"> 18 ft.- 5 7/ 8"</v>
      </c>
      <c r="AP101" s="2">
        <f>VLOOKUP([jobnumber],OvalData[],MATCH(Table2[[#Headers],[Bottom Slat Length]],Table2[#Headers],0),0)</f>
        <v>0</v>
      </c>
      <c r="AQ101" s="2">
        <f>VLOOKUP([jobnumber],OvalData[],MATCH(Table2[[#Headers],[Number of Perferated Slats]],Table2[#Headers],0),0)</f>
        <v>0</v>
      </c>
      <c r="AR101" s="2">
        <f>VLOOKUP([jobnumber],OvalData[],MATCH(Table2[[#Headers],[First Preferated Slat From End]],Table2[#Headers],0),0)</f>
        <v>0</v>
      </c>
      <c r="AS101" s="2">
        <f>VLOOKUP([jobnumber],OvalData[],MATCH(Table2[[#Headers],[First Preferated Slat From Bottom]],Table2[#Headers],0),0)</f>
        <v>0</v>
      </c>
      <c r="AT101" s="2">
        <f>VLOOKUP([jobnumber],OvalData[],MATCH(Table2[[#Headers],[Total Number of Slats]],Table2[#Headers],0),0)</f>
        <v>51</v>
      </c>
      <c r="AU101" s="2">
        <f>VLOOKUP([jobnumber],OvalData[],MATCH(Table2[[#Headers],[Bottom Bar Slope]],Table2[#Headers],0),0)</f>
        <v>0</v>
      </c>
      <c r="AV101" s="2">
        <f>VLOOKUP([jobnumber],OvalData[],MATCH(Table2[[#Headers],[Bottom Bar Weight]],Table2[#Headers],0),0)</f>
        <v>80.5</v>
      </c>
      <c r="AW101" s="2" t="str">
        <f>VLOOKUP([jobnumber],OvalData[],MATCH(Table2[[#Headers],[Outer Spring Gage]],Table2[#Headers],0),0)</f>
        <v>Null</v>
      </c>
      <c r="AX101" s="2" t="str">
        <f>VLOOKUP([jobnumber],OvalData[],MATCH(Table2[[#Headers],[Outer Spring OD]],Table2[#Headers],0),0)</f>
        <v>Null</v>
      </c>
      <c r="AY101" s="2" t="str">
        <f>VLOOKUP([jobnumber],OvalData[],MATCH(Table2[[#Headers],[Outer Spring Length]],Table2[#Headers],0),0)</f>
        <v>Null</v>
      </c>
      <c r="AZ101" s="2" t="str">
        <f>VLOOKUP([jobnumber],OvalData[],MATCH(Table2[[#Headers],[Outer Spring Stretch]],Table2[#Headers],0),0)</f>
        <v>Null</v>
      </c>
      <c r="BA101" s="2" t="str">
        <f>VLOOKUP([jobnumber],OvalData[],MATCH(Table2[[#Headers],[Outer Spring Torque]],Table2[#Headers],0),0)</f>
        <v>Null</v>
      </c>
      <c r="BB101" s="2" t="str">
        <f>VLOOKUP([jobnumber],OvalData[],MATCH(Table2[[#Headers],[Outer Spring Max Turns]],Table2[#Headers],0),0)</f>
        <v>Null</v>
      </c>
      <c r="BC101" s="2" t="str">
        <f>VLOOKUP([jobnumber],OvalData[],MATCH(Table2[[#Headers],[Outer Spring Weight]],Table2[#Headers],0),0)</f>
        <v>Null</v>
      </c>
      <c r="BD101" s="2" t="str">
        <f>VLOOKUP([jobnumber],OvalData[],MATCH(Table2[[#Headers],[Inner Spring Gage]],Table2[#Headers],0),0)</f>
        <v>Null</v>
      </c>
      <c r="BE101" s="2" t="str">
        <f>VLOOKUP([jobnumber],OvalData[],MATCH(Table2[[#Headers],[Inner Spring OD]],Table2[#Headers],0),0)</f>
        <v>Null</v>
      </c>
      <c r="BF101" s="2" t="str">
        <f>VLOOKUP([jobnumber],OvalData[],MATCH(Table2[[#Headers],[Inner Spring Length]],Table2[#Headers],0),0)</f>
        <v>Null</v>
      </c>
      <c r="BG101" s="2" t="str">
        <f>VLOOKUP([jobnumber],OvalData[],MATCH(Table2[[#Headers],[Inner Spring Stretch]],Table2[#Headers],0),0)</f>
        <v>Null</v>
      </c>
      <c r="BH101" s="2" t="str">
        <f>VLOOKUP([jobnumber],OvalData[],MATCH(Table2[[#Headers],[Inner Spring Torque]],Table2[#Headers],0),0)</f>
        <v>Null</v>
      </c>
      <c r="BI101" s="2" t="str">
        <f>VLOOKUP([jobnumber],OvalData[],MATCH(Table2[[#Headers],[Inner Spring Max Turns]],Table2[#Headers],0),0)</f>
        <v>Null</v>
      </c>
      <c r="BJ101" s="2" t="str">
        <f>VLOOKUP([jobnumber],OvalData[],MATCH(Table2[[#Headers],[Inner Spring Weight]],Table2[#Headers],0),0)</f>
        <v>Null</v>
      </c>
      <c r="BK101" s="2">
        <f>VLOOKUP([jobnumber],OvalData[],MATCH(Table2[[#Headers],[Cycles]],Table2[#Headers],0),0)</f>
        <v>0</v>
      </c>
      <c r="BL101" s="2">
        <f>VLOOKUP([jobnumber],OvalData[],MATCH(Table2[[#Headers],[Total Spring Torque]],Table2[#Headers],0),0)</f>
        <v>0</v>
      </c>
      <c r="BM101" s="2">
        <f>VLOOKUP([jobnumber],OvalData[],MATCH(Table2[[#Headers],[Total Spring Weight]],Table2[#Headers],0),0)</f>
        <v>0</v>
      </c>
      <c r="BN101" s="2">
        <f>VLOOKUP([jobnumber],OvalData[],MATCH(Table2[[#Headers],[Pipe Weight]],Table2[#Headers],0),0)</f>
        <v>688.24239999999998</v>
      </c>
      <c r="BO101" s="2">
        <f>VLOOKUP([jobnumber],OvalData[],MATCH(Table2[[#Headers],[Max Pipe Deflection]],Table2[#Headers],0),0)</f>
        <v>2309</v>
      </c>
      <c r="BP101" s="2">
        <f>VLOOKUP([jobnumber],OvalData[],MATCH(Table2[[#Headers],[Number Non-Insulated Wrap Slats]],Table2[#Headers],0),0)</f>
        <v>0</v>
      </c>
      <c r="BQ101" s="2">
        <f>VLOOKUP([jobnumber],OvalData[],MATCH(Table2[[#Headers],[Number of Insolated Top Slats]],Table2[#Headers],0),0)</f>
        <v>45</v>
      </c>
      <c r="BR101" s="2">
        <f>VLOOKUP([jobnumber],OvalData[],MATCH(Table2[[#Headers],[Insolated Total Slats]],Table2[#Headers],0),0)</f>
        <v>45</v>
      </c>
      <c r="BS101" s="2">
        <f>VLOOKUP([jobnumber],OvalData[],MATCH(Table2[[#Headers],[Number of Slats]],Table2[#Headers],0),0)</f>
        <v>44.69</v>
      </c>
      <c r="BT101" s="2">
        <f>VLOOKUP([jobnumber],OvalData[],MATCH(Table2[[#Headers],[Wrap]],Table2[#Headers],0),0)</f>
        <v>0</v>
      </c>
      <c r="BU101" s="2">
        <f>VLOOKUP([jobnumber],OvalData[],MATCH(Table2[[#Headers],[Wall Angle Thickness]],Table2[#Headers],0),0)</f>
        <v>0</v>
      </c>
      <c r="BV101" s="2">
        <f>VLOOKUP([jobnumber],OvalData[],MATCH(Table2[[#Headers],[windlocks]],Table2[#Headers],0),0)</f>
        <v>0</v>
      </c>
      <c r="BW101" s="2" t="str">
        <f>VLOOKUP([jobnumber],OvalData[],MATCH(Table2[[#Headers],[bottombartype]],Table2[#Headers],0),0)</f>
        <v>SPECIAL</v>
      </c>
      <c r="BX101" s="2">
        <f>VLOOKUP([jobnumber],OvalData[],MATCH(Table2[[#Headers],[endlockweight]],Table2[#Headers],0),0)</f>
        <v>0.17</v>
      </c>
      <c r="BY101" s="2">
        <f>VLOOKUP([jobnumber],OvalData[],MATCH(Table2[[#Headers],[Endlock Total Weight]],Table2[#Headers],0),0)</f>
        <v>7.5972999999999997</v>
      </c>
      <c r="BZ101" s="2">
        <f>VLOOKUP([jobnumber],OvalData[],MATCH(Table2[[#Headers],[Grille Weight]],Table2[#Headers],0),0)</f>
        <v>0</v>
      </c>
      <c r="CA101" s="2">
        <f>VLOOKUP([jobnumber],OvalData[],MATCH(Table2[[#Headers],[barrelrings]],Table2[#Headers],0),0)</f>
        <v>1</v>
      </c>
    </row>
    <row r="102" spans="2:79">
      <c r="B102" s="2" t="str">
        <f>VLOOKUP([jobnumber],OvalData[],MATCH(Table2[[#Headers],[Hand]],Table2[#Headers],0),0)</f>
        <v>RH</v>
      </c>
      <c r="C102" s="2" t="str">
        <f>VLOOKUP([jobnumber],OvalData[],MATCH(Table2[[#Headers],[Model]],Table2[#Headers],0),0)</f>
        <v>SFMPP</v>
      </c>
      <c r="D102" s="2" t="str">
        <f>VLOOKUP([jobnumber],OvalData[],MATCH(Table2[[#Headers],[width]],Table2[#Headers],0),0)</f>
        <v xml:space="preserve"> 18 ft.- 2"</v>
      </c>
      <c r="E102" s="2" t="str">
        <f>VLOOKUP([jobnumber],OvalData[],MATCH(Table2[[#Headers],[stopheight]],Table2[#Headers],0),0)</f>
        <v xml:space="preserve"> 10 ft.- 0"</v>
      </c>
      <c r="F102" s="2" t="str">
        <f>VLOOKUP([jobnumber],OvalData[],MATCH(Table2[[#Headers],[Between Brackets]],Table2[#Headers],0),0)</f>
        <v xml:space="preserve"> 18 ft.- 7 7/ 8"</v>
      </c>
      <c r="G102" s="2" t="str">
        <f>VLOOKUP([jobnumber],OvalData[],MATCH(Table2[[#Headers],[shell]],Table2[#Headers],0),0)</f>
        <v>6 INCH TUBE</v>
      </c>
      <c r="H102" s="2" t="str">
        <f>VLOOKUP([jobnumber],OvalData[],MATCH(Table2[[#Headers],[pipewidth]],Table2[#Headers],0),0)</f>
        <v xml:space="preserve"> 18 ft.- 1 3/ 8"</v>
      </c>
      <c r="I102" s="2">
        <f>VLOOKUP([jobnumber],OvalData[],MATCH(Table2[[#Headers],[Support Tubes]],Table2[#Headers],0),0)</f>
        <v>0</v>
      </c>
      <c r="J102" s="2">
        <f>VLOOKUP([jobnumber],OvalData[],MATCH(Table2[[#Headers],[Upset]],Table2[#Headers],0),0)</f>
        <v>2</v>
      </c>
      <c r="K102" s="2" t="str">
        <f>VLOOKUP([jobnumber],OvalData[],MATCH(Table2[[#Headers],[Guide Type]],Table2[#Headers],0),0)</f>
        <v>SN2-4 5/8-E</v>
      </c>
      <c r="L102" s="2" t="str">
        <f>VLOOKUP([jobnumber],OvalData[],MATCH(Table2[[#Headers],[Wall Angle]],Table2[#Headers],0),0)</f>
        <v xml:space="preserve"> 11 ft.- 8"</v>
      </c>
      <c r="M102" s="2" t="str">
        <f>VLOOKUP([jobnumber],OvalData[],MATCH(Table2[[#Headers],[Middle Angle]],Table2[#Headers],0),0)</f>
        <v xml:space="preserve"> 10 ft.- 4 1/ 2"</v>
      </c>
      <c r="N102" s="2" t="str">
        <f>VLOOKUP([jobnumber],OvalData[],MATCH(Table2[[#Headers],[Front Angle]],Table2[#Headers],0),0)</f>
        <v xml:space="preserve"> 10 ft.- 3"</v>
      </c>
      <c r="O102" s="2">
        <f>VLOOKUP([jobnumber],OvalData[],MATCH(Table2[[#Headers],[Pipe Center Line]],Table2[#Headers],0),0)</f>
        <v>131</v>
      </c>
      <c r="P102" s="2">
        <f>VLOOKUP([jobnumber],OvalData[],MATCH(Table2[[#Headers],[Heat Expansion Gap]],Table2[#Headers],0),0)</f>
        <v>0</v>
      </c>
      <c r="Q102" s="2">
        <f>VLOOKUP([jobnumber],OvalData[],MATCH(Table2[[#Headers],[Hanging Weight Closed]],Table2[#Headers],0),0)</f>
        <v>795</v>
      </c>
      <c r="R102" s="2">
        <f>VLOOKUP([jobnumber],OvalData[],MATCH(Table2[[#Headers],[Hanging Weight Open]],Table2[#Headers],0),0)</f>
        <v>140</v>
      </c>
      <c r="S102" s="2">
        <f>VLOOKUP([jobnumber],OvalData[],MATCH(Table2[[#Headers],[Initial Lever Arm]],Table2[#Headers],0),0)</f>
        <v>4.25</v>
      </c>
      <c r="T102" s="2">
        <f>VLOOKUP([jobnumber],OvalData[],MATCH(Table2[[#Headers],[Turns to Raise]],Table2[#Headers],0),0)</f>
        <v>3.5859999999999999</v>
      </c>
      <c r="U102" s="2">
        <f>VLOOKUP([jobnumber],OvalData[],MATCH(Table2[[#Headers],[Final Lever Arm]],Table2[#Headers],0),0)</f>
        <v>6.37</v>
      </c>
      <c r="V102" s="2">
        <f>VLOOKUP([jobnumber],OvalData[],MATCH(Table2[[#Headers],[Torque Required Closed]],Table2[#Headers],0),0)</f>
        <v>3377.9</v>
      </c>
      <c r="W102" s="2">
        <f>VLOOKUP([jobnumber],OvalData[],MATCH(Table2[[#Headers],[Torque Required Open]],Table2[#Headers],0),0)</f>
        <v>892</v>
      </c>
      <c r="X102" s="2">
        <f>VLOOKUP([jobnumber],OvalData[],MATCH(Table2[[#Headers],[Pre Turns]],Table2[#Headers],0),0)</f>
        <v>1.3332999999999999</v>
      </c>
      <c r="Y102" s="2">
        <f>VLOOKUP([jobnumber],OvalData[],MATCH(Table2[[#Headers],[Required Torque Per Turn]],Table2[#Headers],0),0)</f>
        <v>688</v>
      </c>
      <c r="Z102" s="2">
        <f>VLOOKUP([jobnumber],OvalData[],MATCH(Table2[[#Headers],[Total Turns]],Table2[#Headers],0),0)</f>
        <v>4.91</v>
      </c>
      <c r="AA102" s="2">
        <f>VLOOKUP([jobnumber],OvalData[],MATCH(Table2[[#Headers],[Grille Vision Section]],Table2[#Headers],0),0)</f>
        <v>0</v>
      </c>
      <c r="AB102" s="2">
        <f>VLOOKUP([jobnumber],OvalData[],MATCH(Table2[[#Headers],[Grille Amount]],Table2[#Headers],0),0)</f>
        <v>0</v>
      </c>
      <c r="AC102" s="2">
        <f>VLOOKUP([jobnumber],OvalData[],MATCH(Table2[[#Headers],[Grille Center]],Table2[#Headers],0),0)</f>
        <v>0</v>
      </c>
      <c r="AD102" s="2">
        <f>VLOOKUP([jobnumber],OvalData[],MATCH(Table2[[#Headers],[Grille Pattern]],Table2[#Headers],0),0)</f>
        <v>0</v>
      </c>
      <c r="AE102" s="2">
        <f>VLOOKUP([jobnumber],OvalData[],MATCH(Table2[[#Headers],[Grille First Tube]],Table2[#Headers],0),0)</f>
        <v>0</v>
      </c>
      <c r="AF102" s="2">
        <f>VLOOKUP([jobnumber],OvalData[],MATCH(Table2[[#Headers],[Grille Standard Tube]],Table2[#Headers],0),0)</f>
        <v>0</v>
      </c>
      <c r="AG102" s="2">
        <f>VLOOKUP([jobnumber],OvalData[],MATCH(Table2[[#Headers],[Grille Total Links]],Table2[#Headers],0),0)</f>
        <v>0</v>
      </c>
      <c r="AH102" s="2">
        <f>VLOOKUP([jobnumber],OvalData[],MATCH(Table2[[#Headers],[Grille Rods]],Table2[#Headers],0),0)</f>
        <v>0</v>
      </c>
      <c r="AI102" s="2">
        <f>VLOOKUP([jobnumber],OvalData[],MATCH(Table2[[#Headers],[Grille Rod Length]],Table2[#Headers],0),0)</f>
        <v>0</v>
      </c>
      <c r="AJ102" s="2">
        <f>VLOOKUP([jobnumber],OvalData[],MATCH(Table2[[#Headers],[slattype]],Table2[#Headers],0),0)</f>
        <v>2</v>
      </c>
      <c r="AK102" s="2">
        <f>VLOOKUP([jobnumber],OvalData[],MATCH(Table2[[#Headers],[slatgage]],Table2[#Headers],0),0)</f>
        <v>18</v>
      </c>
      <c r="AL102" s="2">
        <f>VLOOKUP([jobnumber],OvalData[],MATCH(Table2[[#Headers],[Numer of Top Slats]],Table2[#Headers],0),0)</f>
        <v>0</v>
      </c>
      <c r="AM102" s="2">
        <f>VLOOKUP([jobnumber],OvalData[],MATCH(Table2[[#Headers],[Number of Bottom Slats]],Table2[#Headers],0),0)</f>
        <v>0</v>
      </c>
      <c r="AN102" s="2">
        <f>VLOOKUP([jobnumber],OvalData[],MATCH(Table2[[#Headers],[Solid Bottom Height]],Table2[#Headers],0),0)</f>
        <v>0</v>
      </c>
      <c r="AO102" s="2" t="str">
        <f>VLOOKUP([jobnumber],OvalData[],MATCH(Table2[[#Headers],[slatlength]],Table2[#Headers],0),0)</f>
        <v xml:space="preserve"> 18 ft.- 5 7/ 8"</v>
      </c>
      <c r="AP102" s="2">
        <f>VLOOKUP([jobnumber],OvalData[],MATCH(Table2[[#Headers],[Bottom Slat Length]],Table2[#Headers],0),0)</f>
        <v>0</v>
      </c>
      <c r="AQ102" s="2">
        <f>VLOOKUP([jobnumber],OvalData[],MATCH(Table2[[#Headers],[Number of Perferated Slats]],Table2[#Headers],0),0)</f>
        <v>0</v>
      </c>
      <c r="AR102" s="2">
        <f>VLOOKUP([jobnumber],OvalData[],MATCH(Table2[[#Headers],[First Preferated Slat From End]],Table2[#Headers],0),0)</f>
        <v>0</v>
      </c>
      <c r="AS102" s="2">
        <f>VLOOKUP([jobnumber],OvalData[],MATCH(Table2[[#Headers],[First Preferated Slat From Bottom]],Table2[#Headers],0),0)</f>
        <v>0</v>
      </c>
      <c r="AT102" s="2">
        <f>VLOOKUP([jobnumber],OvalData[],MATCH(Table2[[#Headers],[Total Number of Slats]],Table2[#Headers],0),0)</f>
        <v>51</v>
      </c>
      <c r="AU102" s="2">
        <f>VLOOKUP([jobnumber],OvalData[],MATCH(Table2[[#Headers],[Bottom Bar Slope]],Table2[#Headers],0),0)</f>
        <v>0</v>
      </c>
      <c r="AV102" s="2">
        <f>VLOOKUP([jobnumber],OvalData[],MATCH(Table2[[#Headers],[Bottom Bar Weight]],Table2[#Headers],0),0)</f>
        <v>80.5</v>
      </c>
      <c r="AW102" s="2" t="str">
        <f>VLOOKUP([jobnumber],OvalData[],MATCH(Table2[[#Headers],[Outer Spring Gage]],Table2[#Headers],0),0)</f>
        <v>Null</v>
      </c>
      <c r="AX102" s="2" t="str">
        <f>VLOOKUP([jobnumber],OvalData[],MATCH(Table2[[#Headers],[Outer Spring OD]],Table2[#Headers],0),0)</f>
        <v>Null</v>
      </c>
      <c r="AY102" s="2" t="str">
        <f>VLOOKUP([jobnumber],OvalData[],MATCH(Table2[[#Headers],[Outer Spring Length]],Table2[#Headers],0),0)</f>
        <v>Null</v>
      </c>
      <c r="AZ102" s="2" t="str">
        <f>VLOOKUP([jobnumber],OvalData[],MATCH(Table2[[#Headers],[Outer Spring Stretch]],Table2[#Headers],0),0)</f>
        <v>Null</v>
      </c>
      <c r="BA102" s="2" t="str">
        <f>VLOOKUP([jobnumber],OvalData[],MATCH(Table2[[#Headers],[Outer Spring Torque]],Table2[#Headers],0),0)</f>
        <v>Null</v>
      </c>
      <c r="BB102" s="2" t="str">
        <f>VLOOKUP([jobnumber],OvalData[],MATCH(Table2[[#Headers],[Outer Spring Max Turns]],Table2[#Headers],0),0)</f>
        <v>Null</v>
      </c>
      <c r="BC102" s="2" t="str">
        <f>VLOOKUP([jobnumber],OvalData[],MATCH(Table2[[#Headers],[Outer Spring Weight]],Table2[#Headers],0),0)</f>
        <v>Null</v>
      </c>
      <c r="BD102" s="2" t="str">
        <f>VLOOKUP([jobnumber],OvalData[],MATCH(Table2[[#Headers],[Inner Spring Gage]],Table2[#Headers],0),0)</f>
        <v>Null</v>
      </c>
      <c r="BE102" s="2" t="str">
        <f>VLOOKUP([jobnumber],OvalData[],MATCH(Table2[[#Headers],[Inner Spring OD]],Table2[#Headers],0),0)</f>
        <v>Null</v>
      </c>
      <c r="BF102" s="2" t="str">
        <f>VLOOKUP([jobnumber],OvalData[],MATCH(Table2[[#Headers],[Inner Spring Length]],Table2[#Headers],0),0)</f>
        <v>Null</v>
      </c>
      <c r="BG102" s="2" t="str">
        <f>VLOOKUP([jobnumber],OvalData[],MATCH(Table2[[#Headers],[Inner Spring Stretch]],Table2[#Headers],0),0)</f>
        <v>Null</v>
      </c>
      <c r="BH102" s="2" t="str">
        <f>VLOOKUP([jobnumber],OvalData[],MATCH(Table2[[#Headers],[Inner Spring Torque]],Table2[#Headers],0),0)</f>
        <v>Null</v>
      </c>
      <c r="BI102" s="2" t="str">
        <f>VLOOKUP([jobnumber],OvalData[],MATCH(Table2[[#Headers],[Inner Spring Max Turns]],Table2[#Headers],0),0)</f>
        <v>Null</v>
      </c>
      <c r="BJ102" s="2" t="str">
        <f>VLOOKUP([jobnumber],OvalData[],MATCH(Table2[[#Headers],[Inner Spring Weight]],Table2[#Headers],0),0)</f>
        <v>Null</v>
      </c>
      <c r="BK102" s="2">
        <f>VLOOKUP([jobnumber],OvalData[],MATCH(Table2[[#Headers],[Cycles]],Table2[#Headers],0),0)</f>
        <v>0</v>
      </c>
      <c r="BL102" s="2">
        <f>VLOOKUP([jobnumber],OvalData[],MATCH(Table2[[#Headers],[Total Spring Torque]],Table2[#Headers],0),0)</f>
        <v>0</v>
      </c>
      <c r="BM102" s="2">
        <f>VLOOKUP([jobnumber],OvalData[],MATCH(Table2[[#Headers],[Total Spring Weight]],Table2[#Headers],0),0)</f>
        <v>0</v>
      </c>
      <c r="BN102" s="2">
        <f>VLOOKUP([jobnumber],OvalData[],MATCH(Table2[[#Headers],[Pipe Weight]],Table2[#Headers],0),0)</f>
        <v>688.24239999999998</v>
      </c>
      <c r="BO102" s="2">
        <f>VLOOKUP([jobnumber],OvalData[],MATCH(Table2[[#Headers],[Max Pipe Deflection]],Table2[#Headers],0),0)</f>
        <v>2309</v>
      </c>
      <c r="BP102" s="2">
        <f>VLOOKUP([jobnumber],OvalData[],MATCH(Table2[[#Headers],[Number Non-Insulated Wrap Slats]],Table2[#Headers],0),0)</f>
        <v>0</v>
      </c>
      <c r="BQ102" s="2">
        <f>VLOOKUP([jobnumber],OvalData[],MATCH(Table2[[#Headers],[Number of Insolated Top Slats]],Table2[#Headers],0),0)</f>
        <v>45</v>
      </c>
      <c r="BR102" s="2">
        <f>VLOOKUP([jobnumber],OvalData[],MATCH(Table2[[#Headers],[Insolated Total Slats]],Table2[#Headers],0),0)</f>
        <v>45</v>
      </c>
      <c r="BS102" s="2">
        <f>VLOOKUP([jobnumber],OvalData[],MATCH(Table2[[#Headers],[Number of Slats]],Table2[#Headers],0),0)</f>
        <v>44.69</v>
      </c>
      <c r="BT102" s="2">
        <f>VLOOKUP([jobnumber],OvalData[],MATCH(Table2[[#Headers],[Wrap]],Table2[#Headers],0),0)</f>
        <v>0</v>
      </c>
      <c r="BU102" s="2">
        <f>VLOOKUP([jobnumber],OvalData[],MATCH(Table2[[#Headers],[Wall Angle Thickness]],Table2[#Headers],0),0)</f>
        <v>0</v>
      </c>
      <c r="BV102" s="2">
        <f>VLOOKUP([jobnumber],OvalData[],MATCH(Table2[[#Headers],[windlocks]],Table2[#Headers],0),0)</f>
        <v>0</v>
      </c>
      <c r="BW102" s="2" t="str">
        <f>VLOOKUP([jobnumber],OvalData[],MATCH(Table2[[#Headers],[bottombartype]],Table2[#Headers],0),0)</f>
        <v>SPECIAL</v>
      </c>
      <c r="BX102" s="2">
        <f>VLOOKUP([jobnumber],OvalData[],MATCH(Table2[[#Headers],[endlockweight]],Table2[#Headers],0),0)</f>
        <v>0.17</v>
      </c>
      <c r="BY102" s="2">
        <f>VLOOKUP([jobnumber],OvalData[],MATCH(Table2[[#Headers],[Endlock Total Weight]],Table2[#Headers],0),0)</f>
        <v>7.5972999999999997</v>
      </c>
      <c r="BZ102" s="2">
        <f>VLOOKUP([jobnumber],OvalData[],MATCH(Table2[[#Headers],[Grille Weight]],Table2[#Headers],0),0)</f>
        <v>0</v>
      </c>
      <c r="CA102" s="2">
        <f>VLOOKUP([jobnumber],OvalData[],MATCH(Table2[[#Headers],[barrelrings]],Table2[#Headers],0),0)</f>
        <v>1</v>
      </c>
    </row>
    <row r="103" spans="2:79">
      <c r="B103" s="2" t="str">
        <f>VLOOKUP([jobnumber],OvalData[],MATCH(Table2[[#Headers],[Hand]],Table2[#Headers],0),0)</f>
        <v>RH</v>
      </c>
      <c r="C103" s="2" t="str">
        <f>VLOOKUP([jobnumber],OvalData[],MATCH(Table2[[#Headers],[Model]],Table2[#Headers],0),0)</f>
        <v>SFMPP</v>
      </c>
      <c r="D103" s="2" t="str">
        <f>VLOOKUP([jobnumber],OvalData[],MATCH(Table2[[#Headers],[width]],Table2[#Headers],0),0)</f>
        <v xml:space="preserve"> 18 ft.- 2"</v>
      </c>
      <c r="E103" s="2" t="str">
        <f>VLOOKUP([jobnumber],OvalData[],MATCH(Table2[[#Headers],[stopheight]],Table2[#Headers],0),0)</f>
        <v xml:space="preserve"> 10 ft.- 0"</v>
      </c>
      <c r="F103" s="2" t="str">
        <f>VLOOKUP([jobnumber],OvalData[],MATCH(Table2[[#Headers],[Between Brackets]],Table2[#Headers],0),0)</f>
        <v xml:space="preserve"> 18 ft.- 7 7/ 8"</v>
      </c>
      <c r="G103" s="2" t="str">
        <f>VLOOKUP([jobnumber],OvalData[],MATCH(Table2[[#Headers],[shell]],Table2[#Headers],0),0)</f>
        <v>6 INCH TUBE</v>
      </c>
      <c r="H103" s="2" t="str">
        <f>VLOOKUP([jobnumber],OvalData[],MATCH(Table2[[#Headers],[pipewidth]],Table2[#Headers],0),0)</f>
        <v xml:space="preserve"> 18 ft.- 1 3/ 8"</v>
      </c>
      <c r="I103" s="2">
        <f>VLOOKUP([jobnumber],OvalData[],MATCH(Table2[[#Headers],[Support Tubes]],Table2[#Headers],0),0)</f>
        <v>0</v>
      </c>
      <c r="J103" s="2">
        <f>VLOOKUP([jobnumber],OvalData[],MATCH(Table2[[#Headers],[Upset]],Table2[#Headers],0),0)</f>
        <v>2</v>
      </c>
      <c r="K103" s="2" t="str">
        <f>VLOOKUP([jobnumber],OvalData[],MATCH(Table2[[#Headers],[Guide Type]],Table2[#Headers],0),0)</f>
        <v>SN2-4 5/8-E</v>
      </c>
      <c r="L103" s="2" t="str">
        <f>VLOOKUP([jobnumber],OvalData[],MATCH(Table2[[#Headers],[Wall Angle]],Table2[#Headers],0),0)</f>
        <v xml:space="preserve"> 11 ft.- 8"</v>
      </c>
      <c r="M103" s="2" t="str">
        <f>VLOOKUP([jobnumber],OvalData[],MATCH(Table2[[#Headers],[Middle Angle]],Table2[#Headers],0),0)</f>
        <v xml:space="preserve"> 10 ft.- 4 1/ 2"</v>
      </c>
      <c r="N103" s="2" t="str">
        <f>VLOOKUP([jobnumber],OvalData[],MATCH(Table2[[#Headers],[Front Angle]],Table2[#Headers],0),0)</f>
        <v xml:space="preserve"> 10 ft.- 3"</v>
      </c>
      <c r="O103" s="2">
        <f>VLOOKUP([jobnumber],OvalData[],MATCH(Table2[[#Headers],[Pipe Center Line]],Table2[#Headers],0),0)</f>
        <v>131</v>
      </c>
      <c r="P103" s="2">
        <f>VLOOKUP([jobnumber],OvalData[],MATCH(Table2[[#Headers],[Heat Expansion Gap]],Table2[#Headers],0),0)</f>
        <v>0</v>
      </c>
      <c r="Q103" s="2">
        <f>VLOOKUP([jobnumber],OvalData[],MATCH(Table2[[#Headers],[Hanging Weight Closed]],Table2[#Headers],0),0)</f>
        <v>795</v>
      </c>
      <c r="R103" s="2">
        <f>VLOOKUP([jobnumber],OvalData[],MATCH(Table2[[#Headers],[Hanging Weight Open]],Table2[#Headers],0),0)</f>
        <v>140</v>
      </c>
      <c r="S103" s="2">
        <f>VLOOKUP([jobnumber],OvalData[],MATCH(Table2[[#Headers],[Initial Lever Arm]],Table2[#Headers],0),0)</f>
        <v>4.25</v>
      </c>
      <c r="T103" s="2">
        <f>VLOOKUP([jobnumber],OvalData[],MATCH(Table2[[#Headers],[Turns to Raise]],Table2[#Headers],0),0)</f>
        <v>3.5859999999999999</v>
      </c>
      <c r="U103" s="2">
        <f>VLOOKUP([jobnumber],OvalData[],MATCH(Table2[[#Headers],[Final Lever Arm]],Table2[#Headers],0),0)</f>
        <v>6.37</v>
      </c>
      <c r="V103" s="2">
        <f>VLOOKUP([jobnumber],OvalData[],MATCH(Table2[[#Headers],[Torque Required Closed]],Table2[#Headers],0),0)</f>
        <v>3377.9</v>
      </c>
      <c r="W103" s="2">
        <f>VLOOKUP([jobnumber],OvalData[],MATCH(Table2[[#Headers],[Torque Required Open]],Table2[#Headers],0),0)</f>
        <v>892</v>
      </c>
      <c r="X103" s="2">
        <f>VLOOKUP([jobnumber],OvalData[],MATCH(Table2[[#Headers],[Pre Turns]],Table2[#Headers],0),0)</f>
        <v>1.3332999999999999</v>
      </c>
      <c r="Y103" s="2">
        <f>VLOOKUP([jobnumber],OvalData[],MATCH(Table2[[#Headers],[Required Torque Per Turn]],Table2[#Headers],0),0)</f>
        <v>688</v>
      </c>
      <c r="Z103" s="2">
        <f>VLOOKUP([jobnumber],OvalData[],MATCH(Table2[[#Headers],[Total Turns]],Table2[#Headers],0),0)</f>
        <v>4.91</v>
      </c>
      <c r="AA103" s="2">
        <f>VLOOKUP([jobnumber],OvalData[],MATCH(Table2[[#Headers],[Grille Vision Section]],Table2[#Headers],0),0)</f>
        <v>0</v>
      </c>
      <c r="AB103" s="2">
        <f>VLOOKUP([jobnumber],OvalData[],MATCH(Table2[[#Headers],[Grille Amount]],Table2[#Headers],0),0)</f>
        <v>0</v>
      </c>
      <c r="AC103" s="2">
        <f>VLOOKUP([jobnumber],OvalData[],MATCH(Table2[[#Headers],[Grille Center]],Table2[#Headers],0),0)</f>
        <v>0</v>
      </c>
      <c r="AD103" s="2">
        <f>VLOOKUP([jobnumber],OvalData[],MATCH(Table2[[#Headers],[Grille Pattern]],Table2[#Headers],0),0)</f>
        <v>0</v>
      </c>
      <c r="AE103" s="2">
        <f>VLOOKUP([jobnumber],OvalData[],MATCH(Table2[[#Headers],[Grille First Tube]],Table2[#Headers],0),0)</f>
        <v>0</v>
      </c>
      <c r="AF103" s="2">
        <f>VLOOKUP([jobnumber],OvalData[],MATCH(Table2[[#Headers],[Grille Standard Tube]],Table2[#Headers],0),0)</f>
        <v>0</v>
      </c>
      <c r="AG103" s="2">
        <f>VLOOKUP([jobnumber],OvalData[],MATCH(Table2[[#Headers],[Grille Total Links]],Table2[#Headers],0),0)</f>
        <v>0</v>
      </c>
      <c r="AH103" s="2">
        <f>VLOOKUP([jobnumber],OvalData[],MATCH(Table2[[#Headers],[Grille Rods]],Table2[#Headers],0),0)</f>
        <v>0</v>
      </c>
      <c r="AI103" s="2">
        <f>VLOOKUP([jobnumber],OvalData[],MATCH(Table2[[#Headers],[Grille Rod Length]],Table2[#Headers],0),0)</f>
        <v>0</v>
      </c>
      <c r="AJ103" s="2">
        <f>VLOOKUP([jobnumber],OvalData[],MATCH(Table2[[#Headers],[slattype]],Table2[#Headers],0),0)</f>
        <v>2</v>
      </c>
      <c r="AK103" s="2">
        <f>VLOOKUP([jobnumber],OvalData[],MATCH(Table2[[#Headers],[slatgage]],Table2[#Headers],0),0)</f>
        <v>18</v>
      </c>
      <c r="AL103" s="2">
        <f>VLOOKUP([jobnumber],OvalData[],MATCH(Table2[[#Headers],[Numer of Top Slats]],Table2[#Headers],0),0)</f>
        <v>0</v>
      </c>
      <c r="AM103" s="2">
        <f>VLOOKUP([jobnumber],OvalData[],MATCH(Table2[[#Headers],[Number of Bottom Slats]],Table2[#Headers],0),0)</f>
        <v>0</v>
      </c>
      <c r="AN103" s="2">
        <f>VLOOKUP([jobnumber],OvalData[],MATCH(Table2[[#Headers],[Solid Bottom Height]],Table2[#Headers],0),0)</f>
        <v>0</v>
      </c>
      <c r="AO103" s="2" t="str">
        <f>VLOOKUP([jobnumber],OvalData[],MATCH(Table2[[#Headers],[slatlength]],Table2[#Headers],0),0)</f>
        <v xml:space="preserve"> 18 ft.- 5 7/ 8"</v>
      </c>
      <c r="AP103" s="2">
        <f>VLOOKUP([jobnumber],OvalData[],MATCH(Table2[[#Headers],[Bottom Slat Length]],Table2[#Headers],0),0)</f>
        <v>0</v>
      </c>
      <c r="AQ103" s="2">
        <f>VLOOKUP([jobnumber],OvalData[],MATCH(Table2[[#Headers],[Number of Perferated Slats]],Table2[#Headers],0),0)</f>
        <v>0</v>
      </c>
      <c r="AR103" s="2">
        <f>VLOOKUP([jobnumber],OvalData[],MATCH(Table2[[#Headers],[First Preferated Slat From End]],Table2[#Headers],0),0)</f>
        <v>0</v>
      </c>
      <c r="AS103" s="2">
        <f>VLOOKUP([jobnumber],OvalData[],MATCH(Table2[[#Headers],[First Preferated Slat From Bottom]],Table2[#Headers],0),0)</f>
        <v>0</v>
      </c>
      <c r="AT103" s="2">
        <f>VLOOKUP([jobnumber],OvalData[],MATCH(Table2[[#Headers],[Total Number of Slats]],Table2[#Headers],0),0)</f>
        <v>51</v>
      </c>
      <c r="AU103" s="2">
        <f>VLOOKUP([jobnumber],OvalData[],MATCH(Table2[[#Headers],[Bottom Bar Slope]],Table2[#Headers],0),0)</f>
        <v>0</v>
      </c>
      <c r="AV103" s="2">
        <f>VLOOKUP([jobnumber],OvalData[],MATCH(Table2[[#Headers],[Bottom Bar Weight]],Table2[#Headers],0),0)</f>
        <v>80.5</v>
      </c>
      <c r="AW103" s="2" t="str">
        <f>VLOOKUP([jobnumber],OvalData[],MATCH(Table2[[#Headers],[Outer Spring Gage]],Table2[#Headers],0),0)</f>
        <v>Null</v>
      </c>
      <c r="AX103" s="2" t="str">
        <f>VLOOKUP([jobnumber],OvalData[],MATCH(Table2[[#Headers],[Outer Spring OD]],Table2[#Headers],0),0)</f>
        <v>Null</v>
      </c>
      <c r="AY103" s="2" t="str">
        <f>VLOOKUP([jobnumber],OvalData[],MATCH(Table2[[#Headers],[Outer Spring Length]],Table2[#Headers],0),0)</f>
        <v>Null</v>
      </c>
      <c r="AZ103" s="2" t="str">
        <f>VLOOKUP([jobnumber],OvalData[],MATCH(Table2[[#Headers],[Outer Spring Stretch]],Table2[#Headers],0),0)</f>
        <v>Null</v>
      </c>
      <c r="BA103" s="2" t="str">
        <f>VLOOKUP([jobnumber],OvalData[],MATCH(Table2[[#Headers],[Outer Spring Torque]],Table2[#Headers],0),0)</f>
        <v>Null</v>
      </c>
      <c r="BB103" s="2" t="str">
        <f>VLOOKUP([jobnumber],OvalData[],MATCH(Table2[[#Headers],[Outer Spring Max Turns]],Table2[#Headers],0),0)</f>
        <v>Null</v>
      </c>
      <c r="BC103" s="2" t="str">
        <f>VLOOKUP([jobnumber],OvalData[],MATCH(Table2[[#Headers],[Outer Spring Weight]],Table2[#Headers],0),0)</f>
        <v>Null</v>
      </c>
      <c r="BD103" s="2" t="str">
        <f>VLOOKUP([jobnumber],OvalData[],MATCH(Table2[[#Headers],[Inner Spring Gage]],Table2[#Headers],0),0)</f>
        <v>Null</v>
      </c>
      <c r="BE103" s="2" t="str">
        <f>VLOOKUP([jobnumber],OvalData[],MATCH(Table2[[#Headers],[Inner Spring OD]],Table2[#Headers],0),0)</f>
        <v>Null</v>
      </c>
      <c r="BF103" s="2" t="str">
        <f>VLOOKUP([jobnumber],OvalData[],MATCH(Table2[[#Headers],[Inner Spring Length]],Table2[#Headers],0),0)</f>
        <v>Null</v>
      </c>
      <c r="BG103" s="2" t="str">
        <f>VLOOKUP([jobnumber],OvalData[],MATCH(Table2[[#Headers],[Inner Spring Stretch]],Table2[#Headers],0),0)</f>
        <v>Null</v>
      </c>
      <c r="BH103" s="2" t="str">
        <f>VLOOKUP([jobnumber],OvalData[],MATCH(Table2[[#Headers],[Inner Spring Torque]],Table2[#Headers],0),0)</f>
        <v>Null</v>
      </c>
      <c r="BI103" s="2" t="str">
        <f>VLOOKUP([jobnumber],OvalData[],MATCH(Table2[[#Headers],[Inner Spring Max Turns]],Table2[#Headers],0),0)</f>
        <v>Null</v>
      </c>
      <c r="BJ103" s="2" t="str">
        <f>VLOOKUP([jobnumber],OvalData[],MATCH(Table2[[#Headers],[Inner Spring Weight]],Table2[#Headers],0),0)</f>
        <v>Null</v>
      </c>
      <c r="BK103" s="2">
        <f>VLOOKUP([jobnumber],OvalData[],MATCH(Table2[[#Headers],[Cycles]],Table2[#Headers],0),0)</f>
        <v>0</v>
      </c>
      <c r="BL103" s="2">
        <f>VLOOKUP([jobnumber],OvalData[],MATCH(Table2[[#Headers],[Total Spring Torque]],Table2[#Headers],0),0)</f>
        <v>0</v>
      </c>
      <c r="BM103" s="2">
        <f>VLOOKUP([jobnumber],OvalData[],MATCH(Table2[[#Headers],[Total Spring Weight]],Table2[#Headers],0),0)</f>
        <v>0</v>
      </c>
      <c r="BN103" s="2">
        <f>VLOOKUP([jobnumber],OvalData[],MATCH(Table2[[#Headers],[Pipe Weight]],Table2[#Headers],0),0)</f>
        <v>688.24239999999998</v>
      </c>
      <c r="BO103" s="2">
        <f>VLOOKUP([jobnumber],OvalData[],MATCH(Table2[[#Headers],[Max Pipe Deflection]],Table2[#Headers],0),0)</f>
        <v>2309</v>
      </c>
      <c r="BP103" s="2">
        <f>VLOOKUP([jobnumber],OvalData[],MATCH(Table2[[#Headers],[Number Non-Insulated Wrap Slats]],Table2[#Headers],0),0)</f>
        <v>0</v>
      </c>
      <c r="BQ103" s="2">
        <f>VLOOKUP([jobnumber],OvalData[],MATCH(Table2[[#Headers],[Number of Insolated Top Slats]],Table2[#Headers],0),0)</f>
        <v>45</v>
      </c>
      <c r="BR103" s="2">
        <f>VLOOKUP([jobnumber],OvalData[],MATCH(Table2[[#Headers],[Insolated Total Slats]],Table2[#Headers],0),0)</f>
        <v>45</v>
      </c>
      <c r="BS103" s="2">
        <f>VLOOKUP([jobnumber],OvalData[],MATCH(Table2[[#Headers],[Number of Slats]],Table2[#Headers],0),0)</f>
        <v>44.69</v>
      </c>
      <c r="BT103" s="2">
        <f>VLOOKUP([jobnumber],OvalData[],MATCH(Table2[[#Headers],[Wrap]],Table2[#Headers],0),0)</f>
        <v>0</v>
      </c>
      <c r="BU103" s="2">
        <f>VLOOKUP([jobnumber],OvalData[],MATCH(Table2[[#Headers],[Wall Angle Thickness]],Table2[#Headers],0),0)</f>
        <v>0</v>
      </c>
      <c r="BV103" s="2">
        <f>VLOOKUP([jobnumber],OvalData[],MATCH(Table2[[#Headers],[windlocks]],Table2[#Headers],0),0)</f>
        <v>0</v>
      </c>
      <c r="BW103" s="2" t="str">
        <f>VLOOKUP([jobnumber],OvalData[],MATCH(Table2[[#Headers],[bottombartype]],Table2[#Headers],0),0)</f>
        <v>SPECIAL</v>
      </c>
      <c r="BX103" s="2">
        <f>VLOOKUP([jobnumber],OvalData[],MATCH(Table2[[#Headers],[endlockweight]],Table2[#Headers],0),0)</f>
        <v>0.17</v>
      </c>
      <c r="BY103" s="2">
        <f>VLOOKUP([jobnumber],OvalData[],MATCH(Table2[[#Headers],[Endlock Total Weight]],Table2[#Headers],0),0)</f>
        <v>7.5972999999999997</v>
      </c>
      <c r="BZ103" s="2">
        <f>VLOOKUP([jobnumber],OvalData[],MATCH(Table2[[#Headers],[Grille Weight]],Table2[#Headers],0),0)</f>
        <v>0</v>
      </c>
      <c r="CA103" s="2">
        <f>VLOOKUP([jobnumber],OvalData[],MATCH(Table2[[#Headers],[barrelrings]],Table2[#Headers],0),0)</f>
        <v>1</v>
      </c>
    </row>
    <row r="104" spans="2:79">
      <c r="B104" s="2" t="str">
        <f>VLOOKUP([jobnumber],OvalData[],MATCH(Table2[[#Headers],[Hand]],Table2[#Headers],0),0)</f>
        <v>RH</v>
      </c>
      <c r="C104" s="2" t="str">
        <f>VLOOKUP([jobnumber],OvalData[],MATCH(Table2[[#Headers],[Model]],Table2[#Headers],0),0)</f>
        <v>SFMPP</v>
      </c>
      <c r="D104" s="2" t="str">
        <f>VLOOKUP([jobnumber],OvalData[],MATCH(Table2[[#Headers],[width]],Table2[#Headers],0),0)</f>
        <v xml:space="preserve"> 18 ft.- 2"</v>
      </c>
      <c r="E104" s="2" t="str">
        <f>VLOOKUP([jobnumber],OvalData[],MATCH(Table2[[#Headers],[stopheight]],Table2[#Headers],0),0)</f>
        <v xml:space="preserve"> 10 ft.- 0"</v>
      </c>
      <c r="F104" s="2" t="str">
        <f>VLOOKUP([jobnumber],OvalData[],MATCH(Table2[[#Headers],[Between Brackets]],Table2[#Headers],0),0)</f>
        <v xml:space="preserve"> 18 ft.- 7 7/ 8"</v>
      </c>
      <c r="G104" s="2" t="str">
        <f>VLOOKUP([jobnumber],OvalData[],MATCH(Table2[[#Headers],[shell]],Table2[#Headers],0),0)</f>
        <v>6 INCH TUBE</v>
      </c>
      <c r="H104" s="2" t="str">
        <f>VLOOKUP([jobnumber],OvalData[],MATCH(Table2[[#Headers],[pipewidth]],Table2[#Headers],0),0)</f>
        <v xml:space="preserve"> 18 ft.- 1 3/ 8"</v>
      </c>
      <c r="I104" s="2">
        <f>VLOOKUP([jobnumber],OvalData[],MATCH(Table2[[#Headers],[Support Tubes]],Table2[#Headers],0),0)</f>
        <v>0</v>
      </c>
      <c r="J104" s="2">
        <f>VLOOKUP([jobnumber],OvalData[],MATCH(Table2[[#Headers],[Upset]],Table2[#Headers],0),0)</f>
        <v>2</v>
      </c>
      <c r="K104" s="2" t="str">
        <f>VLOOKUP([jobnumber],OvalData[],MATCH(Table2[[#Headers],[Guide Type]],Table2[#Headers],0),0)</f>
        <v>SN2-4 5/8-E</v>
      </c>
      <c r="L104" s="2" t="str">
        <f>VLOOKUP([jobnumber],OvalData[],MATCH(Table2[[#Headers],[Wall Angle]],Table2[#Headers],0),0)</f>
        <v xml:space="preserve"> 11 ft.- 8"</v>
      </c>
      <c r="M104" s="2" t="str">
        <f>VLOOKUP([jobnumber],OvalData[],MATCH(Table2[[#Headers],[Middle Angle]],Table2[#Headers],0),0)</f>
        <v xml:space="preserve"> 10 ft.- 4 1/ 2"</v>
      </c>
      <c r="N104" s="2" t="str">
        <f>VLOOKUP([jobnumber],OvalData[],MATCH(Table2[[#Headers],[Front Angle]],Table2[#Headers],0),0)</f>
        <v xml:space="preserve"> 10 ft.- 3"</v>
      </c>
      <c r="O104" s="2">
        <f>VLOOKUP([jobnumber],OvalData[],MATCH(Table2[[#Headers],[Pipe Center Line]],Table2[#Headers],0),0)</f>
        <v>131</v>
      </c>
      <c r="P104" s="2">
        <f>VLOOKUP([jobnumber],OvalData[],MATCH(Table2[[#Headers],[Heat Expansion Gap]],Table2[#Headers],0),0)</f>
        <v>0</v>
      </c>
      <c r="Q104" s="2">
        <f>VLOOKUP([jobnumber],OvalData[],MATCH(Table2[[#Headers],[Hanging Weight Closed]],Table2[#Headers],0),0)</f>
        <v>795</v>
      </c>
      <c r="R104" s="2">
        <f>VLOOKUP([jobnumber],OvalData[],MATCH(Table2[[#Headers],[Hanging Weight Open]],Table2[#Headers],0),0)</f>
        <v>140</v>
      </c>
      <c r="S104" s="2">
        <f>VLOOKUP([jobnumber],OvalData[],MATCH(Table2[[#Headers],[Initial Lever Arm]],Table2[#Headers],0),0)</f>
        <v>4.25</v>
      </c>
      <c r="T104" s="2">
        <f>VLOOKUP([jobnumber],OvalData[],MATCH(Table2[[#Headers],[Turns to Raise]],Table2[#Headers],0),0)</f>
        <v>3.5859999999999999</v>
      </c>
      <c r="U104" s="2">
        <f>VLOOKUP([jobnumber],OvalData[],MATCH(Table2[[#Headers],[Final Lever Arm]],Table2[#Headers],0),0)</f>
        <v>6.37</v>
      </c>
      <c r="V104" s="2">
        <f>VLOOKUP([jobnumber],OvalData[],MATCH(Table2[[#Headers],[Torque Required Closed]],Table2[#Headers],0),0)</f>
        <v>3377.9</v>
      </c>
      <c r="W104" s="2">
        <f>VLOOKUP([jobnumber],OvalData[],MATCH(Table2[[#Headers],[Torque Required Open]],Table2[#Headers],0),0)</f>
        <v>892</v>
      </c>
      <c r="X104" s="2">
        <f>VLOOKUP([jobnumber],OvalData[],MATCH(Table2[[#Headers],[Pre Turns]],Table2[#Headers],0),0)</f>
        <v>1.3332999999999999</v>
      </c>
      <c r="Y104" s="2">
        <f>VLOOKUP([jobnumber],OvalData[],MATCH(Table2[[#Headers],[Required Torque Per Turn]],Table2[#Headers],0),0)</f>
        <v>688</v>
      </c>
      <c r="Z104" s="2">
        <f>VLOOKUP([jobnumber],OvalData[],MATCH(Table2[[#Headers],[Total Turns]],Table2[#Headers],0),0)</f>
        <v>4.91</v>
      </c>
      <c r="AA104" s="2">
        <f>VLOOKUP([jobnumber],OvalData[],MATCH(Table2[[#Headers],[Grille Vision Section]],Table2[#Headers],0),0)</f>
        <v>0</v>
      </c>
      <c r="AB104" s="2">
        <f>VLOOKUP([jobnumber],OvalData[],MATCH(Table2[[#Headers],[Grille Amount]],Table2[#Headers],0),0)</f>
        <v>0</v>
      </c>
      <c r="AC104" s="2">
        <f>VLOOKUP([jobnumber],OvalData[],MATCH(Table2[[#Headers],[Grille Center]],Table2[#Headers],0),0)</f>
        <v>0</v>
      </c>
      <c r="AD104" s="2">
        <f>VLOOKUP([jobnumber],OvalData[],MATCH(Table2[[#Headers],[Grille Pattern]],Table2[#Headers],0),0)</f>
        <v>0</v>
      </c>
      <c r="AE104" s="2">
        <f>VLOOKUP([jobnumber],OvalData[],MATCH(Table2[[#Headers],[Grille First Tube]],Table2[#Headers],0),0)</f>
        <v>0</v>
      </c>
      <c r="AF104" s="2">
        <f>VLOOKUP([jobnumber],OvalData[],MATCH(Table2[[#Headers],[Grille Standard Tube]],Table2[#Headers],0),0)</f>
        <v>0</v>
      </c>
      <c r="AG104" s="2">
        <f>VLOOKUP([jobnumber],OvalData[],MATCH(Table2[[#Headers],[Grille Total Links]],Table2[#Headers],0),0)</f>
        <v>0</v>
      </c>
      <c r="AH104" s="2">
        <f>VLOOKUP([jobnumber],OvalData[],MATCH(Table2[[#Headers],[Grille Rods]],Table2[#Headers],0),0)</f>
        <v>0</v>
      </c>
      <c r="AI104" s="2">
        <f>VLOOKUP([jobnumber],OvalData[],MATCH(Table2[[#Headers],[Grille Rod Length]],Table2[#Headers],0),0)</f>
        <v>0</v>
      </c>
      <c r="AJ104" s="2">
        <f>VLOOKUP([jobnumber],OvalData[],MATCH(Table2[[#Headers],[slattype]],Table2[#Headers],0),0)</f>
        <v>2</v>
      </c>
      <c r="AK104" s="2">
        <f>VLOOKUP([jobnumber],OvalData[],MATCH(Table2[[#Headers],[slatgage]],Table2[#Headers],0),0)</f>
        <v>18</v>
      </c>
      <c r="AL104" s="2">
        <f>VLOOKUP([jobnumber],OvalData[],MATCH(Table2[[#Headers],[Numer of Top Slats]],Table2[#Headers],0),0)</f>
        <v>0</v>
      </c>
      <c r="AM104" s="2">
        <f>VLOOKUP([jobnumber],OvalData[],MATCH(Table2[[#Headers],[Number of Bottom Slats]],Table2[#Headers],0),0)</f>
        <v>0</v>
      </c>
      <c r="AN104" s="2">
        <f>VLOOKUP([jobnumber],OvalData[],MATCH(Table2[[#Headers],[Solid Bottom Height]],Table2[#Headers],0),0)</f>
        <v>0</v>
      </c>
      <c r="AO104" s="2" t="str">
        <f>VLOOKUP([jobnumber],OvalData[],MATCH(Table2[[#Headers],[slatlength]],Table2[#Headers],0),0)</f>
        <v xml:space="preserve"> 18 ft.- 5 7/ 8"</v>
      </c>
      <c r="AP104" s="2">
        <f>VLOOKUP([jobnumber],OvalData[],MATCH(Table2[[#Headers],[Bottom Slat Length]],Table2[#Headers],0),0)</f>
        <v>0</v>
      </c>
      <c r="AQ104" s="2">
        <f>VLOOKUP([jobnumber],OvalData[],MATCH(Table2[[#Headers],[Number of Perferated Slats]],Table2[#Headers],0),0)</f>
        <v>0</v>
      </c>
      <c r="AR104" s="2">
        <f>VLOOKUP([jobnumber],OvalData[],MATCH(Table2[[#Headers],[First Preferated Slat From End]],Table2[#Headers],0),0)</f>
        <v>0</v>
      </c>
      <c r="AS104" s="2">
        <f>VLOOKUP([jobnumber],OvalData[],MATCH(Table2[[#Headers],[First Preferated Slat From Bottom]],Table2[#Headers],0),0)</f>
        <v>0</v>
      </c>
      <c r="AT104" s="2">
        <f>VLOOKUP([jobnumber],OvalData[],MATCH(Table2[[#Headers],[Total Number of Slats]],Table2[#Headers],0),0)</f>
        <v>51</v>
      </c>
      <c r="AU104" s="2">
        <f>VLOOKUP([jobnumber],OvalData[],MATCH(Table2[[#Headers],[Bottom Bar Slope]],Table2[#Headers],0),0)</f>
        <v>0</v>
      </c>
      <c r="AV104" s="2">
        <f>VLOOKUP([jobnumber],OvalData[],MATCH(Table2[[#Headers],[Bottom Bar Weight]],Table2[#Headers],0),0)</f>
        <v>80.5</v>
      </c>
      <c r="AW104" s="2" t="str">
        <f>VLOOKUP([jobnumber],OvalData[],MATCH(Table2[[#Headers],[Outer Spring Gage]],Table2[#Headers],0),0)</f>
        <v>Null</v>
      </c>
      <c r="AX104" s="2" t="str">
        <f>VLOOKUP([jobnumber],OvalData[],MATCH(Table2[[#Headers],[Outer Spring OD]],Table2[#Headers],0),0)</f>
        <v>Null</v>
      </c>
      <c r="AY104" s="2" t="str">
        <f>VLOOKUP([jobnumber],OvalData[],MATCH(Table2[[#Headers],[Outer Spring Length]],Table2[#Headers],0),0)</f>
        <v>Null</v>
      </c>
      <c r="AZ104" s="2" t="str">
        <f>VLOOKUP([jobnumber],OvalData[],MATCH(Table2[[#Headers],[Outer Spring Stretch]],Table2[#Headers],0),0)</f>
        <v>Null</v>
      </c>
      <c r="BA104" s="2" t="str">
        <f>VLOOKUP([jobnumber],OvalData[],MATCH(Table2[[#Headers],[Outer Spring Torque]],Table2[#Headers],0),0)</f>
        <v>Null</v>
      </c>
      <c r="BB104" s="2" t="str">
        <f>VLOOKUP([jobnumber],OvalData[],MATCH(Table2[[#Headers],[Outer Spring Max Turns]],Table2[#Headers],0),0)</f>
        <v>Null</v>
      </c>
      <c r="BC104" s="2" t="str">
        <f>VLOOKUP([jobnumber],OvalData[],MATCH(Table2[[#Headers],[Outer Spring Weight]],Table2[#Headers],0),0)</f>
        <v>Null</v>
      </c>
      <c r="BD104" s="2" t="str">
        <f>VLOOKUP([jobnumber],OvalData[],MATCH(Table2[[#Headers],[Inner Spring Gage]],Table2[#Headers],0),0)</f>
        <v>Null</v>
      </c>
      <c r="BE104" s="2" t="str">
        <f>VLOOKUP([jobnumber],OvalData[],MATCH(Table2[[#Headers],[Inner Spring OD]],Table2[#Headers],0),0)</f>
        <v>Null</v>
      </c>
      <c r="BF104" s="2" t="str">
        <f>VLOOKUP([jobnumber],OvalData[],MATCH(Table2[[#Headers],[Inner Spring Length]],Table2[#Headers],0),0)</f>
        <v>Null</v>
      </c>
      <c r="BG104" s="2" t="str">
        <f>VLOOKUP([jobnumber],OvalData[],MATCH(Table2[[#Headers],[Inner Spring Stretch]],Table2[#Headers],0),0)</f>
        <v>Null</v>
      </c>
      <c r="BH104" s="2" t="str">
        <f>VLOOKUP([jobnumber],OvalData[],MATCH(Table2[[#Headers],[Inner Spring Torque]],Table2[#Headers],0),0)</f>
        <v>Null</v>
      </c>
      <c r="BI104" s="2" t="str">
        <f>VLOOKUP([jobnumber],OvalData[],MATCH(Table2[[#Headers],[Inner Spring Max Turns]],Table2[#Headers],0),0)</f>
        <v>Null</v>
      </c>
      <c r="BJ104" s="2" t="str">
        <f>VLOOKUP([jobnumber],OvalData[],MATCH(Table2[[#Headers],[Inner Spring Weight]],Table2[#Headers],0),0)</f>
        <v>Null</v>
      </c>
      <c r="BK104" s="2">
        <f>VLOOKUP([jobnumber],OvalData[],MATCH(Table2[[#Headers],[Cycles]],Table2[#Headers],0),0)</f>
        <v>0</v>
      </c>
      <c r="BL104" s="2">
        <f>VLOOKUP([jobnumber],OvalData[],MATCH(Table2[[#Headers],[Total Spring Torque]],Table2[#Headers],0),0)</f>
        <v>0</v>
      </c>
      <c r="BM104" s="2">
        <f>VLOOKUP([jobnumber],OvalData[],MATCH(Table2[[#Headers],[Total Spring Weight]],Table2[#Headers],0),0)</f>
        <v>0</v>
      </c>
      <c r="BN104" s="2">
        <f>VLOOKUP([jobnumber],OvalData[],MATCH(Table2[[#Headers],[Pipe Weight]],Table2[#Headers],0),0)</f>
        <v>688.24239999999998</v>
      </c>
      <c r="BO104" s="2">
        <f>VLOOKUP([jobnumber],OvalData[],MATCH(Table2[[#Headers],[Max Pipe Deflection]],Table2[#Headers],0),0)</f>
        <v>2309</v>
      </c>
      <c r="BP104" s="2">
        <f>VLOOKUP([jobnumber],OvalData[],MATCH(Table2[[#Headers],[Number Non-Insulated Wrap Slats]],Table2[#Headers],0),0)</f>
        <v>0</v>
      </c>
      <c r="BQ104" s="2">
        <f>VLOOKUP([jobnumber],OvalData[],MATCH(Table2[[#Headers],[Number of Insolated Top Slats]],Table2[#Headers],0),0)</f>
        <v>45</v>
      </c>
      <c r="BR104" s="2">
        <f>VLOOKUP([jobnumber],OvalData[],MATCH(Table2[[#Headers],[Insolated Total Slats]],Table2[#Headers],0),0)</f>
        <v>45</v>
      </c>
      <c r="BS104" s="2">
        <f>VLOOKUP([jobnumber],OvalData[],MATCH(Table2[[#Headers],[Number of Slats]],Table2[#Headers],0),0)</f>
        <v>44.69</v>
      </c>
      <c r="BT104" s="2">
        <f>VLOOKUP([jobnumber],OvalData[],MATCH(Table2[[#Headers],[Wrap]],Table2[#Headers],0),0)</f>
        <v>0</v>
      </c>
      <c r="BU104" s="2">
        <f>VLOOKUP([jobnumber],OvalData[],MATCH(Table2[[#Headers],[Wall Angle Thickness]],Table2[#Headers],0),0)</f>
        <v>0</v>
      </c>
      <c r="BV104" s="2">
        <f>VLOOKUP([jobnumber],OvalData[],MATCH(Table2[[#Headers],[windlocks]],Table2[#Headers],0),0)</f>
        <v>0</v>
      </c>
      <c r="BW104" s="2" t="str">
        <f>VLOOKUP([jobnumber],OvalData[],MATCH(Table2[[#Headers],[bottombartype]],Table2[#Headers],0),0)</f>
        <v>SPECIAL</v>
      </c>
      <c r="BX104" s="2">
        <f>VLOOKUP([jobnumber],OvalData[],MATCH(Table2[[#Headers],[endlockweight]],Table2[#Headers],0),0)</f>
        <v>0.17</v>
      </c>
      <c r="BY104" s="2">
        <f>VLOOKUP([jobnumber],OvalData[],MATCH(Table2[[#Headers],[Endlock Total Weight]],Table2[#Headers],0),0)</f>
        <v>7.5972999999999997</v>
      </c>
      <c r="BZ104" s="2">
        <f>VLOOKUP([jobnumber],OvalData[],MATCH(Table2[[#Headers],[Grille Weight]],Table2[#Headers],0),0)</f>
        <v>0</v>
      </c>
      <c r="CA104" s="2">
        <f>VLOOKUP([jobnumber],OvalData[],MATCH(Table2[[#Headers],[barrelrings]],Table2[#Headers],0),0)</f>
        <v>1</v>
      </c>
    </row>
    <row r="105" spans="2:79">
      <c r="B105" s="2" t="str">
        <f>VLOOKUP([jobnumber],OvalData[],MATCH(Table2[[#Headers],[Hand]],Table2[#Headers],0),0)</f>
        <v>RH</v>
      </c>
      <c r="C105" s="2" t="str">
        <f>VLOOKUP([jobnumber],OvalData[],MATCH(Table2[[#Headers],[Model]],Table2[#Headers],0),0)</f>
        <v>SFMPP</v>
      </c>
      <c r="D105" s="2" t="str">
        <f>VLOOKUP([jobnumber],OvalData[],MATCH(Table2[[#Headers],[width]],Table2[#Headers],0),0)</f>
        <v xml:space="preserve"> 18 ft.- 2"</v>
      </c>
      <c r="E105" s="2" t="str">
        <f>VLOOKUP([jobnumber],OvalData[],MATCH(Table2[[#Headers],[stopheight]],Table2[#Headers],0),0)</f>
        <v xml:space="preserve"> 10 ft.- 0"</v>
      </c>
      <c r="F105" s="2" t="str">
        <f>VLOOKUP([jobnumber],OvalData[],MATCH(Table2[[#Headers],[Between Brackets]],Table2[#Headers],0),0)</f>
        <v xml:space="preserve"> 18 ft.- 7 7/ 8"</v>
      </c>
      <c r="G105" s="2" t="str">
        <f>VLOOKUP([jobnumber],OvalData[],MATCH(Table2[[#Headers],[shell]],Table2[#Headers],0),0)</f>
        <v>6 INCH TUBE</v>
      </c>
      <c r="H105" s="2" t="str">
        <f>VLOOKUP([jobnumber],OvalData[],MATCH(Table2[[#Headers],[pipewidth]],Table2[#Headers],0),0)</f>
        <v xml:space="preserve"> 18 ft.- 1 3/ 8"</v>
      </c>
      <c r="I105" s="2">
        <f>VLOOKUP([jobnumber],OvalData[],MATCH(Table2[[#Headers],[Support Tubes]],Table2[#Headers],0),0)</f>
        <v>0</v>
      </c>
      <c r="J105" s="2">
        <f>VLOOKUP([jobnumber],OvalData[],MATCH(Table2[[#Headers],[Upset]],Table2[#Headers],0),0)</f>
        <v>2</v>
      </c>
      <c r="K105" s="2" t="str">
        <f>VLOOKUP([jobnumber],OvalData[],MATCH(Table2[[#Headers],[Guide Type]],Table2[#Headers],0),0)</f>
        <v>SN2-4 5/8-E</v>
      </c>
      <c r="L105" s="2" t="str">
        <f>VLOOKUP([jobnumber],OvalData[],MATCH(Table2[[#Headers],[Wall Angle]],Table2[#Headers],0),0)</f>
        <v xml:space="preserve"> 11 ft.- 8"</v>
      </c>
      <c r="M105" s="2" t="str">
        <f>VLOOKUP([jobnumber],OvalData[],MATCH(Table2[[#Headers],[Middle Angle]],Table2[#Headers],0),0)</f>
        <v xml:space="preserve"> 10 ft.- 4 1/ 2"</v>
      </c>
      <c r="N105" s="2" t="str">
        <f>VLOOKUP([jobnumber],OvalData[],MATCH(Table2[[#Headers],[Front Angle]],Table2[#Headers],0),0)</f>
        <v xml:space="preserve"> 10 ft.- 3"</v>
      </c>
      <c r="O105" s="2">
        <f>VLOOKUP([jobnumber],OvalData[],MATCH(Table2[[#Headers],[Pipe Center Line]],Table2[#Headers],0),0)</f>
        <v>131</v>
      </c>
      <c r="P105" s="2">
        <f>VLOOKUP([jobnumber],OvalData[],MATCH(Table2[[#Headers],[Heat Expansion Gap]],Table2[#Headers],0),0)</f>
        <v>0</v>
      </c>
      <c r="Q105" s="2">
        <f>VLOOKUP([jobnumber],OvalData[],MATCH(Table2[[#Headers],[Hanging Weight Closed]],Table2[#Headers],0),0)</f>
        <v>795</v>
      </c>
      <c r="R105" s="2">
        <f>VLOOKUP([jobnumber],OvalData[],MATCH(Table2[[#Headers],[Hanging Weight Open]],Table2[#Headers],0),0)</f>
        <v>140</v>
      </c>
      <c r="S105" s="2">
        <f>VLOOKUP([jobnumber],OvalData[],MATCH(Table2[[#Headers],[Initial Lever Arm]],Table2[#Headers],0),0)</f>
        <v>4.25</v>
      </c>
      <c r="T105" s="2">
        <f>VLOOKUP([jobnumber],OvalData[],MATCH(Table2[[#Headers],[Turns to Raise]],Table2[#Headers],0),0)</f>
        <v>3.5859999999999999</v>
      </c>
      <c r="U105" s="2">
        <f>VLOOKUP([jobnumber],OvalData[],MATCH(Table2[[#Headers],[Final Lever Arm]],Table2[#Headers],0),0)</f>
        <v>6.37</v>
      </c>
      <c r="V105" s="2">
        <f>VLOOKUP([jobnumber],OvalData[],MATCH(Table2[[#Headers],[Torque Required Closed]],Table2[#Headers],0),0)</f>
        <v>3377.9</v>
      </c>
      <c r="W105" s="2">
        <f>VLOOKUP([jobnumber],OvalData[],MATCH(Table2[[#Headers],[Torque Required Open]],Table2[#Headers],0),0)</f>
        <v>892</v>
      </c>
      <c r="X105" s="2">
        <f>VLOOKUP([jobnumber],OvalData[],MATCH(Table2[[#Headers],[Pre Turns]],Table2[#Headers],0),0)</f>
        <v>1.3332999999999999</v>
      </c>
      <c r="Y105" s="2">
        <f>VLOOKUP([jobnumber],OvalData[],MATCH(Table2[[#Headers],[Required Torque Per Turn]],Table2[#Headers],0),0)</f>
        <v>688</v>
      </c>
      <c r="Z105" s="2">
        <f>VLOOKUP([jobnumber],OvalData[],MATCH(Table2[[#Headers],[Total Turns]],Table2[#Headers],0),0)</f>
        <v>4.91</v>
      </c>
      <c r="AA105" s="2">
        <f>VLOOKUP([jobnumber],OvalData[],MATCH(Table2[[#Headers],[Grille Vision Section]],Table2[#Headers],0),0)</f>
        <v>0</v>
      </c>
      <c r="AB105" s="2">
        <f>VLOOKUP([jobnumber],OvalData[],MATCH(Table2[[#Headers],[Grille Amount]],Table2[#Headers],0),0)</f>
        <v>0</v>
      </c>
      <c r="AC105" s="2">
        <f>VLOOKUP([jobnumber],OvalData[],MATCH(Table2[[#Headers],[Grille Center]],Table2[#Headers],0),0)</f>
        <v>0</v>
      </c>
      <c r="AD105" s="2">
        <f>VLOOKUP([jobnumber],OvalData[],MATCH(Table2[[#Headers],[Grille Pattern]],Table2[#Headers],0),0)</f>
        <v>0</v>
      </c>
      <c r="AE105" s="2">
        <f>VLOOKUP([jobnumber],OvalData[],MATCH(Table2[[#Headers],[Grille First Tube]],Table2[#Headers],0),0)</f>
        <v>0</v>
      </c>
      <c r="AF105" s="2">
        <f>VLOOKUP([jobnumber],OvalData[],MATCH(Table2[[#Headers],[Grille Standard Tube]],Table2[#Headers],0),0)</f>
        <v>0</v>
      </c>
      <c r="AG105" s="2">
        <f>VLOOKUP([jobnumber],OvalData[],MATCH(Table2[[#Headers],[Grille Total Links]],Table2[#Headers],0),0)</f>
        <v>0</v>
      </c>
      <c r="AH105" s="2">
        <f>VLOOKUP([jobnumber],OvalData[],MATCH(Table2[[#Headers],[Grille Rods]],Table2[#Headers],0),0)</f>
        <v>0</v>
      </c>
      <c r="AI105" s="2">
        <f>VLOOKUP([jobnumber],OvalData[],MATCH(Table2[[#Headers],[Grille Rod Length]],Table2[#Headers],0),0)</f>
        <v>0</v>
      </c>
      <c r="AJ105" s="2">
        <f>VLOOKUP([jobnumber],OvalData[],MATCH(Table2[[#Headers],[slattype]],Table2[#Headers],0),0)</f>
        <v>2</v>
      </c>
      <c r="AK105" s="2">
        <f>VLOOKUP([jobnumber],OvalData[],MATCH(Table2[[#Headers],[slatgage]],Table2[#Headers],0),0)</f>
        <v>18</v>
      </c>
      <c r="AL105" s="2">
        <f>VLOOKUP([jobnumber],OvalData[],MATCH(Table2[[#Headers],[Numer of Top Slats]],Table2[#Headers],0),0)</f>
        <v>0</v>
      </c>
      <c r="AM105" s="2">
        <f>VLOOKUP([jobnumber],OvalData[],MATCH(Table2[[#Headers],[Number of Bottom Slats]],Table2[#Headers],0),0)</f>
        <v>0</v>
      </c>
      <c r="AN105" s="2">
        <f>VLOOKUP([jobnumber],OvalData[],MATCH(Table2[[#Headers],[Solid Bottom Height]],Table2[#Headers],0),0)</f>
        <v>0</v>
      </c>
      <c r="AO105" s="2" t="str">
        <f>VLOOKUP([jobnumber],OvalData[],MATCH(Table2[[#Headers],[slatlength]],Table2[#Headers],0),0)</f>
        <v xml:space="preserve"> 18 ft.- 5 7/ 8"</v>
      </c>
      <c r="AP105" s="2">
        <f>VLOOKUP([jobnumber],OvalData[],MATCH(Table2[[#Headers],[Bottom Slat Length]],Table2[#Headers],0),0)</f>
        <v>0</v>
      </c>
      <c r="AQ105" s="2">
        <f>VLOOKUP([jobnumber],OvalData[],MATCH(Table2[[#Headers],[Number of Perferated Slats]],Table2[#Headers],0),0)</f>
        <v>0</v>
      </c>
      <c r="AR105" s="2">
        <f>VLOOKUP([jobnumber],OvalData[],MATCH(Table2[[#Headers],[First Preferated Slat From End]],Table2[#Headers],0),0)</f>
        <v>0</v>
      </c>
      <c r="AS105" s="2">
        <f>VLOOKUP([jobnumber],OvalData[],MATCH(Table2[[#Headers],[First Preferated Slat From Bottom]],Table2[#Headers],0),0)</f>
        <v>0</v>
      </c>
      <c r="AT105" s="2">
        <f>VLOOKUP([jobnumber],OvalData[],MATCH(Table2[[#Headers],[Total Number of Slats]],Table2[#Headers],0),0)</f>
        <v>51</v>
      </c>
      <c r="AU105" s="2">
        <f>VLOOKUP([jobnumber],OvalData[],MATCH(Table2[[#Headers],[Bottom Bar Slope]],Table2[#Headers],0),0)</f>
        <v>0</v>
      </c>
      <c r="AV105" s="2">
        <f>VLOOKUP([jobnumber],OvalData[],MATCH(Table2[[#Headers],[Bottom Bar Weight]],Table2[#Headers],0),0)</f>
        <v>80.5</v>
      </c>
      <c r="AW105" s="2" t="str">
        <f>VLOOKUP([jobnumber],OvalData[],MATCH(Table2[[#Headers],[Outer Spring Gage]],Table2[#Headers],0),0)</f>
        <v>Null</v>
      </c>
      <c r="AX105" s="2" t="str">
        <f>VLOOKUP([jobnumber],OvalData[],MATCH(Table2[[#Headers],[Outer Spring OD]],Table2[#Headers],0),0)</f>
        <v>Null</v>
      </c>
      <c r="AY105" s="2" t="str">
        <f>VLOOKUP([jobnumber],OvalData[],MATCH(Table2[[#Headers],[Outer Spring Length]],Table2[#Headers],0),0)</f>
        <v>Null</v>
      </c>
      <c r="AZ105" s="2" t="str">
        <f>VLOOKUP([jobnumber],OvalData[],MATCH(Table2[[#Headers],[Outer Spring Stretch]],Table2[#Headers],0),0)</f>
        <v>Null</v>
      </c>
      <c r="BA105" s="2" t="str">
        <f>VLOOKUP([jobnumber],OvalData[],MATCH(Table2[[#Headers],[Outer Spring Torque]],Table2[#Headers],0),0)</f>
        <v>Null</v>
      </c>
      <c r="BB105" s="2" t="str">
        <f>VLOOKUP([jobnumber],OvalData[],MATCH(Table2[[#Headers],[Outer Spring Max Turns]],Table2[#Headers],0),0)</f>
        <v>Null</v>
      </c>
      <c r="BC105" s="2" t="str">
        <f>VLOOKUP([jobnumber],OvalData[],MATCH(Table2[[#Headers],[Outer Spring Weight]],Table2[#Headers],0),0)</f>
        <v>Null</v>
      </c>
      <c r="BD105" s="2" t="str">
        <f>VLOOKUP([jobnumber],OvalData[],MATCH(Table2[[#Headers],[Inner Spring Gage]],Table2[#Headers],0),0)</f>
        <v>Null</v>
      </c>
      <c r="BE105" s="2" t="str">
        <f>VLOOKUP([jobnumber],OvalData[],MATCH(Table2[[#Headers],[Inner Spring OD]],Table2[#Headers],0),0)</f>
        <v>Null</v>
      </c>
      <c r="BF105" s="2" t="str">
        <f>VLOOKUP([jobnumber],OvalData[],MATCH(Table2[[#Headers],[Inner Spring Length]],Table2[#Headers],0),0)</f>
        <v>Null</v>
      </c>
      <c r="BG105" s="2" t="str">
        <f>VLOOKUP([jobnumber],OvalData[],MATCH(Table2[[#Headers],[Inner Spring Stretch]],Table2[#Headers],0),0)</f>
        <v>Null</v>
      </c>
      <c r="BH105" s="2" t="str">
        <f>VLOOKUP([jobnumber],OvalData[],MATCH(Table2[[#Headers],[Inner Spring Torque]],Table2[#Headers],0),0)</f>
        <v>Null</v>
      </c>
      <c r="BI105" s="2" t="str">
        <f>VLOOKUP([jobnumber],OvalData[],MATCH(Table2[[#Headers],[Inner Spring Max Turns]],Table2[#Headers],0),0)</f>
        <v>Null</v>
      </c>
      <c r="BJ105" s="2" t="str">
        <f>VLOOKUP([jobnumber],OvalData[],MATCH(Table2[[#Headers],[Inner Spring Weight]],Table2[#Headers],0),0)</f>
        <v>Null</v>
      </c>
      <c r="BK105" s="2">
        <f>VLOOKUP([jobnumber],OvalData[],MATCH(Table2[[#Headers],[Cycles]],Table2[#Headers],0),0)</f>
        <v>0</v>
      </c>
      <c r="BL105" s="2">
        <f>VLOOKUP([jobnumber],OvalData[],MATCH(Table2[[#Headers],[Total Spring Torque]],Table2[#Headers],0),0)</f>
        <v>0</v>
      </c>
      <c r="BM105" s="2">
        <f>VLOOKUP([jobnumber],OvalData[],MATCH(Table2[[#Headers],[Total Spring Weight]],Table2[#Headers],0),0)</f>
        <v>0</v>
      </c>
      <c r="BN105" s="2">
        <f>VLOOKUP([jobnumber],OvalData[],MATCH(Table2[[#Headers],[Pipe Weight]],Table2[#Headers],0),0)</f>
        <v>688.24239999999998</v>
      </c>
      <c r="BO105" s="2">
        <f>VLOOKUP([jobnumber],OvalData[],MATCH(Table2[[#Headers],[Max Pipe Deflection]],Table2[#Headers],0),0)</f>
        <v>2309</v>
      </c>
      <c r="BP105" s="2">
        <f>VLOOKUP([jobnumber],OvalData[],MATCH(Table2[[#Headers],[Number Non-Insulated Wrap Slats]],Table2[#Headers],0),0)</f>
        <v>0</v>
      </c>
      <c r="BQ105" s="2">
        <f>VLOOKUP([jobnumber],OvalData[],MATCH(Table2[[#Headers],[Number of Insolated Top Slats]],Table2[#Headers],0),0)</f>
        <v>45</v>
      </c>
      <c r="BR105" s="2">
        <f>VLOOKUP([jobnumber],OvalData[],MATCH(Table2[[#Headers],[Insolated Total Slats]],Table2[#Headers],0),0)</f>
        <v>45</v>
      </c>
      <c r="BS105" s="2">
        <f>VLOOKUP([jobnumber],OvalData[],MATCH(Table2[[#Headers],[Number of Slats]],Table2[#Headers],0),0)</f>
        <v>44.69</v>
      </c>
      <c r="BT105" s="2">
        <f>VLOOKUP([jobnumber],OvalData[],MATCH(Table2[[#Headers],[Wrap]],Table2[#Headers],0),0)</f>
        <v>0</v>
      </c>
      <c r="BU105" s="2">
        <f>VLOOKUP([jobnumber],OvalData[],MATCH(Table2[[#Headers],[Wall Angle Thickness]],Table2[#Headers],0),0)</f>
        <v>0</v>
      </c>
      <c r="BV105" s="2">
        <f>VLOOKUP([jobnumber],OvalData[],MATCH(Table2[[#Headers],[windlocks]],Table2[#Headers],0),0)</f>
        <v>0</v>
      </c>
      <c r="BW105" s="2" t="str">
        <f>VLOOKUP([jobnumber],OvalData[],MATCH(Table2[[#Headers],[bottombartype]],Table2[#Headers],0),0)</f>
        <v>SPECIAL</v>
      </c>
      <c r="BX105" s="2">
        <f>VLOOKUP([jobnumber],OvalData[],MATCH(Table2[[#Headers],[endlockweight]],Table2[#Headers],0),0)</f>
        <v>0.17</v>
      </c>
      <c r="BY105" s="2">
        <f>VLOOKUP([jobnumber],OvalData[],MATCH(Table2[[#Headers],[Endlock Total Weight]],Table2[#Headers],0),0)</f>
        <v>7.5972999999999997</v>
      </c>
      <c r="BZ105" s="2">
        <f>VLOOKUP([jobnumber],OvalData[],MATCH(Table2[[#Headers],[Grille Weight]],Table2[#Headers],0),0)</f>
        <v>0</v>
      </c>
      <c r="CA105" s="2">
        <f>VLOOKUP([jobnumber],OvalData[],MATCH(Table2[[#Headers],[barrelrings]],Table2[#Headers],0),0)</f>
        <v>1</v>
      </c>
    </row>
    <row r="106" spans="2:79">
      <c r="B106" s="2" t="str">
        <f>VLOOKUP([jobnumber],OvalData[],MATCH(Table2[[#Headers],[Hand]],Table2[#Headers],0),0)</f>
        <v>RH</v>
      </c>
      <c r="C106" s="2" t="str">
        <f>VLOOKUP([jobnumber],OvalData[],MATCH(Table2[[#Headers],[Model]],Table2[#Headers],0),0)</f>
        <v>SFMPP</v>
      </c>
      <c r="D106" s="2" t="str">
        <f>VLOOKUP([jobnumber],OvalData[],MATCH(Table2[[#Headers],[width]],Table2[#Headers],0),0)</f>
        <v xml:space="preserve"> 18 ft.- 2"</v>
      </c>
      <c r="E106" s="2" t="str">
        <f>VLOOKUP([jobnumber],OvalData[],MATCH(Table2[[#Headers],[stopheight]],Table2[#Headers],0),0)</f>
        <v xml:space="preserve"> 10 ft.- 0"</v>
      </c>
      <c r="F106" s="2" t="str">
        <f>VLOOKUP([jobnumber],OvalData[],MATCH(Table2[[#Headers],[Between Brackets]],Table2[#Headers],0),0)</f>
        <v xml:space="preserve"> 18 ft.- 7 7/ 8"</v>
      </c>
      <c r="G106" s="2" t="str">
        <f>VLOOKUP([jobnumber],OvalData[],MATCH(Table2[[#Headers],[shell]],Table2[#Headers],0),0)</f>
        <v>6 INCH TUBE</v>
      </c>
      <c r="H106" s="2" t="str">
        <f>VLOOKUP([jobnumber],OvalData[],MATCH(Table2[[#Headers],[pipewidth]],Table2[#Headers],0),0)</f>
        <v xml:space="preserve"> 18 ft.- 1 3/ 8"</v>
      </c>
      <c r="I106" s="2">
        <f>VLOOKUP([jobnumber],OvalData[],MATCH(Table2[[#Headers],[Support Tubes]],Table2[#Headers],0),0)</f>
        <v>0</v>
      </c>
      <c r="J106" s="2">
        <f>VLOOKUP([jobnumber],OvalData[],MATCH(Table2[[#Headers],[Upset]],Table2[#Headers],0),0)</f>
        <v>2</v>
      </c>
      <c r="K106" s="2" t="str">
        <f>VLOOKUP([jobnumber],OvalData[],MATCH(Table2[[#Headers],[Guide Type]],Table2[#Headers],0),0)</f>
        <v>SN2-4 5/8-E</v>
      </c>
      <c r="L106" s="2" t="str">
        <f>VLOOKUP([jobnumber],OvalData[],MATCH(Table2[[#Headers],[Wall Angle]],Table2[#Headers],0),0)</f>
        <v xml:space="preserve"> 11 ft.- 8"</v>
      </c>
      <c r="M106" s="2" t="str">
        <f>VLOOKUP([jobnumber],OvalData[],MATCH(Table2[[#Headers],[Middle Angle]],Table2[#Headers],0),0)</f>
        <v xml:space="preserve"> 10 ft.- 4 1/ 2"</v>
      </c>
      <c r="N106" s="2" t="str">
        <f>VLOOKUP([jobnumber],OvalData[],MATCH(Table2[[#Headers],[Front Angle]],Table2[#Headers],0),0)</f>
        <v xml:space="preserve"> 10 ft.- 3"</v>
      </c>
      <c r="O106" s="2">
        <f>VLOOKUP([jobnumber],OvalData[],MATCH(Table2[[#Headers],[Pipe Center Line]],Table2[#Headers],0),0)</f>
        <v>131</v>
      </c>
      <c r="P106" s="2">
        <f>VLOOKUP([jobnumber],OvalData[],MATCH(Table2[[#Headers],[Heat Expansion Gap]],Table2[#Headers],0),0)</f>
        <v>0</v>
      </c>
      <c r="Q106" s="2">
        <f>VLOOKUP([jobnumber],OvalData[],MATCH(Table2[[#Headers],[Hanging Weight Closed]],Table2[#Headers],0),0)</f>
        <v>795</v>
      </c>
      <c r="R106" s="2">
        <f>VLOOKUP([jobnumber],OvalData[],MATCH(Table2[[#Headers],[Hanging Weight Open]],Table2[#Headers],0),0)</f>
        <v>140</v>
      </c>
      <c r="S106" s="2">
        <f>VLOOKUP([jobnumber],OvalData[],MATCH(Table2[[#Headers],[Initial Lever Arm]],Table2[#Headers],0),0)</f>
        <v>4.25</v>
      </c>
      <c r="T106" s="2">
        <f>VLOOKUP([jobnumber],OvalData[],MATCH(Table2[[#Headers],[Turns to Raise]],Table2[#Headers],0),0)</f>
        <v>3.5859999999999999</v>
      </c>
      <c r="U106" s="2">
        <f>VLOOKUP([jobnumber],OvalData[],MATCH(Table2[[#Headers],[Final Lever Arm]],Table2[#Headers],0),0)</f>
        <v>6.37</v>
      </c>
      <c r="V106" s="2">
        <f>VLOOKUP([jobnumber],OvalData[],MATCH(Table2[[#Headers],[Torque Required Closed]],Table2[#Headers],0),0)</f>
        <v>3377.9</v>
      </c>
      <c r="W106" s="2">
        <f>VLOOKUP([jobnumber],OvalData[],MATCH(Table2[[#Headers],[Torque Required Open]],Table2[#Headers],0),0)</f>
        <v>892</v>
      </c>
      <c r="X106" s="2">
        <f>VLOOKUP([jobnumber],OvalData[],MATCH(Table2[[#Headers],[Pre Turns]],Table2[#Headers],0),0)</f>
        <v>1.3332999999999999</v>
      </c>
      <c r="Y106" s="2">
        <f>VLOOKUP([jobnumber],OvalData[],MATCH(Table2[[#Headers],[Required Torque Per Turn]],Table2[#Headers],0),0)</f>
        <v>688</v>
      </c>
      <c r="Z106" s="2">
        <f>VLOOKUP([jobnumber],OvalData[],MATCH(Table2[[#Headers],[Total Turns]],Table2[#Headers],0),0)</f>
        <v>4.91</v>
      </c>
      <c r="AA106" s="2">
        <f>VLOOKUP([jobnumber],OvalData[],MATCH(Table2[[#Headers],[Grille Vision Section]],Table2[#Headers],0),0)</f>
        <v>0</v>
      </c>
      <c r="AB106" s="2">
        <f>VLOOKUP([jobnumber],OvalData[],MATCH(Table2[[#Headers],[Grille Amount]],Table2[#Headers],0),0)</f>
        <v>0</v>
      </c>
      <c r="AC106" s="2">
        <f>VLOOKUP([jobnumber],OvalData[],MATCH(Table2[[#Headers],[Grille Center]],Table2[#Headers],0),0)</f>
        <v>0</v>
      </c>
      <c r="AD106" s="2">
        <f>VLOOKUP([jobnumber],OvalData[],MATCH(Table2[[#Headers],[Grille Pattern]],Table2[#Headers],0),0)</f>
        <v>0</v>
      </c>
      <c r="AE106" s="2">
        <f>VLOOKUP([jobnumber],OvalData[],MATCH(Table2[[#Headers],[Grille First Tube]],Table2[#Headers],0),0)</f>
        <v>0</v>
      </c>
      <c r="AF106" s="2">
        <f>VLOOKUP([jobnumber],OvalData[],MATCH(Table2[[#Headers],[Grille Standard Tube]],Table2[#Headers],0),0)</f>
        <v>0</v>
      </c>
      <c r="AG106" s="2">
        <f>VLOOKUP([jobnumber],OvalData[],MATCH(Table2[[#Headers],[Grille Total Links]],Table2[#Headers],0),0)</f>
        <v>0</v>
      </c>
      <c r="AH106" s="2">
        <f>VLOOKUP([jobnumber],OvalData[],MATCH(Table2[[#Headers],[Grille Rods]],Table2[#Headers],0),0)</f>
        <v>0</v>
      </c>
      <c r="AI106" s="2">
        <f>VLOOKUP([jobnumber],OvalData[],MATCH(Table2[[#Headers],[Grille Rod Length]],Table2[#Headers],0),0)</f>
        <v>0</v>
      </c>
      <c r="AJ106" s="2">
        <f>VLOOKUP([jobnumber],OvalData[],MATCH(Table2[[#Headers],[slattype]],Table2[#Headers],0),0)</f>
        <v>2</v>
      </c>
      <c r="AK106" s="2">
        <f>VLOOKUP([jobnumber],OvalData[],MATCH(Table2[[#Headers],[slatgage]],Table2[#Headers],0),0)</f>
        <v>18</v>
      </c>
      <c r="AL106" s="2">
        <f>VLOOKUP([jobnumber],OvalData[],MATCH(Table2[[#Headers],[Numer of Top Slats]],Table2[#Headers],0),0)</f>
        <v>0</v>
      </c>
      <c r="AM106" s="2">
        <f>VLOOKUP([jobnumber],OvalData[],MATCH(Table2[[#Headers],[Number of Bottom Slats]],Table2[#Headers],0),0)</f>
        <v>0</v>
      </c>
      <c r="AN106" s="2">
        <f>VLOOKUP([jobnumber],OvalData[],MATCH(Table2[[#Headers],[Solid Bottom Height]],Table2[#Headers],0),0)</f>
        <v>0</v>
      </c>
      <c r="AO106" s="2" t="str">
        <f>VLOOKUP([jobnumber],OvalData[],MATCH(Table2[[#Headers],[slatlength]],Table2[#Headers],0),0)</f>
        <v xml:space="preserve"> 18 ft.- 5 7/ 8"</v>
      </c>
      <c r="AP106" s="2">
        <f>VLOOKUP([jobnumber],OvalData[],MATCH(Table2[[#Headers],[Bottom Slat Length]],Table2[#Headers],0),0)</f>
        <v>0</v>
      </c>
      <c r="AQ106" s="2">
        <f>VLOOKUP([jobnumber],OvalData[],MATCH(Table2[[#Headers],[Number of Perferated Slats]],Table2[#Headers],0),0)</f>
        <v>0</v>
      </c>
      <c r="AR106" s="2">
        <f>VLOOKUP([jobnumber],OvalData[],MATCH(Table2[[#Headers],[First Preferated Slat From End]],Table2[#Headers],0),0)</f>
        <v>0</v>
      </c>
      <c r="AS106" s="2">
        <f>VLOOKUP([jobnumber],OvalData[],MATCH(Table2[[#Headers],[First Preferated Slat From Bottom]],Table2[#Headers],0),0)</f>
        <v>0</v>
      </c>
      <c r="AT106" s="2">
        <f>VLOOKUP([jobnumber],OvalData[],MATCH(Table2[[#Headers],[Total Number of Slats]],Table2[#Headers],0),0)</f>
        <v>51</v>
      </c>
      <c r="AU106" s="2">
        <f>VLOOKUP([jobnumber],OvalData[],MATCH(Table2[[#Headers],[Bottom Bar Slope]],Table2[#Headers],0),0)</f>
        <v>0</v>
      </c>
      <c r="AV106" s="2">
        <f>VLOOKUP([jobnumber],OvalData[],MATCH(Table2[[#Headers],[Bottom Bar Weight]],Table2[#Headers],0),0)</f>
        <v>80.5</v>
      </c>
      <c r="AW106" s="2" t="str">
        <f>VLOOKUP([jobnumber],OvalData[],MATCH(Table2[[#Headers],[Outer Spring Gage]],Table2[#Headers],0),0)</f>
        <v>Null</v>
      </c>
      <c r="AX106" s="2" t="str">
        <f>VLOOKUP([jobnumber],OvalData[],MATCH(Table2[[#Headers],[Outer Spring OD]],Table2[#Headers],0),0)</f>
        <v>Null</v>
      </c>
      <c r="AY106" s="2" t="str">
        <f>VLOOKUP([jobnumber],OvalData[],MATCH(Table2[[#Headers],[Outer Spring Length]],Table2[#Headers],0),0)</f>
        <v>Null</v>
      </c>
      <c r="AZ106" s="2" t="str">
        <f>VLOOKUP([jobnumber],OvalData[],MATCH(Table2[[#Headers],[Outer Spring Stretch]],Table2[#Headers],0),0)</f>
        <v>Null</v>
      </c>
      <c r="BA106" s="2" t="str">
        <f>VLOOKUP([jobnumber],OvalData[],MATCH(Table2[[#Headers],[Outer Spring Torque]],Table2[#Headers],0),0)</f>
        <v>Null</v>
      </c>
      <c r="BB106" s="2" t="str">
        <f>VLOOKUP([jobnumber],OvalData[],MATCH(Table2[[#Headers],[Outer Spring Max Turns]],Table2[#Headers],0),0)</f>
        <v>Null</v>
      </c>
      <c r="BC106" s="2" t="str">
        <f>VLOOKUP([jobnumber],OvalData[],MATCH(Table2[[#Headers],[Outer Spring Weight]],Table2[#Headers],0),0)</f>
        <v>Null</v>
      </c>
      <c r="BD106" s="2" t="str">
        <f>VLOOKUP([jobnumber],OvalData[],MATCH(Table2[[#Headers],[Inner Spring Gage]],Table2[#Headers],0),0)</f>
        <v>Null</v>
      </c>
      <c r="BE106" s="2" t="str">
        <f>VLOOKUP([jobnumber],OvalData[],MATCH(Table2[[#Headers],[Inner Spring OD]],Table2[#Headers],0),0)</f>
        <v>Null</v>
      </c>
      <c r="BF106" s="2" t="str">
        <f>VLOOKUP([jobnumber],OvalData[],MATCH(Table2[[#Headers],[Inner Spring Length]],Table2[#Headers],0),0)</f>
        <v>Null</v>
      </c>
      <c r="BG106" s="2" t="str">
        <f>VLOOKUP([jobnumber],OvalData[],MATCH(Table2[[#Headers],[Inner Spring Stretch]],Table2[#Headers],0),0)</f>
        <v>Null</v>
      </c>
      <c r="BH106" s="2" t="str">
        <f>VLOOKUP([jobnumber],OvalData[],MATCH(Table2[[#Headers],[Inner Spring Torque]],Table2[#Headers],0),0)</f>
        <v>Null</v>
      </c>
      <c r="BI106" s="2" t="str">
        <f>VLOOKUP([jobnumber],OvalData[],MATCH(Table2[[#Headers],[Inner Spring Max Turns]],Table2[#Headers],0),0)</f>
        <v>Null</v>
      </c>
      <c r="BJ106" s="2" t="str">
        <f>VLOOKUP([jobnumber],OvalData[],MATCH(Table2[[#Headers],[Inner Spring Weight]],Table2[#Headers],0),0)</f>
        <v>Null</v>
      </c>
      <c r="BK106" s="2">
        <f>VLOOKUP([jobnumber],OvalData[],MATCH(Table2[[#Headers],[Cycles]],Table2[#Headers],0),0)</f>
        <v>0</v>
      </c>
      <c r="BL106" s="2">
        <f>VLOOKUP([jobnumber],OvalData[],MATCH(Table2[[#Headers],[Total Spring Torque]],Table2[#Headers],0),0)</f>
        <v>0</v>
      </c>
      <c r="BM106" s="2">
        <f>VLOOKUP([jobnumber],OvalData[],MATCH(Table2[[#Headers],[Total Spring Weight]],Table2[#Headers],0),0)</f>
        <v>0</v>
      </c>
      <c r="BN106" s="2">
        <f>VLOOKUP([jobnumber],OvalData[],MATCH(Table2[[#Headers],[Pipe Weight]],Table2[#Headers],0),0)</f>
        <v>688.24239999999998</v>
      </c>
      <c r="BO106" s="2">
        <f>VLOOKUP([jobnumber],OvalData[],MATCH(Table2[[#Headers],[Max Pipe Deflection]],Table2[#Headers],0),0)</f>
        <v>2309</v>
      </c>
      <c r="BP106" s="2">
        <f>VLOOKUP([jobnumber],OvalData[],MATCH(Table2[[#Headers],[Number Non-Insulated Wrap Slats]],Table2[#Headers],0),0)</f>
        <v>0</v>
      </c>
      <c r="BQ106" s="2">
        <f>VLOOKUP([jobnumber],OvalData[],MATCH(Table2[[#Headers],[Number of Insolated Top Slats]],Table2[#Headers],0),0)</f>
        <v>45</v>
      </c>
      <c r="BR106" s="2">
        <f>VLOOKUP([jobnumber],OvalData[],MATCH(Table2[[#Headers],[Insolated Total Slats]],Table2[#Headers],0),0)</f>
        <v>45</v>
      </c>
      <c r="BS106" s="2">
        <f>VLOOKUP([jobnumber],OvalData[],MATCH(Table2[[#Headers],[Number of Slats]],Table2[#Headers],0),0)</f>
        <v>44.69</v>
      </c>
      <c r="BT106" s="2">
        <f>VLOOKUP([jobnumber],OvalData[],MATCH(Table2[[#Headers],[Wrap]],Table2[#Headers],0),0)</f>
        <v>0</v>
      </c>
      <c r="BU106" s="2">
        <f>VLOOKUP([jobnumber],OvalData[],MATCH(Table2[[#Headers],[Wall Angle Thickness]],Table2[#Headers],0),0)</f>
        <v>0</v>
      </c>
      <c r="BV106" s="2">
        <f>VLOOKUP([jobnumber],OvalData[],MATCH(Table2[[#Headers],[windlocks]],Table2[#Headers],0),0)</f>
        <v>0</v>
      </c>
      <c r="BW106" s="2" t="str">
        <f>VLOOKUP([jobnumber],OvalData[],MATCH(Table2[[#Headers],[bottombartype]],Table2[#Headers],0),0)</f>
        <v>SPECIAL</v>
      </c>
      <c r="BX106" s="2">
        <f>VLOOKUP([jobnumber],OvalData[],MATCH(Table2[[#Headers],[endlockweight]],Table2[#Headers],0),0)</f>
        <v>0.17</v>
      </c>
      <c r="BY106" s="2">
        <f>VLOOKUP([jobnumber],OvalData[],MATCH(Table2[[#Headers],[Endlock Total Weight]],Table2[#Headers],0),0)</f>
        <v>7.5972999999999997</v>
      </c>
      <c r="BZ106" s="2">
        <f>VLOOKUP([jobnumber],OvalData[],MATCH(Table2[[#Headers],[Grille Weight]],Table2[#Headers],0),0)</f>
        <v>0</v>
      </c>
      <c r="CA106" s="2">
        <f>VLOOKUP([jobnumber],OvalData[],MATCH(Table2[[#Headers],[barrelrings]],Table2[#Headers],0),0)</f>
        <v>1</v>
      </c>
    </row>
    <row r="107" spans="2:79">
      <c r="B107" s="2" t="str">
        <f>VLOOKUP([jobnumber],OvalData[],MATCH(Table2[[#Headers],[Hand]],Table2[#Headers],0),0)</f>
        <v>RH</v>
      </c>
      <c r="C107" s="2" t="str">
        <f>VLOOKUP([jobnumber],OvalData[],MATCH(Table2[[#Headers],[Model]],Table2[#Headers],0),0)</f>
        <v>SFMPP</v>
      </c>
      <c r="D107" s="2" t="str">
        <f>VLOOKUP([jobnumber],OvalData[],MATCH(Table2[[#Headers],[width]],Table2[#Headers],0),0)</f>
        <v xml:space="preserve"> 18 ft.- 2"</v>
      </c>
      <c r="E107" s="2" t="str">
        <f>VLOOKUP([jobnumber],OvalData[],MATCH(Table2[[#Headers],[stopheight]],Table2[#Headers],0),0)</f>
        <v xml:space="preserve"> 10 ft.- 0"</v>
      </c>
      <c r="F107" s="2" t="str">
        <f>VLOOKUP([jobnumber],OvalData[],MATCH(Table2[[#Headers],[Between Brackets]],Table2[#Headers],0),0)</f>
        <v xml:space="preserve"> 18 ft.- 7 7/ 8"</v>
      </c>
      <c r="G107" s="2" t="str">
        <f>VLOOKUP([jobnumber],OvalData[],MATCH(Table2[[#Headers],[shell]],Table2[#Headers],0),0)</f>
        <v>6 INCH TUBE</v>
      </c>
      <c r="H107" s="2" t="str">
        <f>VLOOKUP([jobnumber],OvalData[],MATCH(Table2[[#Headers],[pipewidth]],Table2[#Headers],0),0)</f>
        <v xml:space="preserve"> 18 ft.- 1 3/ 8"</v>
      </c>
      <c r="I107" s="2">
        <f>VLOOKUP([jobnumber],OvalData[],MATCH(Table2[[#Headers],[Support Tubes]],Table2[#Headers],0),0)</f>
        <v>0</v>
      </c>
      <c r="J107" s="2">
        <f>VLOOKUP([jobnumber],OvalData[],MATCH(Table2[[#Headers],[Upset]],Table2[#Headers],0),0)</f>
        <v>2</v>
      </c>
      <c r="K107" s="2" t="str">
        <f>VLOOKUP([jobnumber],OvalData[],MATCH(Table2[[#Headers],[Guide Type]],Table2[#Headers],0),0)</f>
        <v>SN2-4 5/8-E</v>
      </c>
      <c r="L107" s="2" t="str">
        <f>VLOOKUP([jobnumber],OvalData[],MATCH(Table2[[#Headers],[Wall Angle]],Table2[#Headers],0),0)</f>
        <v xml:space="preserve"> 11 ft.- 8"</v>
      </c>
      <c r="M107" s="2" t="str">
        <f>VLOOKUP([jobnumber],OvalData[],MATCH(Table2[[#Headers],[Middle Angle]],Table2[#Headers],0),0)</f>
        <v xml:space="preserve"> 10 ft.- 4 1/ 2"</v>
      </c>
      <c r="N107" s="2" t="str">
        <f>VLOOKUP([jobnumber],OvalData[],MATCH(Table2[[#Headers],[Front Angle]],Table2[#Headers],0),0)</f>
        <v xml:space="preserve"> 10 ft.- 3"</v>
      </c>
      <c r="O107" s="2">
        <f>VLOOKUP([jobnumber],OvalData[],MATCH(Table2[[#Headers],[Pipe Center Line]],Table2[#Headers],0),0)</f>
        <v>131</v>
      </c>
      <c r="P107" s="2">
        <f>VLOOKUP([jobnumber],OvalData[],MATCH(Table2[[#Headers],[Heat Expansion Gap]],Table2[#Headers],0),0)</f>
        <v>0</v>
      </c>
      <c r="Q107" s="2">
        <f>VLOOKUP([jobnumber],OvalData[],MATCH(Table2[[#Headers],[Hanging Weight Closed]],Table2[#Headers],0),0)</f>
        <v>795</v>
      </c>
      <c r="R107" s="2">
        <f>VLOOKUP([jobnumber],OvalData[],MATCH(Table2[[#Headers],[Hanging Weight Open]],Table2[#Headers],0),0)</f>
        <v>140</v>
      </c>
      <c r="S107" s="2">
        <f>VLOOKUP([jobnumber],OvalData[],MATCH(Table2[[#Headers],[Initial Lever Arm]],Table2[#Headers],0),0)</f>
        <v>4.25</v>
      </c>
      <c r="T107" s="2">
        <f>VLOOKUP([jobnumber],OvalData[],MATCH(Table2[[#Headers],[Turns to Raise]],Table2[#Headers],0),0)</f>
        <v>3.5859999999999999</v>
      </c>
      <c r="U107" s="2">
        <f>VLOOKUP([jobnumber],OvalData[],MATCH(Table2[[#Headers],[Final Lever Arm]],Table2[#Headers],0),0)</f>
        <v>6.37</v>
      </c>
      <c r="V107" s="2">
        <f>VLOOKUP([jobnumber],OvalData[],MATCH(Table2[[#Headers],[Torque Required Closed]],Table2[#Headers],0),0)</f>
        <v>3377.9</v>
      </c>
      <c r="W107" s="2">
        <f>VLOOKUP([jobnumber],OvalData[],MATCH(Table2[[#Headers],[Torque Required Open]],Table2[#Headers],0),0)</f>
        <v>892</v>
      </c>
      <c r="X107" s="2">
        <f>VLOOKUP([jobnumber],OvalData[],MATCH(Table2[[#Headers],[Pre Turns]],Table2[#Headers],0),0)</f>
        <v>1.3332999999999999</v>
      </c>
      <c r="Y107" s="2">
        <f>VLOOKUP([jobnumber],OvalData[],MATCH(Table2[[#Headers],[Required Torque Per Turn]],Table2[#Headers],0),0)</f>
        <v>688</v>
      </c>
      <c r="Z107" s="2">
        <f>VLOOKUP([jobnumber],OvalData[],MATCH(Table2[[#Headers],[Total Turns]],Table2[#Headers],0),0)</f>
        <v>4.91</v>
      </c>
      <c r="AA107" s="2">
        <f>VLOOKUP([jobnumber],OvalData[],MATCH(Table2[[#Headers],[Grille Vision Section]],Table2[#Headers],0),0)</f>
        <v>0</v>
      </c>
      <c r="AB107" s="2">
        <f>VLOOKUP([jobnumber],OvalData[],MATCH(Table2[[#Headers],[Grille Amount]],Table2[#Headers],0),0)</f>
        <v>0</v>
      </c>
      <c r="AC107" s="2">
        <f>VLOOKUP([jobnumber],OvalData[],MATCH(Table2[[#Headers],[Grille Center]],Table2[#Headers],0),0)</f>
        <v>0</v>
      </c>
      <c r="AD107" s="2">
        <f>VLOOKUP([jobnumber],OvalData[],MATCH(Table2[[#Headers],[Grille Pattern]],Table2[#Headers],0),0)</f>
        <v>0</v>
      </c>
      <c r="AE107" s="2">
        <f>VLOOKUP([jobnumber],OvalData[],MATCH(Table2[[#Headers],[Grille First Tube]],Table2[#Headers],0),0)</f>
        <v>0</v>
      </c>
      <c r="AF107" s="2">
        <f>VLOOKUP([jobnumber],OvalData[],MATCH(Table2[[#Headers],[Grille Standard Tube]],Table2[#Headers],0),0)</f>
        <v>0</v>
      </c>
      <c r="AG107" s="2">
        <f>VLOOKUP([jobnumber],OvalData[],MATCH(Table2[[#Headers],[Grille Total Links]],Table2[#Headers],0),0)</f>
        <v>0</v>
      </c>
      <c r="AH107" s="2">
        <f>VLOOKUP([jobnumber],OvalData[],MATCH(Table2[[#Headers],[Grille Rods]],Table2[#Headers],0),0)</f>
        <v>0</v>
      </c>
      <c r="AI107" s="2">
        <f>VLOOKUP([jobnumber],OvalData[],MATCH(Table2[[#Headers],[Grille Rod Length]],Table2[#Headers],0),0)</f>
        <v>0</v>
      </c>
      <c r="AJ107" s="2">
        <f>VLOOKUP([jobnumber],OvalData[],MATCH(Table2[[#Headers],[slattype]],Table2[#Headers],0),0)</f>
        <v>2</v>
      </c>
      <c r="AK107" s="2">
        <f>VLOOKUP([jobnumber],OvalData[],MATCH(Table2[[#Headers],[slatgage]],Table2[#Headers],0),0)</f>
        <v>18</v>
      </c>
      <c r="AL107" s="2">
        <f>VLOOKUP([jobnumber],OvalData[],MATCH(Table2[[#Headers],[Numer of Top Slats]],Table2[#Headers],0),0)</f>
        <v>0</v>
      </c>
      <c r="AM107" s="2">
        <f>VLOOKUP([jobnumber],OvalData[],MATCH(Table2[[#Headers],[Number of Bottom Slats]],Table2[#Headers],0),0)</f>
        <v>0</v>
      </c>
      <c r="AN107" s="2">
        <f>VLOOKUP([jobnumber],OvalData[],MATCH(Table2[[#Headers],[Solid Bottom Height]],Table2[#Headers],0),0)</f>
        <v>0</v>
      </c>
      <c r="AO107" s="2" t="str">
        <f>VLOOKUP([jobnumber],OvalData[],MATCH(Table2[[#Headers],[slatlength]],Table2[#Headers],0),0)</f>
        <v xml:space="preserve"> 18 ft.- 5 7/ 8"</v>
      </c>
      <c r="AP107" s="2">
        <f>VLOOKUP([jobnumber],OvalData[],MATCH(Table2[[#Headers],[Bottom Slat Length]],Table2[#Headers],0),0)</f>
        <v>0</v>
      </c>
      <c r="AQ107" s="2">
        <f>VLOOKUP([jobnumber],OvalData[],MATCH(Table2[[#Headers],[Number of Perferated Slats]],Table2[#Headers],0),0)</f>
        <v>0</v>
      </c>
      <c r="AR107" s="2">
        <f>VLOOKUP([jobnumber],OvalData[],MATCH(Table2[[#Headers],[First Preferated Slat From End]],Table2[#Headers],0),0)</f>
        <v>0</v>
      </c>
      <c r="AS107" s="2">
        <f>VLOOKUP([jobnumber],OvalData[],MATCH(Table2[[#Headers],[First Preferated Slat From Bottom]],Table2[#Headers],0),0)</f>
        <v>0</v>
      </c>
      <c r="AT107" s="2">
        <f>VLOOKUP([jobnumber],OvalData[],MATCH(Table2[[#Headers],[Total Number of Slats]],Table2[#Headers],0),0)</f>
        <v>51</v>
      </c>
      <c r="AU107" s="2">
        <f>VLOOKUP([jobnumber],OvalData[],MATCH(Table2[[#Headers],[Bottom Bar Slope]],Table2[#Headers],0),0)</f>
        <v>0</v>
      </c>
      <c r="AV107" s="2">
        <f>VLOOKUP([jobnumber],OvalData[],MATCH(Table2[[#Headers],[Bottom Bar Weight]],Table2[#Headers],0),0)</f>
        <v>80.5</v>
      </c>
      <c r="AW107" s="2" t="str">
        <f>VLOOKUP([jobnumber],OvalData[],MATCH(Table2[[#Headers],[Outer Spring Gage]],Table2[#Headers],0),0)</f>
        <v>Null</v>
      </c>
      <c r="AX107" s="2" t="str">
        <f>VLOOKUP([jobnumber],OvalData[],MATCH(Table2[[#Headers],[Outer Spring OD]],Table2[#Headers],0),0)</f>
        <v>Null</v>
      </c>
      <c r="AY107" s="2" t="str">
        <f>VLOOKUP([jobnumber],OvalData[],MATCH(Table2[[#Headers],[Outer Spring Length]],Table2[#Headers],0),0)</f>
        <v>Null</v>
      </c>
      <c r="AZ107" s="2" t="str">
        <f>VLOOKUP([jobnumber],OvalData[],MATCH(Table2[[#Headers],[Outer Spring Stretch]],Table2[#Headers],0),0)</f>
        <v>Null</v>
      </c>
      <c r="BA107" s="2" t="str">
        <f>VLOOKUP([jobnumber],OvalData[],MATCH(Table2[[#Headers],[Outer Spring Torque]],Table2[#Headers],0),0)</f>
        <v>Null</v>
      </c>
      <c r="BB107" s="2" t="str">
        <f>VLOOKUP([jobnumber],OvalData[],MATCH(Table2[[#Headers],[Outer Spring Max Turns]],Table2[#Headers],0),0)</f>
        <v>Null</v>
      </c>
      <c r="BC107" s="2" t="str">
        <f>VLOOKUP([jobnumber],OvalData[],MATCH(Table2[[#Headers],[Outer Spring Weight]],Table2[#Headers],0),0)</f>
        <v>Null</v>
      </c>
      <c r="BD107" s="2" t="str">
        <f>VLOOKUP([jobnumber],OvalData[],MATCH(Table2[[#Headers],[Inner Spring Gage]],Table2[#Headers],0),0)</f>
        <v>Null</v>
      </c>
      <c r="BE107" s="2" t="str">
        <f>VLOOKUP([jobnumber],OvalData[],MATCH(Table2[[#Headers],[Inner Spring OD]],Table2[#Headers],0),0)</f>
        <v>Null</v>
      </c>
      <c r="BF107" s="2" t="str">
        <f>VLOOKUP([jobnumber],OvalData[],MATCH(Table2[[#Headers],[Inner Spring Length]],Table2[#Headers],0),0)</f>
        <v>Null</v>
      </c>
      <c r="BG107" s="2" t="str">
        <f>VLOOKUP([jobnumber],OvalData[],MATCH(Table2[[#Headers],[Inner Spring Stretch]],Table2[#Headers],0),0)</f>
        <v>Null</v>
      </c>
      <c r="BH107" s="2" t="str">
        <f>VLOOKUP([jobnumber],OvalData[],MATCH(Table2[[#Headers],[Inner Spring Torque]],Table2[#Headers],0),0)</f>
        <v>Null</v>
      </c>
      <c r="BI107" s="2" t="str">
        <f>VLOOKUP([jobnumber],OvalData[],MATCH(Table2[[#Headers],[Inner Spring Max Turns]],Table2[#Headers],0),0)</f>
        <v>Null</v>
      </c>
      <c r="BJ107" s="2" t="str">
        <f>VLOOKUP([jobnumber],OvalData[],MATCH(Table2[[#Headers],[Inner Spring Weight]],Table2[#Headers],0),0)</f>
        <v>Null</v>
      </c>
      <c r="BK107" s="2">
        <f>VLOOKUP([jobnumber],OvalData[],MATCH(Table2[[#Headers],[Cycles]],Table2[#Headers],0),0)</f>
        <v>0</v>
      </c>
      <c r="BL107" s="2">
        <f>VLOOKUP([jobnumber],OvalData[],MATCH(Table2[[#Headers],[Total Spring Torque]],Table2[#Headers],0),0)</f>
        <v>0</v>
      </c>
      <c r="BM107" s="2">
        <f>VLOOKUP([jobnumber],OvalData[],MATCH(Table2[[#Headers],[Total Spring Weight]],Table2[#Headers],0),0)</f>
        <v>0</v>
      </c>
      <c r="BN107" s="2">
        <f>VLOOKUP([jobnumber],OvalData[],MATCH(Table2[[#Headers],[Pipe Weight]],Table2[#Headers],0),0)</f>
        <v>688.24239999999998</v>
      </c>
      <c r="BO107" s="2">
        <f>VLOOKUP([jobnumber],OvalData[],MATCH(Table2[[#Headers],[Max Pipe Deflection]],Table2[#Headers],0),0)</f>
        <v>2309</v>
      </c>
      <c r="BP107" s="2">
        <f>VLOOKUP([jobnumber],OvalData[],MATCH(Table2[[#Headers],[Number Non-Insulated Wrap Slats]],Table2[#Headers],0),0)</f>
        <v>0</v>
      </c>
      <c r="BQ107" s="2">
        <f>VLOOKUP([jobnumber],OvalData[],MATCH(Table2[[#Headers],[Number of Insolated Top Slats]],Table2[#Headers],0),0)</f>
        <v>45</v>
      </c>
      <c r="BR107" s="2">
        <f>VLOOKUP([jobnumber],OvalData[],MATCH(Table2[[#Headers],[Insolated Total Slats]],Table2[#Headers],0),0)</f>
        <v>45</v>
      </c>
      <c r="BS107" s="2">
        <f>VLOOKUP([jobnumber],OvalData[],MATCH(Table2[[#Headers],[Number of Slats]],Table2[#Headers],0),0)</f>
        <v>44.69</v>
      </c>
      <c r="BT107" s="2">
        <f>VLOOKUP([jobnumber],OvalData[],MATCH(Table2[[#Headers],[Wrap]],Table2[#Headers],0),0)</f>
        <v>0</v>
      </c>
      <c r="BU107" s="2">
        <f>VLOOKUP([jobnumber],OvalData[],MATCH(Table2[[#Headers],[Wall Angle Thickness]],Table2[#Headers],0),0)</f>
        <v>0</v>
      </c>
      <c r="BV107" s="2">
        <f>VLOOKUP([jobnumber],OvalData[],MATCH(Table2[[#Headers],[windlocks]],Table2[#Headers],0),0)</f>
        <v>0</v>
      </c>
      <c r="BW107" s="2" t="str">
        <f>VLOOKUP([jobnumber],OvalData[],MATCH(Table2[[#Headers],[bottombartype]],Table2[#Headers],0),0)</f>
        <v>SPECIAL</v>
      </c>
      <c r="BX107" s="2">
        <f>VLOOKUP([jobnumber],OvalData[],MATCH(Table2[[#Headers],[endlockweight]],Table2[#Headers],0),0)</f>
        <v>0.17</v>
      </c>
      <c r="BY107" s="2">
        <f>VLOOKUP([jobnumber],OvalData[],MATCH(Table2[[#Headers],[Endlock Total Weight]],Table2[#Headers],0),0)</f>
        <v>7.5972999999999997</v>
      </c>
      <c r="BZ107" s="2">
        <f>VLOOKUP([jobnumber],OvalData[],MATCH(Table2[[#Headers],[Grille Weight]],Table2[#Headers],0),0)</f>
        <v>0</v>
      </c>
      <c r="CA107" s="2">
        <f>VLOOKUP([jobnumber],OvalData[],MATCH(Table2[[#Headers],[barrelrings]],Table2[#Headers],0),0)</f>
        <v>1</v>
      </c>
    </row>
    <row r="108" spans="2:79">
      <c r="B108" s="2" t="str">
        <f>VLOOKUP([jobnumber],OvalData[],MATCH(Table2[[#Headers],[Hand]],Table2[#Headers],0),0)</f>
        <v>RH</v>
      </c>
      <c r="C108" s="2" t="str">
        <f>VLOOKUP([jobnumber],OvalData[],MATCH(Table2[[#Headers],[Model]],Table2[#Headers],0),0)</f>
        <v>SFMPP</v>
      </c>
      <c r="D108" s="2" t="str">
        <f>VLOOKUP([jobnumber],OvalData[],MATCH(Table2[[#Headers],[width]],Table2[#Headers],0),0)</f>
        <v xml:space="preserve"> 18 ft.- 2"</v>
      </c>
      <c r="E108" s="2" t="str">
        <f>VLOOKUP([jobnumber],OvalData[],MATCH(Table2[[#Headers],[stopheight]],Table2[#Headers],0),0)</f>
        <v xml:space="preserve"> 10 ft.- 0"</v>
      </c>
      <c r="F108" s="2" t="str">
        <f>VLOOKUP([jobnumber],OvalData[],MATCH(Table2[[#Headers],[Between Brackets]],Table2[#Headers],0),0)</f>
        <v xml:space="preserve"> 18 ft.- 7 7/ 8"</v>
      </c>
      <c r="G108" s="2" t="str">
        <f>VLOOKUP([jobnumber],OvalData[],MATCH(Table2[[#Headers],[shell]],Table2[#Headers],0),0)</f>
        <v>6 INCH TUBE</v>
      </c>
      <c r="H108" s="2" t="str">
        <f>VLOOKUP([jobnumber],OvalData[],MATCH(Table2[[#Headers],[pipewidth]],Table2[#Headers],0),0)</f>
        <v xml:space="preserve"> 18 ft.- 1 3/ 8"</v>
      </c>
      <c r="I108" s="2">
        <f>VLOOKUP([jobnumber],OvalData[],MATCH(Table2[[#Headers],[Support Tubes]],Table2[#Headers],0),0)</f>
        <v>0</v>
      </c>
      <c r="J108" s="2">
        <f>VLOOKUP([jobnumber],OvalData[],MATCH(Table2[[#Headers],[Upset]],Table2[#Headers],0),0)</f>
        <v>2</v>
      </c>
      <c r="K108" s="2" t="str">
        <f>VLOOKUP([jobnumber],OvalData[],MATCH(Table2[[#Headers],[Guide Type]],Table2[#Headers],0),0)</f>
        <v>SN2-4 5/8-E</v>
      </c>
      <c r="L108" s="2" t="str">
        <f>VLOOKUP([jobnumber],OvalData[],MATCH(Table2[[#Headers],[Wall Angle]],Table2[#Headers],0),0)</f>
        <v xml:space="preserve"> 11 ft.- 8"</v>
      </c>
      <c r="M108" s="2" t="str">
        <f>VLOOKUP([jobnumber],OvalData[],MATCH(Table2[[#Headers],[Middle Angle]],Table2[#Headers],0),0)</f>
        <v xml:space="preserve"> 10 ft.- 4 1/ 2"</v>
      </c>
      <c r="N108" s="2" t="str">
        <f>VLOOKUP([jobnumber],OvalData[],MATCH(Table2[[#Headers],[Front Angle]],Table2[#Headers],0),0)</f>
        <v xml:space="preserve"> 10 ft.- 3"</v>
      </c>
      <c r="O108" s="2">
        <f>VLOOKUP([jobnumber],OvalData[],MATCH(Table2[[#Headers],[Pipe Center Line]],Table2[#Headers],0),0)</f>
        <v>131</v>
      </c>
      <c r="P108" s="2">
        <f>VLOOKUP([jobnumber],OvalData[],MATCH(Table2[[#Headers],[Heat Expansion Gap]],Table2[#Headers],0),0)</f>
        <v>0</v>
      </c>
      <c r="Q108" s="2">
        <f>VLOOKUP([jobnumber],OvalData[],MATCH(Table2[[#Headers],[Hanging Weight Closed]],Table2[#Headers],0),0)</f>
        <v>795</v>
      </c>
      <c r="R108" s="2">
        <f>VLOOKUP([jobnumber],OvalData[],MATCH(Table2[[#Headers],[Hanging Weight Open]],Table2[#Headers],0),0)</f>
        <v>140</v>
      </c>
      <c r="S108" s="2">
        <f>VLOOKUP([jobnumber],OvalData[],MATCH(Table2[[#Headers],[Initial Lever Arm]],Table2[#Headers],0),0)</f>
        <v>4.25</v>
      </c>
      <c r="T108" s="2">
        <f>VLOOKUP([jobnumber],OvalData[],MATCH(Table2[[#Headers],[Turns to Raise]],Table2[#Headers],0),0)</f>
        <v>3.5859999999999999</v>
      </c>
      <c r="U108" s="2">
        <f>VLOOKUP([jobnumber],OvalData[],MATCH(Table2[[#Headers],[Final Lever Arm]],Table2[#Headers],0),0)</f>
        <v>6.37</v>
      </c>
      <c r="V108" s="2">
        <f>VLOOKUP([jobnumber],OvalData[],MATCH(Table2[[#Headers],[Torque Required Closed]],Table2[#Headers],0),0)</f>
        <v>3377.9</v>
      </c>
      <c r="W108" s="2">
        <f>VLOOKUP([jobnumber],OvalData[],MATCH(Table2[[#Headers],[Torque Required Open]],Table2[#Headers],0),0)</f>
        <v>892</v>
      </c>
      <c r="X108" s="2">
        <f>VLOOKUP([jobnumber],OvalData[],MATCH(Table2[[#Headers],[Pre Turns]],Table2[#Headers],0),0)</f>
        <v>1.3332999999999999</v>
      </c>
      <c r="Y108" s="2">
        <f>VLOOKUP([jobnumber],OvalData[],MATCH(Table2[[#Headers],[Required Torque Per Turn]],Table2[#Headers],0),0)</f>
        <v>688</v>
      </c>
      <c r="Z108" s="2">
        <f>VLOOKUP([jobnumber],OvalData[],MATCH(Table2[[#Headers],[Total Turns]],Table2[#Headers],0),0)</f>
        <v>4.91</v>
      </c>
      <c r="AA108" s="2">
        <f>VLOOKUP([jobnumber],OvalData[],MATCH(Table2[[#Headers],[Grille Vision Section]],Table2[#Headers],0),0)</f>
        <v>0</v>
      </c>
      <c r="AB108" s="2">
        <f>VLOOKUP([jobnumber],OvalData[],MATCH(Table2[[#Headers],[Grille Amount]],Table2[#Headers],0),0)</f>
        <v>0</v>
      </c>
      <c r="AC108" s="2">
        <f>VLOOKUP([jobnumber],OvalData[],MATCH(Table2[[#Headers],[Grille Center]],Table2[#Headers],0),0)</f>
        <v>0</v>
      </c>
      <c r="AD108" s="2">
        <f>VLOOKUP([jobnumber],OvalData[],MATCH(Table2[[#Headers],[Grille Pattern]],Table2[#Headers],0),0)</f>
        <v>0</v>
      </c>
      <c r="AE108" s="2">
        <f>VLOOKUP([jobnumber],OvalData[],MATCH(Table2[[#Headers],[Grille First Tube]],Table2[#Headers],0),0)</f>
        <v>0</v>
      </c>
      <c r="AF108" s="2">
        <f>VLOOKUP([jobnumber],OvalData[],MATCH(Table2[[#Headers],[Grille Standard Tube]],Table2[#Headers],0),0)</f>
        <v>0</v>
      </c>
      <c r="AG108" s="2">
        <f>VLOOKUP([jobnumber],OvalData[],MATCH(Table2[[#Headers],[Grille Total Links]],Table2[#Headers],0),0)</f>
        <v>0</v>
      </c>
      <c r="AH108" s="2">
        <f>VLOOKUP([jobnumber],OvalData[],MATCH(Table2[[#Headers],[Grille Rods]],Table2[#Headers],0),0)</f>
        <v>0</v>
      </c>
      <c r="AI108" s="2">
        <f>VLOOKUP([jobnumber],OvalData[],MATCH(Table2[[#Headers],[Grille Rod Length]],Table2[#Headers],0),0)</f>
        <v>0</v>
      </c>
      <c r="AJ108" s="2">
        <f>VLOOKUP([jobnumber],OvalData[],MATCH(Table2[[#Headers],[slattype]],Table2[#Headers],0),0)</f>
        <v>2</v>
      </c>
      <c r="AK108" s="2">
        <f>VLOOKUP([jobnumber],OvalData[],MATCH(Table2[[#Headers],[slatgage]],Table2[#Headers],0),0)</f>
        <v>18</v>
      </c>
      <c r="AL108" s="2">
        <f>VLOOKUP([jobnumber],OvalData[],MATCH(Table2[[#Headers],[Numer of Top Slats]],Table2[#Headers],0),0)</f>
        <v>0</v>
      </c>
      <c r="AM108" s="2">
        <f>VLOOKUP([jobnumber],OvalData[],MATCH(Table2[[#Headers],[Number of Bottom Slats]],Table2[#Headers],0),0)</f>
        <v>0</v>
      </c>
      <c r="AN108" s="2">
        <f>VLOOKUP([jobnumber],OvalData[],MATCH(Table2[[#Headers],[Solid Bottom Height]],Table2[#Headers],0),0)</f>
        <v>0</v>
      </c>
      <c r="AO108" s="2" t="str">
        <f>VLOOKUP([jobnumber],OvalData[],MATCH(Table2[[#Headers],[slatlength]],Table2[#Headers],0),0)</f>
        <v xml:space="preserve"> 18 ft.- 5 7/ 8"</v>
      </c>
      <c r="AP108" s="2">
        <f>VLOOKUP([jobnumber],OvalData[],MATCH(Table2[[#Headers],[Bottom Slat Length]],Table2[#Headers],0),0)</f>
        <v>0</v>
      </c>
      <c r="AQ108" s="2">
        <f>VLOOKUP([jobnumber],OvalData[],MATCH(Table2[[#Headers],[Number of Perferated Slats]],Table2[#Headers],0),0)</f>
        <v>0</v>
      </c>
      <c r="AR108" s="2">
        <f>VLOOKUP([jobnumber],OvalData[],MATCH(Table2[[#Headers],[First Preferated Slat From End]],Table2[#Headers],0),0)</f>
        <v>0</v>
      </c>
      <c r="AS108" s="2">
        <f>VLOOKUP([jobnumber],OvalData[],MATCH(Table2[[#Headers],[First Preferated Slat From Bottom]],Table2[#Headers],0),0)</f>
        <v>0</v>
      </c>
      <c r="AT108" s="2">
        <f>VLOOKUP([jobnumber],OvalData[],MATCH(Table2[[#Headers],[Total Number of Slats]],Table2[#Headers],0),0)</f>
        <v>51</v>
      </c>
      <c r="AU108" s="2">
        <f>VLOOKUP([jobnumber],OvalData[],MATCH(Table2[[#Headers],[Bottom Bar Slope]],Table2[#Headers],0),0)</f>
        <v>0</v>
      </c>
      <c r="AV108" s="2">
        <f>VLOOKUP([jobnumber],OvalData[],MATCH(Table2[[#Headers],[Bottom Bar Weight]],Table2[#Headers],0),0)</f>
        <v>80.5</v>
      </c>
      <c r="AW108" s="2" t="str">
        <f>VLOOKUP([jobnumber],OvalData[],MATCH(Table2[[#Headers],[Outer Spring Gage]],Table2[#Headers],0),0)</f>
        <v>Null</v>
      </c>
      <c r="AX108" s="2" t="str">
        <f>VLOOKUP([jobnumber],OvalData[],MATCH(Table2[[#Headers],[Outer Spring OD]],Table2[#Headers],0),0)</f>
        <v>Null</v>
      </c>
      <c r="AY108" s="2" t="str">
        <f>VLOOKUP([jobnumber],OvalData[],MATCH(Table2[[#Headers],[Outer Spring Length]],Table2[#Headers],0),0)</f>
        <v>Null</v>
      </c>
      <c r="AZ108" s="2" t="str">
        <f>VLOOKUP([jobnumber],OvalData[],MATCH(Table2[[#Headers],[Outer Spring Stretch]],Table2[#Headers],0),0)</f>
        <v>Null</v>
      </c>
      <c r="BA108" s="2" t="str">
        <f>VLOOKUP([jobnumber],OvalData[],MATCH(Table2[[#Headers],[Outer Spring Torque]],Table2[#Headers],0),0)</f>
        <v>Null</v>
      </c>
      <c r="BB108" s="2" t="str">
        <f>VLOOKUP([jobnumber],OvalData[],MATCH(Table2[[#Headers],[Outer Spring Max Turns]],Table2[#Headers],0),0)</f>
        <v>Null</v>
      </c>
      <c r="BC108" s="2" t="str">
        <f>VLOOKUP([jobnumber],OvalData[],MATCH(Table2[[#Headers],[Outer Spring Weight]],Table2[#Headers],0),0)</f>
        <v>Null</v>
      </c>
      <c r="BD108" s="2" t="str">
        <f>VLOOKUP([jobnumber],OvalData[],MATCH(Table2[[#Headers],[Inner Spring Gage]],Table2[#Headers],0),0)</f>
        <v>Null</v>
      </c>
      <c r="BE108" s="2" t="str">
        <f>VLOOKUP([jobnumber],OvalData[],MATCH(Table2[[#Headers],[Inner Spring OD]],Table2[#Headers],0),0)</f>
        <v>Null</v>
      </c>
      <c r="BF108" s="2" t="str">
        <f>VLOOKUP([jobnumber],OvalData[],MATCH(Table2[[#Headers],[Inner Spring Length]],Table2[#Headers],0),0)</f>
        <v>Null</v>
      </c>
      <c r="BG108" s="2" t="str">
        <f>VLOOKUP([jobnumber],OvalData[],MATCH(Table2[[#Headers],[Inner Spring Stretch]],Table2[#Headers],0),0)</f>
        <v>Null</v>
      </c>
      <c r="BH108" s="2" t="str">
        <f>VLOOKUP([jobnumber],OvalData[],MATCH(Table2[[#Headers],[Inner Spring Torque]],Table2[#Headers],0),0)</f>
        <v>Null</v>
      </c>
      <c r="BI108" s="2" t="str">
        <f>VLOOKUP([jobnumber],OvalData[],MATCH(Table2[[#Headers],[Inner Spring Max Turns]],Table2[#Headers],0),0)</f>
        <v>Null</v>
      </c>
      <c r="BJ108" s="2" t="str">
        <f>VLOOKUP([jobnumber],OvalData[],MATCH(Table2[[#Headers],[Inner Spring Weight]],Table2[#Headers],0),0)</f>
        <v>Null</v>
      </c>
      <c r="BK108" s="2">
        <f>VLOOKUP([jobnumber],OvalData[],MATCH(Table2[[#Headers],[Cycles]],Table2[#Headers],0),0)</f>
        <v>0</v>
      </c>
      <c r="BL108" s="2">
        <f>VLOOKUP([jobnumber],OvalData[],MATCH(Table2[[#Headers],[Total Spring Torque]],Table2[#Headers],0),0)</f>
        <v>0</v>
      </c>
      <c r="BM108" s="2">
        <f>VLOOKUP([jobnumber],OvalData[],MATCH(Table2[[#Headers],[Total Spring Weight]],Table2[#Headers],0),0)</f>
        <v>0</v>
      </c>
      <c r="BN108" s="2">
        <f>VLOOKUP([jobnumber],OvalData[],MATCH(Table2[[#Headers],[Pipe Weight]],Table2[#Headers],0),0)</f>
        <v>688.24239999999998</v>
      </c>
      <c r="BO108" s="2">
        <f>VLOOKUP([jobnumber],OvalData[],MATCH(Table2[[#Headers],[Max Pipe Deflection]],Table2[#Headers],0),0)</f>
        <v>2309</v>
      </c>
      <c r="BP108" s="2">
        <f>VLOOKUP([jobnumber],OvalData[],MATCH(Table2[[#Headers],[Number Non-Insulated Wrap Slats]],Table2[#Headers],0),0)</f>
        <v>0</v>
      </c>
      <c r="BQ108" s="2">
        <f>VLOOKUP([jobnumber],OvalData[],MATCH(Table2[[#Headers],[Number of Insolated Top Slats]],Table2[#Headers],0),0)</f>
        <v>45</v>
      </c>
      <c r="BR108" s="2">
        <f>VLOOKUP([jobnumber],OvalData[],MATCH(Table2[[#Headers],[Insolated Total Slats]],Table2[#Headers],0),0)</f>
        <v>45</v>
      </c>
      <c r="BS108" s="2">
        <f>VLOOKUP([jobnumber],OvalData[],MATCH(Table2[[#Headers],[Number of Slats]],Table2[#Headers],0),0)</f>
        <v>44.69</v>
      </c>
      <c r="BT108" s="2">
        <f>VLOOKUP([jobnumber],OvalData[],MATCH(Table2[[#Headers],[Wrap]],Table2[#Headers],0),0)</f>
        <v>0</v>
      </c>
      <c r="BU108" s="2">
        <f>VLOOKUP([jobnumber],OvalData[],MATCH(Table2[[#Headers],[Wall Angle Thickness]],Table2[#Headers],0),0)</f>
        <v>0</v>
      </c>
      <c r="BV108" s="2">
        <f>VLOOKUP([jobnumber],OvalData[],MATCH(Table2[[#Headers],[windlocks]],Table2[#Headers],0),0)</f>
        <v>0</v>
      </c>
      <c r="BW108" s="2" t="str">
        <f>VLOOKUP([jobnumber],OvalData[],MATCH(Table2[[#Headers],[bottombartype]],Table2[#Headers],0),0)</f>
        <v>SPECIAL</v>
      </c>
      <c r="BX108" s="2">
        <f>VLOOKUP([jobnumber],OvalData[],MATCH(Table2[[#Headers],[endlockweight]],Table2[#Headers],0),0)</f>
        <v>0.17</v>
      </c>
      <c r="BY108" s="2">
        <f>VLOOKUP([jobnumber],OvalData[],MATCH(Table2[[#Headers],[Endlock Total Weight]],Table2[#Headers],0),0)</f>
        <v>7.5972999999999997</v>
      </c>
      <c r="BZ108" s="2">
        <f>VLOOKUP([jobnumber],OvalData[],MATCH(Table2[[#Headers],[Grille Weight]],Table2[#Headers],0),0)</f>
        <v>0</v>
      </c>
      <c r="CA108" s="2">
        <f>VLOOKUP([jobnumber],OvalData[],MATCH(Table2[[#Headers],[barrelrings]],Table2[#Headers],0),0)</f>
        <v>1</v>
      </c>
    </row>
    <row r="109" spans="2:79">
      <c r="B109" s="2" t="str">
        <f>VLOOKUP([jobnumber],OvalData[],MATCH(Table2[[#Headers],[Hand]],Table2[#Headers],0),0)</f>
        <v>RH</v>
      </c>
      <c r="C109" s="2" t="str">
        <f>VLOOKUP([jobnumber],OvalData[],MATCH(Table2[[#Headers],[Model]],Table2[#Headers],0),0)</f>
        <v>SFMPP</v>
      </c>
      <c r="D109" s="2" t="str">
        <f>VLOOKUP([jobnumber],OvalData[],MATCH(Table2[[#Headers],[width]],Table2[#Headers],0),0)</f>
        <v xml:space="preserve"> 18 ft.- 2"</v>
      </c>
      <c r="E109" s="2" t="str">
        <f>VLOOKUP([jobnumber],OvalData[],MATCH(Table2[[#Headers],[stopheight]],Table2[#Headers],0),0)</f>
        <v xml:space="preserve"> 10 ft.- 0"</v>
      </c>
      <c r="F109" s="2" t="str">
        <f>VLOOKUP([jobnumber],OvalData[],MATCH(Table2[[#Headers],[Between Brackets]],Table2[#Headers],0),0)</f>
        <v xml:space="preserve"> 18 ft.- 7 7/ 8"</v>
      </c>
      <c r="G109" s="2" t="str">
        <f>VLOOKUP([jobnumber],OvalData[],MATCH(Table2[[#Headers],[shell]],Table2[#Headers],0),0)</f>
        <v>6 INCH TUBE</v>
      </c>
      <c r="H109" s="2" t="str">
        <f>VLOOKUP([jobnumber],OvalData[],MATCH(Table2[[#Headers],[pipewidth]],Table2[#Headers],0),0)</f>
        <v xml:space="preserve"> 18 ft.- 1 3/ 8"</v>
      </c>
      <c r="I109" s="2">
        <f>VLOOKUP([jobnumber],OvalData[],MATCH(Table2[[#Headers],[Support Tubes]],Table2[#Headers],0),0)</f>
        <v>0</v>
      </c>
      <c r="J109" s="2">
        <f>VLOOKUP([jobnumber],OvalData[],MATCH(Table2[[#Headers],[Upset]],Table2[#Headers],0),0)</f>
        <v>2</v>
      </c>
      <c r="K109" s="2" t="str">
        <f>VLOOKUP([jobnumber],OvalData[],MATCH(Table2[[#Headers],[Guide Type]],Table2[#Headers],0),0)</f>
        <v>SN2-4 5/8-E</v>
      </c>
      <c r="L109" s="2" t="str">
        <f>VLOOKUP([jobnumber],OvalData[],MATCH(Table2[[#Headers],[Wall Angle]],Table2[#Headers],0),0)</f>
        <v xml:space="preserve"> 11 ft.- 8"</v>
      </c>
      <c r="M109" s="2" t="str">
        <f>VLOOKUP([jobnumber],OvalData[],MATCH(Table2[[#Headers],[Middle Angle]],Table2[#Headers],0),0)</f>
        <v xml:space="preserve"> 10 ft.- 4 1/ 2"</v>
      </c>
      <c r="N109" s="2" t="str">
        <f>VLOOKUP([jobnumber],OvalData[],MATCH(Table2[[#Headers],[Front Angle]],Table2[#Headers],0),0)</f>
        <v xml:space="preserve"> 10 ft.- 3"</v>
      </c>
      <c r="O109" s="2">
        <f>VLOOKUP([jobnumber],OvalData[],MATCH(Table2[[#Headers],[Pipe Center Line]],Table2[#Headers],0),0)</f>
        <v>131</v>
      </c>
      <c r="P109" s="2">
        <f>VLOOKUP([jobnumber],OvalData[],MATCH(Table2[[#Headers],[Heat Expansion Gap]],Table2[#Headers],0),0)</f>
        <v>0</v>
      </c>
      <c r="Q109" s="2">
        <f>VLOOKUP([jobnumber],OvalData[],MATCH(Table2[[#Headers],[Hanging Weight Closed]],Table2[#Headers],0),0)</f>
        <v>795</v>
      </c>
      <c r="R109" s="2">
        <f>VLOOKUP([jobnumber],OvalData[],MATCH(Table2[[#Headers],[Hanging Weight Open]],Table2[#Headers],0),0)</f>
        <v>140</v>
      </c>
      <c r="S109" s="2">
        <f>VLOOKUP([jobnumber],OvalData[],MATCH(Table2[[#Headers],[Initial Lever Arm]],Table2[#Headers],0),0)</f>
        <v>4.25</v>
      </c>
      <c r="T109" s="2">
        <f>VLOOKUP([jobnumber],OvalData[],MATCH(Table2[[#Headers],[Turns to Raise]],Table2[#Headers],0),0)</f>
        <v>3.5859999999999999</v>
      </c>
      <c r="U109" s="2">
        <f>VLOOKUP([jobnumber],OvalData[],MATCH(Table2[[#Headers],[Final Lever Arm]],Table2[#Headers],0),0)</f>
        <v>6.37</v>
      </c>
      <c r="V109" s="2">
        <f>VLOOKUP([jobnumber],OvalData[],MATCH(Table2[[#Headers],[Torque Required Closed]],Table2[#Headers],0),0)</f>
        <v>3377.9</v>
      </c>
      <c r="W109" s="2">
        <f>VLOOKUP([jobnumber],OvalData[],MATCH(Table2[[#Headers],[Torque Required Open]],Table2[#Headers],0),0)</f>
        <v>892</v>
      </c>
      <c r="X109" s="2">
        <f>VLOOKUP([jobnumber],OvalData[],MATCH(Table2[[#Headers],[Pre Turns]],Table2[#Headers],0),0)</f>
        <v>1.3332999999999999</v>
      </c>
      <c r="Y109" s="2">
        <f>VLOOKUP([jobnumber],OvalData[],MATCH(Table2[[#Headers],[Required Torque Per Turn]],Table2[#Headers],0),0)</f>
        <v>688</v>
      </c>
      <c r="Z109" s="2">
        <f>VLOOKUP([jobnumber],OvalData[],MATCH(Table2[[#Headers],[Total Turns]],Table2[#Headers],0),0)</f>
        <v>4.91</v>
      </c>
      <c r="AA109" s="2">
        <f>VLOOKUP([jobnumber],OvalData[],MATCH(Table2[[#Headers],[Grille Vision Section]],Table2[#Headers],0),0)</f>
        <v>0</v>
      </c>
      <c r="AB109" s="2">
        <f>VLOOKUP([jobnumber],OvalData[],MATCH(Table2[[#Headers],[Grille Amount]],Table2[#Headers],0),0)</f>
        <v>0</v>
      </c>
      <c r="AC109" s="2">
        <f>VLOOKUP([jobnumber],OvalData[],MATCH(Table2[[#Headers],[Grille Center]],Table2[#Headers],0),0)</f>
        <v>0</v>
      </c>
      <c r="AD109" s="2">
        <f>VLOOKUP([jobnumber],OvalData[],MATCH(Table2[[#Headers],[Grille Pattern]],Table2[#Headers],0),0)</f>
        <v>0</v>
      </c>
      <c r="AE109" s="2">
        <f>VLOOKUP([jobnumber],OvalData[],MATCH(Table2[[#Headers],[Grille First Tube]],Table2[#Headers],0),0)</f>
        <v>0</v>
      </c>
      <c r="AF109" s="2">
        <f>VLOOKUP([jobnumber],OvalData[],MATCH(Table2[[#Headers],[Grille Standard Tube]],Table2[#Headers],0),0)</f>
        <v>0</v>
      </c>
      <c r="AG109" s="2">
        <f>VLOOKUP([jobnumber],OvalData[],MATCH(Table2[[#Headers],[Grille Total Links]],Table2[#Headers],0),0)</f>
        <v>0</v>
      </c>
      <c r="AH109" s="2">
        <f>VLOOKUP([jobnumber],OvalData[],MATCH(Table2[[#Headers],[Grille Rods]],Table2[#Headers],0),0)</f>
        <v>0</v>
      </c>
      <c r="AI109" s="2">
        <f>VLOOKUP([jobnumber],OvalData[],MATCH(Table2[[#Headers],[Grille Rod Length]],Table2[#Headers],0),0)</f>
        <v>0</v>
      </c>
      <c r="AJ109" s="2">
        <f>VLOOKUP([jobnumber],OvalData[],MATCH(Table2[[#Headers],[slattype]],Table2[#Headers],0),0)</f>
        <v>2</v>
      </c>
      <c r="AK109" s="2">
        <f>VLOOKUP([jobnumber],OvalData[],MATCH(Table2[[#Headers],[slatgage]],Table2[#Headers],0),0)</f>
        <v>18</v>
      </c>
      <c r="AL109" s="2">
        <f>VLOOKUP([jobnumber],OvalData[],MATCH(Table2[[#Headers],[Numer of Top Slats]],Table2[#Headers],0),0)</f>
        <v>0</v>
      </c>
      <c r="AM109" s="2">
        <f>VLOOKUP([jobnumber],OvalData[],MATCH(Table2[[#Headers],[Number of Bottom Slats]],Table2[#Headers],0),0)</f>
        <v>0</v>
      </c>
      <c r="AN109" s="2">
        <f>VLOOKUP([jobnumber],OvalData[],MATCH(Table2[[#Headers],[Solid Bottom Height]],Table2[#Headers],0),0)</f>
        <v>0</v>
      </c>
      <c r="AO109" s="2" t="str">
        <f>VLOOKUP([jobnumber],OvalData[],MATCH(Table2[[#Headers],[slatlength]],Table2[#Headers],0),0)</f>
        <v xml:space="preserve"> 18 ft.- 5 7/ 8"</v>
      </c>
      <c r="AP109" s="2">
        <f>VLOOKUP([jobnumber],OvalData[],MATCH(Table2[[#Headers],[Bottom Slat Length]],Table2[#Headers],0),0)</f>
        <v>0</v>
      </c>
      <c r="AQ109" s="2">
        <f>VLOOKUP([jobnumber],OvalData[],MATCH(Table2[[#Headers],[Number of Perferated Slats]],Table2[#Headers],0),0)</f>
        <v>0</v>
      </c>
      <c r="AR109" s="2">
        <f>VLOOKUP([jobnumber],OvalData[],MATCH(Table2[[#Headers],[First Preferated Slat From End]],Table2[#Headers],0),0)</f>
        <v>0</v>
      </c>
      <c r="AS109" s="2">
        <f>VLOOKUP([jobnumber],OvalData[],MATCH(Table2[[#Headers],[First Preferated Slat From Bottom]],Table2[#Headers],0),0)</f>
        <v>0</v>
      </c>
      <c r="AT109" s="2">
        <f>VLOOKUP([jobnumber],OvalData[],MATCH(Table2[[#Headers],[Total Number of Slats]],Table2[#Headers],0),0)</f>
        <v>51</v>
      </c>
      <c r="AU109" s="2">
        <f>VLOOKUP([jobnumber],OvalData[],MATCH(Table2[[#Headers],[Bottom Bar Slope]],Table2[#Headers],0),0)</f>
        <v>0</v>
      </c>
      <c r="AV109" s="2">
        <f>VLOOKUP([jobnumber],OvalData[],MATCH(Table2[[#Headers],[Bottom Bar Weight]],Table2[#Headers],0),0)</f>
        <v>80.5</v>
      </c>
      <c r="AW109" s="2" t="str">
        <f>VLOOKUP([jobnumber],OvalData[],MATCH(Table2[[#Headers],[Outer Spring Gage]],Table2[#Headers],0),0)</f>
        <v>Null</v>
      </c>
      <c r="AX109" s="2" t="str">
        <f>VLOOKUP([jobnumber],OvalData[],MATCH(Table2[[#Headers],[Outer Spring OD]],Table2[#Headers],0),0)</f>
        <v>Null</v>
      </c>
      <c r="AY109" s="2" t="str">
        <f>VLOOKUP([jobnumber],OvalData[],MATCH(Table2[[#Headers],[Outer Spring Length]],Table2[#Headers],0),0)</f>
        <v>Null</v>
      </c>
      <c r="AZ109" s="2" t="str">
        <f>VLOOKUP([jobnumber],OvalData[],MATCH(Table2[[#Headers],[Outer Spring Stretch]],Table2[#Headers],0),0)</f>
        <v>Null</v>
      </c>
      <c r="BA109" s="2" t="str">
        <f>VLOOKUP([jobnumber],OvalData[],MATCH(Table2[[#Headers],[Outer Spring Torque]],Table2[#Headers],0),0)</f>
        <v>Null</v>
      </c>
      <c r="BB109" s="2" t="str">
        <f>VLOOKUP([jobnumber],OvalData[],MATCH(Table2[[#Headers],[Outer Spring Max Turns]],Table2[#Headers],0),0)</f>
        <v>Null</v>
      </c>
      <c r="BC109" s="2" t="str">
        <f>VLOOKUP([jobnumber],OvalData[],MATCH(Table2[[#Headers],[Outer Spring Weight]],Table2[#Headers],0),0)</f>
        <v>Null</v>
      </c>
      <c r="BD109" s="2" t="str">
        <f>VLOOKUP([jobnumber],OvalData[],MATCH(Table2[[#Headers],[Inner Spring Gage]],Table2[#Headers],0),0)</f>
        <v>Null</v>
      </c>
      <c r="BE109" s="2" t="str">
        <f>VLOOKUP([jobnumber],OvalData[],MATCH(Table2[[#Headers],[Inner Spring OD]],Table2[#Headers],0),0)</f>
        <v>Null</v>
      </c>
      <c r="BF109" s="2" t="str">
        <f>VLOOKUP([jobnumber],OvalData[],MATCH(Table2[[#Headers],[Inner Spring Length]],Table2[#Headers],0),0)</f>
        <v>Null</v>
      </c>
      <c r="BG109" s="2" t="str">
        <f>VLOOKUP([jobnumber],OvalData[],MATCH(Table2[[#Headers],[Inner Spring Stretch]],Table2[#Headers],0),0)</f>
        <v>Null</v>
      </c>
      <c r="BH109" s="2" t="str">
        <f>VLOOKUP([jobnumber],OvalData[],MATCH(Table2[[#Headers],[Inner Spring Torque]],Table2[#Headers],0),0)</f>
        <v>Null</v>
      </c>
      <c r="BI109" s="2" t="str">
        <f>VLOOKUP([jobnumber],OvalData[],MATCH(Table2[[#Headers],[Inner Spring Max Turns]],Table2[#Headers],0),0)</f>
        <v>Null</v>
      </c>
      <c r="BJ109" s="2" t="str">
        <f>VLOOKUP([jobnumber],OvalData[],MATCH(Table2[[#Headers],[Inner Spring Weight]],Table2[#Headers],0),0)</f>
        <v>Null</v>
      </c>
      <c r="BK109" s="2">
        <f>VLOOKUP([jobnumber],OvalData[],MATCH(Table2[[#Headers],[Cycles]],Table2[#Headers],0),0)</f>
        <v>0</v>
      </c>
      <c r="BL109" s="2">
        <f>VLOOKUP([jobnumber],OvalData[],MATCH(Table2[[#Headers],[Total Spring Torque]],Table2[#Headers],0),0)</f>
        <v>0</v>
      </c>
      <c r="BM109" s="2">
        <f>VLOOKUP([jobnumber],OvalData[],MATCH(Table2[[#Headers],[Total Spring Weight]],Table2[#Headers],0),0)</f>
        <v>0</v>
      </c>
      <c r="BN109" s="2">
        <f>VLOOKUP([jobnumber],OvalData[],MATCH(Table2[[#Headers],[Pipe Weight]],Table2[#Headers],0),0)</f>
        <v>688.24239999999998</v>
      </c>
      <c r="BO109" s="2">
        <f>VLOOKUP([jobnumber],OvalData[],MATCH(Table2[[#Headers],[Max Pipe Deflection]],Table2[#Headers],0),0)</f>
        <v>2309</v>
      </c>
      <c r="BP109" s="2">
        <f>VLOOKUP([jobnumber],OvalData[],MATCH(Table2[[#Headers],[Number Non-Insulated Wrap Slats]],Table2[#Headers],0),0)</f>
        <v>0</v>
      </c>
      <c r="BQ109" s="2">
        <f>VLOOKUP([jobnumber],OvalData[],MATCH(Table2[[#Headers],[Number of Insolated Top Slats]],Table2[#Headers],0),0)</f>
        <v>45</v>
      </c>
      <c r="BR109" s="2">
        <f>VLOOKUP([jobnumber],OvalData[],MATCH(Table2[[#Headers],[Insolated Total Slats]],Table2[#Headers],0),0)</f>
        <v>45</v>
      </c>
      <c r="BS109" s="2">
        <f>VLOOKUP([jobnumber],OvalData[],MATCH(Table2[[#Headers],[Number of Slats]],Table2[#Headers],0),0)</f>
        <v>44.69</v>
      </c>
      <c r="BT109" s="2">
        <f>VLOOKUP([jobnumber],OvalData[],MATCH(Table2[[#Headers],[Wrap]],Table2[#Headers],0),0)</f>
        <v>0</v>
      </c>
      <c r="BU109" s="2">
        <f>VLOOKUP([jobnumber],OvalData[],MATCH(Table2[[#Headers],[Wall Angle Thickness]],Table2[#Headers],0),0)</f>
        <v>0</v>
      </c>
      <c r="BV109" s="2">
        <f>VLOOKUP([jobnumber],OvalData[],MATCH(Table2[[#Headers],[windlocks]],Table2[#Headers],0),0)</f>
        <v>0</v>
      </c>
      <c r="BW109" s="2" t="str">
        <f>VLOOKUP([jobnumber],OvalData[],MATCH(Table2[[#Headers],[bottombartype]],Table2[#Headers],0),0)</f>
        <v>SPECIAL</v>
      </c>
      <c r="BX109" s="2">
        <f>VLOOKUP([jobnumber],OvalData[],MATCH(Table2[[#Headers],[endlockweight]],Table2[#Headers],0),0)</f>
        <v>0.17</v>
      </c>
      <c r="BY109" s="2">
        <f>VLOOKUP([jobnumber],OvalData[],MATCH(Table2[[#Headers],[Endlock Total Weight]],Table2[#Headers],0),0)</f>
        <v>7.5972999999999997</v>
      </c>
      <c r="BZ109" s="2">
        <f>VLOOKUP([jobnumber],OvalData[],MATCH(Table2[[#Headers],[Grille Weight]],Table2[#Headers],0),0)</f>
        <v>0</v>
      </c>
      <c r="CA109" s="2">
        <f>VLOOKUP([jobnumber],OvalData[],MATCH(Table2[[#Headers],[barrelrings]],Table2[#Headers],0),0)</f>
        <v>1</v>
      </c>
    </row>
    <row r="110" spans="2:79">
      <c r="B110" s="2" t="str">
        <f>VLOOKUP([jobnumber],OvalData[],MATCH(Table2[[#Headers],[Hand]],Table2[#Headers],0),0)</f>
        <v>RH</v>
      </c>
      <c r="C110" s="2" t="str">
        <f>VLOOKUP([jobnumber],OvalData[],MATCH(Table2[[#Headers],[Model]],Table2[#Headers],0),0)</f>
        <v>SFMPP</v>
      </c>
      <c r="D110" s="2" t="str">
        <f>VLOOKUP([jobnumber],OvalData[],MATCH(Table2[[#Headers],[width]],Table2[#Headers],0),0)</f>
        <v xml:space="preserve"> 18 ft.- 2"</v>
      </c>
      <c r="E110" s="2" t="str">
        <f>VLOOKUP([jobnumber],OvalData[],MATCH(Table2[[#Headers],[stopheight]],Table2[#Headers],0),0)</f>
        <v xml:space="preserve"> 10 ft.- 0"</v>
      </c>
      <c r="F110" s="2" t="str">
        <f>VLOOKUP([jobnumber],OvalData[],MATCH(Table2[[#Headers],[Between Brackets]],Table2[#Headers],0),0)</f>
        <v xml:space="preserve"> 18 ft.- 7 7/ 8"</v>
      </c>
      <c r="G110" s="2" t="str">
        <f>VLOOKUP([jobnumber],OvalData[],MATCH(Table2[[#Headers],[shell]],Table2[#Headers],0),0)</f>
        <v>6 INCH TUBE</v>
      </c>
      <c r="H110" s="2" t="str">
        <f>VLOOKUP([jobnumber],OvalData[],MATCH(Table2[[#Headers],[pipewidth]],Table2[#Headers],0),0)</f>
        <v xml:space="preserve"> 18 ft.- 1 3/ 8"</v>
      </c>
      <c r="I110" s="2">
        <f>VLOOKUP([jobnumber],OvalData[],MATCH(Table2[[#Headers],[Support Tubes]],Table2[#Headers],0),0)</f>
        <v>0</v>
      </c>
      <c r="J110" s="2">
        <f>VLOOKUP([jobnumber],OvalData[],MATCH(Table2[[#Headers],[Upset]],Table2[#Headers],0),0)</f>
        <v>2</v>
      </c>
      <c r="K110" s="2" t="str">
        <f>VLOOKUP([jobnumber],OvalData[],MATCH(Table2[[#Headers],[Guide Type]],Table2[#Headers],0),0)</f>
        <v>SN2-4 5/8-E</v>
      </c>
      <c r="L110" s="2" t="str">
        <f>VLOOKUP([jobnumber],OvalData[],MATCH(Table2[[#Headers],[Wall Angle]],Table2[#Headers],0),0)</f>
        <v xml:space="preserve"> 11 ft.- 8"</v>
      </c>
      <c r="M110" s="2" t="str">
        <f>VLOOKUP([jobnumber],OvalData[],MATCH(Table2[[#Headers],[Middle Angle]],Table2[#Headers],0),0)</f>
        <v xml:space="preserve"> 10 ft.- 4 1/ 2"</v>
      </c>
      <c r="N110" s="2" t="str">
        <f>VLOOKUP([jobnumber],OvalData[],MATCH(Table2[[#Headers],[Front Angle]],Table2[#Headers],0),0)</f>
        <v xml:space="preserve"> 10 ft.- 3"</v>
      </c>
      <c r="O110" s="2">
        <f>VLOOKUP([jobnumber],OvalData[],MATCH(Table2[[#Headers],[Pipe Center Line]],Table2[#Headers],0),0)</f>
        <v>131</v>
      </c>
      <c r="P110" s="2">
        <f>VLOOKUP([jobnumber],OvalData[],MATCH(Table2[[#Headers],[Heat Expansion Gap]],Table2[#Headers],0),0)</f>
        <v>0</v>
      </c>
      <c r="Q110" s="2">
        <f>VLOOKUP([jobnumber],OvalData[],MATCH(Table2[[#Headers],[Hanging Weight Closed]],Table2[#Headers],0),0)</f>
        <v>795</v>
      </c>
      <c r="R110" s="2">
        <f>VLOOKUP([jobnumber],OvalData[],MATCH(Table2[[#Headers],[Hanging Weight Open]],Table2[#Headers],0),0)</f>
        <v>140</v>
      </c>
      <c r="S110" s="2">
        <f>VLOOKUP([jobnumber],OvalData[],MATCH(Table2[[#Headers],[Initial Lever Arm]],Table2[#Headers],0),0)</f>
        <v>4.25</v>
      </c>
      <c r="T110" s="2">
        <f>VLOOKUP([jobnumber],OvalData[],MATCH(Table2[[#Headers],[Turns to Raise]],Table2[#Headers],0),0)</f>
        <v>3.5859999999999999</v>
      </c>
      <c r="U110" s="2">
        <f>VLOOKUP([jobnumber],OvalData[],MATCH(Table2[[#Headers],[Final Lever Arm]],Table2[#Headers],0),0)</f>
        <v>6.37</v>
      </c>
      <c r="V110" s="2">
        <f>VLOOKUP([jobnumber],OvalData[],MATCH(Table2[[#Headers],[Torque Required Closed]],Table2[#Headers],0),0)</f>
        <v>3377.9</v>
      </c>
      <c r="W110" s="2">
        <f>VLOOKUP([jobnumber],OvalData[],MATCH(Table2[[#Headers],[Torque Required Open]],Table2[#Headers],0),0)</f>
        <v>892</v>
      </c>
      <c r="X110" s="2">
        <f>VLOOKUP([jobnumber],OvalData[],MATCH(Table2[[#Headers],[Pre Turns]],Table2[#Headers],0),0)</f>
        <v>1.3332999999999999</v>
      </c>
      <c r="Y110" s="2">
        <f>VLOOKUP([jobnumber],OvalData[],MATCH(Table2[[#Headers],[Required Torque Per Turn]],Table2[#Headers],0),0)</f>
        <v>688</v>
      </c>
      <c r="Z110" s="2">
        <f>VLOOKUP([jobnumber],OvalData[],MATCH(Table2[[#Headers],[Total Turns]],Table2[#Headers],0),0)</f>
        <v>4.91</v>
      </c>
      <c r="AA110" s="2">
        <f>VLOOKUP([jobnumber],OvalData[],MATCH(Table2[[#Headers],[Grille Vision Section]],Table2[#Headers],0),0)</f>
        <v>0</v>
      </c>
      <c r="AB110" s="2">
        <f>VLOOKUP([jobnumber],OvalData[],MATCH(Table2[[#Headers],[Grille Amount]],Table2[#Headers],0),0)</f>
        <v>0</v>
      </c>
      <c r="AC110" s="2">
        <f>VLOOKUP([jobnumber],OvalData[],MATCH(Table2[[#Headers],[Grille Center]],Table2[#Headers],0),0)</f>
        <v>0</v>
      </c>
      <c r="AD110" s="2">
        <f>VLOOKUP([jobnumber],OvalData[],MATCH(Table2[[#Headers],[Grille Pattern]],Table2[#Headers],0),0)</f>
        <v>0</v>
      </c>
      <c r="AE110" s="2">
        <f>VLOOKUP([jobnumber],OvalData[],MATCH(Table2[[#Headers],[Grille First Tube]],Table2[#Headers],0),0)</f>
        <v>0</v>
      </c>
      <c r="AF110" s="2">
        <f>VLOOKUP([jobnumber],OvalData[],MATCH(Table2[[#Headers],[Grille Standard Tube]],Table2[#Headers],0),0)</f>
        <v>0</v>
      </c>
      <c r="AG110" s="2">
        <f>VLOOKUP([jobnumber],OvalData[],MATCH(Table2[[#Headers],[Grille Total Links]],Table2[#Headers],0),0)</f>
        <v>0</v>
      </c>
      <c r="AH110" s="2">
        <f>VLOOKUP([jobnumber],OvalData[],MATCH(Table2[[#Headers],[Grille Rods]],Table2[#Headers],0),0)</f>
        <v>0</v>
      </c>
      <c r="AI110" s="2">
        <f>VLOOKUP([jobnumber],OvalData[],MATCH(Table2[[#Headers],[Grille Rod Length]],Table2[#Headers],0),0)</f>
        <v>0</v>
      </c>
      <c r="AJ110" s="2">
        <f>VLOOKUP([jobnumber],OvalData[],MATCH(Table2[[#Headers],[slattype]],Table2[#Headers],0),0)</f>
        <v>2</v>
      </c>
      <c r="AK110" s="2">
        <f>VLOOKUP([jobnumber],OvalData[],MATCH(Table2[[#Headers],[slatgage]],Table2[#Headers],0),0)</f>
        <v>18</v>
      </c>
      <c r="AL110" s="2">
        <f>VLOOKUP([jobnumber],OvalData[],MATCH(Table2[[#Headers],[Numer of Top Slats]],Table2[#Headers],0),0)</f>
        <v>0</v>
      </c>
      <c r="AM110" s="2">
        <f>VLOOKUP([jobnumber],OvalData[],MATCH(Table2[[#Headers],[Number of Bottom Slats]],Table2[#Headers],0),0)</f>
        <v>0</v>
      </c>
      <c r="AN110" s="2">
        <f>VLOOKUP([jobnumber],OvalData[],MATCH(Table2[[#Headers],[Solid Bottom Height]],Table2[#Headers],0),0)</f>
        <v>0</v>
      </c>
      <c r="AO110" s="2" t="str">
        <f>VLOOKUP([jobnumber],OvalData[],MATCH(Table2[[#Headers],[slatlength]],Table2[#Headers],0),0)</f>
        <v xml:space="preserve"> 18 ft.- 5 7/ 8"</v>
      </c>
      <c r="AP110" s="2">
        <f>VLOOKUP([jobnumber],OvalData[],MATCH(Table2[[#Headers],[Bottom Slat Length]],Table2[#Headers],0),0)</f>
        <v>0</v>
      </c>
      <c r="AQ110" s="2">
        <f>VLOOKUP([jobnumber],OvalData[],MATCH(Table2[[#Headers],[Number of Perferated Slats]],Table2[#Headers],0),0)</f>
        <v>0</v>
      </c>
      <c r="AR110" s="2">
        <f>VLOOKUP([jobnumber],OvalData[],MATCH(Table2[[#Headers],[First Preferated Slat From End]],Table2[#Headers],0),0)</f>
        <v>0</v>
      </c>
      <c r="AS110" s="2">
        <f>VLOOKUP([jobnumber],OvalData[],MATCH(Table2[[#Headers],[First Preferated Slat From Bottom]],Table2[#Headers],0),0)</f>
        <v>0</v>
      </c>
      <c r="AT110" s="2">
        <f>VLOOKUP([jobnumber],OvalData[],MATCH(Table2[[#Headers],[Total Number of Slats]],Table2[#Headers],0),0)</f>
        <v>51</v>
      </c>
      <c r="AU110" s="2">
        <f>VLOOKUP([jobnumber],OvalData[],MATCH(Table2[[#Headers],[Bottom Bar Slope]],Table2[#Headers],0),0)</f>
        <v>0</v>
      </c>
      <c r="AV110" s="2">
        <f>VLOOKUP([jobnumber],OvalData[],MATCH(Table2[[#Headers],[Bottom Bar Weight]],Table2[#Headers],0),0)</f>
        <v>80.5</v>
      </c>
      <c r="AW110" s="2" t="str">
        <f>VLOOKUP([jobnumber],OvalData[],MATCH(Table2[[#Headers],[Outer Spring Gage]],Table2[#Headers],0),0)</f>
        <v>Null</v>
      </c>
      <c r="AX110" s="2" t="str">
        <f>VLOOKUP([jobnumber],OvalData[],MATCH(Table2[[#Headers],[Outer Spring OD]],Table2[#Headers],0),0)</f>
        <v>Null</v>
      </c>
      <c r="AY110" s="2" t="str">
        <f>VLOOKUP([jobnumber],OvalData[],MATCH(Table2[[#Headers],[Outer Spring Length]],Table2[#Headers],0),0)</f>
        <v>Null</v>
      </c>
      <c r="AZ110" s="2" t="str">
        <f>VLOOKUP([jobnumber],OvalData[],MATCH(Table2[[#Headers],[Outer Spring Stretch]],Table2[#Headers],0),0)</f>
        <v>Null</v>
      </c>
      <c r="BA110" s="2" t="str">
        <f>VLOOKUP([jobnumber],OvalData[],MATCH(Table2[[#Headers],[Outer Spring Torque]],Table2[#Headers],0),0)</f>
        <v>Null</v>
      </c>
      <c r="BB110" s="2" t="str">
        <f>VLOOKUP([jobnumber],OvalData[],MATCH(Table2[[#Headers],[Outer Spring Max Turns]],Table2[#Headers],0),0)</f>
        <v>Null</v>
      </c>
      <c r="BC110" s="2" t="str">
        <f>VLOOKUP([jobnumber],OvalData[],MATCH(Table2[[#Headers],[Outer Spring Weight]],Table2[#Headers],0),0)</f>
        <v>Null</v>
      </c>
      <c r="BD110" s="2" t="str">
        <f>VLOOKUP([jobnumber],OvalData[],MATCH(Table2[[#Headers],[Inner Spring Gage]],Table2[#Headers],0),0)</f>
        <v>Null</v>
      </c>
      <c r="BE110" s="2" t="str">
        <f>VLOOKUP([jobnumber],OvalData[],MATCH(Table2[[#Headers],[Inner Spring OD]],Table2[#Headers],0),0)</f>
        <v>Null</v>
      </c>
      <c r="BF110" s="2" t="str">
        <f>VLOOKUP([jobnumber],OvalData[],MATCH(Table2[[#Headers],[Inner Spring Length]],Table2[#Headers],0),0)</f>
        <v>Null</v>
      </c>
      <c r="BG110" s="2" t="str">
        <f>VLOOKUP([jobnumber],OvalData[],MATCH(Table2[[#Headers],[Inner Spring Stretch]],Table2[#Headers],0),0)</f>
        <v>Null</v>
      </c>
      <c r="BH110" s="2" t="str">
        <f>VLOOKUP([jobnumber],OvalData[],MATCH(Table2[[#Headers],[Inner Spring Torque]],Table2[#Headers],0),0)</f>
        <v>Null</v>
      </c>
      <c r="BI110" s="2" t="str">
        <f>VLOOKUP([jobnumber],OvalData[],MATCH(Table2[[#Headers],[Inner Spring Max Turns]],Table2[#Headers],0),0)</f>
        <v>Null</v>
      </c>
      <c r="BJ110" s="2" t="str">
        <f>VLOOKUP([jobnumber],OvalData[],MATCH(Table2[[#Headers],[Inner Spring Weight]],Table2[#Headers],0),0)</f>
        <v>Null</v>
      </c>
      <c r="BK110" s="2">
        <f>VLOOKUP([jobnumber],OvalData[],MATCH(Table2[[#Headers],[Cycles]],Table2[#Headers],0),0)</f>
        <v>0</v>
      </c>
      <c r="BL110" s="2">
        <f>VLOOKUP([jobnumber],OvalData[],MATCH(Table2[[#Headers],[Total Spring Torque]],Table2[#Headers],0),0)</f>
        <v>0</v>
      </c>
      <c r="BM110" s="2">
        <f>VLOOKUP([jobnumber],OvalData[],MATCH(Table2[[#Headers],[Total Spring Weight]],Table2[#Headers],0),0)</f>
        <v>0</v>
      </c>
      <c r="BN110" s="2">
        <f>VLOOKUP([jobnumber],OvalData[],MATCH(Table2[[#Headers],[Pipe Weight]],Table2[#Headers],0),0)</f>
        <v>688.24239999999998</v>
      </c>
      <c r="BO110" s="2">
        <f>VLOOKUP([jobnumber],OvalData[],MATCH(Table2[[#Headers],[Max Pipe Deflection]],Table2[#Headers],0),0)</f>
        <v>2309</v>
      </c>
      <c r="BP110" s="2">
        <f>VLOOKUP([jobnumber],OvalData[],MATCH(Table2[[#Headers],[Number Non-Insulated Wrap Slats]],Table2[#Headers],0),0)</f>
        <v>0</v>
      </c>
      <c r="BQ110" s="2">
        <f>VLOOKUP([jobnumber],OvalData[],MATCH(Table2[[#Headers],[Number of Insolated Top Slats]],Table2[#Headers],0),0)</f>
        <v>45</v>
      </c>
      <c r="BR110" s="2">
        <f>VLOOKUP([jobnumber],OvalData[],MATCH(Table2[[#Headers],[Insolated Total Slats]],Table2[#Headers],0),0)</f>
        <v>45</v>
      </c>
      <c r="BS110" s="2">
        <f>VLOOKUP([jobnumber],OvalData[],MATCH(Table2[[#Headers],[Number of Slats]],Table2[#Headers],0),0)</f>
        <v>44.69</v>
      </c>
      <c r="BT110" s="2">
        <f>VLOOKUP([jobnumber],OvalData[],MATCH(Table2[[#Headers],[Wrap]],Table2[#Headers],0),0)</f>
        <v>0</v>
      </c>
      <c r="BU110" s="2">
        <f>VLOOKUP([jobnumber],OvalData[],MATCH(Table2[[#Headers],[Wall Angle Thickness]],Table2[#Headers],0),0)</f>
        <v>0</v>
      </c>
      <c r="BV110" s="2">
        <f>VLOOKUP([jobnumber],OvalData[],MATCH(Table2[[#Headers],[windlocks]],Table2[#Headers],0),0)</f>
        <v>0</v>
      </c>
      <c r="BW110" s="2" t="str">
        <f>VLOOKUP([jobnumber],OvalData[],MATCH(Table2[[#Headers],[bottombartype]],Table2[#Headers],0),0)</f>
        <v>SPECIAL</v>
      </c>
      <c r="BX110" s="2">
        <f>VLOOKUP([jobnumber],OvalData[],MATCH(Table2[[#Headers],[endlockweight]],Table2[#Headers],0),0)</f>
        <v>0.17</v>
      </c>
      <c r="BY110" s="2">
        <f>VLOOKUP([jobnumber],OvalData[],MATCH(Table2[[#Headers],[Endlock Total Weight]],Table2[#Headers],0),0)</f>
        <v>7.5972999999999997</v>
      </c>
      <c r="BZ110" s="2">
        <f>VLOOKUP([jobnumber],OvalData[],MATCH(Table2[[#Headers],[Grille Weight]],Table2[#Headers],0),0)</f>
        <v>0</v>
      </c>
      <c r="CA110" s="2">
        <f>VLOOKUP([jobnumber],OvalData[],MATCH(Table2[[#Headers],[barrelrings]],Table2[#Headers],0),0)</f>
        <v>1</v>
      </c>
    </row>
    <row r="111" spans="2:79">
      <c r="B111" s="2" t="str">
        <f>VLOOKUP([jobnumber],OvalData[],MATCH(Table2[[#Headers],[Hand]],Table2[#Headers],0),0)</f>
        <v>RH</v>
      </c>
      <c r="C111" s="2" t="str">
        <f>VLOOKUP([jobnumber],OvalData[],MATCH(Table2[[#Headers],[Model]],Table2[#Headers],0),0)</f>
        <v>SFMPP</v>
      </c>
      <c r="D111" s="2" t="str">
        <f>VLOOKUP([jobnumber],OvalData[],MATCH(Table2[[#Headers],[width]],Table2[#Headers],0),0)</f>
        <v xml:space="preserve"> 18 ft.- 2"</v>
      </c>
      <c r="E111" s="2" t="str">
        <f>VLOOKUP([jobnumber],OvalData[],MATCH(Table2[[#Headers],[stopheight]],Table2[#Headers],0),0)</f>
        <v xml:space="preserve"> 10 ft.- 0"</v>
      </c>
      <c r="F111" s="2" t="str">
        <f>VLOOKUP([jobnumber],OvalData[],MATCH(Table2[[#Headers],[Between Brackets]],Table2[#Headers],0),0)</f>
        <v xml:space="preserve"> 18 ft.- 7 7/ 8"</v>
      </c>
      <c r="G111" s="2" t="str">
        <f>VLOOKUP([jobnumber],OvalData[],MATCH(Table2[[#Headers],[shell]],Table2[#Headers],0),0)</f>
        <v>6 INCH TUBE</v>
      </c>
      <c r="H111" s="2" t="str">
        <f>VLOOKUP([jobnumber],OvalData[],MATCH(Table2[[#Headers],[pipewidth]],Table2[#Headers],0),0)</f>
        <v xml:space="preserve"> 18 ft.- 1 3/ 8"</v>
      </c>
      <c r="I111" s="2">
        <f>VLOOKUP([jobnumber],OvalData[],MATCH(Table2[[#Headers],[Support Tubes]],Table2[#Headers],0),0)</f>
        <v>0</v>
      </c>
      <c r="J111" s="2">
        <f>VLOOKUP([jobnumber],OvalData[],MATCH(Table2[[#Headers],[Upset]],Table2[#Headers],0),0)</f>
        <v>2</v>
      </c>
      <c r="K111" s="2" t="str">
        <f>VLOOKUP([jobnumber],OvalData[],MATCH(Table2[[#Headers],[Guide Type]],Table2[#Headers],0),0)</f>
        <v>SN2-4 5/8-E</v>
      </c>
      <c r="L111" s="2" t="str">
        <f>VLOOKUP([jobnumber],OvalData[],MATCH(Table2[[#Headers],[Wall Angle]],Table2[#Headers],0),0)</f>
        <v xml:space="preserve"> 11 ft.- 8"</v>
      </c>
      <c r="M111" s="2" t="str">
        <f>VLOOKUP([jobnumber],OvalData[],MATCH(Table2[[#Headers],[Middle Angle]],Table2[#Headers],0),0)</f>
        <v xml:space="preserve"> 10 ft.- 4 1/ 2"</v>
      </c>
      <c r="N111" s="2" t="str">
        <f>VLOOKUP([jobnumber],OvalData[],MATCH(Table2[[#Headers],[Front Angle]],Table2[#Headers],0),0)</f>
        <v xml:space="preserve"> 10 ft.- 3"</v>
      </c>
      <c r="O111" s="2">
        <f>VLOOKUP([jobnumber],OvalData[],MATCH(Table2[[#Headers],[Pipe Center Line]],Table2[#Headers],0),0)</f>
        <v>131</v>
      </c>
      <c r="P111" s="2">
        <f>VLOOKUP([jobnumber],OvalData[],MATCH(Table2[[#Headers],[Heat Expansion Gap]],Table2[#Headers],0),0)</f>
        <v>0</v>
      </c>
      <c r="Q111" s="2">
        <f>VLOOKUP([jobnumber],OvalData[],MATCH(Table2[[#Headers],[Hanging Weight Closed]],Table2[#Headers],0),0)</f>
        <v>795</v>
      </c>
      <c r="R111" s="2">
        <f>VLOOKUP([jobnumber],OvalData[],MATCH(Table2[[#Headers],[Hanging Weight Open]],Table2[#Headers],0),0)</f>
        <v>140</v>
      </c>
      <c r="S111" s="2">
        <f>VLOOKUP([jobnumber],OvalData[],MATCH(Table2[[#Headers],[Initial Lever Arm]],Table2[#Headers],0),0)</f>
        <v>4.25</v>
      </c>
      <c r="T111" s="2">
        <f>VLOOKUP([jobnumber],OvalData[],MATCH(Table2[[#Headers],[Turns to Raise]],Table2[#Headers],0),0)</f>
        <v>3.5859999999999999</v>
      </c>
      <c r="U111" s="2">
        <f>VLOOKUP([jobnumber],OvalData[],MATCH(Table2[[#Headers],[Final Lever Arm]],Table2[#Headers],0),0)</f>
        <v>6.37</v>
      </c>
      <c r="V111" s="2">
        <f>VLOOKUP([jobnumber],OvalData[],MATCH(Table2[[#Headers],[Torque Required Closed]],Table2[#Headers],0),0)</f>
        <v>3377.9</v>
      </c>
      <c r="W111" s="2">
        <f>VLOOKUP([jobnumber],OvalData[],MATCH(Table2[[#Headers],[Torque Required Open]],Table2[#Headers],0),0)</f>
        <v>892</v>
      </c>
      <c r="X111" s="2">
        <f>VLOOKUP([jobnumber],OvalData[],MATCH(Table2[[#Headers],[Pre Turns]],Table2[#Headers],0),0)</f>
        <v>1.3332999999999999</v>
      </c>
      <c r="Y111" s="2">
        <f>VLOOKUP([jobnumber],OvalData[],MATCH(Table2[[#Headers],[Required Torque Per Turn]],Table2[#Headers],0),0)</f>
        <v>688</v>
      </c>
      <c r="Z111" s="2">
        <f>VLOOKUP([jobnumber],OvalData[],MATCH(Table2[[#Headers],[Total Turns]],Table2[#Headers],0),0)</f>
        <v>4.91</v>
      </c>
      <c r="AA111" s="2">
        <f>VLOOKUP([jobnumber],OvalData[],MATCH(Table2[[#Headers],[Grille Vision Section]],Table2[#Headers],0),0)</f>
        <v>0</v>
      </c>
      <c r="AB111" s="2">
        <f>VLOOKUP([jobnumber],OvalData[],MATCH(Table2[[#Headers],[Grille Amount]],Table2[#Headers],0),0)</f>
        <v>0</v>
      </c>
      <c r="AC111" s="2">
        <f>VLOOKUP([jobnumber],OvalData[],MATCH(Table2[[#Headers],[Grille Center]],Table2[#Headers],0),0)</f>
        <v>0</v>
      </c>
      <c r="AD111" s="2">
        <f>VLOOKUP([jobnumber],OvalData[],MATCH(Table2[[#Headers],[Grille Pattern]],Table2[#Headers],0),0)</f>
        <v>0</v>
      </c>
      <c r="AE111" s="2">
        <f>VLOOKUP([jobnumber],OvalData[],MATCH(Table2[[#Headers],[Grille First Tube]],Table2[#Headers],0),0)</f>
        <v>0</v>
      </c>
      <c r="AF111" s="2">
        <f>VLOOKUP([jobnumber],OvalData[],MATCH(Table2[[#Headers],[Grille Standard Tube]],Table2[#Headers],0),0)</f>
        <v>0</v>
      </c>
      <c r="AG111" s="2">
        <f>VLOOKUP([jobnumber],OvalData[],MATCH(Table2[[#Headers],[Grille Total Links]],Table2[#Headers],0),0)</f>
        <v>0</v>
      </c>
      <c r="AH111" s="2">
        <f>VLOOKUP([jobnumber],OvalData[],MATCH(Table2[[#Headers],[Grille Rods]],Table2[#Headers],0),0)</f>
        <v>0</v>
      </c>
      <c r="AI111" s="2">
        <f>VLOOKUP([jobnumber],OvalData[],MATCH(Table2[[#Headers],[Grille Rod Length]],Table2[#Headers],0),0)</f>
        <v>0</v>
      </c>
      <c r="AJ111" s="2">
        <f>VLOOKUP([jobnumber],OvalData[],MATCH(Table2[[#Headers],[slattype]],Table2[#Headers],0),0)</f>
        <v>2</v>
      </c>
      <c r="AK111" s="2">
        <f>VLOOKUP([jobnumber],OvalData[],MATCH(Table2[[#Headers],[slatgage]],Table2[#Headers],0),0)</f>
        <v>18</v>
      </c>
      <c r="AL111" s="2">
        <f>VLOOKUP([jobnumber],OvalData[],MATCH(Table2[[#Headers],[Numer of Top Slats]],Table2[#Headers],0),0)</f>
        <v>0</v>
      </c>
      <c r="AM111" s="2">
        <f>VLOOKUP([jobnumber],OvalData[],MATCH(Table2[[#Headers],[Number of Bottom Slats]],Table2[#Headers],0),0)</f>
        <v>0</v>
      </c>
      <c r="AN111" s="2">
        <f>VLOOKUP([jobnumber],OvalData[],MATCH(Table2[[#Headers],[Solid Bottom Height]],Table2[#Headers],0),0)</f>
        <v>0</v>
      </c>
      <c r="AO111" s="2" t="str">
        <f>VLOOKUP([jobnumber],OvalData[],MATCH(Table2[[#Headers],[slatlength]],Table2[#Headers],0),0)</f>
        <v xml:space="preserve"> 18 ft.- 5 7/ 8"</v>
      </c>
      <c r="AP111" s="2">
        <f>VLOOKUP([jobnumber],OvalData[],MATCH(Table2[[#Headers],[Bottom Slat Length]],Table2[#Headers],0),0)</f>
        <v>0</v>
      </c>
      <c r="AQ111" s="2">
        <f>VLOOKUP([jobnumber],OvalData[],MATCH(Table2[[#Headers],[Number of Perferated Slats]],Table2[#Headers],0),0)</f>
        <v>0</v>
      </c>
      <c r="AR111" s="2">
        <f>VLOOKUP([jobnumber],OvalData[],MATCH(Table2[[#Headers],[First Preferated Slat From End]],Table2[#Headers],0),0)</f>
        <v>0</v>
      </c>
      <c r="AS111" s="2">
        <f>VLOOKUP([jobnumber],OvalData[],MATCH(Table2[[#Headers],[First Preferated Slat From Bottom]],Table2[#Headers],0),0)</f>
        <v>0</v>
      </c>
      <c r="AT111" s="2">
        <f>VLOOKUP([jobnumber],OvalData[],MATCH(Table2[[#Headers],[Total Number of Slats]],Table2[#Headers],0),0)</f>
        <v>51</v>
      </c>
      <c r="AU111" s="2">
        <f>VLOOKUP([jobnumber],OvalData[],MATCH(Table2[[#Headers],[Bottom Bar Slope]],Table2[#Headers],0),0)</f>
        <v>0</v>
      </c>
      <c r="AV111" s="2">
        <f>VLOOKUP([jobnumber],OvalData[],MATCH(Table2[[#Headers],[Bottom Bar Weight]],Table2[#Headers],0),0)</f>
        <v>80.5</v>
      </c>
      <c r="AW111" s="2" t="str">
        <f>VLOOKUP([jobnumber],OvalData[],MATCH(Table2[[#Headers],[Outer Spring Gage]],Table2[#Headers],0),0)</f>
        <v>Null</v>
      </c>
      <c r="AX111" s="2" t="str">
        <f>VLOOKUP([jobnumber],OvalData[],MATCH(Table2[[#Headers],[Outer Spring OD]],Table2[#Headers],0),0)</f>
        <v>Null</v>
      </c>
      <c r="AY111" s="2" t="str">
        <f>VLOOKUP([jobnumber],OvalData[],MATCH(Table2[[#Headers],[Outer Spring Length]],Table2[#Headers],0),0)</f>
        <v>Null</v>
      </c>
      <c r="AZ111" s="2" t="str">
        <f>VLOOKUP([jobnumber],OvalData[],MATCH(Table2[[#Headers],[Outer Spring Stretch]],Table2[#Headers],0),0)</f>
        <v>Null</v>
      </c>
      <c r="BA111" s="2" t="str">
        <f>VLOOKUP([jobnumber],OvalData[],MATCH(Table2[[#Headers],[Outer Spring Torque]],Table2[#Headers],0),0)</f>
        <v>Null</v>
      </c>
      <c r="BB111" s="2" t="str">
        <f>VLOOKUP([jobnumber],OvalData[],MATCH(Table2[[#Headers],[Outer Spring Max Turns]],Table2[#Headers],0),0)</f>
        <v>Null</v>
      </c>
      <c r="BC111" s="2" t="str">
        <f>VLOOKUP([jobnumber],OvalData[],MATCH(Table2[[#Headers],[Outer Spring Weight]],Table2[#Headers],0),0)</f>
        <v>Null</v>
      </c>
      <c r="BD111" s="2" t="str">
        <f>VLOOKUP([jobnumber],OvalData[],MATCH(Table2[[#Headers],[Inner Spring Gage]],Table2[#Headers],0),0)</f>
        <v>Null</v>
      </c>
      <c r="BE111" s="2" t="str">
        <f>VLOOKUP([jobnumber],OvalData[],MATCH(Table2[[#Headers],[Inner Spring OD]],Table2[#Headers],0),0)</f>
        <v>Null</v>
      </c>
      <c r="BF111" s="2" t="str">
        <f>VLOOKUP([jobnumber],OvalData[],MATCH(Table2[[#Headers],[Inner Spring Length]],Table2[#Headers],0),0)</f>
        <v>Null</v>
      </c>
      <c r="BG111" s="2" t="str">
        <f>VLOOKUP([jobnumber],OvalData[],MATCH(Table2[[#Headers],[Inner Spring Stretch]],Table2[#Headers],0),0)</f>
        <v>Null</v>
      </c>
      <c r="BH111" s="2" t="str">
        <f>VLOOKUP([jobnumber],OvalData[],MATCH(Table2[[#Headers],[Inner Spring Torque]],Table2[#Headers],0),0)</f>
        <v>Null</v>
      </c>
      <c r="BI111" s="2" t="str">
        <f>VLOOKUP([jobnumber],OvalData[],MATCH(Table2[[#Headers],[Inner Spring Max Turns]],Table2[#Headers],0),0)</f>
        <v>Null</v>
      </c>
      <c r="BJ111" s="2" t="str">
        <f>VLOOKUP([jobnumber],OvalData[],MATCH(Table2[[#Headers],[Inner Spring Weight]],Table2[#Headers],0),0)</f>
        <v>Null</v>
      </c>
      <c r="BK111" s="2">
        <f>VLOOKUP([jobnumber],OvalData[],MATCH(Table2[[#Headers],[Cycles]],Table2[#Headers],0),0)</f>
        <v>0</v>
      </c>
      <c r="BL111" s="2">
        <f>VLOOKUP([jobnumber],OvalData[],MATCH(Table2[[#Headers],[Total Spring Torque]],Table2[#Headers],0),0)</f>
        <v>0</v>
      </c>
      <c r="BM111" s="2">
        <f>VLOOKUP([jobnumber],OvalData[],MATCH(Table2[[#Headers],[Total Spring Weight]],Table2[#Headers],0),0)</f>
        <v>0</v>
      </c>
      <c r="BN111" s="2">
        <f>VLOOKUP([jobnumber],OvalData[],MATCH(Table2[[#Headers],[Pipe Weight]],Table2[#Headers],0),0)</f>
        <v>688.24239999999998</v>
      </c>
      <c r="BO111" s="2">
        <f>VLOOKUP([jobnumber],OvalData[],MATCH(Table2[[#Headers],[Max Pipe Deflection]],Table2[#Headers],0),0)</f>
        <v>2309</v>
      </c>
      <c r="BP111" s="2">
        <f>VLOOKUP([jobnumber],OvalData[],MATCH(Table2[[#Headers],[Number Non-Insulated Wrap Slats]],Table2[#Headers],0),0)</f>
        <v>0</v>
      </c>
      <c r="BQ111" s="2">
        <f>VLOOKUP([jobnumber],OvalData[],MATCH(Table2[[#Headers],[Number of Insolated Top Slats]],Table2[#Headers],0),0)</f>
        <v>45</v>
      </c>
      <c r="BR111" s="2">
        <f>VLOOKUP([jobnumber],OvalData[],MATCH(Table2[[#Headers],[Insolated Total Slats]],Table2[#Headers],0),0)</f>
        <v>45</v>
      </c>
      <c r="BS111" s="2">
        <f>VLOOKUP([jobnumber],OvalData[],MATCH(Table2[[#Headers],[Number of Slats]],Table2[#Headers],0),0)</f>
        <v>44.69</v>
      </c>
      <c r="BT111" s="2">
        <f>VLOOKUP([jobnumber],OvalData[],MATCH(Table2[[#Headers],[Wrap]],Table2[#Headers],0),0)</f>
        <v>0</v>
      </c>
      <c r="BU111" s="2">
        <f>VLOOKUP([jobnumber],OvalData[],MATCH(Table2[[#Headers],[Wall Angle Thickness]],Table2[#Headers],0),0)</f>
        <v>0</v>
      </c>
      <c r="BV111" s="2">
        <f>VLOOKUP([jobnumber],OvalData[],MATCH(Table2[[#Headers],[windlocks]],Table2[#Headers],0),0)</f>
        <v>0</v>
      </c>
      <c r="BW111" s="2" t="str">
        <f>VLOOKUP([jobnumber],OvalData[],MATCH(Table2[[#Headers],[bottombartype]],Table2[#Headers],0),0)</f>
        <v>SPECIAL</v>
      </c>
      <c r="BX111" s="2">
        <f>VLOOKUP([jobnumber],OvalData[],MATCH(Table2[[#Headers],[endlockweight]],Table2[#Headers],0),0)</f>
        <v>0.17</v>
      </c>
      <c r="BY111" s="2">
        <f>VLOOKUP([jobnumber],OvalData[],MATCH(Table2[[#Headers],[Endlock Total Weight]],Table2[#Headers],0),0)</f>
        <v>7.5972999999999997</v>
      </c>
      <c r="BZ111" s="2">
        <f>VLOOKUP([jobnumber],OvalData[],MATCH(Table2[[#Headers],[Grille Weight]],Table2[#Headers],0),0)</f>
        <v>0</v>
      </c>
      <c r="CA111" s="2">
        <f>VLOOKUP([jobnumber],OvalData[],MATCH(Table2[[#Headers],[barrelrings]],Table2[#Headers],0),0)</f>
        <v>1</v>
      </c>
    </row>
    <row r="112" spans="2:79">
      <c r="B112" s="2" t="str">
        <f>VLOOKUP([jobnumber],OvalData[],MATCH(Table2[[#Headers],[Hand]],Table2[#Headers],0),0)</f>
        <v>RH</v>
      </c>
      <c r="C112" s="2" t="str">
        <f>VLOOKUP([jobnumber],OvalData[],MATCH(Table2[[#Headers],[Model]],Table2[#Headers],0),0)</f>
        <v>SFMPP</v>
      </c>
      <c r="D112" s="2" t="str">
        <f>VLOOKUP([jobnumber],OvalData[],MATCH(Table2[[#Headers],[width]],Table2[#Headers],0),0)</f>
        <v xml:space="preserve"> 18 ft.- 2"</v>
      </c>
      <c r="E112" s="2" t="str">
        <f>VLOOKUP([jobnumber],OvalData[],MATCH(Table2[[#Headers],[stopheight]],Table2[#Headers],0),0)</f>
        <v xml:space="preserve"> 10 ft.- 0"</v>
      </c>
      <c r="F112" s="2" t="str">
        <f>VLOOKUP([jobnumber],OvalData[],MATCH(Table2[[#Headers],[Between Brackets]],Table2[#Headers],0),0)</f>
        <v xml:space="preserve"> 18 ft.- 7 7/ 8"</v>
      </c>
      <c r="G112" s="2" t="str">
        <f>VLOOKUP([jobnumber],OvalData[],MATCH(Table2[[#Headers],[shell]],Table2[#Headers],0),0)</f>
        <v>6 INCH TUBE</v>
      </c>
      <c r="H112" s="2" t="str">
        <f>VLOOKUP([jobnumber],OvalData[],MATCH(Table2[[#Headers],[pipewidth]],Table2[#Headers],0),0)</f>
        <v xml:space="preserve"> 18 ft.- 1 3/ 8"</v>
      </c>
      <c r="I112" s="2">
        <f>VLOOKUP([jobnumber],OvalData[],MATCH(Table2[[#Headers],[Support Tubes]],Table2[#Headers],0),0)</f>
        <v>0</v>
      </c>
      <c r="J112" s="2">
        <f>VLOOKUP([jobnumber],OvalData[],MATCH(Table2[[#Headers],[Upset]],Table2[#Headers],0),0)</f>
        <v>2</v>
      </c>
      <c r="K112" s="2" t="str">
        <f>VLOOKUP([jobnumber],OvalData[],MATCH(Table2[[#Headers],[Guide Type]],Table2[#Headers],0),0)</f>
        <v>SN2-4 5/8-E</v>
      </c>
      <c r="L112" s="2" t="str">
        <f>VLOOKUP([jobnumber],OvalData[],MATCH(Table2[[#Headers],[Wall Angle]],Table2[#Headers],0),0)</f>
        <v xml:space="preserve"> 11 ft.- 8"</v>
      </c>
      <c r="M112" s="2" t="str">
        <f>VLOOKUP([jobnumber],OvalData[],MATCH(Table2[[#Headers],[Middle Angle]],Table2[#Headers],0),0)</f>
        <v xml:space="preserve"> 10 ft.- 4 1/ 2"</v>
      </c>
      <c r="N112" s="2" t="str">
        <f>VLOOKUP([jobnumber],OvalData[],MATCH(Table2[[#Headers],[Front Angle]],Table2[#Headers],0),0)</f>
        <v xml:space="preserve"> 10 ft.- 3"</v>
      </c>
      <c r="O112" s="2">
        <f>VLOOKUP([jobnumber],OvalData[],MATCH(Table2[[#Headers],[Pipe Center Line]],Table2[#Headers],0),0)</f>
        <v>131</v>
      </c>
      <c r="P112" s="2">
        <f>VLOOKUP([jobnumber],OvalData[],MATCH(Table2[[#Headers],[Heat Expansion Gap]],Table2[#Headers],0),0)</f>
        <v>0</v>
      </c>
      <c r="Q112" s="2">
        <f>VLOOKUP([jobnumber],OvalData[],MATCH(Table2[[#Headers],[Hanging Weight Closed]],Table2[#Headers],0),0)</f>
        <v>795</v>
      </c>
      <c r="R112" s="2">
        <f>VLOOKUP([jobnumber],OvalData[],MATCH(Table2[[#Headers],[Hanging Weight Open]],Table2[#Headers],0),0)</f>
        <v>140</v>
      </c>
      <c r="S112" s="2">
        <f>VLOOKUP([jobnumber],OvalData[],MATCH(Table2[[#Headers],[Initial Lever Arm]],Table2[#Headers],0),0)</f>
        <v>4.25</v>
      </c>
      <c r="T112" s="2">
        <f>VLOOKUP([jobnumber],OvalData[],MATCH(Table2[[#Headers],[Turns to Raise]],Table2[#Headers],0),0)</f>
        <v>3.5859999999999999</v>
      </c>
      <c r="U112" s="2">
        <f>VLOOKUP([jobnumber],OvalData[],MATCH(Table2[[#Headers],[Final Lever Arm]],Table2[#Headers],0),0)</f>
        <v>6.37</v>
      </c>
      <c r="V112" s="2">
        <f>VLOOKUP([jobnumber],OvalData[],MATCH(Table2[[#Headers],[Torque Required Closed]],Table2[#Headers],0),0)</f>
        <v>3377.9</v>
      </c>
      <c r="W112" s="2">
        <f>VLOOKUP([jobnumber],OvalData[],MATCH(Table2[[#Headers],[Torque Required Open]],Table2[#Headers],0),0)</f>
        <v>892</v>
      </c>
      <c r="X112" s="2">
        <f>VLOOKUP([jobnumber],OvalData[],MATCH(Table2[[#Headers],[Pre Turns]],Table2[#Headers],0),0)</f>
        <v>1.3332999999999999</v>
      </c>
      <c r="Y112" s="2">
        <f>VLOOKUP([jobnumber],OvalData[],MATCH(Table2[[#Headers],[Required Torque Per Turn]],Table2[#Headers],0),0)</f>
        <v>688</v>
      </c>
      <c r="Z112" s="2">
        <f>VLOOKUP([jobnumber],OvalData[],MATCH(Table2[[#Headers],[Total Turns]],Table2[#Headers],0),0)</f>
        <v>4.91</v>
      </c>
      <c r="AA112" s="2">
        <f>VLOOKUP([jobnumber],OvalData[],MATCH(Table2[[#Headers],[Grille Vision Section]],Table2[#Headers],0),0)</f>
        <v>0</v>
      </c>
      <c r="AB112" s="2">
        <f>VLOOKUP([jobnumber],OvalData[],MATCH(Table2[[#Headers],[Grille Amount]],Table2[#Headers],0),0)</f>
        <v>0</v>
      </c>
      <c r="AC112" s="2">
        <f>VLOOKUP([jobnumber],OvalData[],MATCH(Table2[[#Headers],[Grille Center]],Table2[#Headers],0),0)</f>
        <v>0</v>
      </c>
      <c r="AD112" s="2">
        <f>VLOOKUP([jobnumber],OvalData[],MATCH(Table2[[#Headers],[Grille Pattern]],Table2[#Headers],0),0)</f>
        <v>0</v>
      </c>
      <c r="AE112" s="2">
        <f>VLOOKUP([jobnumber],OvalData[],MATCH(Table2[[#Headers],[Grille First Tube]],Table2[#Headers],0),0)</f>
        <v>0</v>
      </c>
      <c r="AF112" s="2">
        <f>VLOOKUP([jobnumber],OvalData[],MATCH(Table2[[#Headers],[Grille Standard Tube]],Table2[#Headers],0),0)</f>
        <v>0</v>
      </c>
      <c r="AG112" s="2">
        <f>VLOOKUP([jobnumber],OvalData[],MATCH(Table2[[#Headers],[Grille Total Links]],Table2[#Headers],0),0)</f>
        <v>0</v>
      </c>
      <c r="AH112" s="2">
        <f>VLOOKUP([jobnumber],OvalData[],MATCH(Table2[[#Headers],[Grille Rods]],Table2[#Headers],0),0)</f>
        <v>0</v>
      </c>
      <c r="AI112" s="2">
        <f>VLOOKUP([jobnumber],OvalData[],MATCH(Table2[[#Headers],[Grille Rod Length]],Table2[#Headers],0),0)</f>
        <v>0</v>
      </c>
      <c r="AJ112" s="2">
        <f>VLOOKUP([jobnumber],OvalData[],MATCH(Table2[[#Headers],[slattype]],Table2[#Headers],0),0)</f>
        <v>2</v>
      </c>
      <c r="AK112" s="2">
        <f>VLOOKUP([jobnumber],OvalData[],MATCH(Table2[[#Headers],[slatgage]],Table2[#Headers],0),0)</f>
        <v>18</v>
      </c>
      <c r="AL112" s="2">
        <f>VLOOKUP([jobnumber],OvalData[],MATCH(Table2[[#Headers],[Numer of Top Slats]],Table2[#Headers],0),0)</f>
        <v>0</v>
      </c>
      <c r="AM112" s="2">
        <f>VLOOKUP([jobnumber],OvalData[],MATCH(Table2[[#Headers],[Number of Bottom Slats]],Table2[#Headers],0),0)</f>
        <v>0</v>
      </c>
      <c r="AN112" s="2">
        <f>VLOOKUP([jobnumber],OvalData[],MATCH(Table2[[#Headers],[Solid Bottom Height]],Table2[#Headers],0),0)</f>
        <v>0</v>
      </c>
      <c r="AO112" s="2" t="str">
        <f>VLOOKUP([jobnumber],OvalData[],MATCH(Table2[[#Headers],[slatlength]],Table2[#Headers],0),0)</f>
        <v xml:space="preserve"> 18 ft.- 5 7/ 8"</v>
      </c>
      <c r="AP112" s="2">
        <f>VLOOKUP([jobnumber],OvalData[],MATCH(Table2[[#Headers],[Bottom Slat Length]],Table2[#Headers],0),0)</f>
        <v>0</v>
      </c>
      <c r="AQ112" s="2">
        <f>VLOOKUP([jobnumber],OvalData[],MATCH(Table2[[#Headers],[Number of Perferated Slats]],Table2[#Headers],0),0)</f>
        <v>0</v>
      </c>
      <c r="AR112" s="2">
        <f>VLOOKUP([jobnumber],OvalData[],MATCH(Table2[[#Headers],[First Preferated Slat From End]],Table2[#Headers],0),0)</f>
        <v>0</v>
      </c>
      <c r="AS112" s="2">
        <f>VLOOKUP([jobnumber],OvalData[],MATCH(Table2[[#Headers],[First Preferated Slat From Bottom]],Table2[#Headers],0),0)</f>
        <v>0</v>
      </c>
      <c r="AT112" s="2">
        <f>VLOOKUP([jobnumber],OvalData[],MATCH(Table2[[#Headers],[Total Number of Slats]],Table2[#Headers],0),0)</f>
        <v>51</v>
      </c>
      <c r="AU112" s="2">
        <f>VLOOKUP([jobnumber],OvalData[],MATCH(Table2[[#Headers],[Bottom Bar Slope]],Table2[#Headers],0),0)</f>
        <v>0</v>
      </c>
      <c r="AV112" s="2">
        <f>VLOOKUP([jobnumber],OvalData[],MATCH(Table2[[#Headers],[Bottom Bar Weight]],Table2[#Headers],0),0)</f>
        <v>80.5</v>
      </c>
      <c r="AW112" s="2" t="str">
        <f>VLOOKUP([jobnumber],OvalData[],MATCH(Table2[[#Headers],[Outer Spring Gage]],Table2[#Headers],0),0)</f>
        <v>Null</v>
      </c>
      <c r="AX112" s="2" t="str">
        <f>VLOOKUP([jobnumber],OvalData[],MATCH(Table2[[#Headers],[Outer Spring OD]],Table2[#Headers],0),0)</f>
        <v>Null</v>
      </c>
      <c r="AY112" s="2" t="str">
        <f>VLOOKUP([jobnumber],OvalData[],MATCH(Table2[[#Headers],[Outer Spring Length]],Table2[#Headers],0),0)</f>
        <v>Null</v>
      </c>
      <c r="AZ112" s="2" t="str">
        <f>VLOOKUP([jobnumber],OvalData[],MATCH(Table2[[#Headers],[Outer Spring Stretch]],Table2[#Headers],0),0)</f>
        <v>Null</v>
      </c>
      <c r="BA112" s="2" t="str">
        <f>VLOOKUP([jobnumber],OvalData[],MATCH(Table2[[#Headers],[Outer Spring Torque]],Table2[#Headers],0),0)</f>
        <v>Null</v>
      </c>
      <c r="BB112" s="2" t="str">
        <f>VLOOKUP([jobnumber],OvalData[],MATCH(Table2[[#Headers],[Outer Spring Max Turns]],Table2[#Headers],0),0)</f>
        <v>Null</v>
      </c>
      <c r="BC112" s="2" t="str">
        <f>VLOOKUP([jobnumber],OvalData[],MATCH(Table2[[#Headers],[Outer Spring Weight]],Table2[#Headers],0),0)</f>
        <v>Null</v>
      </c>
      <c r="BD112" s="2" t="str">
        <f>VLOOKUP([jobnumber],OvalData[],MATCH(Table2[[#Headers],[Inner Spring Gage]],Table2[#Headers],0),0)</f>
        <v>Null</v>
      </c>
      <c r="BE112" s="2" t="str">
        <f>VLOOKUP([jobnumber],OvalData[],MATCH(Table2[[#Headers],[Inner Spring OD]],Table2[#Headers],0),0)</f>
        <v>Null</v>
      </c>
      <c r="BF112" s="2" t="str">
        <f>VLOOKUP([jobnumber],OvalData[],MATCH(Table2[[#Headers],[Inner Spring Length]],Table2[#Headers],0),0)</f>
        <v>Null</v>
      </c>
      <c r="BG112" s="2" t="str">
        <f>VLOOKUP([jobnumber],OvalData[],MATCH(Table2[[#Headers],[Inner Spring Stretch]],Table2[#Headers],0),0)</f>
        <v>Null</v>
      </c>
      <c r="BH112" s="2" t="str">
        <f>VLOOKUP([jobnumber],OvalData[],MATCH(Table2[[#Headers],[Inner Spring Torque]],Table2[#Headers],0),0)</f>
        <v>Null</v>
      </c>
      <c r="BI112" s="2" t="str">
        <f>VLOOKUP([jobnumber],OvalData[],MATCH(Table2[[#Headers],[Inner Spring Max Turns]],Table2[#Headers],0),0)</f>
        <v>Null</v>
      </c>
      <c r="BJ112" s="2" t="str">
        <f>VLOOKUP([jobnumber],OvalData[],MATCH(Table2[[#Headers],[Inner Spring Weight]],Table2[#Headers],0),0)</f>
        <v>Null</v>
      </c>
      <c r="BK112" s="2">
        <f>VLOOKUP([jobnumber],OvalData[],MATCH(Table2[[#Headers],[Cycles]],Table2[#Headers],0),0)</f>
        <v>0</v>
      </c>
      <c r="BL112" s="2">
        <f>VLOOKUP([jobnumber],OvalData[],MATCH(Table2[[#Headers],[Total Spring Torque]],Table2[#Headers],0),0)</f>
        <v>0</v>
      </c>
      <c r="BM112" s="2">
        <f>VLOOKUP([jobnumber],OvalData[],MATCH(Table2[[#Headers],[Total Spring Weight]],Table2[#Headers],0),0)</f>
        <v>0</v>
      </c>
      <c r="BN112" s="2">
        <f>VLOOKUP([jobnumber],OvalData[],MATCH(Table2[[#Headers],[Pipe Weight]],Table2[#Headers],0),0)</f>
        <v>688.24239999999998</v>
      </c>
      <c r="BO112" s="2">
        <f>VLOOKUP([jobnumber],OvalData[],MATCH(Table2[[#Headers],[Max Pipe Deflection]],Table2[#Headers],0),0)</f>
        <v>2309</v>
      </c>
      <c r="BP112" s="2">
        <f>VLOOKUP([jobnumber],OvalData[],MATCH(Table2[[#Headers],[Number Non-Insulated Wrap Slats]],Table2[#Headers],0),0)</f>
        <v>0</v>
      </c>
      <c r="BQ112" s="2">
        <f>VLOOKUP([jobnumber],OvalData[],MATCH(Table2[[#Headers],[Number of Insolated Top Slats]],Table2[#Headers],0),0)</f>
        <v>45</v>
      </c>
      <c r="BR112" s="2">
        <f>VLOOKUP([jobnumber],OvalData[],MATCH(Table2[[#Headers],[Insolated Total Slats]],Table2[#Headers],0),0)</f>
        <v>45</v>
      </c>
      <c r="BS112" s="2">
        <f>VLOOKUP([jobnumber],OvalData[],MATCH(Table2[[#Headers],[Number of Slats]],Table2[#Headers],0),0)</f>
        <v>44.69</v>
      </c>
      <c r="BT112" s="2">
        <f>VLOOKUP([jobnumber],OvalData[],MATCH(Table2[[#Headers],[Wrap]],Table2[#Headers],0),0)</f>
        <v>0</v>
      </c>
      <c r="BU112" s="2">
        <f>VLOOKUP([jobnumber],OvalData[],MATCH(Table2[[#Headers],[Wall Angle Thickness]],Table2[#Headers],0),0)</f>
        <v>0</v>
      </c>
      <c r="BV112" s="2">
        <f>VLOOKUP([jobnumber],OvalData[],MATCH(Table2[[#Headers],[windlocks]],Table2[#Headers],0),0)</f>
        <v>0</v>
      </c>
      <c r="BW112" s="2" t="str">
        <f>VLOOKUP([jobnumber],OvalData[],MATCH(Table2[[#Headers],[bottombartype]],Table2[#Headers],0),0)</f>
        <v>SPECIAL</v>
      </c>
      <c r="BX112" s="2">
        <f>VLOOKUP([jobnumber],OvalData[],MATCH(Table2[[#Headers],[endlockweight]],Table2[#Headers],0),0)</f>
        <v>0.17</v>
      </c>
      <c r="BY112" s="2">
        <f>VLOOKUP([jobnumber],OvalData[],MATCH(Table2[[#Headers],[Endlock Total Weight]],Table2[#Headers],0),0)</f>
        <v>7.5972999999999997</v>
      </c>
      <c r="BZ112" s="2">
        <f>VLOOKUP([jobnumber],OvalData[],MATCH(Table2[[#Headers],[Grille Weight]],Table2[#Headers],0),0)</f>
        <v>0</v>
      </c>
      <c r="CA112" s="2">
        <f>VLOOKUP([jobnumber],OvalData[],MATCH(Table2[[#Headers],[barrelrings]],Table2[#Headers],0),0)</f>
        <v>1</v>
      </c>
    </row>
    <row r="113" spans="2:79">
      <c r="B113" s="2" t="str">
        <f>VLOOKUP([jobnumber],OvalData[],MATCH(Table2[[#Headers],[Hand]],Table2[#Headers],0),0)</f>
        <v>RH</v>
      </c>
      <c r="C113" s="2" t="str">
        <f>VLOOKUP([jobnumber],OvalData[],MATCH(Table2[[#Headers],[Model]],Table2[#Headers],0),0)</f>
        <v>SFMPP</v>
      </c>
      <c r="D113" s="2" t="str">
        <f>VLOOKUP([jobnumber],OvalData[],MATCH(Table2[[#Headers],[width]],Table2[#Headers],0),0)</f>
        <v xml:space="preserve"> 18 ft.- 2"</v>
      </c>
      <c r="E113" s="2" t="str">
        <f>VLOOKUP([jobnumber],OvalData[],MATCH(Table2[[#Headers],[stopheight]],Table2[#Headers],0),0)</f>
        <v xml:space="preserve"> 10 ft.- 0"</v>
      </c>
      <c r="F113" s="2" t="str">
        <f>VLOOKUP([jobnumber],OvalData[],MATCH(Table2[[#Headers],[Between Brackets]],Table2[#Headers],0),0)</f>
        <v xml:space="preserve"> 18 ft.- 7 7/ 8"</v>
      </c>
      <c r="G113" s="2" t="str">
        <f>VLOOKUP([jobnumber],OvalData[],MATCH(Table2[[#Headers],[shell]],Table2[#Headers],0),0)</f>
        <v>6 INCH TUBE</v>
      </c>
      <c r="H113" s="2" t="str">
        <f>VLOOKUP([jobnumber],OvalData[],MATCH(Table2[[#Headers],[pipewidth]],Table2[#Headers],0),0)</f>
        <v xml:space="preserve"> 18 ft.- 1 3/ 8"</v>
      </c>
      <c r="I113" s="2">
        <f>VLOOKUP([jobnumber],OvalData[],MATCH(Table2[[#Headers],[Support Tubes]],Table2[#Headers],0),0)</f>
        <v>0</v>
      </c>
      <c r="J113" s="2">
        <f>VLOOKUP([jobnumber],OvalData[],MATCH(Table2[[#Headers],[Upset]],Table2[#Headers],0),0)</f>
        <v>2</v>
      </c>
      <c r="K113" s="2" t="str">
        <f>VLOOKUP([jobnumber],OvalData[],MATCH(Table2[[#Headers],[Guide Type]],Table2[#Headers],0),0)</f>
        <v>SN2-4 5/8-E</v>
      </c>
      <c r="L113" s="2" t="str">
        <f>VLOOKUP([jobnumber],OvalData[],MATCH(Table2[[#Headers],[Wall Angle]],Table2[#Headers],0),0)</f>
        <v xml:space="preserve"> 11 ft.- 8"</v>
      </c>
      <c r="M113" s="2" t="str">
        <f>VLOOKUP([jobnumber],OvalData[],MATCH(Table2[[#Headers],[Middle Angle]],Table2[#Headers],0),0)</f>
        <v xml:space="preserve"> 10 ft.- 4 1/ 2"</v>
      </c>
      <c r="N113" s="2" t="str">
        <f>VLOOKUP([jobnumber],OvalData[],MATCH(Table2[[#Headers],[Front Angle]],Table2[#Headers],0),0)</f>
        <v xml:space="preserve"> 10 ft.- 3"</v>
      </c>
      <c r="O113" s="2">
        <f>VLOOKUP([jobnumber],OvalData[],MATCH(Table2[[#Headers],[Pipe Center Line]],Table2[#Headers],0),0)</f>
        <v>131</v>
      </c>
      <c r="P113" s="2">
        <f>VLOOKUP([jobnumber],OvalData[],MATCH(Table2[[#Headers],[Heat Expansion Gap]],Table2[#Headers],0),0)</f>
        <v>0</v>
      </c>
      <c r="Q113" s="2">
        <f>VLOOKUP([jobnumber],OvalData[],MATCH(Table2[[#Headers],[Hanging Weight Closed]],Table2[#Headers],0),0)</f>
        <v>795</v>
      </c>
      <c r="R113" s="2">
        <f>VLOOKUP([jobnumber],OvalData[],MATCH(Table2[[#Headers],[Hanging Weight Open]],Table2[#Headers],0),0)</f>
        <v>140</v>
      </c>
      <c r="S113" s="2">
        <f>VLOOKUP([jobnumber],OvalData[],MATCH(Table2[[#Headers],[Initial Lever Arm]],Table2[#Headers],0),0)</f>
        <v>4.25</v>
      </c>
      <c r="T113" s="2">
        <f>VLOOKUP([jobnumber],OvalData[],MATCH(Table2[[#Headers],[Turns to Raise]],Table2[#Headers],0),0)</f>
        <v>3.5859999999999999</v>
      </c>
      <c r="U113" s="2">
        <f>VLOOKUP([jobnumber],OvalData[],MATCH(Table2[[#Headers],[Final Lever Arm]],Table2[#Headers],0),0)</f>
        <v>6.37</v>
      </c>
      <c r="V113" s="2">
        <f>VLOOKUP([jobnumber],OvalData[],MATCH(Table2[[#Headers],[Torque Required Closed]],Table2[#Headers],0),0)</f>
        <v>3377.9</v>
      </c>
      <c r="W113" s="2">
        <f>VLOOKUP([jobnumber],OvalData[],MATCH(Table2[[#Headers],[Torque Required Open]],Table2[#Headers],0),0)</f>
        <v>892</v>
      </c>
      <c r="X113" s="2">
        <f>VLOOKUP([jobnumber],OvalData[],MATCH(Table2[[#Headers],[Pre Turns]],Table2[#Headers],0),0)</f>
        <v>1.3332999999999999</v>
      </c>
      <c r="Y113" s="2">
        <f>VLOOKUP([jobnumber],OvalData[],MATCH(Table2[[#Headers],[Required Torque Per Turn]],Table2[#Headers],0),0)</f>
        <v>688</v>
      </c>
      <c r="Z113" s="2">
        <f>VLOOKUP([jobnumber],OvalData[],MATCH(Table2[[#Headers],[Total Turns]],Table2[#Headers],0),0)</f>
        <v>4.91</v>
      </c>
      <c r="AA113" s="2">
        <f>VLOOKUP([jobnumber],OvalData[],MATCH(Table2[[#Headers],[Grille Vision Section]],Table2[#Headers],0),0)</f>
        <v>0</v>
      </c>
      <c r="AB113" s="2">
        <f>VLOOKUP([jobnumber],OvalData[],MATCH(Table2[[#Headers],[Grille Amount]],Table2[#Headers],0),0)</f>
        <v>0</v>
      </c>
      <c r="AC113" s="2">
        <f>VLOOKUP([jobnumber],OvalData[],MATCH(Table2[[#Headers],[Grille Center]],Table2[#Headers],0),0)</f>
        <v>0</v>
      </c>
      <c r="AD113" s="2">
        <f>VLOOKUP([jobnumber],OvalData[],MATCH(Table2[[#Headers],[Grille Pattern]],Table2[#Headers],0),0)</f>
        <v>0</v>
      </c>
      <c r="AE113" s="2">
        <f>VLOOKUP([jobnumber],OvalData[],MATCH(Table2[[#Headers],[Grille First Tube]],Table2[#Headers],0),0)</f>
        <v>0</v>
      </c>
      <c r="AF113" s="2">
        <f>VLOOKUP([jobnumber],OvalData[],MATCH(Table2[[#Headers],[Grille Standard Tube]],Table2[#Headers],0),0)</f>
        <v>0</v>
      </c>
      <c r="AG113" s="2">
        <f>VLOOKUP([jobnumber],OvalData[],MATCH(Table2[[#Headers],[Grille Total Links]],Table2[#Headers],0),0)</f>
        <v>0</v>
      </c>
      <c r="AH113" s="2">
        <f>VLOOKUP([jobnumber],OvalData[],MATCH(Table2[[#Headers],[Grille Rods]],Table2[#Headers],0),0)</f>
        <v>0</v>
      </c>
      <c r="AI113" s="2">
        <f>VLOOKUP([jobnumber],OvalData[],MATCH(Table2[[#Headers],[Grille Rod Length]],Table2[#Headers],0),0)</f>
        <v>0</v>
      </c>
      <c r="AJ113" s="2">
        <f>VLOOKUP([jobnumber],OvalData[],MATCH(Table2[[#Headers],[slattype]],Table2[#Headers],0),0)</f>
        <v>2</v>
      </c>
      <c r="AK113" s="2">
        <f>VLOOKUP([jobnumber],OvalData[],MATCH(Table2[[#Headers],[slatgage]],Table2[#Headers],0),0)</f>
        <v>18</v>
      </c>
      <c r="AL113" s="2">
        <f>VLOOKUP([jobnumber],OvalData[],MATCH(Table2[[#Headers],[Numer of Top Slats]],Table2[#Headers],0),0)</f>
        <v>0</v>
      </c>
      <c r="AM113" s="2">
        <f>VLOOKUP([jobnumber],OvalData[],MATCH(Table2[[#Headers],[Number of Bottom Slats]],Table2[#Headers],0),0)</f>
        <v>0</v>
      </c>
      <c r="AN113" s="2">
        <f>VLOOKUP([jobnumber],OvalData[],MATCH(Table2[[#Headers],[Solid Bottom Height]],Table2[#Headers],0),0)</f>
        <v>0</v>
      </c>
      <c r="AO113" s="2" t="str">
        <f>VLOOKUP([jobnumber],OvalData[],MATCH(Table2[[#Headers],[slatlength]],Table2[#Headers],0),0)</f>
        <v xml:space="preserve"> 18 ft.- 5 7/ 8"</v>
      </c>
      <c r="AP113" s="2">
        <f>VLOOKUP([jobnumber],OvalData[],MATCH(Table2[[#Headers],[Bottom Slat Length]],Table2[#Headers],0),0)</f>
        <v>0</v>
      </c>
      <c r="AQ113" s="2">
        <f>VLOOKUP([jobnumber],OvalData[],MATCH(Table2[[#Headers],[Number of Perferated Slats]],Table2[#Headers],0),0)</f>
        <v>0</v>
      </c>
      <c r="AR113" s="2">
        <f>VLOOKUP([jobnumber],OvalData[],MATCH(Table2[[#Headers],[First Preferated Slat From End]],Table2[#Headers],0),0)</f>
        <v>0</v>
      </c>
      <c r="AS113" s="2">
        <f>VLOOKUP([jobnumber],OvalData[],MATCH(Table2[[#Headers],[First Preferated Slat From Bottom]],Table2[#Headers],0),0)</f>
        <v>0</v>
      </c>
      <c r="AT113" s="2">
        <f>VLOOKUP([jobnumber],OvalData[],MATCH(Table2[[#Headers],[Total Number of Slats]],Table2[#Headers],0),0)</f>
        <v>51</v>
      </c>
      <c r="AU113" s="2">
        <f>VLOOKUP([jobnumber],OvalData[],MATCH(Table2[[#Headers],[Bottom Bar Slope]],Table2[#Headers],0),0)</f>
        <v>0</v>
      </c>
      <c r="AV113" s="2">
        <f>VLOOKUP([jobnumber],OvalData[],MATCH(Table2[[#Headers],[Bottom Bar Weight]],Table2[#Headers],0),0)</f>
        <v>80.5</v>
      </c>
      <c r="AW113" s="2" t="str">
        <f>VLOOKUP([jobnumber],OvalData[],MATCH(Table2[[#Headers],[Outer Spring Gage]],Table2[#Headers],0),0)</f>
        <v>Null</v>
      </c>
      <c r="AX113" s="2" t="str">
        <f>VLOOKUP([jobnumber],OvalData[],MATCH(Table2[[#Headers],[Outer Spring OD]],Table2[#Headers],0),0)</f>
        <v>Null</v>
      </c>
      <c r="AY113" s="2" t="str">
        <f>VLOOKUP([jobnumber],OvalData[],MATCH(Table2[[#Headers],[Outer Spring Length]],Table2[#Headers],0),0)</f>
        <v>Null</v>
      </c>
      <c r="AZ113" s="2" t="str">
        <f>VLOOKUP([jobnumber],OvalData[],MATCH(Table2[[#Headers],[Outer Spring Stretch]],Table2[#Headers],0),0)</f>
        <v>Null</v>
      </c>
      <c r="BA113" s="2" t="str">
        <f>VLOOKUP([jobnumber],OvalData[],MATCH(Table2[[#Headers],[Outer Spring Torque]],Table2[#Headers],0),0)</f>
        <v>Null</v>
      </c>
      <c r="BB113" s="2" t="str">
        <f>VLOOKUP([jobnumber],OvalData[],MATCH(Table2[[#Headers],[Outer Spring Max Turns]],Table2[#Headers],0),0)</f>
        <v>Null</v>
      </c>
      <c r="BC113" s="2" t="str">
        <f>VLOOKUP([jobnumber],OvalData[],MATCH(Table2[[#Headers],[Outer Spring Weight]],Table2[#Headers],0),0)</f>
        <v>Null</v>
      </c>
      <c r="BD113" s="2" t="str">
        <f>VLOOKUP([jobnumber],OvalData[],MATCH(Table2[[#Headers],[Inner Spring Gage]],Table2[#Headers],0),0)</f>
        <v>Null</v>
      </c>
      <c r="BE113" s="2" t="str">
        <f>VLOOKUP([jobnumber],OvalData[],MATCH(Table2[[#Headers],[Inner Spring OD]],Table2[#Headers],0),0)</f>
        <v>Null</v>
      </c>
      <c r="BF113" s="2" t="str">
        <f>VLOOKUP([jobnumber],OvalData[],MATCH(Table2[[#Headers],[Inner Spring Length]],Table2[#Headers],0),0)</f>
        <v>Null</v>
      </c>
      <c r="BG113" s="2" t="str">
        <f>VLOOKUP([jobnumber],OvalData[],MATCH(Table2[[#Headers],[Inner Spring Stretch]],Table2[#Headers],0),0)</f>
        <v>Null</v>
      </c>
      <c r="BH113" s="2" t="str">
        <f>VLOOKUP([jobnumber],OvalData[],MATCH(Table2[[#Headers],[Inner Spring Torque]],Table2[#Headers],0),0)</f>
        <v>Null</v>
      </c>
      <c r="BI113" s="2" t="str">
        <f>VLOOKUP([jobnumber],OvalData[],MATCH(Table2[[#Headers],[Inner Spring Max Turns]],Table2[#Headers],0),0)</f>
        <v>Null</v>
      </c>
      <c r="BJ113" s="2" t="str">
        <f>VLOOKUP([jobnumber],OvalData[],MATCH(Table2[[#Headers],[Inner Spring Weight]],Table2[#Headers],0),0)</f>
        <v>Null</v>
      </c>
      <c r="BK113" s="2">
        <f>VLOOKUP([jobnumber],OvalData[],MATCH(Table2[[#Headers],[Cycles]],Table2[#Headers],0),0)</f>
        <v>0</v>
      </c>
      <c r="BL113" s="2">
        <f>VLOOKUP([jobnumber],OvalData[],MATCH(Table2[[#Headers],[Total Spring Torque]],Table2[#Headers],0),0)</f>
        <v>0</v>
      </c>
      <c r="BM113" s="2">
        <f>VLOOKUP([jobnumber],OvalData[],MATCH(Table2[[#Headers],[Total Spring Weight]],Table2[#Headers],0),0)</f>
        <v>0</v>
      </c>
      <c r="BN113" s="2">
        <f>VLOOKUP([jobnumber],OvalData[],MATCH(Table2[[#Headers],[Pipe Weight]],Table2[#Headers],0),0)</f>
        <v>688.24239999999998</v>
      </c>
      <c r="BO113" s="2">
        <f>VLOOKUP([jobnumber],OvalData[],MATCH(Table2[[#Headers],[Max Pipe Deflection]],Table2[#Headers],0),0)</f>
        <v>2309</v>
      </c>
      <c r="BP113" s="2">
        <f>VLOOKUP([jobnumber],OvalData[],MATCH(Table2[[#Headers],[Number Non-Insulated Wrap Slats]],Table2[#Headers],0),0)</f>
        <v>0</v>
      </c>
      <c r="BQ113" s="2">
        <f>VLOOKUP([jobnumber],OvalData[],MATCH(Table2[[#Headers],[Number of Insolated Top Slats]],Table2[#Headers],0),0)</f>
        <v>45</v>
      </c>
      <c r="BR113" s="2">
        <f>VLOOKUP([jobnumber],OvalData[],MATCH(Table2[[#Headers],[Insolated Total Slats]],Table2[#Headers],0),0)</f>
        <v>45</v>
      </c>
      <c r="BS113" s="2">
        <f>VLOOKUP([jobnumber],OvalData[],MATCH(Table2[[#Headers],[Number of Slats]],Table2[#Headers],0),0)</f>
        <v>44.69</v>
      </c>
      <c r="BT113" s="2">
        <f>VLOOKUP([jobnumber],OvalData[],MATCH(Table2[[#Headers],[Wrap]],Table2[#Headers],0),0)</f>
        <v>0</v>
      </c>
      <c r="BU113" s="2">
        <f>VLOOKUP([jobnumber],OvalData[],MATCH(Table2[[#Headers],[Wall Angle Thickness]],Table2[#Headers],0),0)</f>
        <v>0</v>
      </c>
      <c r="BV113" s="2">
        <f>VLOOKUP([jobnumber],OvalData[],MATCH(Table2[[#Headers],[windlocks]],Table2[#Headers],0),0)</f>
        <v>0</v>
      </c>
      <c r="BW113" s="2" t="str">
        <f>VLOOKUP([jobnumber],OvalData[],MATCH(Table2[[#Headers],[bottombartype]],Table2[#Headers],0),0)</f>
        <v>SPECIAL</v>
      </c>
      <c r="BX113" s="2">
        <f>VLOOKUP([jobnumber],OvalData[],MATCH(Table2[[#Headers],[endlockweight]],Table2[#Headers],0),0)</f>
        <v>0.17</v>
      </c>
      <c r="BY113" s="2">
        <f>VLOOKUP([jobnumber],OvalData[],MATCH(Table2[[#Headers],[Endlock Total Weight]],Table2[#Headers],0),0)</f>
        <v>7.5972999999999997</v>
      </c>
      <c r="BZ113" s="2">
        <f>VLOOKUP([jobnumber],OvalData[],MATCH(Table2[[#Headers],[Grille Weight]],Table2[#Headers],0),0)</f>
        <v>0</v>
      </c>
      <c r="CA113" s="2">
        <f>VLOOKUP([jobnumber],OvalData[],MATCH(Table2[[#Headers],[barrelrings]],Table2[#Headers],0),0)</f>
        <v>1</v>
      </c>
    </row>
    <row r="114" spans="2:79">
      <c r="B114" s="2" t="str">
        <f>VLOOKUP([jobnumber],OvalData[],MATCH(Table2[[#Headers],[Hand]],Table2[#Headers],0),0)</f>
        <v>RH</v>
      </c>
      <c r="C114" s="2" t="str">
        <f>VLOOKUP([jobnumber],OvalData[],MATCH(Table2[[#Headers],[Model]],Table2[#Headers],0),0)</f>
        <v>SFMPP</v>
      </c>
      <c r="D114" s="2" t="str">
        <f>VLOOKUP([jobnumber],OvalData[],MATCH(Table2[[#Headers],[width]],Table2[#Headers],0),0)</f>
        <v xml:space="preserve"> 18 ft.- 2"</v>
      </c>
      <c r="E114" s="2" t="str">
        <f>VLOOKUP([jobnumber],OvalData[],MATCH(Table2[[#Headers],[stopheight]],Table2[#Headers],0),0)</f>
        <v xml:space="preserve"> 10 ft.- 0"</v>
      </c>
      <c r="F114" s="2" t="str">
        <f>VLOOKUP([jobnumber],OvalData[],MATCH(Table2[[#Headers],[Between Brackets]],Table2[#Headers],0),0)</f>
        <v xml:space="preserve"> 18 ft.- 7 7/ 8"</v>
      </c>
      <c r="G114" s="2" t="str">
        <f>VLOOKUP([jobnumber],OvalData[],MATCH(Table2[[#Headers],[shell]],Table2[#Headers],0),0)</f>
        <v>6 INCH TUBE</v>
      </c>
      <c r="H114" s="2" t="str">
        <f>VLOOKUP([jobnumber],OvalData[],MATCH(Table2[[#Headers],[pipewidth]],Table2[#Headers],0),0)</f>
        <v xml:space="preserve"> 18 ft.- 1 3/ 8"</v>
      </c>
      <c r="I114" s="2">
        <f>VLOOKUP([jobnumber],OvalData[],MATCH(Table2[[#Headers],[Support Tubes]],Table2[#Headers],0),0)</f>
        <v>0</v>
      </c>
      <c r="J114" s="2">
        <f>VLOOKUP([jobnumber],OvalData[],MATCH(Table2[[#Headers],[Upset]],Table2[#Headers],0),0)</f>
        <v>2</v>
      </c>
      <c r="K114" s="2" t="str">
        <f>VLOOKUP([jobnumber],OvalData[],MATCH(Table2[[#Headers],[Guide Type]],Table2[#Headers],0),0)</f>
        <v>SN2-4 5/8-E</v>
      </c>
      <c r="L114" s="2" t="str">
        <f>VLOOKUP([jobnumber],OvalData[],MATCH(Table2[[#Headers],[Wall Angle]],Table2[#Headers],0),0)</f>
        <v xml:space="preserve"> 11 ft.- 8"</v>
      </c>
      <c r="M114" s="2" t="str">
        <f>VLOOKUP([jobnumber],OvalData[],MATCH(Table2[[#Headers],[Middle Angle]],Table2[#Headers],0),0)</f>
        <v xml:space="preserve"> 10 ft.- 4 1/ 2"</v>
      </c>
      <c r="N114" s="2" t="str">
        <f>VLOOKUP([jobnumber],OvalData[],MATCH(Table2[[#Headers],[Front Angle]],Table2[#Headers],0),0)</f>
        <v xml:space="preserve"> 10 ft.- 3"</v>
      </c>
      <c r="O114" s="2">
        <f>VLOOKUP([jobnumber],OvalData[],MATCH(Table2[[#Headers],[Pipe Center Line]],Table2[#Headers],0),0)</f>
        <v>131</v>
      </c>
      <c r="P114" s="2">
        <f>VLOOKUP([jobnumber],OvalData[],MATCH(Table2[[#Headers],[Heat Expansion Gap]],Table2[#Headers],0),0)</f>
        <v>0</v>
      </c>
      <c r="Q114" s="2">
        <f>VLOOKUP([jobnumber],OvalData[],MATCH(Table2[[#Headers],[Hanging Weight Closed]],Table2[#Headers],0),0)</f>
        <v>795</v>
      </c>
      <c r="R114" s="2">
        <f>VLOOKUP([jobnumber],OvalData[],MATCH(Table2[[#Headers],[Hanging Weight Open]],Table2[#Headers],0),0)</f>
        <v>140</v>
      </c>
      <c r="S114" s="2">
        <f>VLOOKUP([jobnumber],OvalData[],MATCH(Table2[[#Headers],[Initial Lever Arm]],Table2[#Headers],0),0)</f>
        <v>4.25</v>
      </c>
      <c r="T114" s="2">
        <f>VLOOKUP([jobnumber],OvalData[],MATCH(Table2[[#Headers],[Turns to Raise]],Table2[#Headers],0),0)</f>
        <v>3.5859999999999999</v>
      </c>
      <c r="U114" s="2">
        <f>VLOOKUP([jobnumber],OvalData[],MATCH(Table2[[#Headers],[Final Lever Arm]],Table2[#Headers],0),0)</f>
        <v>6.37</v>
      </c>
      <c r="V114" s="2">
        <f>VLOOKUP([jobnumber],OvalData[],MATCH(Table2[[#Headers],[Torque Required Closed]],Table2[#Headers],0),0)</f>
        <v>3377.9</v>
      </c>
      <c r="W114" s="2">
        <f>VLOOKUP([jobnumber],OvalData[],MATCH(Table2[[#Headers],[Torque Required Open]],Table2[#Headers],0),0)</f>
        <v>892</v>
      </c>
      <c r="X114" s="2">
        <f>VLOOKUP([jobnumber],OvalData[],MATCH(Table2[[#Headers],[Pre Turns]],Table2[#Headers],0),0)</f>
        <v>1.3332999999999999</v>
      </c>
      <c r="Y114" s="2">
        <f>VLOOKUP([jobnumber],OvalData[],MATCH(Table2[[#Headers],[Required Torque Per Turn]],Table2[#Headers],0),0)</f>
        <v>688</v>
      </c>
      <c r="Z114" s="2">
        <f>VLOOKUP([jobnumber],OvalData[],MATCH(Table2[[#Headers],[Total Turns]],Table2[#Headers],0),0)</f>
        <v>4.91</v>
      </c>
      <c r="AA114" s="2">
        <f>VLOOKUP([jobnumber],OvalData[],MATCH(Table2[[#Headers],[Grille Vision Section]],Table2[#Headers],0),0)</f>
        <v>0</v>
      </c>
      <c r="AB114" s="2">
        <f>VLOOKUP([jobnumber],OvalData[],MATCH(Table2[[#Headers],[Grille Amount]],Table2[#Headers],0),0)</f>
        <v>0</v>
      </c>
      <c r="AC114" s="2">
        <f>VLOOKUP([jobnumber],OvalData[],MATCH(Table2[[#Headers],[Grille Center]],Table2[#Headers],0),0)</f>
        <v>0</v>
      </c>
      <c r="AD114" s="2">
        <f>VLOOKUP([jobnumber],OvalData[],MATCH(Table2[[#Headers],[Grille Pattern]],Table2[#Headers],0),0)</f>
        <v>0</v>
      </c>
      <c r="AE114" s="2">
        <f>VLOOKUP([jobnumber],OvalData[],MATCH(Table2[[#Headers],[Grille First Tube]],Table2[#Headers],0),0)</f>
        <v>0</v>
      </c>
      <c r="AF114" s="2">
        <f>VLOOKUP([jobnumber],OvalData[],MATCH(Table2[[#Headers],[Grille Standard Tube]],Table2[#Headers],0),0)</f>
        <v>0</v>
      </c>
      <c r="AG114" s="2">
        <f>VLOOKUP([jobnumber],OvalData[],MATCH(Table2[[#Headers],[Grille Total Links]],Table2[#Headers],0),0)</f>
        <v>0</v>
      </c>
      <c r="AH114" s="2">
        <f>VLOOKUP([jobnumber],OvalData[],MATCH(Table2[[#Headers],[Grille Rods]],Table2[#Headers],0),0)</f>
        <v>0</v>
      </c>
      <c r="AI114" s="2">
        <f>VLOOKUP([jobnumber],OvalData[],MATCH(Table2[[#Headers],[Grille Rod Length]],Table2[#Headers],0),0)</f>
        <v>0</v>
      </c>
      <c r="AJ114" s="2">
        <f>VLOOKUP([jobnumber],OvalData[],MATCH(Table2[[#Headers],[slattype]],Table2[#Headers],0),0)</f>
        <v>2</v>
      </c>
      <c r="AK114" s="2">
        <f>VLOOKUP([jobnumber],OvalData[],MATCH(Table2[[#Headers],[slatgage]],Table2[#Headers],0),0)</f>
        <v>18</v>
      </c>
      <c r="AL114" s="2">
        <f>VLOOKUP([jobnumber],OvalData[],MATCH(Table2[[#Headers],[Numer of Top Slats]],Table2[#Headers],0),0)</f>
        <v>0</v>
      </c>
      <c r="AM114" s="2">
        <f>VLOOKUP([jobnumber],OvalData[],MATCH(Table2[[#Headers],[Number of Bottom Slats]],Table2[#Headers],0),0)</f>
        <v>0</v>
      </c>
      <c r="AN114" s="2">
        <f>VLOOKUP([jobnumber],OvalData[],MATCH(Table2[[#Headers],[Solid Bottom Height]],Table2[#Headers],0),0)</f>
        <v>0</v>
      </c>
      <c r="AO114" s="2" t="str">
        <f>VLOOKUP([jobnumber],OvalData[],MATCH(Table2[[#Headers],[slatlength]],Table2[#Headers],0),0)</f>
        <v xml:space="preserve"> 18 ft.- 5 7/ 8"</v>
      </c>
      <c r="AP114" s="2">
        <f>VLOOKUP([jobnumber],OvalData[],MATCH(Table2[[#Headers],[Bottom Slat Length]],Table2[#Headers],0),0)</f>
        <v>0</v>
      </c>
      <c r="AQ114" s="2">
        <f>VLOOKUP([jobnumber],OvalData[],MATCH(Table2[[#Headers],[Number of Perferated Slats]],Table2[#Headers],0),0)</f>
        <v>0</v>
      </c>
      <c r="AR114" s="2">
        <f>VLOOKUP([jobnumber],OvalData[],MATCH(Table2[[#Headers],[First Preferated Slat From End]],Table2[#Headers],0),0)</f>
        <v>0</v>
      </c>
      <c r="AS114" s="2">
        <f>VLOOKUP([jobnumber],OvalData[],MATCH(Table2[[#Headers],[First Preferated Slat From Bottom]],Table2[#Headers],0),0)</f>
        <v>0</v>
      </c>
      <c r="AT114" s="2">
        <f>VLOOKUP([jobnumber],OvalData[],MATCH(Table2[[#Headers],[Total Number of Slats]],Table2[#Headers],0),0)</f>
        <v>51</v>
      </c>
      <c r="AU114" s="2">
        <f>VLOOKUP([jobnumber],OvalData[],MATCH(Table2[[#Headers],[Bottom Bar Slope]],Table2[#Headers],0),0)</f>
        <v>0</v>
      </c>
      <c r="AV114" s="2">
        <f>VLOOKUP([jobnumber],OvalData[],MATCH(Table2[[#Headers],[Bottom Bar Weight]],Table2[#Headers],0),0)</f>
        <v>80.5</v>
      </c>
      <c r="AW114" s="2" t="str">
        <f>VLOOKUP([jobnumber],OvalData[],MATCH(Table2[[#Headers],[Outer Spring Gage]],Table2[#Headers],0),0)</f>
        <v>Null</v>
      </c>
      <c r="AX114" s="2" t="str">
        <f>VLOOKUP([jobnumber],OvalData[],MATCH(Table2[[#Headers],[Outer Spring OD]],Table2[#Headers],0),0)</f>
        <v>Null</v>
      </c>
      <c r="AY114" s="2" t="str">
        <f>VLOOKUP([jobnumber],OvalData[],MATCH(Table2[[#Headers],[Outer Spring Length]],Table2[#Headers],0),0)</f>
        <v>Null</v>
      </c>
      <c r="AZ114" s="2" t="str">
        <f>VLOOKUP([jobnumber],OvalData[],MATCH(Table2[[#Headers],[Outer Spring Stretch]],Table2[#Headers],0),0)</f>
        <v>Null</v>
      </c>
      <c r="BA114" s="2" t="str">
        <f>VLOOKUP([jobnumber],OvalData[],MATCH(Table2[[#Headers],[Outer Spring Torque]],Table2[#Headers],0),0)</f>
        <v>Null</v>
      </c>
      <c r="BB114" s="2" t="str">
        <f>VLOOKUP([jobnumber],OvalData[],MATCH(Table2[[#Headers],[Outer Spring Max Turns]],Table2[#Headers],0),0)</f>
        <v>Null</v>
      </c>
      <c r="BC114" s="2" t="str">
        <f>VLOOKUP([jobnumber],OvalData[],MATCH(Table2[[#Headers],[Outer Spring Weight]],Table2[#Headers],0),0)</f>
        <v>Null</v>
      </c>
      <c r="BD114" s="2" t="str">
        <f>VLOOKUP([jobnumber],OvalData[],MATCH(Table2[[#Headers],[Inner Spring Gage]],Table2[#Headers],0),0)</f>
        <v>Null</v>
      </c>
      <c r="BE114" s="2" t="str">
        <f>VLOOKUP([jobnumber],OvalData[],MATCH(Table2[[#Headers],[Inner Spring OD]],Table2[#Headers],0),0)</f>
        <v>Null</v>
      </c>
      <c r="BF114" s="2" t="str">
        <f>VLOOKUP([jobnumber],OvalData[],MATCH(Table2[[#Headers],[Inner Spring Length]],Table2[#Headers],0),0)</f>
        <v>Null</v>
      </c>
      <c r="BG114" s="2" t="str">
        <f>VLOOKUP([jobnumber],OvalData[],MATCH(Table2[[#Headers],[Inner Spring Stretch]],Table2[#Headers],0),0)</f>
        <v>Null</v>
      </c>
      <c r="BH114" s="2" t="str">
        <f>VLOOKUP([jobnumber],OvalData[],MATCH(Table2[[#Headers],[Inner Spring Torque]],Table2[#Headers],0),0)</f>
        <v>Null</v>
      </c>
      <c r="BI114" s="2" t="str">
        <f>VLOOKUP([jobnumber],OvalData[],MATCH(Table2[[#Headers],[Inner Spring Max Turns]],Table2[#Headers],0),0)</f>
        <v>Null</v>
      </c>
      <c r="BJ114" s="2" t="str">
        <f>VLOOKUP([jobnumber],OvalData[],MATCH(Table2[[#Headers],[Inner Spring Weight]],Table2[#Headers],0),0)</f>
        <v>Null</v>
      </c>
      <c r="BK114" s="2">
        <f>VLOOKUP([jobnumber],OvalData[],MATCH(Table2[[#Headers],[Cycles]],Table2[#Headers],0),0)</f>
        <v>0</v>
      </c>
      <c r="BL114" s="2">
        <f>VLOOKUP([jobnumber],OvalData[],MATCH(Table2[[#Headers],[Total Spring Torque]],Table2[#Headers],0),0)</f>
        <v>0</v>
      </c>
      <c r="BM114" s="2">
        <f>VLOOKUP([jobnumber],OvalData[],MATCH(Table2[[#Headers],[Total Spring Weight]],Table2[#Headers],0),0)</f>
        <v>0</v>
      </c>
      <c r="BN114" s="2">
        <f>VLOOKUP([jobnumber],OvalData[],MATCH(Table2[[#Headers],[Pipe Weight]],Table2[#Headers],0),0)</f>
        <v>688.24239999999998</v>
      </c>
      <c r="BO114" s="2">
        <f>VLOOKUP([jobnumber],OvalData[],MATCH(Table2[[#Headers],[Max Pipe Deflection]],Table2[#Headers],0),0)</f>
        <v>2309</v>
      </c>
      <c r="BP114" s="2">
        <f>VLOOKUP([jobnumber],OvalData[],MATCH(Table2[[#Headers],[Number Non-Insulated Wrap Slats]],Table2[#Headers],0),0)</f>
        <v>0</v>
      </c>
      <c r="BQ114" s="2">
        <f>VLOOKUP([jobnumber],OvalData[],MATCH(Table2[[#Headers],[Number of Insolated Top Slats]],Table2[#Headers],0),0)</f>
        <v>45</v>
      </c>
      <c r="BR114" s="2">
        <f>VLOOKUP([jobnumber],OvalData[],MATCH(Table2[[#Headers],[Insolated Total Slats]],Table2[#Headers],0),0)</f>
        <v>45</v>
      </c>
      <c r="BS114" s="2">
        <f>VLOOKUP([jobnumber],OvalData[],MATCH(Table2[[#Headers],[Number of Slats]],Table2[#Headers],0),0)</f>
        <v>44.69</v>
      </c>
      <c r="BT114" s="2">
        <f>VLOOKUP([jobnumber],OvalData[],MATCH(Table2[[#Headers],[Wrap]],Table2[#Headers],0),0)</f>
        <v>0</v>
      </c>
      <c r="BU114" s="2">
        <f>VLOOKUP([jobnumber],OvalData[],MATCH(Table2[[#Headers],[Wall Angle Thickness]],Table2[#Headers],0),0)</f>
        <v>0</v>
      </c>
      <c r="BV114" s="2">
        <f>VLOOKUP([jobnumber],OvalData[],MATCH(Table2[[#Headers],[windlocks]],Table2[#Headers],0),0)</f>
        <v>0</v>
      </c>
      <c r="BW114" s="2" t="str">
        <f>VLOOKUP([jobnumber],OvalData[],MATCH(Table2[[#Headers],[bottombartype]],Table2[#Headers],0),0)</f>
        <v>SPECIAL</v>
      </c>
      <c r="BX114" s="2">
        <f>VLOOKUP([jobnumber],OvalData[],MATCH(Table2[[#Headers],[endlockweight]],Table2[#Headers],0),0)</f>
        <v>0.17</v>
      </c>
      <c r="BY114" s="2">
        <f>VLOOKUP([jobnumber],OvalData[],MATCH(Table2[[#Headers],[Endlock Total Weight]],Table2[#Headers],0),0)</f>
        <v>7.5972999999999997</v>
      </c>
      <c r="BZ114" s="2">
        <f>VLOOKUP([jobnumber],OvalData[],MATCH(Table2[[#Headers],[Grille Weight]],Table2[#Headers],0),0)</f>
        <v>0</v>
      </c>
      <c r="CA114" s="2">
        <f>VLOOKUP([jobnumber],OvalData[],MATCH(Table2[[#Headers],[barrelrings]],Table2[#Headers],0),0)</f>
        <v>1</v>
      </c>
    </row>
    <row r="115" spans="2:79">
      <c r="B115" s="2" t="str">
        <f>VLOOKUP([jobnumber],OvalData[],MATCH(Table2[[#Headers],[Hand]],Table2[#Headers],0),0)</f>
        <v>RH</v>
      </c>
      <c r="C115" s="2" t="str">
        <f>VLOOKUP([jobnumber],OvalData[],MATCH(Table2[[#Headers],[Model]],Table2[#Headers],0),0)</f>
        <v>SFMPP</v>
      </c>
      <c r="D115" s="2" t="str">
        <f>VLOOKUP([jobnumber],OvalData[],MATCH(Table2[[#Headers],[width]],Table2[#Headers],0),0)</f>
        <v xml:space="preserve"> 18 ft.- 2"</v>
      </c>
      <c r="E115" s="2" t="str">
        <f>VLOOKUP([jobnumber],OvalData[],MATCH(Table2[[#Headers],[stopheight]],Table2[#Headers],0),0)</f>
        <v xml:space="preserve"> 10 ft.- 0"</v>
      </c>
      <c r="F115" s="2" t="str">
        <f>VLOOKUP([jobnumber],OvalData[],MATCH(Table2[[#Headers],[Between Brackets]],Table2[#Headers],0),0)</f>
        <v xml:space="preserve"> 18 ft.- 7 7/ 8"</v>
      </c>
      <c r="G115" s="2" t="str">
        <f>VLOOKUP([jobnumber],OvalData[],MATCH(Table2[[#Headers],[shell]],Table2[#Headers],0),0)</f>
        <v>6 INCH TUBE</v>
      </c>
      <c r="H115" s="2" t="str">
        <f>VLOOKUP([jobnumber],OvalData[],MATCH(Table2[[#Headers],[pipewidth]],Table2[#Headers],0),0)</f>
        <v xml:space="preserve"> 18 ft.- 1 3/ 8"</v>
      </c>
      <c r="I115" s="2">
        <f>VLOOKUP([jobnumber],OvalData[],MATCH(Table2[[#Headers],[Support Tubes]],Table2[#Headers],0),0)</f>
        <v>0</v>
      </c>
      <c r="J115" s="2">
        <f>VLOOKUP([jobnumber],OvalData[],MATCH(Table2[[#Headers],[Upset]],Table2[#Headers],0),0)</f>
        <v>2</v>
      </c>
      <c r="K115" s="2" t="str">
        <f>VLOOKUP([jobnumber],OvalData[],MATCH(Table2[[#Headers],[Guide Type]],Table2[#Headers],0),0)</f>
        <v>SN2-4 5/8-E</v>
      </c>
      <c r="L115" s="2" t="str">
        <f>VLOOKUP([jobnumber],OvalData[],MATCH(Table2[[#Headers],[Wall Angle]],Table2[#Headers],0),0)</f>
        <v xml:space="preserve"> 11 ft.- 8"</v>
      </c>
      <c r="M115" s="2" t="str">
        <f>VLOOKUP([jobnumber],OvalData[],MATCH(Table2[[#Headers],[Middle Angle]],Table2[#Headers],0),0)</f>
        <v xml:space="preserve"> 10 ft.- 4 1/ 2"</v>
      </c>
      <c r="N115" s="2" t="str">
        <f>VLOOKUP([jobnumber],OvalData[],MATCH(Table2[[#Headers],[Front Angle]],Table2[#Headers],0),0)</f>
        <v xml:space="preserve"> 10 ft.- 3"</v>
      </c>
      <c r="O115" s="2">
        <f>VLOOKUP([jobnumber],OvalData[],MATCH(Table2[[#Headers],[Pipe Center Line]],Table2[#Headers],0),0)</f>
        <v>131</v>
      </c>
      <c r="P115" s="2">
        <f>VLOOKUP([jobnumber],OvalData[],MATCH(Table2[[#Headers],[Heat Expansion Gap]],Table2[#Headers],0),0)</f>
        <v>0</v>
      </c>
      <c r="Q115" s="2">
        <f>VLOOKUP([jobnumber],OvalData[],MATCH(Table2[[#Headers],[Hanging Weight Closed]],Table2[#Headers],0),0)</f>
        <v>795</v>
      </c>
      <c r="R115" s="2">
        <f>VLOOKUP([jobnumber],OvalData[],MATCH(Table2[[#Headers],[Hanging Weight Open]],Table2[#Headers],0),0)</f>
        <v>140</v>
      </c>
      <c r="S115" s="2">
        <f>VLOOKUP([jobnumber],OvalData[],MATCH(Table2[[#Headers],[Initial Lever Arm]],Table2[#Headers],0),0)</f>
        <v>4.25</v>
      </c>
      <c r="T115" s="2">
        <f>VLOOKUP([jobnumber],OvalData[],MATCH(Table2[[#Headers],[Turns to Raise]],Table2[#Headers],0),0)</f>
        <v>3.5859999999999999</v>
      </c>
      <c r="U115" s="2">
        <f>VLOOKUP([jobnumber],OvalData[],MATCH(Table2[[#Headers],[Final Lever Arm]],Table2[#Headers],0),0)</f>
        <v>6.37</v>
      </c>
      <c r="V115" s="2">
        <f>VLOOKUP([jobnumber],OvalData[],MATCH(Table2[[#Headers],[Torque Required Closed]],Table2[#Headers],0),0)</f>
        <v>3377.9</v>
      </c>
      <c r="W115" s="2">
        <f>VLOOKUP([jobnumber],OvalData[],MATCH(Table2[[#Headers],[Torque Required Open]],Table2[#Headers],0),0)</f>
        <v>892</v>
      </c>
      <c r="X115" s="2">
        <f>VLOOKUP([jobnumber],OvalData[],MATCH(Table2[[#Headers],[Pre Turns]],Table2[#Headers],0),0)</f>
        <v>1.3332999999999999</v>
      </c>
      <c r="Y115" s="2">
        <f>VLOOKUP([jobnumber],OvalData[],MATCH(Table2[[#Headers],[Required Torque Per Turn]],Table2[#Headers],0),0)</f>
        <v>688</v>
      </c>
      <c r="Z115" s="2">
        <f>VLOOKUP([jobnumber],OvalData[],MATCH(Table2[[#Headers],[Total Turns]],Table2[#Headers],0),0)</f>
        <v>4.91</v>
      </c>
      <c r="AA115" s="2">
        <f>VLOOKUP([jobnumber],OvalData[],MATCH(Table2[[#Headers],[Grille Vision Section]],Table2[#Headers],0),0)</f>
        <v>0</v>
      </c>
      <c r="AB115" s="2">
        <f>VLOOKUP([jobnumber],OvalData[],MATCH(Table2[[#Headers],[Grille Amount]],Table2[#Headers],0),0)</f>
        <v>0</v>
      </c>
      <c r="AC115" s="2">
        <f>VLOOKUP([jobnumber],OvalData[],MATCH(Table2[[#Headers],[Grille Center]],Table2[#Headers],0),0)</f>
        <v>0</v>
      </c>
      <c r="AD115" s="2">
        <f>VLOOKUP([jobnumber],OvalData[],MATCH(Table2[[#Headers],[Grille Pattern]],Table2[#Headers],0),0)</f>
        <v>0</v>
      </c>
      <c r="AE115" s="2">
        <f>VLOOKUP([jobnumber],OvalData[],MATCH(Table2[[#Headers],[Grille First Tube]],Table2[#Headers],0),0)</f>
        <v>0</v>
      </c>
      <c r="AF115" s="2">
        <f>VLOOKUP([jobnumber],OvalData[],MATCH(Table2[[#Headers],[Grille Standard Tube]],Table2[#Headers],0),0)</f>
        <v>0</v>
      </c>
      <c r="AG115" s="2">
        <f>VLOOKUP([jobnumber],OvalData[],MATCH(Table2[[#Headers],[Grille Total Links]],Table2[#Headers],0),0)</f>
        <v>0</v>
      </c>
      <c r="AH115" s="2">
        <f>VLOOKUP([jobnumber],OvalData[],MATCH(Table2[[#Headers],[Grille Rods]],Table2[#Headers],0),0)</f>
        <v>0</v>
      </c>
      <c r="AI115" s="2">
        <f>VLOOKUP([jobnumber],OvalData[],MATCH(Table2[[#Headers],[Grille Rod Length]],Table2[#Headers],0),0)</f>
        <v>0</v>
      </c>
      <c r="AJ115" s="2">
        <f>VLOOKUP([jobnumber],OvalData[],MATCH(Table2[[#Headers],[slattype]],Table2[#Headers],0),0)</f>
        <v>2</v>
      </c>
      <c r="AK115" s="2">
        <f>VLOOKUP([jobnumber],OvalData[],MATCH(Table2[[#Headers],[slatgage]],Table2[#Headers],0),0)</f>
        <v>18</v>
      </c>
      <c r="AL115" s="2">
        <f>VLOOKUP([jobnumber],OvalData[],MATCH(Table2[[#Headers],[Numer of Top Slats]],Table2[#Headers],0),0)</f>
        <v>0</v>
      </c>
      <c r="AM115" s="2">
        <f>VLOOKUP([jobnumber],OvalData[],MATCH(Table2[[#Headers],[Number of Bottom Slats]],Table2[#Headers],0),0)</f>
        <v>0</v>
      </c>
      <c r="AN115" s="2">
        <f>VLOOKUP([jobnumber],OvalData[],MATCH(Table2[[#Headers],[Solid Bottom Height]],Table2[#Headers],0),0)</f>
        <v>0</v>
      </c>
      <c r="AO115" s="2" t="str">
        <f>VLOOKUP([jobnumber],OvalData[],MATCH(Table2[[#Headers],[slatlength]],Table2[#Headers],0),0)</f>
        <v xml:space="preserve"> 18 ft.- 5 7/ 8"</v>
      </c>
      <c r="AP115" s="2">
        <f>VLOOKUP([jobnumber],OvalData[],MATCH(Table2[[#Headers],[Bottom Slat Length]],Table2[#Headers],0),0)</f>
        <v>0</v>
      </c>
      <c r="AQ115" s="2">
        <f>VLOOKUP([jobnumber],OvalData[],MATCH(Table2[[#Headers],[Number of Perferated Slats]],Table2[#Headers],0),0)</f>
        <v>0</v>
      </c>
      <c r="AR115" s="2">
        <f>VLOOKUP([jobnumber],OvalData[],MATCH(Table2[[#Headers],[First Preferated Slat From End]],Table2[#Headers],0),0)</f>
        <v>0</v>
      </c>
      <c r="AS115" s="2">
        <f>VLOOKUP([jobnumber],OvalData[],MATCH(Table2[[#Headers],[First Preferated Slat From Bottom]],Table2[#Headers],0),0)</f>
        <v>0</v>
      </c>
      <c r="AT115" s="2">
        <f>VLOOKUP([jobnumber],OvalData[],MATCH(Table2[[#Headers],[Total Number of Slats]],Table2[#Headers],0),0)</f>
        <v>51</v>
      </c>
      <c r="AU115" s="2">
        <f>VLOOKUP([jobnumber],OvalData[],MATCH(Table2[[#Headers],[Bottom Bar Slope]],Table2[#Headers],0),0)</f>
        <v>0</v>
      </c>
      <c r="AV115" s="2">
        <f>VLOOKUP([jobnumber],OvalData[],MATCH(Table2[[#Headers],[Bottom Bar Weight]],Table2[#Headers],0),0)</f>
        <v>80.5</v>
      </c>
      <c r="AW115" s="2" t="str">
        <f>VLOOKUP([jobnumber],OvalData[],MATCH(Table2[[#Headers],[Outer Spring Gage]],Table2[#Headers],0),0)</f>
        <v>Null</v>
      </c>
      <c r="AX115" s="2" t="str">
        <f>VLOOKUP([jobnumber],OvalData[],MATCH(Table2[[#Headers],[Outer Spring OD]],Table2[#Headers],0),0)</f>
        <v>Null</v>
      </c>
      <c r="AY115" s="2" t="str">
        <f>VLOOKUP([jobnumber],OvalData[],MATCH(Table2[[#Headers],[Outer Spring Length]],Table2[#Headers],0),0)</f>
        <v>Null</v>
      </c>
      <c r="AZ115" s="2" t="str">
        <f>VLOOKUP([jobnumber],OvalData[],MATCH(Table2[[#Headers],[Outer Spring Stretch]],Table2[#Headers],0),0)</f>
        <v>Null</v>
      </c>
      <c r="BA115" s="2" t="str">
        <f>VLOOKUP([jobnumber],OvalData[],MATCH(Table2[[#Headers],[Outer Spring Torque]],Table2[#Headers],0),0)</f>
        <v>Null</v>
      </c>
      <c r="BB115" s="2" t="str">
        <f>VLOOKUP([jobnumber],OvalData[],MATCH(Table2[[#Headers],[Outer Spring Max Turns]],Table2[#Headers],0),0)</f>
        <v>Null</v>
      </c>
      <c r="BC115" s="2" t="str">
        <f>VLOOKUP([jobnumber],OvalData[],MATCH(Table2[[#Headers],[Outer Spring Weight]],Table2[#Headers],0),0)</f>
        <v>Null</v>
      </c>
      <c r="BD115" s="2" t="str">
        <f>VLOOKUP([jobnumber],OvalData[],MATCH(Table2[[#Headers],[Inner Spring Gage]],Table2[#Headers],0),0)</f>
        <v>Null</v>
      </c>
      <c r="BE115" s="2" t="str">
        <f>VLOOKUP([jobnumber],OvalData[],MATCH(Table2[[#Headers],[Inner Spring OD]],Table2[#Headers],0),0)</f>
        <v>Null</v>
      </c>
      <c r="BF115" s="2" t="str">
        <f>VLOOKUP([jobnumber],OvalData[],MATCH(Table2[[#Headers],[Inner Spring Length]],Table2[#Headers],0),0)</f>
        <v>Null</v>
      </c>
      <c r="BG115" s="2" t="str">
        <f>VLOOKUP([jobnumber],OvalData[],MATCH(Table2[[#Headers],[Inner Spring Stretch]],Table2[#Headers],0),0)</f>
        <v>Null</v>
      </c>
      <c r="BH115" s="2" t="str">
        <f>VLOOKUP([jobnumber],OvalData[],MATCH(Table2[[#Headers],[Inner Spring Torque]],Table2[#Headers],0),0)</f>
        <v>Null</v>
      </c>
      <c r="BI115" s="2" t="str">
        <f>VLOOKUP([jobnumber],OvalData[],MATCH(Table2[[#Headers],[Inner Spring Max Turns]],Table2[#Headers],0),0)</f>
        <v>Null</v>
      </c>
      <c r="BJ115" s="2" t="str">
        <f>VLOOKUP([jobnumber],OvalData[],MATCH(Table2[[#Headers],[Inner Spring Weight]],Table2[#Headers],0),0)</f>
        <v>Null</v>
      </c>
      <c r="BK115" s="2">
        <f>VLOOKUP([jobnumber],OvalData[],MATCH(Table2[[#Headers],[Cycles]],Table2[#Headers],0),0)</f>
        <v>0</v>
      </c>
      <c r="BL115" s="2">
        <f>VLOOKUP([jobnumber],OvalData[],MATCH(Table2[[#Headers],[Total Spring Torque]],Table2[#Headers],0),0)</f>
        <v>0</v>
      </c>
      <c r="BM115" s="2">
        <f>VLOOKUP([jobnumber],OvalData[],MATCH(Table2[[#Headers],[Total Spring Weight]],Table2[#Headers],0),0)</f>
        <v>0</v>
      </c>
      <c r="BN115" s="2">
        <f>VLOOKUP([jobnumber],OvalData[],MATCH(Table2[[#Headers],[Pipe Weight]],Table2[#Headers],0),0)</f>
        <v>688.24239999999998</v>
      </c>
      <c r="BO115" s="2">
        <f>VLOOKUP([jobnumber],OvalData[],MATCH(Table2[[#Headers],[Max Pipe Deflection]],Table2[#Headers],0),0)</f>
        <v>2309</v>
      </c>
      <c r="BP115" s="2">
        <f>VLOOKUP([jobnumber],OvalData[],MATCH(Table2[[#Headers],[Number Non-Insulated Wrap Slats]],Table2[#Headers],0),0)</f>
        <v>0</v>
      </c>
      <c r="BQ115" s="2">
        <f>VLOOKUP([jobnumber],OvalData[],MATCH(Table2[[#Headers],[Number of Insolated Top Slats]],Table2[#Headers],0),0)</f>
        <v>45</v>
      </c>
      <c r="BR115" s="2">
        <f>VLOOKUP([jobnumber],OvalData[],MATCH(Table2[[#Headers],[Insolated Total Slats]],Table2[#Headers],0),0)</f>
        <v>45</v>
      </c>
      <c r="BS115" s="2">
        <f>VLOOKUP([jobnumber],OvalData[],MATCH(Table2[[#Headers],[Number of Slats]],Table2[#Headers],0),0)</f>
        <v>44.69</v>
      </c>
      <c r="BT115" s="2">
        <f>VLOOKUP([jobnumber],OvalData[],MATCH(Table2[[#Headers],[Wrap]],Table2[#Headers],0),0)</f>
        <v>0</v>
      </c>
      <c r="BU115" s="2">
        <f>VLOOKUP([jobnumber],OvalData[],MATCH(Table2[[#Headers],[Wall Angle Thickness]],Table2[#Headers],0),0)</f>
        <v>0</v>
      </c>
      <c r="BV115" s="2">
        <f>VLOOKUP([jobnumber],OvalData[],MATCH(Table2[[#Headers],[windlocks]],Table2[#Headers],0),0)</f>
        <v>0</v>
      </c>
      <c r="BW115" s="2" t="str">
        <f>VLOOKUP([jobnumber],OvalData[],MATCH(Table2[[#Headers],[bottombartype]],Table2[#Headers],0),0)</f>
        <v>SPECIAL</v>
      </c>
      <c r="BX115" s="2">
        <f>VLOOKUP([jobnumber],OvalData[],MATCH(Table2[[#Headers],[endlockweight]],Table2[#Headers],0),0)</f>
        <v>0.17</v>
      </c>
      <c r="BY115" s="2">
        <f>VLOOKUP([jobnumber],OvalData[],MATCH(Table2[[#Headers],[Endlock Total Weight]],Table2[#Headers],0),0)</f>
        <v>7.5972999999999997</v>
      </c>
      <c r="BZ115" s="2">
        <f>VLOOKUP([jobnumber],OvalData[],MATCH(Table2[[#Headers],[Grille Weight]],Table2[#Headers],0),0)</f>
        <v>0</v>
      </c>
      <c r="CA115" s="2">
        <f>VLOOKUP([jobnumber],OvalData[],MATCH(Table2[[#Headers],[barrelrings]],Table2[#Headers],0),0)</f>
        <v>1</v>
      </c>
    </row>
    <row r="116" spans="2:79">
      <c r="B116" s="2" t="str">
        <f>VLOOKUP([jobnumber],OvalData[],MATCH(Table2[[#Headers],[Hand]],Table2[#Headers],0),0)</f>
        <v>RH</v>
      </c>
      <c r="C116" s="2" t="str">
        <f>VLOOKUP([jobnumber],OvalData[],MATCH(Table2[[#Headers],[Model]],Table2[#Headers],0),0)</f>
        <v>SFMPP</v>
      </c>
      <c r="D116" s="2" t="str">
        <f>VLOOKUP([jobnumber],OvalData[],MATCH(Table2[[#Headers],[width]],Table2[#Headers],0),0)</f>
        <v xml:space="preserve"> 18 ft.- 2"</v>
      </c>
      <c r="E116" s="2" t="str">
        <f>VLOOKUP([jobnumber],OvalData[],MATCH(Table2[[#Headers],[stopheight]],Table2[#Headers],0),0)</f>
        <v xml:space="preserve"> 10 ft.- 0"</v>
      </c>
      <c r="F116" s="2" t="str">
        <f>VLOOKUP([jobnumber],OvalData[],MATCH(Table2[[#Headers],[Between Brackets]],Table2[#Headers],0),0)</f>
        <v xml:space="preserve"> 18 ft.- 7 7/ 8"</v>
      </c>
      <c r="G116" s="2" t="str">
        <f>VLOOKUP([jobnumber],OvalData[],MATCH(Table2[[#Headers],[shell]],Table2[#Headers],0),0)</f>
        <v>6 INCH TUBE</v>
      </c>
      <c r="H116" s="2" t="str">
        <f>VLOOKUP([jobnumber],OvalData[],MATCH(Table2[[#Headers],[pipewidth]],Table2[#Headers],0),0)</f>
        <v xml:space="preserve"> 18 ft.- 1 3/ 8"</v>
      </c>
      <c r="I116" s="2">
        <f>VLOOKUP([jobnumber],OvalData[],MATCH(Table2[[#Headers],[Support Tubes]],Table2[#Headers],0),0)</f>
        <v>0</v>
      </c>
      <c r="J116" s="2">
        <f>VLOOKUP([jobnumber],OvalData[],MATCH(Table2[[#Headers],[Upset]],Table2[#Headers],0),0)</f>
        <v>2</v>
      </c>
      <c r="K116" s="2" t="str">
        <f>VLOOKUP([jobnumber],OvalData[],MATCH(Table2[[#Headers],[Guide Type]],Table2[#Headers],0),0)</f>
        <v>SN2-4 5/8-E</v>
      </c>
      <c r="L116" s="2" t="str">
        <f>VLOOKUP([jobnumber],OvalData[],MATCH(Table2[[#Headers],[Wall Angle]],Table2[#Headers],0),0)</f>
        <v xml:space="preserve"> 11 ft.- 8"</v>
      </c>
      <c r="M116" s="2" t="str">
        <f>VLOOKUP([jobnumber],OvalData[],MATCH(Table2[[#Headers],[Middle Angle]],Table2[#Headers],0),0)</f>
        <v xml:space="preserve"> 10 ft.- 4 1/ 2"</v>
      </c>
      <c r="N116" s="2" t="str">
        <f>VLOOKUP([jobnumber],OvalData[],MATCH(Table2[[#Headers],[Front Angle]],Table2[#Headers],0),0)</f>
        <v xml:space="preserve"> 10 ft.- 3"</v>
      </c>
      <c r="O116" s="2">
        <f>VLOOKUP([jobnumber],OvalData[],MATCH(Table2[[#Headers],[Pipe Center Line]],Table2[#Headers],0),0)</f>
        <v>131</v>
      </c>
      <c r="P116" s="2">
        <f>VLOOKUP([jobnumber],OvalData[],MATCH(Table2[[#Headers],[Heat Expansion Gap]],Table2[#Headers],0),0)</f>
        <v>0</v>
      </c>
      <c r="Q116" s="2">
        <f>VLOOKUP([jobnumber],OvalData[],MATCH(Table2[[#Headers],[Hanging Weight Closed]],Table2[#Headers],0),0)</f>
        <v>795</v>
      </c>
      <c r="R116" s="2">
        <f>VLOOKUP([jobnumber],OvalData[],MATCH(Table2[[#Headers],[Hanging Weight Open]],Table2[#Headers],0),0)</f>
        <v>140</v>
      </c>
      <c r="S116" s="2">
        <f>VLOOKUP([jobnumber],OvalData[],MATCH(Table2[[#Headers],[Initial Lever Arm]],Table2[#Headers],0),0)</f>
        <v>4.25</v>
      </c>
      <c r="T116" s="2">
        <f>VLOOKUP([jobnumber],OvalData[],MATCH(Table2[[#Headers],[Turns to Raise]],Table2[#Headers],0),0)</f>
        <v>3.5859999999999999</v>
      </c>
      <c r="U116" s="2">
        <f>VLOOKUP([jobnumber],OvalData[],MATCH(Table2[[#Headers],[Final Lever Arm]],Table2[#Headers],0),0)</f>
        <v>6.37</v>
      </c>
      <c r="V116" s="2">
        <f>VLOOKUP([jobnumber],OvalData[],MATCH(Table2[[#Headers],[Torque Required Closed]],Table2[#Headers],0),0)</f>
        <v>3377.9</v>
      </c>
      <c r="W116" s="2">
        <f>VLOOKUP([jobnumber],OvalData[],MATCH(Table2[[#Headers],[Torque Required Open]],Table2[#Headers],0),0)</f>
        <v>892</v>
      </c>
      <c r="X116" s="2">
        <f>VLOOKUP([jobnumber],OvalData[],MATCH(Table2[[#Headers],[Pre Turns]],Table2[#Headers],0),0)</f>
        <v>1.3332999999999999</v>
      </c>
      <c r="Y116" s="2">
        <f>VLOOKUP([jobnumber],OvalData[],MATCH(Table2[[#Headers],[Required Torque Per Turn]],Table2[#Headers],0),0)</f>
        <v>688</v>
      </c>
      <c r="Z116" s="2">
        <f>VLOOKUP([jobnumber],OvalData[],MATCH(Table2[[#Headers],[Total Turns]],Table2[#Headers],0),0)</f>
        <v>4.91</v>
      </c>
      <c r="AA116" s="2">
        <f>VLOOKUP([jobnumber],OvalData[],MATCH(Table2[[#Headers],[Grille Vision Section]],Table2[#Headers],0),0)</f>
        <v>0</v>
      </c>
      <c r="AB116" s="2">
        <f>VLOOKUP([jobnumber],OvalData[],MATCH(Table2[[#Headers],[Grille Amount]],Table2[#Headers],0),0)</f>
        <v>0</v>
      </c>
      <c r="AC116" s="2">
        <f>VLOOKUP([jobnumber],OvalData[],MATCH(Table2[[#Headers],[Grille Center]],Table2[#Headers],0),0)</f>
        <v>0</v>
      </c>
      <c r="AD116" s="2">
        <f>VLOOKUP([jobnumber],OvalData[],MATCH(Table2[[#Headers],[Grille Pattern]],Table2[#Headers],0),0)</f>
        <v>0</v>
      </c>
      <c r="AE116" s="2">
        <f>VLOOKUP([jobnumber],OvalData[],MATCH(Table2[[#Headers],[Grille First Tube]],Table2[#Headers],0),0)</f>
        <v>0</v>
      </c>
      <c r="AF116" s="2">
        <f>VLOOKUP([jobnumber],OvalData[],MATCH(Table2[[#Headers],[Grille Standard Tube]],Table2[#Headers],0),0)</f>
        <v>0</v>
      </c>
      <c r="AG116" s="2">
        <f>VLOOKUP([jobnumber],OvalData[],MATCH(Table2[[#Headers],[Grille Total Links]],Table2[#Headers],0),0)</f>
        <v>0</v>
      </c>
      <c r="AH116" s="2">
        <f>VLOOKUP([jobnumber],OvalData[],MATCH(Table2[[#Headers],[Grille Rods]],Table2[#Headers],0),0)</f>
        <v>0</v>
      </c>
      <c r="AI116" s="2">
        <f>VLOOKUP([jobnumber],OvalData[],MATCH(Table2[[#Headers],[Grille Rod Length]],Table2[#Headers],0),0)</f>
        <v>0</v>
      </c>
      <c r="AJ116" s="2">
        <f>VLOOKUP([jobnumber],OvalData[],MATCH(Table2[[#Headers],[slattype]],Table2[#Headers],0),0)</f>
        <v>2</v>
      </c>
      <c r="AK116" s="2">
        <f>VLOOKUP([jobnumber],OvalData[],MATCH(Table2[[#Headers],[slatgage]],Table2[#Headers],0),0)</f>
        <v>18</v>
      </c>
      <c r="AL116" s="2">
        <f>VLOOKUP([jobnumber],OvalData[],MATCH(Table2[[#Headers],[Numer of Top Slats]],Table2[#Headers],0),0)</f>
        <v>0</v>
      </c>
      <c r="AM116" s="2">
        <f>VLOOKUP([jobnumber],OvalData[],MATCH(Table2[[#Headers],[Number of Bottom Slats]],Table2[#Headers],0),0)</f>
        <v>0</v>
      </c>
      <c r="AN116" s="2">
        <f>VLOOKUP([jobnumber],OvalData[],MATCH(Table2[[#Headers],[Solid Bottom Height]],Table2[#Headers],0),0)</f>
        <v>0</v>
      </c>
      <c r="AO116" s="2" t="str">
        <f>VLOOKUP([jobnumber],OvalData[],MATCH(Table2[[#Headers],[slatlength]],Table2[#Headers],0),0)</f>
        <v xml:space="preserve"> 18 ft.- 5 7/ 8"</v>
      </c>
      <c r="AP116" s="2">
        <f>VLOOKUP([jobnumber],OvalData[],MATCH(Table2[[#Headers],[Bottom Slat Length]],Table2[#Headers],0),0)</f>
        <v>0</v>
      </c>
      <c r="AQ116" s="2">
        <f>VLOOKUP([jobnumber],OvalData[],MATCH(Table2[[#Headers],[Number of Perferated Slats]],Table2[#Headers],0),0)</f>
        <v>0</v>
      </c>
      <c r="AR116" s="2">
        <f>VLOOKUP([jobnumber],OvalData[],MATCH(Table2[[#Headers],[First Preferated Slat From End]],Table2[#Headers],0),0)</f>
        <v>0</v>
      </c>
      <c r="AS116" s="2">
        <f>VLOOKUP([jobnumber],OvalData[],MATCH(Table2[[#Headers],[First Preferated Slat From Bottom]],Table2[#Headers],0),0)</f>
        <v>0</v>
      </c>
      <c r="AT116" s="2">
        <f>VLOOKUP([jobnumber],OvalData[],MATCH(Table2[[#Headers],[Total Number of Slats]],Table2[#Headers],0),0)</f>
        <v>51</v>
      </c>
      <c r="AU116" s="2">
        <f>VLOOKUP([jobnumber],OvalData[],MATCH(Table2[[#Headers],[Bottom Bar Slope]],Table2[#Headers],0),0)</f>
        <v>0</v>
      </c>
      <c r="AV116" s="2">
        <f>VLOOKUP([jobnumber],OvalData[],MATCH(Table2[[#Headers],[Bottom Bar Weight]],Table2[#Headers],0),0)</f>
        <v>80.5</v>
      </c>
      <c r="AW116" s="2" t="str">
        <f>VLOOKUP([jobnumber],OvalData[],MATCH(Table2[[#Headers],[Outer Spring Gage]],Table2[#Headers],0),0)</f>
        <v>Null</v>
      </c>
      <c r="AX116" s="2" t="str">
        <f>VLOOKUP([jobnumber],OvalData[],MATCH(Table2[[#Headers],[Outer Spring OD]],Table2[#Headers],0),0)</f>
        <v>Null</v>
      </c>
      <c r="AY116" s="2" t="str">
        <f>VLOOKUP([jobnumber],OvalData[],MATCH(Table2[[#Headers],[Outer Spring Length]],Table2[#Headers],0),0)</f>
        <v>Null</v>
      </c>
      <c r="AZ116" s="2" t="str">
        <f>VLOOKUP([jobnumber],OvalData[],MATCH(Table2[[#Headers],[Outer Spring Stretch]],Table2[#Headers],0),0)</f>
        <v>Null</v>
      </c>
      <c r="BA116" s="2" t="str">
        <f>VLOOKUP([jobnumber],OvalData[],MATCH(Table2[[#Headers],[Outer Spring Torque]],Table2[#Headers],0),0)</f>
        <v>Null</v>
      </c>
      <c r="BB116" s="2" t="str">
        <f>VLOOKUP([jobnumber],OvalData[],MATCH(Table2[[#Headers],[Outer Spring Max Turns]],Table2[#Headers],0),0)</f>
        <v>Null</v>
      </c>
      <c r="BC116" s="2" t="str">
        <f>VLOOKUP([jobnumber],OvalData[],MATCH(Table2[[#Headers],[Outer Spring Weight]],Table2[#Headers],0),0)</f>
        <v>Null</v>
      </c>
      <c r="BD116" s="2" t="str">
        <f>VLOOKUP([jobnumber],OvalData[],MATCH(Table2[[#Headers],[Inner Spring Gage]],Table2[#Headers],0),0)</f>
        <v>Null</v>
      </c>
      <c r="BE116" s="2" t="str">
        <f>VLOOKUP([jobnumber],OvalData[],MATCH(Table2[[#Headers],[Inner Spring OD]],Table2[#Headers],0),0)</f>
        <v>Null</v>
      </c>
      <c r="BF116" s="2" t="str">
        <f>VLOOKUP([jobnumber],OvalData[],MATCH(Table2[[#Headers],[Inner Spring Length]],Table2[#Headers],0),0)</f>
        <v>Null</v>
      </c>
      <c r="BG116" s="2" t="str">
        <f>VLOOKUP([jobnumber],OvalData[],MATCH(Table2[[#Headers],[Inner Spring Stretch]],Table2[#Headers],0),0)</f>
        <v>Null</v>
      </c>
      <c r="BH116" s="2" t="str">
        <f>VLOOKUP([jobnumber],OvalData[],MATCH(Table2[[#Headers],[Inner Spring Torque]],Table2[#Headers],0),0)</f>
        <v>Null</v>
      </c>
      <c r="BI116" s="2" t="str">
        <f>VLOOKUP([jobnumber],OvalData[],MATCH(Table2[[#Headers],[Inner Spring Max Turns]],Table2[#Headers],0),0)</f>
        <v>Null</v>
      </c>
      <c r="BJ116" s="2" t="str">
        <f>VLOOKUP([jobnumber],OvalData[],MATCH(Table2[[#Headers],[Inner Spring Weight]],Table2[#Headers],0),0)</f>
        <v>Null</v>
      </c>
      <c r="BK116" s="2">
        <f>VLOOKUP([jobnumber],OvalData[],MATCH(Table2[[#Headers],[Cycles]],Table2[#Headers],0),0)</f>
        <v>0</v>
      </c>
      <c r="BL116" s="2">
        <f>VLOOKUP([jobnumber],OvalData[],MATCH(Table2[[#Headers],[Total Spring Torque]],Table2[#Headers],0),0)</f>
        <v>0</v>
      </c>
      <c r="BM116" s="2">
        <f>VLOOKUP([jobnumber],OvalData[],MATCH(Table2[[#Headers],[Total Spring Weight]],Table2[#Headers],0),0)</f>
        <v>0</v>
      </c>
      <c r="BN116" s="2">
        <f>VLOOKUP([jobnumber],OvalData[],MATCH(Table2[[#Headers],[Pipe Weight]],Table2[#Headers],0),0)</f>
        <v>688.24239999999998</v>
      </c>
      <c r="BO116" s="2">
        <f>VLOOKUP([jobnumber],OvalData[],MATCH(Table2[[#Headers],[Max Pipe Deflection]],Table2[#Headers],0),0)</f>
        <v>2309</v>
      </c>
      <c r="BP116" s="2">
        <f>VLOOKUP([jobnumber],OvalData[],MATCH(Table2[[#Headers],[Number Non-Insulated Wrap Slats]],Table2[#Headers],0),0)</f>
        <v>0</v>
      </c>
      <c r="BQ116" s="2">
        <f>VLOOKUP([jobnumber],OvalData[],MATCH(Table2[[#Headers],[Number of Insolated Top Slats]],Table2[#Headers],0),0)</f>
        <v>45</v>
      </c>
      <c r="BR116" s="2">
        <f>VLOOKUP([jobnumber],OvalData[],MATCH(Table2[[#Headers],[Insolated Total Slats]],Table2[#Headers],0),0)</f>
        <v>45</v>
      </c>
      <c r="BS116" s="2">
        <f>VLOOKUP([jobnumber],OvalData[],MATCH(Table2[[#Headers],[Number of Slats]],Table2[#Headers],0),0)</f>
        <v>44.69</v>
      </c>
      <c r="BT116" s="2">
        <f>VLOOKUP([jobnumber],OvalData[],MATCH(Table2[[#Headers],[Wrap]],Table2[#Headers],0),0)</f>
        <v>0</v>
      </c>
      <c r="BU116" s="2">
        <f>VLOOKUP([jobnumber],OvalData[],MATCH(Table2[[#Headers],[Wall Angle Thickness]],Table2[#Headers],0),0)</f>
        <v>0</v>
      </c>
      <c r="BV116" s="2">
        <f>VLOOKUP([jobnumber],OvalData[],MATCH(Table2[[#Headers],[windlocks]],Table2[#Headers],0),0)</f>
        <v>0</v>
      </c>
      <c r="BW116" s="2" t="str">
        <f>VLOOKUP([jobnumber],OvalData[],MATCH(Table2[[#Headers],[bottombartype]],Table2[#Headers],0),0)</f>
        <v>SPECIAL</v>
      </c>
      <c r="BX116" s="2">
        <f>VLOOKUP([jobnumber],OvalData[],MATCH(Table2[[#Headers],[endlockweight]],Table2[#Headers],0),0)</f>
        <v>0.17</v>
      </c>
      <c r="BY116" s="2">
        <f>VLOOKUP([jobnumber],OvalData[],MATCH(Table2[[#Headers],[Endlock Total Weight]],Table2[#Headers],0),0)</f>
        <v>7.5972999999999997</v>
      </c>
      <c r="BZ116" s="2">
        <f>VLOOKUP([jobnumber],OvalData[],MATCH(Table2[[#Headers],[Grille Weight]],Table2[#Headers],0),0)</f>
        <v>0</v>
      </c>
      <c r="CA116" s="2">
        <f>VLOOKUP([jobnumber],OvalData[],MATCH(Table2[[#Headers],[barrelrings]],Table2[#Headers],0),0)</f>
        <v>1</v>
      </c>
    </row>
    <row r="117" spans="2:79">
      <c r="B117" s="2" t="str">
        <f>VLOOKUP([jobnumber],OvalData[],MATCH(Table2[[#Headers],[Hand]],Table2[#Headers],0),0)</f>
        <v>RH</v>
      </c>
      <c r="C117" s="2" t="str">
        <f>VLOOKUP([jobnumber],OvalData[],MATCH(Table2[[#Headers],[Model]],Table2[#Headers],0),0)</f>
        <v>SFMPP</v>
      </c>
      <c r="D117" s="2" t="str">
        <f>VLOOKUP([jobnumber],OvalData[],MATCH(Table2[[#Headers],[width]],Table2[#Headers],0),0)</f>
        <v xml:space="preserve"> 18 ft.- 2"</v>
      </c>
      <c r="E117" s="2" t="str">
        <f>VLOOKUP([jobnumber],OvalData[],MATCH(Table2[[#Headers],[stopheight]],Table2[#Headers],0),0)</f>
        <v xml:space="preserve"> 10 ft.- 0"</v>
      </c>
      <c r="F117" s="2" t="str">
        <f>VLOOKUP([jobnumber],OvalData[],MATCH(Table2[[#Headers],[Between Brackets]],Table2[#Headers],0),0)</f>
        <v xml:space="preserve"> 18 ft.- 7 7/ 8"</v>
      </c>
      <c r="G117" s="2" t="str">
        <f>VLOOKUP([jobnumber],OvalData[],MATCH(Table2[[#Headers],[shell]],Table2[#Headers],0),0)</f>
        <v>6 INCH TUBE</v>
      </c>
      <c r="H117" s="2" t="str">
        <f>VLOOKUP([jobnumber],OvalData[],MATCH(Table2[[#Headers],[pipewidth]],Table2[#Headers],0),0)</f>
        <v xml:space="preserve"> 18 ft.- 1 3/ 8"</v>
      </c>
      <c r="I117" s="2">
        <f>VLOOKUP([jobnumber],OvalData[],MATCH(Table2[[#Headers],[Support Tubes]],Table2[#Headers],0),0)</f>
        <v>0</v>
      </c>
      <c r="J117" s="2">
        <f>VLOOKUP([jobnumber],OvalData[],MATCH(Table2[[#Headers],[Upset]],Table2[#Headers],0),0)</f>
        <v>2</v>
      </c>
      <c r="K117" s="2" t="str">
        <f>VLOOKUP([jobnumber],OvalData[],MATCH(Table2[[#Headers],[Guide Type]],Table2[#Headers],0),0)</f>
        <v>SN2-4 5/8-E</v>
      </c>
      <c r="L117" s="2" t="str">
        <f>VLOOKUP([jobnumber],OvalData[],MATCH(Table2[[#Headers],[Wall Angle]],Table2[#Headers],0),0)</f>
        <v xml:space="preserve"> 11 ft.- 8"</v>
      </c>
      <c r="M117" s="2" t="str">
        <f>VLOOKUP([jobnumber],OvalData[],MATCH(Table2[[#Headers],[Middle Angle]],Table2[#Headers],0),0)</f>
        <v xml:space="preserve"> 10 ft.- 4 1/ 2"</v>
      </c>
      <c r="N117" s="2" t="str">
        <f>VLOOKUP([jobnumber],OvalData[],MATCH(Table2[[#Headers],[Front Angle]],Table2[#Headers],0),0)</f>
        <v xml:space="preserve"> 10 ft.- 3"</v>
      </c>
      <c r="O117" s="2">
        <f>VLOOKUP([jobnumber],OvalData[],MATCH(Table2[[#Headers],[Pipe Center Line]],Table2[#Headers],0),0)</f>
        <v>131</v>
      </c>
      <c r="P117" s="2">
        <f>VLOOKUP([jobnumber],OvalData[],MATCH(Table2[[#Headers],[Heat Expansion Gap]],Table2[#Headers],0),0)</f>
        <v>0</v>
      </c>
      <c r="Q117" s="2">
        <f>VLOOKUP([jobnumber],OvalData[],MATCH(Table2[[#Headers],[Hanging Weight Closed]],Table2[#Headers],0),0)</f>
        <v>795</v>
      </c>
      <c r="R117" s="2">
        <f>VLOOKUP([jobnumber],OvalData[],MATCH(Table2[[#Headers],[Hanging Weight Open]],Table2[#Headers],0),0)</f>
        <v>140</v>
      </c>
      <c r="S117" s="2">
        <f>VLOOKUP([jobnumber],OvalData[],MATCH(Table2[[#Headers],[Initial Lever Arm]],Table2[#Headers],0),0)</f>
        <v>4.25</v>
      </c>
      <c r="T117" s="2">
        <f>VLOOKUP([jobnumber],OvalData[],MATCH(Table2[[#Headers],[Turns to Raise]],Table2[#Headers],0),0)</f>
        <v>3.5859999999999999</v>
      </c>
      <c r="U117" s="2">
        <f>VLOOKUP([jobnumber],OvalData[],MATCH(Table2[[#Headers],[Final Lever Arm]],Table2[#Headers],0),0)</f>
        <v>6.37</v>
      </c>
      <c r="V117" s="2">
        <f>VLOOKUP([jobnumber],OvalData[],MATCH(Table2[[#Headers],[Torque Required Closed]],Table2[#Headers],0),0)</f>
        <v>3377.9</v>
      </c>
      <c r="W117" s="2">
        <f>VLOOKUP([jobnumber],OvalData[],MATCH(Table2[[#Headers],[Torque Required Open]],Table2[#Headers],0),0)</f>
        <v>892</v>
      </c>
      <c r="X117" s="2">
        <f>VLOOKUP([jobnumber],OvalData[],MATCH(Table2[[#Headers],[Pre Turns]],Table2[#Headers],0),0)</f>
        <v>1.3332999999999999</v>
      </c>
      <c r="Y117" s="2">
        <f>VLOOKUP([jobnumber],OvalData[],MATCH(Table2[[#Headers],[Required Torque Per Turn]],Table2[#Headers],0),0)</f>
        <v>688</v>
      </c>
      <c r="Z117" s="2">
        <f>VLOOKUP([jobnumber],OvalData[],MATCH(Table2[[#Headers],[Total Turns]],Table2[#Headers],0),0)</f>
        <v>4.91</v>
      </c>
      <c r="AA117" s="2">
        <f>VLOOKUP([jobnumber],OvalData[],MATCH(Table2[[#Headers],[Grille Vision Section]],Table2[#Headers],0),0)</f>
        <v>0</v>
      </c>
      <c r="AB117" s="2">
        <f>VLOOKUP([jobnumber],OvalData[],MATCH(Table2[[#Headers],[Grille Amount]],Table2[#Headers],0),0)</f>
        <v>0</v>
      </c>
      <c r="AC117" s="2">
        <f>VLOOKUP([jobnumber],OvalData[],MATCH(Table2[[#Headers],[Grille Center]],Table2[#Headers],0),0)</f>
        <v>0</v>
      </c>
      <c r="AD117" s="2">
        <f>VLOOKUP([jobnumber],OvalData[],MATCH(Table2[[#Headers],[Grille Pattern]],Table2[#Headers],0),0)</f>
        <v>0</v>
      </c>
      <c r="AE117" s="2">
        <f>VLOOKUP([jobnumber],OvalData[],MATCH(Table2[[#Headers],[Grille First Tube]],Table2[#Headers],0),0)</f>
        <v>0</v>
      </c>
      <c r="AF117" s="2">
        <f>VLOOKUP([jobnumber],OvalData[],MATCH(Table2[[#Headers],[Grille Standard Tube]],Table2[#Headers],0),0)</f>
        <v>0</v>
      </c>
      <c r="AG117" s="2">
        <f>VLOOKUP([jobnumber],OvalData[],MATCH(Table2[[#Headers],[Grille Total Links]],Table2[#Headers],0),0)</f>
        <v>0</v>
      </c>
      <c r="AH117" s="2">
        <f>VLOOKUP([jobnumber],OvalData[],MATCH(Table2[[#Headers],[Grille Rods]],Table2[#Headers],0),0)</f>
        <v>0</v>
      </c>
      <c r="AI117" s="2">
        <f>VLOOKUP([jobnumber],OvalData[],MATCH(Table2[[#Headers],[Grille Rod Length]],Table2[#Headers],0),0)</f>
        <v>0</v>
      </c>
      <c r="AJ117" s="2">
        <f>VLOOKUP([jobnumber],OvalData[],MATCH(Table2[[#Headers],[slattype]],Table2[#Headers],0),0)</f>
        <v>2</v>
      </c>
      <c r="AK117" s="2">
        <f>VLOOKUP([jobnumber],OvalData[],MATCH(Table2[[#Headers],[slatgage]],Table2[#Headers],0),0)</f>
        <v>18</v>
      </c>
      <c r="AL117" s="2">
        <f>VLOOKUP([jobnumber],OvalData[],MATCH(Table2[[#Headers],[Numer of Top Slats]],Table2[#Headers],0),0)</f>
        <v>0</v>
      </c>
      <c r="AM117" s="2">
        <f>VLOOKUP([jobnumber],OvalData[],MATCH(Table2[[#Headers],[Number of Bottom Slats]],Table2[#Headers],0),0)</f>
        <v>0</v>
      </c>
      <c r="AN117" s="2">
        <f>VLOOKUP([jobnumber],OvalData[],MATCH(Table2[[#Headers],[Solid Bottom Height]],Table2[#Headers],0),0)</f>
        <v>0</v>
      </c>
      <c r="AO117" s="2" t="str">
        <f>VLOOKUP([jobnumber],OvalData[],MATCH(Table2[[#Headers],[slatlength]],Table2[#Headers],0),0)</f>
        <v xml:space="preserve"> 18 ft.- 5 7/ 8"</v>
      </c>
      <c r="AP117" s="2">
        <f>VLOOKUP([jobnumber],OvalData[],MATCH(Table2[[#Headers],[Bottom Slat Length]],Table2[#Headers],0),0)</f>
        <v>0</v>
      </c>
      <c r="AQ117" s="2">
        <f>VLOOKUP([jobnumber],OvalData[],MATCH(Table2[[#Headers],[Number of Perferated Slats]],Table2[#Headers],0),0)</f>
        <v>0</v>
      </c>
      <c r="AR117" s="2">
        <f>VLOOKUP([jobnumber],OvalData[],MATCH(Table2[[#Headers],[First Preferated Slat From End]],Table2[#Headers],0),0)</f>
        <v>0</v>
      </c>
      <c r="AS117" s="2">
        <f>VLOOKUP([jobnumber],OvalData[],MATCH(Table2[[#Headers],[First Preferated Slat From Bottom]],Table2[#Headers],0),0)</f>
        <v>0</v>
      </c>
      <c r="AT117" s="2">
        <f>VLOOKUP([jobnumber],OvalData[],MATCH(Table2[[#Headers],[Total Number of Slats]],Table2[#Headers],0),0)</f>
        <v>51</v>
      </c>
      <c r="AU117" s="2">
        <f>VLOOKUP([jobnumber],OvalData[],MATCH(Table2[[#Headers],[Bottom Bar Slope]],Table2[#Headers],0),0)</f>
        <v>0</v>
      </c>
      <c r="AV117" s="2">
        <f>VLOOKUP([jobnumber],OvalData[],MATCH(Table2[[#Headers],[Bottom Bar Weight]],Table2[#Headers],0),0)</f>
        <v>80.5</v>
      </c>
      <c r="AW117" s="2" t="str">
        <f>VLOOKUP([jobnumber],OvalData[],MATCH(Table2[[#Headers],[Outer Spring Gage]],Table2[#Headers],0),0)</f>
        <v>Null</v>
      </c>
      <c r="AX117" s="2" t="str">
        <f>VLOOKUP([jobnumber],OvalData[],MATCH(Table2[[#Headers],[Outer Spring OD]],Table2[#Headers],0),0)</f>
        <v>Null</v>
      </c>
      <c r="AY117" s="2" t="str">
        <f>VLOOKUP([jobnumber],OvalData[],MATCH(Table2[[#Headers],[Outer Spring Length]],Table2[#Headers],0),0)</f>
        <v>Null</v>
      </c>
      <c r="AZ117" s="2" t="str">
        <f>VLOOKUP([jobnumber],OvalData[],MATCH(Table2[[#Headers],[Outer Spring Stretch]],Table2[#Headers],0),0)</f>
        <v>Null</v>
      </c>
      <c r="BA117" s="2" t="str">
        <f>VLOOKUP([jobnumber],OvalData[],MATCH(Table2[[#Headers],[Outer Spring Torque]],Table2[#Headers],0),0)</f>
        <v>Null</v>
      </c>
      <c r="BB117" s="2" t="str">
        <f>VLOOKUP([jobnumber],OvalData[],MATCH(Table2[[#Headers],[Outer Spring Max Turns]],Table2[#Headers],0),0)</f>
        <v>Null</v>
      </c>
      <c r="BC117" s="2" t="str">
        <f>VLOOKUP([jobnumber],OvalData[],MATCH(Table2[[#Headers],[Outer Spring Weight]],Table2[#Headers],0),0)</f>
        <v>Null</v>
      </c>
      <c r="BD117" s="2" t="str">
        <f>VLOOKUP([jobnumber],OvalData[],MATCH(Table2[[#Headers],[Inner Spring Gage]],Table2[#Headers],0),0)</f>
        <v>Null</v>
      </c>
      <c r="BE117" s="2" t="str">
        <f>VLOOKUP([jobnumber],OvalData[],MATCH(Table2[[#Headers],[Inner Spring OD]],Table2[#Headers],0),0)</f>
        <v>Null</v>
      </c>
      <c r="BF117" s="2" t="str">
        <f>VLOOKUP([jobnumber],OvalData[],MATCH(Table2[[#Headers],[Inner Spring Length]],Table2[#Headers],0),0)</f>
        <v>Null</v>
      </c>
      <c r="BG117" s="2" t="str">
        <f>VLOOKUP([jobnumber],OvalData[],MATCH(Table2[[#Headers],[Inner Spring Stretch]],Table2[#Headers],0),0)</f>
        <v>Null</v>
      </c>
      <c r="BH117" s="2" t="str">
        <f>VLOOKUP([jobnumber],OvalData[],MATCH(Table2[[#Headers],[Inner Spring Torque]],Table2[#Headers],0),0)</f>
        <v>Null</v>
      </c>
      <c r="BI117" s="2" t="str">
        <f>VLOOKUP([jobnumber],OvalData[],MATCH(Table2[[#Headers],[Inner Spring Max Turns]],Table2[#Headers],0),0)</f>
        <v>Null</v>
      </c>
      <c r="BJ117" s="2" t="str">
        <f>VLOOKUP([jobnumber],OvalData[],MATCH(Table2[[#Headers],[Inner Spring Weight]],Table2[#Headers],0),0)</f>
        <v>Null</v>
      </c>
      <c r="BK117" s="2">
        <f>VLOOKUP([jobnumber],OvalData[],MATCH(Table2[[#Headers],[Cycles]],Table2[#Headers],0),0)</f>
        <v>0</v>
      </c>
      <c r="BL117" s="2">
        <f>VLOOKUP([jobnumber],OvalData[],MATCH(Table2[[#Headers],[Total Spring Torque]],Table2[#Headers],0),0)</f>
        <v>0</v>
      </c>
      <c r="BM117" s="2">
        <f>VLOOKUP([jobnumber],OvalData[],MATCH(Table2[[#Headers],[Total Spring Weight]],Table2[#Headers],0),0)</f>
        <v>0</v>
      </c>
      <c r="BN117" s="2">
        <f>VLOOKUP([jobnumber],OvalData[],MATCH(Table2[[#Headers],[Pipe Weight]],Table2[#Headers],0),0)</f>
        <v>688.24239999999998</v>
      </c>
      <c r="BO117" s="2">
        <f>VLOOKUP([jobnumber],OvalData[],MATCH(Table2[[#Headers],[Max Pipe Deflection]],Table2[#Headers],0),0)</f>
        <v>2309</v>
      </c>
      <c r="BP117" s="2">
        <f>VLOOKUP([jobnumber],OvalData[],MATCH(Table2[[#Headers],[Number Non-Insulated Wrap Slats]],Table2[#Headers],0),0)</f>
        <v>0</v>
      </c>
      <c r="BQ117" s="2">
        <f>VLOOKUP([jobnumber],OvalData[],MATCH(Table2[[#Headers],[Number of Insolated Top Slats]],Table2[#Headers],0),0)</f>
        <v>45</v>
      </c>
      <c r="BR117" s="2">
        <f>VLOOKUP([jobnumber],OvalData[],MATCH(Table2[[#Headers],[Insolated Total Slats]],Table2[#Headers],0),0)</f>
        <v>45</v>
      </c>
      <c r="BS117" s="2">
        <f>VLOOKUP([jobnumber],OvalData[],MATCH(Table2[[#Headers],[Number of Slats]],Table2[#Headers],0),0)</f>
        <v>44.69</v>
      </c>
      <c r="BT117" s="2">
        <f>VLOOKUP([jobnumber],OvalData[],MATCH(Table2[[#Headers],[Wrap]],Table2[#Headers],0),0)</f>
        <v>0</v>
      </c>
      <c r="BU117" s="2">
        <f>VLOOKUP([jobnumber],OvalData[],MATCH(Table2[[#Headers],[Wall Angle Thickness]],Table2[#Headers],0),0)</f>
        <v>0</v>
      </c>
      <c r="BV117" s="2">
        <f>VLOOKUP([jobnumber],OvalData[],MATCH(Table2[[#Headers],[windlocks]],Table2[#Headers],0),0)</f>
        <v>0</v>
      </c>
      <c r="BW117" s="2" t="str">
        <f>VLOOKUP([jobnumber],OvalData[],MATCH(Table2[[#Headers],[bottombartype]],Table2[#Headers],0),0)</f>
        <v>SPECIAL</v>
      </c>
      <c r="BX117" s="2">
        <f>VLOOKUP([jobnumber],OvalData[],MATCH(Table2[[#Headers],[endlockweight]],Table2[#Headers],0),0)</f>
        <v>0.17</v>
      </c>
      <c r="BY117" s="2">
        <f>VLOOKUP([jobnumber],OvalData[],MATCH(Table2[[#Headers],[Endlock Total Weight]],Table2[#Headers],0),0)</f>
        <v>7.5972999999999997</v>
      </c>
      <c r="BZ117" s="2">
        <f>VLOOKUP([jobnumber],OvalData[],MATCH(Table2[[#Headers],[Grille Weight]],Table2[#Headers],0),0)</f>
        <v>0</v>
      </c>
      <c r="CA117" s="2">
        <f>VLOOKUP([jobnumber],OvalData[],MATCH(Table2[[#Headers],[barrelrings]],Table2[#Headers],0),0)</f>
        <v>1</v>
      </c>
    </row>
    <row r="118" spans="2:79">
      <c r="B118" s="2" t="str">
        <f>VLOOKUP([jobnumber],OvalData[],MATCH(Table2[[#Headers],[Hand]],Table2[#Headers],0),0)</f>
        <v>RH</v>
      </c>
      <c r="C118" s="2" t="str">
        <f>VLOOKUP([jobnumber],OvalData[],MATCH(Table2[[#Headers],[Model]],Table2[#Headers],0),0)</f>
        <v>SFMPP</v>
      </c>
      <c r="D118" s="2" t="str">
        <f>VLOOKUP([jobnumber],OvalData[],MATCH(Table2[[#Headers],[width]],Table2[#Headers],0),0)</f>
        <v xml:space="preserve"> 18 ft.- 2"</v>
      </c>
      <c r="E118" s="2" t="str">
        <f>VLOOKUP([jobnumber],OvalData[],MATCH(Table2[[#Headers],[stopheight]],Table2[#Headers],0),0)</f>
        <v xml:space="preserve"> 10 ft.- 0"</v>
      </c>
      <c r="F118" s="2" t="str">
        <f>VLOOKUP([jobnumber],OvalData[],MATCH(Table2[[#Headers],[Between Brackets]],Table2[#Headers],0),0)</f>
        <v xml:space="preserve"> 18 ft.- 7 7/ 8"</v>
      </c>
      <c r="G118" s="2" t="str">
        <f>VLOOKUP([jobnumber],OvalData[],MATCH(Table2[[#Headers],[shell]],Table2[#Headers],0),0)</f>
        <v>6 INCH TUBE</v>
      </c>
      <c r="H118" s="2" t="str">
        <f>VLOOKUP([jobnumber],OvalData[],MATCH(Table2[[#Headers],[pipewidth]],Table2[#Headers],0),0)</f>
        <v xml:space="preserve"> 18 ft.- 1 3/ 8"</v>
      </c>
      <c r="I118" s="2">
        <f>VLOOKUP([jobnumber],OvalData[],MATCH(Table2[[#Headers],[Support Tubes]],Table2[#Headers],0),0)</f>
        <v>0</v>
      </c>
      <c r="J118" s="2">
        <f>VLOOKUP([jobnumber],OvalData[],MATCH(Table2[[#Headers],[Upset]],Table2[#Headers],0),0)</f>
        <v>2</v>
      </c>
      <c r="K118" s="2" t="str">
        <f>VLOOKUP([jobnumber],OvalData[],MATCH(Table2[[#Headers],[Guide Type]],Table2[#Headers],0),0)</f>
        <v>SN2-4 5/8-E</v>
      </c>
      <c r="L118" s="2" t="str">
        <f>VLOOKUP([jobnumber],OvalData[],MATCH(Table2[[#Headers],[Wall Angle]],Table2[#Headers],0),0)</f>
        <v xml:space="preserve"> 11 ft.- 8"</v>
      </c>
      <c r="M118" s="2" t="str">
        <f>VLOOKUP([jobnumber],OvalData[],MATCH(Table2[[#Headers],[Middle Angle]],Table2[#Headers],0),0)</f>
        <v xml:space="preserve"> 10 ft.- 4 1/ 2"</v>
      </c>
      <c r="N118" s="2" t="str">
        <f>VLOOKUP([jobnumber],OvalData[],MATCH(Table2[[#Headers],[Front Angle]],Table2[#Headers],0),0)</f>
        <v xml:space="preserve"> 10 ft.- 3"</v>
      </c>
      <c r="O118" s="2">
        <f>VLOOKUP([jobnumber],OvalData[],MATCH(Table2[[#Headers],[Pipe Center Line]],Table2[#Headers],0),0)</f>
        <v>131</v>
      </c>
      <c r="P118" s="2">
        <f>VLOOKUP([jobnumber],OvalData[],MATCH(Table2[[#Headers],[Heat Expansion Gap]],Table2[#Headers],0),0)</f>
        <v>0</v>
      </c>
      <c r="Q118" s="2">
        <f>VLOOKUP([jobnumber],OvalData[],MATCH(Table2[[#Headers],[Hanging Weight Closed]],Table2[#Headers],0),0)</f>
        <v>795</v>
      </c>
      <c r="R118" s="2">
        <f>VLOOKUP([jobnumber],OvalData[],MATCH(Table2[[#Headers],[Hanging Weight Open]],Table2[#Headers],0),0)</f>
        <v>140</v>
      </c>
      <c r="S118" s="2">
        <f>VLOOKUP([jobnumber],OvalData[],MATCH(Table2[[#Headers],[Initial Lever Arm]],Table2[#Headers],0),0)</f>
        <v>4.25</v>
      </c>
      <c r="T118" s="2">
        <f>VLOOKUP([jobnumber],OvalData[],MATCH(Table2[[#Headers],[Turns to Raise]],Table2[#Headers],0),0)</f>
        <v>3.5859999999999999</v>
      </c>
      <c r="U118" s="2">
        <f>VLOOKUP([jobnumber],OvalData[],MATCH(Table2[[#Headers],[Final Lever Arm]],Table2[#Headers],0),0)</f>
        <v>6.37</v>
      </c>
      <c r="V118" s="2">
        <f>VLOOKUP([jobnumber],OvalData[],MATCH(Table2[[#Headers],[Torque Required Closed]],Table2[#Headers],0),0)</f>
        <v>3377.9</v>
      </c>
      <c r="W118" s="2">
        <f>VLOOKUP([jobnumber],OvalData[],MATCH(Table2[[#Headers],[Torque Required Open]],Table2[#Headers],0),0)</f>
        <v>892</v>
      </c>
      <c r="X118" s="2">
        <f>VLOOKUP([jobnumber],OvalData[],MATCH(Table2[[#Headers],[Pre Turns]],Table2[#Headers],0),0)</f>
        <v>1.3332999999999999</v>
      </c>
      <c r="Y118" s="2">
        <f>VLOOKUP([jobnumber],OvalData[],MATCH(Table2[[#Headers],[Required Torque Per Turn]],Table2[#Headers],0),0)</f>
        <v>688</v>
      </c>
      <c r="Z118" s="2">
        <f>VLOOKUP([jobnumber],OvalData[],MATCH(Table2[[#Headers],[Total Turns]],Table2[#Headers],0),0)</f>
        <v>4.91</v>
      </c>
      <c r="AA118" s="2">
        <f>VLOOKUP([jobnumber],OvalData[],MATCH(Table2[[#Headers],[Grille Vision Section]],Table2[#Headers],0),0)</f>
        <v>0</v>
      </c>
      <c r="AB118" s="2">
        <f>VLOOKUP([jobnumber],OvalData[],MATCH(Table2[[#Headers],[Grille Amount]],Table2[#Headers],0),0)</f>
        <v>0</v>
      </c>
      <c r="AC118" s="2">
        <f>VLOOKUP([jobnumber],OvalData[],MATCH(Table2[[#Headers],[Grille Center]],Table2[#Headers],0),0)</f>
        <v>0</v>
      </c>
      <c r="AD118" s="2">
        <f>VLOOKUP([jobnumber],OvalData[],MATCH(Table2[[#Headers],[Grille Pattern]],Table2[#Headers],0),0)</f>
        <v>0</v>
      </c>
      <c r="AE118" s="2">
        <f>VLOOKUP([jobnumber],OvalData[],MATCH(Table2[[#Headers],[Grille First Tube]],Table2[#Headers],0),0)</f>
        <v>0</v>
      </c>
      <c r="AF118" s="2">
        <f>VLOOKUP([jobnumber],OvalData[],MATCH(Table2[[#Headers],[Grille Standard Tube]],Table2[#Headers],0),0)</f>
        <v>0</v>
      </c>
      <c r="AG118" s="2">
        <f>VLOOKUP([jobnumber],OvalData[],MATCH(Table2[[#Headers],[Grille Total Links]],Table2[#Headers],0),0)</f>
        <v>0</v>
      </c>
      <c r="AH118" s="2">
        <f>VLOOKUP([jobnumber],OvalData[],MATCH(Table2[[#Headers],[Grille Rods]],Table2[#Headers],0),0)</f>
        <v>0</v>
      </c>
      <c r="AI118" s="2">
        <f>VLOOKUP([jobnumber],OvalData[],MATCH(Table2[[#Headers],[Grille Rod Length]],Table2[#Headers],0),0)</f>
        <v>0</v>
      </c>
      <c r="AJ118" s="2">
        <f>VLOOKUP([jobnumber],OvalData[],MATCH(Table2[[#Headers],[slattype]],Table2[#Headers],0),0)</f>
        <v>2</v>
      </c>
      <c r="AK118" s="2">
        <f>VLOOKUP([jobnumber],OvalData[],MATCH(Table2[[#Headers],[slatgage]],Table2[#Headers],0),0)</f>
        <v>18</v>
      </c>
      <c r="AL118" s="2">
        <f>VLOOKUP([jobnumber],OvalData[],MATCH(Table2[[#Headers],[Numer of Top Slats]],Table2[#Headers],0),0)</f>
        <v>0</v>
      </c>
      <c r="AM118" s="2">
        <f>VLOOKUP([jobnumber],OvalData[],MATCH(Table2[[#Headers],[Number of Bottom Slats]],Table2[#Headers],0),0)</f>
        <v>0</v>
      </c>
      <c r="AN118" s="2">
        <f>VLOOKUP([jobnumber],OvalData[],MATCH(Table2[[#Headers],[Solid Bottom Height]],Table2[#Headers],0),0)</f>
        <v>0</v>
      </c>
      <c r="AO118" s="2" t="str">
        <f>VLOOKUP([jobnumber],OvalData[],MATCH(Table2[[#Headers],[slatlength]],Table2[#Headers],0),0)</f>
        <v xml:space="preserve"> 18 ft.- 5 7/ 8"</v>
      </c>
      <c r="AP118" s="2">
        <f>VLOOKUP([jobnumber],OvalData[],MATCH(Table2[[#Headers],[Bottom Slat Length]],Table2[#Headers],0),0)</f>
        <v>0</v>
      </c>
      <c r="AQ118" s="2">
        <f>VLOOKUP([jobnumber],OvalData[],MATCH(Table2[[#Headers],[Number of Perferated Slats]],Table2[#Headers],0),0)</f>
        <v>0</v>
      </c>
      <c r="AR118" s="2">
        <f>VLOOKUP([jobnumber],OvalData[],MATCH(Table2[[#Headers],[First Preferated Slat From End]],Table2[#Headers],0),0)</f>
        <v>0</v>
      </c>
      <c r="AS118" s="2">
        <f>VLOOKUP([jobnumber],OvalData[],MATCH(Table2[[#Headers],[First Preferated Slat From Bottom]],Table2[#Headers],0),0)</f>
        <v>0</v>
      </c>
      <c r="AT118" s="2">
        <f>VLOOKUP([jobnumber],OvalData[],MATCH(Table2[[#Headers],[Total Number of Slats]],Table2[#Headers],0),0)</f>
        <v>51</v>
      </c>
      <c r="AU118" s="2">
        <f>VLOOKUP([jobnumber],OvalData[],MATCH(Table2[[#Headers],[Bottom Bar Slope]],Table2[#Headers],0),0)</f>
        <v>0</v>
      </c>
      <c r="AV118" s="2">
        <f>VLOOKUP([jobnumber],OvalData[],MATCH(Table2[[#Headers],[Bottom Bar Weight]],Table2[#Headers],0),0)</f>
        <v>80.5</v>
      </c>
      <c r="AW118" s="2" t="str">
        <f>VLOOKUP([jobnumber],OvalData[],MATCH(Table2[[#Headers],[Outer Spring Gage]],Table2[#Headers],0),0)</f>
        <v>Null</v>
      </c>
      <c r="AX118" s="2" t="str">
        <f>VLOOKUP([jobnumber],OvalData[],MATCH(Table2[[#Headers],[Outer Spring OD]],Table2[#Headers],0),0)</f>
        <v>Null</v>
      </c>
      <c r="AY118" s="2" t="str">
        <f>VLOOKUP([jobnumber],OvalData[],MATCH(Table2[[#Headers],[Outer Spring Length]],Table2[#Headers],0),0)</f>
        <v>Null</v>
      </c>
      <c r="AZ118" s="2" t="str">
        <f>VLOOKUP([jobnumber],OvalData[],MATCH(Table2[[#Headers],[Outer Spring Stretch]],Table2[#Headers],0),0)</f>
        <v>Null</v>
      </c>
      <c r="BA118" s="2" t="str">
        <f>VLOOKUP([jobnumber],OvalData[],MATCH(Table2[[#Headers],[Outer Spring Torque]],Table2[#Headers],0),0)</f>
        <v>Null</v>
      </c>
      <c r="BB118" s="2" t="str">
        <f>VLOOKUP([jobnumber],OvalData[],MATCH(Table2[[#Headers],[Outer Spring Max Turns]],Table2[#Headers],0),0)</f>
        <v>Null</v>
      </c>
      <c r="BC118" s="2" t="str">
        <f>VLOOKUP([jobnumber],OvalData[],MATCH(Table2[[#Headers],[Outer Spring Weight]],Table2[#Headers],0),0)</f>
        <v>Null</v>
      </c>
      <c r="BD118" s="2" t="str">
        <f>VLOOKUP([jobnumber],OvalData[],MATCH(Table2[[#Headers],[Inner Spring Gage]],Table2[#Headers],0),0)</f>
        <v>Null</v>
      </c>
      <c r="BE118" s="2" t="str">
        <f>VLOOKUP([jobnumber],OvalData[],MATCH(Table2[[#Headers],[Inner Spring OD]],Table2[#Headers],0),0)</f>
        <v>Null</v>
      </c>
      <c r="BF118" s="2" t="str">
        <f>VLOOKUP([jobnumber],OvalData[],MATCH(Table2[[#Headers],[Inner Spring Length]],Table2[#Headers],0),0)</f>
        <v>Null</v>
      </c>
      <c r="BG118" s="2" t="str">
        <f>VLOOKUP([jobnumber],OvalData[],MATCH(Table2[[#Headers],[Inner Spring Stretch]],Table2[#Headers],0),0)</f>
        <v>Null</v>
      </c>
      <c r="BH118" s="2" t="str">
        <f>VLOOKUP([jobnumber],OvalData[],MATCH(Table2[[#Headers],[Inner Spring Torque]],Table2[#Headers],0),0)</f>
        <v>Null</v>
      </c>
      <c r="BI118" s="2" t="str">
        <f>VLOOKUP([jobnumber],OvalData[],MATCH(Table2[[#Headers],[Inner Spring Max Turns]],Table2[#Headers],0),0)</f>
        <v>Null</v>
      </c>
      <c r="BJ118" s="2" t="str">
        <f>VLOOKUP([jobnumber],OvalData[],MATCH(Table2[[#Headers],[Inner Spring Weight]],Table2[#Headers],0),0)</f>
        <v>Null</v>
      </c>
      <c r="BK118" s="2">
        <f>VLOOKUP([jobnumber],OvalData[],MATCH(Table2[[#Headers],[Cycles]],Table2[#Headers],0),0)</f>
        <v>0</v>
      </c>
      <c r="BL118" s="2">
        <f>VLOOKUP([jobnumber],OvalData[],MATCH(Table2[[#Headers],[Total Spring Torque]],Table2[#Headers],0),0)</f>
        <v>0</v>
      </c>
      <c r="BM118" s="2">
        <f>VLOOKUP([jobnumber],OvalData[],MATCH(Table2[[#Headers],[Total Spring Weight]],Table2[#Headers],0),0)</f>
        <v>0</v>
      </c>
      <c r="BN118" s="2">
        <f>VLOOKUP([jobnumber],OvalData[],MATCH(Table2[[#Headers],[Pipe Weight]],Table2[#Headers],0),0)</f>
        <v>688.24239999999998</v>
      </c>
      <c r="BO118" s="2">
        <f>VLOOKUP([jobnumber],OvalData[],MATCH(Table2[[#Headers],[Max Pipe Deflection]],Table2[#Headers],0),0)</f>
        <v>2309</v>
      </c>
      <c r="BP118" s="2">
        <f>VLOOKUP([jobnumber],OvalData[],MATCH(Table2[[#Headers],[Number Non-Insulated Wrap Slats]],Table2[#Headers],0),0)</f>
        <v>0</v>
      </c>
      <c r="BQ118" s="2">
        <f>VLOOKUP([jobnumber],OvalData[],MATCH(Table2[[#Headers],[Number of Insolated Top Slats]],Table2[#Headers],0),0)</f>
        <v>45</v>
      </c>
      <c r="BR118" s="2">
        <f>VLOOKUP([jobnumber],OvalData[],MATCH(Table2[[#Headers],[Insolated Total Slats]],Table2[#Headers],0),0)</f>
        <v>45</v>
      </c>
      <c r="BS118" s="2">
        <f>VLOOKUP([jobnumber],OvalData[],MATCH(Table2[[#Headers],[Number of Slats]],Table2[#Headers],0),0)</f>
        <v>44.69</v>
      </c>
      <c r="BT118" s="2">
        <f>VLOOKUP([jobnumber],OvalData[],MATCH(Table2[[#Headers],[Wrap]],Table2[#Headers],0),0)</f>
        <v>0</v>
      </c>
      <c r="BU118" s="2">
        <f>VLOOKUP([jobnumber],OvalData[],MATCH(Table2[[#Headers],[Wall Angle Thickness]],Table2[#Headers],0),0)</f>
        <v>0</v>
      </c>
      <c r="BV118" s="2">
        <f>VLOOKUP([jobnumber],OvalData[],MATCH(Table2[[#Headers],[windlocks]],Table2[#Headers],0),0)</f>
        <v>0</v>
      </c>
      <c r="BW118" s="2" t="str">
        <f>VLOOKUP([jobnumber],OvalData[],MATCH(Table2[[#Headers],[bottombartype]],Table2[#Headers],0),0)</f>
        <v>SPECIAL</v>
      </c>
      <c r="BX118" s="2">
        <f>VLOOKUP([jobnumber],OvalData[],MATCH(Table2[[#Headers],[endlockweight]],Table2[#Headers],0),0)</f>
        <v>0.17</v>
      </c>
      <c r="BY118" s="2">
        <f>VLOOKUP([jobnumber],OvalData[],MATCH(Table2[[#Headers],[Endlock Total Weight]],Table2[#Headers],0),0)</f>
        <v>7.5972999999999997</v>
      </c>
      <c r="BZ118" s="2">
        <f>VLOOKUP([jobnumber],OvalData[],MATCH(Table2[[#Headers],[Grille Weight]],Table2[#Headers],0),0)</f>
        <v>0</v>
      </c>
      <c r="CA118" s="2">
        <f>VLOOKUP([jobnumber],OvalData[],MATCH(Table2[[#Headers],[barrelrings]],Table2[#Headers],0),0)</f>
        <v>1</v>
      </c>
    </row>
    <row r="119" spans="2:79">
      <c r="B119" s="2" t="str">
        <f>VLOOKUP([jobnumber],OvalData[],MATCH(Table2[[#Headers],[Hand]],Table2[#Headers],0),0)</f>
        <v>RH</v>
      </c>
      <c r="C119" s="2" t="str">
        <f>VLOOKUP([jobnumber],OvalData[],MATCH(Table2[[#Headers],[Model]],Table2[#Headers],0),0)</f>
        <v>SFMPP</v>
      </c>
      <c r="D119" s="2" t="str">
        <f>VLOOKUP([jobnumber],OvalData[],MATCH(Table2[[#Headers],[width]],Table2[#Headers],0),0)</f>
        <v xml:space="preserve"> 18 ft.- 2"</v>
      </c>
      <c r="E119" s="2" t="str">
        <f>VLOOKUP([jobnumber],OvalData[],MATCH(Table2[[#Headers],[stopheight]],Table2[#Headers],0),0)</f>
        <v xml:space="preserve"> 10 ft.- 0"</v>
      </c>
      <c r="F119" s="2" t="str">
        <f>VLOOKUP([jobnumber],OvalData[],MATCH(Table2[[#Headers],[Between Brackets]],Table2[#Headers],0),0)</f>
        <v xml:space="preserve"> 18 ft.- 7 7/ 8"</v>
      </c>
      <c r="G119" s="2" t="str">
        <f>VLOOKUP([jobnumber],OvalData[],MATCH(Table2[[#Headers],[shell]],Table2[#Headers],0),0)</f>
        <v>6 INCH TUBE</v>
      </c>
      <c r="H119" s="2" t="str">
        <f>VLOOKUP([jobnumber],OvalData[],MATCH(Table2[[#Headers],[pipewidth]],Table2[#Headers],0),0)</f>
        <v xml:space="preserve"> 18 ft.- 1 3/ 8"</v>
      </c>
      <c r="I119" s="2">
        <f>VLOOKUP([jobnumber],OvalData[],MATCH(Table2[[#Headers],[Support Tubes]],Table2[#Headers],0),0)</f>
        <v>0</v>
      </c>
      <c r="J119" s="2">
        <f>VLOOKUP([jobnumber],OvalData[],MATCH(Table2[[#Headers],[Upset]],Table2[#Headers],0),0)</f>
        <v>2</v>
      </c>
      <c r="K119" s="2" t="str">
        <f>VLOOKUP([jobnumber],OvalData[],MATCH(Table2[[#Headers],[Guide Type]],Table2[#Headers],0),0)</f>
        <v>SN2-4 5/8-E</v>
      </c>
      <c r="L119" s="2" t="str">
        <f>VLOOKUP([jobnumber],OvalData[],MATCH(Table2[[#Headers],[Wall Angle]],Table2[#Headers],0),0)</f>
        <v xml:space="preserve"> 11 ft.- 8"</v>
      </c>
      <c r="M119" s="2" t="str">
        <f>VLOOKUP([jobnumber],OvalData[],MATCH(Table2[[#Headers],[Middle Angle]],Table2[#Headers],0),0)</f>
        <v xml:space="preserve"> 10 ft.- 4 1/ 2"</v>
      </c>
      <c r="N119" s="2" t="str">
        <f>VLOOKUP([jobnumber],OvalData[],MATCH(Table2[[#Headers],[Front Angle]],Table2[#Headers],0),0)</f>
        <v xml:space="preserve"> 10 ft.- 3"</v>
      </c>
      <c r="O119" s="2">
        <f>VLOOKUP([jobnumber],OvalData[],MATCH(Table2[[#Headers],[Pipe Center Line]],Table2[#Headers],0),0)</f>
        <v>131</v>
      </c>
      <c r="P119" s="2">
        <f>VLOOKUP([jobnumber],OvalData[],MATCH(Table2[[#Headers],[Heat Expansion Gap]],Table2[#Headers],0),0)</f>
        <v>0</v>
      </c>
      <c r="Q119" s="2">
        <f>VLOOKUP([jobnumber],OvalData[],MATCH(Table2[[#Headers],[Hanging Weight Closed]],Table2[#Headers],0),0)</f>
        <v>795</v>
      </c>
      <c r="R119" s="2">
        <f>VLOOKUP([jobnumber],OvalData[],MATCH(Table2[[#Headers],[Hanging Weight Open]],Table2[#Headers],0),0)</f>
        <v>140</v>
      </c>
      <c r="S119" s="2">
        <f>VLOOKUP([jobnumber],OvalData[],MATCH(Table2[[#Headers],[Initial Lever Arm]],Table2[#Headers],0),0)</f>
        <v>4.25</v>
      </c>
      <c r="T119" s="2">
        <f>VLOOKUP([jobnumber],OvalData[],MATCH(Table2[[#Headers],[Turns to Raise]],Table2[#Headers],0),0)</f>
        <v>3.5859999999999999</v>
      </c>
      <c r="U119" s="2">
        <f>VLOOKUP([jobnumber],OvalData[],MATCH(Table2[[#Headers],[Final Lever Arm]],Table2[#Headers],0),0)</f>
        <v>6.37</v>
      </c>
      <c r="V119" s="2">
        <f>VLOOKUP([jobnumber],OvalData[],MATCH(Table2[[#Headers],[Torque Required Closed]],Table2[#Headers],0),0)</f>
        <v>3377.9</v>
      </c>
      <c r="W119" s="2">
        <f>VLOOKUP([jobnumber],OvalData[],MATCH(Table2[[#Headers],[Torque Required Open]],Table2[#Headers],0),0)</f>
        <v>892</v>
      </c>
      <c r="X119" s="2">
        <f>VLOOKUP([jobnumber],OvalData[],MATCH(Table2[[#Headers],[Pre Turns]],Table2[#Headers],0),0)</f>
        <v>1.3332999999999999</v>
      </c>
      <c r="Y119" s="2">
        <f>VLOOKUP([jobnumber],OvalData[],MATCH(Table2[[#Headers],[Required Torque Per Turn]],Table2[#Headers],0),0)</f>
        <v>688</v>
      </c>
      <c r="Z119" s="2">
        <f>VLOOKUP([jobnumber],OvalData[],MATCH(Table2[[#Headers],[Total Turns]],Table2[#Headers],0),0)</f>
        <v>4.91</v>
      </c>
      <c r="AA119" s="2">
        <f>VLOOKUP([jobnumber],OvalData[],MATCH(Table2[[#Headers],[Grille Vision Section]],Table2[#Headers],0),0)</f>
        <v>0</v>
      </c>
      <c r="AB119" s="2">
        <f>VLOOKUP([jobnumber],OvalData[],MATCH(Table2[[#Headers],[Grille Amount]],Table2[#Headers],0),0)</f>
        <v>0</v>
      </c>
      <c r="AC119" s="2">
        <f>VLOOKUP([jobnumber],OvalData[],MATCH(Table2[[#Headers],[Grille Center]],Table2[#Headers],0),0)</f>
        <v>0</v>
      </c>
      <c r="AD119" s="2">
        <f>VLOOKUP([jobnumber],OvalData[],MATCH(Table2[[#Headers],[Grille Pattern]],Table2[#Headers],0),0)</f>
        <v>0</v>
      </c>
      <c r="AE119" s="2">
        <f>VLOOKUP([jobnumber],OvalData[],MATCH(Table2[[#Headers],[Grille First Tube]],Table2[#Headers],0),0)</f>
        <v>0</v>
      </c>
      <c r="AF119" s="2">
        <f>VLOOKUP([jobnumber],OvalData[],MATCH(Table2[[#Headers],[Grille Standard Tube]],Table2[#Headers],0),0)</f>
        <v>0</v>
      </c>
      <c r="AG119" s="2">
        <f>VLOOKUP([jobnumber],OvalData[],MATCH(Table2[[#Headers],[Grille Total Links]],Table2[#Headers],0),0)</f>
        <v>0</v>
      </c>
      <c r="AH119" s="2">
        <f>VLOOKUP([jobnumber],OvalData[],MATCH(Table2[[#Headers],[Grille Rods]],Table2[#Headers],0),0)</f>
        <v>0</v>
      </c>
      <c r="AI119" s="2">
        <f>VLOOKUP([jobnumber],OvalData[],MATCH(Table2[[#Headers],[Grille Rod Length]],Table2[#Headers],0),0)</f>
        <v>0</v>
      </c>
      <c r="AJ119" s="2">
        <f>VLOOKUP([jobnumber],OvalData[],MATCH(Table2[[#Headers],[slattype]],Table2[#Headers],0),0)</f>
        <v>2</v>
      </c>
      <c r="AK119" s="2">
        <f>VLOOKUP([jobnumber],OvalData[],MATCH(Table2[[#Headers],[slatgage]],Table2[#Headers],0),0)</f>
        <v>18</v>
      </c>
      <c r="AL119" s="2">
        <f>VLOOKUP([jobnumber],OvalData[],MATCH(Table2[[#Headers],[Numer of Top Slats]],Table2[#Headers],0),0)</f>
        <v>0</v>
      </c>
      <c r="AM119" s="2">
        <f>VLOOKUP([jobnumber],OvalData[],MATCH(Table2[[#Headers],[Number of Bottom Slats]],Table2[#Headers],0),0)</f>
        <v>0</v>
      </c>
      <c r="AN119" s="2">
        <f>VLOOKUP([jobnumber],OvalData[],MATCH(Table2[[#Headers],[Solid Bottom Height]],Table2[#Headers],0),0)</f>
        <v>0</v>
      </c>
      <c r="AO119" s="2" t="str">
        <f>VLOOKUP([jobnumber],OvalData[],MATCH(Table2[[#Headers],[slatlength]],Table2[#Headers],0),0)</f>
        <v xml:space="preserve"> 18 ft.- 5 7/ 8"</v>
      </c>
      <c r="AP119" s="2">
        <f>VLOOKUP([jobnumber],OvalData[],MATCH(Table2[[#Headers],[Bottom Slat Length]],Table2[#Headers],0),0)</f>
        <v>0</v>
      </c>
      <c r="AQ119" s="2">
        <f>VLOOKUP([jobnumber],OvalData[],MATCH(Table2[[#Headers],[Number of Perferated Slats]],Table2[#Headers],0),0)</f>
        <v>0</v>
      </c>
      <c r="AR119" s="2">
        <f>VLOOKUP([jobnumber],OvalData[],MATCH(Table2[[#Headers],[First Preferated Slat From End]],Table2[#Headers],0),0)</f>
        <v>0</v>
      </c>
      <c r="AS119" s="2">
        <f>VLOOKUP([jobnumber],OvalData[],MATCH(Table2[[#Headers],[First Preferated Slat From Bottom]],Table2[#Headers],0),0)</f>
        <v>0</v>
      </c>
      <c r="AT119" s="2">
        <f>VLOOKUP([jobnumber],OvalData[],MATCH(Table2[[#Headers],[Total Number of Slats]],Table2[#Headers],0),0)</f>
        <v>51</v>
      </c>
      <c r="AU119" s="2">
        <f>VLOOKUP([jobnumber],OvalData[],MATCH(Table2[[#Headers],[Bottom Bar Slope]],Table2[#Headers],0),0)</f>
        <v>0</v>
      </c>
      <c r="AV119" s="2">
        <f>VLOOKUP([jobnumber],OvalData[],MATCH(Table2[[#Headers],[Bottom Bar Weight]],Table2[#Headers],0),0)</f>
        <v>80.5</v>
      </c>
      <c r="AW119" s="2" t="str">
        <f>VLOOKUP([jobnumber],OvalData[],MATCH(Table2[[#Headers],[Outer Spring Gage]],Table2[#Headers],0),0)</f>
        <v>Null</v>
      </c>
      <c r="AX119" s="2" t="str">
        <f>VLOOKUP([jobnumber],OvalData[],MATCH(Table2[[#Headers],[Outer Spring OD]],Table2[#Headers],0),0)</f>
        <v>Null</v>
      </c>
      <c r="AY119" s="2" t="str">
        <f>VLOOKUP([jobnumber],OvalData[],MATCH(Table2[[#Headers],[Outer Spring Length]],Table2[#Headers],0),0)</f>
        <v>Null</v>
      </c>
      <c r="AZ119" s="2" t="str">
        <f>VLOOKUP([jobnumber],OvalData[],MATCH(Table2[[#Headers],[Outer Spring Stretch]],Table2[#Headers],0),0)</f>
        <v>Null</v>
      </c>
      <c r="BA119" s="2" t="str">
        <f>VLOOKUP([jobnumber],OvalData[],MATCH(Table2[[#Headers],[Outer Spring Torque]],Table2[#Headers],0),0)</f>
        <v>Null</v>
      </c>
      <c r="BB119" s="2" t="str">
        <f>VLOOKUP([jobnumber],OvalData[],MATCH(Table2[[#Headers],[Outer Spring Max Turns]],Table2[#Headers],0),0)</f>
        <v>Null</v>
      </c>
      <c r="BC119" s="2" t="str">
        <f>VLOOKUP([jobnumber],OvalData[],MATCH(Table2[[#Headers],[Outer Spring Weight]],Table2[#Headers],0),0)</f>
        <v>Null</v>
      </c>
      <c r="BD119" s="2" t="str">
        <f>VLOOKUP([jobnumber],OvalData[],MATCH(Table2[[#Headers],[Inner Spring Gage]],Table2[#Headers],0),0)</f>
        <v>Null</v>
      </c>
      <c r="BE119" s="2" t="str">
        <f>VLOOKUP([jobnumber],OvalData[],MATCH(Table2[[#Headers],[Inner Spring OD]],Table2[#Headers],0),0)</f>
        <v>Null</v>
      </c>
      <c r="BF119" s="2" t="str">
        <f>VLOOKUP([jobnumber],OvalData[],MATCH(Table2[[#Headers],[Inner Spring Length]],Table2[#Headers],0),0)</f>
        <v>Null</v>
      </c>
      <c r="BG119" s="2" t="str">
        <f>VLOOKUP([jobnumber],OvalData[],MATCH(Table2[[#Headers],[Inner Spring Stretch]],Table2[#Headers],0),0)</f>
        <v>Null</v>
      </c>
      <c r="BH119" s="2" t="str">
        <f>VLOOKUP([jobnumber],OvalData[],MATCH(Table2[[#Headers],[Inner Spring Torque]],Table2[#Headers],0),0)</f>
        <v>Null</v>
      </c>
      <c r="BI119" s="2" t="str">
        <f>VLOOKUP([jobnumber],OvalData[],MATCH(Table2[[#Headers],[Inner Spring Max Turns]],Table2[#Headers],0),0)</f>
        <v>Null</v>
      </c>
      <c r="BJ119" s="2" t="str">
        <f>VLOOKUP([jobnumber],OvalData[],MATCH(Table2[[#Headers],[Inner Spring Weight]],Table2[#Headers],0),0)</f>
        <v>Null</v>
      </c>
      <c r="BK119" s="2">
        <f>VLOOKUP([jobnumber],OvalData[],MATCH(Table2[[#Headers],[Cycles]],Table2[#Headers],0),0)</f>
        <v>0</v>
      </c>
      <c r="BL119" s="2">
        <f>VLOOKUP([jobnumber],OvalData[],MATCH(Table2[[#Headers],[Total Spring Torque]],Table2[#Headers],0),0)</f>
        <v>0</v>
      </c>
      <c r="BM119" s="2">
        <f>VLOOKUP([jobnumber],OvalData[],MATCH(Table2[[#Headers],[Total Spring Weight]],Table2[#Headers],0),0)</f>
        <v>0</v>
      </c>
      <c r="BN119" s="2">
        <f>VLOOKUP([jobnumber],OvalData[],MATCH(Table2[[#Headers],[Pipe Weight]],Table2[#Headers],0),0)</f>
        <v>688.24239999999998</v>
      </c>
      <c r="BO119" s="2">
        <f>VLOOKUP([jobnumber],OvalData[],MATCH(Table2[[#Headers],[Max Pipe Deflection]],Table2[#Headers],0),0)</f>
        <v>2309</v>
      </c>
      <c r="BP119" s="2">
        <f>VLOOKUP([jobnumber],OvalData[],MATCH(Table2[[#Headers],[Number Non-Insulated Wrap Slats]],Table2[#Headers],0),0)</f>
        <v>0</v>
      </c>
      <c r="BQ119" s="2">
        <f>VLOOKUP([jobnumber],OvalData[],MATCH(Table2[[#Headers],[Number of Insolated Top Slats]],Table2[#Headers],0),0)</f>
        <v>45</v>
      </c>
      <c r="BR119" s="2">
        <f>VLOOKUP([jobnumber],OvalData[],MATCH(Table2[[#Headers],[Insolated Total Slats]],Table2[#Headers],0),0)</f>
        <v>45</v>
      </c>
      <c r="BS119" s="2">
        <f>VLOOKUP([jobnumber],OvalData[],MATCH(Table2[[#Headers],[Number of Slats]],Table2[#Headers],0),0)</f>
        <v>44.69</v>
      </c>
      <c r="BT119" s="2">
        <f>VLOOKUP([jobnumber],OvalData[],MATCH(Table2[[#Headers],[Wrap]],Table2[#Headers],0),0)</f>
        <v>0</v>
      </c>
      <c r="BU119" s="2">
        <f>VLOOKUP([jobnumber],OvalData[],MATCH(Table2[[#Headers],[Wall Angle Thickness]],Table2[#Headers],0),0)</f>
        <v>0</v>
      </c>
      <c r="BV119" s="2">
        <f>VLOOKUP([jobnumber],OvalData[],MATCH(Table2[[#Headers],[windlocks]],Table2[#Headers],0),0)</f>
        <v>0</v>
      </c>
      <c r="BW119" s="2" t="str">
        <f>VLOOKUP([jobnumber],OvalData[],MATCH(Table2[[#Headers],[bottombartype]],Table2[#Headers],0),0)</f>
        <v>SPECIAL</v>
      </c>
      <c r="BX119" s="2">
        <f>VLOOKUP([jobnumber],OvalData[],MATCH(Table2[[#Headers],[endlockweight]],Table2[#Headers],0),0)</f>
        <v>0.17</v>
      </c>
      <c r="BY119" s="2">
        <f>VLOOKUP([jobnumber],OvalData[],MATCH(Table2[[#Headers],[Endlock Total Weight]],Table2[#Headers],0),0)</f>
        <v>7.5972999999999997</v>
      </c>
      <c r="BZ119" s="2">
        <f>VLOOKUP([jobnumber],OvalData[],MATCH(Table2[[#Headers],[Grille Weight]],Table2[#Headers],0),0)</f>
        <v>0</v>
      </c>
      <c r="CA119" s="2">
        <f>VLOOKUP([jobnumber],OvalData[],MATCH(Table2[[#Headers],[barrelrings]],Table2[#Headers],0),0)</f>
        <v>1</v>
      </c>
    </row>
    <row r="120" spans="2:79">
      <c r="B120" s="2" t="str">
        <f>VLOOKUP([jobnumber],OvalData[],MATCH(Table2[[#Headers],[Hand]],Table2[#Headers],0),0)</f>
        <v>RH</v>
      </c>
      <c r="C120" s="2" t="str">
        <f>VLOOKUP([jobnumber],OvalData[],MATCH(Table2[[#Headers],[Model]],Table2[#Headers],0),0)</f>
        <v>SFMPP</v>
      </c>
      <c r="D120" s="2" t="str">
        <f>VLOOKUP([jobnumber],OvalData[],MATCH(Table2[[#Headers],[width]],Table2[#Headers],0),0)</f>
        <v xml:space="preserve"> 18 ft.- 2"</v>
      </c>
      <c r="E120" s="2" t="str">
        <f>VLOOKUP([jobnumber],OvalData[],MATCH(Table2[[#Headers],[stopheight]],Table2[#Headers],0),0)</f>
        <v xml:space="preserve"> 10 ft.- 0"</v>
      </c>
      <c r="F120" s="2" t="str">
        <f>VLOOKUP([jobnumber],OvalData[],MATCH(Table2[[#Headers],[Between Brackets]],Table2[#Headers],0),0)</f>
        <v xml:space="preserve"> 18 ft.- 7 7/ 8"</v>
      </c>
      <c r="G120" s="2" t="str">
        <f>VLOOKUP([jobnumber],OvalData[],MATCH(Table2[[#Headers],[shell]],Table2[#Headers],0),0)</f>
        <v>6 INCH TUBE</v>
      </c>
      <c r="H120" s="2" t="str">
        <f>VLOOKUP([jobnumber],OvalData[],MATCH(Table2[[#Headers],[pipewidth]],Table2[#Headers],0),0)</f>
        <v xml:space="preserve"> 18 ft.- 1 3/ 8"</v>
      </c>
      <c r="I120" s="2">
        <f>VLOOKUP([jobnumber],OvalData[],MATCH(Table2[[#Headers],[Support Tubes]],Table2[#Headers],0),0)</f>
        <v>0</v>
      </c>
      <c r="J120" s="2">
        <f>VLOOKUP([jobnumber],OvalData[],MATCH(Table2[[#Headers],[Upset]],Table2[#Headers],0),0)</f>
        <v>2</v>
      </c>
      <c r="K120" s="2" t="str">
        <f>VLOOKUP([jobnumber],OvalData[],MATCH(Table2[[#Headers],[Guide Type]],Table2[#Headers],0),0)</f>
        <v>SN2-4 5/8-E</v>
      </c>
      <c r="L120" s="2" t="str">
        <f>VLOOKUP([jobnumber],OvalData[],MATCH(Table2[[#Headers],[Wall Angle]],Table2[#Headers],0),0)</f>
        <v xml:space="preserve"> 11 ft.- 8"</v>
      </c>
      <c r="M120" s="2" t="str">
        <f>VLOOKUP([jobnumber],OvalData[],MATCH(Table2[[#Headers],[Middle Angle]],Table2[#Headers],0),0)</f>
        <v xml:space="preserve"> 10 ft.- 4 1/ 2"</v>
      </c>
      <c r="N120" s="2" t="str">
        <f>VLOOKUP([jobnumber],OvalData[],MATCH(Table2[[#Headers],[Front Angle]],Table2[#Headers],0),0)</f>
        <v xml:space="preserve"> 10 ft.- 3"</v>
      </c>
      <c r="O120" s="2">
        <f>VLOOKUP([jobnumber],OvalData[],MATCH(Table2[[#Headers],[Pipe Center Line]],Table2[#Headers],0),0)</f>
        <v>131</v>
      </c>
      <c r="P120" s="2">
        <f>VLOOKUP([jobnumber],OvalData[],MATCH(Table2[[#Headers],[Heat Expansion Gap]],Table2[#Headers],0),0)</f>
        <v>0</v>
      </c>
      <c r="Q120" s="2">
        <f>VLOOKUP([jobnumber],OvalData[],MATCH(Table2[[#Headers],[Hanging Weight Closed]],Table2[#Headers],0),0)</f>
        <v>795</v>
      </c>
      <c r="R120" s="2">
        <f>VLOOKUP([jobnumber],OvalData[],MATCH(Table2[[#Headers],[Hanging Weight Open]],Table2[#Headers],0),0)</f>
        <v>140</v>
      </c>
      <c r="S120" s="2">
        <f>VLOOKUP([jobnumber],OvalData[],MATCH(Table2[[#Headers],[Initial Lever Arm]],Table2[#Headers],0),0)</f>
        <v>4.25</v>
      </c>
      <c r="T120" s="2">
        <f>VLOOKUP([jobnumber],OvalData[],MATCH(Table2[[#Headers],[Turns to Raise]],Table2[#Headers],0),0)</f>
        <v>3.5859999999999999</v>
      </c>
      <c r="U120" s="2">
        <f>VLOOKUP([jobnumber],OvalData[],MATCH(Table2[[#Headers],[Final Lever Arm]],Table2[#Headers],0),0)</f>
        <v>6.37</v>
      </c>
      <c r="V120" s="2">
        <f>VLOOKUP([jobnumber],OvalData[],MATCH(Table2[[#Headers],[Torque Required Closed]],Table2[#Headers],0),0)</f>
        <v>3377.9</v>
      </c>
      <c r="W120" s="2">
        <f>VLOOKUP([jobnumber],OvalData[],MATCH(Table2[[#Headers],[Torque Required Open]],Table2[#Headers],0),0)</f>
        <v>892</v>
      </c>
      <c r="X120" s="2">
        <f>VLOOKUP([jobnumber],OvalData[],MATCH(Table2[[#Headers],[Pre Turns]],Table2[#Headers],0),0)</f>
        <v>1.3332999999999999</v>
      </c>
      <c r="Y120" s="2">
        <f>VLOOKUP([jobnumber],OvalData[],MATCH(Table2[[#Headers],[Required Torque Per Turn]],Table2[#Headers],0),0)</f>
        <v>688</v>
      </c>
      <c r="Z120" s="2">
        <f>VLOOKUP([jobnumber],OvalData[],MATCH(Table2[[#Headers],[Total Turns]],Table2[#Headers],0),0)</f>
        <v>4.91</v>
      </c>
      <c r="AA120" s="2">
        <f>VLOOKUP([jobnumber],OvalData[],MATCH(Table2[[#Headers],[Grille Vision Section]],Table2[#Headers],0),0)</f>
        <v>0</v>
      </c>
      <c r="AB120" s="2">
        <f>VLOOKUP([jobnumber],OvalData[],MATCH(Table2[[#Headers],[Grille Amount]],Table2[#Headers],0),0)</f>
        <v>0</v>
      </c>
      <c r="AC120" s="2">
        <f>VLOOKUP([jobnumber],OvalData[],MATCH(Table2[[#Headers],[Grille Center]],Table2[#Headers],0),0)</f>
        <v>0</v>
      </c>
      <c r="AD120" s="2">
        <f>VLOOKUP([jobnumber],OvalData[],MATCH(Table2[[#Headers],[Grille Pattern]],Table2[#Headers],0),0)</f>
        <v>0</v>
      </c>
      <c r="AE120" s="2">
        <f>VLOOKUP([jobnumber],OvalData[],MATCH(Table2[[#Headers],[Grille First Tube]],Table2[#Headers],0),0)</f>
        <v>0</v>
      </c>
      <c r="AF120" s="2">
        <f>VLOOKUP([jobnumber],OvalData[],MATCH(Table2[[#Headers],[Grille Standard Tube]],Table2[#Headers],0),0)</f>
        <v>0</v>
      </c>
      <c r="AG120" s="2">
        <f>VLOOKUP([jobnumber],OvalData[],MATCH(Table2[[#Headers],[Grille Total Links]],Table2[#Headers],0),0)</f>
        <v>0</v>
      </c>
      <c r="AH120" s="2">
        <f>VLOOKUP([jobnumber],OvalData[],MATCH(Table2[[#Headers],[Grille Rods]],Table2[#Headers],0),0)</f>
        <v>0</v>
      </c>
      <c r="AI120" s="2">
        <f>VLOOKUP([jobnumber],OvalData[],MATCH(Table2[[#Headers],[Grille Rod Length]],Table2[#Headers],0),0)</f>
        <v>0</v>
      </c>
      <c r="AJ120" s="2">
        <f>VLOOKUP([jobnumber],OvalData[],MATCH(Table2[[#Headers],[slattype]],Table2[#Headers],0),0)</f>
        <v>2</v>
      </c>
      <c r="AK120" s="2">
        <f>VLOOKUP([jobnumber],OvalData[],MATCH(Table2[[#Headers],[slatgage]],Table2[#Headers],0),0)</f>
        <v>18</v>
      </c>
      <c r="AL120" s="2">
        <f>VLOOKUP([jobnumber],OvalData[],MATCH(Table2[[#Headers],[Numer of Top Slats]],Table2[#Headers],0),0)</f>
        <v>0</v>
      </c>
      <c r="AM120" s="2">
        <f>VLOOKUP([jobnumber],OvalData[],MATCH(Table2[[#Headers],[Number of Bottom Slats]],Table2[#Headers],0),0)</f>
        <v>0</v>
      </c>
      <c r="AN120" s="2">
        <f>VLOOKUP([jobnumber],OvalData[],MATCH(Table2[[#Headers],[Solid Bottom Height]],Table2[#Headers],0),0)</f>
        <v>0</v>
      </c>
      <c r="AO120" s="2" t="str">
        <f>VLOOKUP([jobnumber],OvalData[],MATCH(Table2[[#Headers],[slatlength]],Table2[#Headers],0),0)</f>
        <v xml:space="preserve"> 18 ft.- 5 7/ 8"</v>
      </c>
      <c r="AP120" s="2">
        <f>VLOOKUP([jobnumber],OvalData[],MATCH(Table2[[#Headers],[Bottom Slat Length]],Table2[#Headers],0),0)</f>
        <v>0</v>
      </c>
      <c r="AQ120" s="2">
        <f>VLOOKUP([jobnumber],OvalData[],MATCH(Table2[[#Headers],[Number of Perferated Slats]],Table2[#Headers],0),0)</f>
        <v>0</v>
      </c>
      <c r="AR120" s="2">
        <f>VLOOKUP([jobnumber],OvalData[],MATCH(Table2[[#Headers],[First Preferated Slat From End]],Table2[#Headers],0),0)</f>
        <v>0</v>
      </c>
      <c r="AS120" s="2">
        <f>VLOOKUP([jobnumber],OvalData[],MATCH(Table2[[#Headers],[First Preferated Slat From Bottom]],Table2[#Headers],0),0)</f>
        <v>0</v>
      </c>
      <c r="AT120" s="2">
        <f>VLOOKUP([jobnumber],OvalData[],MATCH(Table2[[#Headers],[Total Number of Slats]],Table2[#Headers],0),0)</f>
        <v>51</v>
      </c>
      <c r="AU120" s="2">
        <f>VLOOKUP([jobnumber],OvalData[],MATCH(Table2[[#Headers],[Bottom Bar Slope]],Table2[#Headers],0),0)</f>
        <v>0</v>
      </c>
      <c r="AV120" s="2">
        <f>VLOOKUP([jobnumber],OvalData[],MATCH(Table2[[#Headers],[Bottom Bar Weight]],Table2[#Headers],0),0)</f>
        <v>80.5</v>
      </c>
      <c r="AW120" s="2" t="str">
        <f>VLOOKUP([jobnumber],OvalData[],MATCH(Table2[[#Headers],[Outer Spring Gage]],Table2[#Headers],0),0)</f>
        <v>Null</v>
      </c>
      <c r="AX120" s="2" t="str">
        <f>VLOOKUP([jobnumber],OvalData[],MATCH(Table2[[#Headers],[Outer Spring OD]],Table2[#Headers],0),0)</f>
        <v>Null</v>
      </c>
      <c r="AY120" s="2" t="str">
        <f>VLOOKUP([jobnumber],OvalData[],MATCH(Table2[[#Headers],[Outer Spring Length]],Table2[#Headers],0),0)</f>
        <v>Null</v>
      </c>
      <c r="AZ120" s="2" t="str">
        <f>VLOOKUP([jobnumber],OvalData[],MATCH(Table2[[#Headers],[Outer Spring Stretch]],Table2[#Headers],0),0)</f>
        <v>Null</v>
      </c>
      <c r="BA120" s="2" t="str">
        <f>VLOOKUP([jobnumber],OvalData[],MATCH(Table2[[#Headers],[Outer Spring Torque]],Table2[#Headers],0),0)</f>
        <v>Null</v>
      </c>
      <c r="BB120" s="2" t="str">
        <f>VLOOKUP([jobnumber],OvalData[],MATCH(Table2[[#Headers],[Outer Spring Max Turns]],Table2[#Headers],0),0)</f>
        <v>Null</v>
      </c>
      <c r="BC120" s="2" t="str">
        <f>VLOOKUP([jobnumber],OvalData[],MATCH(Table2[[#Headers],[Outer Spring Weight]],Table2[#Headers],0),0)</f>
        <v>Null</v>
      </c>
      <c r="BD120" s="2" t="str">
        <f>VLOOKUP([jobnumber],OvalData[],MATCH(Table2[[#Headers],[Inner Spring Gage]],Table2[#Headers],0),0)</f>
        <v>Null</v>
      </c>
      <c r="BE120" s="2" t="str">
        <f>VLOOKUP([jobnumber],OvalData[],MATCH(Table2[[#Headers],[Inner Spring OD]],Table2[#Headers],0),0)</f>
        <v>Null</v>
      </c>
      <c r="BF120" s="2" t="str">
        <f>VLOOKUP([jobnumber],OvalData[],MATCH(Table2[[#Headers],[Inner Spring Length]],Table2[#Headers],0),0)</f>
        <v>Null</v>
      </c>
      <c r="BG120" s="2" t="str">
        <f>VLOOKUP([jobnumber],OvalData[],MATCH(Table2[[#Headers],[Inner Spring Stretch]],Table2[#Headers],0),0)</f>
        <v>Null</v>
      </c>
      <c r="BH120" s="2" t="str">
        <f>VLOOKUP([jobnumber],OvalData[],MATCH(Table2[[#Headers],[Inner Spring Torque]],Table2[#Headers],0),0)</f>
        <v>Null</v>
      </c>
      <c r="BI120" s="2" t="str">
        <f>VLOOKUP([jobnumber],OvalData[],MATCH(Table2[[#Headers],[Inner Spring Max Turns]],Table2[#Headers],0),0)</f>
        <v>Null</v>
      </c>
      <c r="BJ120" s="2" t="str">
        <f>VLOOKUP([jobnumber],OvalData[],MATCH(Table2[[#Headers],[Inner Spring Weight]],Table2[#Headers],0),0)</f>
        <v>Null</v>
      </c>
      <c r="BK120" s="2">
        <f>VLOOKUP([jobnumber],OvalData[],MATCH(Table2[[#Headers],[Cycles]],Table2[#Headers],0),0)</f>
        <v>0</v>
      </c>
      <c r="BL120" s="2">
        <f>VLOOKUP([jobnumber],OvalData[],MATCH(Table2[[#Headers],[Total Spring Torque]],Table2[#Headers],0),0)</f>
        <v>0</v>
      </c>
      <c r="BM120" s="2">
        <f>VLOOKUP([jobnumber],OvalData[],MATCH(Table2[[#Headers],[Total Spring Weight]],Table2[#Headers],0),0)</f>
        <v>0</v>
      </c>
      <c r="BN120" s="2">
        <f>VLOOKUP([jobnumber],OvalData[],MATCH(Table2[[#Headers],[Pipe Weight]],Table2[#Headers],0),0)</f>
        <v>688.24239999999998</v>
      </c>
      <c r="BO120" s="2">
        <f>VLOOKUP([jobnumber],OvalData[],MATCH(Table2[[#Headers],[Max Pipe Deflection]],Table2[#Headers],0),0)</f>
        <v>2309</v>
      </c>
      <c r="BP120" s="2">
        <f>VLOOKUP([jobnumber],OvalData[],MATCH(Table2[[#Headers],[Number Non-Insulated Wrap Slats]],Table2[#Headers],0),0)</f>
        <v>0</v>
      </c>
      <c r="BQ120" s="2">
        <f>VLOOKUP([jobnumber],OvalData[],MATCH(Table2[[#Headers],[Number of Insolated Top Slats]],Table2[#Headers],0),0)</f>
        <v>45</v>
      </c>
      <c r="BR120" s="2">
        <f>VLOOKUP([jobnumber],OvalData[],MATCH(Table2[[#Headers],[Insolated Total Slats]],Table2[#Headers],0),0)</f>
        <v>45</v>
      </c>
      <c r="BS120" s="2">
        <f>VLOOKUP([jobnumber],OvalData[],MATCH(Table2[[#Headers],[Number of Slats]],Table2[#Headers],0),0)</f>
        <v>44.69</v>
      </c>
      <c r="BT120" s="2">
        <f>VLOOKUP([jobnumber],OvalData[],MATCH(Table2[[#Headers],[Wrap]],Table2[#Headers],0),0)</f>
        <v>0</v>
      </c>
      <c r="BU120" s="2">
        <f>VLOOKUP([jobnumber],OvalData[],MATCH(Table2[[#Headers],[Wall Angle Thickness]],Table2[#Headers],0),0)</f>
        <v>0</v>
      </c>
      <c r="BV120" s="2">
        <f>VLOOKUP([jobnumber],OvalData[],MATCH(Table2[[#Headers],[windlocks]],Table2[#Headers],0),0)</f>
        <v>0</v>
      </c>
      <c r="BW120" s="2" t="str">
        <f>VLOOKUP([jobnumber],OvalData[],MATCH(Table2[[#Headers],[bottombartype]],Table2[#Headers],0),0)</f>
        <v>SPECIAL</v>
      </c>
      <c r="BX120" s="2">
        <f>VLOOKUP([jobnumber],OvalData[],MATCH(Table2[[#Headers],[endlockweight]],Table2[#Headers],0),0)</f>
        <v>0.17</v>
      </c>
      <c r="BY120" s="2">
        <f>VLOOKUP([jobnumber],OvalData[],MATCH(Table2[[#Headers],[Endlock Total Weight]],Table2[#Headers],0),0)</f>
        <v>7.5972999999999997</v>
      </c>
      <c r="BZ120" s="2">
        <f>VLOOKUP([jobnumber],OvalData[],MATCH(Table2[[#Headers],[Grille Weight]],Table2[#Headers],0),0)</f>
        <v>0</v>
      </c>
      <c r="CA120" s="2">
        <f>VLOOKUP([jobnumber],OvalData[],MATCH(Table2[[#Headers],[barrelrings]],Table2[#Headers],0),0)</f>
        <v>1</v>
      </c>
    </row>
    <row r="121" spans="2:79">
      <c r="B121" s="2" t="str">
        <f>VLOOKUP([jobnumber],OvalData[],MATCH(Table2[[#Headers],[Hand]],Table2[#Headers],0),0)</f>
        <v>RH</v>
      </c>
      <c r="C121" s="2" t="str">
        <f>VLOOKUP([jobnumber],OvalData[],MATCH(Table2[[#Headers],[Model]],Table2[#Headers],0),0)</f>
        <v>SFMPP</v>
      </c>
      <c r="D121" s="2" t="str">
        <f>VLOOKUP([jobnumber],OvalData[],MATCH(Table2[[#Headers],[width]],Table2[#Headers],0),0)</f>
        <v xml:space="preserve"> 18 ft.- 2"</v>
      </c>
      <c r="E121" s="2" t="str">
        <f>VLOOKUP([jobnumber],OvalData[],MATCH(Table2[[#Headers],[stopheight]],Table2[#Headers],0),0)</f>
        <v xml:space="preserve"> 10 ft.- 0"</v>
      </c>
      <c r="F121" s="2" t="str">
        <f>VLOOKUP([jobnumber],OvalData[],MATCH(Table2[[#Headers],[Between Brackets]],Table2[#Headers],0),0)</f>
        <v xml:space="preserve"> 18 ft.- 7 7/ 8"</v>
      </c>
      <c r="G121" s="2" t="str">
        <f>VLOOKUP([jobnumber],OvalData[],MATCH(Table2[[#Headers],[shell]],Table2[#Headers],0),0)</f>
        <v>6 INCH TUBE</v>
      </c>
      <c r="H121" s="2" t="str">
        <f>VLOOKUP([jobnumber],OvalData[],MATCH(Table2[[#Headers],[pipewidth]],Table2[#Headers],0),0)</f>
        <v xml:space="preserve"> 18 ft.- 1 3/ 8"</v>
      </c>
      <c r="I121" s="2">
        <f>VLOOKUP([jobnumber],OvalData[],MATCH(Table2[[#Headers],[Support Tubes]],Table2[#Headers],0),0)</f>
        <v>0</v>
      </c>
      <c r="J121" s="2">
        <f>VLOOKUP([jobnumber],OvalData[],MATCH(Table2[[#Headers],[Upset]],Table2[#Headers],0),0)</f>
        <v>2</v>
      </c>
      <c r="K121" s="2" t="str">
        <f>VLOOKUP([jobnumber],OvalData[],MATCH(Table2[[#Headers],[Guide Type]],Table2[#Headers],0),0)</f>
        <v>SN2-4 5/8-E</v>
      </c>
      <c r="L121" s="2" t="str">
        <f>VLOOKUP([jobnumber],OvalData[],MATCH(Table2[[#Headers],[Wall Angle]],Table2[#Headers],0),0)</f>
        <v xml:space="preserve"> 11 ft.- 8"</v>
      </c>
      <c r="M121" s="2" t="str">
        <f>VLOOKUP([jobnumber],OvalData[],MATCH(Table2[[#Headers],[Middle Angle]],Table2[#Headers],0),0)</f>
        <v xml:space="preserve"> 10 ft.- 4 1/ 2"</v>
      </c>
      <c r="N121" s="2" t="str">
        <f>VLOOKUP([jobnumber],OvalData[],MATCH(Table2[[#Headers],[Front Angle]],Table2[#Headers],0),0)</f>
        <v xml:space="preserve"> 10 ft.- 3"</v>
      </c>
      <c r="O121" s="2">
        <f>VLOOKUP([jobnumber],OvalData[],MATCH(Table2[[#Headers],[Pipe Center Line]],Table2[#Headers],0),0)</f>
        <v>131</v>
      </c>
      <c r="P121" s="2">
        <f>VLOOKUP([jobnumber],OvalData[],MATCH(Table2[[#Headers],[Heat Expansion Gap]],Table2[#Headers],0),0)</f>
        <v>0</v>
      </c>
      <c r="Q121" s="2">
        <f>VLOOKUP([jobnumber],OvalData[],MATCH(Table2[[#Headers],[Hanging Weight Closed]],Table2[#Headers],0),0)</f>
        <v>795</v>
      </c>
      <c r="R121" s="2">
        <f>VLOOKUP([jobnumber],OvalData[],MATCH(Table2[[#Headers],[Hanging Weight Open]],Table2[#Headers],0),0)</f>
        <v>140</v>
      </c>
      <c r="S121" s="2">
        <f>VLOOKUP([jobnumber],OvalData[],MATCH(Table2[[#Headers],[Initial Lever Arm]],Table2[#Headers],0),0)</f>
        <v>4.25</v>
      </c>
      <c r="T121" s="2">
        <f>VLOOKUP([jobnumber],OvalData[],MATCH(Table2[[#Headers],[Turns to Raise]],Table2[#Headers],0),0)</f>
        <v>3.5859999999999999</v>
      </c>
      <c r="U121" s="2">
        <f>VLOOKUP([jobnumber],OvalData[],MATCH(Table2[[#Headers],[Final Lever Arm]],Table2[#Headers],0),0)</f>
        <v>6.37</v>
      </c>
      <c r="V121" s="2">
        <f>VLOOKUP([jobnumber],OvalData[],MATCH(Table2[[#Headers],[Torque Required Closed]],Table2[#Headers],0),0)</f>
        <v>3377.9</v>
      </c>
      <c r="W121" s="2">
        <f>VLOOKUP([jobnumber],OvalData[],MATCH(Table2[[#Headers],[Torque Required Open]],Table2[#Headers],0),0)</f>
        <v>892</v>
      </c>
      <c r="X121" s="2">
        <f>VLOOKUP([jobnumber],OvalData[],MATCH(Table2[[#Headers],[Pre Turns]],Table2[#Headers],0),0)</f>
        <v>1.3332999999999999</v>
      </c>
      <c r="Y121" s="2">
        <f>VLOOKUP([jobnumber],OvalData[],MATCH(Table2[[#Headers],[Required Torque Per Turn]],Table2[#Headers],0),0)</f>
        <v>688</v>
      </c>
      <c r="Z121" s="2">
        <f>VLOOKUP([jobnumber],OvalData[],MATCH(Table2[[#Headers],[Total Turns]],Table2[#Headers],0),0)</f>
        <v>4.91</v>
      </c>
      <c r="AA121" s="2">
        <f>VLOOKUP([jobnumber],OvalData[],MATCH(Table2[[#Headers],[Grille Vision Section]],Table2[#Headers],0),0)</f>
        <v>0</v>
      </c>
      <c r="AB121" s="2">
        <f>VLOOKUP([jobnumber],OvalData[],MATCH(Table2[[#Headers],[Grille Amount]],Table2[#Headers],0),0)</f>
        <v>0</v>
      </c>
      <c r="AC121" s="2">
        <f>VLOOKUP([jobnumber],OvalData[],MATCH(Table2[[#Headers],[Grille Center]],Table2[#Headers],0),0)</f>
        <v>0</v>
      </c>
      <c r="AD121" s="2">
        <f>VLOOKUP([jobnumber],OvalData[],MATCH(Table2[[#Headers],[Grille Pattern]],Table2[#Headers],0),0)</f>
        <v>0</v>
      </c>
      <c r="AE121" s="2">
        <f>VLOOKUP([jobnumber],OvalData[],MATCH(Table2[[#Headers],[Grille First Tube]],Table2[#Headers],0),0)</f>
        <v>0</v>
      </c>
      <c r="AF121" s="2">
        <f>VLOOKUP([jobnumber],OvalData[],MATCH(Table2[[#Headers],[Grille Standard Tube]],Table2[#Headers],0),0)</f>
        <v>0</v>
      </c>
      <c r="AG121" s="2">
        <f>VLOOKUP([jobnumber],OvalData[],MATCH(Table2[[#Headers],[Grille Total Links]],Table2[#Headers],0),0)</f>
        <v>0</v>
      </c>
      <c r="AH121" s="2">
        <f>VLOOKUP([jobnumber],OvalData[],MATCH(Table2[[#Headers],[Grille Rods]],Table2[#Headers],0),0)</f>
        <v>0</v>
      </c>
      <c r="AI121" s="2">
        <f>VLOOKUP([jobnumber],OvalData[],MATCH(Table2[[#Headers],[Grille Rod Length]],Table2[#Headers],0),0)</f>
        <v>0</v>
      </c>
      <c r="AJ121" s="2">
        <f>VLOOKUP([jobnumber],OvalData[],MATCH(Table2[[#Headers],[slattype]],Table2[#Headers],0),0)</f>
        <v>2</v>
      </c>
      <c r="AK121" s="2">
        <f>VLOOKUP([jobnumber],OvalData[],MATCH(Table2[[#Headers],[slatgage]],Table2[#Headers],0),0)</f>
        <v>18</v>
      </c>
      <c r="AL121" s="2">
        <f>VLOOKUP([jobnumber],OvalData[],MATCH(Table2[[#Headers],[Numer of Top Slats]],Table2[#Headers],0),0)</f>
        <v>0</v>
      </c>
      <c r="AM121" s="2">
        <f>VLOOKUP([jobnumber],OvalData[],MATCH(Table2[[#Headers],[Number of Bottom Slats]],Table2[#Headers],0),0)</f>
        <v>0</v>
      </c>
      <c r="AN121" s="2">
        <f>VLOOKUP([jobnumber],OvalData[],MATCH(Table2[[#Headers],[Solid Bottom Height]],Table2[#Headers],0),0)</f>
        <v>0</v>
      </c>
      <c r="AO121" s="2" t="str">
        <f>VLOOKUP([jobnumber],OvalData[],MATCH(Table2[[#Headers],[slatlength]],Table2[#Headers],0),0)</f>
        <v xml:space="preserve"> 18 ft.- 5 7/ 8"</v>
      </c>
      <c r="AP121" s="2">
        <f>VLOOKUP([jobnumber],OvalData[],MATCH(Table2[[#Headers],[Bottom Slat Length]],Table2[#Headers],0),0)</f>
        <v>0</v>
      </c>
      <c r="AQ121" s="2">
        <f>VLOOKUP([jobnumber],OvalData[],MATCH(Table2[[#Headers],[Number of Perferated Slats]],Table2[#Headers],0),0)</f>
        <v>0</v>
      </c>
      <c r="AR121" s="2">
        <f>VLOOKUP([jobnumber],OvalData[],MATCH(Table2[[#Headers],[First Preferated Slat From End]],Table2[#Headers],0),0)</f>
        <v>0</v>
      </c>
      <c r="AS121" s="2">
        <f>VLOOKUP([jobnumber],OvalData[],MATCH(Table2[[#Headers],[First Preferated Slat From Bottom]],Table2[#Headers],0),0)</f>
        <v>0</v>
      </c>
      <c r="AT121" s="2">
        <f>VLOOKUP([jobnumber],OvalData[],MATCH(Table2[[#Headers],[Total Number of Slats]],Table2[#Headers],0),0)</f>
        <v>51</v>
      </c>
      <c r="AU121" s="2">
        <f>VLOOKUP([jobnumber],OvalData[],MATCH(Table2[[#Headers],[Bottom Bar Slope]],Table2[#Headers],0),0)</f>
        <v>0</v>
      </c>
      <c r="AV121" s="2">
        <f>VLOOKUP([jobnumber],OvalData[],MATCH(Table2[[#Headers],[Bottom Bar Weight]],Table2[#Headers],0),0)</f>
        <v>80.5</v>
      </c>
      <c r="AW121" s="2" t="str">
        <f>VLOOKUP([jobnumber],OvalData[],MATCH(Table2[[#Headers],[Outer Spring Gage]],Table2[#Headers],0),0)</f>
        <v>Null</v>
      </c>
      <c r="AX121" s="2" t="str">
        <f>VLOOKUP([jobnumber],OvalData[],MATCH(Table2[[#Headers],[Outer Spring OD]],Table2[#Headers],0),0)</f>
        <v>Null</v>
      </c>
      <c r="AY121" s="2" t="str">
        <f>VLOOKUP([jobnumber],OvalData[],MATCH(Table2[[#Headers],[Outer Spring Length]],Table2[#Headers],0),0)</f>
        <v>Null</v>
      </c>
      <c r="AZ121" s="2" t="str">
        <f>VLOOKUP([jobnumber],OvalData[],MATCH(Table2[[#Headers],[Outer Spring Stretch]],Table2[#Headers],0),0)</f>
        <v>Null</v>
      </c>
      <c r="BA121" s="2" t="str">
        <f>VLOOKUP([jobnumber],OvalData[],MATCH(Table2[[#Headers],[Outer Spring Torque]],Table2[#Headers],0),0)</f>
        <v>Null</v>
      </c>
      <c r="BB121" s="2" t="str">
        <f>VLOOKUP([jobnumber],OvalData[],MATCH(Table2[[#Headers],[Outer Spring Max Turns]],Table2[#Headers],0),0)</f>
        <v>Null</v>
      </c>
      <c r="BC121" s="2" t="str">
        <f>VLOOKUP([jobnumber],OvalData[],MATCH(Table2[[#Headers],[Outer Spring Weight]],Table2[#Headers],0),0)</f>
        <v>Null</v>
      </c>
      <c r="BD121" s="2" t="str">
        <f>VLOOKUP([jobnumber],OvalData[],MATCH(Table2[[#Headers],[Inner Spring Gage]],Table2[#Headers],0),0)</f>
        <v>Null</v>
      </c>
      <c r="BE121" s="2" t="str">
        <f>VLOOKUP([jobnumber],OvalData[],MATCH(Table2[[#Headers],[Inner Spring OD]],Table2[#Headers],0),0)</f>
        <v>Null</v>
      </c>
      <c r="BF121" s="2" t="str">
        <f>VLOOKUP([jobnumber],OvalData[],MATCH(Table2[[#Headers],[Inner Spring Length]],Table2[#Headers],0),0)</f>
        <v>Null</v>
      </c>
      <c r="BG121" s="2" t="str">
        <f>VLOOKUP([jobnumber],OvalData[],MATCH(Table2[[#Headers],[Inner Spring Stretch]],Table2[#Headers],0),0)</f>
        <v>Null</v>
      </c>
      <c r="BH121" s="2" t="str">
        <f>VLOOKUP([jobnumber],OvalData[],MATCH(Table2[[#Headers],[Inner Spring Torque]],Table2[#Headers],0),0)</f>
        <v>Null</v>
      </c>
      <c r="BI121" s="2" t="str">
        <f>VLOOKUP([jobnumber],OvalData[],MATCH(Table2[[#Headers],[Inner Spring Max Turns]],Table2[#Headers],0),0)</f>
        <v>Null</v>
      </c>
      <c r="BJ121" s="2" t="str">
        <f>VLOOKUP([jobnumber],OvalData[],MATCH(Table2[[#Headers],[Inner Spring Weight]],Table2[#Headers],0),0)</f>
        <v>Null</v>
      </c>
      <c r="BK121" s="2">
        <f>VLOOKUP([jobnumber],OvalData[],MATCH(Table2[[#Headers],[Cycles]],Table2[#Headers],0),0)</f>
        <v>0</v>
      </c>
      <c r="BL121" s="2">
        <f>VLOOKUP([jobnumber],OvalData[],MATCH(Table2[[#Headers],[Total Spring Torque]],Table2[#Headers],0),0)</f>
        <v>0</v>
      </c>
      <c r="BM121" s="2">
        <f>VLOOKUP([jobnumber],OvalData[],MATCH(Table2[[#Headers],[Total Spring Weight]],Table2[#Headers],0),0)</f>
        <v>0</v>
      </c>
      <c r="BN121" s="2">
        <f>VLOOKUP([jobnumber],OvalData[],MATCH(Table2[[#Headers],[Pipe Weight]],Table2[#Headers],0),0)</f>
        <v>688.24239999999998</v>
      </c>
      <c r="BO121" s="2">
        <f>VLOOKUP([jobnumber],OvalData[],MATCH(Table2[[#Headers],[Max Pipe Deflection]],Table2[#Headers],0),0)</f>
        <v>2309</v>
      </c>
      <c r="BP121" s="2">
        <f>VLOOKUP([jobnumber],OvalData[],MATCH(Table2[[#Headers],[Number Non-Insulated Wrap Slats]],Table2[#Headers],0),0)</f>
        <v>0</v>
      </c>
      <c r="BQ121" s="2">
        <f>VLOOKUP([jobnumber],OvalData[],MATCH(Table2[[#Headers],[Number of Insolated Top Slats]],Table2[#Headers],0),0)</f>
        <v>45</v>
      </c>
      <c r="BR121" s="2">
        <f>VLOOKUP([jobnumber],OvalData[],MATCH(Table2[[#Headers],[Insolated Total Slats]],Table2[#Headers],0),0)</f>
        <v>45</v>
      </c>
      <c r="BS121" s="2">
        <f>VLOOKUP([jobnumber],OvalData[],MATCH(Table2[[#Headers],[Number of Slats]],Table2[#Headers],0),0)</f>
        <v>44.69</v>
      </c>
      <c r="BT121" s="2">
        <f>VLOOKUP([jobnumber],OvalData[],MATCH(Table2[[#Headers],[Wrap]],Table2[#Headers],0),0)</f>
        <v>0</v>
      </c>
      <c r="BU121" s="2">
        <f>VLOOKUP([jobnumber],OvalData[],MATCH(Table2[[#Headers],[Wall Angle Thickness]],Table2[#Headers],0),0)</f>
        <v>0</v>
      </c>
      <c r="BV121" s="2">
        <f>VLOOKUP([jobnumber],OvalData[],MATCH(Table2[[#Headers],[windlocks]],Table2[#Headers],0),0)</f>
        <v>0</v>
      </c>
      <c r="BW121" s="2" t="str">
        <f>VLOOKUP([jobnumber],OvalData[],MATCH(Table2[[#Headers],[bottombartype]],Table2[#Headers],0),0)</f>
        <v>SPECIAL</v>
      </c>
      <c r="BX121" s="2">
        <f>VLOOKUP([jobnumber],OvalData[],MATCH(Table2[[#Headers],[endlockweight]],Table2[#Headers],0),0)</f>
        <v>0.17</v>
      </c>
      <c r="BY121" s="2">
        <f>VLOOKUP([jobnumber],OvalData[],MATCH(Table2[[#Headers],[Endlock Total Weight]],Table2[#Headers],0),0)</f>
        <v>7.5972999999999997</v>
      </c>
      <c r="BZ121" s="2">
        <f>VLOOKUP([jobnumber],OvalData[],MATCH(Table2[[#Headers],[Grille Weight]],Table2[#Headers],0),0)</f>
        <v>0</v>
      </c>
      <c r="CA121" s="2">
        <f>VLOOKUP([jobnumber],OvalData[],MATCH(Table2[[#Headers],[barrelrings]],Table2[#Headers],0),0)</f>
        <v>1</v>
      </c>
    </row>
    <row r="122" spans="2:79">
      <c r="B122" s="2" t="str">
        <f>VLOOKUP([jobnumber],OvalData[],MATCH(Table2[[#Headers],[Hand]],Table2[#Headers],0),0)</f>
        <v>RH</v>
      </c>
      <c r="C122" s="2" t="str">
        <f>VLOOKUP([jobnumber],OvalData[],MATCH(Table2[[#Headers],[Model]],Table2[#Headers],0),0)</f>
        <v>SFMPP</v>
      </c>
      <c r="D122" s="2" t="str">
        <f>VLOOKUP([jobnumber],OvalData[],MATCH(Table2[[#Headers],[width]],Table2[#Headers],0),0)</f>
        <v xml:space="preserve"> 18 ft.- 2"</v>
      </c>
      <c r="E122" s="2" t="str">
        <f>VLOOKUP([jobnumber],OvalData[],MATCH(Table2[[#Headers],[stopheight]],Table2[#Headers],0),0)</f>
        <v xml:space="preserve"> 10 ft.- 0"</v>
      </c>
      <c r="F122" s="2" t="str">
        <f>VLOOKUP([jobnumber],OvalData[],MATCH(Table2[[#Headers],[Between Brackets]],Table2[#Headers],0),0)</f>
        <v xml:space="preserve"> 18 ft.- 7 7/ 8"</v>
      </c>
      <c r="G122" s="2" t="str">
        <f>VLOOKUP([jobnumber],OvalData[],MATCH(Table2[[#Headers],[shell]],Table2[#Headers],0),0)</f>
        <v>6 INCH TUBE</v>
      </c>
      <c r="H122" s="2" t="str">
        <f>VLOOKUP([jobnumber],OvalData[],MATCH(Table2[[#Headers],[pipewidth]],Table2[#Headers],0),0)</f>
        <v xml:space="preserve"> 18 ft.- 1 3/ 8"</v>
      </c>
      <c r="I122" s="2">
        <f>VLOOKUP([jobnumber],OvalData[],MATCH(Table2[[#Headers],[Support Tubes]],Table2[#Headers],0),0)</f>
        <v>0</v>
      </c>
      <c r="J122" s="2">
        <f>VLOOKUP([jobnumber],OvalData[],MATCH(Table2[[#Headers],[Upset]],Table2[#Headers],0),0)</f>
        <v>2</v>
      </c>
      <c r="K122" s="2" t="str">
        <f>VLOOKUP([jobnumber],OvalData[],MATCH(Table2[[#Headers],[Guide Type]],Table2[#Headers],0),0)</f>
        <v>SN2-4 5/8-E</v>
      </c>
      <c r="L122" s="2" t="str">
        <f>VLOOKUP([jobnumber],OvalData[],MATCH(Table2[[#Headers],[Wall Angle]],Table2[#Headers],0),0)</f>
        <v xml:space="preserve"> 11 ft.- 8"</v>
      </c>
      <c r="M122" s="2" t="str">
        <f>VLOOKUP([jobnumber],OvalData[],MATCH(Table2[[#Headers],[Middle Angle]],Table2[#Headers],0),0)</f>
        <v xml:space="preserve"> 10 ft.- 4 1/ 2"</v>
      </c>
      <c r="N122" s="2" t="str">
        <f>VLOOKUP([jobnumber],OvalData[],MATCH(Table2[[#Headers],[Front Angle]],Table2[#Headers],0),0)</f>
        <v xml:space="preserve"> 10 ft.- 3"</v>
      </c>
      <c r="O122" s="2">
        <f>VLOOKUP([jobnumber],OvalData[],MATCH(Table2[[#Headers],[Pipe Center Line]],Table2[#Headers],0),0)</f>
        <v>131</v>
      </c>
      <c r="P122" s="2">
        <f>VLOOKUP([jobnumber],OvalData[],MATCH(Table2[[#Headers],[Heat Expansion Gap]],Table2[#Headers],0),0)</f>
        <v>0</v>
      </c>
      <c r="Q122" s="2">
        <f>VLOOKUP([jobnumber],OvalData[],MATCH(Table2[[#Headers],[Hanging Weight Closed]],Table2[#Headers],0),0)</f>
        <v>795</v>
      </c>
      <c r="R122" s="2">
        <f>VLOOKUP([jobnumber],OvalData[],MATCH(Table2[[#Headers],[Hanging Weight Open]],Table2[#Headers],0),0)</f>
        <v>140</v>
      </c>
      <c r="S122" s="2">
        <f>VLOOKUP([jobnumber],OvalData[],MATCH(Table2[[#Headers],[Initial Lever Arm]],Table2[#Headers],0),0)</f>
        <v>4.25</v>
      </c>
      <c r="T122" s="2">
        <f>VLOOKUP([jobnumber],OvalData[],MATCH(Table2[[#Headers],[Turns to Raise]],Table2[#Headers],0),0)</f>
        <v>3.5859999999999999</v>
      </c>
      <c r="U122" s="2">
        <f>VLOOKUP([jobnumber],OvalData[],MATCH(Table2[[#Headers],[Final Lever Arm]],Table2[#Headers],0),0)</f>
        <v>6.37</v>
      </c>
      <c r="V122" s="2">
        <f>VLOOKUP([jobnumber],OvalData[],MATCH(Table2[[#Headers],[Torque Required Closed]],Table2[#Headers],0),0)</f>
        <v>3377.9</v>
      </c>
      <c r="W122" s="2">
        <f>VLOOKUP([jobnumber],OvalData[],MATCH(Table2[[#Headers],[Torque Required Open]],Table2[#Headers],0),0)</f>
        <v>892</v>
      </c>
      <c r="X122" s="2">
        <f>VLOOKUP([jobnumber],OvalData[],MATCH(Table2[[#Headers],[Pre Turns]],Table2[#Headers],0),0)</f>
        <v>1.3332999999999999</v>
      </c>
      <c r="Y122" s="2">
        <f>VLOOKUP([jobnumber],OvalData[],MATCH(Table2[[#Headers],[Required Torque Per Turn]],Table2[#Headers],0),0)</f>
        <v>688</v>
      </c>
      <c r="Z122" s="2">
        <f>VLOOKUP([jobnumber],OvalData[],MATCH(Table2[[#Headers],[Total Turns]],Table2[#Headers],0),0)</f>
        <v>4.91</v>
      </c>
      <c r="AA122" s="2">
        <f>VLOOKUP([jobnumber],OvalData[],MATCH(Table2[[#Headers],[Grille Vision Section]],Table2[#Headers],0),0)</f>
        <v>0</v>
      </c>
      <c r="AB122" s="2">
        <f>VLOOKUP([jobnumber],OvalData[],MATCH(Table2[[#Headers],[Grille Amount]],Table2[#Headers],0),0)</f>
        <v>0</v>
      </c>
      <c r="AC122" s="2">
        <f>VLOOKUP([jobnumber],OvalData[],MATCH(Table2[[#Headers],[Grille Center]],Table2[#Headers],0),0)</f>
        <v>0</v>
      </c>
      <c r="AD122" s="2">
        <f>VLOOKUP([jobnumber],OvalData[],MATCH(Table2[[#Headers],[Grille Pattern]],Table2[#Headers],0),0)</f>
        <v>0</v>
      </c>
      <c r="AE122" s="2">
        <f>VLOOKUP([jobnumber],OvalData[],MATCH(Table2[[#Headers],[Grille First Tube]],Table2[#Headers],0),0)</f>
        <v>0</v>
      </c>
      <c r="AF122" s="2">
        <f>VLOOKUP([jobnumber],OvalData[],MATCH(Table2[[#Headers],[Grille Standard Tube]],Table2[#Headers],0),0)</f>
        <v>0</v>
      </c>
      <c r="AG122" s="2">
        <f>VLOOKUP([jobnumber],OvalData[],MATCH(Table2[[#Headers],[Grille Total Links]],Table2[#Headers],0),0)</f>
        <v>0</v>
      </c>
      <c r="AH122" s="2">
        <f>VLOOKUP([jobnumber],OvalData[],MATCH(Table2[[#Headers],[Grille Rods]],Table2[#Headers],0),0)</f>
        <v>0</v>
      </c>
      <c r="AI122" s="2">
        <f>VLOOKUP([jobnumber],OvalData[],MATCH(Table2[[#Headers],[Grille Rod Length]],Table2[#Headers],0),0)</f>
        <v>0</v>
      </c>
      <c r="AJ122" s="2">
        <f>VLOOKUP([jobnumber],OvalData[],MATCH(Table2[[#Headers],[slattype]],Table2[#Headers],0),0)</f>
        <v>2</v>
      </c>
      <c r="AK122" s="2">
        <f>VLOOKUP([jobnumber],OvalData[],MATCH(Table2[[#Headers],[slatgage]],Table2[#Headers],0),0)</f>
        <v>18</v>
      </c>
      <c r="AL122" s="2">
        <f>VLOOKUP([jobnumber],OvalData[],MATCH(Table2[[#Headers],[Numer of Top Slats]],Table2[#Headers],0),0)</f>
        <v>0</v>
      </c>
      <c r="AM122" s="2">
        <f>VLOOKUP([jobnumber],OvalData[],MATCH(Table2[[#Headers],[Number of Bottom Slats]],Table2[#Headers],0),0)</f>
        <v>0</v>
      </c>
      <c r="AN122" s="2">
        <f>VLOOKUP([jobnumber],OvalData[],MATCH(Table2[[#Headers],[Solid Bottom Height]],Table2[#Headers],0),0)</f>
        <v>0</v>
      </c>
      <c r="AO122" s="2" t="str">
        <f>VLOOKUP([jobnumber],OvalData[],MATCH(Table2[[#Headers],[slatlength]],Table2[#Headers],0),0)</f>
        <v xml:space="preserve"> 18 ft.- 5 7/ 8"</v>
      </c>
      <c r="AP122" s="2">
        <f>VLOOKUP([jobnumber],OvalData[],MATCH(Table2[[#Headers],[Bottom Slat Length]],Table2[#Headers],0),0)</f>
        <v>0</v>
      </c>
      <c r="AQ122" s="2">
        <f>VLOOKUP([jobnumber],OvalData[],MATCH(Table2[[#Headers],[Number of Perferated Slats]],Table2[#Headers],0),0)</f>
        <v>0</v>
      </c>
      <c r="AR122" s="2">
        <f>VLOOKUP([jobnumber],OvalData[],MATCH(Table2[[#Headers],[First Preferated Slat From End]],Table2[#Headers],0),0)</f>
        <v>0</v>
      </c>
      <c r="AS122" s="2">
        <f>VLOOKUP([jobnumber],OvalData[],MATCH(Table2[[#Headers],[First Preferated Slat From Bottom]],Table2[#Headers],0),0)</f>
        <v>0</v>
      </c>
      <c r="AT122" s="2">
        <f>VLOOKUP([jobnumber],OvalData[],MATCH(Table2[[#Headers],[Total Number of Slats]],Table2[#Headers],0),0)</f>
        <v>51</v>
      </c>
      <c r="AU122" s="2">
        <f>VLOOKUP([jobnumber],OvalData[],MATCH(Table2[[#Headers],[Bottom Bar Slope]],Table2[#Headers],0),0)</f>
        <v>0</v>
      </c>
      <c r="AV122" s="2">
        <f>VLOOKUP([jobnumber],OvalData[],MATCH(Table2[[#Headers],[Bottom Bar Weight]],Table2[#Headers],0),0)</f>
        <v>80.5</v>
      </c>
      <c r="AW122" s="2" t="str">
        <f>VLOOKUP([jobnumber],OvalData[],MATCH(Table2[[#Headers],[Outer Spring Gage]],Table2[#Headers],0),0)</f>
        <v>Null</v>
      </c>
      <c r="AX122" s="2" t="str">
        <f>VLOOKUP([jobnumber],OvalData[],MATCH(Table2[[#Headers],[Outer Spring OD]],Table2[#Headers],0),0)</f>
        <v>Null</v>
      </c>
      <c r="AY122" s="2" t="str">
        <f>VLOOKUP([jobnumber],OvalData[],MATCH(Table2[[#Headers],[Outer Spring Length]],Table2[#Headers],0),0)</f>
        <v>Null</v>
      </c>
      <c r="AZ122" s="2" t="str">
        <f>VLOOKUP([jobnumber],OvalData[],MATCH(Table2[[#Headers],[Outer Spring Stretch]],Table2[#Headers],0),0)</f>
        <v>Null</v>
      </c>
      <c r="BA122" s="2" t="str">
        <f>VLOOKUP([jobnumber],OvalData[],MATCH(Table2[[#Headers],[Outer Spring Torque]],Table2[#Headers],0),0)</f>
        <v>Null</v>
      </c>
      <c r="BB122" s="2" t="str">
        <f>VLOOKUP([jobnumber],OvalData[],MATCH(Table2[[#Headers],[Outer Spring Max Turns]],Table2[#Headers],0),0)</f>
        <v>Null</v>
      </c>
      <c r="BC122" s="2" t="str">
        <f>VLOOKUP([jobnumber],OvalData[],MATCH(Table2[[#Headers],[Outer Spring Weight]],Table2[#Headers],0),0)</f>
        <v>Null</v>
      </c>
      <c r="BD122" s="2" t="str">
        <f>VLOOKUP([jobnumber],OvalData[],MATCH(Table2[[#Headers],[Inner Spring Gage]],Table2[#Headers],0),0)</f>
        <v>Null</v>
      </c>
      <c r="BE122" s="2" t="str">
        <f>VLOOKUP([jobnumber],OvalData[],MATCH(Table2[[#Headers],[Inner Spring OD]],Table2[#Headers],0),0)</f>
        <v>Null</v>
      </c>
      <c r="BF122" s="2" t="str">
        <f>VLOOKUP([jobnumber],OvalData[],MATCH(Table2[[#Headers],[Inner Spring Length]],Table2[#Headers],0),0)</f>
        <v>Null</v>
      </c>
      <c r="BG122" s="2" t="str">
        <f>VLOOKUP([jobnumber],OvalData[],MATCH(Table2[[#Headers],[Inner Spring Stretch]],Table2[#Headers],0),0)</f>
        <v>Null</v>
      </c>
      <c r="BH122" s="2" t="str">
        <f>VLOOKUP([jobnumber],OvalData[],MATCH(Table2[[#Headers],[Inner Spring Torque]],Table2[#Headers],0),0)</f>
        <v>Null</v>
      </c>
      <c r="BI122" s="2" t="str">
        <f>VLOOKUP([jobnumber],OvalData[],MATCH(Table2[[#Headers],[Inner Spring Max Turns]],Table2[#Headers],0),0)</f>
        <v>Null</v>
      </c>
      <c r="BJ122" s="2" t="str">
        <f>VLOOKUP([jobnumber],OvalData[],MATCH(Table2[[#Headers],[Inner Spring Weight]],Table2[#Headers],0),0)</f>
        <v>Null</v>
      </c>
      <c r="BK122" s="2">
        <f>VLOOKUP([jobnumber],OvalData[],MATCH(Table2[[#Headers],[Cycles]],Table2[#Headers],0),0)</f>
        <v>0</v>
      </c>
      <c r="BL122" s="2">
        <f>VLOOKUP([jobnumber],OvalData[],MATCH(Table2[[#Headers],[Total Spring Torque]],Table2[#Headers],0),0)</f>
        <v>0</v>
      </c>
      <c r="BM122" s="2">
        <f>VLOOKUP([jobnumber],OvalData[],MATCH(Table2[[#Headers],[Total Spring Weight]],Table2[#Headers],0),0)</f>
        <v>0</v>
      </c>
      <c r="BN122" s="2">
        <f>VLOOKUP([jobnumber],OvalData[],MATCH(Table2[[#Headers],[Pipe Weight]],Table2[#Headers],0),0)</f>
        <v>688.24239999999998</v>
      </c>
      <c r="BO122" s="2">
        <f>VLOOKUP([jobnumber],OvalData[],MATCH(Table2[[#Headers],[Max Pipe Deflection]],Table2[#Headers],0),0)</f>
        <v>2309</v>
      </c>
      <c r="BP122" s="2">
        <f>VLOOKUP([jobnumber],OvalData[],MATCH(Table2[[#Headers],[Number Non-Insulated Wrap Slats]],Table2[#Headers],0),0)</f>
        <v>0</v>
      </c>
      <c r="BQ122" s="2">
        <f>VLOOKUP([jobnumber],OvalData[],MATCH(Table2[[#Headers],[Number of Insolated Top Slats]],Table2[#Headers],0),0)</f>
        <v>45</v>
      </c>
      <c r="BR122" s="2">
        <f>VLOOKUP([jobnumber],OvalData[],MATCH(Table2[[#Headers],[Insolated Total Slats]],Table2[#Headers],0),0)</f>
        <v>45</v>
      </c>
      <c r="BS122" s="2">
        <f>VLOOKUP([jobnumber],OvalData[],MATCH(Table2[[#Headers],[Number of Slats]],Table2[#Headers],0),0)</f>
        <v>44.69</v>
      </c>
      <c r="BT122" s="2">
        <f>VLOOKUP([jobnumber],OvalData[],MATCH(Table2[[#Headers],[Wrap]],Table2[#Headers],0),0)</f>
        <v>0</v>
      </c>
      <c r="BU122" s="2">
        <f>VLOOKUP([jobnumber],OvalData[],MATCH(Table2[[#Headers],[Wall Angle Thickness]],Table2[#Headers],0),0)</f>
        <v>0</v>
      </c>
      <c r="BV122" s="2">
        <f>VLOOKUP([jobnumber],OvalData[],MATCH(Table2[[#Headers],[windlocks]],Table2[#Headers],0),0)</f>
        <v>0</v>
      </c>
      <c r="BW122" s="2" t="str">
        <f>VLOOKUP([jobnumber],OvalData[],MATCH(Table2[[#Headers],[bottombartype]],Table2[#Headers],0),0)</f>
        <v>SPECIAL</v>
      </c>
      <c r="BX122" s="2">
        <f>VLOOKUP([jobnumber],OvalData[],MATCH(Table2[[#Headers],[endlockweight]],Table2[#Headers],0),0)</f>
        <v>0.17</v>
      </c>
      <c r="BY122" s="2">
        <f>VLOOKUP([jobnumber],OvalData[],MATCH(Table2[[#Headers],[Endlock Total Weight]],Table2[#Headers],0),0)</f>
        <v>7.5972999999999997</v>
      </c>
      <c r="BZ122" s="2">
        <f>VLOOKUP([jobnumber],OvalData[],MATCH(Table2[[#Headers],[Grille Weight]],Table2[#Headers],0),0)</f>
        <v>0</v>
      </c>
      <c r="CA122" s="2">
        <f>VLOOKUP([jobnumber],OvalData[],MATCH(Table2[[#Headers],[barrelrings]],Table2[#Headers],0),0)</f>
        <v>1</v>
      </c>
    </row>
    <row r="123" spans="2:79">
      <c r="B123" s="2" t="str">
        <f>VLOOKUP([jobnumber],OvalData[],MATCH(Table2[[#Headers],[Hand]],Table2[#Headers],0),0)</f>
        <v>RH</v>
      </c>
      <c r="C123" s="2" t="str">
        <f>VLOOKUP([jobnumber],OvalData[],MATCH(Table2[[#Headers],[Model]],Table2[#Headers],0),0)</f>
        <v>SFMPP</v>
      </c>
      <c r="D123" s="2" t="str">
        <f>VLOOKUP([jobnumber],OvalData[],MATCH(Table2[[#Headers],[width]],Table2[#Headers],0),0)</f>
        <v xml:space="preserve"> 18 ft.- 2"</v>
      </c>
      <c r="E123" s="2" t="str">
        <f>VLOOKUP([jobnumber],OvalData[],MATCH(Table2[[#Headers],[stopheight]],Table2[#Headers],0),0)</f>
        <v xml:space="preserve"> 10 ft.- 0"</v>
      </c>
      <c r="F123" s="2" t="str">
        <f>VLOOKUP([jobnumber],OvalData[],MATCH(Table2[[#Headers],[Between Brackets]],Table2[#Headers],0),0)</f>
        <v xml:space="preserve"> 18 ft.- 7 7/ 8"</v>
      </c>
      <c r="G123" s="2" t="str">
        <f>VLOOKUP([jobnumber],OvalData[],MATCH(Table2[[#Headers],[shell]],Table2[#Headers],0),0)</f>
        <v>6 INCH TUBE</v>
      </c>
      <c r="H123" s="2" t="str">
        <f>VLOOKUP([jobnumber],OvalData[],MATCH(Table2[[#Headers],[pipewidth]],Table2[#Headers],0),0)</f>
        <v xml:space="preserve"> 18 ft.- 1 3/ 8"</v>
      </c>
      <c r="I123" s="2">
        <f>VLOOKUP([jobnumber],OvalData[],MATCH(Table2[[#Headers],[Support Tubes]],Table2[#Headers],0),0)</f>
        <v>0</v>
      </c>
      <c r="J123" s="2">
        <f>VLOOKUP([jobnumber],OvalData[],MATCH(Table2[[#Headers],[Upset]],Table2[#Headers],0),0)</f>
        <v>2</v>
      </c>
      <c r="K123" s="2" t="str">
        <f>VLOOKUP([jobnumber],OvalData[],MATCH(Table2[[#Headers],[Guide Type]],Table2[#Headers],0),0)</f>
        <v>SN2-4 5/8-E</v>
      </c>
      <c r="L123" s="2" t="str">
        <f>VLOOKUP([jobnumber],OvalData[],MATCH(Table2[[#Headers],[Wall Angle]],Table2[#Headers],0),0)</f>
        <v xml:space="preserve"> 11 ft.- 8"</v>
      </c>
      <c r="M123" s="2" t="str">
        <f>VLOOKUP([jobnumber],OvalData[],MATCH(Table2[[#Headers],[Middle Angle]],Table2[#Headers],0),0)</f>
        <v xml:space="preserve"> 10 ft.- 4 1/ 2"</v>
      </c>
      <c r="N123" s="2" t="str">
        <f>VLOOKUP([jobnumber],OvalData[],MATCH(Table2[[#Headers],[Front Angle]],Table2[#Headers],0),0)</f>
        <v xml:space="preserve"> 10 ft.- 3"</v>
      </c>
      <c r="O123" s="2">
        <f>VLOOKUP([jobnumber],OvalData[],MATCH(Table2[[#Headers],[Pipe Center Line]],Table2[#Headers],0),0)</f>
        <v>131</v>
      </c>
      <c r="P123" s="2">
        <f>VLOOKUP([jobnumber],OvalData[],MATCH(Table2[[#Headers],[Heat Expansion Gap]],Table2[#Headers],0),0)</f>
        <v>0</v>
      </c>
      <c r="Q123" s="2">
        <f>VLOOKUP([jobnumber],OvalData[],MATCH(Table2[[#Headers],[Hanging Weight Closed]],Table2[#Headers],0),0)</f>
        <v>795</v>
      </c>
      <c r="R123" s="2">
        <f>VLOOKUP([jobnumber],OvalData[],MATCH(Table2[[#Headers],[Hanging Weight Open]],Table2[#Headers],0),0)</f>
        <v>140</v>
      </c>
      <c r="S123" s="2">
        <f>VLOOKUP([jobnumber],OvalData[],MATCH(Table2[[#Headers],[Initial Lever Arm]],Table2[#Headers],0),0)</f>
        <v>4.25</v>
      </c>
      <c r="T123" s="2">
        <f>VLOOKUP([jobnumber],OvalData[],MATCH(Table2[[#Headers],[Turns to Raise]],Table2[#Headers],0),0)</f>
        <v>3.5859999999999999</v>
      </c>
      <c r="U123" s="2">
        <f>VLOOKUP([jobnumber],OvalData[],MATCH(Table2[[#Headers],[Final Lever Arm]],Table2[#Headers],0),0)</f>
        <v>6.37</v>
      </c>
      <c r="V123" s="2">
        <f>VLOOKUP([jobnumber],OvalData[],MATCH(Table2[[#Headers],[Torque Required Closed]],Table2[#Headers],0),0)</f>
        <v>3377.9</v>
      </c>
      <c r="W123" s="2">
        <f>VLOOKUP([jobnumber],OvalData[],MATCH(Table2[[#Headers],[Torque Required Open]],Table2[#Headers],0),0)</f>
        <v>892</v>
      </c>
      <c r="X123" s="2">
        <f>VLOOKUP([jobnumber],OvalData[],MATCH(Table2[[#Headers],[Pre Turns]],Table2[#Headers],0),0)</f>
        <v>1.3332999999999999</v>
      </c>
      <c r="Y123" s="2">
        <f>VLOOKUP([jobnumber],OvalData[],MATCH(Table2[[#Headers],[Required Torque Per Turn]],Table2[#Headers],0),0)</f>
        <v>688</v>
      </c>
      <c r="Z123" s="2">
        <f>VLOOKUP([jobnumber],OvalData[],MATCH(Table2[[#Headers],[Total Turns]],Table2[#Headers],0),0)</f>
        <v>4.91</v>
      </c>
      <c r="AA123" s="2">
        <f>VLOOKUP([jobnumber],OvalData[],MATCH(Table2[[#Headers],[Grille Vision Section]],Table2[#Headers],0),0)</f>
        <v>0</v>
      </c>
      <c r="AB123" s="2">
        <f>VLOOKUP([jobnumber],OvalData[],MATCH(Table2[[#Headers],[Grille Amount]],Table2[#Headers],0),0)</f>
        <v>0</v>
      </c>
      <c r="AC123" s="2">
        <f>VLOOKUP([jobnumber],OvalData[],MATCH(Table2[[#Headers],[Grille Center]],Table2[#Headers],0),0)</f>
        <v>0</v>
      </c>
      <c r="AD123" s="2">
        <f>VLOOKUP([jobnumber],OvalData[],MATCH(Table2[[#Headers],[Grille Pattern]],Table2[#Headers],0),0)</f>
        <v>0</v>
      </c>
      <c r="AE123" s="2">
        <f>VLOOKUP([jobnumber],OvalData[],MATCH(Table2[[#Headers],[Grille First Tube]],Table2[#Headers],0),0)</f>
        <v>0</v>
      </c>
      <c r="AF123" s="2">
        <f>VLOOKUP([jobnumber],OvalData[],MATCH(Table2[[#Headers],[Grille Standard Tube]],Table2[#Headers],0),0)</f>
        <v>0</v>
      </c>
      <c r="AG123" s="2">
        <f>VLOOKUP([jobnumber],OvalData[],MATCH(Table2[[#Headers],[Grille Total Links]],Table2[#Headers],0),0)</f>
        <v>0</v>
      </c>
      <c r="AH123" s="2">
        <f>VLOOKUP([jobnumber],OvalData[],MATCH(Table2[[#Headers],[Grille Rods]],Table2[#Headers],0),0)</f>
        <v>0</v>
      </c>
      <c r="AI123" s="2">
        <f>VLOOKUP([jobnumber],OvalData[],MATCH(Table2[[#Headers],[Grille Rod Length]],Table2[#Headers],0),0)</f>
        <v>0</v>
      </c>
      <c r="AJ123" s="2">
        <f>VLOOKUP([jobnumber],OvalData[],MATCH(Table2[[#Headers],[slattype]],Table2[#Headers],0),0)</f>
        <v>2</v>
      </c>
      <c r="AK123" s="2">
        <f>VLOOKUP([jobnumber],OvalData[],MATCH(Table2[[#Headers],[slatgage]],Table2[#Headers],0),0)</f>
        <v>18</v>
      </c>
      <c r="AL123" s="2">
        <f>VLOOKUP([jobnumber],OvalData[],MATCH(Table2[[#Headers],[Numer of Top Slats]],Table2[#Headers],0),0)</f>
        <v>0</v>
      </c>
      <c r="AM123" s="2">
        <f>VLOOKUP([jobnumber],OvalData[],MATCH(Table2[[#Headers],[Number of Bottom Slats]],Table2[#Headers],0),0)</f>
        <v>0</v>
      </c>
      <c r="AN123" s="2">
        <f>VLOOKUP([jobnumber],OvalData[],MATCH(Table2[[#Headers],[Solid Bottom Height]],Table2[#Headers],0),0)</f>
        <v>0</v>
      </c>
      <c r="AO123" s="2" t="str">
        <f>VLOOKUP([jobnumber],OvalData[],MATCH(Table2[[#Headers],[slatlength]],Table2[#Headers],0),0)</f>
        <v xml:space="preserve"> 18 ft.- 5 7/ 8"</v>
      </c>
      <c r="AP123" s="2">
        <f>VLOOKUP([jobnumber],OvalData[],MATCH(Table2[[#Headers],[Bottom Slat Length]],Table2[#Headers],0),0)</f>
        <v>0</v>
      </c>
      <c r="AQ123" s="2">
        <f>VLOOKUP([jobnumber],OvalData[],MATCH(Table2[[#Headers],[Number of Perferated Slats]],Table2[#Headers],0),0)</f>
        <v>0</v>
      </c>
      <c r="AR123" s="2">
        <f>VLOOKUP([jobnumber],OvalData[],MATCH(Table2[[#Headers],[First Preferated Slat From End]],Table2[#Headers],0),0)</f>
        <v>0</v>
      </c>
      <c r="AS123" s="2">
        <f>VLOOKUP([jobnumber],OvalData[],MATCH(Table2[[#Headers],[First Preferated Slat From Bottom]],Table2[#Headers],0),0)</f>
        <v>0</v>
      </c>
      <c r="AT123" s="2">
        <f>VLOOKUP([jobnumber],OvalData[],MATCH(Table2[[#Headers],[Total Number of Slats]],Table2[#Headers],0),0)</f>
        <v>51</v>
      </c>
      <c r="AU123" s="2">
        <f>VLOOKUP([jobnumber],OvalData[],MATCH(Table2[[#Headers],[Bottom Bar Slope]],Table2[#Headers],0),0)</f>
        <v>0</v>
      </c>
      <c r="AV123" s="2">
        <f>VLOOKUP([jobnumber],OvalData[],MATCH(Table2[[#Headers],[Bottom Bar Weight]],Table2[#Headers],0),0)</f>
        <v>80.5</v>
      </c>
      <c r="AW123" s="2" t="str">
        <f>VLOOKUP([jobnumber],OvalData[],MATCH(Table2[[#Headers],[Outer Spring Gage]],Table2[#Headers],0),0)</f>
        <v>Null</v>
      </c>
      <c r="AX123" s="2" t="str">
        <f>VLOOKUP([jobnumber],OvalData[],MATCH(Table2[[#Headers],[Outer Spring OD]],Table2[#Headers],0),0)</f>
        <v>Null</v>
      </c>
      <c r="AY123" s="2" t="str">
        <f>VLOOKUP([jobnumber],OvalData[],MATCH(Table2[[#Headers],[Outer Spring Length]],Table2[#Headers],0),0)</f>
        <v>Null</v>
      </c>
      <c r="AZ123" s="2" t="str">
        <f>VLOOKUP([jobnumber],OvalData[],MATCH(Table2[[#Headers],[Outer Spring Stretch]],Table2[#Headers],0),0)</f>
        <v>Null</v>
      </c>
      <c r="BA123" s="2" t="str">
        <f>VLOOKUP([jobnumber],OvalData[],MATCH(Table2[[#Headers],[Outer Spring Torque]],Table2[#Headers],0),0)</f>
        <v>Null</v>
      </c>
      <c r="BB123" s="2" t="str">
        <f>VLOOKUP([jobnumber],OvalData[],MATCH(Table2[[#Headers],[Outer Spring Max Turns]],Table2[#Headers],0),0)</f>
        <v>Null</v>
      </c>
      <c r="BC123" s="2" t="str">
        <f>VLOOKUP([jobnumber],OvalData[],MATCH(Table2[[#Headers],[Outer Spring Weight]],Table2[#Headers],0),0)</f>
        <v>Null</v>
      </c>
      <c r="BD123" s="2" t="str">
        <f>VLOOKUP([jobnumber],OvalData[],MATCH(Table2[[#Headers],[Inner Spring Gage]],Table2[#Headers],0),0)</f>
        <v>Null</v>
      </c>
      <c r="BE123" s="2" t="str">
        <f>VLOOKUP([jobnumber],OvalData[],MATCH(Table2[[#Headers],[Inner Spring OD]],Table2[#Headers],0),0)</f>
        <v>Null</v>
      </c>
      <c r="BF123" s="2" t="str">
        <f>VLOOKUP([jobnumber],OvalData[],MATCH(Table2[[#Headers],[Inner Spring Length]],Table2[#Headers],0),0)</f>
        <v>Null</v>
      </c>
      <c r="BG123" s="2" t="str">
        <f>VLOOKUP([jobnumber],OvalData[],MATCH(Table2[[#Headers],[Inner Spring Stretch]],Table2[#Headers],0),0)</f>
        <v>Null</v>
      </c>
      <c r="BH123" s="2" t="str">
        <f>VLOOKUP([jobnumber],OvalData[],MATCH(Table2[[#Headers],[Inner Spring Torque]],Table2[#Headers],0),0)</f>
        <v>Null</v>
      </c>
      <c r="BI123" s="2" t="str">
        <f>VLOOKUP([jobnumber],OvalData[],MATCH(Table2[[#Headers],[Inner Spring Max Turns]],Table2[#Headers],0),0)</f>
        <v>Null</v>
      </c>
      <c r="BJ123" s="2" t="str">
        <f>VLOOKUP([jobnumber],OvalData[],MATCH(Table2[[#Headers],[Inner Spring Weight]],Table2[#Headers],0),0)</f>
        <v>Null</v>
      </c>
      <c r="BK123" s="2">
        <f>VLOOKUP([jobnumber],OvalData[],MATCH(Table2[[#Headers],[Cycles]],Table2[#Headers],0),0)</f>
        <v>0</v>
      </c>
      <c r="BL123" s="2">
        <f>VLOOKUP([jobnumber],OvalData[],MATCH(Table2[[#Headers],[Total Spring Torque]],Table2[#Headers],0),0)</f>
        <v>0</v>
      </c>
      <c r="BM123" s="2">
        <f>VLOOKUP([jobnumber],OvalData[],MATCH(Table2[[#Headers],[Total Spring Weight]],Table2[#Headers],0),0)</f>
        <v>0</v>
      </c>
      <c r="BN123" s="2">
        <f>VLOOKUP([jobnumber],OvalData[],MATCH(Table2[[#Headers],[Pipe Weight]],Table2[#Headers],0),0)</f>
        <v>688.24239999999998</v>
      </c>
      <c r="BO123" s="2">
        <f>VLOOKUP([jobnumber],OvalData[],MATCH(Table2[[#Headers],[Max Pipe Deflection]],Table2[#Headers],0),0)</f>
        <v>2309</v>
      </c>
      <c r="BP123" s="2">
        <f>VLOOKUP([jobnumber],OvalData[],MATCH(Table2[[#Headers],[Number Non-Insulated Wrap Slats]],Table2[#Headers],0),0)</f>
        <v>0</v>
      </c>
      <c r="BQ123" s="2">
        <f>VLOOKUP([jobnumber],OvalData[],MATCH(Table2[[#Headers],[Number of Insolated Top Slats]],Table2[#Headers],0),0)</f>
        <v>45</v>
      </c>
      <c r="BR123" s="2">
        <f>VLOOKUP([jobnumber],OvalData[],MATCH(Table2[[#Headers],[Insolated Total Slats]],Table2[#Headers],0),0)</f>
        <v>45</v>
      </c>
      <c r="BS123" s="2">
        <f>VLOOKUP([jobnumber],OvalData[],MATCH(Table2[[#Headers],[Number of Slats]],Table2[#Headers],0),0)</f>
        <v>44.69</v>
      </c>
      <c r="BT123" s="2">
        <f>VLOOKUP([jobnumber],OvalData[],MATCH(Table2[[#Headers],[Wrap]],Table2[#Headers],0),0)</f>
        <v>0</v>
      </c>
      <c r="BU123" s="2">
        <f>VLOOKUP([jobnumber],OvalData[],MATCH(Table2[[#Headers],[Wall Angle Thickness]],Table2[#Headers],0),0)</f>
        <v>0</v>
      </c>
      <c r="BV123" s="2">
        <f>VLOOKUP([jobnumber],OvalData[],MATCH(Table2[[#Headers],[windlocks]],Table2[#Headers],0),0)</f>
        <v>0</v>
      </c>
      <c r="BW123" s="2" t="str">
        <f>VLOOKUP([jobnumber],OvalData[],MATCH(Table2[[#Headers],[bottombartype]],Table2[#Headers],0),0)</f>
        <v>SPECIAL</v>
      </c>
      <c r="BX123" s="2">
        <f>VLOOKUP([jobnumber],OvalData[],MATCH(Table2[[#Headers],[endlockweight]],Table2[#Headers],0),0)</f>
        <v>0.17</v>
      </c>
      <c r="BY123" s="2">
        <f>VLOOKUP([jobnumber],OvalData[],MATCH(Table2[[#Headers],[Endlock Total Weight]],Table2[#Headers],0),0)</f>
        <v>7.5972999999999997</v>
      </c>
      <c r="BZ123" s="2">
        <f>VLOOKUP([jobnumber],OvalData[],MATCH(Table2[[#Headers],[Grille Weight]],Table2[#Headers],0),0)</f>
        <v>0</v>
      </c>
      <c r="CA123" s="2">
        <f>VLOOKUP([jobnumber],OvalData[],MATCH(Table2[[#Headers],[barrelrings]],Table2[#Headers],0),0)</f>
        <v>1</v>
      </c>
    </row>
    <row r="124" spans="2:79">
      <c r="B124" s="2" t="str">
        <f>VLOOKUP([jobnumber],OvalData[],MATCH(Table2[[#Headers],[Hand]],Table2[#Headers],0),0)</f>
        <v>RH</v>
      </c>
      <c r="C124" s="2" t="str">
        <f>VLOOKUP([jobnumber],OvalData[],MATCH(Table2[[#Headers],[Model]],Table2[#Headers],0),0)</f>
        <v>SFMPP</v>
      </c>
      <c r="D124" s="2" t="str">
        <f>VLOOKUP([jobnumber],OvalData[],MATCH(Table2[[#Headers],[width]],Table2[#Headers],0),0)</f>
        <v xml:space="preserve"> 18 ft.- 2"</v>
      </c>
      <c r="E124" s="2" t="str">
        <f>VLOOKUP([jobnumber],OvalData[],MATCH(Table2[[#Headers],[stopheight]],Table2[#Headers],0),0)</f>
        <v xml:space="preserve"> 10 ft.- 0"</v>
      </c>
      <c r="F124" s="2" t="str">
        <f>VLOOKUP([jobnumber],OvalData[],MATCH(Table2[[#Headers],[Between Brackets]],Table2[#Headers],0),0)</f>
        <v xml:space="preserve"> 18 ft.- 7 7/ 8"</v>
      </c>
      <c r="G124" s="2" t="str">
        <f>VLOOKUP([jobnumber],OvalData[],MATCH(Table2[[#Headers],[shell]],Table2[#Headers],0),0)</f>
        <v>6 INCH TUBE</v>
      </c>
      <c r="H124" s="2" t="str">
        <f>VLOOKUP([jobnumber],OvalData[],MATCH(Table2[[#Headers],[pipewidth]],Table2[#Headers],0),0)</f>
        <v xml:space="preserve"> 18 ft.- 1 3/ 8"</v>
      </c>
      <c r="I124" s="2">
        <f>VLOOKUP([jobnumber],OvalData[],MATCH(Table2[[#Headers],[Support Tubes]],Table2[#Headers],0),0)</f>
        <v>0</v>
      </c>
      <c r="J124" s="2">
        <f>VLOOKUP([jobnumber],OvalData[],MATCH(Table2[[#Headers],[Upset]],Table2[#Headers],0),0)</f>
        <v>2</v>
      </c>
      <c r="K124" s="2" t="str">
        <f>VLOOKUP([jobnumber],OvalData[],MATCH(Table2[[#Headers],[Guide Type]],Table2[#Headers],0),0)</f>
        <v>SN2-4 5/8-E</v>
      </c>
      <c r="L124" s="2" t="str">
        <f>VLOOKUP([jobnumber],OvalData[],MATCH(Table2[[#Headers],[Wall Angle]],Table2[#Headers],0),0)</f>
        <v xml:space="preserve"> 11 ft.- 8"</v>
      </c>
      <c r="M124" s="2" t="str">
        <f>VLOOKUP([jobnumber],OvalData[],MATCH(Table2[[#Headers],[Middle Angle]],Table2[#Headers],0),0)</f>
        <v xml:space="preserve"> 10 ft.- 4 1/ 2"</v>
      </c>
      <c r="N124" s="2" t="str">
        <f>VLOOKUP([jobnumber],OvalData[],MATCH(Table2[[#Headers],[Front Angle]],Table2[#Headers],0),0)</f>
        <v xml:space="preserve"> 10 ft.- 3"</v>
      </c>
      <c r="O124" s="2">
        <f>VLOOKUP([jobnumber],OvalData[],MATCH(Table2[[#Headers],[Pipe Center Line]],Table2[#Headers],0),0)</f>
        <v>131</v>
      </c>
      <c r="P124" s="2">
        <f>VLOOKUP([jobnumber],OvalData[],MATCH(Table2[[#Headers],[Heat Expansion Gap]],Table2[#Headers],0),0)</f>
        <v>0</v>
      </c>
      <c r="Q124" s="2">
        <f>VLOOKUP([jobnumber],OvalData[],MATCH(Table2[[#Headers],[Hanging Weight Closed]],Table2[#Headers],0),0)</f>
        <v>795</v>
      </c>
      <c r="R124" s="2">
        <f>VLOOKUP([jobnumber],OvalData[],MATCH(Table2[[#Headers],[Hanging Weight Open]],Table2[#Headers],0),0)</f>
        <v>140</v>
      </c>
      <c r="S124" s="2">
        <f>VLOOKUP([jobnumber],OvalData[],MATCH(Table2[[#Headers],[Initial Lever Arm]],Table2[#Headers],0),0)</f>
        <v>4.25</v>
      </c>
      <c r="T124" s="2">
        <f>VLOOKUP([jobnumber],OvalData[],MATCH(Table2[[#Headers],[Turns to Raise]],Table2[#Headers],0),0)</f>
        <v>3.5859999999999999</v>
      </c>
      <c r="U124" s="2">
        <f>VLOOKUP([jobnumber],OvalData[],MATCH(Table2[[#Headers],[Final Lever Arm]],Table2[#Headers],0),0)</f>
        <v>6.37</v>
      </c>
      <c r="V124" s="2">
        <f>VLOOKUP([jobnumber],OvalData[],MATCH(Table2[[#Headers],[Torque Required Closed]],Table2[#Headers],0),0)</f>
        <v>3377.9</v>
      </c>
      <c r="W124" s="2">
        <f>VLOOKUP([jobnumber],OvalData[],MATCH(Table2[[#Headers],[Torque Required Open]],Table2[#Headers],0),0)</f>
        <v>892</v>
      </c>
      <c r="X124" s="2">
        <f>VLOOKUP([jobnumber],OvalData[],MATCH(Table2[[#Headers],[Pre Turns]],Table2[#Headers],0),0)</f>
        <v>1.3332999999999999</v>
      </c>
      <c r="Y124" s="2">
        <f>VLOOKUP([jobnumber],OvalData[],MATCH(Table2[[#Headers],[Required Torque Per Turn]],Table2[#Headers],0),0)</f>
        <v>688</v>
      </c>
      <c r="Z124" s="2">
        <f>VLOOKUP([jobnumber],OvalData[],MATCH(Table2[[#Headers],[Total Turns]],Table2[#Headers],0),0)</f>
        <v>4.91</v>
      </c>
      <c r="AA124" s="2">
        <f>VLOOKUP([jobnumber],OvalData[],MATCH(Table2[[#Headers],[Grille Vision Section]],Table2[#Headers],0),0)</f>
        <v>0</v>
      </c>
      <c r="AB124" s="2">
        <f>VLOOKUP([jobnumber],OvalData[],MATCH(Table2[[#Headers],[Grille Amount]],Table2[#Headers],0),0)</f>
        <v>0</v>
      </c>
      <c r="AC124" s="2">
        <f>VLOOKUP([jobnumber],OvalData[],MATCH(Table2[[#Headers],[Grille Center]],Table2[#Headers],0),0)</f>
        <v>0</v>
      </c>
      <c r="AD124" s="2">
        <f>VLOOKUP([jobnumber],OvalData[],MATCH(Table2[[#Headers],[Grille Pattern]],Table2[#Headers],0),0)</f>
        <v>0</v>
      </c>
      <c r="AE124" s="2">
        <f>VLOOKUP([jobnumber],OvalData[],MATCH(Table2[[#Headers],[Grille First Tube]],Table2[#Headers],0),0)</f>
        <v>0</v>
      </c>
      <c r="AF124" s="2">
        <f>VLOOKUP([jobnumber],OvalData[],MATCH(Table2[[#Headers],[Grille Standard Tube]],Table2[#Headers],0),0)</f>
        <v>0</v>
      </c>
      <c r="AG124" s="2">
        <f>VLOOKUP([jobnumber],OvalData[],MATCH(Table2[[#Headers],[Grille Total Links]],Table2[#Headers],0),0)</f>
        <v>0</v>
      </c>
      <c r="AH124" s="2">
        <f>VLOOKUP([jobnumber],OvalData[],MATCH(Table2[[#Headers],[Grille Rods]],Table2[#Headers],0),0)</f>
        <v>0</v>
      </c>
      <c r="AI124" s="2">
        <f>VLOOKUP([jobnumber],OvalData[],MATCH(Table2[[#Headers],[Grille Rod Length]],Table2[#Headers],0),0)</f>
        <v>0</v>
      </c>
      <c r="AJ124" s="2">
        <f>VLOOKUP([jobnumber],OvalData[],MATCH(Table2[[#Headers],[slattype]],Table2[#Headers],0),0)</f>
        <v>2</v>
      </c>
      <c r="AK124" s="2">
        <f>VLOOKUP([jobnumber],OvalData[],MATCH(Table2[[#Headers],[slatgage]],Table2[#Headers],0),0)</f>
        <v>18</v>
      </c>
      <c r="AL124" s="2">
        <f>VLOOKUP([jobnumber],OvalData[],MATCH(Table2[[#Headers],[Numer of Top Slats]],Table2[#Headers],0),0)</f>
        <v>0</v>
      </c>
      <c r="AM124" s="2">
        <f>VLOOKUP([jobnumber],OvalData[],MATCH(Table2[[#Headers],[Number of Bottom Slats]],Table2[#Headers],0),0)</f>
        <v>0</v>
      </c>
      <c r="AN124" s="2">
        <f>VLOOKUP([jobnumber],OvalData[],MATCH(Table2[[#Headers],[Solid Bottom Height]],Table2[#Headers],0),0)</f>
        <v>0</v>
      </c>
      <c r="AO124" s="2" t="str">
        <f>VLOOKUP([jobnumber],OvalData[],MATCH(Table2[[#Headers],[slatlength]],Table2[#Headers],0),0)</f>
        <v xml:space="preserve"> 18 ft.- 5 7/ 8"</v>
      </c>
      <c r="AP124" s="2">
        <f>VLOOKUP([jobnumber],OvalData[],MATCH(Table2[[#Headers],[Bottom Slat Length]],Table2[#Headers],0),0)</f>
        <v>0</v>
      </c>
      <c r="AQ124" s="2">
        <f>VLOOKUP([jobnumber],OvalData[],MATCH(Table2[[#Headers],[Number of Perferated Slats]],Table2[#Headers],0),0)</f>
        <v>0</v>
      </c>
      <c r="AR124" s="2">
        <f>VLOOKUP([jobnumber],OvalData[],MATCH(Table2[[#Headers],[First Preferated Slat From End]],Table2[#Headers],0),0)</f>
        <v>0</v>
      </c>
      <c r="AS124" s="2">
        <f>VLOOKUP([jobnumber],OvalData[],MATCH(Table2[[#Headers],[First Preferated Slat From Bottom]],Table2[#Headers],0),0)</f>
        <v>0</v>
      </c>
      <c r="AT124" s="2">
        <f>VLOOKUP([jobnumber],OvalData[],MATCH(Table2[[#Headers],[Total Number of Slats]],Table2[#Headers],0),0)</f>
        <v>51</v>
      </c>
      <c r="AU124" s="2">
        <f>VLOOKUP([jobnumber],OvalData[],MATCH(Table2[[#Headers],[Bottom Bar Slope]],Table2[#Headers],0),0)</f>
        <v>0</v>
      </c>
      <c r="AV124" s="2">
        <f>VLOOKUP([jobnumber],OvalData[],MATCH(Table2[[#Headers],[Bottom Bar Weight]],Table2[#Headers],0),0)</f>
        <v>80.5</v>
      </c>
      <c r="AW124" s="2" t="str">
        <f>VLOOKUP([jobnumber],OvalData[],MATCH(Table2[[#Headers],[Outer Spring Gage]],Table2[#Headers],0),0)</f>
        <v>Null</v>
      </c>
      <c r="AX124" s="2" t="str">
        <f>VLOOKUP([jobnumber],OvalData[],MATCH(Table2[[#Headers],[Outer Spring OD]],Table2[#Headers],0),0)</f>
        <v>Null</v>
      </c>
      <c r="AY124" s="2" t="str">
        <f>VLOOKUP([jobnumber],OvalData[],MATCH(Table2[[#Headers],[Outer Spring Length]],Table2[#Headers],0),0)</f>
        <v>Null</v>
      </c>
      <c r="AZ124" s="2" t="str">
        <f>VLOOKUP([jobnumber],OvalData[],MATCH(Table2[[#Headers],[Outer Spring Stretch]],Table2[#Headers],0),0)</f>
        <v>Null</v>
      </c>
      <c r="BA124" s="2" t="str">
        <f>VLOOKUP([jobnumber],OvalData[],MATCH(Table2[[#Headers],[Outer Spring Torque]],Table2[#Headers],0),0)</f>
        <v>Null</v>
      </c>
      <c r="BB124" s="2" t="str">
        <f>VLOOKUP([jobnumber],OvalData[],MATCH(Table2[[#Headers],[Outer Spring Max Turns]],Table2[#Headers],0),0)</f>
        <v>Null</v>
      </c>
      <c r="BC124" s="2" t="str">
        <f>VLOOKUP([jobnumber],OvalData[],MATCH(Table2[[#Headers],[Outer Spring Weight]],Table2[#Headers],0),0)</f>
        <v>Null</v>
      </c>
      <c r="BD124" s="2" t="str">
        <f>VLOOKUP([jobnumber],OvalData[],MATCH(Table2[[#Headers],[Inner Spring Gage]],Table2[#Headers],0),0)</f>
        <v>Null</v>
      </c>
      <c r="BE124" s="2" t="str">
        <f>VLOOKUP([jobnumber],OvalData[],MATCH(Table2[[#Headers],[Inner Spring OD]],Table2[#Headers],0),0)</f>
        <v>Null</v>
      </c>
      <c r="BF124" s="2" t="str">
        <f>VLOOKUP([jobnumber],OvalData[],MATCH(Table2[[#Headers],[Inner Spring Length]],Table2[#Headers],0),0)</f>
        <v>Null</v>
      </c>
      <c r="BG124" s="2" t="str">
        <f>VLOOKUP([jobnumber],OvalData[],MATCH(Table2[[#Headers],[Inner Spring Stretch]],Table2[#Headers],0),0)</f>
        <v>Null</v>
      </c>
      <c r="BH124" s="2" t="str">
        <f>VLOOKUP([jobnumber],OvalData[],MATCH(Table2[[#Headers],[Inner Spring Torque]],Table2[#Headers],0),0)</f>
        <v>Null</v>
      </c>
      <c r="BI124" s="2" t="str">
        <f>VLOOKUP([jobnumber],OvalData[],MATCH(Table2[[#Headers],[Inner Spring Max Turns]],Table2[#Headers],0),0)</f>
        <v>Null</v>
      </c>
      <c r="BJ124" s="2" t="str">
        <f>VLOOKUP([jobnumber],OvalData[],MATCH(Table2[[#Headers],[Inner Spring Weight]],Table2[#Headers],0),0)</f>
        <v>Null</v>
      </c>
      <c r="BK124" s="2">
        <f>VLOOKUP([jobnumber],OvalData[],MATCH(Table2[[#Headers],[Cycles]],Table2[#Headers],0),0)</f>
        <v>0</v>
      </c>
      <c r="BL124" s="2">
        <f>VLOOKUP([jobnumber],OvalData[],MATCH(Table2[[#Headers],[Total Spring Torque]],Table2[#Headers],0),0)</f>
        <v>0</v>
      </c>
      <c r="BM124" s="2">
        <f>VLOOKUP([jobnumber],OvalData[],MATCH(Table2[[#Headers],[Total Spring Weight]],Table2[#Headers],0),0)</f>
        <v>0</v>
      </c>
      <c r="BN124" s="2">
        <f>VLOOKUP([jobnumber],OvalData[],MATCH(Table2[[#Headers],[Pipe Weight]],Table2[#Headers],0),0)</f>
        <v>688.24239999999998</v>
      </c>
      <c r="BO124" s="2">
        <f>VLOOKUP([jobnumber],OvalData[],MATCH(Table2[[#Headers],[Max Pipe Deflection]],Table2[#Headers],0),0)</f>
        <v>2309</v>
      </c>
      <c r="BP124" s="2">
        <f>VLOOKUP([jobnumber],OvalData[],MATCH(Table2[[#Headers],[Number Non-Insulated Wrap Slats]],Table2[#Headers],0),0)</f>
        <v>0</v>
      </c>
      <c r="BQ124" s="2">
        <f>VLOOKUP([jobnumber],OvalData[],MATCH(Table2[[#Headers],[Number of Insolated Top Slats]],Table2[#Headers],0),0)</f>
        <v>45</v>
      </c>
      <c r="BR124" s="2">
        <f>VLOOKUP([jobnumber],OvalData[],MATCH(Table2[[#Headers],[Insolated Total Slats]],Table2[#Headers],0),0)</f>
        <v>45</v>
      </c>
      <c r="BS124" s="2">
        <f>VLOOKUP([jobnumber],OvalData[],MATCH(Table2[[#Headers],[Number of Slats]],Table2[#Headers],0),0)</f>
        <v>44.69</v>
      </c>
      <c r="BT124" s="2">
        <f>VLOOKUP([jobnumber],OvalData[],MATCH(Table2[[#Headers],[Wrap]],Table2[#Headers],0),0)</f>
        <v>0</v>
      </c>
      <c r="BU124" s="2">
        <f>VLOOKUP([jobnumber],OvalData[],MATCH(Table2[[#Headers],[Wall Angle Thickness]],Table2[#Headers],0),0)</f>
        <v>0</v>
      </c>
      <c r="BV124" s="2">
        <f>VLOOKUP([jobnumber],OvalData[],MATCH(Table2[[#Headers],[windlocks]],Table2[#Headers],0),0)</f>
        <v>0</v>
      </c>
      <c r="BW124" s="2" t="str">
        <f>VLOOKUP([jobnumber],OvalData[],MATCH(Table2[[#Headers],[bottombartype]],Table2[#Headers],0),0)</f>
        <v>SPECIAL</v>
      </c>
      <c r="BX124" s="2">
        <f>VLOOKUP([jobnumber],OvalData[],MATCH(Table2[[#Headers],[endlockweight]],Table2[#Headers],0),0)</f>
        <v>0.17</v>
      </c>
      <c r="BY124" s="2">
        <f>VLOOKUP([jobnumber],OvalData[],MATCH(Table2[[#Headers],[Endlock Total Weight]],Table2[#Headers],0),0)</f>
        <v>7.5972999999999997</v>
      </c>
      <c r="BZ124" s="2">
        <f>VLOOKUP([jobnumber],OvalData[],MATCH(Table2[[#Headers],[Grille Weight]],Table2[#Headers],0),0)</f>
        <v>0</v>
      </c>
      <c r="CA124" s="2">
        <f>VLOOKUP([jobnumber],OvalData[],MATCH(Table2[[#Headers],[barrelrings]],Table2[#Headers],0),0)</f>
        <v>1</v>
      </c>
    </row>
    <row r="125" spans="2:79">
      <c r="B125" s="2" t="str">
        <f>VLOOKUP([jobnumber],OvalData[],MATCH(Table2[[#Headers],[Hand]],Table2[#Headers],0),0)</f>
        <v>RH</v>
      </c>
      <c r="C125" s="2" t="str">
        <f>VLOOKUP([jobnumber],OvalData[],MATCH(Table2[[#Headers],[Model]],Table2[#Headers],0),0)</f>
        <v>SFMPP</v>
      </c>
      <c r="D125" s="2" t="str">
        <f>VLOOKUP([jobnumber],OvalData[],MATCH(Table2[[#Headers],[width]],Table2[#Headers],0),0)</f>
        <v xml:space="preserve"> 18 ft.- 2"</v>
      </c>
      <c r="E125" s="2" t="str">
        <f>VLOOKUP([jobnumber],OvalData[],MATCH(Table2[[#Headers],[stopheight]],Table2[#Headers],0),0)</f>
        <v xml:space="preserve"> 10 ft.- 0"</v>
      </c>
      <c r="F125" s="2" t="str">
        <f>VLOOKUP([jobnumber],OvalData[],MATCH(Table2[[#Headers],[Between Brackets]],Table2[#Headers],0),0)</f>
        <v xml:space="preserve"> 18 ft.- 7 7/ 8"</v>
      </c>
      <c r="G125" s="2" t="str">
        <f>VLOOKUP([jobnumber],OvalData[],MATCH(Table2[[#Headers],[shell]],Table2[#Headers],0),0)</f>
        <v>6 INCH TUBE</v>
      </c>
      <c r="H125" s="2" t="str">
        <f>VLOOKUP([jobnumber],OvalData[],MATCH(Table2[[#Headers],[pipewidth]],Table2[#Headers],0),0)</f>
        <v xml:space="preserve"> 18 ft.- 1 3/ 8"</v>
      </c>
      <c r="I125" s="2">
        <f>VLOOKUP([jobnumber],OvalData[],MATCH(Table2[[#Headers],[Support Tubes]],Table2[#Headers],0),0)</f>
        <v>0</v>
      </c>
      <c r="J125" s="2">
        <f>VLOOKUP([jobnumber],OvalData[],MATCH(Table2[[#Headers],[Upset]],Table2[#Headers],0),0)</f>
        <v>2</v>
      </c>
      <c r="K125" s="2" t="str">
        <f>VLOOKUP([jobnumber],OvalData[],MATCH(Table2[[#Headers],[Guide Type]],Table2[#Headers],0),0)</f>
        <v>SN2-4 5/8-E</v>
      </c>
      <c r="L125" s="2" t="str">
        <f>VLOOKUP([jobnumber],OvalData[],MATCH(Table2[[#Headers],[Wall Angle]],Table2[#Headers],0),0)</f>
        <v xml:space="preserve"> 11 ft.- 8"</v>
      </c>
      <c r="M125" s="2" t="str">
        <f>VLOOKUP([jobnumber],OvalData[],MATCH(Table2[[#Headers],[Middle Angle]],Table2[#Headers],0),0)</f>
        <v xml:space="preserve"> 10 ft.- 4 1/ 2"</v>
      </c>
      <c r="N125" s="2" t="str">
        <f>VLOOKUP([jobnumber],OvalData[],MATCH(Table2[[#Headers],[Front Angle]],Table2[#Headers],0),0)</f>
        <v xml:space="preserve"> 10 ft.- 3"</v>
      </c>
      <c r="O125" s="2">
        <f>VLOOKUP([jobnumber],OvalData[],MATCH(Table2[[#Headers],[Pipe Center Line]],Table2[#Headers],0),0)</f>
        <v>131</v>
      </c>
      <c r="P125" s="2">
        <f>VLOOKUP([jobnumber],OvalData[],MATCH(Table2[[#Headers],[Heat Expansion Gap]],Table2[#Headers],0),0)</f>
        <v>0</v>
      </c>
      <c r="Q125" s="2">
        <f>VLOOKUP([jobnumber],OvalData[],MATCH(Table2[[#Headers],[Hanging Weight Closed]],Table2[#Headers],0),0)</f>
        <v>795</v>
      </c>
      <c r="R125" s="2">
        <f>VLOOKUP([jobnumber],OvalData[],MATCH(Table2[[#Headers],[Hanging Weight Open]],Table2[#Headers],0),0)</f>
        <v>140</v>
      </c>
      <c r="S125" s="2">
        <f>VLOOKUP([jobnumber],OvalData[],MATCH(Table2[[#Headers],[Initial Lever Arm]],Table2[#Headers],0),0)</f>
        <v>4.25</v>
      </c>
      <c r="T125" s="2">
        <f>VLOOKUP([jobnumber],OvalData[],MATCH(Table2[[#Headers],[Turns to Raise]],Table2[#Headers],0),0)</f>
        <v>3.5859999999999999</v>
      </c>
      <c r="U125" s="2">
        <f>VLOOKUP([jobnumber],OvalData[],MATCH(Table2[[#Headers],[Final Lever Arm]],Table2[#Headers],0),0)</f>
        <v>6.37</v>
      </c>
      <c r="V125" s="2">
        <f>VLOOKUP([jobnumber],OvalData[],MATCH(Table2[[#Headers],[Torque Required Closed]],Table2[#Headers],0),0)</f>
        <v>3377.9</v>
      </c>
      <c r="W125" s="2">
        <f>VLOOKUP([jobnumber],OvalData[],MATCH(Table2[[#Headers],[Torque Required Open]],Table2[#Headers],0),0)</f>
        <v>892</v>
      </c>
      <c r="X125" s="2">
        <f>VLOOKUP([jobnumber],OvalData[],MATCH(Table2[[#Headers],[Pre Turns]],Table2[#Headers],0),0)</f>
        <v>1.3332999999999999</v>
      </c>
      <c r="Y125" s="2">
        <f>VLOOKUP([jobnumber],OvalData[],MATCH(Table2[[#Headers],[Required Torque Per Turn]],Table2[#Headers],0),0)</f>
        <v>688</v>
      </c>
      <c r="Z125" s="2">
        <f>VLOOKUP([jobnumber],OvalData[],MATCH(Table2[[#Headers],[Total Turns]],Table2[#Headers],0),0)</f>
        <v>4.91</v>
      </c>
      <c r="AA125" s="2">
        <f>VLOOKUP([jobnumber],OvalData[],MATCH(Table2[[#Headers],[Grille Vision Section]],Table2[#Headers],0),0)</f>
        <v>0</v>
      </c>
      <c r="AB125" s="2">
        <f>VLOOKUP([jobnumber],OvalData[],MATCH(Table2[[#Headers],[Grille Amount]],Table2[#Headers],0),0)</f>
        <v>0</v>
      </c>
      <c r="AC125" s="2">
        <f>VLOOKUP([jobnumber],OvalData[],MATCH(Table2[[#Headers],[Grille Center]],Table2[#Headers],0),0)</f>
        <v>0</v>
      </c>
      <c r="AD125" s="2">
        <f>VLOOKUP([jobnumber],OvalData[],MATCH(Table2[[#Headers],[Grille Pattern]],Table2[#Headers],0),0)</f>
        <v>0</v>
      </c>
      <c r="AE125" s="2">
        <f>VLOOKUP([jobnumber],OvalData[],MATCH(Table2[[#Headers],[Grille First Tube]],Table2[#Headers],0),0)</f>
        <v>0</v>
      </c>
      <c r="AF125" s="2">
        <f>VLOOKUP([jobnumber],OvalData[],MATCH(Table2[[#Headers],[Grille Standard Tube]],Table2[#Headers],0),0)</f>
        <v>0</v>
      </c>
      <c r="AG125" s="2">
        <f>VLOOKUP([jobnumber],OvalData[],MATCH(Table2[[#Headers],[Grille Total Links]],Table2[#Headers],0),0)</f>
        <v>0</v>
      </c>
      <c r="AH125" s="2">
        <f>VLOOKUP([jobnumber],OvalData[],MATCH(Table2[[#Headers],[Grille Rods]],Table2[#Headers],0),0)</f>
        <v>0</v>
      </c>
      <c r="AI125" s="2">
        <f>VLOOKUP([jobnumber],OvalData[],MATCH(Table2[[#Headers],[Grille Rod Length]],Table2[#Headers],0),0)</f>
        <v>0</v>
      </c>
      <c r="AJ125" s="2">
        <f>VLOOKUP([jobnumber],OvalData[],MATCH(Table2[[#Headers],[slattype]],Table2[#Headers],0),0)</f>
        <v>2</v>
      </c>
      <c r="AK125" s="2">
        <f>VLOOKUP([jobnumber],OvalData[],MATCH(Table2[[#Headers],[slatgage]],Table2[#Headers],0),0)</f>
        <v>18</v>
      </c>
      <c r="AL125" s="2">
        <f>VLOOKUP([jobnumber],OvalData[],MATCH(Table2[[#Headers],[Numer of Top Slats]],Table2[#Headers],0),0)</f>
        <v>0</v>
      </c>
      <c r="AM125" s="2">
        <f>VLOOKUP([jobnumber],OvalData[],MATCH(Table2[[#Headers],[Number of Bottom Slats]],Table2[#Headers],0),0)</f>
        <v>0</v>
      </c>
      <c r="AN125" s="2">
        <f>VLOOKUP([jobnumber],OvalData[],MATCH(Table2[[#Headers],[Solid Bottom Height]],Table2[#Headers],0),0)</f>
        <v>0</v>
      </c>
      <c r="AO125" s="2" t="str">
        <f>VLOOKUP([jobnumber],OvalData[],MATCH(Table2[[#Headers],[slatlength]],Table2[#Headers],0),0)</f>
        <v xml:space="preserve"> 18 ft.- 5 7/ 8"</v>
      </c>
      <c r="AP125" s="2">
        <f>VLOOKUP([jobnumber],OvalData[],MATCH(Table2[[#Headers],[Bottom Slat Length]],Table2[#Headers],0),0)</f>
        <v>0</v>
      </c>
      <c r="AQ125" s="2">
        <f>VLOOKUP([jobnumber],OvalData[],MATCH(Table2[[#Headers],[Number of Perferated Slats]],Table2[#Headers],0),0)</f>
        <v>0</v>
      </c>
      <c r="AR125" s="2">
        <f>VLOOKUP([jobnumber],OvalData[],MATCH(Table2[[#Headers],[First Preferated Slat From End]],Table2[#Headers],0),0)</f>
        <v>0</v>
      </c>
      <c r="AS125" s="2">
        <f>VLOOKUP([jobnumber],OvalData[],MATCH(Table2[[#Headers],[First Preferated Slat From Bottom]],Table2[#Headers],0),0)</f>
        <v>0</v>
      </c>
      <c r="AT125" s="2">
        <f>VLOOKUP([jobnumber],OvalData[],MATCH(Table2[[#Headers],[Total Number of Slats]],Table2[#Headers],0),0)</f>
        <v>51</v>
      </c>
      <c r="AU125" s="2">
        <f>VLOOKUP([jobnumber],OvalData[],MATCH(Table2[[#Headers],[Bottom Bar Slope]],Table2[#Headers],0),0)</f>
        <v>0</v>
      </c>
      <c r="AV125" s="2">
        <f>VLOOKUP([jobnumber],OvalData[],MATCH(Table2[[#Headers],[Bottom Bar Weight]],Table2[#Headers],0),0)</f>
        <v>80.5</v>
      </c>
      <c r="AW125" s="2" t="str">
        <f>VLOOKUP([jobnumber],OvalData[],MATCH(Table2[[#Headers],[Outer Spring Gage]],Table2[#Headers],0),0)</f>
        <v>Null</v>
      </c>
      <c r="AX125" s="2" t="str">
        <f>VLOOKUP([jobnumber],OvalData[],MATCH(Table2[[#Headers],[Outer Spring OD]],Table2[#Headers],0),0)</f>
        <v>Null</v>
      </c>
      <c r="AY125" s="2" t="str">
        <f>VLOOKUP([jobnumber],OvalData[],MATCH(Table2[[#Headers],[Outer Spring Length]],Table2[#Headers],0),0)</f>
        <v>Null</v>
      </c>
      <c r="AZ125" s="2" t="str">
        <f>VLOOKUP([jobnumber],OvalData[],MATCH(Table2[[#Headers],[Outer Spring Stretch]],Table2[#Headers],0),0)</f>
        <v>Null</v>
      </c>
      <c r="BA125" s="2" t="str">
        <f>VLOOKUP([jobnumber],OvalData[],MATCH(Table2[[#Headers],[Outer Spring Torque]],Table2[#Headers],0),0)</f>
        <v>Null</v>
      </c>
      <c r="BB125" s="2" t="str">
        <f>VLOOKUP([jobnumber],OvalData[],MATCH(Table2[[#Headers],[Outer Spring Max Turns]],Table2[#Headers],0),0)</f>
        <v>Null</v>
      </c>
      <c r="BC125" s="2" t="str">
        <f>VLOOKUP([jobnumber],OvalData[],MATCH(Table2[[#Headers],[Outer Spring Weight]],Table2[#Headers],0),0)</f>
        <v>Null</v>
      </c>
      <c r="BD125" s="2" t="str">
        <f>VLOOKUP([jobnumber],OvalData[],MATCH(Table2[[#Headers],[Inner Spring Gage]],Table2[#Headers],0),0)</f>
        <v>Null</v>
      </c>
      <c r="BE125" s="2" t="str">
        <f>VLOOKUP([jobnumber],OvalData[],MATCH(Table2[[#Headers],[Inner Spring OD]],Table2[#Headers],0),0)</f>
        <v>Null</v>
      </c>
      <c r="BF125" s="2" t="str">
        <f>VLOOKUP([jobnumber],OvalData[],MATCH(Table2[[#Headers],[Inner Spring Length]],Table2[#Headers],0),0)</f>
        <v>Null</v>
      </c>
      <c r="BG125" s="2" t="str">
        <f>VLOOKUP([jobnumber],OvalData[],MATCH(Table2[[#Headers],[Inner Spring Stretch]],Table2[#Headers],0),0)</f>
        <v>Null</v>
      </c>
      <c r="BH125" s="2" t="str">
        <f>VLOOKUP([jobnumber],OvalData[],MATCH(Table2[[#Headers],[Inner Spring Torque]],Table2[#Headers],0),0)</f>
        <v>Null</v>
      </c>
      <c r="BI125" s="2" t="str">
        <f>VLOOKUP([jobnumber],OvalData[],MATCH(Table2[[#Headers],[Inner Spring Max Turns]],Table2[#Headers],0),0)</f>
        <v>Null</v>
      </c>
      <c r="BJ125" s="2" t="str">
        <f>VLOOKUP([jobnumber],OvalData[],MATCH(Table2[[#Headers],[Inner Spring Weight]],Table2[#Headers],0),0)</f>
        <v>Null</v>
      </c>
      <c r="BK125" s="2">
        <f>VLOOKUP([jobnumber],OvalData[],MATCH(Table2[[#Headers],[Cycles]],Table2[#Headers],0),0)</f>
        <v>0</v>
      </c>
      <c r="BL125" s="2">
        <f>VLOOKUP([jobnumber],OvalData[],MATCH(Table2[[#Headers],[Total Spring Torque]],Table2[#Headers],0),0)</f>
        <v>0</v>
      </c>
      <c r="BM125" s="2">
        <f>VLOOKUP([jobnumber],OvalData[],MATCH(Table2[[#Headers],[Total Spring Weight]],Table2[#Headers],0),0)</f>
        <v>0</v>
      </c>
      <c r="BN125" s="2">
        <f>VLOOKUP([jobnumber],OvalData[],MATCH(Table2[[#Headers],[Pipe Weight]],Table2[#Headers],0),0)</f>
        <v>688.24239999999998</v>
      </c>
      <c r="BO125" s="2">
        <f>VLOOKUP([jobnumber],OvalData[],MATCH(Table2[[#Headers],[Max Pipe Deflection]],Table2[#Headers],0),0)</f>
        <v>2309</v>
      </c>
      <c r="BP125" s="2">
        <f>VLOOKUP([jobnumber],OvalData[],MATCH(Table2[[#Headers],[Number Non-Insulated Wrap Slats]],Table2[#Headers],0),0)</f>
        <v>0</v>
      </c>
      <c r="BQ125" s="2">
        <f>VLOOKUP([jobnumber],OvalData[],MATCH(Table2[[#Headers],[Number of Insolated Top Slats]],Table2[#Headers],0),0)</f>
        <v>45</v>
      </c>
      <c r="BR125" s="2">
        <f>VLOOKUP([jobnumber],OvalData[],MATCH(Table2[[#Headers],[Insolated Total Slats]],Table2[#Headers],0),0)</f>
        <v>45</v>
      </c>
      <c r="BS125" s="2">
        <f>VLOOKUP([jobnumber],OvalData[],MATCH(Table2[[#Headers],[Number of Slats]],Table2[#Headers],0),0)</f>
        <v>44.69</v>
      </c>
      <c r="BT125" s="2">
        <f>VLOOKUP([jobnumber],OvalData[],MATCH(Table2[[#Headers],[Wrap]],Table2[#Headers],0),0)</f>
        <v>0</v>
      </c>
      <c r="BU125" s="2">
        <f>VLOOKUP([jobnumber],OvalData[],MATCH(Table2[[#Headers],[Wall Angle Thickness]],Table2[#Headers],0),0)</f>
        <v>0</v>
      </c>
      <c r="BV125" s="2">
        <f>VLOOKUP([jobnumber],OvalData[],MATCH(Table2[[#Headers],[windlocks]],Table2[#Headers],0),0)</f>
        <v>0</v>
      </c>
      <c r="BW125" s="2" t="str">
        <f>VLOOKUP([jobnumber],OvalData[],MATCH(Table2[[#Headers],[bottombartype]],Table2[#Headers],0),0)</f>
        <v>SPECIAL</v>
      </c>
      <c r="BX125" s="2">
        <f>VLOOKUP([jobnumber],OvalData[],MATCH(Table2[[#Headers],[endlockweight]],Table2[#Headers],0),0)</f>
        <v>0.17</v>
      </c>
      <c r="BY125" s="2">
        <f>VLOOKUP([jobnumber],OvalData[],MATCH(Table2[[#Headers],[Endlock Total Weight]],Table2[#Headers],0),0)</f>
        <v>7.5972999999999997</v>
      </c>
      <c r="BZ125" s="2">
        <f>VLOOKUP([jobnumber],OvalData[],MATCH(Table2[[#Headers],[Grille Weight]],Table2[#Headers],0),0)</f>
        <v>0</v>
      </c>
      <c r="CA125" s="2">
        <f>VLOOKUP([jobnumber],OvalData[],MATCH(Table2[[#Headers],[barrelrings]],Table2[#Headers],0),0)</f>
        <v>1</v>
      </c>
    </row>
    <row r="126" spans="2:79">
      <c r="B126" s="2" t="str">
        <f>VLOOKUP([jobnumber],OvalData[],MATCH(Table2[[#Headers],[Hand]],Table2[#Headers],0),0)</f>
        <v>RH</v>
      </c>
      <c r="C126" s="2" t="str">
        <f>VLOOKUP([jobnumber],OvalData[],MATCH(Table2[[#Headers],[Model]],Table2[#Headers],0),0)</f>
        <v>SFMPP</v>
      </c>
      <c r="D126" s="2" t="str">
        <f>VLOOKUP([jobnumber],OvalData[],MATCH(Table2[[#Headers],[width]],Table2[#Headers],0),0)</f>
        <v xml:space="preserve"> 18 ft.- 2"</v>
      </c>
      <c r="E126" s="2" t="str">
        <f>VLOOKUP([jobnumber],OvalData[],MATCH(Table2[[#Headers],[stopheight]],Table2[#Headers],0),0)</f>
        <v xml:space="preserve"> 10 ft.- 0"</v>
      </c>
      <c r="F126" s="2" t="str">
        <f>VLOOKUP([jobnumber],OvalData[],MATCH(Table2[[#Headers],[Between Brackets]],Table2[#Headers],0),0)</f>
        <v xml:space="preserve"> 18 ft.- 7 7/ 8"</v>
      </c>
      <c r="G126" s="2" t="str">
        <f>VLOOKUP([jobnumber],OvalData[],MATCH(Table2[[#Headers],[shell]],Table2[#Headers],0),0)</f>
        <v>6 INCH TUBE</v>
      </c>
      <c r="H126" s="2" t="str">
        <f>VLOOKUP([jobnumber],OvalData[],MATCH(Table2[[#Headers],[pipewidth]],Table2[#Headers],0),0)</f>
        <v xml:space="preserve"> 18 ft.- 1 3/ 8"</v>
      </c>
      <c r="I126" s="2">
        <f>VLOOKUP([jobnumber],OvalData[],MATCH(Table2[[#Headers],[Support Tubes]],Table2[#Headers],0),0)</f>
        <v>0</v>
      </c>
      <c r="J126" s="2">
        <f>VLOOKUP([jobnumber],OvalData[],MATCH(Table2[[#Headers],[Upset]],Table2[#Headers],0),0)</f>
        <v>2</v>
      </c>
      <c r="K126" s="2" t="str">
        <f>VLOOKUP([jobnumber],OvalData[],MATCH(Table2[[#Headers],[Guide Type]],Table2[#Headers],0),0)</f>
        <v>SN2-4 5/8-E</v>
      </c>
      <c r="L126" s="2" t="str">
        <f>VLOOKUP([jobnumber],OvalData[],MATCH(Table2[[#Headers],[Wall Angle]],Table2[#Headers],0),0)</f>
        <v xml:space="preserve"> 11 ft.- 8"</v>
      </c>
      <c r="M126" s="2" t="str">
        <f>VLOOKUP([jobnumber],OvalData[],MATCH(Table2[[#Headers],[Middle Angle]],Table2[#Headers],0),0)</f>
        <v xml:space="preserve"> 10 ft.- 4 1/ 2"</v>
      </c>
      <c r="N126" s="2" t="str">
        <f>VLOOKUP([jobnumber],OvalData[],MATCH(Table2[[#Headers],[Front Angle]],Table2[#Headers],0),0)</f>
        <v xml:space="preserve"> 10 ft.- 3"</v>
      </c>
      <c r="O126" s="2">
        <f>VLOOKUP([jobnumber],OvalData[],MATCH(Table2[[#Headers],[Pipe Center Line]],Table2[#Headers],0),0)</f>
        <v>131</v>
      </c>
      <c r="P126" s="2">
        <f>VLOOKUP([jobnumber],OvalData[],MATCH(Table2[[#Headers],[Heat Expansion Gap]],Table2[#Headers],0),0)</f>
        <v>0</v>
      </c>
      <c r="Q126" s="2">
        <f>VLOOKUP([jobnumber],OvalData[],MATCH(Table2[[#Headers],[Hanging Weight Closed]],Table2[#Headers],0),0)</f>
        <v>795</v>
      </c>
      <c r="R126" s="2">
        <f>VLOOKUP([jobnumber],OvalData[],MATCH(Table2[[#Headers],[Hanging Weight Open]],Table2[#Headers],0),0)</f>
        <v>140</v>
      </c>
      <c r="S126" s="2">
        <f>VLOOKUP([jobnumber],OvalData[],MATCH(Table2[[#Headers],[Initial Lever Arm]],Table2[#Headers],0),0)</f>
        <v>4.25</v>
      </c>
      <c r="T126" s="2">
        <f>VLOOKUP([jobnumber],OvalData[],MATCH(Table2[[#Headers],[Turns to Raise]],Table2[#Headers],0),0)</f>
        <v>3.5859999999999999</v>
      </c>
      <c r="U126" s="2">
        <f>VLOOKUP([jobnumber],OvalData[],MATCH(Table2[[#Headers],[Final Lever Arm]],Table2[#Headers],0),0)</f>
        <v>6.37</v>
      </c>
      <c r="V126" s="2">
        <f>VLOOKUP([jobnumber],OvalData[],MATCH(Table2[[#Headers],[Torque Required Closed]],Table2[#Headers],0),0)</f>
        <v>3377.9</v>
      </c>
      <c r="W126" s="2">
        <f>VLOOKUP([jobnumber],OvalData[],MATCH(Table2[[#Headers],[Torque Required Open]],Table2[#Headers],0),0)</f>
        <v>892</v>
      </c>
      <c r="X126" s="2">
        <f>VLOOKUP([jobnumber],OvalData[],MATCH(Table2[[#Headers],[Pre Turns]],Table2[#Headers],0),0)</f>
        <v>1.3332999999999999</v>
      </c>
      <c r="Y126" s="2">
        <f>VLOOKUP([jobnumber],OvalData[],MATCH(Table2[[#Headers],[Required Torque Per Turn]],Table2[#Headers],0),0)</f>
        <v>688</v>
      </c>
      <c r="Z126" s="2">
        <f>VLOOKUP([jobnumber],OvalData[],MATCH(Table2[[#Headers],[Total Turns]],Table2[#Headers],0),0)</f>
        <v>4.91</v>
      </c>
      <c r="AA126" s="2">
        <f>VLOOKUP([jobnumber],OvalData[],MATCH(Table2[[#Headers],[Grille Vision Section]],Table2[#Headers],0),0)</f>
        <v>0</v>
      </c>
      <c r="AB126" s="2">
        <f>VLOOKUP([jobnumber],OvalData[],MATCH(Table2[[#Headers],[Grille Amount]],Table2[#Headers],0),0)</f>
        <v>0</v>
      </c>
      <c r="AC126" s="2">
        <f>VLOOKUP([jobnumber],OvalData[],MATCH(Table2[[#Headers],[Grille Center]],Table2[#Headers],0),0)</f>
        <v>0</v>
      </c>
      <c r="AD126" s="2">
        <f>VLOOKUP([jobnumber],OvalData[],MATCH(Table2[[#Headers],[Grille Pattern]],Table2[#Headers],0),0)</f>
        <v>0</v>
      </c>
      <c r="AE126" s="2">
        <f>VLOOKUP([jobnumber],OvalData[],MATCH(Table2[[#Headers],[Grille First Tube]],Table2[#Headers],0),0)</f>
        <v>0</v>
      </c>
      <c r="AF126" s="2">
        <f>VLOOKUP([jobnumber],OvalData[],MATCH(Table2[[#Headers],[Grille Standard Tube]],Table2[#Headers],0),0)</f>
        <v>0</v>
      </c>
      <c r="AG126" s="2">
        <f>VLOOKUP([jobnumber],OvalData[],MATCH(Table2[[#Headers],[Grille Total Links]],Table2[#Headers],0),0)</f>
        <v>0</v>
      </c>
      <c r="AH126" s="2">
        <f>VLOOKUP([jobnumber],OvalData[],MATCH(Table2[[#Headers],[Grille Rods]],Table2[#Headers],0),0)</f>
        <v>0</v>
      </c>
      <c r="AI126" s="2">
        <f>VLOOKUP([jobnumber],OvalData[],MATCH(Table2[[#Headers],[Grille Rod Length]],Table2[#Headers],0),0)</f>
        <v>0</v>
      </c>
      <c r="AJ126" s="2">
        <f>VLOOKUP([jobnumber],OvalData[],MATCH(Table2[[#Headers],[slattype]],Table2[#Headers],0),0)</f>
        <v>2</v>
      </c>
      <c r="AK126" s="2">
        <f>VLOOKUP([jobnumber],OvalData[],MATCH(Table2[[#Headers],[slatgage]],Table2[#Headers],0),0)</f>
        <v>18</v>
      </c>
      <c r="AL126" s="2">
        <f>VLOOKUP([jobnumber],OvalData[],MATCH(Table2[[#Headers],[Numer of Top Slats]],Table2[#Headers],0),0)</f>
        <v>0</v>
      </c>
      <c r="AM126" s="2">
        <f>VLOOKUP([jobnumber],OvalData[],MATCH(Table2[[#Headers],[Number of Bottom Slats]],Table2[#Headers],0),0)</f>
        <v>0</v>
      </c>
      <c r="AN126" s="2">
        <f>VLOOKUP([jobnumber],OvalData[],MATCH(Table2[[#Headers],[Solid Bottom Height]],Table2[#Headers],0),0)</f>
        <v>0</v>
      </c>
      <c r="AO126" s="2" t="str">
        <f>VLOOKUP([jobnumber],OvalData[],MATCH(Table2[[#Headers],[slatlength]],Table2[#Headers],0),0)</f>
        <v xml:space="preserve"> 18 ft.- 5 7/ 8"</v>
      </c>
      <c r="AP126" s="2">
        <f>VLOOKUP([jobnumber],OvalData[],MATCH(Table2[[#Headers],[Bottom Slat Length]],Table2[#Headers],0),0)</f>
        <v>0</v>
      </c>
      <c r="AQ126" s="2">
        <f>VLOOKUP([jobnumber],OvalData[],MATCH(Table2[[#Headers],[Number of Perferated Slats]],Table2[#Headers],0),0)</f>
        <v>0</v>
      </c>
      <c r="AR126" s="2">
        <f>VLOOKUP([jobnumber],OvalData[],MATCH(Table2[[#Headers],[First Preferated Slat From End]],Table2[#Headers],0),0)</f>
        <v>0</v>
      </c>
      <c r="AS126" s="2">
        <f>VLOOKUP([jobnumber],OvalData[],MATCH(Table2[[#Headers],[First Preferated Slat From Bottom]],Table2[#Headers],0),0)</f>
        <v>0</v>
      </c>
      <c r="AT126" s="2">
        <f>VLOOKUP([jobnumber],OvalData[],MATCH(Table2[[#Headers],[Total Number of Slats]],Table2[#Headers],0),0)</f>
        <v>51</v>
      </c>
      <c r="AU126" s="2">
        <f>VLOOKUP([jobnumber],OvalData[],MATCH(Table2[[#Headers],[Bottom Bar Slope]],Table2[#Headers],0),0)</f>
        <v>0</v>
      </c>
      <c r="AV126" s="2">
        <f>VLOOKUP([jobnumber],OvalData[],MATCH(Table2[[#Headers],[Bottom Bar Weight]],Table2[#Headers],0),0)</f>
        <v>80.5</v>
      </c>
      <c r="AW126" s="2" t="str">
        <f>VLOOKUP([jobnumber],OvalData[],MATCH(Table2[[#Headers],[Outer Spring Gage]],Table2[#Headers],0),0)</f>
        <v>Null</v>
      </c>
      <c r="AX126" s="2" t="str">
        <f>VLOOKUP([jobnumber],OvalData[],MATCH(Table2[[#Headers],[Outer Spring OD]],Table2[#Headers],0),0)</f>
        <v>Null</v>
      </c>
      <c r="AY126" s="2" t="str">
        <f>VLOOKUP([jobnumber],OvalData[],MATCH(Table2[[#Headers],[Outer Spring Length]],Table2[#Headers],0),0)</f>
        <v>Null</v>
      </c>
      <c r="AZ126" s="2" t="str">
        <f>VLOOKUP([jobnumber],OvalData[],MATCH(Table2[[#Headers],[Outer Spring Stretch]],Table2[#Headers],0),0)</f>
        <v>Null</v>
      </c>
      <c r="BA126" s="2" t="str">
        <f>VLOOKUP([jobnumber],OvalData[],MATCH(Table2[[#Headers],[Outer Spring Torque]],Table2[#Headers],0),0)</f>
        <v>Null</v>
      </c>
      <c r="BB126" s="2" t="str">
        <f>VLOOKUP([jobnumber],OvalData[],MATCH(Table2[[#Headers],[Outer Spring Max Turns]],Table2[#Headers],0),0)</f>
        <v>Null</v>
      </c>
      <c r="BC126" s="2" t="str">
        <f>VLOOKUP([jobnumber],OvalData[],MATCH(Table2[[#Headers],[Outer Spring Weight]],Table2[#Headers],0),0)</f>
        <v>Null</v>
      </c>
      <c r="BD126" s="2" t="str">
        <f>VLOOKUP([jobnumber],OvalData[],MATCH(Table2[[#Headers],[Inner Spring Gage]],Table2[#Headers],0),0)</f>
        <v>Null</v>
      </c>
      <c r="BE126" s="2" t="str">
        <f>VLOOKUP([jobnumber],OvalData[],MATCH(Table2[[#Headers],[Inner Spring OD]],Table2[#Headers],0),0)</f>
        <v>Null</v>
      </c>
      <c r="BF126" s="2" t="str">
        <f>VLOOKUP([jobnumber],OvalData[],MATCH(Table2[[#Headers],[Inner Spring Length]],Table2[#Headers],0),0)</f>
        <v>Null</v>
      </c>
      <c r="BG126" s="2" t="str">
        <f>VLOOKUP([jobnumber],OvalData[],MATCH(Table2[[#Headers],[Inner Spring Stretch]],Table2[#Headers],0),0)</f>
        <v>Null</v>
      </c>
      <c r="BH126" s="2" t="str">
        <f>VLOOKUP([jobnumber],OvalData[],MATCH(Table2[[#Headers],[Inner Spring Torque]],Table2[#Headers],0),0)</f>
        <v>Null</v>
      </c>
      <c r="BI126" s="2" t="str">
        <f>VLOOKUP([jobnumber],OvalData[],MATCH(Table2[[#Headers],[Inner Spring Max Turns]],Table2[#Headers],0),0)</f>
        <v>Null</v>
      </c>
      <c r="BJ126" s="2" t="str">
        <f>VLOOKUP([jobnumber],OvalData[],MATCH(Table2[[#Headers],[Inner Spring Weight]],Table2[#Headers],0),0)</f>
        <v>Null</v>
      </c>
      <c r="BK126" s="2">
        <f>VLOOKUP([jobnumber],OvalData[],MATCH(Table2[[#Headers],[Cycles]],Table2[#Headers],0),0)</f>
        <v>0</v>
      </c>
      <c r="BL126" s="2">
        <f>VLOOKUP([jobnumber],OvalData[],MATCH(Table2[[#Headers],[Total Spring Torque]],Table2[#Headers],0),0)</f>
        <v>0</v>
      </c>
      <c r="BM126" s="2">
        <f>VLOOKUP([jobnumber],OvalData[],MATCH(Table2[[#Headers],[Total Spring Weight]],Table2[#Headers],0),0)</f>
        <v>0</v>
      </c>
      <c r="BN126" s="2">
        <f>VLOOKUP([jobnumber],OvalData[],MATCH(Table2[[#Headers],[Pipe Weight]],Table2[#Headers],0),0)</f>
        <v>688.24239999999998</v>
      </c>
      <c r="BO126" s="2">
        <f>VLOOKUP([jobnumber],OvalData[],MATCH(Table2[[#Headers],[Max Pipe Deflection]],Table2[#Headers],0),0)</f>
        <v>2309</v>
      </c>
      <c r="BP126" s="2">
        <f>VLOOKUP([jobnumber],OvalData[],MATCH(Table2[[#Headers],[Number Non-Insulated Wrap Slats]],Table2[#Headers],0),0)</f>
        <v>0</v>
      </c>
      <c r="BQ126" s="2">
        <f>VLOOKUP([jobnumber],OvalData[],MATCH(Table2[[#Headers],[Number of Insolated Top Slats]],Table2[#Headers],0),0)</f>
        <v>45</v>
      </c>
      <c r="BR126" s="2">
        <f>VLOOKUP([jobnumber],OvalData[],MATCH(Table2[[#Headers],[Insolated Total Slats]],Table2[#Headers],0),0)</f>
        <v>45</v>
      </c>
      <c r="BS126" s="2">
        <f>VLOOKUP([jobnumber],OvalData[],MATCH(Table2[[#Headers],[Number of Slats]],Table2[#Headers],0),0)</f>
        <v>44.69</v>
      </c>
      <c r="BT126" s="2">
        <f>VLOOKUP([jobnumber],OvalData[],MATCH(Table2[[#Headers],[Wrap]],Table2[#Headers],0),0)</f>
        <v>0</v>
      </c>
      <c r="BU126" s="2">
        <f>VLOOKUP([jobnumber],OvalData[],MATCH(Table2[[#Headers],[Wall Angle Thickness]],Table2[#Headers],0),0)</f>
        <v>0</v>
      </c>
      <c r="BV126" s="2">
        <f>VLOOKUP([jobnumber],OvalData[],MATCH(Table2[[#Headers],[windlocks]],Table2[#Headers],0),0)</f>
        <v>0</v>
      </c>
      <c r="BW126" s="2" t="str">
        <f>VLOOKUP([jobnumber],OvalData[],MATCH(Table2[[#Headers],[bottombartype]],Table2[#Headers],0),0)</f>
        <v>SPECIAL</v>
      </c>
      <c r="BX126" s="2">
        <f>VLOOKUP([jobnumber],OvalData[],MATCH(Table2[[#Headers],[endlockweight]],Table2[#Headers],0),0)</f>
        <v>0.17</v>
      </c>
      <c r="BY126" s="2">
        <f>VLOOKUP([jobnumber],OvalData[],MATCH(Table2[[#Headers],[Endlock Total Weight]],Table2[#Headers],0),0)</f>
        <v>7.5972999999999997</v>
      </c>
      <c r="BZ126" s="2">
        <f>VLOOKUP([jobnumber],OvalData[],MATCH(Table2[[#Headers],[Grille Weight]],Table2[#Headers],0),0)</f>
        <v>0</v>
      </c>
      <c r="CA126" s="2">
        <f>VLOOKUP([jobnumber],OvalData[],MATCH(Table2[[#Headers],[barrelrings]],Table2[#Headers],0),0)</f>
        <v>1</v>
      </c>
    </row>
    <row r="127" spans="2:79">
      <c r="B127" s="2" t="str">
        <f>VLOOKUP([jobnumber],OvalData[],MATCH(Table2[[#Headers],[Hand]],Table2[#Headers],0),0)</f>
        <v>RH</v>
      </c>
      <c r="C127" s="2" t="str">
        <f>VLOOKUP([jobnumber],OvalData[],MATCH(Table2[[#Headers],[Model]],Table2[#Headers],0),0)</f>
        <v>SFMPP</v>
      </c>
      <c r="D127" s="2" t="str">
        <f>VLOOKUP([jobnumber],OvalData[],MATCH(Table2[[#Headers],[width]],Table2[#Headers],0),0)</f>
        <v xml:space="preserve"> 18 ft.- 2"</v>
      </c>
      <c r="E127" s="2" t="str">
        <f>VLOOKUP([jobnumber],OvalData[],MATCH(Table2[[#Headers],[stopheight]],Table2[#Headers],0),0)</f>
        <v xml:space="preserve"> 10 ft.- 0"</v>
      </c>
      <c r="F127" s="2" t="str">
        <f>VLOOKUP([jobnumber],OvalData[],MATCH(Table2[[#Headers],[Between Brackets]],Table2[#Headers],0),0)</f>
        <v xml:space="preserve"> 18 ft.- 7 7/ 8"</v>
      </c>
      <c r="G127" s="2" t="str">
        <f>VLOOKUP([jobnumber],OvalData[],MATCH(Table2[[#Headers],[shell]],Table2[#Headers],0),0)</f>
        <v>6 INCH TUBE</v>
      </c>
      <c r="H127" s="2" t="str">
        <f>VLOOKUP([jobnumber],OvalData[],MATCH(Table2[[#Headers],[pipewidth]],Table2[#Headers],0),0)</f>
        <v xml:space="preserve"> 18 ft.- 1 3/ 8"</v>
      </c>
      <c r="I127" s="2">
        <f>VLOOKUP([jobnumber],OvalData[],MATCH(Table2[[#Headers],[Support Tubes]],Table2[#Headers],0),0)</f>
        <v>0</v>
      </c>
      <c r="J127" s="2">
        <f>VLOOKUP([jobnumber],OvalData[],MATCH(Table2[[#Headers],[Upset]],Table2[#Headers],0),0)</f>
        <v>2</v>
      </c>
      <c r="K127" s="2" t="str">
        <f>VLOOKUP([jobnumber],OvalData[],MATCH(Table2[[#Headers],[Guide Type]],Table2[#Headers],0),0)</f>
        <v>SN2-4 5/8-E</v>
      </c>
      <c r="L127" s="2" t="str">
        <f>VLOOKUP([jobnumber],OvalData[],MATCH(Table2[[#Headers],[Wall Angle]],Table2[#Headers],0),0)</f>
        <v xml:space="preserve"> 11 ft.- 8"</v>
      </c>
      <c r="M127" s="2" t="str">
        <f>VLOOKUP([jobnumber],OvalData[],MATCH(Table2[[#Headers],[Middle Angle]],Table2[#Headers],0),0)</f>
        <v xml:space="preserve"> 10 ft.- 4 1/ 2"</v>
      </c>
      <c r="N127" s="2" t="str">
        <f>VLOOKUP([jobnumber],OvalData[],MATCH(Table2[[#Headers],[Front Angle]],Table2[#Headers],0),0)</f>
        <v xml:space="preserve"> 10 ft.- 3"</v>
      </c>
      <c r="O127" s="2">
        <f>VLOOKUP([jobnumber],OvalData[],MATCH(Table2[[#Headers],[Pipe Center Line]],Table2[#Headers],0),0)</f>
        <v>131</v>
      </c>
      <c r="P127" s="2">
        <f>VLOOKUP([jobnumber],OvalData[],MATCH(Table2[[#Headers],[Heat Expansion Gap]],Table2[#Headers],0),0)</f>
        <v>0</v>
      </c>
      <c r="Q127" s="2">
        <f>VLOOKUP([jobnumber],OvalData[],MATCH(Table2[[#Headers],[Hanging Weight Closed]],Table2[#Headers],0),0)</f>
        <v>795</v>
      </c>
      <c r="R127" s="2">
        <f>VLOOKUP([jobnumber],OvalData[],MATCH(Table2[[#Headers],[Hanging Weight Open]],Table2[#Headers],0),0)</f>
        <v>140</v>
      </c>
      <c r="S127" s="2">
        <f>VLOOKUP([jobnumber],OvalData[],MATCH(Table2[[#Headers],[Initial Lever Arm]],Table2[#Headers],0),0)</f>
        <v>4.25</v>
      </c>
      <c r="T127" s="2">
        <f>VLOOKUP([jobnumber],OvalData[],MATCH(Table2[[#Headers],[Turns to Raise]],Table2[#Headers],0),0)</f>
        <v>3.5859999999999999</v>
      </c>
      <c r="U127" s="2">
        <f>VLOOKUP([jobnumber],OvalData[],MATCH(Table2[[#Headers],[Final Lever Arm]],Table2[#Headers],0),0)</f>
        <v>6.37</v>
      </c>
      <c r="V127" s="2">
        <f>VLOOKUP([jobnumber],OvalData[],MATCH(Table2[[#Headers],[Torque Required Closed]],Table2[#Headers],0),0)</f>
        <v>3377.9</v>
      </c>
      <c r="W127" s="2">
        <f>VLOOKUP([jobnumber],OvalData[],MATCH(Table2[[#Headers],[Torque Required Open]],Table2[#Headers],0),0)</f>
        <v>892</v>
      </c>
      <c r="X127" s="2">
        <f>VLOOKUP([jobnumber],OvalData[],MATCH(Table2[[#Headers],[Pre Turns]],Table2[#Headers],0),0)</f>
        <v>1.3332999999999999</v>
      </c>
      <c r="Y127" s="2">
        <f>VLOOKUP([jobnumber],OvalData[],MATCH(Table2[[#Headers],[Required Torque Per Turn]],Table2[#Headers],0),0)</f>
        <v>688</v>
      </c>
      <c r="Z127" s="2">
        <f>VLOOKUP([jobnumber],OvalData[],MATCH(Table2[[#Headers],[Total Turns]],Table2[#Headers],0),0)</f>
        <v>4.91</v>
      </c>
      <c r="AA127" s="2">
        <f>VLOOKUP([jobnumber],OvalData[],MATCH(Table2[[#Headers],[Grille Vision Section]],Table2[#Headers],0),0)</f>
        <v>0</v>
      </c>
      <c r="AB127" s="2">
        <f>VLOOKUP([jobnumber],OvalData[],MATCH(Table2[[#Headers],[Grille Amount]],Table2[#Headers],0),0)</f>
        <v>0</v>
      </c>
      <c r="AC127" s="2">
        <f>VLOOKUP([jobnumber],OvalData[],MATCH(Table2[[#Headers],[Grille Center]],Table2[#Headers],0),0)</f>
        <v>0</v>
      </c>
      <c r="AD127" s="2">
        <f>VLOOKUP([jobnumber],OvalData[],MATCH(Table2[[#Headers],[Grille Pattern]],Table2[#Headers],0),0)</f>
        <v>0</v>
      </c>
      <c r="AE127" s="2">
        <f>VLOOKUP([jobnumber],OvalData[],MATCH(Table2[[#Headers],[Grille First Tube]],Table2[#Headers],0),0)</f>
        <v>0</v>
      </c>
      <c r="AF127" s="2">
        <f>VLOOKUP([jobnumber],OvalData[],MATCH(Table2[[#Headers],[Grille Standard Tube]],Table2[#Headers],0),0)</f>
        <v>0</v>
      </c>
      <c r="AG127" s="2">
        <f>VLOOKUP([jobnumber],OvalData[],MATCH(Table2[[#Headers],[Grille Total Links]],Table2[#Headers],0),0)</f>
        <v>0</v>
      </c>
      <c r="AH127" s="2">
        <f>VLOOKUP([jobnumber],OvalData[],MATCH(Table2[[#Headers],[Grille Rods]],Table2[#Headers],0),0)</f>
        <v>0</v>
      </c>
      <c r="AI127" s="2">
        <f>VLOOKUP([jobnumber],OvalData[],MATCH(Table2[[#Headers],[Grille Rod Length]],Table2[#Headers],0),0)</f>
        <v>0</v>
      </c>
      <c r="AJ127" s="2">
        <f>VLOOKUP([jobnumber],OvalData[],MATCH(Table2[[#Headers],[slattype]],Table2[#Headers],0),0)</f>
        <v>2</v>
      </c>
      <c r="AK127" s="2">
        <f>VLOOKUP([jobnumber],OvalData[],MATCH(Table2[[#Headers],[slatgage]],Table2[#Headers],0),0)</f>
        <v>18</v>
      </c>
      <c r="AL127" s="2">
        <f>VLOOKUP([jobnumber],OvalData[],MATCH(Table2[[#Headers],[Numer of Top Slats]],Table2[#Headers],0),0)</f>
        <v>0</v>
      </c>
      <c r="AM127" s="2">
        <f>VLOOKUP([jobnumber],OvalData[],MATCH(Table2[[#Headers],[Number of Bottom Slats]],Table2[#Headers],0),0)</f>
        <v>0</v>
      </c>
      <c r="AN127" s="2">
        <f>VLOOKUP([jobnumber],OvalData[],MATCH(Table2[[#Headers],[Solid Bottom Height]],Table2[#Headers],0),0)</f>
        <v>0</v>
      </c>
      <c r="AO127" s="2" t="str">
        <f>VLOOKUP([jobnumber],OvalData[],MATCH(Table2[[#Headers],[slatlength]],Table2[#Headers],0),0)</f>
        <v xml:space="preserve"> 18 ft.- 5 7/ 8"</v>
      </c>
      <c r="AP127" s="2">
        <f>VLOOKUP([jobnumber],OvalData[],MATCH(Table2[[#Headers],[Bottom Slat Length]],Table2[#Headers],0),0)</f>
        <v>0</v>
      </c>
      <c r="AQ127" s="2">
        <f>VLOOKUP([jobnumber],OvalData[],MATCH(Table2[[#Headers],[Number of Perferated Slats]],Table2[#Headers],0),0)</f>
        <v>0</v>
      </c>
      <c r="AR127" s="2">
        <f>VLOOKUP([jobnumber],OvalData[],MATCH(Table2[[#Headers],[First Preferated Slat From End]],Table2[#Headers],0),0)</f>
        <v>0</v>
      </c>
      <c r="AS127" s="2">
        <f>VLOOKUP([jobnumber],OvalData[],MATCH(Table2[[#Headers],[First Preferated Slat From Bottom]],Table2[#Headers],0),0)</f>
        <v>0</v>
      </c>
      <c r="AT127" s="2">
        <f>VLOOKUP([jobnumber],OvalData[],MATCH(Table2[[#Headers],[Total Number of Slats]],Table2[#Headers],0),0)</f>
        <v>51</v>
      </c>
      <c r="AU127" s="2">
        <f>VLOOKUP([jobnumber],OvalData[],MATCH(Table2[[#Headers],[Bottom Bar Slope]],Table2[#Headers],0),0)</f>
        <v>0</v>
      </c>
      <c r="AV127" s="2">
        <f>VLOOKUP([jobnumber],OvalData[],MATCH(Table2[[#Headers],[Bottom Bar Weight]],Table2[#Headers],0),0)</f>
        <v>80.5</v>
      </c>
      <c r="AW127" s="2" t="str">
        <f>VLOOKUP([jobnumber],OvalData[],MATCH(Table2[[#Headers],[Outer Spring Gage]],Table2[#Headers],0),0)</f>
        <v>Null</v>
      </c>
      <c r="AX127" s="2" t="str">
        <f>VLOOKUP([jobnumber],OvalData[],MATCH(Table2[[#Headers],[Outer Spring OD]],Table2[#Headers],0),0)</f>
        <v>Null</v>
      </c>
      <c r="AY127" s="2" t="str">
        <f>VLOOKUP([jobnumber],OvalData[],MATCH(Table2[[#Headers],[Outer Spring Length]],Table2[#Headers],0),0)</f>
        <v>Null</v>
      </c>
      <c r="AZ127" s="2" t="str">
        <f>VLOOKUP([jobnumber],OvalData[],MATCH(Table2[[#Headers],[Outer Spring Stretch]],Table2[#Headers],0),0)</f>
        <v>Null</v>
      </c>
      <c r="BA127" s="2" t="str">
        <f>VLOOKUP([jobnumber],OvalData[],MATCH(Table2[[#Headers],[Outer Spring Torque]],Table2[#Headers],0),0)</f>
        <v>Null</v>
      </c>
      <c r="BB127" s="2" t="str">
        <f>VLOOKUP([jobnumber],OvalData[],MATCH(Table2[[#Headers],[Outer Spring Max Turns]],Table2[#Headers],0),0)</f>
        <v>Null</v>
      </c>
      <c r="BC127" s="2" t="str">
        <f>VLOOKUP([jobnumber],OvalData[],MATCH(Table2[[#Headers],[Outer Spring Weight]],Table2[#Headers],0),0)</f>
        <v>Null</v>
      </c>
      <c r="BD127" s="2" t="str">
        <f>VLOOKUP([jobnumber],OvalData[],MATCH(Table2[[#Headers],[Inner Spring Gage]],Table2[#Headers],0),0)</f>
        <v>Null</v>
      </c>
      <c r="BE127" s="2" t="str">
        <f>VLOOKUP([jobnumber],OvalData[],MATCH(Table2[[#Headers],[Inner Spring OD]],Table2[#Headers],0),0)</f>
        <v>Null</v>
      </c>
      <c r="BF127" s="2" t="str">
        <f>VLOOKUP([jobnumber],OvalData[],MATCH(Table2[[#Headers],[Inner Spring Length]],Table2[#Headers],0),0)</f>
        <v>Null</v>
      </c>
      <c r="BG127" s="2" t="str">
        <f>VLOOKUP([jobnumber],OvalData[],MATCH(Table2[[#Headers],[Inner Spring Stretch]],Table2[#Headers],0),0)</f>
        <v>Null</v>
      </c>
      <c r="BH127" s="2" t="str">
        <f>VLOOKUP([jobnumber],OvalData[],MATCH(Table2[[#Headers],[Inner Spring Torque]],Table2[#Headers],0),0)</f>
        <v>Null</v>
      </c>
      <c r="BI127" s="2" t="str">
        <f>VLOOKUP([jobnumber],OvalData[],MATCH(Table2[[#Headers],[Inner Spring Max Turns]],Table2[#Headers],0),0)</f>
        <v>Null</v>
      </c>
      <c r="BJ127" s="2" t="str">
        <f>VLOOKUP([jobnumber],OvalData[],MATCH(Table2[[#Headers],[Inner Spring Weight]],Table2[#Headers],0),0)</f>
        <v>Null</v>
      </c>
      <c r="BK127" s="2">
        <f>VLOOKUP([jobnumber],OvalData[],MATCH(Table2[[#Headers],[Cycles]],Table2[#Headers],0),0)</f>
        <v>0</v>
      </c>
      <c r="BL127" s="2">
        <f>VLOOKUP([jobnumber],OvalData[],MATCH(Table2[[#Headers],[Total Spring Torque]],Table2[#Headers],0),0)</f>
        <v>0</v>
      </c>
      <c r="BM127" s="2">
        <f>VLOOKUP([jobnumber],OvalData[],MATCH(Table2[[#Headers],[Total Spring Weight]],Table2[#Headers],0),0)</f>
        <v>0</v>
      </c>
      <c r="BN127" s="2">
        <f>VLOOKUP([jobnumber],OvalData[],MATCH(Table2[[#Headers],[Pipe Weight]],Table2[#Headers],0),0)</f>
        <v>688.24239999999998</v>
      </c>
      <c r="BO127" s="2">
        <f>VLOOKUP([jobnumber],OvalData[],MATCH(Table2[[#Headers],[Max Pipe Deflection]],Table2[#Headers],0),0)</f>
        <v>2309</v>
      </c>
      <c r="BP127" s="2">
        <f>VLOOKUP([jobnumber],OvalData[],MATCH(Table2[[#Headers],[Number Non-Insulated Wrap Slats]],Table2[#Headers],0),0)</f>
        <v>0</v>
      </c>
      <c r="BQ127" s="2">
        <f>VLOOKUP([jobnumber],OvalData[],MATCH(Table2[[#Headers],[Number of Insolated Top Slats]],Table2[#Headers],0),0)</f>
        <v>45</v>
      </c>
      <c r="BR127" s="2">
        <f>VLOOKUP([jobnumber],OvalData[],MATCH(Table2[[#Headers],[Insolated Total Slats]],Table2[#Headers],0),0)</f>
        <v>45</v>
      </c>
      <c r="BS127" s="2">
        <f>VLOOKUP([jobnumber],OvalData[],MATCH(Table2[[#Headers],[Number of Slats]],Table2[#Headers],0),0)</f>
        <v>44.69</v>
      </c>
      <c r="BT127" s="2">
        <f>VLOOKUP([jobnumber],OvalData[],MATCH(Table2[[#Headers],[Wrap]],Table2[#Headers],0),0)</f>
        <v>0</v>
      </c>
      <c r="BU127" s="2">
        <f>VLOOKUP([jobnumber],OvalData[],MATCH(Table2[[#Headers],[Wall Angle Thickness]],Table2[#Headers],0),0)</f>
        <v>0</v>
      </c>
      <c r="BV127" s="2">
        <f>VLOOKUP([jobnumber],OvalData[],MATCH(Table2[[#Headers],[windlocks]],Table2[#Headers],0),0)</f>
        <v>0</v>
      </c>
      <c r="BW127" s="2" t="str">
        <f>VLOOKUP([jobnumber],OvalData[],MATCH(Table2[[#Headers],[bottombartype]],Table2[#Headers],0),0)</f>
        <v>SPECIAL</v>
      </c>
      <c r="BX127" s="2">
        <f>VLOOKUP([jobnumber],OvalData[],MATCH(Table2[[#Headers],[endlockweight]],Table2[#Headers],0),0)</f>
        <v>0.17</v>
      </c>
      <c r="BY127" s="2">
        <f>VLOOKUP([jobnumber],OvalData[],MATCH(Table2[[#Headers],[Endlock Total Weight]],Table2[#Headers],0),0)</f>
        <v>7.5972999999999997</v>
      </c>
      <c r="BZ127" s="2">
        <f>VLOOKUP([jobnumber],OvalData[],MATCH(Table2[[#Headers],[Grille Weight]],Table2[#Headers],0),0)</f>
        <v>0</v>
      </c>
      <c r="CA127" s="2">
        <f>VLOOKUP([jobnumber],OvalData[],MATCH(Table2[[#Headers],[barrelrings]],Table2[#Headers],0),0)</f>
        <v>1</v>
      </c>
    </row>
    <row r="128" spans="2:79">
      <c r="B128" s="2" t="str">
        <f>VLOOKUP([jobnumber],OvalData[],MATCH(Table2[[#Headers],[Hand]],Table2[#Headers],0),0)</f>
        <v>RH</v>
      </c>
      <c r="C128" s="2" t="str">
        <f>VLOOKUP([jobnumber],OvalData[],MATCH(Table2[[#Headers],[Model]],Table2[#Headers],0),0)</f>
        <v>SFMPP</v>
      </c>
      <c r="D128" s="2" t="str">
        <f>VLOOKUP([jobnumber],OvalData[],MATCH(Table2[[#Headers],[width]],Table2[#Headers],0),0)</f>
        <v xml:space="preserve"> 18 ft.- 2"</v>
      </c>
      <c r="E128" s="2" t="str">
        <f>VLOOKUP([jobnumber],OvalData[],MATCH(Table2[[#Headers],[stopheight]],Table2[#Headers],0),0)</f>
        <v xml:space="preserve"> 10 ft.- 0"</v>
      </c>
      <c r="F128" s="2" t="str">
        <f>VLOOKUP([jobnumber],OvalData[],MATCH(Table2[[#Headers],[Between Brackets]],Table2[#Headers],0),0)</f>
        <v xml:space="preserve"> 18 ft.- 7 7/ 8"</v>
      </c>
      <c r="G128" s="2" t="str">
        <f>VLOOKUP([jobnumber],OvalData[],MATCH(Table2[[#Headers],[shell]],Table2[#Headers],0),0)</f>
        <v>6 INCH TUBE</v>
      </c>
      <c r="H128" s="2" t="str">
        <f>VLOOKUP([jobnumber],OvalData[],MATCH(Table2[[#Headers],[pipewidth]],Table2[#Headers],0),0)</f>
        <v xml:space="preserve"> 18 ft.- 1 3/ 8"</v>
      </c>
      <c r="I128" s="2">
        <f>VLOOKUP([jobnumber],OvalData[],MATCH(Table2[[#Headers],[Support Tubes]],Table2[#Headers],0),0)</f>
        <v>0</v>
      </c>
      <c r="J128" s="2">
        <f>VLOOKUP([jobnumber],OvalData[],MATCH(Table2[[#Headers],[Upset]],Table2[#Headers],0),0)</f>
        <v>2</v>
      </c>
      <c r="K128" s="2" t="str">
        <f>VLOOKUP([jobnumber],OvalData[],MATCH(Table2[[#Headers],[Guide Type]],Table2[#Headers],0),0)</f>
        <v>SN2-4 5/8-E</v>
      </c>
      <c r="L128" s="2" t="str">
        <f>VLOOKUP([jobnumber],OvalData[],MATCH(Table2[[#Headers],[Wall Angle]],Table2[#Headers],0),0)</f>
        <v xml:space="preserve"> 11 ft.- 8"</v>
      </c>
      <c r="M128" s="2" t="str">
        <f>VLOOKUP([jobnumber],OvalData[],MATCH(Table2[[#Headers],[Middle Angle]],Table2[#Headers],0),0)</f>
        <v xml:space="preserve"> 10 ft.- 4 1/ 2"</v>
      </c>
      <c r="N128" s="2" t="str">
        <f>VLOOKUP([jobnumber],OvalData[],MATCH(Table2[[#Headers],[Front Angle]],Table2[#Headers],0),0)</f>
        <v xml:space="preserve"> 10 ft.- 3"</v>
      </c>
      <c r="O128" s="2">
        <f>VLOOKUP([jobnumber],OvalData[],MATCH(Table2[[#Headers],[Pipe Center Line]],Table2[#Headers],0),0)</f>
        <v>131</v>
      </c>
      <c r="P128" s="2">
        <f>VLOOKUP([jobnumber],OvalData[],MATCH(Table2[[#Headers],[Heat Expansion Gap]],Table2[#Headers],0),0)</f>
        <v>0</v>
      </c>
      <c r="Q128" s="2">
        <f>VLOOKUP([jobnumber],OvalData[],MATCH(Table2[[#Headers],[Hanging Weight Closed]],Table2[#Headers],0),0)</f>
        <v>795</v>
      </c>
      <c r="R128" s="2">
        <f>VLOOKUP([jobnumber],OvalData[],MATCH(Table2[[#Headers],[Hanging Weight Open]],Table2[#Headers],0),0)</f>
        <v>140</v>
      </c>
      <c r="S128" s="2">
        <f>VLOOKUP([jobnumber],OvalData[],MATCH(Table2[[#Headers],[Initial Lever Arm]],Table2[#Headers],0),0)</f>
        <v>4.25</v>
      </c>
      <c r="T128" s="2">
        <f>VLOOKUP([jobnumber],OvalData[],MATCH(Table2[[#Headers],[Turns to Raise]],Table2[#Headers],0),0)</f>
        <v>3.5859999999999999</v>
      </c>
      <c r="U128" s="2">
        <f>VLOOKUP([jobnumber],OvalData[],MATCH(Table2[[#Headers],[Final Lever Arm]],Table2[#Headers],0),0)</f>
        <v>6.37</v>
      </c>
      <c r="V128" s="2">
        <f>VLOOKUP([jobnumber],OvalData[],MATCH(Table2[[#Headers],[Torque Required Closed]],Table2[#Headers],0),0)</f>
        <v>3377.9</v>
      </c>
      <c r="W128" s="2">
        <f>VLOOKUP([jobnumber],OvalData[],MATCH(Table2[[#Headers],[Torque Required Open]],Table2[#Headers],0),0)</f>
        <v>892</v>
      </c>
      <c r="X128" s="2">
        <f>VLOOKUP([jobnumber],OvalData[],MATCH(Table2[[#Headers],[Pre Turns]],Table2[#Headers],0),0)</f>
        <v>1.3332999999999999</v>
      </c>
      <c r="Y128" s="2">
        <f>VLOOKUP([jobnumber],OvalData[],MATCH(Table2[[#Headers],[Required Torque Per Turn]],Table2[#Headers],0),0)</f>
        <v>688</v>
      </c>
      <c r="Z128" s="2">
        <f>VLOOKUP([jobnumber],OvalData[],MATCH(Table2[[#Headers],[Total Turns]],Table2[#Headers],0),0)</f>
        <v>4.91</v>
      </c>
      <c r="AA128" s="2">
        <f>VLOOKUP([jobnumber],OvalData[],MATCH(Table2[[#Headers],[Grille Vision Section]],Table2[#Headers],0),0)</f>
        <v>0</v>
      </c>
      <c r="AB128" s="2">
        <f>VLOOKUP([jobnumber],OvalData[],MATCH(Table2[[#Headers],[Grille Amount]],Table2[#Headers],0),0)</f>
        <v>0</v>
      </c>
      <c r="AC128" s="2">
        <f>VLOOKUP([jobnumber],OvalData[],MATCH(Table2[[#Headers],[Grille Center]],Table2[#Headers],0),0)</f>
        <v>0</v>
      </c>
      <c r="AD128" s="2">
        <f>VLOOKUP([jobnumber],OvalData[],MATCH(Table2[[#Headers],[Grille Pattern]],Table2[#Headers],0),0)</f>
        <v>0</v>
      </c>
      <c r="AE128" s="2">
        <f>VLOOKUP([jobnumber],OvalData[],MATCH(Table2[[#Headers],[Grille First Tube]],Table2[#Headers],0),0)</f>
        <v>0</v>
      </c>
      <c r="AF128" s="2">
        <f>VLOOKUP([jobnumber],OvalData[],MATCH(Table2[[#Headers],[Grille Standard Tube]],Table2[#Headers],0),0)</f>
        <v>0</v>
      </c>
      <c r="AG128" s="2">
        <f>VLOOKUP([jobnumber],OvalData[],MATCH(Table2[[#Headers],[Grille Total Links]],Table2[#Headers],0),0)</f>
        <v>0</v>
      </c>
      <c r="AH128" s="2">
        <f>VLOOKUP([jobnumber],OvalData[],MATCH(Table2[[#Headers],[Grille Rods]],Table2[#Headers],0),0)</f>
        <v>0</v>
      </c>
      <c r="AI128" s="2">
        <f>VLOOKUP([jobnumber],OvalData[],MATCH(Table2[[#Headers],[Grille Rod Length]],Table2[#Headers],0),0)</f>
        <v>0</v>
      </c>
      <c r="AJ128" s="2">
        <f>VLOOKUP([jobnumber],OvalData[],MATCH(Table2[[#Headers],[slattype]],Table2[#Headers],0),0)</f>
        <v>2</v>
      </c>
      <c r="AK128" s="2">
        <f>VLOOKUP([jobnumber],OvalData[],MATCH(Table2[[#Headers],[slatgage]],Table2[#Headers],0),0)</f>
        <v>18</v>
      </c>
      <c r="AL128" s="2">
        <f>VLOOKUP([jobnumber],OvalData[],MATCH(Table2[[#Headers],[Numer of Top Slats]],Table2[#Headers],0),0)</f>
        <v>0</v>
      </c>
      <c r="AM128" s="2">
        <f>VLOOKUP([jobnumber],OvalData[],MATCH(Table2[[#Headers],[Number of Bottom Slats]],Table2[#Headers],0),0)</f>
        <v>0</v>
      </c>
      <c r="AN128" s="2">
        <f>VLOOKUP([jobnumber],OvalData[],MATCH(Table2[[#Headers],[Solid Bottom Height]],Table2[#Headers],0),0)</f>
        <v>0</v>
      </c>
      <c r="AO128" s="2" t="str">
        <f>VLOOKUP([jobnumber],OvalData[],MATCH(Table2[[#Headers],[slatlength]],Table2[#Headers],0),0)</f>
        <v xml:space="preserve"> 18 ft.- 5 7/ 8"</v>
      </c>
      <c r="AP128" s="2">
        <f>VLOOKUP([jobnumber],OvalData[],MATCH(Table2[[#Headers],[Bottom Slat Length]],Table2[#Headers],0),0)</f>
        <v>0</v>
      </c>
      <c r="AQ128" s="2">
        <f>VLOOKUP([jobnumber],OvalData[],MATCH(Table2[[#Headers],[Number of Perferated Slats]],Table2[#Headers],0),0)</f>
        <v>0</v>
      </c>
      <c r="AR128" s="2">
        <f>VLOOKUP([jobnumber],OvalData[],MATCH(Table2[[#Headers],[First Preferated Slat From End]],Table2[#Headers],0),0)</f>
        <v>0</v>
      </c>
      <c r="AS128" s="2">
        <f>VLOOKUP([jobnumber],OvalData[],MATCH(Table2[[#Headers],[First Preferated Slat From Bottom]],Table2[#Headers],0),0)</f>
        <v>0</v>
      </c>
      <c r="AT128" s="2">
        <f>VLOOKUP([jobnumber],OvalData[],MATCH(Table2[[#Headers],[Total Number of Slats]],Table2[#Headers],0),0)</f>
        <v>51</v>
      </c>
      <c r="AU128" s="2">
        <f>VLOOKUP([jobnumber],OvalData[],MATCH(Table2[[#Headers],[Bottom Bar Slope]],Table2[#Headers],0),0)</f>
        <v>0</v>
      </c>
      <c r="AV128" s="2">
        <f>VLOOKUP([jobnumber],OvalData[],MATCH(Table2[[#Headers],[Bottom Bar Weight]],Table2[#Headers],0),0)</f>
        <v>80.5</v>
      </c>
      <c r="AW128" s="2" t="str">
        <f>VLOOKUP([jobnumber],OvalData[],MATCH(Table2[[#Headers],[Outer Spring Gage]],Table2[#Headers],0),0)</f>
        <v>Null</v>
      </c>
      <c r="AX128" s="2" t="str">
        <f>VLOOKUP([jobnumber],OvalData[],MATCH(Table2[[#Headers],[Outer Spring OD]],Table2[#Headers],0),0)</f>
        <v>Null</v>
      </c>
      <c r="AY128" s="2" t="str">
        <f>VLOOKUP([jobnumber],OvalData[],MATCH(Table2[[#Headers],[Outer Spring Length]],Table2[#Headers],0),0)</f>
        <v>Null</v>
      </c>
      <c r="AZ128" s="2" t="str">
        <f>VLOOKUP([jobnumber],OvalData[],MATCH(Table2[[#Headers],[Outer Spring Stretch]],Table2[#Headers],0),0)</f>
        <v>Null</v>
      </c>
      <c r="BA128" s="2" t="str">
        <f>VLOOKUP([jobnumber],OvalData[],MATCH(Table2[[#Headers],[Outer Spring Torque]],Table2[#Headers],0),0)</f>
        <v>Null</v>
      </c>
      <c r="BB128" s="2" t="str">
        <f>VLOOKUP([jobnumber],OvalData[],MATCH(Table2[[#Headers],[Outer Spring Max Turns]],Table2[#Headers],0),0)</f>
        <v>Null</v>
      </c>
      <c r="BC128" s="2" t="str">
        <f>VLOOKUP([jobnumber],OvalData[],MATCH(Table2[[#Headers],[Outer Spring Weight]],Table2[#Headers],0),0)</f>
        <v>Null</v>
      </c>
      <c r="BD128" s="2" t="str">
        <f>VLOOKUP([jobnumber],OvalData[],MATCH(Table2[[#Headers],[Inner Spring Gage]],Table2[#Headers],0),0)</f>
        <v>Null</v>
      </c>
      <c r="BE128" s="2" t="str">
        <f>VLOOKUP([jobnumber],OvalData[],MATCH(Table2[[#Headers],[Inner Spring OD]],Table2[#Headers],0),0)</f>
        <v>Null</v>
      </c>
      <c r="BF128" s="2" t="str">
        <f>VLOOKUP([jobnumber],OvalData[],MATCH(Table2[[#Headers],[Inner Spring Length]],Table2[#Headers],0),0)</f>
        <v>Null</v>
      </c>
      <c r="BG128" s="2" t="str">
        <f>VLOOKUP([jobnumber],OvalData[],MATCH(Table2[[#Headers],[Inner Spring Stretch]],Table2[#Headers],0),0)</f>
        <v>Null</v>
      </c>
      <c r="BH128" s="2" t="str">
        <f>VLOOKUP([jobnumber],OvalData[],MATCH(Table2[[#Headers],[Inner Spring Torque]],Table2[#Headers],0),0)</f>
        <v>Null</v>
      </c>
      <c r="BI128" s="2" t="str">
        <f>VLOOKUP([jobnumber],OvalData[],MATCH(Table2[[#Headers],[Inner Spring Max Turns]],Table2[#Headers],0),0)</f>
        <v>Null</v>
      </c>
      <c r="BJ128" s="2" t="str">
        <f>VLOOKUP([jobnumber],OvalData[],MATCH(Table2[[#Headers],[Inner Spring Weight]],Table2[#Headers],0),0)</f>
        <v>Null</v>
      </c>
      <c r="BK128" s="2">
        <f>VLOOKUP([jobnumber],OvalData[],MATCH(Table2[[#Headers],[Cycles]],Table2[#Headers],0),0)</f>
        <v>0</v>
      </c>
      <c r="BL128" s="2">
        <f>VLOOKUP([jobnumber],OvalData[],MATCH(Table2[[#Headers],[Total Spring Torque]],Table2[#Headers],0),0)</f>
        <v>0</v>
      </c>
      <c r="BM128" s="2">
        <f>VLOOKUP([jobnumber],OvalData[],MATCH(Table2[[#Headers],[Total Spring Weight]],Table2[#Headers],0),0)</f>
        <v>0</v>
      </c>
      <c r="BN128" s="2">
        <f>VLOOKUP([jobnumber],OvalData[],MATCH(Table2[[#Headers],[Pipe Weight]],Table2[#Headers],0),0)</f>
        <v>688.24239999999998</v>
      </c>
      <c r="BO128" s="2">
        <f>VLOOKUP([jobnumber],OvalData[],MATCH(Table2[[#Headers],[Max Pipe Deflection]],Table2[#Headers],0),0)</f>
        <v>2309</v>
      </c>
      <c r="BP128" s="2">
        <f>VLOOKUP([jobnumber],OvalData[],MATCH(Table2[[#Headers],[Number Non-Insulated Wrap Slats]],Table2[#Headers],0),0)</f>
        <v>0</v>
      </c>
      <c r="BQ128" s="2">
        <f>VLOOKUP([jobnumber],OvalData[],MATCH(Table2[[#Headers],[Number of Insolated Top Slats]],Table2[#Headers],0),0)</f>
        <v>45</v>
      </c>
      <c r="BR128" s="2">
        <f>VLOOKUP([jobnumber],OvalData[],MATCH(Table2[[#Headers],[Insolated Total Slats]],Table2[#Headers],0),0)</f>
        <v>45</v>
      </c>
      <c r="BS128" s="2">
        <f>VLOOKUP([jobnumber],OvalData[],MATCH(Table2[[#Headers],[Number of Slats]],Table2[#Headers],0),0)</f>
        <v>44.69</v>
      </c>
      <c r="BT128" s="2">
        <f>VLOOKUP([jobnumber],OvalData[],MATCH(Table2[[#Headers],[Wrap]],Table2[#Headers],0),0)</f>
        <v>0</v>
      </c>
      <c r="BU128" s="2">
        <f>VLOOKUP([jobnumber],OvalData[],MATCH(Table2[[#Headers],[Wall Angle Thickness]],Table2[#Headers],0),0)</f>
        <v>0</v>
      </c>
      <c r="BV128" s="2">
        <f>VLOOKUP([jobnumber],OvalData[],MATCH(Table2[[#Headers],[windlocks]],Table2[#Headers],0),0)</f>
        <v>0</v>
      </c>
      <c r="BW128" s="2" t="str">
        <f>VLOOKUP([jobnumber],OvalData[],MATCH(Table2[[#Headers],[bottombartype]],Table2[#Headers],0),0)</f>
        <v>SPECIAL</v>
      </c>
      <c r="BX128" s="2">
        <f>VLOOKUP([jobnumber],OvalData[],MATCH(Table2[[#Headers],[endlockweight]],Table2[#Headers],0),0)</f>
        <v>0.17</v>
      </c>
      <c r="BY128" s="2">
        <f>VLOOKUP([jobnumber],OvalData[],MATCH(Table2[[#Headers],[Endlock Total Weight]],Table2[#Headers],0),0)</f>
        <v>7.5972999999999997</v>
      </c>
      <c r="BZ128" s="2">
        <f>VLOOKUP([jobnumber],OvalData[],MATCH(Table2[[#Headers],[Grille Weight]],Table2[#Headers],0),0)</f>
        <v>0</v>
      </c>
      <c r="CA128" s="2">
        <f>VLOOKUP([jobnumber],OvalData[],MATCH(Table2[[#Headers],[barrelrings]],Table2[#Headers],0),0)</f>
        <v>1</v>
      </c>
    </row>
    <row r="129" spans="2:79">
      <c r="B129" s="2" t="str">
        <f>VLOOKUP([jobnumber],OvalData[],MATCH(Table2[[#Headers],[Hand]],Table2[#Headers],0),0)</f>
        <v>RH</v>
      </c>
      <c r="C129" s="2" t="str">
        <f>VLOOKUP([jobnumber],OvalData[],MATCH(Table2[[#Headers],[Model]],Table2[#Headers],0),0)</f>
        <v>SFMPP</v>
      </c>
      <c r="D129" s="2" t="str">
        <f>VLOOKUP([jobnumber],OvalData[],MATCH(Table2[[#Headers],[width]],Table2[#Headers],0),0)</f>
        <v xml:space="preserve"> 18 ft.- 2"</v>
      </c>
      <c r="E129" s="2" t="str">
        <f>VLOOKUP([jobnumber],OvalData[],MATCH(Table2[[#Headers],[stopheight]],Table2[#Headers],0),0)</f>
        <v xml:space="preserve"> 10 ft.- 0"</v>
      </c>
      <c r="F129" s="2" t="str">
        <f>VLOOKUP([jobnumber],OvalData[],MATCH(Table2[[#Headers],[Between Brackets]],Table2[#Headers],0),0)</f>
        <v xml:space="preserve"> 18 ft.- 7 7/ 8"</v>
      </c>
      <c r="G129" s="2" t="str">
        <f>VLOOKUP([jobnumber],OvalData[],MATCH(Table2[[#Headers],[shell]],Table2[#Headers],0),0)</f>
        <v>6 INCH TUBE</v>
      </c>
      <c r="H129" s="2" t="str">
        <f>VLOOKUP([jobnumber],OvalData[],MATCH(Table2[[#Headers],[pipewidth]],Table2[#Headers],0),0)</f>
        <v xml:space="preserve"> 18 ft.- 1 3/ 8"</v>
      </c>
      <c r="I129" s="2">
        <f>VLOOKUP([jobnumber],OvalData[],MATCH(Table2[[#Headers],[Support Tubes]],Table2[#Headers],0),0)</f>
        <v>0</v>
      </c>
      <c r="J129" s="2">
        <f>VLOOKUP([jobnumber],OvalData[],MATCH(Table2[[#Headers],[Upset]],Table2[#Headers],0),0)</f>
        <v>2</v>
      </c>
      <c r="K129" s="2" t="str">
        <f>VLOOKUP([jobnumber],OvalData[],MATCH(Table2[[#Headers],[Guide Type]],Table2[#Headers],0),0)</f>
        <v>SN2-4 5/8-E</v>
      </c>
      <c r="L129" s="2" t="str">
        <f>VLOOKUP([jobnumber],OvalData[],MATCH(Table2[[#Headers],[Wall Angle]],Table2[#Headers],0),0)</f>
        <v xml:space="preserve"> 11 ft.- 8"</v>
      </c>
      <c r="M129" s="2" t="str">
        <f>VLOOKUP([jobnumber],OvalData[],MATCH(Table2[[#Headers],[Middle Angle]],Table2[#Headers],0),0)</f>
        <v xml:space="preserve"> 10 ft.- 4 1/ 2"</v>
      </c>
      <c r="N129" s="2" t="str">
        <f>VLOOKUP([jobnumber],OvalData[],MATCH(Table2[[#Headers],[Front Angle]],Table2[#Headers],0),0)</f>
        <v xml:space="preserve"> 10 ft.- 3"</v>
      </c>
      <c r="O129" s="2">
        <f>VLOOKUP([jobnumber],OvalData[],MATCH(Table2[[#Headers],[Pipe Center Line]],Table2[#Headers],0),0)</f>
        <v>131</v>
      </c>
      <c r="P129" s="2">
        <f>VLOOKUP([jobnumber],OvalData[],MATCH(Table2[[#Headers],[Heat Expansion Gap]],Table2[#Headers],0),0)</f>
        <v>0</v>
      </c>
      <c r="Q129" s="2">
        <f>VLOOKUP([jobnumber],OvalData[],MATCH(Table2[[#Headers],[Hanging Weight Closed]],Table2[#Headers],0),0)</f>
        <v>795</v>
      </c>
      <c r="R129" s="2">
        <f>VLOOKUP([jobnumber],OvalData[],MATCH(Table2[[#Headers],[Hanging Weight Open]],Table2[#Headers],0),0)</f>
        <v>140</v>
      </c>
      <c r="S129" s="2">
        <f>VLOOKUP([jobnumber],OvalData[],MATCH(Table2[[#Headers],[Initial Lever Arm]],Table2[#Headers],0),0)</f>
        <v>4.25</v>
      </c>
      <c r="T129" s="2">
        <f>VLOOKUP([jobnumber],OvalData[],MATCH(Table2[[#Headers],[Turns to Raise]],Table2[#Headers],0),0)</f>
        <v>3.5859999999999999</v>
      </c>
      <c r="U129" s="2">
        <f>VLOOKUP([jobnumber],OvalData[],MATCH(Table2[[#Headers],[Final Lever Arm]],Table2[#Headers],0),0)</f>
        <v>6.37</v>
      </c>
      <c r="V129" s="2">
        <f>VLOOKUP([jobnumber],OvalData[],MATCH(Table2[[#Headers],[Torque Required Closed]],Table2[#Headers],0),0)</f>
        <v>3377.9</v>
      </c>
      <c r="W129" s="2">
        <f>VLOOKUP([jobnumber],OvalData[],MATCH(Table2[[#Headers],[Torque Required Open]],Table2[#Headers],0),0)</f>
        <v>892</v>
      </c>
      <c r="X129" s="2">
        <f>VLOOKUP([jobnumber],OvalData[],MATCH(Table2[[#Headers],[Pre Turns]],Table2[#Headers],0),0)</f>
        <v>1.3332999999999999</v>
      </c>
      <c r="Y129" s="2">
        <f>VLOOKUP([jobnumber],OvalData[],MATCH(Table2[[#Headers],[Required Torque Per Turn]],Table2[#Headers],0),0)</f>
        <v>688</v>
      </c>
      <c r="Z129" s="2">
        <f>VLOOKUP([jobnumber],OvalData[],MATCH(Table2[[#Headers],[Total Turns]],Table2[#Headers],0),0)</f>
        <v>4.91</v>
      </c>
      <c r="AA129" s="2">
        <f>VLOOKUP([jobnumber],OvalData[],MATCH(Table2[[#Headers],[Grille Vision Section]],Table2[#Headers],0),0)</f>
        <v>0</v>
      </c>
      <c r="AB129" s="2">
        <f>VLOOKUP([jobnumber],OvalData[],MATCH(Table2[[#Headers],[Grille Amount]],Table2[#Headers],0),0)</f>
        <v>0</v>
      </c>
      <c r="AC129" s="2">
        <f>VLOOKUP([jobnumber],OvalData[],MATCH(Table2[[#Headers],[Grille Center]],Table2[#Headers],0),0)</f>
        <v>0</v>
      </c>
      <c r="AD129" s="2">
        <f>VLOOKUP([jobnumber],OvalData[],MATCH(Table2[[#Headers],[Grille Pattern]],Table2[#Headers],0),0)</f>
        <v>0</v>
      </c>
      <c r="AE129" s="2">
        <f>VLOOKUP([jobnumber],OvalData[],MATCH(Table2[[#Headers],[Grille First Tube]],Table2[#Headers],0),0)</f>
        <v>0</v>
      </c>
      <c r="AF129" s="2">
        <f>VLOOKUP([jobnumber],OvalData[],MATCH(Table2[[#Headers],[Grille Standard Tube]],Table2[#Headers],0),0)</f>
        <v>0</v>
      </c>
      <c r="AG129" s="2">
        <f>VLOOKUP([jobnumber],OvalData[],MATCH(Table2[[#Headers],[Grille Total Links]],Table2[#Headers],0),0)</f>
        <v>0</v>
      </c>
      <c r="AH129" s="2">
        <f>VLOOKUP([jobnumber],OvalData[],MATCH(Table2[[#Headers],[Grille Rods]],Table2[#Headers],0),0)</f>
        <v>0</v>
      </c>
      <c r="AI129" s="2">
        <f>VLOOKUP([jobnumber],OvalData[],MATCH(Table2[[#Headers],[Grille Rod Length]],Table2[#Headers],0),0)</f>
        <v>0</v>
      </c>
      <c r="AJ129" s="2">
        <f>VLOOKUP([jobnumber],OvalData[],MATCH(Table2[[#Headers],[slattype]],Table2[#Headers],0),0)</f>
        <v>2</v>
      </c>
      <c r="AK129" s="2">
        <f>VLOOKUP([jobnumber],OvalData[],MATCH(Table2[[#Headers],[slatgage]],Table2[#Headers],0),0)</f>
        <v>18</v>
      </c>
      <c r="AL129" s="2">
        <f>VLOOKUP([jobnumber],OvalData[],MATCH(Table2[[#Headers],[Numer of Top Slats]],Table2[#Headers],0),0)</f>
        <v>0</v>
      </c>
      <c r="AM129" s="2">
        <f>VLOOKUP([jobnumber],OvalData[],MATCH(Table2[[#Headers],[Number of Bottom Slats]],Table2[#Headers],0),0)</f>
        <v>0</v>
      </c>
      <c r="AN129" s="2">
        <f>VLOOKUP([jobnumber],OvalData[],MATCH(Table2[[#Headers],[Solid Bottom Height]],Table2[#Headers],0),0)</f>
        <v>0</v>
      </c>
      <c r="AO129" s="2" t="str">
        <f>VLOOKUP([jobnumber],OvalData[],MATCH(Table2[[#Headers],[slatlength]],Table2[#Headers],0),0)</f>
        <v xml:space="preserve"> 18 ft.- 5 7/ 8"</v>
      </c>
      <c r="AP129" s="2">
        <f>VLOOKUP([jobnumber],OvalData[],MATCH(Table2[[#Headers],[Bottom Slat Length]],Table2[#Headers],0),0)</f>
        <v>0</v>
      </c>
      <c r="AQ129" s="2">
        <f>VLOOKUP([jobnumber],OvalData[],MATCH(Table2[[#Headers],[Number of Perferated Slats]],Table2[#Headers],0),0)</f>
        <v>0</v>
      </c>
      <c r="AR129" s="2">
        <f>VLOOKUP([jobnumber],OvalData[],MATCH(Table2[[#Headers],[First Preferated Slat From End]],Table2[#Headers],0),0)</f>
        <v>0</v>
      </c>
      <c r="AS129" s="2">
        <f>VLOOKUP([jobnumber],OvalData[],MATCH(Table2[[#Headers],[First Preferated Slat From Bottom]],Table2[#Headers],0),0)</f>
        <v>0</v>
      </c>
      <c r="AT129" s="2">
        <f>VLOOKUP([jobnumber],OvalData[],MATCH(Table2[[#Headers],[Total Number of Slats]],Table2[#Headers],0),0)</f>
        <v>51</v>
      </c>
      <c r="AU129" s="2">
        <f>VLOOKUP([jobnumber],OvalData[],MATCH(Table2[[#Headers],[Bottom Bar Slope]],Table2[#Headers],0),0)</f>
        <v>0</v>
      </c>
      <c r="AV129" s="2">
        <f>VLOOKUP([jobnumber],OvalData[],MATCH(Table2[[#Headers],[Bottom Bar Weight]],Table2[#Headers],0),0)</f>
        <v>80.5</v>
      </c>
      <c r="AW129" s="2" t="str">
        <f>VLOOKUP([jobnumber],OvalData[],MATCH(Table2[[#Headers],[Outer Spring Gage]],Table2[#Headers],0),0)</f>
        <v>Null</v>
      </c>
      <c r="AX129" s="2" t="str">
        <f>VLOOKUP([jobnumber],OvalData[],MATCH(Table2[[#Headers],[Outer Spring OD]],Table2[#Headers],0),0)</f>
        <v>Null</v>
      </c>
      <c r="AY129" s="2" t="str">
        <f>VLOOKUP([jobnumber],OvalData[],MATCH(Table2[[#Headers],[Outer Spring Length]],Table2[#Headers],0),0)</f>
        <v>Null</v>
      </c>
      <c r="AZ129" s="2" t="str">
        <f>VLOOKUP([jobnumber],OvalData[],MATCH(Table2[[#Headers],[Outer Spring Stretch]],Table2[#Headers],0),0)</f>
        <v>Null</v>
      </c>
      <c r="BA129" s="2" t="str">
        <f>VLOOKUP([jobnumber],OvalData[],MATCH(Table2[[#Headers],[Outer Spring Torque]],Table2[#Headers],0),0)</f>
        <v>Null</v>
      </c>
      <c r="BB129" s="2" t="str">
        <f>VLOOKUP([jobnumber],OvalData[],MATCH(Table2[[#Headers],[Outer Spring Max Turns]],Table2[#Headers],0),0)</f>
        <v>Null</v>
      </c>
      <c r="BC129" s="2" t="str">
        <f>VLOOKUP([jobnumber],OvalData[],MATCH(Table2[[#Headers],[Outer Spring Weight]],Table2[#Headers],0),0)</f>
        <v>Null</v>
      </c>
      <c r="BD129" s="2" t="str">
        <f>VLOOKUP([jobnumber],OvalData[],MATCH(Table2[[#Headers],[Inner Spring Gage]],Table2[#Headers],0),0)</f>
        <v>Null</v>
      </c>
      <c r="BE129" s="2" t="str">
        <f>VLOOKUP([jobnumber],OvalData[],MATCH(Table2[[#Headers],[Inner Spring OD]],Table2[#Headers],0),0)</f>
        <v>Null</v>
      </c>
      <c r="BF129" s="2" t="str">
        <f>VLOOKUP([jobnumber],OvalData[],MATCH(Table2[[#Headers],[Inner Spring Length]],Table2[#Headers],0),0)</f>
        <v>Null</v>
      </c>
      <c r="BG129" s="2" t="str">
        <f>VLOOKUP([jobnumber],OvalData[],MATCH(Table2[[#Headers],[Inner Spring Stretch]],Table2[#Headers],0),0)</f>
        <v>Null</v>
      </c>
      <c r="BH129" s="2" t="str">
        <f>VLOOKUP([jobnumber],OvalData[],MATCH(Table2[[#Headers],[Inner Spring Torque]],Table2[#Headers],0),0)</f>
        <v>Null</v>
      </c>
      <c r="BI129" s="2" t="str">
        <f>VLOOKUP([jobnumber],OvalData[],MATCH(Table2[[#Headers],[Inner Spring Max Turns]],Table2[#Headers],0),0)</f>
        <v>Null</v>
      </c>
      <c r="BJ129" s="2" t="str">
        <f>VLOOKUP([jobnumber],OvalData[],MATCH(Table2[[#Headers],[Inner Spring Weight]],Table2[#Headers],0),0)</f>
        <v>Null</v>
      </c>
      <c r="BK129" s="2">
        <f>VLOOKUP([jobnumber],OvalData[],MATCH(Table2[[#Headers],[Cycles]],Table2[#Headers],0),0)</f>
        <v>0</v>
      </c>
      <c r="BL129" s="2">
        <f>VLOOKUP([jobnumber],OvalData[],MATCH(Table2[[#Headers],[Total Spring Torque]],Table2[#Headers],0),0)</f>
        <v>0</v>
      </c>
      <c r="BM129" s="2">
        <f>VLOOKUP([jobnumber],OvalData[],MATCH(Table2[[#Headers],[Total Spring Weight]],Table2[#Headers],0),0)</f>
        <v>0</v>
      </c>
      <c r="BN129" s="2">
        <f>VLOOKUP([jobnumber],OvalData[],MATCH(Table2[[#Headers],[Pipe Weight]],Table2[#Headers],0),0)</f>
        <v>688.24239999999998</v>
      </c>
      <c r="BO129" s="2">
        <f>VLOOKUP([jobnumber],OvalData[],MATCH(Table2[[#Headers],[Max Pipe Deflection]],Table2[#Headers],0),0)</f>
        <v>2309</v>
      </c>
      <c r="BP129" s="2">
        <f>VLOOKUP([jobnumber],OvalData[],MATCH(Table2[[#Headers],[Number Non-Insulated Wrap Slats]],Table2[#Headers],0),0)</f>
        <v>0</v>
      </c>
      <c r="BQ129" s="2">
        <f>VLOOKUP([jobnumber],OvalData[],MATCH(Table2[[#Headers],[Number of Insolated Top Slats]],Table2[#Headers],0),0)</f>
        <v>45</v>
      </c>
      <c r="BR129" s="2">
        <f>VLOOKUP([jobnumber],OvalData[],MATCH(Table2[[#Headers],[Insolated Total Slats]],Table2[#Headers],0),0)</f>
        <v>45</v>
      </c>
      <c r="BS129" s="2">
        <f>VLOOKUP([jobnumber],OvalData[],MATCH(Table2[[#Headers],[Number of Slats]],Table2[#Headers],0),0)</f>
        <v>44.69</v>
      </c>
      <c r="BT129" s="2">
        <f>VLOOKUP([jobnumber],OvalData[],MATCH(Table2[[#Headers],[Wrap]],Table2[#Headers],0),0)</f>
        <v>0</v>
      </c>
      <c r="BU129" s="2">
        <f>VLOOKUP([jobnumber],OvalData[],MATCH(Table2[[#Headers],[Wall Angle Thickness]],Table2[#Headers],0),0)</f>
        <v>0</v>
      </c>
      <c r="BV129" s="2">
        <f>VLOOKUP([jobnumber],OvalData[],MATCH(Table2[[#Headers],[windlocks]],Table2[#Headers],0),0)</f>
        <v>0</v>
      </c>
      <c r="BW129" s="2" t="str">
        <f>VLOOKUP([jobnumber],OvalData[],MATCH(Table2[[#Headers],[bottombartype]],Table2[#Headers],0),0)</f>
        <v>SPECIAL</v>
      </c>
      <c r="BX129" s="2">
        <f>VLOOKUP([jobnumber],OvalData[],MATCH(Table2[[#Headers],[endlockweight]],Table2[#Headers],0),0)</f>
        <v>0.17</v>
      </c>
      <c r="BY129" s="2">
        <f>VLOOKUP([jobnumber],OvalData[],MATCH(Table2[[#Headers],[Endlock Total Weight]],Table2[#Headers],0),0)</f>
        <v>7.5972999999999997</v>
      </c>
      <c r="BZ129" s="2">
        <f>VLOOKUP([jobnumber],OvalData[],MATCH(Table2[[#Headers],[Grille Weight]],Table2[#Headers],0),0)</f>
        <v>0</v>
      </c>
      <c r="CA129" s="2">
        <f>VLOOKUP([jobnumber],OvalData[],MATCH(Table2[[#Headers],[barrelrings]],Table2[#Headers],0),0)</f>
        <v>1</v>
      </c>
    </row>
    <row r="130" spans="2:79">
      <c r="B130" s="2" t="str">
        <f>VLOOKUP([jobnumber],OvalData[],MATCH(Table2[[#Headers],[Hand]],Table2[#Headers],0),0)</f>
        <v>RH</v>
      </c>
      <c r="C130" s="2" t="str">
        <f>VLOOKUP([jobnumber],OvalData[],MATCH(Table2[[#Headers],[Model]],Table2[#Headers],0),0)</f>
        <v>SFMPP</v>
      </c>
      <c r="D130" s="2" t="str">
        <f>VLOOKUP([jobnumber],OvalData[],MATCH(Table2[[#Headers],[width]],Table2[#Headers],0),0)</f>
        <v xml:space="preserve"> 18 ft.- 2"</v>
      </c>
      <c r="E130" s="2" t="str">
        <f>VLOOKUP([jobnumber],OvalData[],MATCH(Table2[[#Headers],[stopheight]],Table2[#Headers],0),0)</f>
        <v xml:space="preserve"> 10 ft.- 0"</v>
      </c>
      <c r="F130" s="2" t="str">
        <f>VLOOKUP([jobnumber],OvalData[],MATCH(Table2[[#Headers],[Between Brackets]],Table2[#Headers],0),0)</f>
        <v xml:space="preserve"> 18 ft.- 7 7/ 8"</v>
      </c>
      <c r="G130" s="2" t="str">
        <f>VLOOKUP([jobnumber],OvalData[],MATCH(Table2[[#Headers],[shell]],Table2[#Headers],0),0)</f>
        <v>6 INCH TUBE</v>
      </c>
      <c r="H130" s="2" t="str">
        <f>VLOOKUP([jobnumber],OvalData[],MATCH(Table2[[#Headers],[pipewidth]],Table2[#Headers],0),0)</f>
        <v xml:space="preserve"> 18 ft.- 1 3/ 8"</v>
      </c>
      <c r="I130" s="2">
        <f>VLOOKUP([jobnumber],OvalData[],MATCH(Table2[[#Headers],[Support Tubes]],Table2[#Headers],0),0)</f>
        <v>0</v>
      </c>
      <c r="J130" s="2">
        <f>VLOOKUP([jobnumber],OvalData[],MATCH(Table2[[#Headers],[Upset]],Table2[#Headers],0),0)</f>
        <v>2</v>
      </c>
      <c r="K130" s="2" t="str">
        <f>VLOOKUP([jobnumber],OvalData[],MATCH(Table2[[#Headers],[Guide Type]],Table2[#Headers],0),0)</f>
        <v>SN2-4 5/8-E</v>
      </c>
      <c r="L130" s="2" t="str">
        <f>VLOOKUP([jobnumber],OvalData[],MATCH(Table2[[#Headers],[Wall Angle]],Table2[#Headers],0),0)</f>
        <v xml:space="preserve"> 11 ft.- 8"</v>
      </c>
      <c r="M130" s="2" t="str">
        <f>VLOOKUP([jobnumber],OvalData[],MATCH(Table2[[#Headers],[Middle Angle]],Table2[#Headers],0),0)</f>
        <v xml:space="preserve"> 10 ft.- 4 1/ 2"</v>
      </c>
      <c r="N130" s="2" t="str">
        <f>VLOOKUP([jobnumber],OvalData[],MATCH(Table2[[#Headers],[Front Angle]],Table2[#Headers],0),0)</f>
        <v xml:space="preserve"> 10 ft.- 3"</v>
      </c>
      <c r="O130" s="2">
        <f>VLOOKUP([jobnumber],OvalData[],MATCH(Table2[[#Headers],[Pipe Center Line]],Table2[#Headers],0),0)</f>
        <v>131</v>
      </c>
      <c r="P130" s="2">
        <f>VLOOKUP([jobnumber],OvalData[],MATCH(Table2[[#Headers],[Heat Expansion Gap]],Table2[#Headers],0),0)</f>
        <v>0</v>
      </c>
      <c r="Q130" s="2">
        <f>VLOOKUP([jobnumber],OvalData[],MATCH(Table2[[#Headers],[Hanging Weight Closed]],Table2[#Headers],0),0)</f>
        <v>795</v>
      </c>
      <c r="R130" s="2">
        <f>VLOOKUP([jobnumber],OvalData[],MATCH(Table2[[#Headers],[Hanging Weight Open]],Table2[#Headers],0),0)</f>
        <v>140</v>
      </c>
      <c r="S130" s="2">
        <f>VLOOKUP([jobnumber],OvalData[],MATCH(Table2[[#Headers],[Initial Lever Arm]],Table2[#Headers],0),0)</f>
        <v>4.25</v>
      </c>
      <c r="T130" s="2">
        <f>VLOOKUP([jobnumber],OvalData[],MATCH(Table2[[#Headers],[Turns to Raise]],Table2[#Headers],0),0)</f>
        <v>3.5859999999999999</v>
      </c>
      <c r="U130" s="2">
        <f>VLOOKUP([jobnumber],OvalData[],MATCH(Table2[[#Headers],[Final Lever Arm]],Table2[#Headers],0),0)</f>
        <v>6.37</v>
      </c>
      <c r="V130" s="2">
        <f>VLOOKUP([jobnumber],OvalData[],MATCH(Table2[[#Headers],[Torque Required Closed]],Table2[#Headers],0),0)</f>
        <v>3377.9</v>
      </c>
      <c r="W130" s="2">
        <f>VLOOKUP([jobnumber],OvalData[],MATCH(Table2[[#Headers],[Torque Required Open]],Table2[#Headers],0),0)</f>
        <v>892</v>
      </c>
      <c r="X130" s="2">
        <f>VLOOKUP([jobnumber],OvalData[],MATCH(Table2[[#Headers],[Pre Turns]],Table2[#Headers],0),0)</f>
        <v>1.3332999999999999</v>
      </c>
      <c r="Y130" s="2">
        <f>VLOOKUP([jobnumber],OvalData[],MATCH(Table2[[#Headers],[Required Torque Per Turn]],Table2[#Headers],0),0)</f>
        <v>688</v>
      </c>
      <c r="Z130" s="2">
        <f>VLOOKUP([jobnumber],OvalData[],MATCH(Table2[[#Headers],[Total Turns]],Table2[#Headers],0),0)</f>
        <v>4.91</v>
      </c>
      <c r="AA130" s="2">
        <f>VLOOKUP([jobnumber],OvalData[],MATCH(Table2[[#Headers],[Grille Vision Section]],Table2[#Headers],0),0)</f>
        <v>0</v>
      </c>
      <c r="AB130" s="2">
        <f>VLOOKUP([jobnumber],OvalData[],MATCH(Table2[[#Headers],[Grille Amount]],Table2[#Headers],0),0)</f>
        <v>0</v>
      </c>
      <c r="AC130" s="2">
        <f>VLOOKUP([jobnumber],OvalData[],MATCH(Table2[[#Headers],[Grille Center]],Table2[#Headers],0),0)</f>
        <v>0</v>
      </c>
      <c r="AD130" s="2">
        <f>VLOOKUP([jobnumber],OvalData[],MATCH(Table2[[#Headers],[Grille Pattern]],Table2[#Headers],0),0)</f>
        <v>0</v>
      </c>
      <c r="AE130" s="2">
        <f>VLOOKUP([jobnumber],OvalData[],MATCH(Table2[[#Headers],[Grille First Tube]],Table2[#Headers],0),0)</f>
        <v>0</v>
      </c>
      <c r="AF130" s="2">
        <f>VLOOKUP([jobnumber],OvalData[],MATCH(Table2[[#Headers],[Grille Standard Tube]],Table2[#Headers],0),0)</f>
        <v>0</v>
      </c>
      <c r="AG130" s="2">
        <f>VLOOKUP([jobnumber],OvalData[],MATCH(Table2[[#Headers],[Grille Total Links]],Table2[#Headers],0),0)</f>
        <v>0</v>
      </c>
      <c r="AH130" s="2">
        <f>VLOOKUP([jobnumber],OvalData[],MATCH(Table2[[#Headers],[Grille Rods]],Table2[#Headers],0),0)</f>
        <v>0</v>
      </c>
      <c r="AI130" s="2">
        <f>VLOOKUP([jobnumber],OvalData[],MATCH(Table2[[#Headers],[Grille Rod Length]],Table2[#Headers],0),0)</f>
        <v>0</v>
      </c>
      <c r="AJ130" s="2">
        <f>VLOOKUP([jobnumber],OvalData[],MATCH(Table2[[#Headers],[slattype]],Table2[#Headers],0),0)</f>
        <v>2</v>
      </c>
      <c r="AK130" s="2">
        <f>VLOOKUP([jobnumber],OvalData[],MATCH(Table2[[#Headers],[slatgage]],Table2[#Headers],0),0)</f>
        <v>18</v>
      </c>
      <c r="AL130" s="2">
        <f>VLOOKUP([jobnumber],OvalData[],MATCH(Table2[[#Headers],[Numer of Top Slats]],Table2[#Headers],0),0)</f>
        <v>0</v>
      </c>
      <c r="AM130" s="2">
        <f>VLOOKUP([jobnumber],OvalData[],MATCH(Table2[[#Headers],[Number of Bottom Slats]],Table2[#Headers],0),0)</f>
        <v>0</v>
      </c>
      <c r="AN130" s="2">
        <f>VLOOKUP([jobnumber],OvalData[],MATCH(Table2[[#Headers],[Solid Bottom Height]],Table2[#Headers],0),0)</f>
        <v>0</v>
      </c>
      <c r="AO130" s="2" t="str">
        <f>VLOOKUP([jobnumber],OvalData[],MATCH(Table2[[#Headers],[slatlength]],Table2[#Headers],0),0)</f>
        <v xml:space="preserve"> 18 ft.- 5 7/ 8"</v>
      </c>
      <c r="AP130" s="2">
        <f>VLOOKUP([jobnumber],OvalData[],MATCH(Table2[[#Headers],[Bottom Slat Length]],Table2[#Headers],0),0)</f>
        <v>0</v>
      </c>
      <c r="AQ130" s="2">
        <f>VLOOKUP([jobnumber],OvalData[],MATCH(Table2[[#Headers],[Number of Perferated Slats]],Table2[#Headers],0),0)</f>
        <v>0</v>
      </c>
      <c r="AR130" s="2">
        <f>VLOOKUP([jobnumber],OvalData[],MATCH(Table2[[#Headers],[First Preferated Slat From End]],Table2[#Headers],0),0)</f>
        <v>0</v>
      </c>
      <c r="AS130" s="2">
        <f>VLOOKUP([jobnumber],OvalData[],MATCH(Table2[[#Headers],[First Preferated Slat From Bottom]],Table2[#Headers],0),0)</f>
        <v>0</v>
      </c>
      <c r="AT130" s="2">
        <f>VLOOKUP([jobnumber],OvalData[],MATCH(Table2[[#Headers],[Total Number of Slats]],Table2[#Headers],0),0)</f>
        <v>51</v>
      </c>
      <c r="AU130" s="2">
        <f>VLOOKUP([jobnumber],OvalData[],MATCH(Table2[[#Headers],[Bottom Bar Slope]],Table2[#Headers],0),0)</f>
        <v>0</v>
      </c>
      <c r="AV130" s="2">
        <f>VLOOKUP([jobnumber],OvalData[],MATCH(Table2[[#Headers],[Bottom Bar Weight]],Table2[#Headers],0),0)</f>
        <v>80.5</v>
      </c>
      <c r="AW130" s="2" t="str">
        <f>VLOOKUP([jobnumber],OvalData[],MATCH(Table2[[#Headers],[Outer Spring Gage]],Table2[#Headers],0),0)</f>
        <v>Null</v>
      </c>
      <c r="AX130" s="2" t="str">
        <f>VLOOKUP([jobnumber],OvalData[],MATCH(Table2[[#Headers],[Outer Spring OD]],Table2[#Headers],0),0)</f>
        <v>Null</v>
      </c>
      <c r="AY130" s="2" t="str">
        <f>VLOOKUP([jobnumber],OvalData[],MATCH(Table2[[#Headers],[Outer Spring Length]],Table2[#Headers],0),0)</f>
        <v>Null</v>
      </c>
      <c r="AZ130" s="2" t="str">
        <f>VLOOKUP([jobnumber],OvalData[],MATCH(Table2[[#Headers],[Outer Spring Stretch]],Table2[#Headers],0),0)</f>
        <v>Null</v>
      </c>
      <c r="BA130" s="2" t="str">
        <f>VLOOKUP([jobnumber],OvalData[],MATCH(Table2[[#Headers],[Outer Spring Torque]],Table2[#Headers],0),0)</f>
        <v>Null</v>
      </c>
      <c r="BB130" s="2" t="str">
        <f>VLOOKUP([jobnumber],OvalData[],MATCH(Table2[[#Headers],[Outer Spring Max Turns]],Table2[#Headers],0),0)</f>
        <v>Null</v>
      </c>
      <c r="BC130" s="2" t="str">
        <f>VLOOKUP([jobnumber],OvalData[],MATCH(Table2[[#Headers],[Outer Spring Weight]],Table2[#Headers],0),0)</f>
        <v>Null</v>
      </c>
      <c r="BD130" s="2" t="str">
        <f>VLOOKUP([jobnumber],OvalData[],MATCH(Table2[[#Headers],[Inner Spring Gage]],Table2[#Headers],0),0)</f>
        <v>Null</v>
      </c>
      <c r="BE130" s="2" t="str">
        <f>VLOOKUP([jobnumber],OvalData[],MATCH(Table2[[#Headers],[Inner Spring OD]],Table2[#Headers],0),0)</f>
        <v>Null</v>
      </c>
      <c r="BF130" s="2" t="str">
        <f>VLOOKUP([jobnumber],OvalData[],MATCH(Table2[[#Headers],[Inner Spring Length]],Table2[#Headers],0),0)</f>
        <v>Null</v>
      </c>
      <c r="BG130" s="2" t="str">
        <f>VLOOKUP([jobnumber],OvalData[],MATCH(Table2[[#Headers],[Inner Spring Stretch]],Table2[#Headers],0),0)</f>
        <v>Null</v>
      </c>
      <c r="BH130" s="2" t="str">
        <f>VLOOKUP([jobnumber],OvalData[],MATCH(Table2[[#Headers],[Inner Spring Torque]],Table2[#Headers],0),0)</f>
        <v>Null</v>
      </c>
      <c r="BI130" s="2" t="str">
        <f>VLOOKUP([jobnumber],OvalData[],MATCH(Table2[[#Headers],[Inner Spring Max Turns]],Table2[#Headers],0),0)</f>
        <v>Null</v>
      </c>
      <c r="BJ130" s="2" t="str">
        <f>VLOOKUP([jobnumber],OvalData[],MATCH(Table2[[#Headers],[Inner Spring Weight]],Table2[#Headers],0),0)</f>
        <v>Null</v>
      </c>
      <c r="BK130" s="2">
        <f>VLOOKUP([jobnumber],OvalData[],MATCH(Table2[[#Headers],[Cycles]],Table2[#Headers],0),0)</f>
        <v>0</v>
      </c>
      <c r="BL130" s="2">
        <f>VLOOKUP([jobnumber],OvalData[],MATCH(Table2[[#Headers],[Total Spring Torque]],Table2[#Headers],0),0)</f>
        <v>0</v>
      </c>
      <c r="BM130" s="2">
        <f>VLOOKUP([jobnumber],OvalData[],MATCH(Table2[[#Headers],[Total Spring Weight]],Table2[#Headers],0),0)</f>
        <v>0</v>
      </c>
      <c r="BN130" s="2">
        <f>VLOOKUP([jobnumber],OvalData[],MATCH(Table2[[#Headers],[Pipe Weight]],Table2[#Headers],0),0)</f>
        <v>688.24239999999998</v>
      </c>
      <c r="BO130" s="2">
        <f>VLOOKUP([jobnumber],OvalData[],MATCH(Table2[[#Headers],[Max Pipe Deflection]],Table2[#Headers],0),0)</f>
        <v>2309</v>
      </c>
      <c r="BP130" s="2">
        <f>VLOOKUP([jobnumber],OvalData[],MATCH(Table2[[#Headers],[Number Non-Insulated Wrap Slats]],Table2[#Headers],0),0)</f>
        <v>0</v>
      </c>
      <c r="BQ130" s="2">
        <f>VLOOKUP([jobnumber],OvalData[],MATCH(Table2[[#Headers],[Number of Insolated Top Slats]],Table2[#Headers],0),0)</f>
        <v>45</v>
      </c>
      <c r="BR130" s="2">
        <f>VLOOKUP([jobnumber],OvalData[],MATCH(Table2[[#Headers],[Insolated Total Slats]],Table2[#Headers],0),0)</f>
        <v>45</v>
      </c>
      <c r="BS130" s="2">
        <f>VLOOKUP([jobnumber],OvalData[],MATCH(Table2[[#Headers],[Number of Slats]],Table2[#Headers],0),0)</f>
        <v>44.69</v>
      </c>
      <c r="BT130" s="2">
        <f>VLOOKUP([jobnumber],OvalData[],MATCH(Table2[[#Headers],[Wrap]],Table2[#Headers],0),0)</f>
        <v>0</v>
      </c>
      <c r="BU130" s="2">
        <f>VLOOKUP([jobnumber],OvalData[],MATCH(Table2[[#Headers],[Wall Angle Thickness]],Table2[#Headers],0),0)</f>
        <v>0</v>
      </c>
      <c r="BV130" s="2">
        <f>VLOOKUP([jobnumber],OvalData[],MATCH(Table2[[#Headers],[windlocks]],Table2[#Headers],0),0)</f>
        <v>0</v>
      </c>
      <c r="BW130" s="2" t="str">
        <f>VLOOKUP([jobnumber],OvalData[],MATCH(Table2[[#Headers],[bottombartype]],Table2[#Headers],0),0)</f>
        <v>SPECIAL</v>
      </c>
      <c r="BX130" s="2">
        <f>VLOOKUP([jobnumber],OvalData[],MATCH(Table2[[#Headers],[endlockweight]],Table2[#Headers],0),0)</f>
        <v>0.17</v>
      </c>
      <c r="BY130" s="2">
        <f>VLOOKUP([jobnumber],OvalData[],MATCH(Table2[[#Headers],[Endlock Total Weight]],Table2[#Headers],0),0)</f>
        <v>7.5972999999999997</v>
      </c>
      <c r="BZ130" s="2">
        <f>VLOOKUP([jobnumber],OvalData[],MATCH(Table2[[#Headers],[Grille Weight]],Table2[#Headers],0),0)</f>
        <v>0</v>
      </c>
      <c r="CA130" s="2">
        <f>VLOOKUP([jobnumber],OvalData[],MATCH(Table2[[#Headers],[barrelrings]],Table2[#Headers],0),0)</f>
        <v>1</v>
      </c>
    </row>
    <row r="131" spans="2:79">
      <c r="B131" s="2" t="str">
        <f>VLOOKUP([jobnumber],OvalData[],MATCH(Table2[[#Headers],[Hand]],Table2[#Headers],0),0)</f>
        <v>RH</v>
      </c>
      <c r="C131" s="2" t="str">
        <f>VLOOKUP([jobnumber],OvalData[],MATCH(Table2[[#Headers],[Model]],Table2[#Headers],0),0)</f>
        <v>SFMPP</v>
      </c>
      <c r="D131" s="2" t="str">
        <f>VLOOKUP([jobnumber],OvalData[],MATCH(Table2[[#Headers],[width]],Table2[#Headers],0),0)</f>
        <v xml:space="preserve"> 18 ft.- 2"</v>
      </c>
      <c r="E131" s="2" t="str">
        <f>VLOOKUP([jobnumber],OvalData[],MATCH(Table2[[#Headers],[stopheight]],Table2[#Headers],0),0)</f>
        <v xml:space="preserve"> 10 ft.- 0"</v>
      </c>
      <c r="F131" s="2" t="str">
        <f>VLOOKUP([jobnumber],OvalData[],MATCH(Table2[[#Headers],[Between Brackets]],Table2[#Headers],0),0)</f>
        <v xml:space="preserve"> 18 ft.- 7 7/ 8"</v>
      </c>
      <c r="G131" s="2" t="str">
        <f>VLOOKUP([jobnumber],OvalData[],MATCH(Table2[[#Headers],[shell]],Table2[#Headers],0),0)</f>
        <v>6 INCH TUBE</v>
      </c>
      <c r="H131" s="2" t="str">
        <f>VLOOKUP([jobnumber],OvalData[],MATCH(Table2[[#Headers],[pipewidth]],Table2[#Headers],0),0)</f>
        <v xml:space="preserve"> 18 ft.- 1 3/ 8"</v>
      </c>
      <c r="I131" s="2">
        <f>VLOOKUP([jobnumber],OvalData[],MATCH(Table2[[#Headers],[Support Tubes]],Table2[#Headers],0),0)</f>
        <v>0</v>
      </c>
      <c r="J131" s="2">
        <f>VLOOKUP([jobnumber],OvalData[],MATCH(Table2[[#Headers],[Upset]],Table2[#Headers],0),0)</f>
        <v>2</v>
      </c>
      <c r="K131" s="2" t="str">
        <f>VLOOKUP([jobnumber],OvalData[],MATCH(Table2[[#Headers],[Guide Type]],Table2[#Headers],0),0)</f>
        <v>SN2-4 5/8-E</v>
      </c>
      <c r="L131" s="2" t="str">
        <f>VLOOKUP([jobnumber],OvalData[],MATCH(Table2[[#Headers],[Wall Angle]],Table2[#Headers],0),0)</f>
        <v xml:space="preserve"> 11 ft.- 8"</v>
      </c>
      <c r="M131" s="2" t="str">
        <f>VLOOKUP([jobnumber],OvalData[],MATCH(Table2[[#Headers],[Middle Angle]],Table2[#Headers],0),0)</f>
        <v xml:space="preserve"> 10 ft.- 4 1/ 2"</v>
      </c>
      <c r="N131" s="2" t="str">
        <f>VLOOKUP([jobnumber],OvalData[],MATCH(Table2[[#Headers],[Front Angle]],Table2[#Headers],0),0)</f>
        <v xml:space="preserve"> 10 ft.- 3"</v>
      </c>
      <c r="O131" s="2">
        <f>VLOOKUP([jobnumber],OvalData[],MATCH(Table2[[#Headers],[Pipe Center Line]],Table2[#Headers],0),0)</f>
        <v>131</v>
      </c>
      <c r="P131" s="2">
        <f>VLOOKUP([jobnumber],OvalData[],MATCH(Table2[[#Headers],[Heat Expansion Gap]],Table2[#Headers],0),0)</f>
        <v>0</v>
      </c>
      <c r="Q131" s="2">
        <f>VLOOKUP([jobnumber],OvalData[],MATCH(Table2[[#Headers],[Hanging Weight Closed]],Table2[#Headers],0),0)</f>
        <v>795</v>
      </c>
      <c r="R131" s="2">
        <f>VLOOKUP([jobnumber],OvalData[],MATCH(Table2[[#Headers],[Hanging Weight Open]],Table2[#Headers],0),0)</f>
        <v>140</v>
      </c>
      <c r="S131" s="2">
        <f>VLOOKUP([jobnumber],OvalData[],MATCH(Table2[[#Headers],[Initial Lever Arm]],Table2[#Headers],0),0)</f>
        <v>4.25</v>
      </c>
      <c r="T131" s="2">
        <f>VLOOKUP([jobnumber],OvalData[],MATCH(Table2[[#Headers],[Turns to Raise]],Table2[#Headers],0),0)</f>
        <v>3.5859999999999999</v>
      </c>
      <c r="U131" s="2">
        <f>VLOOKUP([jobnumber],OvalData[],MATCH(Table2[[#Headers],[Final Lever Arm]],Table2[#Headers],0),0)</f>
        <v>6.37</v>
      </c>
      <c r="V131" s="2">
        <f>VLOOKUP([jobnumber],OvalData[],MATCH(Table2[[#Headers],[Torque Required Closed]],Table2[#Headers],0),0)</f>
        <v>3377.9</v>
      </c>
      <c r="W131" s="2">
        <f>VLOOKUP([jobnumber],OvalData[],MATCH(Table2[[#Headers],[Torque Required Open]],Table2[#Headers],0),0)</f>
        <v>892</v>
      </c>
      <c r="X131" s="2">
        <f>VLOOKUP([jobnumber],OvalData[],MATCH(Table2[[#Headers],[Pre Turns]],Table2[#Headers],0),0)</f>
        <v>1.3332999999999999</v>
      </c>
      <c r="Y131" s="2">
        <f>VLOOKUP([jobnumber],OvalData[],MATCH(Table2[[#Headers],[Required Torque Per Turn]],Table2[#Headers],0),0)</f>
        <v>688</v>
      </c>
      <c r="Z131" s="2">
        <f>VLOOKUP([jobnumber],OvalData[],MATCH(Table2[[#Headers],[Total Turns]],Table2[#Headers],0),0)</f>
        <v>4.91</v>
      </c>
      <c r="AA131" s="2">
        <f>VLOOKUP([jobnumber],OvalData[],MATCH(Table2[[#Headers],[Grille Vision Section]],Table2[#Headers],0),0)</f>
        <v>0</v>
      </c>
      <c r="AB131" s="2">
        <f>VLOOKUP([jobnumber],OvalData[],MATCH(Table2[[#Headers],[Grille Amount]],Table2[#Headers],0),0)</f>
        <v>0</v>
      </c>
      <c r="AC131" s="2">
        <f>VLOOKUP([jobnumber],OvalData[],MATCH(Table2[[#Headers],[Grille Center]],Table2[#Headers],0),0)</f>
        <v>0</v>
      </c>
      <c r="AD131" s="2">
        <f>VLOOKUP([jobnumber],OvalData[],MATCH(Table2[[#Headers],[Grille Pattern]],Table2[#Headers],0),0)</f>
        <v>0</v>
      </c>
      <c r="AE131" s="2">
        <f>VLOOKUP([jobnumber],OvalData[],MATCH(Table2[[#Headers],[Grille First Tube]],Table2[#Headers],0),0)</f>
        <v>0</v>
      </c>
      <c r="AF131" s="2">
        <f>VLOOKUP([jobnumber],OvalData[],MATCH(Table2[[#Headers],[Grille Standard Tube]],Table2[#Headers],0),0)</f>
        <v>0</v>
      </c>
      <c r="AG131" s="2">
        <f>VLOOKUP([jobnumber],OvalData[],MATCH(Table2[[#Headers],[Grille Total Links]],Table2[#Headers],0),0)</f>
        <v>0</v>
      </c>
      <c r="AH131" s="2">
        <f>VLOOKUP([jobnumber],OvalData[],MATCH(Table2[[#Headers],[Grille Rods]],Table2[#Headers],0),0)</f>
        <v>0</v>
      </c>
      <c r="AI131" s="2">
        <f>VLOOKUP([jobnumber],OvalData[],MATCH(Table2[[#Headers],[Grille Rod Length]],Table2[#Headers],0),0)</f>
        <v>0</v>
      </c>
      <c r="AJ131" s="2">
        <f>VLOOKUP([jobnumber],OvalData[],MATCH(Table2[[#Headers],[slattype]],Table2[#Headers],0),0)</f>
        <v>2</v>
      </c>
      <c r="AK131" s="2">
        <f>VLOOKUP([jobnumber],OvalData[],MATCH(Table2[[#Headers],[slatgage]],Table2[#Headers],0),0)</f>
        <v>18</v>
      </c>
      <c r="AL131" s="2">
        <f>VLOOKUP([jobnumber],OvalData[],MATCH(Table2[[#Headers],[Numer of Top Slats]],Table2[#Headers],0),0)</f>
        <v>0</v>
      </c>
      <c r="AM131" s="2">
        <f>VLOOKUP([jobnumber],OvalData[],MATCH(Table2[[#Headers],[Number of Bottom Slats]],Table2[#Headers],0),0)</f>
        <v>0</v>
      </c>
      <c r="AN131" s="2">
        <f>VLOOKUP([jobnumber],OvalData[],MATCH(Table2[[#Headers],[Solid Bottom Height]],Table2[#Headers],0),0)</f>
        <v>0</v>
      </c>
      <c r="AO131" s="2" t="str">
        <f>VLOOKUP([jobnumber],OvalData[],MATCH(Table2[[#Headers],[slatlength]],Table2[#Headers],0),0)</f>
        <v xml:space="preserve"> 18 ft.- 5 7/ 8"</v>
      </c>
      <c r="AP131" s="2">
        <f>VLOOKUP([jobnumber],OvalData[],MATCH(Table2[[#Headers],[Bottom Slat Length]],Table2[#Headers],0),0)</f>
        <v>0</v>
      </c>
      <c r="AQ131" s="2">
        <f>VLOOKUP([jobnumber],OvalData[],MATCH(Table2[[#Headers],[Number of Perferated Slats]],Table2[#Headers],0),0)</f>
        <v>0</v>
      </c>
      <c r="AR131" s="2">
        <f>VLOOKUP([jobnumber],OvalData[],MATCH(Table2[[#Headers],[First Preferated Slat From End]],Table2[#Headers],0),0)</f>
        <v>0</v>
      </c>
      <c r="AS131" s="2">
        <f>VLOOKUP([jobnumber],OvalData[],MATCH(Table2[[#Headers],[First Preferated Slat From Bottom]],Table2[#Headers],0),0)</f>
        <v>0</v>
      </c>
      <c r="AT131" s="2">
        <f>VLOOKUP([jobnumber],OvalData[],MATCH(Table2[[#Headers],[Total Number of Slats]],Table2[#Headers],0),0)</f>
        <v>51</v>
      </c>
      <c r="AU131" s="2">
        <f>VLOOKUP([jobnumber],OvalData[],MATCH(Table2[[#Headers],[Bottom Bar Slope]],Table2[#Headers],0),0)</f>
        <v>0</v>
      </c>
      <c r="AV131" s="2">
        <f>VLOOKUP([jobnumber],OvalData[],MATCH(Table2[[#Headers],[Bottom Bar Weight]],Table2[#Headers],0),0)</f>
        <v>80.5</v>
      </c>
      <c r="AW131" s="2" t="str">
        <f>VLOOKUP([jobnumber],OvalData[],MATCH(Table2[[#Headers],[Outer Spring Gage]],Table2[#Headers],0),0)</f>
        <v>Null</v>
      </c>
      <c r="AX131" s="2" t="str">
        <f>VLOOKUP([jobnumber],OvalData[],MATCH(Table2[[#Headers],[Outer Spring OD]],Table2[#Headers],0),0)</f>
        <v>Null</v>
      </c>
      <c r="AY131" s="2" t="str">
        <f>VLOOKUP([jobnumber],OvalData[],MATCH(Table2[[#Headers],[Outer Spring Length]],Table2[#Headers],0),0)</f>
        <v>Null</v>
      </c>
      <c r="AZ131" s="2" t="str">
        <f>VLOOKUP([jobnumber],OvalData[],MATCH(Table2[[#Headers],[Outer Spring Stretch]],Table2[#Headers],0),0)</f>
        <v>Null</v>
      </c>
      <c r="BA131" s="2" t="str">
        <f>VLOOKUP([jobnumber],OvalData[],MATCH(Table2[[#Headers],[Outer Spring Torque]],Table2[#Headers],0),0)</f>
        <v>Null</v>
      </c>
      <c r="BB131" s="2" t="str">
        <f>VLOOKUP([jobnumber],OvalData[],MATCH(Table2[[#Headers],[Outer Spring Max Turns]],Table2[#Headers],0),0)</f>
        <v>Null</v>
      </c>
      <c r="BC131" s="2" t="str">
        <f>VLOOKUP([jobnumber],OvalData[],MATCH(Table2[[#Headers],[Outer Spring Weight]],Table2[#Headers],0),0)</f>
        <v>Null</v>
      </c>
      <c r="BD131" s="2" t="str">
        <f>VLOOKUP([jobnumber],OvalData[],MATCH(Table2[[#Headers],[Inner Spring Gage]],Table2[#Headers],0),0)</f>
        <v>Null</v>
      </c>
      <c r="BE131" s="2" t="str">
        <f>VLOOKUP([jobnumber],OvalData[],MATCH(Table2[[#Headers],[Inner Spring OD]],Table2[#Headers],0),0)</f>
        <v>Null</v>
      </c>
      <c r="BF131" s="2" t="str">
        <f>VLOOKUP([jobnumber],OvalData[],MATCH(Table2[[#Headers],[Inner Spring Length]],Table2[#Headers],0),0)</f>
        <v>Null</v>
      </c>
      <c r="BG131" s="2" t="str">
        <f>VLOOKUP([jobnumber],OvalData[],MATCH(Table2[[#Headers],[Inner Spring Stretch]],Table2[#Headers],0),0)</f>
        <v>Null</v>
      </c>
      <c r="BH131" s="2" t="str">
        <f>VLOOKUP([jobnumber],OvalData[],MATCH(Table2[[#Headers],[Inner Spring Torque]],Table2[#Headers],0),0)</f>
        <v>Null</v>
      </c>
      <c r="BI131" s="2" t="str">
        <f>VLOOKUP([jobnumber],OvalData[],MATCH(Table2[[#Headers],[Inner Spring Max Turns]],Table2[#Headers],0),0)</f>
        <v>Null</v>
      </c>
      <c r="BJ131" s="2" t="str">
        <f>VLOOKUP([jobnumber],OvalData[],MATCH(Table2[[#Headers],[Inner Spring Weight]],Table2[#Headers],0),0)</f>
        <v>Null</v>
      </c>
      <c r="BK131" s="2">
        <f>VLOOKUP([jobnumber],OvalData[],MATCH(Table2[[#Headers],[Cycles]],Table2[#Headers],0),0)</f>
        <v>0</v>
      </c>
      <c r="BL131" s="2">
        <f>VLOOKUP([jobnumber],OvalData[],MATCH(Table2[[#Headers],[Total Spring Torque]],Table2[#Headers],0),0)</f>
        <v>0</v>
      </c>
      <c r="BM131" s="2">
        <f>VLOOKUP([jobnumber],OvalData[],MATCH(Table2[[#Headers],[Total Spring Weight]],Table2[#Headers],0),0)</f>
        <v>0</v>
      </c>
      <c r="BN131" s="2">
        <f>VLOOKUP([jobnumber],OvalData[],MATCH(Table2[[#Headers],[Pipe Weight]],Table2[#Headers],0),0)</f>
        <v>688.24239999999998</v>
      </c>
      <c r="BO131" s="2">
        <f>VLOOKUP([jobnumber],OvalData[],MATCH(Table2[[#Headers],[Max Pipe Deflection]],Table2[#Headers],0),0)</f>
        <v>2309</v>
      </c>
      <c r="BP131" s="2">
        <f>VLOOKUP([jobnumber],OvalData[],MATCH(Table2[[#Headers],[Number Non-Insulated Wrap Slats]],Table2[#Headers],0),0)</f>
        <v>0</v>
      </c>
      <c r="BQ131" s="2">
        <f>VLOOKUP([jobnumber],OvalData[],MATCH(Table2[[#Headers],[Number of Insolated Top Slats]],Table2[#Headers],0),0)</f>
        <v>45</v>
      </c>
      <c r="BR131" s="2">
        <f>VLOOKUP([jobnumber],OvalData[],MATCH(Table2[[#Headers],[Insolated Total Slats]],Table2[#Headers],0),0)</f>
        <v>45</v>
      </c>
      <c r="BS131" s="2">
        <f>VLOOKUP([jobnumber],OvalData[],MATCH(Table2[[#Headers],[Number of Slats]],Table2[#Headers],0),0)</f>
        <v>44.69</v>
      </c>
      <c r="BT131" s="2">
        <f>VLOOKUP([jobnumber],OvalData[],MATCH(Table2[[#Headers],[Wrap]],Table2[#Headers],0),0)</f>
        <v>0</v>
      </c>
      <c r="BU131" s="2">
        <f>VLOOKUP([jobnumber],OvalData[],MATCH(Table2[[#Headers],[Wall Angle Thickness]],Table2[#Headers],0),0)</f>
        <v>0</v>
      </c>
      <c r="BV131" s="2">
        <f>VLOOKUP([jobnumber],OvalData[],MATCH(Table2[[#Headers],[windlocks]],Table2[#Headers],0),0)</f>
        <v>0</v>
      </c>
      <c r="BW131" s="2" t="str">
        <f>VLOOKUP([jobnumber],OvalData[],MATCH(Table2[[#Headers],[bottombartype]],Table2[#Headers],0),0)</f>
        <v>SPECIAL</v>
      </c>
      <c r="BX131" s="2">
        <f>VLOOKUP([jobnumber],OvalData[],MATCH(Table2[[#Headers],[endlockweight]],Table2[#Headers],0),0)</f>
        <v>0.17</v>
      </c>
      <c r="BY131" s="2">
        <f>VLOOKUP([jobnumber],OvalData[],MATCH(Table2[[#Headers],[Endlock Total Weight]],Table2[#Headers],0),0)</f>
        <v>7.5972999999999997</v>
      </c>
      <c r="BZ131" s="2">
        <f>VLOOKUP([jobnumber],OvalData[],MATCH(Table2[[#Headers],[Grille Weight]],Table2[#Headers],0),0)</f>
        <v>0</v>
      </c>
      <c r="CA131" s="2">
        <f>VLOOKUP([jobnumber],OvalData[],MATCH(Table2[[#Headers],[barrelrings]],Table2[#Headers],0),0)</f>
        <v>1</v>
      </c>
    </row>
    <row r="132" spans="2:79">
      <c r="B132" s="2" t="str">
        <f>VLOOKUP([jobnumber],OvalData[],MATCH(Table2[[#Headers],[Hand]],Table2[#Headers],0),0)</f>
        <v>RH</v>
      </c>
      <c r="C132" s="2" t="str">
        <f>VLOOKUP([jobnumber],OvalData[],MATCH(Table2[[#Headers],[Model]],Table2[#Headers],0),0)</f>
        <v>SFMPP</v>
      </c>
      <c r="D132" s="2" t="str">
        <f>VLOOKUP([jobnumber],OvalData[],MATCH(Table2[[#Headers],[width]],Table2[#Headers],0),0)</f>
        <v xml:space="preserve"> 18 ft.- 2"</v>
      </c>
      <c r="E132" s="2" t="str">
        <f>VLOOKUP([jobnumber],OvalData[],MATCH(Table2[[#Headers],[stopheight]],Table2[#Headers],0),0)</f>
        <v xml:space="preserve"> 10 ft.- 0"</v>
      </c>
      <c r="F132" s="2" t="str">
        <f>VLOOKUP([jobnumber],OvalData[],MATCH(Table2[[#Headers],[Between Brackets]],Table2[#Headers],0),0)</f>
        <v xml:space="preserve"> 18 ft.- 7 7/ 8"</v>
      </c>
      <c r="G132" s="2" t="str">
        <f>VLOOKUP([jobnumber],OvalData[],MATCH(Table2[[#Headers],[shell]],Table2[#Headers],0),0)</f>
        <v>6 INCH TUBE</v>
      </c>
      <c r="H132" s="2" t="str">
        <f>VLOOKUP([jobnumber],OvalData[],MATCH(Table2[[#Headers],[pipewidth]],Table2[#Headers],0),0)</f>
        <v xml:space="preserve"> 18 ft.- 1 3/ 8"</v>
      </c>
      <c r="I132" s="2">
        <f>VLOOKUP([jobnumber],OvalData[],MATCH(Table2[[#Headers],[Support Tubes]],Table2[#Headers],0),0)</f>
        <v>0</v>
      </c>
      <c r="J132" s="2">
        <f>VLOOKUP([jobnumber],OvalData[],MATCH(Table2[[#Headers],[Upset]],Table2[#Headers],0),0)</f>
        <v>2</v>
      </c>
      <c r="K132" s="2" t="str">
        <f>VLOOKUP([jobnumber],OvalData[],MATCH(Table2[[#Headers],[Guide Type]],Table2[#Headers],0),0)</f>
        <v>SN2-4 5/8-E</v>
      </c>
      <c r="L132" s="2" t="str">
        <f>VLOOKUP([jobnumber],OvalData[],MATCH(Table2[[#Headers],[Wall Angle]],Table2[#Headers],0),0)</f>
        <v xml:space="preserve"> 11 ft.- 8"</v>
      </c>
      <c r="M132" s="2" t="str">
        <f>VLOOKUP([jobnumber],OvalData[],MATCH(Table2[[#Headers],[Middle Angle]],Table2[#Headers],0),0)</f>
        <v xml:space="preserve"> 10 ft.- 4 1/ 2"</v>
      </c>
      <c r="N132" s="2" t="str">
        <f>VLOOKUP([jobnumber],OvalData[],MATCH(Table2[[#Headers],[Front Angle]],Table2[#Headers],0),0)</f>
        <v xml:space="preserve"> 10 ft.- 3"</v>
      </c>
      <c r="O132" s="2">
        <f>VLOOKUP([jobnumber],OvalData[],MATCH(Table2[[#Headers],[Pipe Center Line]],Table2[#Headers],0),0)</f>
        <v>131</v>
      </c>
      <c r="P132" s="2">
        <f>VLOOKUP([jobnumber],OvalData[],MATCH(Table2[[#Headers],[Heat Expansion Gap]],Table2[#Headers],0),0)</f>
        <v>0</v>
      </c>
      <c r="Q132" s="2">
        <f>VLOOKUP([jobnumber],OvalData[],MATCH(Table2[[#Headers],[Hanging Weight Closed]],Table2[#Headers],0),0)</f>
        <v>795</v>
      </c>
      <c r="R132" s="2">
        <f>VLOOKUP([jobnumber],OvalData[],MATCH(Table2[[#Headers],[Hanging Weight Open]],Table2[#Headers],0),0)</f>
        <v>140</v>
      </c>
      <c r="S132" s="2">
        <f>VLOOKUP([jobnumber],OvalData[],MATCH(Table2[[#Headers],[Initial Lever Arm]],Table2[#Headers],0),0)</f>
        <v>4.25</v>
      </c>
      <c r="T132" s="2">
        <f>VLOOKUP([jobnumber],OvalData[],MATCH(Table2[[#Headers],[Turns to Raise]],Table2[#Headers],0),0)</f>
        <v>3.5859999999999999</v>
      </c>
      <c r="U132" s="2">
        <f>VLOOKUP([jobnumber],OvalData[],MATCH(Table2[[#Headers],[Final Lever Arm]],Table2[#Headers],0),0)</f>
        <v>6.37</v>
      </c>
      <c r="V132" s="2">
        <f>VLOOKUP([jobnumber],OvalData[],MATCH(Table2[[#Headers],[Torque Required Closed]],Table2[#Headers],0),0)</f>
        <v>3377.9</v>
      </c>
      <c r="W132" s="2">
        <f>VLOOKUP([jobnumber],OvalData[],MATCH(Table2[[#Headers],[Torque Required Open]],Table2[#Headers],0),0)</f>
        <v>892</v>
      </c>
      <c r="X132" s="2">
        <f>VLOOKUP([jobnumber],OvalData[],MATCH(Table2[[#Headers],[Pre Turns]],Table2[#Headers],0),0)</f>
        <v>1.3332999999999999</v>
      </c>
      <c r="Y132" s="2">
        <f>VLOOKUP([jobnumber],OvalData[],MATCH(Table2[[#Headers],[Required Torque Per Turn]],Table2[#Headers],0),0)</f>
        <v>688</v>
      </c>
      <c r="Z132" s="2">
        <f>VLOOKUP([jobnumber],OvalData[],MATCH(Table2[[#Headers],[Total Turns]],Table2[#Headers],0),0)</f>
        <v>4.91</v>
      </c>
      <c r="AA132" s="2">
        <f>VLOOKUP([jobnumber],OvalData[],MATCH(Table2[[#Headers],[Grille Vision Section]],Table2[#Headers],0),0)</f>
        <v>0</v>
      </c>
      <c r="AB132" s="2">
        <f>VLOOKUP([jobnumber],OvalData[],MATCH(Table2[[#Headers],[Grille Amount]],Table2[#Headers],0),0)</f>
        <v>0</v>
      </c>
      <c r="AC132" s="2">
        <f>VLOOKUP([jobnumber],OvalData[],MATCH(Table2[[#Headers],[Grille Center]],Table2[#Headers],0),0)</f>
        <v>0</v>
      </c>
      <c r="AD132" s="2">
        <f>VLOOKUP([jobnumber],OvalData[],MATCH(Table2[[#Headers],[Grille Pattern]],Table2[#Headers],0),0)</f>
        <v>0</v>
      </c>
      <c r="AE132" s="2">
        <f>VLOOKUP([jobnumber],OvalData[],MATCH(Table2[[#Headers],[Grille First Tube]],Table2[#Headers],0),0)</f>
        <v>0</v>
      </c>
      <c r="AF132" s="2">
        <f>VLOOKUP([jobnumber],OvalData[],MATCH(Table2[[#Headers],[Grille Standard Tube]],Table2[#Headers],0),0)</f>
        <v>0</v>
      </c>
      <c r="AG132" s="2">
        <f>VLOOKUP([jobnumber],OvalData[],MATCH(Table2[[#Headers],[Grille Total Links]],Table2[#Headers],0),0)</f>
        <v>0</v>
      </c>
      <c r="AH132" s="2">
        <f>VLOOKUP([jobnumber],OvalData[],MATCH(Table2[[#Headers],[Grille Rods]],Table2[#Headers],0),0)</f>
        <v>0</v>
      </c>
      <c r="AI132" s="2">
        <f>VLOOKUP([jobnumber],OvalData[],MATCH(Table2[[#Headers],[Grille Rod Length]],Table2[#Headers],0),0)</f>
        <v>0</v>
      </c>
      <c r="AJ132" s="2">
        <f>VLOOKUP([jobnumber],OvalData[],MATCH(Table2[[#Headers],[slattype]],Table2[#Headers],0),0)</f>
        <v>2</v>
      </c>
      <c r="AK132" s="2">
        <f>VLOOKUP([jobnumber],OvalData[],MATCH(Table2[[#Headers],[slatgage]],Table2[#Headers],0),0)</f>
        <v>18</v>
      </c>
      <c r="AL132" s="2">
        <f>VLOOKUP([jobnumber],OvalData[],MATCH(Table2[[#Headers],[Numer of Top Slats]],Table2[#Headers],0),0)</f>
        <v>0</v>
      </c>
      <c r="AM132" s="2">
        <f>VLOOKUP([jobnumber],OvalData[],MATCH(Table2[[#Headers],[Number of Bottom Slats]],Table2[#Headers],0),0)</f>
        <v>0</v>
      </c>
      <c r="AN132" s="2">
        <f>VLOOKUP([jobnumber],OvalData[],MATCH(Table2[[#Headers],[Solid Bottom Height]],Table2[#Headers],0),0)</f>
        <v>0</v>
      </c>
      <c r="AO132" s="2" t="str">
        <f>VLOOKUP([jobnumber],OvalData[],MATCH(Table2[[#Headers],[slatlength]],Table2[#Headers],0),0)</f>
        <v xml:space="preserve"> 18 ft.- 5 7/ 8"</v>
      </c>
      <c r="AP132" s="2">
        <f>VLOOKUP([jobnumber],OvalData[],MATCH(Table2[[#Headers],[Bottom Slat Length]],Table2[#Headers],0),0)</f>
        <v>0</v>
      </c>
      <c r="AQ132" s="2">
        <f>VLOOKUP([jobnumber],OvalData[],MATCH(Table2[[#Headers],[Number of Perferated Slats]],Table2[#Headers],0),0)</f>
        <v>0</v>
      </c>
      <c r="AR132" s="2">
        <f>VLOOKUP([jobnumber],OvalData[],MATCH(Table2[[#Headers],[First Preferated Slat From End]],Table2[#Headers],0),0)</f>
        <v>0</v>
      </c>
      <c r="AS132" s="2">
        <f>VLOOKUP([jobnumber],OvalData[],MATCH(Table2[[#Headers],[First Preferated Slat From Bottom]],Table2[#Headers],0),0)</f>
        <v>0</v>
      </c>
      <c r="AT132" s="2">
        <f>VLOOKUP([jobnumber],OvalData[],MATCH(Table2[[#Headers],[Total Number of Slats]],Table2[#Headers],0),0)</f>
        <v>51</v>
      </c>
      <c r="AU132" s="2">
        <f>VLOOKUP([jobnumber],OvalData[],MATCH(Table2[[#Headers],[Bottom Bar Slope]],Table2[#Headers],0),0)</f>
        <v>0</v>
      </c>
      <c r="AV132" s="2">
        <f>VLOOKUP([jobnumber],OvalData[],MATCH(Table2[[#Headers],[Bottom Bar Weight]],Table2[#Headers],0),0)</f>
        <v>80.5</v>
      </c>
      <c r="AW132" s="2" t="str">
        <f>VLOOKUP([jobnumber],OvalData[],MATCH(Table2[[#Headers],[Outer Spring Gage]],Table2[#Headers],0),0)</f>
        <v>Null</v>
      </c>
      <c r="AX132" s="2" t="str">
        <f>VLOOKUP([jobnumber],OvalData[],MATCH(Table2[[#Headers],[Outer Spring OD]],Table2[#Headers],0),0)</f>
        <v>Null</v>
      </c>
      <c r="AY132" s="2" t="str">
        <f>VLOOKUP([jobnumber],OvalData[],MATCH(Table2[[#Headers],[Outer Spring Length]],Table2[#Headers],0),0)</f>
        <v>Null</v>
      </c>
      <c r="AZ132" s="2" t="str">
        <f>VLOOKUP([jobnumber],OvalData[],MATCH(Table2[[#Headers],[Outer Spring Stretch]],Table2[#Headers],0),0)</f>
        <v>Null</v>
      </c>
      <c r="BA132" s="2" t="str">
        <f>VLOOKUP([jobnumber],OvalData[],MATCH(Table2[[#Headers],[Outer Spring Torque]],Table2[#Headers],0),0)</f>
        <v>Null</v>
      </c>
      <c r="BB132" s="2" t="str">
        <f>VLOOKUP([jobnumber],OvalData[],MATCH(Table2[[#Headers],[Outer Spring Max Turns]],Table2[#Headers],0),0)</f>
        <v>Null</v>
      </c>
      <c r="BC132" s="2" t="str">
        <f>VLOOKUP([jobnumber],OvalData[],MATCH(Table2[[#Headers],[Outer Spring Weight]],Table2[#Headers],0),0)</f>
        <v>Null</v>
      </c>
      <c r="BD132" s="2" t="str">
        <f>VLOOKUP([jobnumber],OvalData[],MATCH(Table2[[#Headers],[Inner Spring Gage]],Table2[#Headers],0),0)</f>
        <v>Null</v>
      </c>
      <c r="BE132" s="2" t="str">
        <f>VLOOKUP([jobnumber],OvalData[],MATCH(Table2[[#Headers],[Inner Spring OD]],Table2[#Headers],0),0)</f>
        <v>Null</v>
      </c>
      <c r="BF132" s="2" t="str">
        <f>VLOOKUP([jobnumber],OvalData[],MATCH(Table2[[#Headers],[Inner Spring Length]],Table2[#Headers],0),0)</f>
        <v>Null</v>
      </c>
      <c r="BG132" s="2" t="str">
        <f>VLOOKUP([jobnumber],OvalData[],MATCH(Table2[[#Headers],[Inner Spring Stretch]],Table2[#Headers],0),0)</f>
        <v>Null</v>
      </c>
      <c r="BH132" s="2" t="str">
        <f>VLOOKUP([jobnumber],OvalData[],MATCH(Table2[[#Headers],[Inner Spring Torque]],Table2[#Headers],0),0)</f>
        <v>Null</v>
      </c>
      <c r="BI132" s="2" t="str">
        <f>VLOOKUP([jobnumber],OvalData[],MATCH(Table2[[#Headers],[Inner Spring Max Turns]],Table2[#Headers],0),0)</f>
        <v>Null</v>
      </c>
      <c r="BJ132" s="2" t="str">
        <f>VLOOKUP([jobnumber],OvalData[],MATCH(Table2[[#Headers],[Inner Spring Weight]],Table2[#Headers],0),0)</f>
        <v>Null</v>
      </c>
      <c r="BK132" s="2">
        <f>VLOOKUP([jobnumber],OvalData[],MATCH(Table2[[#Headers],[Cycles]],Table2[#Headers],0),0)</f>
        <v>0</v>
      </c>
      <c r="BL132" s="2">
        <f>VLOOKUP([jobnumber],OvalData[],MATCH(Table2[[#Headers],[Total Spring Torque]],Table2[#Headers],0),0)</f>
        <v>0</v>
      </c>
      <c r="BM132" s="2">
        <f>VLOOKUP([jobnumber],OvalData[],MATCH(Table2[[#Headers],[Total Spring Weight]],Table2[#Headers],0),0)</f>
        <v>0</v>
      </c>
      <c r="BN132" s="2">
        <f>VLOOKUP([jobnumber],OvalData[],MATCH(Table2[[#Headers],[Pipe Weight]],Table2[#Headers],0),0)</f>
        <v>688.24239999999998</v>
      </c>
      <c r="BO132" s="2">
        <f>VLOOKUP([jobnumber],OvalData[],MATCH(Table2[[#Headers],[Max Pipe Deflection]],Table2[#Headers],0),0)</f>
        <v>2309</v>
      </c>
      <c r="BP132" s="2">
        <f>VLOOKUP([jobnumber],OvalData[],MATCH(Table2[[#Headers],[Number Non-Insulated Wrap Slats]],Table2[#Headers],0),0)</f>
        <v>0</v>
      </c>
      <c r="BQ132" s="2">
        <f>VLOOKUP([jobnumber],OvalData[],MATCH(Table2[[#Headers],[Number of Insolated Top Slats]],Table2[#Headers],0),0)</f>
        <v>45</v>
      </c>
      <c r="BR132" s="2">
        <f>VLOOKUP([jobnumber],OvalData[],MATCH(Table2[[#Headers],[Insolated Total Slats]],Table2[#Headers],0),0)</f>
        <v>45</v>
      </c>
      <c r="BS132" s="2">
        <f>VLOOKUP([jobnumber],OvalData[],MATCH(Table2[[#Headers],[Number of Slats]],Table2[#Headers],0),0)</f>
        <v>44.69</v>
      </c>
      <c r="BT132" s="2">
        <f>VLOOKUP([jobnumber],OvalData[],MATCH(Table2[[#Headers],[Wrap]],Table2[#Headers],0),0)</f>
        <v>0</v>
      </c>
      <c r="BU132" s="2">
        <f>VLOOKUP([jobnumber],OvalData[],MATCH(Table2[[#Headers],[Wall Angle Thickness]],Table2[#Headers],0),0)</f>
        <v>0</v>
      </c>
      <c r="BV132" s="2">
        <f>VLOOKUP([jobnumber],OvalData[],MATCH(Table2[[#Headers],[windlocks]],Table2[#Headers],0),0)</f>
        <v>0</v>
      </c>
      <c r="BW132" s="2" t="str">
        <f>VLOOKUP([jobnumber],OvalData[],MATCH(Table2[[#Headers],[bottombartype]],Table2[#Headers],0),0)</f>
        <v>SPECIAL</v>
      </c>
      <c r="BX132" s="2">
        <f>VLOOKUP([jobnumber],OvalData[],MATCH(Table2[[#Headers],[endlockweight]],Table2[#Headers],0),0)</f>
        <v>0.17</v>
      </c>
      <c r="BY132" s="2">
        <f>VLOOKUP([jobnumber],OvalData[],MATCH(Table2[[#Headers],[Endlock Total Weight]],Table2[#Headers],0),0)</f>
        <v>7.5972999999999997</v>
      </c>
      <c r="BZ132" s="2">
        <f>VLOOKUP([jobnumber],OvalData[],MATCH(Table2[[#Headers],[Grille Weight]],Table2[#Headers],0),0)</f>
        <v>0</v>
      </c>
      <c r="CA132" s="2">
        <f>VLOOKUP([jobnumber],OvalData[],MATCH(Table2[[#Headers],[barrelrings]],Table2[#Headers],0),0)</f>
        <v>1</v>
      </c>
    </row>
    <row r="133" spans="2:79">
      <c r="B133" s="2" t="str">
        <f>VLOOKUP([jobnumber],OvalData[],MATCH(Table2[[#Headers],[Hand]],Table2[#Headers],0),0)</f>
        <v>RH</v>
      </c>
      <c r="C133" s="2" t="str">
        <f>VLOOKUP([jobnumber],OvalData[],MATCH(Table2[[#Headers],[Model]],Table2[#Headers],0),0)</f>
        <v>SFMPP</v>
      </c>
      <c r="D133" s="2" t="str">
        <f>VLOOKUP([jobnumber],OvalData[],MATCH(Table2[[#Headers],[width]],Table2[#Headers],0),0)</f>
        <v xml:space="preserve"> 18 ft.- 2"</v>
      </c>
      <c r="E133" s="2" t="str">
        <f>VLOOKUP([jobnumber],OvalData[],MATCH(Table2[[#Headers],[stopheight]],Table2[#Headers],0),0)</f>
        <v xml:space="preserve"> 10 ft.- 0"</v>
      </c>
      <c r="F133" s="2" t="str">
        <f>VLOOKUP([jobnumber],OvalData[],MATCH(Table2[[#Headers],[Between Brackets]],Table2[#Headers],0),0)</f>
        <v xml:space="preserve"> 18 ft.- 7 7/ 8"</v>
      </c>
      <c r="G133" s="2" t="str">
        <f>VLOOKUP([jobnumber],OvalData[],MATCH(Table2[[#Headers],[shell]],Table2[#Headers],0),0)</f>
        <v>6 INCH TUBE</v>
      </c>
      <c r="H133" s="2" t="str">
        <f>VLOOKUP([jobnumber],OvalData[],MATCH(Table2[[#Headers],[pipewidth]],Table2[#Headers],0),0)</f>
        <v xml:space="preserve"> 18 ft.- 1 3/ 8"</v>
      </c>
      <c r="I133" s="2">
        <f>VLOOKUP([jobnumber],OvalData[],MATCH(Table2[[#Headers],[Support Tubes]],Table2[#Headers],0),0)</f>
        <v>0</v>
      </c>
      <c r="J133" s="2">
        <f>VLOOKUP([jobnumber],OvalData[],MATCH(Table2[[#Headers],[Upset]],Table2[#Headers],0),0)</f>
        <v>2</v>
      </c>
      <c r="K133" s="2" t="str">
        <f>VLOOKUP([jobnumber],OvalData[],MATCH(Table2[[#Headers],[Guide Type]],Table2[#Headers],0),0)</f>
        <v>SN2-4 5/8-E</v>
      </c>
      <c r="L133" s="2" t="str">
        <f>VLOOKUP([jobnumber],OvalData[],MATCH(Table2[[#Headers],[Wall Angle]],Table2[#Headers],0),0)</f>
        <v xml:space="preserve"> 11 ft.- 8"</v>
      </c>
      <c r="M133" s="2" t="str">
        <f>VLOOKUP([jobnumber],OvalData[],MATCH(Table2[[#Headers],[Middle Angle]],Table2[#Headers],0),0)</f>
        <v xml:space="preserve"> 10 ft.- 4 1/ 2"</v>
      </c>
      <c r="N133" s="2" t="str">
        <f>VLOOKUP([jobnumber],OvalData[],MATCH(Table2[[#Headers],[Front Angle]],Table2[#Headers],0),0)</f>
        <v xml:space="preserve"> 10 ft.- 3"</v>
      </c>
      <c r="O133" s="2">
        <f>VLOOKUP([jobnumber],OvalData[],MATCH(Table2[[#Headers],[Pipe Center Line]],Table2[#Headers],0),0)</f>
        <v>131</v>
      </c>
      <c r="P133" s="2">
        <f>VLOOKUP([jobnumber],OvalData[],MATCH(Table2[[#Headers],[Heat Expansion Gap]],Table2[#Headers],0),0)</f>
        <v>0</v>
      </c>
      <c r="Q133" s="2">
        <f>VLOOKUP([jobnumber],OvalData[],MATCH(Table2[[#Headers],[Hanging Weight Closed]],Table2[#Headers],0),0)</f>
        <v>795</v>
      </c>
      <c r="R133" s="2">
        <f>VLOOKUP([jobnumber],OvalData[],MATCH(Table2[[#Headers],[Hanging Weight Open]],Table2[#Headers],0),0)</f>
        <v>140</v>
      </c>
      <c r="S133" s="2">
        <f>VLOOKUP([jobnumber],OvalData[],MATCH(Table2[[#Headers],[Initial Lever Arm]],Table2[#Headers],0),0)</f>
        <v>4.25</v>
      </c>
      <c r="T133" s="2">
        <f>VLOOKUP([jobnumber],OvalData[],MATCH(Table2[[#Headers],[Turns to Raise]],Table2[#Headers],0),0)</f>
        <v>3.5859999999999999</v>
      </c>
      <c r="U133" s="2">
        <f>VLOOKUP([jobnumber],OvalData[],MATCH(Table2[[#Headers],[Final Lever Arm]],Table2[#Headers],0),0)</f>
        <v>6.37</v>
      </c>
      <c r="V133" s="2">
        <f>VLOOKUP([jobnumber],OvalData[],MATCH(Table2[[#Headers],[Torque Required Closed]],Table2[#Headers],0),0)</f>
        <v>3377.9</v>
      </c>
      <c r="W133" s="2">
        <f>VLOOKUP([jobnumber],OvalData[],MATCH(Table2[[#Headers],[Torque Required Open]],Table2[#Headers],0),0)</f>
        <v>892</v>
      </c>
      <c r="X133" s="2">
        <f>VLOOKUP([jobnumber],OvalData[],MATCH(Table2[[#Headers],[Pre Turns]],Table2[#Headers],0),0)</f>
        <v>1.3332999999999999</v>
      </c>
      <c r="Y133" s="2">
        <f>VLOOKUP([jobnumber],OvalData[],MATCH(Table2[[#Headers],[Required Torque Per Turn]],Table2[#Headers],0),0)</f>
        <v>688</v>
      </c>
      <c r="Z133" s="2">
        <f>VLOOKUP([jobnumber],OvalData[],MATCH(Table2[[#Headers],[Total Turns]],Table2[#Headers],0),0)</f>
        <v>4.91</v>
      </c>
      <c r="AA133" s="2">
        <f>VLOOKUP([jobnumber],OvalData[],MATCH(Table2[[#Headers],[Grille Vision Section]],Table2[#Headers],0),0)</f>
        <v>0</v>
      </c>
      <c r="AB133" s="2">
        <f>VLOOKUP([jobnumber],OvalData[],MATCH(Table2[[#Headers],[Grille Amount]],Table2[#Headers],0),0)</f>
        <v>0</v>
      </c>
      <c r="AC133" s="2">
        <f>VLOOKUP([jobnumber],OvalData[],MATCH(Table2[[#Headers],[Grille Center]],Table2[#Headers],0),0)</f>
        <v>0</v>
      </c>
      <c r="AD133" s="2">
        <f>VLOOKUP([jobnumber],OvalData[],MATCH(Table2[[#Headers],[Grille Pattern]],Table2[#Headers],0),0)</f>
        <v>0</v>
      </c>
      <c r="AE133" s="2">
        <f>VLOOKUP([jobnumber],OvalData[],MATCH(Table2[[#Headers],[Grille First Tube]],Table2[#Headers],0),0)</f>
        <v>0</v>
      </c>
      <c r="AF133" s="2">
        <f>VLOOKUP([jobnumber],OvalData[],MATCH(Table2[[#Headers],[Grille Standard Tube]],Table2[#Headers],0),0)</f>
        <v>0</v>
      </c>
      <c r="AG133" s="2">
        <f>VLOOKUP([jobnumber],OvalData[],MATCH(Table2[[#Headers],[Grille Total Links]],Table2[#Headers],0),0)</f>
        <v>0</v>
      </c>
      <c r="AH133" s="2">
        <f>VLOOKUP([jobnumber],OvalData[],MATCH(Table2[[#Headers],[Grille Rods]],Table2[#Headers],0),0)</f>
        <v>0</v>
      </c>
      <c r="AI133" s="2">
        <f>VLOOKUP([jobnumber],OvalData[],MATCH(Table2[[#Headers],[Grille Rod Length]],Table2[#Headers],0),0)</f>
        <v>0</v>
      </c>
      <c r="AJ133" s="2">
        <f>VLOOKUP([jobnumber],OvalData[],MATCH(Table2[[#Headers],[slattype]],Table2[#Headers],0),0)</f>
        <v>2</v>
      </c>
      <c r="AK133" s="2">
        <f>VLOOKUP([jobnumber],OvalData[],MATCH(Table2[[#Headers],[slatgage]],Table2[#Headers],0),0)</f>
        <v>18</v>
      </c>
      <c r="AL133" s="2">
        <f>VLOOKUP([jobnumber],OvalData[],MATCH(Table2[[#Headers],[Numer of Top Slats]],Table2[#Headers],0),0)</f>
        <v>0</v>
      </c>
      <c r="AM133" s="2">
        <f>VLOOKUP([jobnumber],OvalData[],MATCH(Table2[[#Headers],[Number of Bottom Slats]],Table2[#Headers],0),0)</f>
        <v>0</v>
      </c>
      <c r="AN133" s="2">
        <f>VLOOKUP([jobnumber],OvalData[],MATCH(Table2[[#Headers],[Solid Bottom Height]],Table2[#Headers],0),0)</f>
        <v>0</v>
      </c>
      <c r="AO133" s="2" t="str">
        <f>VLOOKUP([jobnumber],OvalData[],MATCH(Table2[[#Headers],[slatlength]],Table2[#Headers],0),0)</f>
        <v xml:space="preserve"> 18 ft.- 5 7/ 8"</v>
      </c>
      <c r="AP133" s="2">
        <f>VLOOKUP([jobnumber],OvalData[],MATCH(Table2[[#Headers],[Bottom Slat Length]],Table2[#Headers],0),0)</f>
        <v>0</v>
      </c>
      <c r="AQ133" s="2">
        <f>VLOOKUP([jobnumber],OvalData[],MATCH(Table2[[#Headers],[Number of Perferated Slats]],Table2[#Headers],0),0)</f>
        <v>0</v>
      </c>
      <c r="AR133" s="2">
        <f>VLOOKUP([jobnumber],OvalData[],MATCH(Table2[[#Headers],[First Preferated Slat From End]],Table2[#Headers],0),0)</f>
        <v>0</v>
      </c>
      <c r="AS133" s="2">
        <f>VLOOKUP([jobnumber],OvalData[],MATCH(Table2[[#Headers],[First Preferated Slat From Bottom]],Table2[#Headers],0),0)</f>
        <v>0</v>
      </c>
      <c r="AT133" s="2">
        <f>VLOOKUP([jobnumber],OvalData[],MATCH(Table2[[#Headers],[Total Number of Slats]],Table2[#Headers],0),0)</f>
        <v>51</v>
      </c>
      <c r="AU133" s="2">
        <f>VLOOKUP([jobnumber],OvalData[],MATCH(Table2[[#Headers],[Bottom Bar Slope]],Table2[#Headers],0),0)</f>
        <v>0</v>
      </c>
      <c r="AV133" s="2">
        <f>VLOOKUP([jobnumber],OvalData[],MATCH(Table2[[#Headers],[Bottom Bar Weight]],Table2[#Headers],0),0)</f>
        <v>80.5</v>
      </c>
      <c r="AW133" s="2" t="str">
        <f>VLOOKUP([jobnumber],OvalData[],MATCH(Table2[[#Headers],[Outer Spring Gage]],Table2[#Headers],0),0)</f>
        <v>Null</v>
      </c>
      <c r="AX133" s="2" t="str">
        <f>VLOOKUP([jobnumber],OvalData[],MATCH(Table2[[#Headers],[Outer Spring OD]],Table2[#Headers],0),0)</f>
        <v>Null</v>
      </c>
      <c r="AY133" s="2" t="str">
        <f>VLOOKUP([jobnumber],OvalData[],MATCH(Table2[[#Headers],[Outer Spring Length]],Table2[#Headers],0),0)</f>
        <v>Null</v>
      </c>
      <c r="AZ133" s="2" t="str">
        <f>VLOOKUP([jobnumber],OvalData[],MATCH(Table2[[#Headers],[Outer Spring Stretch]],Table2[#Headers],0),0)</f>
        <v>Null</v>
      </c>
      <c r="BA133" s="2" t="str">
        <f>VLOOKUP([jobnumber],OvalData[],MATCH(Table2[[#Headers],[Outer Spring Torque]],Table2[#Headers],0),0)</f>
        <v>Null</v>
      </c>
      <c r="BB133" s="2" t="str">
        <f>VLOOKUP([jobnumber],OvalData[],MATCH(Table2[[#Headers],[Outer Spring Max Turns]],Table2[#Headers],0),0)</f>
        <v>Null</v>
      </c>
      <c r="BC133" s="2" t="str">
        <f>VLOOKUP([jobnumber],OvalData[],MATCH(Table2[[#Headers],[Outer Spring Weight]],Table2[#Headers],0),0)</f>
        <v>Null</v>
      </c>
      <c r="BD133" s="2" t="str">
        <f>VLOOKUP([jobnumber],OvalData[],MATCH(Table2[[#Headers],[Inner Spring Gage]],Table2[#Headers],0),0)</f>
        <v>Null</v>
      </c>
      <c r="BE133" s="2" t="str">
        <f>VLOOKUP([jobnumber],OvalData[],MATCH(Table2[[#Headers],[Inner Spring OD]],Table2[#Headers],0),0)</f>
        <v>Null</v>
      </c>
      <c r="BF133" s="2" t="str">
        <f>VLOOKUP([jobnumber],OvalData[],MATCH(Table2[[#Headers],[Inner Spring Length]],Table2[#Headers],0),0)</f>
        <v>Null</v>
      </c>
      <c r="BG133" s="2" t="str">
        <f>VLOOKUP([jobnumber],OvalData[],MATCH(Table2[[#Headers],[Inner Spring Stretch]],Table2[#Headers],0),0)</f>
        <v>Null</v>
      </c>
      <c r="BH133" s="2" t="str">
        <f>VLOOKUP([jobnumber],OvalData[],MATCH(Table2[[#Headers],[Inner Spring Torque]],Table2[#Headers],0),0)</f>
        <v>Null</v>
      </c>
      <c r="BI133" s="2" t="str">
        <f>VLOOKUP([jobnumber],OvalData[],MATCH(Table2[[#Headers],[Inner Spring Max Turns]],Table2[#Headers],0),0)</f>
        <v>Null</v>
      </c>
      <c r="BJ133" s="2" t="str">
        <f>VLOOKUP([jobnumber],OvalData[],MATCH(Table2[[#Headers],[Inner Spring Weight]],Table2[#Headers],0),0)</f>
        <v>Null</v>
      </c>
      <c r="BK133" s="2">
        <f>VLOOKUP([jobnumber],OvalData[],MATCH(Table2[[#Headers],[Cycles]],Table2[#Headers],0),0)</f>
        <v>0</v>
      </c>
      <c r="BL133" s="2">
        <f>VLOOKUP([jobnumber],OvalData[],MATCH(Table2[[#Headers],[Total Spring Torque]],Table2[#Headers],0),0)</f>
        <v>0</v>
      </c>
      <c r="BM133" s="2">
        <f>VLOOKUP([jobnumber],OvalData[],MATCH(Table2[[#Headers],[Total Spring Weight]],Table2[#Headers],0),0)</f>
        <v>0</v>
      </c>
      <c r="BN133" s="2">
        <f>VLOOKUP([jobnumber],OvalData[],MATCH(Table2[[#Headers],[Pipe Weight]],Table2[#Headers],0),0)</f>
        <v>688.24239999999998</v>
      </c>
      <c r="BO133" s="2">
        <f>VLOOKUP([jobnumber],OvalData[],MATCH(Table2[[#Headers],[Max Pipe Deflection]],Table2[#Headers],0),0)</f>
        <v>2309</v>
      </c>
      <c r="BP133" s="2">
        <f>VLOOKUP([jobnumber],OvalData[],MATCH(Table2[[#Headers],[Number Non-Insulated Wrap Slats]],Table2[#Headers],0),0)</f>
        <v>0</v>
      </c>
      <c r="BQ133" s="2">
        <f>VLOOKUP([jobnumber],OvalData[],MATCH(Table2[[#Headers],[Number of Insolated Top Slats]],Table2[#Headers],0),0)</f>
        <v>45</v>
      </c>
      <c r="BR133" s="2">
        <f>VLOOKUP([jobnumber],OvalData[],MATCH(Table2[[#Headers],[Insolated Total Slats]],Table2[#Headers],0),0)</f>
        <v>45</v>
      </c>
      <c r="BS133" s="2">
        <f>VLOOKUP([jobnumber],OvalData[],MATCH(Table2[[#Headers],[Number of Slats]],Table2[#Headers],0),0)</f>
        <v>44.69</v>
      </c>
      <c r="BT133" s="2">
        <f>VLOOKUP([jobnumber],OvalData[],MATCH(Table2[[#Headers],[Wrap]],Table2[#Headers],0),0)</f>
        <v>0</v>
      </c>
      <c r="BU133" s="2">
        <f>VLOOKUP([jobnumber],OvalData[],MATCH(Table2[[#Headers],[Wall Angle Thickness]],Table2[#Headers],0),0)</f>
        <v>0</v>
      </c>
      <c r="BV133" s="2">
        <f>VLOOKUP([jobnumber],OvalData[],MATCH(Table2[[#Headers],[windlocks]],Table2[#Headers],0),0)</f>
        <v>0</v>
      </c>
      <c r="BW133" s="2" t="str">
        <f>VLOOKUP([jobnumber],OvalData[],MATCH(Table2[[#Headers],[bottombartype]],Table2[#Headers],0),0)</f>
        <v>SPECIAL</v>
      </c>
      <c r="BX133" s="2">
        <f>VLOOKUP([jobnumber],OvalData[],MATCH(Table2[[#Headers],[endlockweight]],Table2[#Headers],0),0)</f>
        <v>0.17</v>
      </c>
      <c r="BY133" s="2">
        <f>VLOOKUP([jobnumber],OvalData[],MATCH(Table2[[#Headers],[Endlock Total Weight]],Table2[#Headers],0),0)</f>
        <v>7.5972999999999997</v>
      </c>
      <c r="BZ133" s="2">
        <f>VLOOKUP([jobnumber],OvalData[],MATCH(Table2[[#Headers],[Grille Weight]],Table2[#Headers],0),0)</f>
        <v>0</v>
      </c>
      <c r="CA133" s="2">
        <f>VLOOKUP([jobnumber],OvalData[],MATCH(Table2[[#Headers],[barrelrings]],Table2[#Headers],0),0)</f>
        <v>1</v>
      </c>
    </row>
    <row r="134" spans="2:79">
      <c r="B134" s="2" t="str">
        <f>VLOOKUP([jobnumber],OvalData[],MATCH(Table2[[#Headers],[Hand]],Table2[#Headers],0),0)</f>
        <v>RH</v>
      </c>
      <c r="C134" s="2" t="str">
        <f>VLOOKUP([jobnumber],OvalData[],MATCH(Table2[[#Headers],[Model]],Table2[#Headers],0),0)</f>
        <v>SFMPP</v>
      </c>
      <c r="D134" s="2" t="str">
        <f>VLOOKUP([jobnumber],OvalData[],MATCH(Table2[[#Headers],[width]],Table2[#Headers],0),0)</f>
        <v xml:space="preserve"> 18 ft.- 2"</v>
      </c>
      <c r="E134" s="2" t="str">
        <f>VLOOKUP([jobnumber],OvalData[],MATCH(Table2[[#Headers],[stopheight]],Table2[#Headers],0),0)</f>
        <v xml:space="preserve"> 10 ft.- 0"</v>
      </c>
      <c r="F134" s="2" t="str">
        <f>VLOOKUP([jobnumber],OvalData[],MATCH(Table2[[#Headers],[Between Brackets]],Table2[#Headers],0),0)</f>
        <v xml:space="preserve"> 18 ft.- 7 7/ 8"</v>
      </c>
      <c r="G134" s="2" t="str">
        <f>VLOOKUP([jobnumber],OvalData[],MATCH(Table2[[#Headers],[shell]],Table2[#Headers],0),0)</f>
        <v>6 INCH TUBE</v>
      </c>
      <c r="H134" s="2" t="str">
        <f>VLOOKUP([jobnumber],OvalData[],MATCH(Table2[[#Headers],[pipewidth]],Table2[#Headers],0),0)</f>
        <v xml:space="preserve"> 18 ft.- 1 3/ 8"</v>
      </c>
      <c r="I134" s="2">
        <f>VLOOKUP([jobnumber],OvalData[],MATCH(Table2[[#Headers],[Support Tubes]],Table2[#Headers],0),0)</f>
        <v>0</v>
      </c>
      <c r="J134" s="2">
        <f>VLOOKUP([jobnumber],OvalData[],MATCH(Table2[[#Headers],[Upset]],Table2[#Headers],0),0)</f>
        <v>2</v>
      </c>
      <c r="K134" s="2" t="str">
        <f>VLOOKUP([jobnumber],OvalData[],MATCH(Table2[[#Headers],[Guide Type]],Table2[#Headers],0),0)</f>
        <v>SN2-4 5/8-E</v>
      </c>
      <c r="L134" s="2" t="str">
        <f>VLOOKUP([jobnumber],OvalData[],MATCH(Table2[[#Headers],[Wall Angle]],Table2[#Headers],0),0)</f>
        <v xml:space="preserve"> 11 ft.- 8"</v>
      </c>
      <c r="M134" s="2" t="str">
        <f>VLOOKUP([jobnumber],OvalData[],MATCH(Table2[[#Headers],[Middle Angle]],Table2[#Headers],0),0)</f>
        <v xml:space="preserve"> 10 ft.- 4 1/ 2"</v>
      </c>
      <c r="N134" s="2" t="str">
        <f>VLOOKUP([jobnumber],OvalData[],MATCH(Table2[[#Headers],[Front Angle]],Table2[#Headers],0),0)</f>
        <v xml:space="preserve"> 10 ft.- 3"</v>
      </c>
      <c r="O134" s="2">
        <f>VLOOKUP([jobnumber],OvalData[],MATCH(Table2[[#Headers],[Pipe Center Line]],Table2[#Headers],0),0)</f>
        <v>131</v>
      </c>
      <c r="P134" s="2">
        <f>VLOOKUP([jobnumber],OvalData[],MATCH(Table2[[#Headers],[Heat Expansion Gap]],Table2[#Headers],0),0)</f>
        <v>0</v>
      </c>
      <c r="Q134" s="2">
        <f>VLOOKUP([jobnumber],OvalData[],MATCH(Table2[[#Headers],[Hanging Weight Closed]],Table2[#Headers],0),0)</f>
        <v>795</v>
      </c>
      <c r="R134" s="2">
        <f>VLOOKUP([jobnumber],OvalData[],MATCH(Table2[[#Headers],[Hanging Weight Open]],Table2[#Headers],0),0)</f>
        <v>140</v>
      </c>
      <c r="S134" s="2">
        <f>VLOOKUP([jobnumber],OvalData[],MATCH(Table2[[#Headers],[Initial Lever Arm]],Table2[#Headers],0),0)</f>
        <v>4.25</v>
      </c>
      <c r="T134" s="2">
        <f>VLOOKUP([jobnumber],OvalData[],MATCH(Table2[[#Headers],[Turns to Raise]],Table2[#Headers],0),0)</f>
        <v>3.5859999999999999</v>
      </c>
      <c r="U134" s="2">
        <f>VLOOKUP([jobnumber],OvalData[],MATCH(Table2[[#Headers],[Final Lever Arm]],Table2[#Headers],0),0)</f>
        <v>6.37</v>
      </c>
      <c r="V134" s="2">
        <f>VLOOKUP([jobnumber],OvalData[],MATCH(Table2[[#Headers],[Torque Required Closed]],Table2[#Headers],0),0)</f>
        <v>3377.9</v>
      </c>
      <c r="W134" s="2">
        <f>VLOOKUP([jobnumber],OvalData[],MATCH(Table2[[#Headers],[Torque Required Open]],Table2[#Headers],0),0)</f>
        <v>892</v>
      </c>
      <c r="X134" s="2">
        <f>VLOOKUP([jobnumber],OvalData[],MATCH(Table2[[#Headers],[Pre Turns]],Table2[#Headers],0),0)</f>
        <v>1.3332999999999999</v>
      </c>
      <c r="Y134" s="2">
        <f>VLOOKUP([jobnumber],OvalData[],MATCH(Table2[[#Headers],[Required Torque Per Turn]],Table2[#Headers],0),0)</f>
        <v>688</v>
      </c>
      <c r="Z134" s="2">
        <f>VLOOKUP([jobnumber],OvalData[],MATCH(Table2[[#Headers],[Total Turns]],Table2[#Headers],0),0)</f>
        <v>4.91</v>
      </c>
      <c r="AA134" s="2">
        <f>VLOOKUP([jobnumber],OvalData[],MATCH(Table2[[#Headers],[Grille Vision Section]],Table2[#Headers],0),0)</f>
        <v>0</v>
      </c>
      <c r="AB134" s="2">
        <f>VLOOKUP([jobnumber],OvalData[],MATCH(Table2[[#Headers],[Grille Amount]],Table2[#Headers],0),0)</f>
        <v>0</v>
      </c>
      <c r="AC134" s="2">
        <f>VLOOKUP([jobnumber],OvalData[],MATCH(Table2[[#Headers],[Grille Center]],Table2[#Headers],0),0)</f>
        <v>0</v>
      </c>
      <c r="AD134" s="2">
        <f>VLOOKUP([jobnumber],OvalData[],MATCH(Table2[[#Headers],[Grille Pattern]],Table2[#Headers],0),0)</f>
        <v>0</v>
      </c>
      <c r="AE134" s="2">
        <f>VLOOKUP([jobnumber],OvalData[],MATCH(Table2[[#Headers],[Grille First Tube]],Table2[#Headers],0),0)</f>
        <v>0</v>
      </c>
      <c r="AF134" s="2">
        <f>VLOOKUP([jobnumber],OvalData[],MATCH(Table2[[#Headers],[Grille Standard Tube]],Table2[#Headers],0),0)</f>
        <v>0</v>
      </c>
      <c r="AG134" s="2">
        <f>VLOOKUP([jobnumber],OvalData[],MATCH(Table2[[#Headers],[Grille Total Links]],Table2[#Headers],0),0)</f>
        <v>0</v>
      </c>
      <c r="AH134" s="2">
        <f>VLOOKUP([jobnumber],OvalData[],MATCH(Table2[[#Headers],[Grille Rods]],Table2[#Headers],0),0)</f>
        <v>0</v>
      </c>
      <c r="AI134" s="2">
        <f>VLOOKUP([jobnumber],OvalData[],MATCH(Table2[[#Headers],[Grille Rod Length]],Table2[#Headers],0),0)</f>
        <v>0</v>
      </c>
      <c r="AJ134" s="2">
        <f>VLOOKUP([jobnumber],OvalData[],MATCH(Table2[[#Headers],[slattype]],Table2[#Headers],0),0)</f>
        <v>2</v>
      </c>
      <c r="AK134" s="2">
        <f>VLOOKUP([jobnumber],OvalData[],MATCH(Table2[[#Headers],[slatgage]],Table2[#Headers],0),0)</f>
        <v>18</v>
      </c>
      <c r="AL134" s="2">
        <f>VLOOKUP([jobnumber],OvalData[],MATCH(Table2[[#Headers],[Numer of Top Slats]],Table2[#Headers],0),0)</f>
        <v>0</v>
      </c>
      <c r="AM134" s="2">
        <f>VLOOKUP([jobnumber],OvalData[],MATCH(Table2[[#Headers],[Number of Bottom Slats]],Table2[#Headers],0),0)</f>
        <v>0</v>
      </c>
      <c r="AN134" s="2">
        <f>VLOOKUP([jobnumber],OvalData[],MATCH(Table2[[#Headers],[Solid Bottom Height]],Table2[#Headers],0),0)</f>
        <v>0</v>
      </c>
      <c r="AO134" s="2" t="str">
        <f>VLOOKUP([jobnumber],OvalData[],MATCH(Table2[[#Headers],[slatlength]],Table2[#Headers],0),0)</f>
        <v xml:space="preserve"> 18 ft.- 5 7/ 8"</v>
      </c>
      <c r="AP134" s="2">
        <f>VLOOKUP([jobnumber],OvalData[],MATCH(Table2[[#Headers],[Bottom Slat Length]],Table2[#Headers],0),0)</f>
        <v>0</v>
      </c>
      <c r="AQ134" s="2">
        <f>VLOOKUP([jobnumber],OvalData[],MATCH(Table2[[#Headers],[Number of Perferated Slats]],Table2[#Headers],0),0)</f>
        <v>0</v>
      </c>
      <c r="AR134" s="2">
        <f>VLOOKUP([jobnumber],OvalData[],MATCH(Table2[[#Headers],[First Preferated Slat From End]],Table2[#Headers],0),0)</f>
        <v>0</v>
      </c>
      <c r="AS134" s="2">
        <f>VLOOKUP([jobnumber],OvalData[],MATCH(Table2[[#Headers],[First Preferated Slat From Bottom]],Table2[#Headers],0),0)</f>
        <v>0</v>
      </c>
      <c r="AT134" s="2">
        <f>VLOOKUP([jobnumber],OvalData[],MATCH(Table2[[#Headers],[Total Number of Slats]],Table2[#Headers],0),0)</f>
        <v>51</v>
      </c>
      <c r="AU134" s="2">
        <f>VLOOKUP([jobnumber],OvalData[],MATCH(Table2[[#Headers],[Bottom Bar Slope]],Table2[#Headers],0),0)</f>
        <v>0</v>
      </c>
      <c r="AV134" s="2">
        <f>VLOOKUP([jobnumber],OvalData[],MATCH(Table2[[#Headers],[Bottom Bar Weight]],Table2[#Headers],0),0)</f>
        <v>80.5</v>
      </c>
      <c r="AW134" s="2" t="str">
        <f>VLOOKUP([jobnumber],OvalData[],MATCH(Table2[[#Headers],[Outer Spring Gage]],Table2[#Headers],0),0)</f>
        <v>Null</v>
      </c>
      <c r="AX134" s="2" t="str">
        <f>VLOOKUP([jobnumber],OvalData[],MATCH(Table2[[#Headers],[Outer Spring OD]],Table2[#Headers],0),0)</f>
        <v>Null</v>
      </c>
      <c r="AY134" s="2" t="str">
        <f>VLOOKUP([jobnumber],OvalData[],MATCH(Table2[[#Headers],[Outer Spring Length]],Table2[#Headers],0),0)</f>
        <v>Null</v>
      </c>
      <c r="AZ134" s="2" t="str">
        <f>VLOOKUP([jobnumber],OvalData[],MATCH(Table2[[#Headers],[Outer Spring Stretch]],Table2[#Headers],0),0)</f>
        <v>Null</v>
      </c>
      <c r="BA134" s="2" t="str">
        <f>VLOOKUP([jobnumber],OvalData[],MATCH(Table2[[#Headers],[Outer Spring Torque]],Table2[#Headers],0),0)</f>
        <v>Null</v>
      </c>
      <c r="BB134" s="2" t="str">
        <f>VLOOKUP([jobnumber],OvalData[],MATCH(Table2[[#Headers],[Outer Spring Max Turns]],Table2[#Headers],0),0)</f>
        <v>Null</v>
      </c>
      <c r="BC134" s="2" t="str">
        <f>VLOOKUP([jobnumber],OvalData[],MATCH(Table2[[#Headers],[Outer Spring Weight]],Table2[#Headers],0),0)</f>
        <v>Null</v>
      </c>
      <c r="BD134" s="2" t="str">
        <f>VLOOKUP([jobnumber],OvalData[],MATCH(Table2[[#Headers],[Inner Spring Gage]],Table2[#Headers],0),0)</f>
        <v>Null</v>
      </c>
      <c r="BE134" s="2" t="str">
        <f>VLOOKUP([jobnumber],OvalData[],MATCH(Table2[[#Headers],[Inner Spring OD]],Table2[#Headers],0),0)</f>
        <v>Null</v>
      </c>
      <c r="BF134" s="2" t="str">
        <f>VLOOKUP([jobnumber],OvalData[],MATCH(Table2[[#Headers],[Inner Spring Length]],Table2[#Headers],0),0)</f>
        <v>Null</v>
      </c>
      <c r="BG134" s="2" t="str">
        <f>VLOOKUP([jobnumber],OvalData[],MATCH(Table2[[#Headers],[Inner Spring Stretch]],Table2[#Headers],0),0)</f>
        <v>Null</v>
      </c>
      <c r="BH134" s="2" t="str">
        <f>VLOOKUP([jobnumber],OvalData[],MATCH(Table2[[#Headers],[Inner Spring Torque]],Table2[#Headers],0),0)</f>
        <v>Null</v>
      </c>
      <c r="BI134" s="2" t="str">
        <f>VLOOKUP([jobnumber],OvalData[],MATCH(Table2[[#Headers],[Inner Spring Max Turns]],Table2[#Headers],0),0)</f>
        <v>Null</v>
      </c>
      <c r="BJ134" s="2" t="str">
        <f>VLOOKUP([jobnumber],OvalData[],MATCH(Table2[[#Headers],[Inner Spring Weight]],Table2[#Headers],0),0)</f>
        <v>Null</v>
      </c>
      <c r="BK134" s="2">
        <f>VLOOKUP([jobnumber],OvalData[],MATCH(Table2[[#Headers],[Cycles]],Table2[#Headers],0),0)</f>
        <v>0</v>
      </c>
      <c r="BL134" s="2">
        <f>VLOOKUP([jobnumber],OvalData[],MATCH(Table2[[#Headers],[Total Spring Torque]],Table2[#Headers],0),0)</f>
        <v>0</v>
      </c>
      <c r="BM134" s="2">
        <f>VLOOKUP([jobnumber],OvalData[],MATCH(Table2[[#Headers],[Total Spring Weight]],Table2[#Headers],0),0)</f>
        <v>0</v>
      </c>
      <c r="BN134" s="2">
        <f>VLOOKUP([jobnumber],OvalData[],MATCH(Table2[[#Headers],[Pipe Weight]],Table2[#Headers],0),0)</f>
        <v>688.24239999999998</v>
      </c>
      <c r="BO134" s="2">
        <f>VLOOKUP([jobnumber],OvalData[],MATCH(Table2[[#Headers],[Max Pipe Deflection]],Table2[#Headers],0),0)</f>
        <v>2309</v>
      </c>
      <c r="BP134" s="2">
        <f>VLOOKUP([jobnumber],OvalData[],MATCH(Table2[[#Headers],[Number Non-Insulated Wrap Slats]],Table2[#Headers],0),0)</f>
        <v>0</v>
      </c>
      <c r="BQ134" s="2">
        <f>VLOOKUP([jobnumber],OvalData[],MATCH(Table2[[#Headers],[Number of Insolated Top Slats]],Table2[#Headers],0),0)</f>
        <v>45</v>
      </c>
      <c r="BR134" s="2">
        <f>VLOOKUP([jobnumber],OvalData[],MATCH(Table2[[#Headers],[Insolated Total Slats]],Table2[#Headers],0),0)</f>
        <v>45</v>
      </c>
      <c r="BS134" s="2">
        <f>VLOOKUP([jobnumber],OvalData[],MATCH(Table2[[#Headers],[Number of Slats]],Table2[#Headers],0),0)</f>
        <v>44.69</v>
      </c>
      <c r="BT134" s="2">
        <f>VLOOKUP([jobnumber],OvalData[],MATCH(Table2[[#Headers],[Wrap]],Table2[#Headers],0),0)</f>
        <v>0</v>
      </c>
      <c r="BU134" s="2">
        <f>VLOOKUP([jobnumber],OvalData[],MATCH(Table2[[#Headers],[Wall Angle Thickness]],Table2[#Headers],0),0)</f>
        <v>0</v>
      </c>
      <c r="BV134" s="2">
        <f>VLOOKUP([jobnumber],OvalData[],MATCH(Table2[[#Headers],[windlocks]],Table2[#Headers],0),0)</f>
        <v>0</v>
      </c>
      <c r="BW134" s="2" t="str">
        <f>VLOOKUP([jobnumber],OvalData[],MATCH(Table2[[#Headers],[bottombartype]],Table2[#Headers],0),0)</f>
        <v>SPECIAL</v>
      </c>
      <c r="BX134" s="2">
        <f>VLOOKUP([jobnumber],OvalData[],MATCH(Table2[[#Headers],[endlockweight]],Table2[#Headers],0),0)</f>
        <v>0.17</v>
      </c>
      <c r="BY134" s="2">
        <f>VLOOKUP([jobnumber],OvalData[],MATCH(Table2[[#Headers],[Endlock Total Weight]],Table2[#Headers],0),0)</f>
        <v>7.5972999999999997</v>
      </c>
      <c r="BZ134" s="2">
        <f>VLOOKUP([jobnumber],OvalData[],MATCH(Table2[[#Headers],[Grille Weight]],Table2[#Headers],0),0)</f>
        <v>0</v>
      </c>
      <c r="CA134" s="2">
        <f>VLOOKUP([jobnumber],OvalData[],MATCH(Table2[[#Headers],[barrelrings]],Table2[#Headers],0),0)</f>
        <v>1</v>
      </c>
    </row>
    <row r="135" spans="2:79">
      <c r="B135" s="2" t="str">
        <f>VLOOKUP([jobnumber],OvalData[],MATCH(Table2[[#Headers],[Hand]],Table2[#Headers],0),0)</f>
        <v>RH</v>
      </c>
      <c r="C135" s="2" t="str">
        <f>VLOOKUP([jobnumber],OvalData[],MATCH(Table2[[#Headers],[Model]],Table2[#Headers],0),0)</f>
        <v>SFMPP</v>
      </c>
      <c r="D135" s="2" t="str">
        <f>VLOOKUP([jobnumber],OvalData[],MATCH(Table2[[#Headers],[width]],Table2[#Headers],0),0)</f>
        <v xml:space="preserve"> 18 ft.- 2"</v>
      </c>
      <c r="E135" s="2" t="str">
        <f>VLOOKUP([jobnumber],OvalData[],MATCH(Table2[[#Headers],[stopheight]],Table2[#Headers],0),0)</f>
        <v xml:space="preserve"> 10 ft.- 0"</v>
      </c>
      <c r="F135" s="2" t="str">
        <f>VLOOKUP([jobnumber],OvalData[],MATCH(Table2[[#Headers],[Between Brackets]],Table2[#Headers],0),0)</f>
        <v xml:space="preserve"> 18 ft.- 7 7/ 8"</v>
      </c>
      <c r="G135" s="2" t="str">
        <f>VLOOKUP([jobnumber],OvalData[],MATCH(Table2[[#Headers],[shell]],Table2[#Headers],0),0)</f>
        <v>6 INCH TUBE</v>
      </c>
      <c r="H135" s="2" t="str">
        <f>VLOOKUP([jobnumber],OvalData[],MATCH(Table2[[#Headers],[pipewidth]],Table2[#Headers],0),0)</f>
        <v xml:space="preserve"> 18 ft.- 1 3/ 8"</v>
      </c>
      <c r="I135" s="2">
        <f>VLOOKUP([jobnumber],OvalData[],MATCH(Table2[[#Headers],[Support Tubes]],Table2[#Headers],0),0)</f>
        <v>0</v>
      </c>
      <c r="J135" s="2">
        <f>VLOOKUP([jobnumber],OvalData[],MATCH(Table2[[#Headers],[Upset]],Table2[#Headers],0),0)</f>
        <v>2</v>
      </c>
      <c r="K135" s="2" t="str">
        <f>VLOOKUP([jobnumber],OvalData[],MATCH(Table2[[#Headers],[Guide Type]],Table2[#Headers],0),0)</f>
        <v>SN2-4 5/8-E</v>
      </c>
      <c r="L135" s="2" t="str">
        <f>VLOOKUP([jobnumber],OvalData[],MATCH(Table2[[#Headers],[Wall Angle]],Table2[#Headers],0),0)</f>
        <v xml:space="preserve"> 11 ft.- 8"</v>
      </c>
      <c r="M135" s="2" t="str">
        <f>VLOOKUP([jobnumber],OvalData[],MATCH(Table2[[#Headers],[Middle Angle]],Table2[#Headers],0),0)</f>
        <v xml:space="preserve"> 10 ft.- 4 1/ 2"</v>
      </c>
      <c r="N135" s="2" t="str">
        <f>VLOOKUP([jobnumber],OvalData[],MATCH(Table2[[#Headers],[Front Angle]],Table2[#Headers],0),0)</f>
        <v xml:space="preserve"> 10 ft.- 3"</v>
      </c>
      <c r="O135" s="2">
        <f>VLOOKUP([jobnumber],OvalData[],MATCH(Table2[[#Headers],[Pipe Center Line]],Table2[#Headers],0),0)</f>
        <v>131</v>
      </c>
      <c r="P135" s="2">
        <f>VLOOKUP([jobnumber],OvalData[],MATCH(Table2[[#Headers],[Heat Expansion Gap]],Table2[#Headers],0),0)</f>
        <v>0</v>
      </c>
      <c r="Q135" s="2">
        <f>VLOOKUP([jobnumber],OvalData[],MATCH(Table2[[#Headers],[Hanging Weight Closed]],Table2[#Headers],0),0)</f>
        <v>795</v>
      </c>
      <c r="R135" s="2">
        <f>VLOOKUP([jobnumber],OvalData[],MATCH(Table2[[#Headers],[Hanging Weight Open]],Table2[#Headers],0),0)</f>
        <v>140</v>
      </c>
      <c r="S135" s="2">
        <f>VLOOKUP([jobnumber],OvalData[],MATCH(Table2[[#Headers],[Initial Lever Arm]],Table2[#Headers],0),0)</f>
        <v>4.25</v>
      </c>
      <c r="T135" s="2">
        <f>VLOOKUP([jobnumber],OvalData[],MATCH(Table2[[#Headers],[Turns to Raise]],Table2[#Headers],0),0)</f>
        <v>3.5859999999999999</v>
      </c>
      <c r="U135" s="2">
        <f>VLOOKUP([jobnumber],OvalData[],MATCH(Table2[[#Headers],[Final Lever Arm]],Table2[#Headers],0),0)</f>
        <v>6.37</v>
      </c>
      <c r="V135" s="2">
        <f>VLOOKUP([jobnumber],OvalData[],MATCH(Table2[[#Headers],[Torque Required Closed]],Table2[#Headers],0),0)</f>
        <v>3377.9</v>
      </c>
      <c r="W135" s="2">
        <f>VLOOKUP([jobnumber],OvalData[],MATCH(Table2[[#Headers],[Torque Required Open]],Table2[#Headers],0),0)</f>
        <v>892</v>
      </c>
      <c r="X135" s="2">
        <f>VLOOKUP([jobnumber],OvalData[],MATCH(Table2[[#Headers],[Pre Turns]],Table2[#Headers],0),0)</f>
        <v>1.3332999999999999</v>
      </c>
      <c r="Y135" s="2">
        <f>VLOOKUP([jobnumber],OvalData[],MATCH(Table2[[#Headers],[Required Torque Per Turn]],Table2[#Headers],0),0)</f>
        <v>688</v>
      </c>
      <c r="Z135" s="2">
        <f>VLOOKUP([jobnumber],OvalData[],MATCH(Table2[[#Headers],[Total Turns]],Table2[#Headers],0),0)</f>
        <v>4.91</v>
      </c>
      <c r="AA135" s="2">
        <f>VLOOKUP([jobnumber],OvalData[],MATCH(Table2[[#Headers],[Grille Vision Section]],Table2[#Headers],0),0)</f>
        <v>0</v>
      </c>
      <c r="AB135" s="2">
        <f>VLOOKUP([jobnumber],OvalData[],MATCH(Table2[[#Headers],[Grille Amount]],Table2[#Headers],0),0)</f>
        <v>0</v>
      </c>
      <c r="AC135" s="2">
        <f>VLOOKUP([jobnumber],OvalData[],MATCH(Table2[[#Headers],[Grille Center]],Table2[#Headers],0),0)</f>
        <v>0</v>
      </c>
      <c r="AD135" s="2">
        <f>VLOOKUP([jobnumber],OvalData[],MATCH(Table2[[#Headers],[Grille Pattern]],Table2[#Headers],0),0)</f>
        <v>0</v>
      </c>
      <c r="AE135" s="2">
        <f>VLOOKUP([jobnumber],OvalData[],MATCH(Table2[[#Headers],[Grille First Tube]],Table2[#Headers],0),0)</f>
        <v>0</v>
      </c>
      <c r="AF135" s="2">
        <f>VLOOKUP([jobnumber],OvalData[],MATCH(Table2[[#Headers],[Grille Standard Tube]],Table2[#Headers],0),0)</f>
        <v>0</v>
      </c>
      <c r="AG135" s="2">
        <f>VLOOKUP([jobnumber],OvalData[],MATCH(Table2[[#Headers],[Grille Total Links]],Table2[#Headers],0),0)</f>
        <v>0</v>
      </c>
      <c r="AH135" s="2">
        <f>VLOOKUP([jobnumber],OvalData[],MATCH(Table2[[#Headers],[Grille Rods]],Table2[#Headers],0),0)</f>
        <v>0</v>
      </c>
      <c r="AI135" s="2">
        <f>VLOOKUP([jobnumber],OvalData[],MATCH(Table2[[#Headers],[Grille Rod Length]],Table2[#Headers],0),0)</f>
        <v>0</v>
      </c>
      <c r="AJ135" s="2">
        <f>VLOOKUP([jobnumber],OvalData[],MATCH(Table2[[#Headers],[slattype]],Table2[#Headers],0),0)</f>
        <v>2</v>
      </c>
      <c r="AK135" s="2">
        <f>VLOOKUP([jobnumber],OvalData[],MATCH(Table2[[#Headers],[slatgage]],Table2[#Headers],0),0)</f>
        <v>18</v>
      </c>
      <c r="AL135" s="2">
        <f>VLOOKUP([jobnumber],OvalData[],MATCH(Table2[[#Headers],[Numer of Top Slats]],Table2[#Headers],0),0)</f>
        <v>0</v>
      </c>
      <c r="AM135" s="2">
        <f>VLOOKUP([jobnumber],OvalData[],MATCH(Table2[[#Headers],[Number of Bottom Slats]],Table2[#Headers],0),0)</f>
        <v>0</v>
      </c>
      <c r="AN135" s="2">
        <f>VLOOKUP([jobnumber],OvalData[],MATCH(Table2[[#Headers],[Solid Bottom Height]],Table2[#Headers],0),0)</f>
        <v>0</v>
      </c>
      <c r="AO135" s="2" t="str">
        <f>VLOOKUP([jobnumber],OvalData[],MATCH(Table2[[#Headers],[slatlength]],Table2[#Headers],0),0)</f>
        <v xml:space="preserve"> 18 ft.- 5 7/ 8"</v>
      </c>
      <c r="AP135" s="2">
        <f>VLOOKUP([jobnumber],OvalData[],MATCH(Table2[[#Headers],[Bottom Slat Length]],Table2[#Headers],0),0)</f>
        <v>0</v>
      </c>
      <c r="AQ135" s="2">
        <f>VLOOKUP([jobnumber],OvalData[],MATCH(Table2[[#Headers],[Number of Perferated Slats]],Table2[#Headers],0),0)</f>
        <v>0</v>
      </c>
      <c r="AR135" s="2">
        <f>VLOOKUP([jobnumber],OvalData[],MATCH(Table2[[#Headers],[First Preferated Slat From End]],Table2[#Headers],0),0)</f>
        <v>0</v>
      </c>
      <c r="AS135" s="2">
        <f>VLOOKUP([jobnumber],OvalData[],MATCH(Table2[[#Headers],[First Preferated Slat From Bottom]],Table2[#Headers],0),0)</f>
        <v>0</v>
      </c>
      <c r="AT135" s="2">
        <f>VLOOKUP([jobnumber],OvalData[],MATCH(Table2[[#Headers],[Total Number of Slats]],Table2[#Headers],0),0)</f>
        <v>51</v>
      </c>
      <c r="AU135" s="2">
        <f>VLOOKUP([jobnumber],OvalData[],MATCH(Table2[[#Headers],[Bottom Bar Slope]],Table2[#Headers],0),0)</f>
        <v>0</v>
      </c>
      <c r="AV135" s="2">
        <f>VLOOKUP([jobnumber],OvalData[],MATCH(Table2[[#Headers],[Bottom Bar Weight]],Table2[#Headers],0),0)</f>
        <v>80.5</v>
      </c>
      <c r="AW135" s="2" t="str">
        <f>VLOOKUP([jobnumber],OvalData[],MATCH(Table2[[#Headers],[Outer Spring Gage]],Table2[#Headers],0),0)</f>
        <v>Null</v>
      </c>
      <c r="AX135" s="2" t="str">
        <f>VLOOKUP([jobnumber],OvalData[],MATCH(Table2[[#Headers],[Outer Spring OD]],Table2[#Headers],0),0)</f>
        <v>Null</v>
      </c>
      <c r="AY135" s="2" t="str">
        <f>VLOOKUP([jobnumber],OvalData[],MATCH(Table2[[#Headers],[Outer Spring Length]],Table2[#Headers],0),0)</f>
        <v>Null</v>
      </c>
      <c r="AZ135" s="2" t="str">
        <f>VLOOKUP([jobnumber],OvalData[],MATCH(Table2[[#Headers],[Outer Spring Stretch]],Table2[#Headers],0),0)</f>
        <v>Null</v>
      </c>
      <c r="BA135" s="2" t="str">
        <f>VLOOKUP([jobnumber],OvalData[],MATCH(Table2[[#Headers],[Outer Spring Torque]],Table2[#Headers],0),0)</f>
        <v>Null</v>
      </c>
      <c r="BB135" s="2" t="str">
        <f>VLOOKUP([jobnumber],OvalData[],MATCH(Table2[[#Headers],[Outer Spring Max Turns]],Table2[#Headers],0),0)</f>
        <v>Null</v>
      </c>
      <c r="BC135" s="2" t="str">
        <f>VLOOKUP([jobnumber],OvalData[],MATCH(Table2[[#Headers],[Outer Spring Weight]],Table2[#Headers],0),0)</f>
        <v>Null</v>
      </c>
      <c r="BD135" s="2" t="str">
        <f>VLOOKUP([jobnumber],OvalData[],MATCH(Table2[[#Headers],[Inner Spring Gage]],Table2[#Headers],0),0)</f>
        <v>Null</v>
      </c>
      <c r="BE135" s="2" t="str">
        <f>VLOOKUP([jobnumber],OvalData[],MATCH(Table2[[#Headers],[Inner Spring OD]],Table2[#Headers],0),0)</f>
        <v>Null</v>
      </c>
      <c r="BF135" s="2" t="str">
        <f>VLOOKUP([jobnumber],OvalData[],MATCH(Table2[[#Headers],[Inner Spring Length]],Table2[#Headers],0),0)</f>
        <v>Null</v>
      </c>
      <c r="BG135" s="2" t="str">
        <f>VLOOKUP([jobnumber],OvalData[],MATCH(Table2[[#Headers],[Inner Spring Stretch]],Table2[#Headers],0),0)</f>
        <v>Null</v>
      </c>
      <c r="BH135" s="2" t="str">
        <f>VLOOKUP([jobnumber],OvalData[],MATCH(Table2[[#Headers],[Inner Spring Torque]],Table2[#Headers],0),0)</f>
        <v>Null</v>
      </c>
      <c r="BI135" s="2" t="str">
        <f>VLOOKUP([jobnumber],OvalData[],MATCH(Table2[[#Headers],[Inner Spring Max Turns]],Table2[#Headers],0),0)</f>
        <v>Null</v>
      </c>
      <c r="BJ135" s="2" t="str">
        <f>VLOOKUP([jobnumber],OvalData[],MATCH(Table2[[#Headers],[Inner Spring Weight]],Table2[#Headers],0),0)</f>
        <v>Null</v>
      </c>
      <c r="BK135" s="2">
        <f>VLOOKUP([jobnumber],OvalData[],MATCH(Table2[[#Headers],[Cycles]],Table2[#Headers],0),0)</f>
        <v>0</v>
      </c>
      <c r="BL135" s="2">
        <f>VLOOKUP([jobnumber],OvalData[],MATCH(Table2[[#Headers],[Total Spring Torque]],Table2[#Headers],0),0)</f>
        <v>0</v>
      </c>
      <c r="BM135" s="2">
        <f>VLOOKUP([jobnumber],OvalData[],MATCH(Table2[[#Headers],[Total Spring Weight]],Table2[#Headers],0),0)</f>
        <v>0</v>
      </c>
      <c r="BN135" s="2">
        <f>VLOOKUP([jobnumber],OvalData[],MATCH(Table2[[#Headers],[Pipe Weight]],Table2[#Headers],0),0)</f>
        <v>688.24239999999998</v>
      </c>
      <c r="BO135" s="2">
        <f>VLOOKUP([jobnumber],OvalData[],MATCH(Table2[[#Headers],[Max Pipe Deflection]],Table2[#Headers],0),0)</f>
        <v>2309</v>
      </c>
      <c r="BP135" s="2">
        <f>VLOOKUP([jobnumber],OvalData[],MATCH(Table2[[#Headers],[Number Non-Insulated Wrap Slats]],Table2[#Headers],0),0)</f>
        <v>0</v>
      </c>
      <c r="BQ135" s="2">
        <f>VLOOKUP([jobnumber],OvalData[],MATCH(Table2[[#Headers],[Number of Insolated Top Slats]],Table2[#Headers],0),0)</f>
        <v>45</v>
      </c>
      <c r="BR135" s="2">
        <f>VLOOKUP([jobnumber],OvalData[],MATCH(Table2[[#Headers],[Insolated Total Slats]],Table2[#Headers],0),0)</f>
        <v>45</v>
      </c>
      <c r="BS135" s="2">
        <f>VLOOKUP([jobnumber],OvalData[],MATCH(Table2[[#Headers],[Number of Slats]],Table2[#Headers],0),0)</f>
        <v>44.69</v>
      </c>
      <c r="BT135" s="2">
        <f>VLOOKUP([jobnumber],OvalData[],MATCH(Table2[[#Headers],[Wrap]],Table2[#Headers],0),0)</f>
        <v>0</v>
      </c>
      <c r="BU135" s="2">
        <f>VLOOKUP([jobnumber],OvalData[],MATCH(Table2[[#Headers],[Wall Angle Thickness]],Table2[#Headers],0),0)</f>
        <v>0</v>
      </c>
      <c r="BV135" s="2">
        <f>VLOOKUP([jobnumber],OvalData[],MATCH(Table2[[#Headers],[windlocks]],Table2[#Headers],0),0)</f>
        <v>0</v>
      </c>
      <c r="BW135" s="2" t="str">
        <f>VLOOKUP([jobnumber],OvalData[],MATCH(Table2[[#Headers],[bottombartype]],Table2[#Headers],0),0)</f>
        <v>SPECIAL</v>
      </c>
      <c r="BX135" s="2">
        <f>VLOOKUP([jobnumber],OvalData[],MATCH(Table2[[#Headers],[endlockweight]],Table2[#Headers],0),0)</f>
        <v>0.17</v>
      </c>
      <c r="BY135" s="2">
        <f>VLOOKUP([jobnumber],OvalData[],MATCH(Table2[[#Headers],[Endlock Total Weight]],Table2[#Headers],0),0)</f>
        <v>7.5972999999999997</v>
      </c>
      <c r="BZ135" s="2">
        <f>VLOOKUP([jobnumber],OvalData[],MATCH(Table2[[#Headers],[Grille Weight]],Table2[#Headers],0),0)</f>
        <v>0</v>
      </c>
      <c r="CA135" s="2">
        <f>VLOOKUP([jobnumber],OvalData[],MATCH(Table2[[#Headers],[barrelrings]],Table2[#Headers],0),0)</f>
        <v>1</v>
      </c>
    </row>
    <row r="136" spans="2:79">
      <c r="B136" s="2" t="str">
        <f>VLOOKUP([jobnumber],OvalData[],MATCH(Table2[[#Headers],[Hand]],Table2[#Headers],0),0)</f>
        <v>RH</v>
      </c>
      <c r="C136" s="2" t="str">
        <f>VLOOKUP([jobnumber],OvalData[],MATCH(Table2[[#Headers],[Model]],Table2[#Headers],0),0)</f>
        <v>SFMPP</v>
      </c>
      <c r="D136" s="2" t="str">
        <f>VLOOKUP([jobnumber],OvalData[],MATCH(Table2[[#Headers],[width]],Table2[#Headers],0),0)</f>
        <v xml:space="preserve"> 18 ft.- 2"</v>
      </c>
      <c r="E136" s="2" t="str">
        <f>VLOOKUP([jobnumber],OvalData[],MATCH(Table2[[#Headers],[stopheight]],Table2[#Headers],0),0)</f>
        <v xml:space="preserve"> 10 ft.- 0"</v>
      </c>
      <c r="F136" s="2" t="str">
        <f>VLOOKUP([jobnumber],OvalData[],MATCH(Table2[[#Headers],[Between Brackets]],Table2[#Headers],0),0)</f>
        <v xml:space="preserve"> 18 ft.- 7 7/ 8"</v>
      </c>
      <c r="G136" s="2" t="str">
        <f>VLOOKUP([jobnumber],OvalData[],MATCH(Table2[[#Headers],[shell]],Table2[#Headers],0),0)</f>
        <v>6 INCH TUBE</v>
      </c>
      <c r="H136" s="2" t="str">
        <f>VLOOKUP([jobnumber],OvalData[],MATCH(Table2[[#Headers],[pipewidth]],Table2[#Headers],0),0)</f>
        <v xml:space="preserve"> 18 ft.- 1 3/ 8"</v>
      </c>
      <c r="I136" s="2">
        <f>VLOOKUP([jobnumber],OvalData[],MATCH(Table2[[#Headers],[Support Tubes]],Table2[#Headers],0),0)</f>
        <v>0</v>
      </c>
      <c r="J136" s="2">
        <f>VLOOKUP([jobnumber],OvalData[],MATCH(Table2[[#Headers],[Upset]],Table2[#Headers],0),0)</f>
        <v>2</v>
      </c>
      <c r="K136" s="2" t="str">
        <f>VLOOKUP([jobnumber],OvalData[],MATCH(Table2[[#Headers],[Guide Type]],Table2[#Headers],0),0)</f>
        <v>SN2-4 5/8-E</v>
      </c>
      <c r="L136" s="2" t="str">
        <f>VLOOKUP([jobnumber],OvalData[],MATCH(Table2[[#Headers],[Wall Angle]],Table2[#Headers],0),0)</f>
        <v xml:space="preserve"> 11 ft.- 8"</v>
      </c>
      <c r="M136" s="2" t="str">
        <f>VLOOKUP([jobnumber],OvalData[],MATCH(Table2[[#Headers],[Middle Angle]],Table2[#Headers],0),0)</f>
        <v xml:space="preserve"> 10 ft.- 4 1/ 2"</v>
      </c>
      <c r="N136" s="2" t="str">
        <f>VLOOKUP([jobnumber],OvalData[],MATCH(Table2[[#Headers],[Front Angle]],Table2[#Headers],0),0)</f>
        <v xml:space="preserve"> 10 ft.- 3"</v>
      </c>
      <c r="O136" s="2">
        <f>VLOOKUP([jobnumber],OvalData[],MATCH(Table2[[#Headers],[Pipe Center Line]],Table2[#Headers],0),0)</f>
        <v>131</v>
      </c>
      <c r="P136" s="2">
        <f>VLOOKUP([jobnumber],OvalData[],MATCH(Table2[[#Headers],[Heat Expansion Gap]],Table2[#Headers],0),0)</f>
        <v>0</v>
      </c>
      <c r="Q136" s="2">
        <f>VLOOKUP([jobnumber],OvalData[],MATCH(Table2[[#Headers],[Hanging Weight Closed]],Table2[#Headers],0),0)</f>
        <v>795</v>
      </c>
      <c r="R136" s="2">
        <f>VLOOKUP([jobnumber],OvalData[],MATCH(Table2[[#Headers],[Hanging Weight Open]],Table2[#Headers],0),0)</f>
        <v>140</v>
      </c>
      <c r="S136" s="2">
        <f>VLOOKUP([jobnumber],OvalData[],MATCH(Table2[[#Headers],[Initial Lever Arm]],Table2[#Headers],0),0)</f>
        <v>4.25</v>
      </c>
      <c r="T136" s="2">
        <f>VLOOKUP([jobnumber],OvalData[],MATCH(Table2[[#Headers],[Turns to Raise]],Table2[#Headers],0),0)</f>
        <v>3.5859999999999999</v>
      </c>
      <c r="U136" s="2">
        <f>VLOOKUP([jobnumber],OvalData[],MATCH(Table2[[#Headers],[Final Lever Arm]],Table2[#Headers],0),0)</f>
        <v>6.37</v>
      </c>
      <c r="V136" s="2">
        <f>VLOOKUP([jobnumber],OvalData[],MATCH(Table2[[#Headers],[Torque Required Closed]],Table2[#Headers],0),0)</f>
        <v>3377.9</v>
      </c>
      <c r="W136" s="2">
        <f>VLOOKUP([jobnumber],OvalData[],MATCH(Table2[[#Headers],[Torque Required Open]],Table2[#Headers],0),0)</f>
        <v>892</v>
      </c>
      <c r="X136" s="2">
        <f>VLOOKUP([jobnumber],OvalData[],MATCH(Table2[[#Headers],[Pre Turns]],Table2[#Headers],0),0)</f>
        <v>1.3332999999999999</v>
      </c>
      <c r="Y136" s="2">
        <f>VLOOKUP([jobnumber],OvalData[],MATCH(Table2[[#Headers],[Required Torque Per Turn]],Table2[#Headers],0),0)</f>
        <v>688</v>
      </c>
      <c r="Z136" s="2">
        <f>VLOOKUP([jobnumber],OvalData[],MATCH(Table2[[#Headers],[Total Turns]],Table2[#Headers],0),0)</f>
        <v>4.91</v>
      </c>
      <c r="AA136" s="2">
        <f>VLOOKUP([jobnumber],OvalData[],MATCH(Table2[[#Headers],[Grille Vision Section]],Table2[#Headers],0),0)</f>
        <v>0</v>
      </c>
      <c r="AB136" s="2">
        <f>VLOOKUP([jobnumber],OvalData[],MATCH(Table2[[#Headers],[Grille Amount]],Table2[#Headers],0),0)</f>
        <v>0</v>
      </c>
      <c r="AC136" s="2">
        <f>VLOOKUP([jobnumber],OvalData[],MATCH(Table2[[#Headers],[Grille Center]],Table2[#Headers],0),0)</f>
        <v>0</v>
      </c>
      <c r="AD136" s="2">
        <f>VLOOKUP([jobnumber],OvalData[],MATCH(Table2[[#Headers],[Grille Pattern]],Table2[#Headers],0),0)</f>
        <v>0</v>
      </c>
      <c r="AE136" s="2">
        <f>VLOOKUP([jobnumber],OvalData[],MATCH(Table2[[#Headers],[Grille First Tube]],Table2[#Headers],0),0)</f>
        <v>0</v>
      </c>
      <c r="AF136" s="2">
        <f>VLOOKUP([jobnumber],OvalData[],MATCH(Table2[[#Headers],[Grille Standard Tube]],Table2[#Headers],0),0)</f>
        <v>0</v>
      </c>
      <c r="AG136" s="2">
        <f>VLOOKUP([jobnumber],OvalData[],MATCH(Table2[[#Headers],[Grille Total Links]],Table2[#Headers],0),0)</f>
        <v>0</v>
      </c>
      <c r="AH136" s="2">
        <f>VLOOKUP([jobnumber],OvalData[],MATCH(Table2[[#Headers],[Grille Rods]],Table2[#Headers],0),0)</f>
        <v>0</v>
      </c>
      <c r="AI136" s="2">
        <f>VLOOKUP([jobnumber],OvalData[],MATCH(Table2[[#Headers],[Grille Rod Length]],Table2[#Headers],0),0)</f>
        <v>0</v>
      </c>
      <c r="AJ136" s="2">
        <f>VLOOKUP([jobnumber],OvalData[],MATCH(Table2[[#Headers],[slattype]],Table2[#Headers],0),0)</f>
        <v>2</v>
      </c>
      <c r="AK136" s="2">
        <f>VLOOKUP([jobnumber],OvalData[],MATCH(Table2[[#Headers],[slatgage]],Table2[#Headers],0),0)</f>
        <v>18</v>
      </c>
      <c r="AL136" s="2">
        <f>VLOOKUP([jobnumber],OvalData[],MATCH(Table2[[#Headers],[Numer of Top Slats]],Table2[#Headers],0),0)</f>
        <v>0</v>
      </c>
      <c r="AM136" s="2">
        <f>VLOOKUP([jobnumber],OvalData[],MATCH(Table2[[#Headers],[Number of Bottom Slats]],Table2[#Headers],0),0)</f>
        <v>0</v>
      </c>
      <c r="AN136" s="2">
        <f>VLOOKUP([jobnumber],OvalData[],MATCH(Table2[[#Headers],[Solid Bottom Height]],Table2[#Headers],0),0)</f>
        <v>0</v>
      </c>
      <c r="AO136" s="2" t="str">
        <f>VLOOKUP([jobnumber],OvalData[],MATCH(Table2[[#Headers],[slatlength]],Table2[#Headers],0),0)</f>
        <v xml:space="preserve"> 18 ft.- 5 7/ 8"</v>
      </c>
      <c r="AP136" s="2">
        <f>VLOOKUP([jobnumber],OvalData[],MATCH(Table2[[#Headers],[Bottom Slat Length]],Table2[#Headers],0),0)</f>
        <v>0</v>
      </c>
      <c r="AQ136" s="2">
        <f>VLOOKUP([jobnumber],OvalData[],MATCH(Table2[[#Headers],[Number of Perferated Slats]],Table2[#Headers],0),0)</f>
        <v>0</v>
      </c>
      <c r="AR136" s="2">
        <f>VLOOKUP([jobnumber],OvalData[],MATCH(Table2[[#Headers],[First Preferated Slat From End]],Table2[#Headers],0),0)</f>
        <v>0</v>
      </c>
      <c r="AS136" s="2">
        <f>VLOOKUP([jobnumber],OvalData[],MATCH(Table2[[#Headers],[First Preferated Slat From Bottom]],Table2[#Headers],0),0)</f>
        <v>0</v>
      </c>
      <c r="AT136" s="2">
        <f>VLOOKUP([jobnumber],OvalData[],MATCH(Table2[[#Headers],[Total Number of Slats]],Table2[#Headers],0),0)</f>
        <v>51</v>
      </c>
      <c r="AU136" s="2">
        <f>VLOOKUP([jobnumber],OvalData[],MATCH(Table2[[#Headers],[Bottom Bar Slope]],Table2[#Headers],0),0)</f>
        <v>0</v>
      </c>
      <c r="AV136" s="2">
        <f>VLOOKUP([jobnumber],OvalData[],MATCH(Table2[[#Headers],[Bottom Bar Weight]],Table2[#Headers],0),0)</f>
        <v>80.5</v>
      </c>
      <c r="AW136" s="2" t="str">
        <f>VLOOKUP([jobnumber],OvalData[],MATCH(Table2[[#Headers],[Outer Spring Gage]],Table2[#Headers],0),0)</f>
        <v>Null</v>
      </c>
      <c r="AX136" s="2" t="str">
        <f>VLOOKUP([jobnumber],OvalData[],MATCH(Table2[[#Headers],[Outer Spring OD]],Table2[#Headers],0),0)</f>
        <v>Null</v>
      </c>
      <c r="AY136" s="2" t="str">
        <f>VLOOKUP([jobnumber],OvalData[],MATCH(Table2[[#Headers],[Outer Spring Length]],Table2[#Headers],0),0)</f>
        <v>Null</v>
      </c>
      <c r="AZ136" s="2" t="str">
        <f>VLOOKUP([jobnumber],OvalData[],MATCH(Table2[[#Headers],[Outer Spring Stretch]],Table2[#Headers],0),0)</f>
        <v>Null</v>
      </c>
      <c r="BA136" s="2" t="str">
        <f>VLOOKUP([jobnumber],OvalData[],MATCH(Table2[[#Headers],[Outer Spring Torque]],Table2[#Headers],0),0)</f>
        <v>Null</v>
      </c>
      <c r="BB136" s="2" t="str">
        <f>VLOOKUP([jobnumber],OvalData[],MATCH(Table2[[#Headers],[Outer Spring Max Turns]],Table2[#Headers],0),0)</f>
        <v>Null</v>
      </c>
      <c r="BC136" s="2" t="str">
        <f>VLOOKUP([jobnumber],OvalData[],MATCH(Table2[[#Headers],[Outer Spring Weight]],Table2[#Headers],0),0)</f>
        <v>Null</v>
      </c>
      <c r="BD136" s="2" t="str">
        <f>VLOOKUP([jobnumber],OvalData[],MATCH(Table2[[#Headers],[Inner Spring Gage]],Table2[#Headers],0),0)</f>
        <v>Null</v>
      </c>
      <c r="BE136" s="2" t="str">
        <f>VLOOKUP([jobnumber],OvalData[],MATCH(Table2[[#Headers],[Inner Spring OD]],Table2[#Headers],0),0)</f>
        <v>Null</v>
      </c>
      <c r="BF136" s="2" t="str">
        <f>VLOOKUP([jobnumber],OvalData[],MATCH(Table2[[#Headers],[Inner Spring Length]],Table2[#Headers],0),0)</f>
        <v>Null</v>
      </c>
      <c r="BG136" s="2" t="str">
        <f>VLOOKUP([jobnumber],OvalData[],MATCH(Table2[[#Headers],[Inner Spring Stretch]],Table2[#Headers],0),0)</f>
        <v>Null</v>
      </c>
      <c r="BH136" s="2" t="str">
        <f>VLOOKUP([jobnumber],OvalData[],MATCH(Table2[[#Headers],[Inner Spring Torque]],Table2[#Headers],0),0)</f>
        <v>Null</v>
      </c>
      <c r="BI136" s="2" t="str">
        <f>VLOOKUP([jobnumber],OvalData[],MATCH(Table2[[#Headers],[Inner Spring Max Turns]],Table2[#Headers],0),0)</f>
        <v>Null</v>
      </c>
      <c r="BJ136" s="2" t="str">
        <f>VLOOKUP([jobnumber],OvalData[],MATCH(Table2[[#Headers],[Inner Spring Weight]],Table2[#Headers],0),0)</f>
        <v>Null</v>
      </c>
      <c r="BK136" s="2">
        <f>VLOOKUP([jobnumber],OvalData[],MATCH(Table2[[#Headers],[Cycles]],Table2[#Headers],0),0)</f>
        <v>0</v>
      </c>
      <c r="BL136" s="2">
        <f>VLOOKUP([jobnumber],OvalData[],MATCH(Table2[[#Headers],[Total Spring Torque]],Table2[#Headers],0),0)</f>
        <v>0</v>
      </c>
      <c r="BM136" s="2">
        <f>VLOOKUP([jobnumber],OvalData[],MATCH(Table2[[#Headers],[Total Spring Weight]],Table2[#Headers],0),0)</f>
        <v>0</v>
      </c>
      <c r="BN136" s="2">
        <f>VLOOKUP([jobnumber],OvalData[],MATCH(Table2[[#Headers],[Pipe Weight]],Table2[#Headers],0),0)</f>
        <v>688.24239999999998</v>
      </c>
      <c r="BO136" s="2">
        <f>VLOOKUP([jobnumber],OvalData[],MATCH(Table2[[#Headers],[Max Pipe Deflection]],Table2[#Headers],0),0)</f>
        <v>2309</v>
      </c>
      <c r="BP136" s="2">
        <f>VLOOKUP([jobnumber],OvalData[],MATCH(Table2[[#Headers],[Number Non-Insulated Wrap Slats]],Table2[#Headers],0),0)</f>
        <v>0</v>
      </c>
      <c r="BQ136" s="2">
        <f>VLOOKUP([jobnumber],OvalData[],MATCH(Table2[[#Headers],[Number of Insolated Top Slats]],Table2[#Headers],0),0)</f>
        <v>45</v>
      </c>
      <c r="BR136" s="2">
        <f>VLOOKUP([jobnumber],OvalData[],MATCH(Table2[[#Headers],[Insolated Total Slats]],Table2[#Headers],0),0)</f>
        <v>45</v>
      </c>
      <c r="BS136" s="2">
        <f>VLOOKUP([jobnumber],OvalData[],MATCH(Table2[[#Headers],[Number of Slats]],Table2[#Headers],0),0)</f>
        <v>44.69</v>
      </c>
      <c r="BT136" s="2">
        <f>VLOOKUP([jobnumber],OvalData[],MATCH(Table2[[#Headers],[Wrap]],Table2[#Headers],0),0)</f>
        <v>0</v>
      </c>
      <c r="BU136" s="2">
        <f>VLOOKUP([jobnumber],OvalData[],MATCH(Table2[[#Headers],[Wall Angle Thickness]],Table2[#Headers],0),0)</f>
        <v>0</v>
      </c>
      <c r="BV136" s="2">
        <f>VLOOKUP([jobnumber],OvalData[],MATCH(Table2[[#Headers],[windlocks]],Table2[#Headers],0),0)</f>
        <v>0</v>
      </c>
      <c r="BW136" s="2" t="str">
        <f>VLOOKUP([jobnumber],OvalData[],MATCH(Table2[[#Headers],[bottombartype]],Table2[#Headers],0),0)</f>
        <v>SPECIAL</v>
      </c>
      <c r="BX136" s="2">
        <f>VLOOKUP([jobnumber],OvalData[],MATCH(Table2[[#Headers],[endlockweight]],Table2[#Headers],0),0)</f>
        <v>0.17</v>
      </c>
      <c r="BY136" s="2">
        <f>VLOOKUP([jobnumber],OvalData[],MATCH(Table2[[#Headers],[Endlock Total Weight]],Table2[#Headers],0),0)</f>
        <v>7.5972999999999997</v>
      </c>
      <c r="BZ136" s="2">
        <f>VLOOKUP([jobnumber],OvalData[],MATCH(Table2[[#Headers],[Grille Weight]],Table2[#Headers],0),0)</f>
        <v>0</v>
      </c>
      <c r="CA136" s="2">
        <f>VLOOKUP([jobnumber],OvalData[],MATCH(Table2[[#Headers],[barrelrings]],Table2[#Headers],0),0)</f>
        <v>1</v>
      </c>
    </row>
    <row r="137" spans="2:79">
      <c r="B137" s="2" t="str">
        <f>VLOOKUP([jobnumber],OvalData[],MATCH(Table2[[#Headers],[Hand]],Table2[#Headers],0),0)</f>
        <v>RH</v>
      </c>
      <c r="C137" s="2" t="str">
        <f>VLOOKUP([jobnumber],OvalData[],MATCH(Table2[[#Headers],[Model]],Table2[#Headers],0),0)</f>
        <v>SFMPP</v>
      </c>
      <c r="D137" s="2" t="str">
        <f>VLOOKUP([jobnumber],OvalData[],MATCH(Table2[[#Headers],[width]],Table2[#Headers],0),0)</f>
        <v xml:space="preserve"> 18 ft.- 2"</v>
      </c>
      <c r="E137" s="2" t="str">
        <f>VLOOKUP([jobnumber],OvalData[],MATCH(Table2[[#Headers],[stopheight]],Table2[#Headers],0),0)</f>
        <v xml:space="preserve"> 10 ft.- 0"</v>
      </c>
      <c r="F137" s="2" t="str">
        <f>VLOOKUP([jobnumber],OvalData[],MATCH(Table2[[#Headers],[Between Brackets]],Table2[#Headers],0),0)</f>
        <v xml:space="preserve"> 18 ft.- 7 7/ 8"</v>
      </c>
      <c r="G137" s="2" t="str">
        <f>VLOOKUP([jobnumber],OvalData[],MATCH(Table2[[#Headers],[shell]],Table2[#Headers],0),0)</f>
        <v>6 INCH TUBE</v>
      </c>
      <c r="H137" s="2" t="str">
        <f>VLOOKUP([jobnumber],OvalData[],MATCH(Table2[[#Headers],[pipewidth]],Table2[#Headers],0),0)</f>
        <v xml:space="preserve"> 18 ft.- 1 3/ 8"</v>
      </c>
      <c r="I137" s="2">
        <f>VLOOKUP([jobnumber],OvalData[],MATCH(Table2[[#Headers],[Support Tubes]],Table2[#Headers],0),0)</f>
        <v>0</v>
      </c>
      <c r="J137" s="2">
        <f>VLOOKUP([jobnumber],OvalData[],MATCH(Table2[[#Headers],[Upset]],Table2[#Headers],0),0)</f>
        <v>2</v>
      </c>
      <c r="K137" s="2" t="str">
        <f>VLOOKUP([jobnumber],OvalData[],MATCH(Table2[[#Headers],[Guide Type]],Table2[#Headers],0),0)</f>
        <v>SN2-4 5/8-E</v>
      </c>
      <c r="L137" s="2" t="str">
        <f>VLOOKUP([jobnumber],OvalData[],MATCH(Table2[[#Headers],[Wall Angle]],Table2[#Headers],0),0)</f>
        <v xml:space="preserve"> 11 ft.- 8"</v>
      </c>
      <c r="M137" s="2" t="str">
        <f>VLOOKUP([jobnumber],OvalData[],MATCH(Table2[[#Headers],[Middle Angle]],Table2[#Headers],0),0)</f>
        <v xml:space="preserve"> 10 ft.- 4 1/ 2"</v>
      </c>
      <c r="N137" s="2" t="str">
        <f>VLOOKUP([jobnumber],OvalData[],MATCH(Table2[[#Headers],[Front Angle]],Table2[#Headers],0),0)</f>
        <v xml:space="preserve"> 10 ft.- 3"</v>
      </c>
      <c r="O137" s="2">
        <f>VLOOKUP([jobnumber],OvalData[],MATCH(Table2[[#Headers],[Pipe Center Line]],Table2[#Headers],0),0)</f>
        <v>131</v>
      </c>
      <c r="P137" s="2">
        <f>VLOOKUP([jobnumber],OvalData[],MATCH(Table2[[#Headers],[Heat Expansion Gap]],Table2[#Headers],0),0)</f>
        <v>0</v>
      </c>
      <c r="Q137" s="2">
        <f>VLOOKUP([jobnumber],OvalData[],MATCH(Table2[[#Headers],[Hanging Weight Closed]],Table2[#Headers],0),0)</f>
        <v>795</v>
      </c>
      <c r="R137" s="2">
        <f>VLOOKUP([jobnumber],OvalData[],MATCH(Table2[[#Headers],[Hanging Weight Open]],Table2[#Headers],0),0)</f>
        <v>140</v>
      </c>
      <c r="S137" s="2">
        <f>VLOOKUP([jobnumber],OvalData[],MATCH(Table2[[#Headers],[Initial Lever Arm]],Table2[#Headers],0),0)</f>
        <v>4.25</v>
      </c>
      <c r="T137" s="2">
        <f>VLOOKUP([jobnumber],OvalData[],MATCH(Table2[[#Headers],[Turns to Raise]],Table2[#Headers],0),0)</f>
        <v>3.5859999999999999</v>
      </c>
      <c r="U137" s="2">
        <f>VLOOKUP([jobnumber],OvalData[],MATCH(Table2[[#Headers],[Final Lever Arm]],Table2[#Headers],0),0)</f>
        <v>6.37</v>
      </c>
      <c r="V137" s="2">
        <f>VLOOKUP([jobnumber],OvalData[],MATCH(Table2[[#Headers],[Torque Required Closed]],Table2[#Headers],0),0)</f>
        <v>3377.9</v>
      </c>
      <c r="W137" s="2">
        <f>VLOOKUP([jobnumber],OvalData[],MATCH(Table2[[#Headers],[Torque Required Open]],Table2[#Headers],0),0)</f>
        <v>892</v>
      </c>
      <c r="X137" s="2">
        <f>VLOOKUP([jobnumber],OvalData[],MATCH(Table2[[#Headers],[Pre Turns]],Table2[#Headers],0),0)</f>
        <v>1.3332999999999999</v>
      </c>
      <c r="Y137" s="2">
        <f>VLOOKUP([jobnumber],OvalData[],MATCH(Table2[[#Headers],[Required Torque Per Turn]],Table2[#Headers],0),0)</f>
        <v>688</v>
      </c>
      <c r="Z137" s="2">
        <f>VLOOKUP([jobnumber],OvalData[],MATCH(Table2[[#Headers],[Total Turns]],Table2[#Headers],0),0)</f>
        <v>4.91</v>
      </c>
      <c r="AA137" s="2">
        <f>VLOOKUP([jobnumber],OvalData[],MATCH(Table2[[#Headers],[Grille Vision Section]],Table2[#Headers],0),0)</f>
        <v>0</v>
      </c>
      <c r="AB137" s="2">
        <f>VLOOKUP([jobnumber],OvalData[],MATCH(Table2[[#Headers],[Grille Amount]],Table2[#Headers],0),0)</f>
        <v>0</v>
      </c>
      <c r="AC137" s="2">
        <f>VLOOKUP([jobnumber],OvalData[],MATCH(Table2[[#Headers],[Grille Center]],Table2[#Headers],0),0)</f>
        <v>0</v>
      </c>
      <c r="AD137" s="2">
        <f>VLOOKUP([jobnumber],OvalData[],MATCH(Table2[[#Headers],[Grille Pattern]],Table2[#Headers],0),0)</f>
        <v>0</v>
      </c>
      <c r="AE137" s="2">
        <f>VLOOKUP([jobnumber],OvalData[],MATCH(Table2[[#Headers],[Grille First Tube]],Table2[#Headers],0),0)</f>
        <v>0</v>
      </c>
      <c r="AF137" s="2">
        <f>VLOOKUP([jobnumber],OvalData[],MATCH(Table2[[#Headers],[Grille Standard Tube]],Table2[#Headers],0),0)</f>
        <v>0</v>
      </c>
      <c r="AG137" s="2">
        <f>VLOOKUP([jobnumber],OvalData[],MATCH(Table2[[#Headers],[Grille Total Links]],Table2[#Headers],0),0)</f>
        <v>0</v>
      </c>
      <c r="AH137" s="2">
        <f>VLOOKUP([jobnumber],OvalData[],MATCH(Table2[[#Headers],[Grille Rods]],Table2[#Headers],0),0)</f>
        <v>0</v>
      </c>
      <c r="AI137" s="2">
        <f>VLOOKUP([jobnumber],OvalData[],MATCH(Table2[[#Headers],[Grille Rod Length]],Table2[#Headers],0),0)</f>
        <v>0</v>
      </c>
      <c r="AJ137" s="2">
        <f>VLOOKUP([jobnumber],OvalData[],MATCH(Table2[[#Headers],[slattype]],Table2[#Headers],0),0)</f>
        <v>2</v>
      </c>
      <c r="AK137" s="2">
        <f>VLOOKUP([jobnumber],OvalData[],MATCH(Table2[[#Headers],[slatgage]],Table2[#Headers],0),0)</f>
        <v>18</v>
      </c>
      <c r="AL137" s="2">
        <f>VLOOKUP([jobnumber],OvalData[],MATCH(Table2[[#Headers],[Numer of Top Slats]],Table2[#Headers],0),0)</f>
        <v>0</v>
      </c>
      <c r="AM137" s="2">
        <f>VLOOKUP([jobnumber],OvalData[],MATCH(Table2[[#Headers],[Number of Bottom Slats]],Table2[#Headers],0),0)</f>
        <v>0</v>
      </c>
      <c r="AN137" s="2">
        <f>VLOOKUP([jobnumber],OvalData[],MATCH(Table2[[#Headers],[Solid Bottom Height]],Table2[#Headers],0),0)</f>
        <v>0</v>
      </c>
      <c r="AO137" s="2" t="str">
        <f>VLOOKUP([jobnumber],OvalData[],MATCH(Table2[[#Headers],[slatlength]],Table2[#Headers],0),0)</f>
        <v xml:space="preserve"> 18 ft.- 5 7/ 8"</v>
      </c>
      <c r="AP137" s="2">
        <f>VLOOKUP([jobnumber],OvalData[],MATCH(Table2[[#Headers],[Bottom Slat Length]],Table2[#Headers],0),0)</f>
        <v>0</v>
      </c>
      <c r="AQ137" s="2">
        <f>VLOOKUP([jobnumber],OvalData[],MATCH(Table2[[#Headers],[Number of Perferated Slats]],Table2[#Headers],0),0)</f>
        <v>0</v>
      </c>
      <c r="AR137" s="2">
        <f>VLOOKUP([jobnumber],OvalData[],MATCH(Table2[[#Headers],[First Preferated Slat From End]],Table2[#Headers],0),0)</f>
        <v>0</v>
      </c>
      <c r="AS137" s="2">
        <f>VLOOKUP([jobnumber],OvalData[],MATCH(Table2[[#Headers],[First Preferated Slat From Bottom]],Table2[#Headers],0),0)</f>
        <v>0</v>
      </c>
      <c r="AT137" s="2">
        <f>VLOOKUP([jobnumber],OvalData[],MATCH(Table2[[#Headers],[Total Number of Slats]],Table2[#Headers],0),0)</f>
        <v>51</v>
      </c>
      <c r="AU137" s="2">
        <f>VLOOKUP([jobnumber],OvalData[],MATCH(Table2[[#Headers],[Bottom Bar Slope]],Table2[#Headers],0),0)</f>
        <v>0</v>
      </c>
      <c r="AV137" s="2">
        <f>VLOOKUP([jobnumber],OvalData[],MATCH(Table2[[#Headers],[Bottom Bar Weight]],Table2[#Headers],0),0)</f>
        <v>80.5</v>
      </c>
      <c r="AW137" s="2" t="str">
        <f>VLOOKUP([jobnumber],OvalData[],MATCH(Table2[[#Headers],[Outer Spring Gage]],Table2[#Headers],0),0)</f>
        <v>Null</v>
      </c>
      <c r="AX137" s="2" t="str">
        <f>VLOOKUP([jobnumber],OvalData[],MATCH(Table2[[#Headers],[Outer Spring OD]],Table2[#Headers],0),0)</f>
        <v>Null</v>
      </c>
      <c r="AY137" s="2" t="str">
        <f>VLOOKUP([jobnumber],OvalData[],MATCH(Table2[[#Headers],[Outer Spring Length]],Table2[#Headers],0),0)</f>
        <v>Null</v>
      </c>
      <c r="AZ137" s="2" t="str">
        <f>VLOOKUP([jobnumber],OvalData[],MATCH(Table2[[#Headers],[Outer Spring Stretch]],Table2[#Headers],0),0)</f>
        <v>Null</v>
      </c>
      <c r="BA137" s="2" t="str">
        <f>VLOOKUP([jobnumber],OvalData[],MATCH(Table2[[#Headers],[Outer Spring Torque]],Table2[#Headers],0),0)</f>
        <v>Null</v>
      </c>
      <c r="BB137" s="2" t="str">
        <f>VLOOKUP([jobnumber],OvalData[],MATCH(Table2[[#Headers],[Outer Spring Max Turns]],Table2[#Headers],0),0)</f>
        <v>Null</v>
      </c>
      <c r="BC137" s="2" t="str">
        <f>VLOOKUP([jobnumber],OvalData[],MATCH(Table2[[#Headers],[Outer Spring Weight]],Table2[#Headers],0),0)</f>
        <v>Null</v>
      </c>
      <c r="BD137" s="2" t="str">
        <f>VLOOKUP([jobnumber],OvalData[],MATCH(Table2[[#Headers],[Inner Spring Gage]],Table2[#Headers],0),0)</f>
        <v>Null</v>
      </c>
      <c r="BE137" s="2" t="str">
        <f>VLOOKUP([jobnumber],OvalData[],MATCH(Table2[[#Headers],[Inner Spring OD]],Table2[#Headers],0),0)</f>
        <v>Null</v>
      </c>
      <c r="BF137" s="2" t="str">
        <f>VLOOKUP([jobnumber],OvalData[],MATCH(Table2[[#Headers],[Inner Spring Length]],Table2[#Headers],0),0)</f>
        <v>Null</v>
      </c>
      <c r="BG137" s="2" t="str">
        <f>VLOOKUP([jobnumber],OvalData[],MATCH(Table2[[#Headers],[Inner Spring Stretch]],Table2[#Headers],0),0)</f>
        <v>Null</v>
      </c>
      <c r="BH137" s="2" t="str">
        <f>VLOOKUP([jobnumber],OvalData[],MATCH(Table2[[#Headers],[Inner Spring Torque]],Table2[#Headers],0),0)</f>
        <v>Null</v>
      </c>
      <c r="BI137" s="2" t="str">
        <f>VLOOKUP([jobnumber],OvalData[],MATCH(Table2[[#Headers],[Inner Spring Max Turns]],Table2[#Headers],0),0)</f>
        <v>Null</v>
      </c>
      <c r="BJ137" s="2" t="str">
        <f>VLOOKUP([jobnumber],OvalData[],MATCH(Table2[[#Headers],[Inner Spring Weight]],Table2[#Headers],0),0)</f>
        <v>Null</v>
      </c>
      <c r="BK137" s="2">
        <f>VLOOKUP([jobnumber],OvalData[],MATCH(Table2[[#Headers],[Cycles]],Table2[#Headers],0),0)</f>
        <v>0</v>
      </c>
      <c r="BL137" s="2">
        <f>VLOOKUP([jobnumber],OvalData[],MATCH(Table2[[#Headers],[Total Spring Torque]],Table2[#Headers],0),0)</f>
        <v>0</v>
      </c>
      <c r="BM137" s="2">
        <f>VLOOKUP([jobnumber],OvalData[],MATCH(Table2[[#Headers],[Total Spring Weight]],Table2[#Headers],0),0)</f>
        <v>0</v>
      </c>
      <c r="BN137" s="2">
        <f>VLOOKUP([jobnumber],OvalData[],MATCH(Table2[[#Headers],[Pipe Weight]],Table2[#Headers],0),0)</f>
        <v>688.24239999999998</v>
      </c>
      <c r="BO137" s="2">
        <f>VLOOKUP([jobnumber],OvalData[],MATCH(Table2[[#Headers],[Max Pipe Deflection]],Table2[#Headers],0),0)</f>
        <v>2309</v>
      </c>
      <c r="BP137" s="2">
        <f>VLOOKUP([jobnumber],OvalData[],MATCH(Table2[[#Headers],[Number Non-Insulated Wrap Slats]],Table2[#Headers],0),0)</f>
        <v>0</v>
      </c>
      <c r="BQ137" s="2">
        <f>VLOOKUP([jobnumber],OvalData[],MATCH(Table2[[#Headers],[Number of Insolated Top Slats]],Table2[#Headers],0),0)</f>
        <v>45</v>
      </c>
      <c r="BR137" s="2">
        <f>VLOOKUP([jobnumber],OvalData[],MATCH(Table2[[#Headers],[Insolated Total Slats]],Table2[#Headers],0),0)</f>
        <v>45</v>
      </c>
      <c r="BS137" s="2">
        <f>VLOOKUP([jobnumber],OvalData[],MATCH(Table2[[#Headers],[Number of Slats]],Table2[#Headers],0),0)</f>
        <v>44.69</v>
      </c>
      <c r="BT137" s="2">
        <f>VLOOKUP([jobnumber],OvalData[],MATCH(Table2[[#Headers],[Wrap]],Table2[#Headers],0),0)</f>
        <v>0</v>
      </c>
      <c r="BU137" s="2">
        <f>VLOOKUP([jobnumber],OvalData[],MATCH(Table2[[#Headers],[Wall Angle Thickness]],Table2[#Headers],0),0)</f>
        <v>0</v>
      </c>
      <c r="BV137" s="2">
        <f>VLOOKUP([jobnumber],OvalData[],MATCH(Table2[[#Headers],[windlocks]],Table2[#Headers],0),0)</f>
        <v>0</v>
      </c>
      <c r="BW137" s="2" t="str">
        <f>VLOOKUP([jobnumber],OvalData[],MATCH(Table2[[#Headers],[bottombartype]],Table2[#Headers],0),0)</f>
        <v>SPECIAL</v>
      </c>
      <c r="BX137" s="2">
        <f>VLOOKUP([jobnumber],OvalData[],MATCH(Table2[[#Headers],[endlockweight]],Table2[#Headers],0),0)</f>
        <v>0.17</v>
      </c>
      <c r="BY137" s="2">
        <f>VLOOKUP([jobnumber],OvalData[],MATCH(Table2[[#Headers],[Endlock Total Weight]],Table2[#Headers],0),0)</f>
        <v>7.5972999999999997</v>
      </c>
      <c r="BZ137" s="2">
        <f>VLOOKUP([jobnumber],OvalData[],MATCH(Table2[[#Headers],[Grille Weight]],Table2[#Headers],0),0)</f>
        <v>0</v>
      </c>
      <c r="CA137" s="2">
        <f>VLOOKUP([jobnumber],OvalData[],MATCH(Table2[[#Headers],[barrelrings]],Table2[#Headers],0),0)</f>
        <v>1</v>
      </c>
    </row>
    <row r="138" spans="2:79">
      <c r="B138" s="2" t="str">
        <f>VLOOKUP([jobnumber],OvalData[],MATCH(Table2[[#Headers],[Hand]],Table2[#Headers],0),0)</f>
        <v>RH</v>
      </c>
      <c r="C138" s="2" t="str">
        <f>VLOOKUP([jobnumber],OvalData[],MATCH(Table2[[#Headers],[Model]],Table2[#Headers],0),0)</f>
        <v>SFMPP</v>
      </c>
      <c r="D138" s="2" t="str">
        <f>VLOOKUP([jobnumber],OvalData[],MATCH(Table2[[#Headers],[width]],Table2[#Headers],0),0)</f>
        <v xml:space="preserve"> 18 ft.- 2"</v>
      </c>
      <c r="E138" s="2" t="str">
        <f>VLOOKUP([jobnumber],OvalData[],MATCH(Table2[[#Headers],[stopheight]],Table2[#Headers],0),0)</f>
        <v xml:space="preserve"> 10 ft.- 0"</v>
      </c>
      <c r="F138" s="2" t="str">
        <f>VLOOKUP([jobnumber],OvalData[],MATCH(Table2[[#Headers],[Between Brackets]],Table2[#Headers],0),0)</f>
        <v xml:space="preserve"> 18 ft.- 7 7/ 8"</v>
      </c>
      <c r="G138" s="2" t="str">
        <f>VLOOKUP([jobnumber],OvalData[],MATCH(Table2[[#Headers],[shell]],Table2[#Headers],0),0)</f>
        <v>6 INCH TUBE</v>
      </c>
      <c r="H138" s="2" t="str">
        <f>VLOOKUP([jobnumber],OvalData[],MATCH(Table2[[#Headers],[pipewidth]],Table2[#Headers],0),0)</f>
        <v xml:space="preserve"> 18 ft.- 1 3/ 8"</v>
      </c>
      <c r="I138" s="2">
        <f>VLOOKUP([jobnumber],OvalData[],MATCH(Table2[[#Headers],[Support Tubes]],Table2[#Headers],0),0)</f>
        <v>0</v>
      </c>
      <c r="J138" s="2">
        <f>VLOOKUP([jobnumber],OvalData[],MATCH(Table2[[#Headers],[Upset]],Table2[#Headers],0),0)</f>
        <v>2</v>
      </c>
      <c r="K138" s="2" t="str">
        <f>VLOOKUP([jobnumber],OvalData[],MATCH(Table2[[#Headers],[Guide Type]],Table2[#Headers],0),0)</f>
        <v>SN2-4 5/8-E</v>
      </c>
      <c r="L138" s="2" t="str">
        <f>VLOOKUP([jobnumber],OvalData[],MATCH(Table2[[#Headers],[Wall Angle]],Table2[#Headers],0),0)</f>
        <v xml:space="preserve"> 11 ft.- 8"</v>
      </c>
      <c r="M138" s="2" t="str">
        <f>VLOOKUP([jobnumber],OvalData[],MATCH(Table2[[#Headers],[Middle Angle]],Table2[#Headers],0),0)</f>
        <v xml:space="preserve"> 10 ft.- 4 1/ 2"</v>
      </c>
      <c r="N138" s="2" t="str">
        <f>VLOOKUP([jobnumber],OvalData[],MATCH(Table2[[#Headers],[Front Angle]],Table2[#Headers],0),0)</f>
        <v xml:space="preserve"> 10 ft.- 3"</v>
      </c>
      <c r="O138" s="2">
        <f>VLOOKUP([jobnumber],OvalData[],MATCH(Table2[[#Headers],[Pipe Center Line]],Table2[#Headers],0),0)</f>
        <v>131</v>
      </c>
      <c r="P138" s="2">
        <f>VLOOKUP([jobnumber],OvalData[],MATCH(Table2[[#Headers],[Heat Expansion Gap]],Table2[#Headers],0),0)</f>
        <v>0</v>
      </c>
      <c r="Q138" s="2">
        <f>VLOOKUP([jobnumber],OvalData[],MATCH(Table2[[#Headers],[Hanging Weight Closed]],Table2[#Headers],0),0)</f>
        <v>795</v>
      </c>
      <c r="R138" s="2">
        <f>VLOOKUP([jobnumber],OvalData[],MATCH(Table2[[#Headers],[Hanging Weight Open]],Table2[#Headers],0),0)</f>
        <v>140</v>
      </c>
      <c r="S138" s="2">
        <f>VLOOKUP([jobnumber],OvalData[],MATCH(Table2[[#Headers],[Initial Lever Arm]],Table2[#Headers],0),0)</f>
        <v>4.25</v>
      </c>
      <c r="T138" s="2">
        <f>VLOOKUP([jobnumber],OvalData[],MATCH(Table2[[#Headers],[Turns to Raise]],Table2[#Headers],0),0)</f>
        <v>3.5859999999999999</v>
      </c>
      <c r="U138" s="2">
        <f>VLOOKUP([jobnumber],OvalData[],MATCH(Table2[[#Headers],[Final Lever Arm]],Table2[#Headers],0),0)</f>
        <v>6.37</v>
      </c>
      <c r="V138" s="2">
        <f>VLOOKUP([jobnumber],OvalData[],MATCH(Table2[[#Headers],[Torque Required Closed]],Table2[#Headers],0),0)</f>
        <v>3377.9</v>
      </c>
      <c r="W138" s="2">
        <f>VLOOKUP([jobnumber],OvalData[],MATCH(Table2[[#Headers],[Torque Required Open]],Table2[#Headers],0),0)</f>
        <v>892</v>
      </c>
      <c r="X138" s="2">
        <f>VLOOKUP([jobnumber],OvalData[],MATCH(Table2[[#Headers],[Pre Turns]],Table2[#Headers],0),0)</f>
        <v>1.3332999999999999</v>
      </c>
      <c r="Y138" s="2">
        <f>VLOOKUP([jobnumber],OvalData[],MATCH(Table2[[#Headers],[Required Torque Per Turn]],Table2[#Headers],0),0)</f>
        <v>688</v>
      </c>
      <c r="Z138" s="2">
        <f>VLOOKUP([jobnumber],OvalData[],MATCH(Table2[[#Headers],[Total Turns]],Table2[#Headers],0),0)</f>
        <v>4.91</v>
      </c>
      <c r="AA138" s="2">
        <f>VLOOKUP([jobnumber],OvalData[],MATCH(Table2[[#Headers],[Grille Vision Section]],Table2[#Headers],0),0)</f>
        <v>0</v>
      </c>
      <c r="AB138" s="2">
        <f>VLOOKUP([jobnumber],OvalData[],MATCH(Table2[[#Headers],[Grille Amount]],Table2[#Headers],0),0)</f>
        <v>0</v>
      </c>
      <c r="AC138" s="2">
        <f>VLOOKUP([jobnumber],OvalData[],MATCH(Table2[[#Headers],[Grille Center]],Table2[#Headers],0),0)</f>
        <v>0</v>
      </c>
      <c r="AD138" s="2">
        <f>VLOOKUP([jobnumber],OvalData[],MATCH(Table2[[#Headers],[Grille Pattern]],Table2[#Headers],0),0)</f>
        <v>0</v>
      </c>
      <c r="AE138" s="2">
        <f>VLOOKUP([jobnumber],OvalData[],MATCH(Table2[[#Headers],[Grille First Tube]],Table2[#Headers],0),0)</f>
        <v>0</v>
      </c>
      <c r="AF138" s="2">
        <f>VLOOKUP([jobnumber],OvalData[],MATCH(Table2[[#Headers],[Grille Standard Tube]],Table2[#Headers],0),0)</f>
        <v>0</v>
      </c>
      <c r="AG138" s="2">
        <f>VLOOKUP([jobnumber],OvalData[],MATCH(Table2[[#Headers],[Grille Total Links]],Table2[#Headers],0),0)</f>
        <v>0</v>
      </c>
      <c r="AH138" s="2">
        <f>VLOOKUP([jobnumber],OvalData[],MATCH(Table2[[#Headers],[Grille Rods]],Table2[#Headers],0),0)</f>
        <v>0</v>
      </c>
      <c r="AI138" s="2">
        <f>VLOOKUP([jobnumber],OvalData[],MATCH(Table2[[#Headers],[Grille Rod Length]],Table2[#Headers],0),0)</f>
        <v>0</v>
      </c>
      <c r="AJ138" s="2">
        <f>VLOOKUP([jobnumber],OvalData[],MATCH(Table2[[#Headers],[slattype]],Table2[#Headers],0),0)</f>
        <v>2</v>
      </c>
      <c r="AK138" s="2">
        <f>VLOOKUP([jobnumber],OvalData[],MATCH(Table2[[#Headers],[slatgage]],Table2[#Headers],0),0)</f>
        <v>18</v>
      </c>
      <c r="AL138" s="2">
        <f>VLOOKUP([jobnumber],OvalData[],MATCH(Table2[[#Headers],[Numer of Top Slats]],Table2[#Headers],0),0)</f>
        <v>0</v>
      </c>
      <c r="AM138" s="2">
        <f>VLOOKUP([jobnumber],OvalData[],MATCH(Table2[[#Headers],[Number of Bottom Slats]],Table2[#Headers],0),0)</f>
        <v>0</v>
      </c>
      <c r="AN138" s="2">
        <f>VLOOKUP([jobnumber],OvalData[],MATCH(Table2[[#Headers],[Solid Bottom Height]],Table2[#Headers],0),0)</f>
        <v>0</v>
      </c>
      <c r="AO138" s="2" t="str">
        <f>VLOOKUP([jobnumber],OvalData[],MATCH(Table2[[#Headers],[slatlength]],Table2[#Headers],0),0)</f>
        <v xml:space="preserve"> 18 ft.- 5 7/ 8"</v>
      </c>
      <c r="AP138" s="2">
        <f>VLOOKUP([jobnumber],OvalData[],MATCH(Table2[[#Headers],[Bottom Slat Length]],Table2[#Headers],0),0)</f>
        <v>0</v>
      </c>
      <c r="AQ138" s="2">
        <f>VLOOKUP([jobnumber],OvalData[],MATCH(Table2[[#Headers],[Number of Perferated Slats]],Table2[#Headers],0),0)</f>
        <v>0</v>
      </c>
      <c r="AR138" s="2">
        <f>VLOOKUP([jobnumber],OvalData[],MATCH(Table2[[#Headers],[First Preferated Slat From End]],Table2[#Headers],0),0)</f>
        <v>0</v>
      </c>
      <c r="AS138" s="2">
        <f>VLOOKUP([jobnumber],OvalData[],MATCH(Table2[[#Headers],[First Preferated Slat From Bottom]],Table2[#Headers],0),0)</f>
        <v>0</v>
      </c>
      <c r="AT138" s="2">
        <f>VLOOKUP([jobnumber],OvalData[],MATCH(Table2[[#Headers],[Total Number of Slats]],Table2[#Headers],0),0)</f>
        <v>51</v>
      </c>
      <c r="AU138" s="2">
        <f>VLOOKUP([jobnumber],OvalData[],MATCH(Table2[[#Headers],[Bottom Bar Slope]],Table2[#Headers],0),0)</f>
        <v>0</v>
      </c>
      <c r="AV138" s="2">
        <f>VLOOKUP([jobnumber],OvalData[],MATCH(Table2[[#Headers],[Bottom Bar Weight]],Table2[#Headers],0),0)</f>
        <v>80.5</v>
      </c>
      <c r="AW138" s="2" t="str">
        <f>VLOOKUP([jobnumber],OvalData[],MATCH(Table2[[#Headers],[Outer Spring Gage]],Table2[#Headers],0),0)</f>
        <v>Null</v>
      </c>
      <c r="AX138" s="2" t="str">
        <f>VLOOKUP([jobnumber],OvalData[],MATCH(Table2[[#Headers],[Outer Spring OD]],Table2[#Headers],0),0)</f>
        <v>Null</v>
      </c>
      <c r="AY138" s="2" t="str">
        <f>VLOOKUP([jobnumber],OvalData[],MATCH(Table2[[#Headers],[Outer Spring Length]],Table2[#Headers],0),0)</f>
        <v>Null</v>
      </c>
      <c r="AZ138" s="2" t="str">
        <f>VLOOKUP([jobnumber],OvalData[],MATCH(Table2[[#Headers],[Outer Spring Stretch]],Table2[#Headers],0),0)</f>
        <v>Null</v>
      </c>
      <c r="BA138" s="2" t="str">
        <f>VLOOKUP([jobnumber],OvalData[],MATCH(Table2[[#Headers],[Outer Spring Torque]],Table2[#Headers],0),0)</f>
        <v>Null</v>
      </c>
      <c r="BB138" s="2" t="str">
        <f>VLOOKUP([jobnumber],OvalData[],MATCH(Table2[[#Headers],[Outer Spring Max Turns]],Table2[#Headers],0),0)</f>
        <v>Null</v>
      </c>
      <c r="BC138" s="2" t="str">
        <f>VLOOKUP([jobnumber],OvalData[],MATCH(Table2[[#Headers],[Outer Spring Weight]],Table2[#Headers],0),0)</f>
        <v>Null</v>
      </c>
      <c r="BD138" s="2" t="str">
        <f>VLOOKUP([jobnumber],OvalData[],MATCH(Table2[[#Headers],[Inner Spring Gage]],Table2[#Headers],0),0)</f>
        <v>Null</v>
      </c>
      <c r="BE138" s="2" t="str">
        <f>VLOOKUP([jobnumber],OvalData[],MATCH(Table2[[#Headers],[Inner Spring OD]],Table2[#Headers],0),0)</f>
        <v>Null</v>
      </c>
      <c r="BF138" s="2" t="str">
        <f>VLOOKUP([jobnumber],OvalData[],MATCH(Table2[[#Headers],[Inner Spring Length]],Table2[#Headers],0),0)</f>
        <v>Null</v>
      </c>
      <c r="BG138" s="2" t="str">
        <f>VLOOKUP([jobnumber],OvalData[],MATCH(Table2[[#Headers],[Inner Spring Stretch]],Table2[#Headers],0),0)</f>
        <v>Null</v>
      </c>
      <c r="BH138" s="2" t="str">
        <f>VLOOKUP([jobnumber],OvalData[],MATCH(Table2[[#Headers],[Inner Spring Torque]],Table2[#Headers],0),0)</f>
        <v>Null</v>
      </c>
      <c r="BI138" s="2" t="str">
        <f>VLOOKUP([jobnumber],OvalData[],MATCH(Table2[[#Headers],[Inner Spring Max Turns]],Table2[#Headers],0),0)</f>
        <v>Null</v>
      </c>
      <c r="BJ138" s="2" t="str">
        <f>VLOOKUP([jobnumber],OvalData[],MATCH(Table2[[#Headers],[Inner Spring Weight]],Table2[#Headers],0),0)</f>
        <v>Null</v>
      </c>
      <c r="BK138" s="2">
        <f>VLOOKUP([jobnumber],OvalData[],MATCH(Table2[[#Headers],[Cycles]],Table2[#Headers],0),0)</f>
        <v>0</v>
      </c>
      <c r="BL138" s="2">
        <f>VLOOKUP([jobnumber],OvalData[],MATCH(Table2[[#Headers],[Total Spring Torque]],Table2[#Headers],0),0)</f>
        <v>0</v>
      </c>
      <c r="BM138" s="2">
        <f>VLOOKUP([jobnumber],OvalData[],MATCH(Table2[[#Headers],[Total Spring Weight]],Table2[#Headers],0),0)</f>
        <v>0</v>
      </c>
      <c r="BN138" s="2">
        <f>VLOOKUP([jobnumber],OvalData[],MATCH(Table2[[#Headers],[Pipe Weight]],Table2[#Headers],0),0)</f>
        <v>688.24239999999998</v>
      </c>
      <c r="BO138" s="2">
        <f>VLOOKUP([jobnumber],OvalData[],MATCH(Table2[[#Headers],[Max Pipe Deflection]],Table2[#Headers],0),0)</f>
        <v>2309</v>
      </c>
      <c r="BP138" s="2">
        <f>VLOOKUP([jobnumber],OvalData[],MATCH(Table2[[#Headers],[Number Non-Insulated Wrap Slats]],Table2[#Headers],0),0)</f>
        <v>0</v>
      </c>
      <c r="BQ138" s="2">
        <f>VLOOKUP([jobnumber],OvalData[],MATCH(Table2[[#Headers],[Number of Insolated Top Slats]],Table2[#Headers],0),0)</f>
        <v>45</v>
      </c>
      <c r="BR138" s="2">
        <f>VLOOKUP([jobnumber],OvalData[],MATCH(Table2[[#Headers],[Insolated Total Slats]],Table2[#Headers],0),0)</f>
        <v>45</v>
      </c>
      <c r="BS138" s="2">
        <f>VLOOKUP([jobnumber],OvalData[],MATCH(Table2[[#Headers],[Number of Slats]],Table2[#Headers],0),0)</f>
        <v>44.69</v>
      </c>
      <c r="BT138" s="2">
        <f>VLOOKUP([jobnumber],OvalData[],MATCH(Table2[[#Headers],[Wrap]],Table2[#Headers],0),0)</f>
        <v>0</v>
      </c>
      <c r="BU138" s="2">
        <f>VLOOKUP([jobnumber],OvalData[],MATCH(Table2[[#Headers],[Wall Angle Thickness]],Table2[#Headers],0),0)</f>
        <v>0</v>
      </c>
      <c r="BV138" s="2">
        <f>VLOOKUP([jobnumber],OvalData[],MATCH(Table2[[#Headers],[windlocks]],Table2[#Headers],0),0)</f>
        <v>0</v>
      </c>
      <c r="BW138" s="2" t="str">
        <f>VLOOKUP([jobnumber],OvalData[],MATCH(Table2[[#Headers],[bottombartype]],Table2[#Headers],0),0)</f>
        <v>SPECIAL</v>
      </c>
      <c r="BX138" s="2">
        <f>VLOOKUP([jobnumber],OvalData[],MATCH(Table2[[#Headers],[endlockweight]],Table2[#Headers],0),0)</f>
        <v>0.17</v>
      </c>
      <c r="BY138" s="2">
        <f>VLOOKUP([jobnumber],OvalData[],MATCH(Table2[[#Headers],[Endlock Total Weight]],Table2[#Headers],0),0)</f>
        <v>7.5972999999999997</v>
      </c>
      <c r="BZ138" s="2">
        <f>VLOOKUP([jobnumber],OvalData[],MATCH(Table2[[#Headers],[Grille Weight]],Table2[#Headers],0),0)</f>
        <v>0</v>
      </c>
      <c r="CA138" s="2">
        <f>VLOOKUP([jobnumber],OvalData[],MATCH(Table2[[#Headers],[barrelrings]],Table2[#Headers],0),0)</f>
        <v>1</v>
      </c>
    </row>
    <row r="139" spans="2:79">
      <c r="B139" s="2" t="str">
        <f>VLOOKUP([jobnumber],OvalData[],MATCH(Table2[[#Headers],[Hand]],Table2[#Headers],0),0)</f>
        <v>RH</v>
      </c>
      <c r="C139" s="2" t="str">
        <f>VLOOKUP([jobnumber],OvalData[],MATCH(Table2[[#Headers],[Model]],Table2[#Headers],0),0)</f>
        <v>SFMPP</v>
      </c>
      <c r="D139" s="2" t="str">
        <f>VLOOKUP([jobnumber],OvalData[],MATCH(Table2[[#Headers],[width]],Table2[#Headers],0),0)</f>
        <v xml:space="preserve"> 18 ft.- 2"</v>
      </c>
      <c r="E139" s="2" t="str">
        <f>VLOOKUP([jobnumber],OvalData[],MATCH(Table2[[#Headers],[stopheight]],Table2[#Headers],0),0)</f>
        <v xml:space="preserve"> 10 ft.- 0"</v>
      </c>
      <c r="F139" s="2" t="str">
        <f>VLOOKUP([jobnumber],OvalData[],MATCH(Table2[[#Headers],[Between Brackets]],Table2[#Headers],0),0)</f>
        <v xml:space="preserve"> 18 ft.- 7 7/ 8"</v>
      </c>
      <c r="G139" s="2" t="str">
        <f>VLOOKUP([jobnumber],OvalData[],MATCH(Table2[[#Headers],[shell]],Table2[#Headers],0),0)</f>
        <v>6 INCH TUBE</v>
      </c>
      <c r="H139" s="2" t="str">
        <f>VLOOKUP([jobnumber],OvalData[],MATCH(Table2[[#Headers],[pipewidth]],Table2[#Headers],0),0)</f>
        <v xml:space="preserve"> 18 ft.- 1 3/ 8"</v>
      </c>
      <c r="I139" s="2">
        <f>VLOOKUP([jobnumber],OvalData[],MATCH(Table2[[#Headers],[Support Tubes]],Table2[#Headers],0),0)</f>
        <v>0</v>
      </c>
      <c r="J139" s="2">
        <f>VLOOKUP([jobnumber],OvalData[],MATCH(Table2[[#Headers],[Upset]],Table2[#Headers],0),0)</f>
        <v>2</v>
      </c>
      <c r="K139" s="2" t="str">
        <f>VLOOKUP([jobnumber],OvalData[],MATCH(Table2[[#Headers],[Guide Type]],Table2[#Headers],0),0)</f>
        <v>SN2-4 5/8-E</v>
      </c>
      <c r="L139" s="2" t="str">
        <f>VLOOKUP([jobnumber],OvalData[],MATCH(Table2[[#Headers],[Wall Angle]],Table2[#Headers],0),0)</f>
        <v xml:space="preserve"> 11 ft.- 8"</v>
      </c>
      <c r="M139" s="2" t="str">
        <f>VLOOKUP([jobnumber],OvalData[],MATCH(Table2[[#Headers],[Middle Angle]],Table2[#Headers],0),0)</f>
        <v xml:space="preserve"> 10 ft.- 4 1/ 2"</v>
      </c>
      <c r="N139" s="2" t="str">
        <f>VLOOKUP([jobnumber],OvalData[],MATCH(Table2[[#Headers],[Front Angle]],Table2[#Headers],0),0)</f>
        <v xml:space="preserve"> 10 ft.- 3"</v>
      </c>
      <c r="O139" s="2">
        <f>VLOOKUP([jobnumber],OvalData[],MATCH(Table2[[#Headers],[Pipe Center Line]],Table2[#Headers],0),0)</f>
        <v>131</v>
      </c>
      <c r="P139" s="2">
        <f>VLOOKUP([jobnumber],OvalData[],MATCH(Table2[[#Headers],[Heat Expansion Gap]],Table2[#Headers],0),0)</f>
        <v>0</v>
      </c>
      <c r="Q139" s="2">
        <f>VLOOKUP([jobnumber],OvalData[],MATCH(Table2[[#Headers],[Hanging Weight Closed]],Table2[#Headers],0),0)</f>
        <v>795</v>
      </c>
      <c r="R139" s="2">
        <f>VLOOKUP([jobnumber],OvalData[],MATCH(Table2[[#Headers],[Hanging Weight Open]],Table2[#Headers],0),0)</f>
        <v>140</v>
      </c>
      <c r="S139" s="2">
        <f>VLOOKUP([jobnumber],OvalData[],MATCH(Table2[[#Headers],[Initial Lever Arm]],Table2[#Headers],0),0)</f>
        <v>4.25</v>
      </c>
      <c r="T139" s="2">
        <f>VLOOKUP([jobnumber],OvalData[],MATCH(Table2[[#Headers],[Turns to Raise]],Table2[#Headers],0),0)</f>
        <v>3.5859999999999999</v>
      </c>
      <c r="U139" s="2">
        <f>VLOOKUP([jobnumber],OvalData[],MATCH(Table2[[#Headers],[Final Lever Arm]],Table2[#Headers],0),0)</f>
        <v>6.37</v>
      </c>
      <c r="V139" s="2">
        <f>VLOOKUP([jobnumber],OvalData[],MATCH(Table2[[#Headers],[Torque Required Closed]],Table2[#Headers],0),0)</f>
        <v>3377.9</v>
      </c>
      <c r="W139" s="2">
        <f>VLOOKUP([jobnumber],OvalData[],MATCH(Table2[[#Headers],[Torque Required Open]],Table2[#Headers],0),0)</f>
        <v>892</v>
      </c>
      <c r="X139" s="2">
        <f>VLOOKUP([jobnumber],OvalData[],MATCH(Table2[[#Headers],[Pre Turns]],Table2[#Headers],0),0)</f>
        <v>1.3332999999999999</v>
      </c>
      <c r="Y139" s="2">
        <f>VLOOKUP([jobnumber],OvalData[],MATCH(Table2[[#Headers],[Required Torque Per Turn]],Table2[#Headers],0),0)</f>
        <v>688</v>
      </c>
      <c r="Z139" s="2">
        <f>VLOOKUP([jobnumber],OvalData[],MATCH(Table2[[#Headers],[Total Turns]],Table2[#Headers],0),0)</f>
        <v>4.91</v>
      </c>
      <c r="AA139" s="2">
        <f>VLOOKUP([jobnumber],OvalData[],MATCH(Table2[[#Headers],[Grille Vision Section]],Table2[#Headers],0),0)</f>
        <v>0</v>
      </c>
      <c r="AB139" s="2">
        <f>VLOOKUP([jobnumber],OvalData[],MATCH(Table2[[#Headers],[Grille Amount]],Table2[#Headers],0),0)</f>
        <v>0</v>
      </c>
      <c r="AC139" s="2">
        <f>VLOOKUP([jobnumber],OvalData[],MATCH(Table2[[#Headers],[Grille Center]],Table2[#Headers],0),0)</f>
        <v>0</v>
      </c>
      <c r="AD139" s="2">
        <f>VLOOKUP([jobnumber],OvalData[],MATCH(Table2[[#Headers],[Grille Pattern]],Table2[#Headers],0),0)</f>
        <v>0</v>
      </c>
      <c r="AE139" s="2">
        <f>VLOOKUP([jobnumber],OvalData[],MATCH(Table2[[#Headers],[Grille First Tube]],Table2[#Headers],0),0)</f>
        <v>0</v>
      </c>
      <c r="AF139" s="2">
        <f>VLOOKUP([jobnumber],OvalData[],MATCH(Table2[[#Headers],[Grille Standard Tube]],Table2[#Headers],0),0)</f>
        <v>0</v>
      </c>
      <c r="AG139" s="2">
        <f>VLOOKUP([jobnumber],OvalData[],MATCH(Table2[[#Headers],[Grille Total Links]],Table2[#Headers],0),0)</f>
        <v>0</v>
      </c>
      <c r="AH139" s="2">
        <f>VLOOKUP([jobnumber],OvalData[],MATCH(Table2[[#Headers],[Grille Rods]],Table2[#Headers],0),0)</f>
        <v>0</v>
      </c>
      <c r="AI139" s="2">
        <f>VLOOKUP([jobnumber],OvalData[],MATCH(Table2[[#Headers],[Grille Rod Length]],Table2[#Headers],0),0)</f>
        <v>0</v>
      </c>
      <c r="AJ139" s="2">
        <f>VLOOKUP([jobnumber],OvalData[],MATCH(Table2[[#Headers],[slattype]],Table2[#Headers],0),0)</f>
        <v>2</v>
      </c>
      <c r="AK139" s="2">
        <f>VLOOKUP([jobnumber],OvalData[],MATCH(Table2[[#Headers],[slatgage]],Table2[#Headers],0),0)</f>
        <v>18</v>
      </c>
      <c r="AL139" s="2">
        <f>VLOOKUP([jobnumber],OvalData[],MATCH(Table2[[#Headers],[Numer of Top Slats]],Table2[#Headers],0),0)</f>
        <v>0</v>
      </c>
      <c r="AM139" s="2">
        <f>VLOOKUP([jobnumber],OvalData[],MATCH(Table2[[#Headers],[Number of Bottom Slats]],Table2[#Headers],0),0)</f>
        <v>0</v>
      </c>
      <c r="AN139" s="2">
        <f>VLOOKUP([jobnumber],OvalData[],MATCH(Table2[[#Headers],[Solid Bottom Height]],Table2[#Headers],0),0)</f>
        <v>0</v>
      </c>
      <c r="AO139" s="2" t="str">
        <f>VLOOKUP([jobnumber],OvalData[],MATCH(Table2[[#Headers],[slatlength]],Table2[#Headers],0),0)</f>
        <v xml:space="preserve"> 18 ft.- 5 7/ 8"</v>
      </c>
      <c r="AP139" s="2">
        <f>VLOOKUP([jobnumber],OvalData[],MATCH(Table2[[#Headers],[Bottom Slat Length]],Table2[#Headers],0),0)</f>
        <v>0</v>
      </c>
      <c r="AQ139" s="2">
        <f>VLOOKUP([jobnumber],OvalData[],MATCH(Table2[[#Headers],[Number of Perferated Slats]],Table2[#Headers],0),0)</f>
        <v>0</v>
      </c>
      <c r="AR139" s="2">
        <f>VLOOKUP([jobnumber],OvalData[],MATCH(Table2[[#Headers],[First Preferated Slat From End]],Table2[#Headers],0),0)</f>
        <v>0</v>
      </c>
      <c r="AS139" s="2">
        <f>VLOOKUP([jobnumber],OvalData[],MATCH(Table2[[#Headers],[First Preferated Slat From Bottom]],Table2[#Headers],0),0)</f>
        <v>0</v>
      </c>
      <c r="AT139" s="2">
        <f>VLOOKUP([jobnumber],OvalData[],MATCH(Table2[[#Headers],[Total Number of Slats]],Table2[#Headers],0),0)</f>
        <v>51</v>
      </c>
      <c r="AU139" s="2">
        <f>VLOOKUP([jobnumber],OvalData[],MATCH(Table2[[#Headers],[Bottom Bar Slope]],Table2[#Headers],0),0)</f>
        <v>0</v>
      </c>
      <c r="AV139" s="2">
        <f>VLOOKUP([jobnumber],OvalData[],MATCH(Table2[[#Headers],[Bottom Bar Weight]],Table2[#Headers],0),0)</f>
        <v>80.5</v>
      </c>
      <c r="AW139" s="2" t="str">
        <f>VLOOKUP([jobnumber],OvalData[],MATCH(Table2[[#Headers],[Outer Spring Gage]],Table2[#Headers],0),0)</f>
        <v>Null</v>
      </c>
      <c r="AX139" s="2" t="str">
        <f>VLOOKUP([jobnumber],OvalData[],MATCH(Table2[[#Headers],[Outer Spring OD]],Table2[#Headers],0),0)</f>
        <v>Null</v>
      </c>
      <c r="AY139" s="2" t="str">
        <f>VLOOKUP([jobnumber],OvalData[],MATCH(Table2[[#Headers],[Outer Spring Length]],Table2[#Headers],0),0)</f>
        <v>Null</v>
      </c>
      <c r="AZ139" s="2" t="str">
        <f>VLOOKUP([jobnumber],OvalData[],MATCH(Table2[[#Headers],[Outer Spring Stretch]],Table2[#Headers],0),0)</f>
        <v>Null</v>
      </c>
      <c r="BA139" s="2" t="str">
        <f>VLOOKUP([jobnumber],OvalData[],MATCH(Table2[[#Headers],[Outer Spring Torque]],Table2[#Headers],0),0)</f>
        <v>Null</v>
      </c>
      <c r="BB139" s="2" t="str">
        <f>VLOOKUP([jobnumber],OvalData[],MATCH(Table2[[#Headers],[Outer Spring Max Turns]],Table2[#Headers],0),0)</f>
        <v>Null</v>
      </c>
      <c r="BC139" s="2" t="str">
        <f>VLOOKUP([jobnumber],OvalData[],MATCH(Table2[[#Headers],[Outer Spring Weight]],Table2[#Headers],0),0)</f>
        <v>Null</v>
      </c>
      <c r="BD139" s="2" t="str">
        <f>VLOOKUP([jobnumber],OvalData[],MATCH(Table2[[#Headers],[Inner Spring Gage]],Table2[#Headers],0),0)</f>
        <v>Null</v>
      </c>
      <c r="BE139" s="2" t="str">
        <f>VLOOKUP([jobnumber],OvalData[],MATCH(Table2[[#Headers],[Inner Spring OD]],Table2[#Headers],0),0)</f>
        <v>Null</v>
      </c>
      <c r="BF139" s="2" t="str">
        <f>VLOOKUP([jobnumber],OvalData[],MATCH(Table2[[#Headers],[Inner Spring Length]],Table2[#Headers],0),0)</f>
        <v>Null</v>
      </c>
      <c r="BG139" s="2" t="str">
        <f>VLOOKUP([jobnumber],OvalData[],MATCH(Table2[[#Headers],[Inner Spring Stretch]],Table2[#Headers],0),0)</f>
        <v>Null</v>
      </c>
      <c r="BH139" s="2" t="str">
        <f>VLOOKUP([jobnumber],OvalData[],MATCH(Table2[[#Headers],[Inner Spring Torque]],Table2[#Headers],0),0)</f>
        <v>Null</v>
      </c>
      <c r="BI139" s="2" t="str">
        <f>VLOOKUP([jobnumber],OvalData[],MATCH(Table2[[#Headers],[Inner Spring Max Turns]],Table2[#Headers],0),0)</f>
        <v>Null</v>
      </c>
      <c r="BJ139" s="2" t="str">
        <f>VLOOKUP([jobnumber],OvalData[],MATCH(Table2[[#Headers],[Inner Spring Weight]],Table2[#Headers],0),0)</f>
        <v>Null</v>
      </c>
      <c r="BK139" s="2">
        <f>VLOOKUP([jobnumber],OvalData[],MATCH(Table2[[#Headers],[Cycles]],Table2[#Headers],0),0)</f>
        <v>0</v>
      </c>
      <c r="BL139" s="2">
        <f>VLOOKUP([jobnumber],OvalData[],MATCH(Table2[[#Headers],[Total Spring Torque]],Table2[#Headers],0),0)</f>
        <v>0</v>
      </c>
      <c r="BM139" s="2">
        <f>VLOOKUP([jobnumber],OvalData[],MATCH(Table2[[#Headers],[Total Spring Weight]],Table2[#Headers],0),0)</f>
        <v>0</v>
      </c>
      <c r="BN139" s="2">
        <f>VLOOKUP([jobnumber],OvalData[],MATCH(Table2[[#Headers],[Pipe Weight]],Table2[#Headers],0),0)</f>
        <v>688.24239999999998</v>
      </c>
      <c r="BO139" s="2">
        <f>VLOOKUP([jobnumber],OvalData[],MATCH(Table2[[#Headers],[Max Pipe Deflection]],Table2[#Headers],0),0)</f>
        <v>2309</v>
      </c>
      <c r="BP139" s="2">
        <f>VLOOKUP([jobnumber],OvalData[],MATCH(Table2[[#Headers],[Number Non-Insulated Wrap Slats]],Table2[#Headers],0),0)</f>
        <v>0</v>
      </c>
      <c r="BQ139" s="2">
        <f>VLOOKUP([jobnumber],OvalData[],MATCH(Table2[[#Headers],[Number of Insolated Top Slats]],Table2[#Headers],0),0)</f>
        <v>45</v>
      </c>
      <c r="BR139" s="2">
        <f>VLOOKUP([jobnumber],OvalData[],MATCH(Table2[[#Headers],[Insolated Total Slats]],Table2[#Headers],0),0)</f>
        <v>45</v>
      </c>
      <c r="BS139" s="2">
        <f>VLOOKUP([jobnumber],OvalData[],MATCH(Table2[[#Headers],[Number of Slats]],Table2[#Headers],0),0)</f>
        <v>44.69</v>
      </c>
      <c r="BT139" s="2">
        <f>VLOOKUP([jobnumber],OvalData[],MATCH(Table2[[#Headers],[Wrap]],Table2[#Headers],0),0)</f>
        <v>0</v>
      </c>
      <c r="BU139" s="2">
        <f>VLOOKUP([jobnumber],OvalData[],MATCH(Table2[[#Headers],[Wall Angle Thickness]],Table2[#Headers],0),0)</f>
        <v>0</v>
      </c>
      <c r="BV139" s="2">
        <f>VLOOKUP([jobnumber],OvalData[],MATCH(Table2[[#Headers],[windlocks]],Table2[#Headers],0),0)</f>
        <v>0</v>
      </c>
      <c r="BW139" s="2" t="str">
        <f>VLOOKUP([jobnumber],OvalData[],MATCH(Table2[[#Headers],[bottombartype]],Table2[#Headers],0),0)</f>
        <v>SPECIAL</v>
      </c>
      <c r="BX139" s="2">
        <f>VLOOKUP([jobnumber],OvalData[],MATCH(Table2[[#Headers],[endlockweight]],Table2[#Headers],0),0)</f>
        <v>0.17</v>
      </c>
      <c r="BY139" s="2">
        <f>VLOOKUP([jobnumber],OvalData[],MATCH(Table2[[#Headers],[Endlock Total Weight]],Table2[#Headers],0),0)</f>
        <v>7.5972999999999997</v>
      </c>
      <c r="BZ139" s="2">
        <f>VLOOKUP([jobnumber],OvalData[],MATCH(Table2[[#Headers],[Grille Weight]],Table2[#Headers],0),0)</f>
        <v>0</v>
      </c>
      <c r="CA139" s="2">
        <f>VLOOKUP([jobnumber],OvalData[],MATCH(Table2[[#Headers],[barrelrings]],Table2[#Headers],0),0)</f>
        <v>1</v>
      </c>
    </row>
    <row r="140" spans="2:79">
      <c r="B140" s="2" t="str">
        <f>VLOOKUP([jobnumber],OvalData[],MATCH(Table2[[#Headers],[Hand]],Table2[#Headers],0),0)</f>
        <v>RH</v>
      </c>
      <c r="C140" s="2" t="str">
        <f>VLOOKUP([jobnumber],OvalData[],MATCH(Table2[[#Headers],[Model]],Table2[#Headers],0),0)</f>
        <v>SFMPP</v>
      </c>
      <c r="D140" s="2" t="str">
        <f>VLOOKUP([jobnumber],OvalData[],MATCH(Table2[[#Headers],[width]],Table2[#Headers],0),0)</f>
        <v xml:space="preserve"> 18 ft.- 2"</v>
      </c>
      <c r="E140" s="2" t="str">
        <f>VLOOKUP([jobnumber],OvalData[],MATCH(Table2[[#Headers],[stopheight]],Table2[#Headers],0),0)</f>
        <v xml:space="preserve"> 10 ft.- 0"</v>
      </c>
      <c r="F140" s="2" t="str">
        <f>VLOOKUP([jobnumber],OvalData[],MATCH(Table2[[#Headers],[Between Brackets]],Table2[#Headers],0),0)</f>
        <v xml:space="preserve"> 18 ft.- 7 7/ 8"</v>
      </c>
      <c r="G140" s="2" t="str">
        <f>VLOOKUP([jobnumber],OvalData[],MATCH(Table2[[#Headers],[shell]],Table2[#Headers],0),0)</f>
        <v>6 INCH TUBE</v>
      </c>
      <c r="H140" s="2" t="str">
        <f>VLOOKUP([jobnumber],OvalData[],MATCH(Table2[[#Headers],[pipewidth]],Table2[#Headers],0),0)</f>
        <v xml:space="preserve"> 18 ft.- 1 3/ 8"</v>
      </c>
      <c r="I140" s="2">
        <f>VLOOKUP([jobnumber],OvalData[],MATCH(Table2[[#Headers],[Support Tubes]],Table2[#Headers],0),0)</f>
        <v>0</v>
      </c>
      <c r="J140" s="2">
        <f>VLOOKUP([jobnumber],OvalData[],MATCH(Table2[[#Headers],[Upset]],Table2[#Headers],0),0)</f>
        <v>2</v>
      </c>
      <c r="K140" s="2" t="str">
        <f>VLOOKUP([jobnumber],OvalData[],MATCH(Table2[[#Headers],[Guide Type]],Table2[#Headers],0),0)</f>
        <v>SN2-4 5/8-E</v>
      </c>
      <c r="L140" s="2" t="str">
        <f>VLOOKUP([jobnumber],OvalData[],MATCH(Table2[[#Headers],[Wall Angle]],Table2[#Headers],0),0)</f>
        <v xml:space="preserve"> 11 ft.- 8"</v>
      </c>
      <c r="M140" s="2" t="str">
        <f>VLOOKUP([jobnumber],OvalData[],MATCH(Table2[[#Headers],[Middle Angle]],Table2[#Headers],0),0)</f>
        <v xml:space="preserve"> 10 ft.- 4 1/ 2"</v>
      </c>
      <c r="N140" s="2" t="str">
        <f>VLOOKUP([jobnumber],OvalData[],MATCH(Table2[[#Headers],[Front Angle]],Table2[#Headers],0),0)</f>
        <v xml:space="preserve"> 10 ft.- 3"</v>
      </c>
      <c r="O140" s="2">
        <f>VLOOKUP([jobnumber],OvalData[],MATCH(Table2[[#Headers],[Pipe Center Line]],Table2[#Headers],0),0)</f>
        <v>131</v>
      </c>
      <c r="P140" s="2">
        <f>VLOOKUP([jobnumber],OvalData[],MATCH(Table2[[#Headers],[Heat Expansion Gap]],Table2[#Headers],0),0)</f>
        <v>0</v>
      </c>
      <c r="Q140" s="2">
        <f>VLOOKUP([jobnumber],OvalData[],MATCH(Table2[[#Headers],[Hanging Weight Closed]],Table2[#Headers],0),0)</f>
        <v>795</v>
      </c>
      <c r="R140" s="2">
        <f>VLOOKUP([jobnumber],OvalData[],MATCH(Table2[[#Headers],[Hanging Weight Open]],Table2[#Headers],0),0)</f>
        <v>140</v>
      </c>
      <c r="S140" s="2">
        <f>VLOOKUP([jobnumber],OvalData[],MATCH(Table2[[#Headers],[Initial Lever Arm]],Table2[#Headers],0),0)</f>
        <v>4.25</v>
      </c>
      <c r="T140" s="2">
        <f>VLOOKUP([jobnumber],OvalData[],MATCH(Table2[[#Headers],[Turns to Raise]],Table2[#Headers],0),0)</f>
        <v>3.5859999999999999</v>
      </c>
      <c r="U140" s="2">
        <f>VLOOKUP([jobnumber],OvalData[],MATCH(Table2[[#Headers],[Final Lever Arm]],Table2[#Headers],0),0)</f>
        <v>6.37</v>
      </c>
      <c r="V140" s="2">
        <f>VLOOKUP([jobnumber],OvalData[],MATCH(Table2[[#Headers],[Torque Required Closed]],Table2[#Headers],0),0)</f>
        <v>3377.9</v>
      </c>
      <c r="W140" s="2">
        <f>VLOOKUP([jobnumber],OvalData[],MATCH(Table2[[#Headers],[Torque Required Open]],Table2[#Headers],0),0)</f>
        <v>892</v>
      </c>
      <c r="X140" s="2">
        <f>VLOOKUP([jobnumber],OvalData[],MATCH(Table2[[#Headers],[Pre Turns]],Table2[#Headers],0),0)</f>
        <v>1.3332999999999999</v>
      </c>
      <c r="Y140" s="2">
        <f>VLOOKUP([jobnumber],OvalData[],MATCH(Table2[[#Headers],[Required Torque Per Turn]],Table2[#Headers],0),0)</f>
        <v>688</v>
      </c>
      <c r="Z140" s="2">
        <f>VLOOKUP([jobnumber],OvalData[],MATCH(Table2[[#Headers],[Total Turns]],Table2[#Headers],0),0)</f>
        <v>4.91</v>
      </c>
      <c r="AA140" s="2">
        <f>VLOOKUP([jobnumber],OvalData[],MATCH(Table2[[#Headers],[Grille Vision Section]],Table2[#Headers],0),0)</f>
        <v>0</v>
      </c>
      <c r="AB140" s="2">
        <f>VLOOKUP([jobnumber],OvalData[],MATCH(Table2[[#Headers],[Grille Amount]],Table2[#Headers],0),0)</f>
        <v>0</v>
      </c>
      <c r="AC140" s="2">
        <f>VLOOKUP([jobnumber],OvalData[],MATCH(Table2[[#Headers],[Grille Center]],Table2[#Headers],0),0)</f>
        <v>0</v>
      </c>
      <c r="AD140" s="2">
        <f>VLOOKUP([jobnumber],OvalData[],MATCH(Table2[[#Headers],[Grille Pattern]],Table2[#Headers],0),0)</f>
        <v>0</v>
      </c>
      <c r="AE140" s="2">
        <f>VLOOKUP([jobnumber],OvalData[],MATCH(Table2[[#Headers],[Grille First Tube]],Table2[#Headers],0),0)</f>
        <v>0</v>
      </c>
      <c r="AF140" s="2">
        <f>VLOOKUP([jobnumber],OvalData[],MATCH(Table2[[#Headers],[Grille Standard Tube]],Table2[#Headers],0),0)</f>
        <v>0</v>
      </c>
      <c r="AG140" s="2">
        <f>VLOOKUP([jobnumber],OvalData[],MATCH(Table2[[#Headers],[Grille Total Links]],Table2[#Headers],0),0)</f>
        <v>0</v>
      </c>
      <c r="AH140" s="2">
        <f>VLOOKUP([jobnumber],OvalData[],MATCH(Table2[[#Headers],[Grille Rods]],Table2[#Headers],0),0)</f>
        <v>0</v>
      </c>
      <c r="AI140" s="2">
        <f>VLOOKUP([jobnumber],OvalData[],MATCH(Table2[[#Headers],[Grille Rod Length]],Table2[#Headers],0),0)</f>
        <v>0</v>
      </c>
      <c r="AJ140" s="2">
        <f>VLOOKUP([jobnumber],OvalData[],MATCH(Table2[[#Headers],[slattype]],Table2[#Headers],0),0)</f>
        <v>2</v>
      </c>
      <c r="AK140" s="2">
        <f>VLOOKUP([jobnumber],OvalData[],MATCH(Table2[[#Headers],[slatgage]],Table2[#Headers],0),0)</f>
        <v>18</v>
      </c>
      <c r="AL140" s="2">
        <f>VLOOKUP([jobnumber],OvalData[],MATCH(Table2[[#Headers],[Numer of Top Slats]],Table2[#Headers],0),0)</f>
        <v>0</v>
      </c>
      <c r="AM140" s="2">
        <f>VLOOKUP([jobnumber],OvalData[],MATCH(Table2[[#Headers],[Number of Bottom Slats]],Table2[#Headers],0),0)</f>
        <v>0</v>
      </c>
      <c r="AN140" s="2">
        <f>VLOOKUP([jobnumber],OvalData[],MATCH(Table2[[#Headers],[Solid Bottom Height]],Table2[#Headers],0),0)</f>
        <v>0</v>
      </c>
      <c r="AO140" s="2" t="str">
        <f>VLOOKUP([jobnumber],OvalData[],MATCH(Table2[[#Headers],[slatlength]],Table2[#Headers],0),0)</f>
        <v xml:space="preserve"> 18 ft.- 5 7/ 8"</v>
      </c>
      <c r="AP140" s="2">
        <f>VLOOKUP([jobnumber],OvalData[],MATCH(Table2[[#Headers],[Bottom Slat Length]],Table2[#Headers],0),0)</f>
        <v>0</v>
      </c>
      <c r="AQ140" s="2">
        <f>VLOOKUP([jobnumber],OvalData[],MATCH(Table2[[#Headers],[Number of Perferated Slats]],Table2[#Headers],0),0)</f>
        <v>0</v>
      </c>
      <c r="AR140" s="2">
        <f>VLOOKUP([jobnumber],OvalData[],MATCH(Table2[[#Headers],[First Preferated Slat From End]],Table2[#Headers],0),0)</f>
        <v>0</v>
      </c>
      <c r="AS140" s="2">
        <f>VLOOKUP([jobnumber],OvalData[],MATCH(Table2[[#Headers],[First Preferated Slat From Bottom]],Table2[#Headers],0),0)</f>
        <v>0</v>
      </c>
      <c r="AT140" s="2">
        <f>VLOOKUP([jobnumber],OvalData[],MATCH(Table2[[#Headers],[Total Number of Slats]],Table2[#Headers],0),0)</f>
        <v>51</v>
      </c>
      <c r="AU140" s="2">
        <f>VLOOKUP([jobnumber],OvalData[],MATCH(Table2[[#Headers],[Bottom Bar Slope]],Table2[#Headers],0),0)</f>
        <v>0</v>
      </c>
      <c r="AV140" s="2">
        <f>VLOOKUP([jobnumber],OvalData[],MATCH(Table2[[#Headers],[Bottom Bar Weight]],Table2[#Headers],0),0)</f>
        <v>80.5</v>
      </c>
      <c r="AW140" s="2" t="str">
        <f>VLOOKUP([jobnumber],OvalData[],MATCH(Table2[[#Headers],[Outer Spring Gage]],Table2[#Headers],0),0)</f>
        <v>Null</v>
      </c>
      <c r="AX140" s="2" t="str">
        <f>VLOOKUP([jobnumber],OvalData[],MATCH(Table2[[#Headers],[Outer Spring OD]],Table2[#Headers],0),0)</f>
        <v>Null</v>
      </c>
      <c r="AY140" s="2" t="str">
        <f>VLOOKUP([jobnumber],OvalData[],MATCH(Table2[[#Headers],[Outer Spring Length]],Table2[#Headers],0),0)</f>
        <v>Null</v>
      </c>
      <c r="AZ140" s="2" t="str">
        <f>VLOOKUP([jobnumber],OvalData[],MATCH(Table2[[#Headers],[Outer Spring Stretch]],Table2[#Headers],0),0)</f>
        <v>Null</v>
      </c>
      <c r="BA140" s="2" t="str">
        <f>VLOOKUP([jobnumber],OvalData[],MATCH(Table2[[#Headers],[Outer Spring Torque]],Table2[#Headers],0),0)</f>
        <v>Null</v>
      </c>
      <c r="BB140" s="2" t="str">
        <f>VLOOKUP([jobnumber],OvalData[],MATCH(Table2[[#Headers],[Outer Spring Max Turns]],Table2[#Headers],0),0)</f>
        <v>Null</v>
      </c>
      <c r="BC140" s="2" t="str">
        <f>VLOOKUP([jobnumber],OvalData[],MATCH(Table2[[#Headers],[Outer Spring Weight]],Table2[#Headers],0),0)</f>
        <v>Null</v>
      </c>
      <c r="BD140" s="2" t="str">
        <f>VLOOKUP([jobnumber],OvalData[],MATCH(Table2[[#Headers],[Inner Spring Gage]],Table2[#Headers],0),0)</f>
        <v>Null</v>
      </c>
      <c r="BE140" s="2" t="str">
        <f>VLOOKUP([jobnumber],OvalData[],MATCH(Table2[[#Headers],[Inner Spring OD]],Table2[#Headers],0),0)</f>
        <v>Null</v>
      </c>
      <c r="BF140" s="2" t="str">
        <f>VLOOKUP([jobnumber],OvalData[],MATCH(Table2[[#Headers],[Inner Spring Length]],Table2[#Headers],0),0)</f>
        <v>Null</v>
      </c>
      <c r="BG140" s="2" t="str">
        <f>VLOOKUP([jobnumber],OvalData[],MATCH(Table2[[#Headers],[Inner Spring Stretch]],Table2[#Headers],0),0)</f>
        <v>Null</v>
      </c>
      <c r="BH140" s="2" t="str">
        <f>VLOOKUP([jobnumber],OvalData[],MATCH(Table2[[#Headers],[Inner Spring Torque]],Table2[#Headers],0),0)</f>
        <v>Null</v>
      </c>
      <c r="BI140" s="2" t="str">
        <f>VLOOKUP([jobnumber],OvalData[],MATCH(Table2[[#Headers],[Inner Spring Max Turns]],Table2[#Headers],0),0)</f>
        <v>Null</v>
      </c>
      <c r="BJ140" s="2" t="str">
        <f>VLOOKUP([jobnumber],OvalData[],MATCH(Table2[[#Headers],[Inner Spring Weight]],Table2[#Headers],0),0)</f>
        <v>Null</v>
      </c>
      <c r="BK140" s="2">
        <f>VLOOKUP([jobnumber],OvalData[],MATCH(Table2[[#Headers],[Cycles]],Table2[#Headers],0),0)</f>
        <v>0</v>
      </c>
      <c r="BL140" s="2">
        <f>VLOOKUP([jobnumber],OvalData[],MATCH(Table2[[#Headers],[Total Spring Torque]],Table2[#Headers],0),0)</f>
        <v>0</v>
      </c>
      <c r="BM140" s="2">
        <f>VLOOKUP([jobnumber],OvalData[],MATCH(Table2[[#Headers],[Total Spring Weight]],Table2[#Headers],0),0)</f>
        <v>0</v>
      </c>
      <c r="BN140" s="2">
        <f>VLOOKUP([jobnumber],OvalData[],MATCH(Table2[[#Headers],[Pipe Weight]],Table2[#Headers],0),0)</f>
        <v>688.24239999999998</v>
      </c>
      <c r="BO140" s="2">
        <f>VLOOKUP([jobnumber],OvalData[],MATCH(Table2[[#Headers],[Max Pipe Deflection]],Table2[#Headers],0),0)</f>
        <v>2309</v>
      </c>
      <c r="BP140" s="2">
        <f>VLOOKUP([jobnumber],OvalData[],MATCH(Table2[[#Headers],[Number Non-Insulated Wrap Slats]],Table2[#Headers],0),0)</f>
        <v>0</v>
      </c>
      <c r="BQ140" s="2">
        <f>VLOOKUP([jobnumber],OvalData[],MATCH(Table2[[#Headers],[Number of Insolated Top Slats]],Table2[#Headers],0),0)</f>
        <v>45</v>
      </c>
      <c r="BR140" s="2">
        <f>VLOOKUP([jobnumber],OvalData[],MATCH(Table2[[#Headers],[Insolated Total Slats]],Table2[#Headers],0),0)</f>
        <v>45</v>
      </c>
      <c r="BS140" s="2">
        <f>VLOOKUP([jobnumber],OvalData[],MATCH(Table2[[#Headers],[Number of Slats]],Table2[#Headers],0),0)</f>
        <v>44.69</v>
      </c>
      <c r="BT140" s="2">
        <f>VLOOKUP([jobnumber],OvalData[],MATCH(Table2[[#Headers],[Wrap]],Table2[#Headers],0),0)</f>
        <v>0</v>
      </c>
      <c r="BU140" s="2">
        <f>VLOOKUP([jobnumber],OvalData[],MATCH(Table2[[#Headers],[Wall Angle Thickness]],Table2[#Headers],0),0)</f>
        <v>0</v>
      </c>
      <c r="BV140" s="2">
        <f>VLOOKUP([jobnumber],OvalData[],MATCH(Table2[[#Headers],[windlocks]],Table2[#Headers],0),0)</f>
        <v>0</v>
      </c>
      <c r="BW140" s="2" t="str">
        <f>VLOOKUP([jobnumber],OvalData[],MATCH(Table2[[#Headers],[bottombartype]],Table2[#Headers],0),0)</f>
        <v>SPECIAL</v>
      </c>
      <c r="BX140" s="2">
        <f>VLOOKUP([jobnumber],OvalData[],MATCH(Table2[[#Headers],[endlockweight]],Table2[#Headers],0),0)</f>
        <v>0.17</v>
      </c>
      <c r="BY140" s="2">
        <f>VLOOKUP([jobnumber],OvalData[],MATCH(Table2[[#Headers],[Endlock Total Weight]],Table2[#Headers],0),0)</f>
        <v>7.5972999999999997</v>
      </c>
      <c r="BZ140" s="2">
        <f>VLOOKUP([jobnumber],OvalData[],MATCH(Table2[[#Headers],[Grille Weight]],Table2[#Headers],0),0)</f>
        <v>0</v>
      </c>
      <c r="CA140" s="2">
        <f>VLOOKUP([jobnumber],OvalData[],MATCH(Table2[[#Headers],[barrelrings]],Table2[#Headers],0),0)</f>
        <v>1</v>
      </c>
    </row>
    <row r="141" spans="2:79">
      <c r="B141" s="2" t="str">
        <f>VLOOKUP([jobnumber],OvalData[],MATCH(Table2[[#Headers],[Hand]],Table2[#Headers],0),0)</f>
        <v>RH</v>
      </c>
      <c r="C141" s="2" t="str">
        <f>VLOOKUP([jobnumber],OvalData[],MATCH(Table2[[#Headers],[Model]],Table2[#Headers],0),0)</f>
        <v>SFMPP</v>
      </c>
      <c r="D141" s="2" t="str">
        <f>VLOOKUP([jobnumber],OvalData[],MATCH(Table2[[#Headers],[width]],Table2[#Headers],0),0)</f>
        <v xml:space="preserve"> 18 ft.- 2"</v>
      </c>
      <c r="E141" s="2" t="str">
        <f>VLOOKUP([jobnumber],OvalData[],MATCH(Table2[[#Headers],[stopheight]],Table2[#Headers],0),0)</f>
        <v xml:space="preserve"> 10 ft.- 0"</v>
      </c>
      <c r="F141" s="2" t="str">
        <f>VLOOKUP([jobnumber],OvalData[],MATCH(Table2[[#Headers],[Between Brackets]],Table2[#Headers],0),0)</f>
        <v xml:space="preserve"> 18 ft.- 7 7/ 8"</v>
      </c>
      <c r="G141" s="2" t="str">
        <f>VLOOKUP([jobnumber],OvalData[],MATCH(Table2[[#Headers],[shell]],Table2[#Headers],0),0)</f>
        <v>6 INCH TUBE</v>
      </c>
      <c r="H141" s="2" t="str">
        <f>VLOOKUP([jobnumber],OvalData[],MATCH(Table2[[#Headers],[pipewidth]],Table2[#Headers],0),0)</f>
        <v xml:space="preserve"> 18 ft.- 1 3/ 8"</v>
      </c>
      <c r="I141" s="2">
        <f>VLOOKUP([jobnumber],OvalData[],MATCH(Table2[[#Headers],[Support Tubes]],Table2[#Headers],0),0)</f>
        <v>0</v>
      </c>
      <c r="J141" s="2">
        <f>VLOOKUP([jobnumber],OvalData[],MATCH(Table2[[#Headers],[Upset]],Table2[#Headers],0),0)</f>
        <v>2</v>
      </c>
      <c r="K141" s="2" t="str">
        <f>VLOOKUP([jobnumber],OvalData[],MATCH(Table2[[#Headers],[Guide Type]],Table2[#Headers],0),0)</f>
        <v>SN2-4 5/8-E</v>
      </c>
      <c r="L141" s="2" t="str">
        <f>VLOOKUP([jobnumber],OvalData[],MATCH(Table2[[#Headers],[Wall Angle]],Table2[#Headers],0),0)</f>
        <v xml:space="preserve"> 11 ft.- 8"</v>
      </c>
      <c r="M141" s="2" t="str">
        <f>VLOOKUP([jobnumber],OvalData[],MATCH(Table2[[#Headers],[Middle Angle]],Table2[#Headers],0),0)</f>
        <v xml:space="preserve"> 10 ft.- 4 1/ 2"</v>
      </c>
      <c r="N141" s="2" t="str">
        <f>VLOOKUP([jobnumber],OvalData[],MATCH(Table2[[#Headers],[Front Angle]],Table2[#Headers],0),0)</f>
        <v xml:space="preserve"> 10 ft.- 3"</v>
      </c>
      <c r="O141" s="2">
        <f>VLOOKUP([jobnumber],OvalData[],MATCH(Table2[[#Headers],[Pipe Center Line]],Table2[#Headers],0),0)</f>
        <v>131</v>
      </c>
      <c r="P141" s="2">
        <f>VLOOKUP([jobnumber],OvalData[],MATCH(Table2[[#Headers],[Heat Expansion Gap]],Table2[#Headers],0),0)</f>
        <v>0</v>
      </c>
      <c r="Q141" s="2">
        <f>VLOOKUP([jobnumber],OvalData[],MATCH(Table2[[#Headers],[Hanging Weight Closed]],Table2[#Headers],0),0)</f>
        <v>795</v>
      </c>
      <c r="R141" s="2">
        <f>VLOOKUP([jobnumber],OvalData[],MATCH(Table2[[#Headers],[Hanging Weight Open]],Table2[#Headers],0),0)</f>
        <v>140</v>
      </c>
      <c r="S141" s="2">
        <f>VLOOKUP([jobnumber],OvalData[],MATCH(Table2[[#Headers],[Initial Lever Arm]],Table2[#Headers],0),0)</f>
        <v>4.25</v>
      </c>
      <c r="T141" s="2">
        <f>VLOOKUP([jobnumber],OvalData[],MATCH(Table2[[#Headers],[Turns to Raise]],Table2[#Headers],0),0)</f>
        <v>3.5859999999999999</v>
      </c>
      <c r="U141" s="2">
        <f>VLOOKUP([jobnumber],OvalData[],MATCH(Table2[[#Headers],[Final Lever Arm]],Table2[#Headers],0),0)</f>
        <v>6.37</v>
      </c>
      <c r="V141" s="2">
        <f>VLOOKUP([jobnumber],OvalData[],MATCH(Table2[[#Headers],[Torque Required Closed]],Table2[#Headers],0),0)</f>
        <v>3377.9</v>
      </c>
      <c r="W141" s="2">
        <f>VLOOKUP([jobnumber],OvalData[],MATCH(Table2[[#Headers],[Torque Required Open]],Table2[#Headers],0),0)</f>
        <v>892</v>
      </c>
      <c r="X141" s="2">
        <f>VLOOKUP([jobnumber],OvalData[],MATCH(Table2[[#Headers],[Pre Turns]],Table2[#Headers],0),0)</f>
        <v>1.3332999999999999</v>
      </c>
      <c r="Y141" s="2">
        <f>VLOOKUP([jobnumber],OvalData[],MATCH(Table2[[#Headers],[Required Torque Per Turn]],Table2[#Headers],0),0)</f>
        <v>688</v>
      </c>
      <c r="Z141" s="2">
        <f>VLOOKUP([jobnumber],OvalData[],MATCH(Table2[[#Headers],[Total Turns]],Table2[#Headers],0),0)</f>
        <v>4.91</v>
      </c>
      <c r="AA141" s="2">
        <f>VLOOKUP([jobnumber],OvalData[],MATCH(Table2[[#Headers],[Grille Vision Section]],Table2[#Headers],0),0)</f>
        <v>0</v>
      </c>
      <c r="AB141" s="2">
        <f>VLOOKUP([jobnumber],OvalData[],MATCH(Table2[[#Headers],[Grille Amount]],Table2[#Headers],0),0)</f>
        <v>0</v>
      </c>
      <c r="AC141" s="2">
        <f>VLOOKUP([jobnumber],OvalData[],MATCH(Table2[[#Headers],[Grille Center]],Table2[#Headers],0),0)</f>
        <v>0</v>
      </c>
      <c r="AD141" s="2">
        <f>VLOOKUP([jobnumber],OvalData[],MATCH(Table2[[#Headers],[Grille Pattern]],Table2[#Headers],0),0)</f>
        <v>0</v>
      </c>
      <c r="AE141" s="2">
        <f>VLOOKUP([jobnumber],OvalData[],MATCH(Table2[[#Headers],[Grille First Tube]],Table2[#Headers],0),0)</f>
        <v>0</v>
      </c>
      <c r="AF141" s="2">
        <f>VLOOKUP([jobnumber],OvalData[],MATCH(Table2[[#Headers],[Grille Standard Tube]],Table2[#Headers],0),0)</f>
        <v>0</v>
      </c>
      <c r="AG141" s="2">
        <f>VLOOKUP([jobnumber],OvalData[],MATCH(Table2[[#Headers],[Grille Total Links]],Table2[#Headers],0),0)</f>
        <v>0</v>
      </c>
      <c r="AH141" s="2">
        <f>VLOOKUP([jobnumber],OvalData[],MATCH(Table2[[#Headers],[Grille Rods]],Table2[#Headers],0),0)</f>
        <v>0</v>
      </c>
      <c r="AI141" s="2">
        <f>VLOOKUP([jobnumber],OvalData[],MATCH(Table2[[#Headers],[Grille Rod Length]],Table2[#Headers],0),0)</f>
        <v>0</v>
      </c>
      <c r="AJ141" s="2">
        <f>VLOOKUP([jobnumber],OvalData[],MATCH(Table2[[#Headers],[slattype]],Table2[#Headers],0),0)</f>
        <v>2</v>
      </c>
      <c r="AK141" s="2">
        <f>VLOOKUP([jobnumber],OvalData[],MATCH(Table2[[#Headers],[slatgage]],Table2[#Headers],0),0)</f>
        <v>18</v>
      </c>
      <c r="AL141" s="2">
        <f>VLOOKUP([jobnumber],OvalData[],MATCH(Table2[[#Headers],[Numer of Top Slats]],Table2[#Headers],0),0)</f>
        <v>0</v>
      </c>
      <c r="AM141" s="2">
        <f>VLOOKUP([jobnumber],OvalData[],MATCH(Table2[[#Headers],[Number of Bottom Slats]],Table2[#Headers],0),0)</f>
        <v>0</v>
      </c>
      <c r="AN141" s="2">
        <f>VLOOKUP([jobnumber],OvalData[],MATCH(Table2[[#Headers],[Solid Bottom Height]],Table2[#Headers],0),0)</f>
        <v>0</v>
      </c>
      <c r="AO141" s="2" t="str">
        <f>VLOOKUP([jobnumber],OvalData[],MATCH(Table2[[#Headers],[slatlength]],Table2[#Headers],0),0)</f>
        <v xml:space="preserve"> 18 ft.- 5 7/ 8"</v>
      </c>
      <c r="AP141" s="2">
        <f>VLOOKUP([jobnumber],OvalData[],MATCH(Table2[[#Headers],[Bottom Slat Length]],Table2[#Headers],0),0)</f>
        <v>0</v>
      </c>
      <c r="AQ141" s="2">
        <f>VLOOKUP([jobnumber],OvalData[],MATCH(Table2[[#Headers],[Number of Perferated Slats]],Table2[#Headers],0),0)</f>
        <v>0</v>
      </c>
      <c r="AR141" s="2">
        <f>VLOOKUP([jobnumber],OvalData[],MATCH(Table2[[#Headers],[First Preferated Slat From End]],Table2[#Headers],0),0)</f>
        <v>0</v>
      </c>
      <c r="AS141" s="2">
        <f>VLOOKUP([jobnumber],OvalData[],MATCH(Table2[[#Headers],[First Preferated Slat From Bottom]],Table2[#Headers],0),0)</f>
        <v>0</v>
      </c>
      <c r="AT141" s="2">
        <f>VLOOKUP([jobnumber],OvalData[],MATCH(Table2[[#Headers],[Total Number of Slats]],Table2[#Headers],0),0)</f>
        <v>51</v>
      </c>
      <c r="AU141" s="2">
        <f>VLOOKUP([jobnumber],OvalData[],MATCH(Table2[[#Headers],[Bottom Bar Slope]],Table2[#Headers],0),0)</f>
        <v>0</v>
      </c>
      <c r="AV141" s="2">
        <f>VLOOKUP([jobnumber],OvalData[],MATCH(Table2[[#Headers],[Bottom Bar Weight]],Table2[#Headers],0),0)</f>
        <v>80.5</v>
      </c>
      <c r="AW141" s="2" t="str">
        <f>VLOOKUP([jobnumber],OvalData[],MATCH(Table2[[#Headers],[Outer Spring Gage]],Table2[#Headers],0),0)</f>
        <v>Null</v>
      </c>
      <c r="AX141" s="2" t="str">
        <f>VLOOKUP([jobnumber],OvalData[],MATCH(Table2[[#Headers],[Outer Spring OD]],Table2[#Headers],0),0)</f>
        <v>Null</v>
      </c>
      <c r="AY141" s="2" t="str">
        <f>VLOOKUP([jobnumber],OvalData[],MATCH(Table2[[#Headers],[Outer Spring Length]],Table2[#Headers],0),0)</f>
        <v>Null</v>
      </c>
      <c r="AZ141" s="2" t="str">
        <f>VLOOKUP([jobnumber],OvalData[],MATCH(Table2[[#Headers],[Outer Spring Stretch]],Table2[#Headers],0),0)</f>
        <v>Null</v>
      </c>
      <c r="BA141" s="2" t="str">
        <f>VLOOKUP([jobnumber],OvalData[],MATCH(Table2[[#Headers],[Outer Spring Torque]],Table2[#Headers],0),0)</f>
        <v>Null</v>
      </c>
      <c r="BB141" s="2" t="str">
        <f>VLOOKUP([jobnumber],OvalData[],MATCH(Table2[[#Headers],[Outer Spring Max Turns]],Table2[#Headers],0),0)</f>
        <v>Null</v>
      </c>
      <c r="BC141" s="2" t="str">
        <f>VLOOKUP([jobnumber],OvalData[],MATCH(Table2[[#Headers],[Outer Spring Weight]],Table2[#Headers],0),0)</f>
        <v>Null</v>
      </c>
      <c r="BD141" s="2" t="str">
        <f>VLOOKUP([jobnumber],OvalData[],MATCH(Table2[[#Headers],[Inner Spring Gage]],Table2[#Headers],0),0)</f>
        <v>Null</v>
      </c>
      <c r="BE141" s="2" t="str">
        <f>VLOOKUP([jobnumber],OvalData[],MATCH(Table2[[#Headers],[Inner Spring OD]],Table2[#Headers],0),0)</f>
        <v>Null</v>
      </c>
      <c r="BF141" s="2" t="str">
        <f>VLOOKUP([jobnumber],OvalData[],MATCH(Table2[[#Headers],[Inner Spring Length]],Table2[#Headers],0),0)</f>
        <v>Null</v>
      </c>
      <c r="BG141" s="2" t="str">
        <f>VLOOKUP([jobnumber],OvalData[],MATCH(Table2[[#Headers],[Inner Spring Stretch]],Table2[#Headers],0),0)</f>
        <v>Null</v>
      </c>
      <c r="BH141" s="2" t="str">
        <f>VLOOKUP([jobnumber],OvalData[],MATCH(Table2[[#Headers],[Inner Spring Torque]],Table2[#Headers],0),0)</f>
        <v>Null</v>
      </c>
      <c r="BI141" s="2" t="str">
        <f>VLOOKUP([jobnumber],OvalData[],MATCH(Table2[[#Headers],[Inner Spring Max Turns]],Table2[#Headers],0),0)</f>
        <v>Null</v>
      </c>
      <c r="BJ141" s="2" t="str">
        <f>VLOOKUP([jobnumber],OvalData[],MATCH(Table2[[#Headers],[Inner Spring Weight]],Table2[#Headers],0),0)</f>
        <v>Null</v>
      </c>
      <c r="BK141" s="2">
        <f>VLOOKUP([jobnumber],OvalData[],MATCH(Table2[[#Headers],[Cycles]],Table2[#Headers],0),0)</f>
        <v>0</v>
      </c>
      <c r="BL141" s="2">
        <f>VLOOKUP([jobnumber],OvalData[],MATCH(Table2[[#Headers],[Total Spring Torque]],Table2[#Headers],0),0)</f>
        <v>0</v>
      </c>
      <c r="BM141" s="2">
        <f>VLOOKUP([jobnumber],OvalData[],MATCH(Table2[[#Headers],[Total Spring Weight]],Table2[#Headers],0),0)</f>
        <v>0</v>
      </c>
      <c r="BN141" s="2">
        <f>VLOOKUP([jobnumber],OvalData[],MATCH(Table2[[#Headers],[Pipe Weight]],Table2[#Headers],0),0)</f>
        <v>688.24239999999998</v>
      </c>
      <c r="BO141" s="2">
        <f>VLOOKUP([jobnumber],OvalData[],MATCH(Table2[[#Headers],[Max Pipe Deflection]],Table2[#Headers],0),0)</f>
        <v>2309</v>
      </c>
      <c r="BP141" s="2">
        <f>VLOOKUP([jobnumber],OvalData[],MATCH(Table2[[#Headers],[Number Non-Insulated Wrap Slats]],Table2[#Headers],0),0)</f>
        <v>0</v>
      </c>
      <c r="BQ141" s="2">
        <f>VLOOKUP([jobnumber],OvalData[],MATCH(Table2[[#Headers],[Number of Insolated Top Slats]],Table2[#Headers],0),0)</f>
        <v>45</v>
      </c>
      <c r="BR141" s="2">
        <f>VLOOKUP([jobnumber],OvalData[],MATCH(Table2[[#Headers],[Insolated Total Slats]],Table2[#Headers],0),0)</f>
        <v>45</v>
      </c>
      <c r="BS141" s="2">
        <f>VLOOKUP([jobnumber],OvalData[],MATCH(Table2[[#Headers],[Number of Slats]],Table2[#Headers],0),0)</f>
        <v>44.69</v>
      </c>
      <c r="BT141" s="2">
        <f>VLOOKUP([jobnumber],OvalData[],MATCH(Table2[[#Headers],[Wrap]],Table2[#Headers],0),0)</f>
        <v>0</v>
      </c>
      <c r="BU141" s="2">
        <f>VLOOKUP([jobnumber],OvalData[],MATCH(Table2[[#Headers],[Wall Angle Thickness]],Table2[#Headers],0),0)</f>
        <v>0</v>
      </c>
      <c r="BV141" s="2">
        <f>VLOOKUP([jobnumber],OvalData[],MATCH(Table2[[#Headers],[windlocks]],Table2[#Headers],0),0)</f>
        <v>0</v>
      </c>
      <c r="BW141" s="2" t="str">
        <f>VLOOKUP([jobnumber],OvalData[],MATCH(Table2[[#Headers],[bottombartype]],Table2[#Headers],0),0)</f>
        <v>SPECIAL</v>
      </c>
      <c r="BX141" s="2">
        <f>VLOOKUP([jobnumber],OvalData[],MATCH(Table2[[#Headers],[endlockweight]],Table2[#Headers],0),0)</f>
        <v>0.17</v>
      </c>
      <c r="BY141" s="2">
        <f>VLOOKUP([jobnumber],OvalData[],MATCH(Table2[[#Headers],[Endlock Total Weight]],Table2[#Headers],0),0)</f>
        <v>7.5972999999999997</v>
      </c>
      <c r="BZ141" s="2">
        <f>VLOOKUP([jobnumber],OvalData[],MATCH(Table2[[#Headers],[Grille Weight]],Table2[#Headers],0),0)</f>
        <v>0</v>
      </c>
      <c r="CA141" s="2">
        <f>VLOOKUP([jobnumber],OvalData[],MATCH(Table2[[#Headers],[barrelrings]],Table2[#Headers],0),0)</f>
        <v>1</v>
      </c>
    </row>
    <row r="142" spans="2:79">
      <c r="B142" s="2" t="str">
        <f>VLOOKUP([jobnumber],OvalData[],MATCH(Table2[[#Headers],[Hand]],Table2[#Headers],0),0)</f>
        <v>RH</v>
      </c>
      <c r="C142" s="2" t="str">
        <f>VLOOKUP([jobnumber],OvalData[],MATCH(Table2[[#Headers],[Model]],Table2[#Headers],0),0)</f>
        <v>SFMPP</v>
      </c>
      <c r="D142" s="2" t="str">
        <f>VLOOKUP([jobnumber],OvalData[],MATCH(Table2[[#Headers],[width]],Table2[#Headers],0),0)</f>
        <v xml:space="preserve"> 18 ft.- 2"</v>
      </c>
      <c r="E142" s="2" t="str">
        <f>VLOOKUP([jobnumber],OvalData[],MATCH(Table2[[#Headers],[stopheight]],Table2[#Headers],0),0)</f>
        <v xml:space="preserve"> 10 ft.- 0"</v>
      </c>
      <c r="F142" s="2" t="str">
        <f>VLOOKUP([jobnumber],OvalData[],MATCH(Table2[[#Headers],[Between Brackets]],Table2[#Headers],0),0)</f>
        <v xml:space="preserve"> 18 ft.- 7 7/ 8"</v>
      </c>
      <c r="G142" s="2" t="str">
        <f>VLOOKUP([jobnumber],OvalData[],MATCH(Table2[[#Headers],[shell]],Table2[#Headers],0),0)</f>
        <v>6 INCH TUBE</v>
      </c>
      <c r="H142" s="2" t="str">
        <f>VLOOKUP([jobnumber],OvalData[],MATCH(Table2[[#Headers],[pipewidth]],Table2[#Headers],0),0)</f>
        <v xml:space="preserve"> 18 ft.- 1 3/ 8"</v>
      </c>
      <c r="I142" s="2">
        <f>VLOOKUP([jobnumber],OvalData[],MATCH(Table2[[#Headers],[Support Tubes]],Table2[#Headers],0),0)</f>
        <v>0</v>
      </c>
      <c r="J142" s="2">
        <f>VLOOKUP([jobnumber],OvalData[],MATCH(Table2[[#Headers],[Upset]],Table2[#Headers],0),0)</f>
        <v>2</v>
      </c>
      <c r="K142" s="2" t="str">
        <f>VLOOKUP([jobnumber],OvalData[],MATCH(Table2[[#Headers],[Guide Type]],Table2[#Headers],0),0)</f>
        <v>SN2-4 5/8-E</v>
      </c>
      <c r="L142" s="2" t="str">
        <f>VLOOKUP([jobnumber],OvalData[],MATCH(Table2[[#Headers],[Wall Angle]],Table2[#Headers],0),0)</f>
        <v xml:space="preserve"> 11 ft.- 8"</v>
      </c>
      <c r="M142" s="2" t="str">
        <f>VLOOKUP([jobnumber],OvalData[],MATCH(Table2[[#Headers],[Middle Angle]],Table2[#Headers],0),0)</f>
        <v xml:space="preserve"> 10 ft.- 4 1/ 2"</v>
      </c>
      <c r="N142" s="2" t="str">
        <f>VLOOKUP([jobnumber],OvalData[],MATCH(Table2[[#Headers],[Front Angle]],Table2[#Headers],0),0)</f>
        <v xml:space="preserve"> 10 ft.- 3"</v>
      </c>
      <c r="O142" s="2">
        <f>VLOOKUP([jobnumber],OvalData[],MATCH(Table2[[#Headers],[Pipe Center Line]],Table2[#Headers],0),0)</f>
        <v>131</v>
      </c>
      <c r="P142" s="2">
        <f>VLOOKUP([jobnumber],OvalData[],MATCH(Table2[[#Headers],[Heat Expansion Gap]],Table2[#Headers],0),0)</f>
        <v>0</v>
      </c>
      <c r="Q142" s="2">
        <f>VLOOKUP([jobnumber],OvalData[],MATCH(Table2[[#Headers],[Hanging Weight Closed]],Table2[#Headers],0),0)</f>
        <v>795</v>
      </c>
      <c r="R142" s="2">
        <f>VLOOKUP([jobnumber],OvalData[],MATCH(Table2[[#Headers],[Hanging Weight Open]],Table2[#Headers],0),0)</f>
        <v>140</v>
      </c>
      <c r="S142" s="2">
        <f>VLOOKUP([jobnumber],OvalData[],MATCH(Table2[[#Headers],[Initial Lever Arm]],Table2[#Headers],0),0)</f>
        <v>4.25</v>
      </c>
      <c r="T142" s="2">
        <f>VLOOKUP([jobnumber],OvalData[],MATCH(Table2[[#Headers],[Turns to Raise]],Table2[#Headers],0),0)</f>
        <v>3.5859999999999999</v>
      </c>
      <c r="U142" s="2">
        <f>VLOOKUP([jobnumber],OvalData[],MATCH(Table2[[#Headers],[Final Lever Arm]],Table2[#Headers],0),0)</f>
        <v>6.37</v>
      </c>
      <c r="V142" s="2">
        <f>VLOOKUP([jobnumber],OvalData[],MATCH(Table2[[#Headers],[Torque Required Closed]],Table2[#Headers],0),0)</f>
        <v>3377.9</v>
      </c>
      <c r="W142" s="2">
        <f>VLOOKUP([jobnumber],OvalData[],MATCH(Table2[[#Headers],[Torque Required Open]],Table2[#Headers],0),0)</f>
        <v>892</v>
      </c>
      <c r="X142" s="2">
        <f>VLOOKUP([jobnumber],OvalData[],MATCH(Table2[[#Headers],[Pre Turns]],Table2[#Headers],0),0)</f>
        <v>1.3332999999999999</v>
      </c>
      <c r="Y142" s="2">
        <f>VLOOKUP([jobnumber],OvalData[],MATCH(Table2[[#Headers],[Required Torque Per Turn]],Table2[#Headers],0),0)</f>
        <v>688</v>
      </c>
      <c r="Z142" s="2">
        <f>VLOOKUP([jobnumber],OvalData[],MATCH(Table2[[#Headers],[Total Turns]],Table2[#Headers],0),0)</f>
        <v>4.91</v>
      </c>
      <c r="AA142" s="2">
        <f>VLOOKUP([jobnumber],OvalData[],MATCH(Table2[[#Headers],[Grille Vision Section]],Table2[#Headers],0),0)</f>
        <v>0</v>
      </c>
      <c r="AB142" s="2">
        <f>VLOOKUP([jobnumber],OvalData[],MATCH(Table2[[#Headers],[Grille Amount]],Table2[#Headers],0),0)</f>
        <v>0</v>
      </c>
      <c r="AC142" s="2">
        <f>VLOOKUP([jobnumber],OvalData[],MATCH(Table2[[#Headers],[Grille Center]],Table2[#Headers],0),0)</f>
        <v>0</v>
      </c>
      <c r="AD142" s="2">
        <f>VLOOKUP([jobnumber],OvalData[],MATCH(Table2[[#Headers],[Grille Pattern]],Table2[#Headers],0),0)</f>
        <v>0</v>
      </c>
      <c r="AE142" s="2">
        <f>VLOOKUP([jobnumber],OvalData[],MATCH(Table2[[#Headers],[Grille First Tube]],Table2[#Headers],0),0)</f>
        <v>0</v>
      </c>
      <c r="AF142" s="2">
        <f>VLOOKUP([jobnumber],OvalData[],MATCH(Table2[[#Headers],[Grille Standard Tube]],Table2[#Headers],0),0)</f>
        <v>0</v>
      </c>
      <c r="AG142" s="2">
        <f>VLOOKUP([jobnumber],OvalData[],MATCH(Table2[[#Headers],[Grille Total Links]],Table2[#Headers],0),0)</f>
        <v>0</v>
      </c>
      <c r="AH142" s="2">
        <f>VLOOKUP([jobnumber],OvalData[],MATCH(Table2[[#Headers],[Grille Rods]],Table2[#Headers],0),0)</f>
        <v>0</v>
      </c>
      <c r="AI142" s="2">
        <f>VLOOKUP([jobnumber],OvalData[],MATCH(Table2[[#Headers],[Grille Rod Length]],Table2[#Headers],0),0)</f>
        <v>0</v>
      </c>
      <c r="AJ142" s="2">
        <f>VLOOKUP([jobnumber],OvalData[],MATCH(Table2[[#Headers],[slattype]],Table2[#Headers],0),0)</f>
        <v>2</v>
      </c>
      <c r="AK142" s="2">
        <f>VLOOKUP([jobnumber],OvalData[],MATCH(Table2[[#Headers],[slatgage]],Table2[#Headers],0),0)</f>
        <v>18</v>
      </c>
      <c r="AL142" s="2">
        <f>VLOOKUP([jobnumber],OvalData[],MATCH(Table2[[#Headers],[Numer of Top Slats]],Table2[#Headers],0),0)</f>
        <v>0</v>
      </c>
      <c r="AM142" s="2">
        <f>VLOOKUP([jobnumber],OvalData[],MATCH(Table2[[#Headers],[Number of Bottom Slats]],Table2[#Headers],0),0)</f>
        <v>0</v>
      </c>
      <c r="AN142" s="2">
        <f>VLOOKUP([jobnumber],OvalData[],MATCH(Table2[[#Headers],[Solid Bottom Height]],Table2[#Headers],0),0)</f>
        <v>0</v>
      </c>
      <c r="AO142" s="2" t="str">
        <f>VLOOKUP([jobnumber],OvalData[],MATCH(Table2[[#Headers],[slatlength]],Table2[#Headers],0),0)</f>
        <v xml:space="preserve"> 18 ft.- 5 7/ 8"</v>
      </c>
      <c r="AP142" s="2">
        <f>VLOOKUP([jobnumber],OvalData[],MATCH(Table2[[#Headers],[Bottom Slat Length]],Table2[#Headers],0),0)</f>
        <v>0</v>
      </c>
      <c r="AQ142" s="2">
        <f>VLOOKUP([jobnumber],OvalData[],MATCH(Table2[[#Headers],[Number of Perferated Slats]],Table2[#Headers],0),0)</f>
        <v>0</v>
      </c>
      <c r="AR142" s="2">
        <f>VLOOKUP([jobnumber],OvalData[],MATCH(Table2[[#Headers],[First Preferated Slat From End]],Table2[#Headers],0),0)</f>
        <v>0</v>
      </c>
      <c r="AS142" s="2">
        <f>VLOOKUP([jobnumber],OvalData[],MATCH(Table2[[#Headers],[First Preferated Slat From Bottom]],Table2[#Headers],0),0)</f>
        <v>0</v>
      </c>
      <c r="AT142" s="2">
        <f>VLOOKUP([jobnumber],OvalData[],MATCH(Table2[[#Headers],[Total Number of Slats]],Table2[#Headers],0),0)</f>
        <v>51</v>
      </c>
      <c r="AU142" s="2">
        <f>VLOOKUP([jobnumber],OvalData[],MATCH(Table2[[#Headers],[Bottom Bar Slope]],Table2[#Headers],0),0)</f>
        <v>0</v>
      </c>
      <c r="AV142" s="2">
        <f>VLOOKUP([jobnumber],OvalData[],MATCH(Table2[[#Headers],[Bottom Bar Weight]],Table2[#Headers],0),0)</f>
        <v>80.5</v>
      </c>
      <c r="AW142" s="2" t="str">
        <f>VLOOKUP([jobnumber],OvalData[],MATCH(Table2[[#Headers],[Outer Spring Gage]],Table2[#Headers],0),0)</f>
        <v>Null</v>
      </c>
      <c r="AX142" s="2" t="str">
        <f>VLOOKUP([jobnumber],OvalData[],MATCH(Table2[[#Headers],[Outer Spring OD]],Table2[#Headers],0),0)</f>
        <v>Null</v>
      </c>
      <c r="AY142" s="2" t="str">
        <f>VLOOKUP([jobnumber],OvalData[],MATCH(Table2[[#Headers],[Outer Spring Length]],Table2[#Headers],0),0)</f>
        <v>Null</v>
      </c>
      <c r="AZ142" s="2" t="str">
        <f>VLOOKUP([jobnumber],OvalData[],MATCH(Table2[[#Headers],[Outer Spring Stretch]],Table2[#Headers],0),0)</f>
        <v>Null</v>
      </c>
      <c r="BA142" s="2" t="str">
        <f>VLOOKUP([jobnumber],OvalData[],MATCH(Table2[[#Headers],[Outer Spring Torque]],Table2[#Headers],0),0)</f>
        <v>Null</v>
      </c>
      <c r="BB142" s="2" t="str">
        <f>VLOOKUP([jobnumber],OvalData[],MATCH(Table2[[#Headers],[Outer Spring Max Turns]],Table2[#Headers],0),0)</f>
        <v>Null</v>
      </c>
      <c r="BC142" s="2" t="str">
        <f>VLOOKUP([jobnumber],OvalData[],MATCH(Table2[[#Headers],[Outer Spring Weight]],Table2[#Headers],0),0)</f>
        <v>Null</v>
      </c>
      <c r="BD142" s="2" t="str">
        <f>VLOOKUP([jobnumber],OvalData[],MATCH(Table2[[#Headers],[Inner Spring Gage]],Table2[#Headers],0),0)</f>
        <v>Null</v>
      </c>
      <c r="BE142" s="2" t="str">
        <f>VLOOKUP([jobnumber],OvalData[],MATCH(Table2[[#Headers],[Inner Spring OD]],Table2[#Headers],0),0)</f>
        <v>Null</v>
      </c>
      <c r="BF142" s="2" t="str">
        <f>VLOOKUP([jobnumber],OvalData[],MATCH(Table2[[#Headers],[Inner Spring Length]],Table2[#Headers],0),0)</f>
        <v>Null</v>
      </c>
      <c r="BG142" s="2" t="str">
        <f>VLOOKUP([jobnumber],OvalData[],MATCH(Table2[[#Headers],[Inner Spring Stretch]],Table2[#Headers],0),0)</f>
        <v>Null</v>
      </c>
      <c r="BH142" s="2" t="str">
        <f>VLOOKUP([jobnumber],OvalData[],MATCH(Table2[[#Headers],[Inner Spring Torque]],Table2[#Headers],0),0)</f>
        <v>Null</v>
      </c>
      <c r="BI142" s="2" t="str">
        <f>VLOOKUP([jobnumber],OvalData[],MATCH(Table2[[#Headers],[Inner Spring Max Turns]],Table2[#Headers],0),0)</f>
        <v>Null</v>
      </c>
      <c r="BJ142" s="2" t="str">
        <f>VLOOKUP([jobnumber],OvalData[],MATCH(Table2[[#Headers],[Inner Spring Weight]],Table2[#Headers],0),0)</f>
        <v>Null</v>
      </c>
      <c r="BK142" s="2">
        <f>VLOOKUP([jobnumber],OvalData[],MATCH(Table2[[#Headers],[Cycles]],Table2[#Headers],0),0)</f>
        <v>0</v>
      </c>
      <c r="BL142" s="2">
        <f>VLOOKUP([jobnumber],OvalData[],MATCH(Table2[[#Headers],[Total Spring Torque]],Table2[#Headers],0),0)</f>
        <v>0</v>
      </c>
      <c r="BM142" s="2">
        <f>VLOOKUP([jobnumber],OvalData[],MATCH(Table2[[#Headers],[Total Spring Weight]],Table2[#Headers],0),0)</f>
        <v>0</v>
      </c>
      <c r="BN142" s="2">
        <f>VLOOKUP([jobnumber],OvalData[],MATCH(Table2[[#Headers],[Pipe Weight]],Table2[#Headers],0),0)</f>
        <v>688.24239999999998</v>
      </c>
      <c r="BO142" s="2">
        <f>VLOOKUP([jobnumber],OvalData[],MATCH(Table2[[#Headers],[Max Pipe Deflection]],Table2[#Headers],0),0)</f>
        <v>2309</v>
      </c>
      <c r="BP142" s="2">
        <f>VLOOKUP([jobnumber],OvalData[],MATCH(Table2[[#Headers],[Number Non-Insulated Wrap Slats]],Table2[#Headers],0),0)</f>
        <v>0</v>
      </c>
      <c r="BQ142" s="2">
        <f>VLOOKUP([jobnumber],OvalData[],MATCH(Table2[[#Headers],[Number of Insolated Top Slats]],Table2[#Headers],0),0)</f>
        <v>45</v>
      </c>
      <c r="BR142" s="2">
        <f>VLOOKUP([jobnumber],OvalData[],MATCH(Table2[[#Headers],[Insolated Total Slats]],Table2[#Headers],0),0)</f>
        <v>45</v>
      </c>
      <c r="BS142" s="2">
        <f>VLOOKUP([jobnumber],OvalData[],MATCH(Table2[[#Headers],[Number of Slats]],Table2[#Headers],0),0)</f>
        <v>44.69</v>
      </c>
      <c r="BT142" s="2">
        <f>VLOOKUP([jobnumber],OvalData[],MATCH(Table2[[#Headers],[Wrap]],Table2[#Headers],0),0)</f>
        <v>0</v>
      </c>
      <c r="BU142" s="2">
        <f>VLOOKUP([jobnumber],OvalData[],MATCH(Table2[[#Headers],[Wall Angle Thickness]],Table2[#Headers],0),0)</f>
        <v>0</v>
      </c>
      <c r="BV142" s="2">
        <f>VLOOKUP([jobnumber],OvalData[],MATCH(Table2[[#Headers],[windlocks]],Table2[#Headers],0),0)</f>
        <v>0</v>
      </c>
      <c r="BW142" s="2" t="str">
        <f>VLOOKUP([jobnumber],OvalData[],MATCH(Table2[[#Headers],[bottombartype]],Table2[#Headers],0),0)</f>
        <v>SPECIAL</v>
      </c>
      <c r="BX142" s="2">
        <f>VLOOKUP([jobnumber],OvalData[],MATCH(Table2[[#Headers],[endlockweight]],Table2[#Headers],0),0)</f>
        <v>0.17</v>
      </c>
      <c r="BY142" s="2">
        <f>VLOOKUP([jobnumber],OvalData[],MATCH(Table2[[#Headers],[Endlock Total Weight]],Table2[#Headers],0),0)</f>
        <v>7.5972999999999997</v>
      </c>
      <c r="BZ142" s="2">
        <f>VLOOKUP([jobnumber],OvalData[],MATCH(Table2[[#Headers],[Grille Weight]],Table2[#Headers],0),0)</f>
        <v>0</v>
      </c>
      <c r="CA142" s="2">
        <f>VLOOKUP([jobnumber],OvalData[],MATCH(Table2[[#Headers],[barrelrings]],Table2[#Headers],0),0)</f>
        <v>1</v>
      </c>
    </row>
    <row r="143" spans="2:79">
      <c r="B143" s="2" t="str">
        <f>VLOOKUP([jobnumber],OvalData[],MATCH(Table2[[#Headers],[Hand]],Table2[#Headers],0),0)</f>
        <v>RH</v>
      </c>
      <c r="C143" s="2" t="str">
        <f>VLOOKUP([jobnumber],OvalData[],MATCH(Table2[[#Headers],[Model]],Table2[#Headers],0),0)</f>
        <v>SFMPP</v>
      </c>
      <c r="D143" s="2" t="str">
        <f>VLOOKUP([jobnumber],OvalData[],MATCH(Table2[[#Headers],[width]],Table2[#Headers],0),0)</f>
        <v xml:space="preserve"> 18 ft.- 2"</v>
      </c>
      <c r="E143" s="2" t="str">
        <f>VLOOKUP([jobnumber],OvalData[],MATCH(Table2[[#Headers],[stopheight]],Table2[#Headers],0),0)</f>
        <v xml:space="preserve"> 10 ft.- 0"</v>
      </c>
      <c r="F143" s="2" t="str">
        <f>VLOOKUP([jobnumber],OvalData[],MATCH(Table2[[#Headers],[Between Brackets]],Table2[#Headers],0),0)</f>
        <v xml:space="preserve"> 18 ft.- 7 7/ 8"</v>
      </c>
      <c r="G143" s="2" t="str">
        <f>VLOOKUP([jobnumber],OvalData[],MATCH(Table2[[#Headers],[shell]],Table2[#Headers],0),0)</f>
        <v>6 INCH TUBE</v>
      </c>
      <c r="H143" s="2" t="str">
        <f>VLOOKUP([jobnumber],OvalData[],MATCH(Table2[[#Headers],[pipewidth]],Table2[#Headers],0),0)</f>
        <v xml:space="preserve"> 18 ft.- 1 3/ 8"</v>
      </c>
      <c r="I143" s="2">
        <f>VLOOKUP([jobnumber],OvalData[],MATCH(Table2[[#Headers],[Support Tubes]],Table2[#Headers],0),0)</f>
        <v>0</v>
      </c>
      <c r="J143" s="2">
        <f>VLOOKUP([jobnumber],OvalData[],MATCH(Table2[[#Headers],[Upset]],Table2[#Headers],0),0)</f>
        <v>2</v>
      </c>
      <c r="K143" s="2" t="str">
        <f>VLOOKUP([jobnumber],OvalData[],MATCH(Table2[[#Headers],[Guide Type]],Table2[#Headers],0),0)</f>
        <v>SN2-4 5/8-E</v>
      </c>
      <c r="L143" s="2" t="str">
        <f>VLOOKUP([jobnumber],OvalData[],MATCH(Table2[[#Headers],[Wall Angle]],Table2[#Headers],0),0)</f>
        <v xml:space="preserve"> 11 ft.- 8"</v>
      </c>
      <c r="M143" s="2" t="str">
        <f>VLOOKUP([jobnumber],OvalData[],MATCH(Table2[[#Headers],[Middle Angle]],Table2[#Headers],0),0)</f>
        <v xml:space="preserve"> 10 ft.- 4 1/ 2"</v>
      </c>
      <c r="N143" s="2" t="str">
        <f>VLOOKUP([jobnumber],OvalData[],MATCH(Table2[[#Headers],[Front Angle]],Table2[#Headers],0),0)</f>
        <v xml:space="preserve"> 10 ft.- 3"</v>
      </c>
      <c r="O143" s="2">
        <f>VLOOKUP([jobnumber],OvalData[],MATCH(Table2[[#Headers],[Pipe Center Line]],Table2[#Headers],0),0)</f>
        <v>131</v>
      </c>
      <c r="P143" s="2">
        <f>VLOOKUP([jobnumber],OvalData[],MATCH(Table2[[#Headers],[Heat Expansion Gap]],Table2[#Headers],0),0)</f>
        <v>0</v>
      </c>
      <c r="Q143" s="2">
        <f>VLOOKUP([jobnumber],OvalData[],MATCH(Table2[[#Headers],[Hanging Weight Closed]],Table2[#Headers],0),0)</f>
        <v>795</v>
      </c>
      <c r="R143" s="2">
        <f>VLOOKUP([jobnumber],OvalData[],MATCH(Table2[[#Headers],[Hanging Weight Open]],Table2[#Headers],0),0)</f>
        <v>140</v>
      </c>
      <c r="S143" s="2">
        <f>VLOOKUP([jobnumber],OvalData[],MATCH(Table2[[#Headers],[Initial Lever Arm]],Table2[#Headers],0),0)</f>
        <v>4.25</v>
      </c>
      <c r="T143" s="2">
        <f>VLOOKUP([jobnumber],OvalData[],MATCH(Table2[[#Headers],[Turns to Raise]],Table2[#Headers],0),0)</f>
        <v>3.5859999999999999</v>
      </c>
      <c r="U143" s="2">
        <f>VLOOKUP([jobnumber],OvalData[],MATCH(Table2[[#Headers],[Final Lever Arm]],Table2[#Headers],0),0)</f>
        <v>6.37</v>
      </c>
      <c r="V143" s="2">
        <f>VLOOKUP([jobnumber],OvalData[],MATCH(Table2[[#Headers],[Torque Required Closed]],Table2[#Headers],0),0)</f>
        <v>3377.9</v>
      </c>
      <c r="W143" s="2">
        <f>VLOOKUP([jobnumber],OvalData[],MATCH(Table2[[#Headers],[Torque Required Open]],Table2[#Headers],0),0)</f>
        <v>892</v>
      </c>
      <c r="X143" s="2">
        <f>VLOOKUP([jobnumber],OvalData[],MATCH(Table2[[#Headers],[Pre Turns]],Table2[#Headers],0),0)</f>
        <v>1.3332999999999999</v>
      </c>
      <c r="Y143" s="2">
        <f>VLOOKUP([jobnumber],OvalData[],MATCH(Table2[[#Headers],[Required Torque Per Turn]],Table2[#Headers],0),0)</f>
        <v>688</v>
      </c>
      <c r="Z143" s="2">
        <f>VLOOKUP([jobnumber],OvalData[],MATCH(Table2[[#Headers],[Total Turns]],Table2[#Headers],0),0)</f>
        <v>4.91</v>
      </c>
      <c r="AA143" s="2">
        <f>VLOOKUP([jobnumber],OvalData[],MATCH(Table2[[#Headers],[Grille Vision Section]],Table2[#Headers],0),0)</f>
        <v>0</v>
      </c>
      <c r="AB143" s="2">
        <f>VLOOKUP([jobnumber],OvalData[],MATCH(Table2[[#Headers],[Grille Amount]],Table2[#Headers],0),0)</f>
        <v>0</v>
      </c>
      <c r="AC143" s="2">
        <f>VLOOKUP([jobnumber],OvalData[],MATCH(Table2[[#Headers],[Grille Center]],Table2[#Headers],0),0)</f>
        <v>0</v>
      </c>
      <c r="AD143" s="2">
        <f>VLOOKUP([jobnumber],OvalData[],MATCH(Table2[[#Headers],[Grille Pattern]],Table2[#Headers],0),0)</f>
        <v>0</v>
      </c>
      <c r="AE143" s="2">
        <f>VLOOKUP([jobnumber],OvalData[],MATCH(Table2[[#Headers],[Grille First Tube]],Table2[#Headers],0),0)</f>
        <v>0</v>
      </c>
      <c r="AF143" s="2">
        <f>VLOOKUP([jobnumber],OvalData[],MATCH(Table2[[#Headers],[Grille Standard Tube]],Table2[#Headers],0),0)</f>
        <v>0</v>
      </c>
      <c r="AG143" s="2">
        <f>VLOOKUP([jobnumber],OvalData[],MATCH(Table2[[#Headers],[Grille Total Links]],Table2[#Headers],0),0)</f>
        <v>0</v>
      </c>
      <c r="AH143" s="2">
        <f>VLOOKUP([jobnumber],OvalData[],MATCH(Table2[[#Headers],[Grille Rods]],Table2[#Headers],0),0)</f>
        <v>0</v>
      </c>
      <c r="AI143" s="2">
        <f>VLOOKUP([jobnumber],OvalData[],MATCH(Table2[[#Headers],[Grille Rod Length]],Table2[#Headers],0),0)</f>
        <v>0</v>
      </c>
      <c r="AJ143" s="2">
        <f>VLOOKUP([jobnumber],OvalData[],MATCH(Table2[[#Headers],[slattype]],Table2[#Headers],0),0)</f>
        <v>2</v>
      </c>
      <c r="AK143" s="2">
        <f>VLOOKUP([jobnumber],OvalData[],MATCH(Table2[[#Headers],[slatgage]],Table2[#Headers],0),0)</f>
        <v>18</v>
      </c>
      <c r="AL143" s="2">
        <f>VLOOKUP([jobnumber],OvalData[],MATCH(Table2[[#Headers],[Numer of Top Slats]],Table2[#Headers],0),0)</f>
        <v>0</v>
      </c>
      <c r="AM143" s="2">
        <f>VLOOKUP([jobnumber],OvalData[],MATCH(Table2[[#Headers],[Number of Bottom Slats]],Table2[#Headers],0),0)</f>
        <v>0</v>
      </c>
      <c r="AN143" s="2">
        <f>VLOOKUP([jobnumber],OvalData[],MATCH(Table2[[#Headers],[Solid Bottom Height]],Table2[#Headers],0),0)</f>
        <v>0</v>
      </c>
      <c r="AO143" s="2" t="str">
        <f>VLOOKUP([jobnumber],OvalData[],MATCH(Table2[[#Headers],[slatlength]],Table2[#Headers],0),0)</f>
        <v xml:space="preserve"> 18 ft.- 5 7/ 8"</v>
      </c>
      <c r="AP143" s="2">
        <f>VLOOKUP([jobnumber],OvalData[],MATCH(Table2[[#Headers],[Bottom Slat Length]],Table2[#Headers],0),0)</f>
        <v>0</v>
      </c>
      <c r="AQ143" s="2">
        <f>VLOOKUP([jobnumber],OvalData[],MATCH(Table2[[#Headers],[Number of Perferated Slats]],Table2[#Headers],0),0)</f>
        <v>0</v>
      </c>
      <c r="AR143" s="2">
        <f>VLOOKUP([jobnumber],OvalData[],MATCH(Table2[[#Headers],[First Preferated Slat From End]],Table2[#Headers],0),0)</f>
        <v>0</v>
      </c>
      <c r="AS143" s="2">
        <f>VLOOKUP([jobnumber],OvalData[],MATCH(Table2[[#Headers],[First Preferated Slat From Bottom]],Table2[#Headers],0),0)</f>
        <v>0</v>
      </c>
      <c r="AT143" s="2">
        <f>VLOOKUP([jobnumber],OvalData[],MATCH(Table2[[#Headers],[Total Number of Slats]],Table2[#Headers],0),0)</f>
        <v>51</v>
      </c>
      <c r="AU143" s="2">
        <f>VLOOKUP([jobnumber],OvalData[],MATCH(Table2[[#Headers],[Bottom Bar Slope]],Table2[#Headers],0),0)</f>
        <v>0</v>
      </c>
      <c r="AV143" s="2">
        <f>VLOOKUP([jobnumber],OvalData[],MATCH(Table2[[#Headers],[Bottom Bar Weight]],Table2[#Headers],0),0)</f>
        <v>80.5</v>
      </c>
      <c r="AW143" s="2" t="str">
        <f>VLOOKUP([jobnumber],OvalData[],MATCH(Table2[[#Headers],[Outer Spring Gage]],Table2[#Headers],0),0)</f>
        <v>Null</v>
      </c>
      <c r="AX143" s="2" t="str">
        <f>VLOOKUP([jobnumber],OvalData[],MATCH(Table2[[#Headers],[Outer Spring OD]],Table2[#Headers],0),0)</f>
        <v>Null</v>
      </c>
      <c r="AY143" s="2" t="str">
        <f>VLOOKUP([jobnumber],OvalData[],MATCH(Table2[[#Headers],[Outer Spring Length]],Table2[#Headers],0),0)</f>
        <v>Null</v>
      </c>
      <c r="AZ143" s="2" t="str">
        <f>VLOOKUP([jobnumber],OvalData[],MATCH(Table2[[#Headers],[Outer Spring Stretch]],Table2[#Headers],0),0)</f>
        <v>Null</v>
      </c>
      <c r="BA143" s="2" t="str">
        <f>VLOOKUP([jobnumber],OvalData[],MATCH(Table2[[#Headers],[Outer Spring Torque]],Table2[#Headers],0),0)</f>
        <v>Null</v>
      </c>
      <c r="BB143" s="2" t="str">
        <f>VLOOKUP([jobnumber],OvalData[],MATCH(Table2[[#Headers],[Outer Spring Max Turns]],Table2[#Headers],0),0)</f>
        <v>Null</v>
      </c>
      <c r="BC143" s="2" t="str">
        <f>VLOOKUP([jobnumber],OvalData[],MATCH(Table2[[#Headers],[Outer Spring Weight]],Table2[#Headers],0),0)</f>
        <v>Null</v>
      </c>
      <c r="BD143" s="2" t="str">
        <f>VLOOKUP([jobnumber],OvalData[],MATCH(Table2[[#Headers],[Inner Spring Gage]],Table2[#Headers],0),0)</f>
        <v>Null</v>
      </c>
      <c r="BE143" s="2" t="str">
        <f>VLOOKUP([jobnumber],OvalData[],MATCH(Table2[[#Headers],[Inner Spring OD]],Table2[#Headers],0),0)</f>
        <v>Null</v>
      </c>
      <c r="BF143" s="2" t="str">
        <f>VLOOKUP([jobnumber],OvalData[],MATCH(Table2[[#Headers],[Inner Spring Length]],Table2[#Headers],0),0)</f>
        <v>Null</v>
      </c>
      <c r="BG143" s="2" t="str">
        <f>VLOOKUP([jobnumber],OvalData[],MATCH(Table2[[#Headers],[Inner Spring Stretch]],Table2[#Headers],0),0)</f>
        <v>Null</v>
      </c>
      <c r="BH143" s="2" t="str">
        <f>VLOOKUP([jobnumber],OvalData[],MATCH(Table2[[#Headers],[Inner Spring Torque]],Table2[#Headers],0),0)</f>
        <v>Null</v>
      </c>
      <c r="BI143" s="2" t="str">
        <f>VLOOKUP([jobnumber],OvalData[],MATCH(Table2[[#Headers],[Inner Spring Max Turns]],Table2[#Headers],0),0)</f>
        <v>Null</v>
      </c>
      <c r="BJ143" s="2" t="str">
        <f>VLOOKUP([jobnumber],OvalData[],MATCH(Table2[[#Headers],[Inner Spring Weight]],Table2[#Headers],0),0)</f>
        <v>Null</v>
      </c>
      <c r="BK143" s="2">
        <f>VLOOKUP([jobnumber],OvalData[],MATCH(Table2[[#Headers],[Cycles]],Table2[#Headers],0),0)</f>
        <v>0</v>
      </c>
      <c r="BL143" s="2">
        <f>VLOOKUP([jobnumber],OvalData[],MATCH(Table2[[#Headers],[Total Spring Torque]],Table2[#Headers],0),0)</f>
        <v>0</v>
      </c>
      <c r="BM143" s="2">
        <f>VLOOKUP([jobnumber],OvalData[],MATCH(Table2[[#Headers],[Total Spring Weight]],Table2[#Headers],0),0)</f>
        <v>0</v>
      </c>
      <c r="BN143" s="2">
        <f>VLOOKUP([jobnumber],OvalData[],MATCH(Table2[[#Headers],[Pipe Weight]],Table2[#Headers],0),0)</f>
        <v>688.24239999999998</v>
      </c>
      <c r="BO143" s="2">
        <f>VLOOKUP([jobnumber],OvalData[],MATCH(Table2[[#Headers],[Max Pipe Deflection]],Table2[#Headers],0),0)</f>
        <v>2309</v>
      </c>
      <c r="BP143" s="2">
        <f>VLOOKUP([jobnumber],OvalData[],MATCH(Table2[[#Headers],[Number Non-Insulated Wrap Slats]],Table2[#Headers],0),0)</f>
        <v>0</v>
      </c>
      <c r="BQ143" s="2">
        <f>VLOOKUP([jobnumber],OvalData[],MATCH(Table2[[#Headers],[Number of Insolated Top Slats]],Table2[#Headers],0),0)</f>
        <v>45</v>
      </c>
      <c r="BR143" s="2">
        <f>VLOOKUP([jobnumber],OvalData[],MATCH(Table2[[#Headers],[Insolated Total Slats]],Table2[#Headers],0),0)</f>
        <v>45</v>
      </c>
      <c r="BS143" s="2">
        <f>VLOOKUP([jobnumber],OvalData[],MATCH(Table2[[#Headers],[Number of Slats]],Table2[#Headers],0),0)</f>
        <v>44.69</v>
      </c>
      <c r="BT143" s="2">
        <f>VLOOKUP([jobnumber],OvalData[],MATCH(Table2[[#Headers],[Wrap]],Table2[#Headers],0),0)</f>
        <v>0</v>
      </c>
      <c r="BU143" s="2">
        <f>VLOOKUP([jobnumber],OvalData[],MATCH(Table2[[#Headers],[Wall Angle Thickness]],Table2[#Headers],0),0)</f>
        <v>0</v>
      </c>
      <c r="BV143" s="2">
        <f>VLOOKUP([jobnumber],OvalData[],MATCH(Table2[[#Headers],[windlocks]],Table2[#Headers],0),0)</f>
        <v>0</v>
      </c>
      <c r="BW143" s="2" t="str">
        <f>VLOOKUP([jobnumber],OvalData[],MATCH(Table2[[#Headers],[bottombartype]],Table2[#Headers],0),0)</f>
        <v>SPECIAL</v>
      </c>
      <c r="BX143" s="2">
        <f>VLOOKUP([jobnumber],OvalData[],MATCH(Table2[[#Headers],[endlockweight]],Table2[#Headers],0),0)</f>
        <v>0.17</v>
      </c>
      <c r="BY143" s="2">
        <f>VLOOKUP([jobnumber],OvalData[],MATCH(Table2[[#Headers],[Endlock Total Weight]],Table2[#Headers],0),0)</f>
        <v>7.5972999999999997</v>
      </c>
      <c r="BZ143" s="2">
        <f>VLOOKUP([jobnumber],OvalData[],MATCH(Table2[[#Headers],[Grille Weight]],Table2[#Headers],0),0)</f>
        <v>0</v>
      </c>
      <c r="CA143" s="2">
        <f>VLOOKUP([jobnumber],OvalData[],MATCH(Table2[[#Headers],[barrelrings]],Table2[#Headers],0),0)</f>
        <v>1</v>
      </c>
    </row>
    <row r="144" spans="2:79">
      <c r="B144" s="2" t="str">
        <f>VLOOKUP([jobnumber],OvalData[],MATCH(Table2[[#Headers],[Hand]],Table2[#Headers],0),0)</f>
        <v>RH</v>
      </c>
      <c r="C144" s="2" t="str">
        <f>VLOOKUP([jobnumber],OvalData[],MATCH(Table2[[#Headers],[Model]],Table2[#Headers],0),0)</f>
        <v>SFMPP</v>
      </c>
      <c r="D144" s="2" t="str">
        <f>VLOOKUP([jobnumber],OvalData[],MATCH(Table2[[#Headers],[width]],Table2[#Headers],0),0)</f>
        <v xml:space="preserve"> 18 ft.- 2"</v>
      </c>
      <c r="E144" s="2" t="str">
        <f>VLOOKUP([jobnumber],OvalData[],MATCH(Table2[[#Headers],[stopheight]],Table2[#Headers],0),0)</f>
        <v xml:space="preserve"> 10 ft.- 0"</v>
      </c>
      <c r="F144" s="2" t="str">
        <f>VLOOKUP([jobnumber],OvalData[],MATCH(Table2[[#Headers],[Between Brackets]],Table2[#Headers],0),0)</f>
        <v xml:space="preserve"> 18 ft.- 7 7/ 8"</v>
      </c>
      <c r="G144" s="2" t="str">
        <f>VLOOKUP([jobnumber],OvalData[],MATCH(Table2[[#Headers],[shell]],Table2[#Headers],0),0)</f>
        <v>6 INCH TUBE</v>
      </c>
      <c r="H144" s="2" t="str">
        <f>VLOOKUP([jobnumber],OvalData[],MATCH(Table2[[#Headers],[pipewidth]],Table2[#Headers],0),0)</f>
        <v xml:space="preserve"> 18 ft.- 1 3/ 8"</v>
      </c>
      <c r="I144" s="2">
        <f>VLOOKUP([jobnumber],OvalData[],MATCH(Table2[[#Headers],[Support Tubes]],Table2[#Headers],0),0)</f>
        <v>0</v>
      </c>
      <c r="J144" s="2">
        <f>VLOOKUP([jobnumber],OvalData[],MATCH(Table2[[#Headers],[Upset]],Table2[#Headers],0),0)</f>
        <v>2</v>
      </c>
      <c r="K144" s="2" t="str">
        <f>VLOOKUP([jobnumber],OvalData[],MATCH(Table2[[#Headers],[Guide Type]],Table2[#Headers],0),0)</f>
        <v>SN2-4 5/8-E</v>
      </c>
      <c r="L144" s="2" t="str">
        <f>VLOOKUP([jobnumber],OvalData[],MATCH(Table2[[#Headers],[Wall Angle]],Table2[#Headers],0),0)</f>
        <v xml:space="preserve"> 11 ft.- 8"</v>
      </c>
      <c r="M144" s="2" t="str">
        <f>VLOOKUP([jobnumber],OvalData[],MATCH(Table2[[#Headers],[Middle Angle]],Table2[#Headers],0),0)</f>
        <v xml:space="preserve"> 10 ft.- 4 1/ 2"</v>
      </c>
      <c r="N144" s="2" t="str">
        <f>VLOOKUP([jobnumber],OvalData[],MATCH(Table2[[#Headers],[Front Angle]],Table2[#Headers],0),0)</f>
        <v xml:space="preserve"> 10 ft.- 3"</v>
      </c>
      <c r="O144" s="2">
        <f>VLOOKUP([jobnumber],OvalData[],MATCH(Table2[[#Headers],[Pipe Center Line]],Table2[#Headers],0),0)</f>
        <v>131</v>
      </c>
      <c r="P144" s="2">
        <f>VLOOKUP([jobnumber],OvalData[],MATCH(Table2[[#Headers],[Heat Expansion Gap]],Table2[#Headers],0),0)</f>
        <v>0</v>
      </c>
      <c r="Q144" s="2">
        <f>VLOOKUP([jobnumber],OvalData[],MATCH(Table2[[#Headers],[Hanging Weight Closed]],Table2[#Headers],0),0)</f>
        <v>795</v>
      </c>
      <c r="R144" s="2">
        <f>VLOOKUP([jobnumber],OvalData[],MATCH(Table2[[#Headers],[Hanging Weight Open]],Table2[#Headers],0),0)</f>
        <v>140</v>
      </c>
      <c r="S144" s="2">
        <f>VLOOKUP([jobnumber],OvalData[],MATCH(Table2[[#Headers],[Initial Lever Arm]],Table2[#Headers],0),0)</f>
        <v>4.25</v>
      </c>
      <c r="T144" s="2">
        <f>VLOOKUP([jobnumber],OvalData[],MATCH(Table2[[#Headers],[Turns to Raise]],Table2[#Headers],0),0)</f>
        <v>3.5859999999999999</v>
      </c>
      <c r="U144" s="2">
        <f>VLOOKUP([jobnumber],OvalData[],MATCH(Table2[[#Headers],[Final Lever Arm]],Table2[#Headers],0),0)</f>
        <v>6.37</v>
      </c>
      <c r="V144" s="2">
        <f>VLOOKUP([jobnumber],OvalData[],MATCH(Table2[[#Headers],[Torque Required Closed]],Table2[#Headers],0),0)</f>
        <v>3377.9</v>
      </c>
      <c r="W144" s="2">
        <f>VLOOKUP([jobnumber],OvalData[],MATCH(Table2[[#Headers],[Torque Required Open]],Table2[#Headers],0),0)</f>
        <v>892</v>
      </c>
      <c r="X144" s="2">
        <f>VLOOKUP([jobnumber],OvalData[],MATCH(Table2[[#Headers],[Pre Turns]],Table2[#Headers],0),0)</f>
        <v>1.3332999999999999</v>
      </c>
      <c r="Y144" s="2">
        <f>VLOOKUP([jobnumber],OvalData[],MATCH(Table2[[#Headers],[Required Torque Per Turn]],Table2[#Headers],0),0)</f>
        <v>688</v>
      </c>
      <c r="Z144" s="2">
        <f>VLOOKUP([jobnumber],OvalData[],MATCH(Table2[[#Headers],[Total Turns]],Table2[#Headers],0),0)</f>
        <v>4.91</v>
      </c>
      <c r="AA144" s="2">
        <f>VLOOKUP([jobnumber],OvalData[],MATCH(Table2[[#Headers],[Grille Vision Section]],Table2[#Headers],0),0)</f>
        <v>0</v>
      </c>
      <c r="AB144" s="2">
        <f>VLOOKUP([jobnumber],OvalData[],MATCH(Table2[[#Headers],[Grille Amount]],Table2[#Headers],0),0)</f>
        <v>0</v>
      </c>
      <c r="AC144" s="2">
        <f>VLOOKUP([jobnumber],OvalData[],MATCH(Table2[[#Headers],[Grille Center]],Table2[#Headers],0),0)</f>
        <v>0</v>
      </c>
      <c r="AD144" s="2">
        <f>VLOOKUP([jobnumber],OvalData[],MATCH(Table2[[#Headers],[Grille Pattern]],Table2[#Headers],0),0)</f>
        <v>0</v>
      </c>
      <c r="AE144" s="2">
        <f>VLOOKUP([jobnumber],OvalData[],MATCH(Table2[[#Headers],[Grille First Tube]],Table2[#Headers],0),0)</f>
        <v>0</v>
      </c>
      <c r="AF144" s="2">
        <f>VLOOKUP([jobnumber],OvalData[],MATCH(Table2[[#Headers],[Grille Standard Tube]],Table2[#Headers],0),0)</f>
        <v>0</v>
      </c>
      <c r="AG144" s="2">
        <f>VLOOKUP([jobnumber],OvalData[],MATCH(Table2[[#Headers],[Grille Total Links]],Table2[#Headers],0),0)</f>
        <v>0</v>
      </c>
      <c r="AH144" s="2">
        <f>VLOOKUP([jobnumber],OvalData[],MATCH(Table2[[#Headers],[Grille Rods]],Table2[#Headers],0),0)</f>
        <v>0</v>
      </c>
      <c r="AI144" s="2">
        <f>VLOOKUP([jobnumber],OvalData[],MATCH(Table2[[#Headers],[Grille Rod Length]],Table2[#Headers],0),0)</f>
        <v>0</v>
      </c>
      <c r="AJ144" s="2">
        <f>VLOOKUP([jobnumber],OvalData[],MATCH(Table2[[#Headers],[slattype]],Table2[#Headers],0),0)</f>
        <v>2</v>
      </c>
      <c r="AK144" s="2">
        <f>VLOOKUP([jobnumber],OvalData[],MATCH(Table2[[#Headers],[slatgage]],Table2[#Headers],0),0)</f>
        <v>18</v>
      </c>
      <c r="AL144" s="2">
        <f>VLOOKUP([jobnumber],OvalData[],MATCH(Table2[[#Headers],[Numer of Top Slats]],Table2[#Headers],0),0)</f>
        <v>0</v>
      </c>
      <c r="AM144" s="2">
        <f>VLOOKUP([jobnumber],OvalData[],MATCH(Table2[[#Headers],[Number of Bottom Slats]],Table2[#Headers],0),0)</f>
        <v>0</v>
      </c>
      <c r="AN144" s="2">
        <f>VLOOKUP([jobnumber],OvalData[],MATCH(Table2[[#Headers],[Solid Bottom Height]],Table2[#Headers],0),0)</f>
        <v>0</v>
      </c>
      <c r="AO144" s="2" t="str">
        <f>VLOOKUP([jobnumber],OvalData[],MATCH(Table2[[#Headers],[slatlength]],Table2[#Headers],0),0)</f>
        <v xml:space="preserve"> 18 ft.- 5 7/ 8"</v>
      </c>
      <c r="AP144" s="2">
        <f>VLOOKUP([jobnumber],OvalData[],MATCH(Table2[[#Headers],[Bottom Slat Length]],Table2[#Headers],0),0)</f>
        <v>0</v>
      </c>
      <c r="AQ144" s="2">
        <f>VLOOKUP([jobnumber],OvalData[],MATCH(Table2[[#Headers],[Number of Perferated Slats]],Table2[#Headers],0),0)</f>
        <v>0</v>
      </c>
      <c r="AR144" s="2">
        <f>VLOOKUP([jobnumber],OvalData[],MATCH(Table2[[#Headers],[First Preferated Slat From End]],Table2[#Headers],0),0)</f>
        <v>0</v>
      </c>
      <c r="AS144" s="2">
        <f>VLOOKUP([jobnumber],OvalData[],MATCH(Table2[[#Headers],[First Preferated Slat From Bottom]],Table2[#Headers],0),0)</f>
        <v>0</v>
      </c>
      <c r="AT144" s="2">
        <f>VLOOKUP([jobnumber],OvalData[],MATCH(Table2[[#Headers],[Total Number of Slats]],Table2[#Headers],0),0)</f>
        <v>51</v>
      </c>
      <c r="AU144" s="2">
        <f>VLOOKUP([jobnumber],OvalData[],MATCH(Table2[[#Headers],[Bottom Bar Slope]],Table2[#Headers],0),0)</f>
        <v>0</v>
      </c>
      <c r="AV144" s="2">
        <f>VLOOKUP([jobnumber],OvalData[],MATCH(Table2[[#Headers],[Bottom Bar Weight]],Table2[#Headers],0),0)</f>
        <v>80.5</v>
      </c>
      <c r="AW144" s="2" t="str">
        <f>VLOOKUP([jobnumber],OvalData[],MATCH(Table2[[#Headers],[Outer Spring Gage]],Table2[#Headers],0),0)</f>
        <v>Null</v>
      </c>
      <c r="AX144" s="2" t="str">
        <f>VLOOKUP([jobnumber],OvalData[],MATCH(Table2[[#Headers],[Outer Spring OD]],Table2[#Headers],0),0)</f>
        <v>Null</v>
      </c>
      <c r="AY144" s="2" t="str">
        <f>VLOOKUP([jobnumber],OvalData[],MATCH(Table2[[#Headers],[Outer Spring Length]],Table2[#Headers],0),0)</f>
        <v>Null</v>
      </c>
      <c r="AZ144" s="2" t="str">
        <f>VLOOKUP([jobnumber],OvalData[],MATCH(Table2[[#Headers],[Outer Spring Stretch]],Table2[#Headers],0),0)</f>
        <v>Null</v>
      </c>
      <c r="BA144" s="2" t="str">
        <f>VLOOKUP([jobnumber],OvalData[],MATCH(Table2[[#Headers],[Outer Spring Torque]],Table2[#Headers],0),0)</f>
        <v>Null</v>
      </c>
      <c r="BB144" s="2" t="str">
        <f>VLOOKUP([jobnumber],OvalData[],MATCH(Table2[[#Headers],[Outer Spring Max Turns]],Table2[#Headers],0),0)</f>
        <v>Null</v>
      </c>
      <c r="BC144" s="2" t="str">
        <f>VLOOKUP([jobnumber],OvalData[],MATCH(Table2[[#Headers],[Outer Spring Weight]],Table2[#Headers],0),0)</f>
        <v>Null</v>
      </c>
      <c r="BD144" s="2" t="str">
        <f>VLOOKUP([jobnumber],OvalData[],MATCH(Table2[[#Headers],[Inner Spring Gage]],Table2[#Headers],0),0)</f>
        <v>Null</v>
      </c>
      <c r="BE144" s="2" t="str">
        <f>VLOOKUP([jobnumber],OvalData[],MATCH(Table2[[#Headers],[Inner Spring OD]],Table2[#Headers],0),0)</f>
        <v>Null</v>
      </c>
      <c r="BF144" s="2" t="str">
        <f>VLOOKUP([jobnumber],OvalData[],MATCH(Table2[[#Headers],[Inner Spring Length]],Table2[#Headers],0),0)</f>
        <v>Null</v>
      </c>
      <c r="BG144" s="2" t="str">
        <f>VLOOKUP([jobnumber],OvalData[],MATCH(Table2[[#Headers],[Inner Spring Stretch]],Table2[#Headers],0),0)</f>
        <v>Null</v>
      </c>
      <c r="BH144" s="2" t="str">
        <f>VLOOKUP([jobnumber],OvalData[],MATCH(Table2[[#Headers],[Inner Spring Torque]],Table2[#Headers],0),0)</f>
        <v>Null</v>
      </c>
      <c r="BI144" s="2" t="str">
        <f>VLOOKUP([jobnumber],OvalData[],MATCH(Table2[[#Headers],[Inner Spring Max Turns]],Table2[#Headers],0),0)</f>
        <v>Null</v>
      </c>
      <c r="BJ144" s="2" t="str">
        <f>VLOOKUP([jobnumber],OvalData[],MATCH(Table2[[#Headers],[Inner Spring Weight]],Table2[#Headers],0),0)</f>
        <v>Null</v>
      </c>
      <c r="BK144" s="2">
        <f>VLOOKUP([jobnumber],OvalData[],MATCH(Table2[[#Headers],[Cycles]],Table2[#Headers],0),0)</f>
        <v>0</v>
      </c>
      <c r="BL144" s="2">
        <f>VLOOKUP([jobnumber],OvalData[],MATCH(Table2[[#Headers],[Total Spring Torque]],Table2[#Headers],0),0)</f>
        <v>0</v>
      </c>
      <c r="BM144" s="2">
        <f>VLOOKUP([jobnumber],OvalData[],MATCH(Table2[[#Headers],[Total Spring Weight]],Table2[#Headers],0),0)</f>
        <v>0</v>
      </c>
      <c r="BN144" s="2">
        <f>VLOOKUP([jobnumber],OvalData[],MATCH(Table2[[#Headers],[Pipe Weight]],Table2[#Headers],0),0)</f>
        <v>688.24239999999998</v>
      </c>
      <c r="BO144" s="2">
        <f>VLOOKUP([jobnumber],OvalData[],MATCH(Table2[[#Headers],[Max Pipe Deflection]],Table2[#Headers],0),0)</f>
        <v>2309</v>
      </c>
      <c r="BP144" s="2">
        <f>VLOOKUP([jobnumber],OvalData[],MATCH(Table2[[#Headers],[Number Non-Insulated Wrap Slats]],Table2[#Headers],0),0)</f>
        <v>0</v>
      </c>
      <c r="BQ144" s="2">
        <f>VLOOKUP([jobnumber],OvalData[],MATCH(Table2[[#Headers],[Number of Insolated Top Slats]],Table2[#Headers],0),0)</f>
        <v>45</v>
      </c>
      <c r="BR144" s="2">
        <f>VLOOKUP([jobnumber],OvalData[],MATCH(Table2[[#Headers],[Insolated Total Slats]],Table2[#Headers],0),0)</f>
        <v>45</v>
      </c>
      <c r="BS144" s="2">
        <f>VLOOKUP([jobnumber],OvalData[],MATCH(Table2[[#Headers],[Number of Slats]],Table2[#Headers],0),0)</f>
        <v>44.69</v>
      </c>
      <c r="BT144" s="2">
        <f>VLOOKUP([jobnumber],OvalData[],MATCH(Table2[[#Headers],[Wrap]],Table2[#Headers],0),0)</f>
        <v>0</v>
      </c>
      <c r="BU144" s="2">
        <f>VLOOKUP([jobnumber],OvalData[],MATCH(Table2[[#Headers],[Wall Angle Thickness]],Table2[#Headers],0),0)</f>
        <v>0</v>
      </c>
      <c r="BV144" s="2">
        <f>VLOOKUP([jobnumber],OvalData[],MATCH(Table2[[#Headers],[windlocks]],Table2[#Headers],0),0)</f>
        <v>0</v>
      </c>
      <c r="BW144" s="2" t="str">
        <f>VLOOKUP([jobnumber],OvalData[],MATCH(Table2[[#Headers],[bottombartype]],Table2[#Headers],0),0)</f>
        <v>SPECIAL</v>
      </c>
      <c r="BX144" s="2">
        <f>VLOOKUP([jobnumber],OvalData[],MATCH(Table2[[#Headers],[endlockweight]],Table2[#Headers],0),0)</f>
        <v>0.17</v>
      </c>
      <c r="BY144" s="2">
        <f>VLOOKUP([jobnumber],OvalData[],MATCH(Table2[[#Headers],[Endlock Total Weight]],Table2[#Headers],0),0)</f>
        <v>7.5972999999999997</v>
      </c>
      <c r="BZ144" s="2">
        <f>VLOOKUP([jobnumber],OvalData[],MATCH(Table2[[#Headers],[Grille Weight]],Table2[#Headers],0),0)</f>
        <v>0</v>
      </c>
      <c r="CA144" s="2">
        <f>VLOOKUP([jobnumber],OvalData[],MATCH(Table2[[#Headers],[barrelrings]],Table2[#Headers],0),0)</f>
        <v>1</v>
      </c>
    </row>
    <row r="145" spans="2:79">
      <c r="B145" s="2" t="str">
        <f>VLOOKUP([jobnumber],OvalData[],MATCH(Table2[[#Headers],[Hand]],Table2[#Headers],0),0)</f>
        <v>RH</v>
      </c>
      <c r="C145" s="2" t="str">
        <f>VLOOKUP([jobnumber],OvalData[],MATCH(Table2[[#Headers],[Model]],Table2[#Headers],0),0)</f>
        <v>SFMPP</v>
      </c>
      <c r="D145" s="2" t="str">
        <f>VLOOKUP([jobnumber],OvalData[],MATCH(Table2[[#Headers],[width]],Table2[#Headers],0),0)</f>
        <v xml:space="preserve"> 18 ft.- 2"</v>
      </c>
      <c r="E145" s="2" t="str">
        <f>VLOOKUP([jobnumber],OvalData[],MATCH(Table2[[#Headers],[stopheight]],Table2[#Headers],0),0)</f>
        <v xml:space="preserve"> 10 ft.- 0"</v>
      </c>
      <c r="F145" s="2" t="str">
        <f>VLOOKUP([jobnumber],OvalData[],MATCH(Table2[[#Headers],[Between Brackets]],Table2[#Headers],0),0)</f>
        <v xml:space="preserve"> 18 ft.- 7 7/ 8"</v>
      </c>
      <c r="G145" s="2" t="str">
        <f>VLOOKUP([jobnumber],OvalData[],MATCH(Table2[[#Headers],[shell]],Table2[#Headers],0),0)</f>
        <v>6 INCH TUBE</v>
      </c>
      <c r="H145" s="2" t="str">
        <f>VLOOKUP([jobnumber],OvalData[],MATCH(Table2[[#Headers],[pipewidth]],Table2[#Headers],0),0)</f>
        <v xml:space="preserve"> 18 ft.- 1 3/ 8"</v>
      </c>
      <c r="I145" s="2">
        <f>VLOOKUP([jobnumber],OvalData[],MATCH(Table2[[#Headers],[Support Tubes]],Table2[#Headers],0),0)</f>
        <v>0</v>
      </c>
      <c r="J145" s="2">
        <f>VLOOKUP([jobnumber],OvalData[],MATCH(Table2[[#Headers],[Upset]],Table2[#Headers],0),0)</f>
        <v>2</v>
      </c>
      <c r="K145" s="2" t="str">
        <f>VLOOKUP([jobnumber],OvalData[],MATCH(Table2[[#Headers],[Guide Type]],Table2[#Headers],0),0)</f>
        <v>SN2-4 5/8-E</v>
      </c>
      <c r="L145" s="2" t="str">
        <f>VLOOKUP([jobnumber],OvalData[],MATCH(Table2[[#Headers],[Wall Angle]],Table2[#Headers],0),0)</f>
        <v xml:space="preserve"> 11 ft.- 8"</v>
      </c>
      <c r="M145" s="2" t="str">
        <f>VLOOKUP([jobnumber],OvalData[],MATCH(Table2[[#Headers],[Middle Angle]],Table2[#Headers],0),0)</f>
        <v xml:space="preserve"> 10 ft.- 4 1/ 2"</v>
      </c>
      <c r="N145" s="2" t="str">
        <f>VLOOKUP([jobnumber],OvalData[],MATCH(Table2[[#Headers],[Front Angle]],Table2[#Headers],0),0)</f>
        <v xml:space="preserve"> 10 ft.- 3"</v>
      </c>
      <c r="O145" s="2">
        <f>VLOOKUP([jobnumber],OvalData[],MATCH(Table2[[#Headers],[Pipe Center Line]],Table2[#Headers],0),0)</f>
        <v>131</v>
      </c>
      <c r="P145" s="2">
        <f>VLOOKUP([jobnumber],OvalData[],MATCH(Table2[[#Headers],[Heat Expansion Gap]],Table2[#Headers],0),0)</f>
        <v>0</v>
      </c>
      <c r="Q145" s="2">
        <f>VLOOKUP([jobnumber],OvalData[],MATCH(Table2[[#Headers],[Hanging Weight Closed]],Table2[#Headers],0),0)</f>
        <v>795</v>
      </c>
      <c r="R145" s="2">
        <f>VLOOKUP([jobnumber],OvalData[],MATCH(Table2[[#Headers],[Hanging Weight Open]],Table2[#Headers],0),0)</f>
        <v>140</v>
      </c>
      <c r="S145" s="2">
        <f>VLOOKUP([jobnumber],OvalData[],MATCH(Table2[[#Headers],[Initial Lever Arm]],Table2[#Headers],0),0)</f>
        <v>4.25</v>
      </c>
      <c r="T145" s="2">
        <f>VLOOKUP([jobnumber],OvalData[],MATCH(Table2[[#Headers],[Turns to Raise]],Table2[#Headers],0),0)</f>
        <v>3.5859999999999999</v>
      </c>
      <c r="U145" s="2">
        <f>VLOOKUP([jobnumber],OvalData[],MATCH(Table2[[#Headers],[Final Lever Arm]],Table2[#Headers],0),0)</f>
        <v>6.37</v>
      </c>
      <c r="V145" s="2">
        <f>VLOOKUP([jobnumber],OvalData[],MATCH(Table2[[#Headers],[Torque Required Closed]],Table2[#Headers],0),0)</f>
        <v>3377.9</v>
      </c>
      <c r="W145" s="2">
        <f>VLOOKUP([jobnumber],OvalData[],MATCH(Table2[[#Headers],[Torque Required Open]],Table2[#Headers],0),0)</f>
        <v>892</v>
      </c>
      <c r="X145" s="2">
        <f>VLOOKUP([jobnumber],OvalData[],MATCH(Table2[[#Headers],[Pre Turns]],Table2[#Headers],0),0)</f>
        <v>1.3332999999999999</v>
      </c>
      <c r="Y145" s="2">
        <f>VLOOKUP([jobnumber],OvalData[],MATCH(Table2[[#Headers],[Required Torque Per Turn]],Table2[#Headers],0),0)</f>
        <v>688</v>
      </c>
      <c r="Z145" s="2">
        <f>VLOOKUP([jobnumber],OvalData[],MATCH(Table2[[#Headers],[Total Turns]],Table2[#Headers],0),0)</f>
        <v>4.91</v>
      </c>
      <c r="AA145" s="2">
        <f>VLOOKUP([jobnumber],OvalData[],MATCH(Table2[[#Headers],[Grille Vision Section]],Table2[#Headers],0),0)</f>
        <v>0</v>
      </c>
      <c r="AB145" s="2">
        <f>VLOOKUP([jobnumber],OvalData[],MATCH(Table2[[#Headers],[Grille Amount]],Table2[#Headers],0),0)</f>
        <v>0</v>
      </c>
      <c r="AC145" s="2">
        <f>VLOOKUP([jobnumber],OvalData[],MATCH(Table2[[#Headers],[Grille Center]],Table2[#Headers],0),0)</f>
        <v>0</v>
      </c>
      <c r="AD145" s="2">
        <f>VLOOKUP([jobnumber],OvalData[],MATCH(Table2[[#Headers],[Grille Pattern]],Table2[#Headers],0),0)</f>
        <v>0</v>
      </c>
      <c r="AE145" s="2">
        <f>VLOOKUP([jobnumber],OvalData[],MATCH(Table2[[#Headers],[Grille First Tube]],Table2[#Headers],0),0)</f>
        <v>0</v>
      </c>
      <c r="AF145" s="2">
        <f>VLOOKUP([jobnumber],OvalData[],MATCH(Table2[[#Headers],[Grille Standard Tube]],Table2[#Headers],0),0)</f>
        <v>0</v>
      </c>
      <c r="AG145" s="2">
        <f>VLOOKUP([jobnumber],OvalData[],MATCH(Table2[[#Headers],[Grille Total Links]],Table2[#Headers],0),0)</f>
        <v>0</v>
      </c>
      <c r="AH145" s="2">
        <f>VLOOKUP([jobnumber],OvalData[],MATCH(Table2[[#Headers],[Grille Rods]],Table2[#Headers],0),0)</f>
        <v>0</v>
      </c>
      <c r="AI145" s="2">
        <f>VLOOKUP([jobnumber],OvalData[],MATCH(Table2[[#Headers],[Grille Rod Length]],Table2[#Headers],0),0)</f>
        <v>0</v>
      </c>
      <c r="AJ145" s="2">
        <f>VLOOKUP([jobnumber],OvalData[],MATCH(Table2[[#Headers],[slattype]],Table2[#Headers],0),0)</f>
        <v>2</v>
      </c>
      <c r="AK145" s="2">
        <f>VLOOKUP([jobnumber],OvalData[],MATCH(Table2[[#Headers],[slatgage]],Table2[#Headers],0),0)</f>
        <v>18</v>
      </c>
      <c r="AL145" s="2">
        <f>VLOOKUP([jobnumber],OvalData[],MATCH(Table2[[#Headers],[Numer of Top Slats]],Table2[#Headers],0),0)</f>
        <v>0</v>
      </c>
      <c r="AM145" s="2">
        <f>VLOOKUP([jobnumber],OvalData[],MATCH(Table2[[#Headers],[Number of Bottom Slats]],Table2[#Headers],0),0)</f>
        <v>0</v>
      </c>
      <c r="AN145" s="2">
        <f>VLOOKUP([jobnumber],OvalData[],MATCH(Table2[[#Headers],[Solid Bottom Height]],Table2[#Headers],0),0)</f>
        <v>0</v>
      </c>
      <c r="AO145" s="2" t="str">
        <f>VLOOKUP([jobnumber],OvalData[],MATCH(Table2[[#Headers],[slatlength]],Table2[#Headers],0),0)</f>
        <v xml:space="preserve"> 18 ft.- 5 7/ 8"</v>
      </c>
      <c r="AP145" s="2">
        <f>VLOOKUP([jobnumber],OvalData[],MATCH(Table2[[#Headers],[Bottom Slat Length]],Table2[#Headers],0),0)</f>
        <v>0</v>
      </c>
      <c r="AQ145" s="2">
        <f>VLOOKUP([jobnumber],OvalData[],MATCH(Table2[[#Headers],[Number of Perferated Slats]],Table2[#Headers],0),0)</f>
        <v>0</v>
      </c>
      <c r="AR145" s="2">
        <f>VLOOKUP([jobnumber],OvalData[],MATCH(Table2[[#Headers],[First Preferated Slat From End]],Table2[#Headers],0),0)</f>
        <v>0</v>
      </c>
      <c r="AS145" s="2">
        <f>VLOOKUP([jobnumber],OvalData[],MATCH(Table2[[#Headers],[First Preferated Slat From Bottom]],Table2[#Headers],0),0)</f>
        <v>0</v>
      </c>
      <c r="AT145" s="2">
        <f>VLOOKUP([jobnumber],OvalData[],MATCH(Table2[[#Headers],[Total Number of Slats]],Table2[#Headers],0),0)</f>
        <v>51</v>
      </c>
      <c r="AU145" s="2">
        <f>VLOOKUP([jobnumber],OvalData[],MATCH(Table2[[#Headers],[Bottom Bar Slope]],Table2[#Headers],0),0)</f>
        <v>0</v>
      </c>
      <c r="AV145" s="2">
        <f>VLOOKUP([jobnumber],OvalData[],MATCH(Table2[[#Headers],[Bottom Bar Weight]],Table2[#Headers],0),0)</f>
        <v>80.5</v>
      </c>
      <c r="AW145" s="2" t="str">
        <f>VLOOKUP([jobnumber],OvalData[],MATCH(Table2[[#Headers],[Outer Spring Gage]],Table2[#Headers],0),0)</f>
        <v>Null</v>
      </c>
      <c r="AX145" s="2" t="str">
        <f>VLOOKUP([jobnumber],OvalData[],MATCH(Table2[[#Headers],[Outer Spring OD]],Table2[#Headers],0),0)</f>
        <v>Null</v>
      </c>
      <c r="AY145" s="2" t="str">
        <f>VLOOKUP([jobnumber],OvalData[],MATCH(Table2[[#Headers],[Outer Spring Length]],Table2[#Headers],0),0)</f>
        <v>Null</v>
      </c>
      <c r="AZ145" s="2" t="str">
        <f>VLOOKUP([jobnumber],OvalData[],MATCH(Table2[[#Headers],[Outer Spring Stretch]],Table2[#Headers],0),0)</f>
        <v>Null</v>
      </c>
      <c r="BA145" s="2" t="str">
        <f>VLOOKUP([jobnumber],OvalData[],MATCH(Table2[[#Headers],[Outer Spring Torque]],Table2[#Headers],0),0)</f>
        <v>Null</v>
      </c>
      <c r="BB145" s="2" t="str">
        <f>VLOOKUP([jobnumber],OvalData[],MATCH(Table2[[#Headers],[Outer Spring Max Turns]],Table2[#Headers],0),0)</f>
        <v>Null</v>
      </c>
      <c r="BC145" s="2" t="str">
        <f>VLOOKUP([jobnumber],OvalData[],MATCH(Table2[[#Headers],[Outer Spring Weight]],Table2[#Headers],0),0)</f>
        <v>Null</v>
      </c>
      <c r="BD145" s="2" t="str">
        <f>VLOOKUP([jobnumber],OvalData[],MATCH(Table2[[#Headers],[Inner Spring Gage]],Table2[#Headers],0),0)</f>
        <v>Null</v>
      </c>
      <c r="BE145" s="2" t="str">
        <f>VLOOKUP([jobnumber],OvalData[],MATCH(Table2[[#Headers],[Inner Spring OD]],Table2[#Headers],0),0)</f>
        <v>Null</v>
      </c>
      <c r="BF145" s="2" t="str">
        <f>VLOOKUP([jobnumber],OvalData[],MATCH(Table2[[#Headers],[Inner Spring Length]],Table2[#Headers],0),0)</f>
        <v>Null</v>
      </c>
      <c r="BG145" s="2" t="str">
        <f>VLOOKUP([jobnumber],OvalData[],MATCH(Table2[[#Headers],[Inner Spring Stretch]],Table2[#Headers],0),0)</f>
        <v>Null</v>
      </c>
      <c r="BH145" s="2" t="str">
        <f>VLOOKUP([jobnumber],OvalData[],MATCH(Table2[[#Headers],[Inner Spring Torque]],Table2[#Headers],0),0)</f>
        <v>Null</v>
      </c>
      <c r="BI145" s="2" t="str">
        <f>VLOOKUP([jobnumber],OvalData[],MATCH(Table2[[#Headers],[Inner Spring Max Turns]],Table2[#Headers],0),0)</f>
        <v>Null</v>
      </c>
      <c r="BJ145" s="2" t="str">
        <f>VLOOKUP([jobnumber],OvalData[],MATCH(Table2[[#Headers],[Inner Spring Weight]],Table2[#Headers],0),0)</f>
        <v>Null</v>
      </c>
      <c r="BK145" s="2">
        <f>VLOOKUP([jobnumber],OvalData[],MATCH(Table2[[#Headers],[Cycles]],Table2[#Headers],0),0)</f>
        <v>0</v>
      </c>
      <c r="BL145" s="2">
        <f>VLOOKUP([jobnumber],OvalData[],MATCH(Table2[[#Headers],[Total Spring Torque]],Table2[#Headers],0),0)</f>
        <v>0</v>
      </c>
      <c r="BM145" s="2">
        <f>VLOOKUP([jobnumber],OvalData[],MATCH(Table2[[#Headers],[Total Spring Weight]],Table2[#Headers],0),0)</f>
        <v>0</v>
      </c>
      <c r="BN145" s="2">
        <f>VLOOKUP([jobnumber],OvalData[],MATCH(Table2[[#Headers],[Pipe Weight]],Table2[#Headers],0),0)</f>
        <v>688.24239999999998</v>
      </c>
      <c r="BO145" s="2">
        <f>VLOOKUP([jobnumber],OvalData[],MATCH(Table2[[#Headers],[Max Pipe Deflection]],Table2[#Headers],0),0)</f>
        <v>2309</v>
      </c>
      <c r="BP145" s="2">
        <f>VLOOKUP([jobnumber],OvalData[],MATCH(Table2[[#Headers],[Number Non-Insulated Wrap Slats]],Table2[#Headers],0),0)</f>
        <v>0</v>
      </c>
      <c r="BQ145" s="2">
        <f>VLOOKUP([jobnumber],OvalData[],MATCH(Table2[[#Headers],[Number of Insolated Top Slats]],Table2[#Headers],0),0)</f>
        <v>45</v>
      </c>
      <c r="BR145" s="2">
        <f>VLOOKUP([jobnumber],OvalData[],MATCH(Table2[[#Headers],[Insolated Total Slats]],Table2[#Headers],0),0)</f>
        <v>45</v>
      </c>
      <c r="BS145" s="2">
        <f>VLOOKUP([jobnumber],OvalData[],MATCH(Table2[[#Headers],[Number of Slats]],Table2[#Headers],0),0)</f>
        <v>44.69</v>
      </c>
      <c r="BT145" s="2">
        <f>VLOOKUP([jobnumber],OvalData[],MATCH(Table2[[#Headers],[Wrap]],Table2[#Headers],0),0)</f>
        <v>0</v>
      </c>
      <c r="BU145" s="2">
        <f>VLOOKUP([jobnumber],OvalData[],MATCH(Table2[[#Headers],[Wall Angle Thickness]],Table2[#Headers],0),0)</f>
        <v>0</v>
      </c>
      <c r="BV145" s="2">
        <f>VLOOKUP([jobnumber],OvalData[],MATCH(Table2[[#Headers],[windlocks]],Table2[#Headers],0),0)</f>
        <v>0</v>
      </c>
      <c r="BW145" s="2" t="str">
        <f>VLOOKUP([jobnumber],OvalData[],MATCH(Table2[[#Headers],[bottombartype]],Table2[#Headers],0),0)</f>
        <v>SPECIAL</v>
      </c>
      <c r="BX145" s="2">
        <f>VLOOKUP([jobnumber],OvalData[],MATCH(Table2[[#Headers],[endlockweight]],Table2[#Headers],0),0)</f>
        <v>0.17</v>
      </c>
      <c r="BY145" s="2">
        <f>VLOOKUP([jobnumber],OvalData[],MATCH(Table2[[#Headers],[Endlock Total Weight]],Table2[#Headers],0),0)</f>
        <v>7.5972999999999997</v>
      </c>
      <c r="BZ145" s="2">
        <f>VLOOKUP([jobnumber],OvalData[],MATCH(Table2[[#Headers],[Grille Weight]],Table2[#Headers],0),0)</f>
        <v>0</v>
      </c>
      <c r="CA145" s="2">
        <f>VLOOKUP([jobnumber],OvalData[],MATCH(Table2[[#Headers],[barrelrings]],Table2[#Headers],0),0)</f>
        <v>1</v>
      </c>
    </row>
    <row r="146" spans="2:79">
      <c r="B146" s="2" t="str">
        <f>VLOOKUP([jobnumber],OvalData[],MATCH(Table2[[#Headers],[Hand]],Table2[#Headers],0),0)</f>
        <v>RH</v>
      </c>
      <c r="C146" s="2" t="str">
        <f>VLOOKUP([jobnumber],OvalData[],MATCH(Table2[[#Headers],[Model]],Table2[#Headers],0),0)</f>
        <v>SFMPP</v>
      </c>
      <c r="D146" s="2" t="str">
        <f>VLOOKUP([jobnumber],OvalData[],MATCH(Table2[[#Headers],[width]],Table2[#Headers],0),0)</f>
        <v xml:space="preserve"> 18 ft.- 2"</v>
      </c>
      <c r="E146" s="2" t="str">
        <f>VLOOKUP([jobnumber],OvalData[],MATCH(Table2[[#Headers],[stopheight]],Table2[#Headers],0),0)</f>
        <v xml:space="preserve"> 10 ft.- 0"</v>
      </c>
      <c r="F146" s="2" t="str">
        <f>VLOOKUP([jobnumber],OvalData[],MATCH(Table2[[#Headers],[Between Brackets]],Table2[#Headers],0),0)</f>
        <v xml:space="preserve"> 18 ft.- 7 7/ 8"</v>
      </c>
      <c r="G146" s="2" t="str">
        <f>VLOOKUP([jobnumber],OvalData[],MATCH(Table2[[#Headers],[shell]],Table2[#Headers],0),0)</f>
        <v>6 INCH TUBE</v>
      </c>
      <c r="H146" s="2" t="str">
        <f>VLOOKUP([jobnumber],OvalData[],MATCH(Table2[[#Headers],[pipewidth]],Table2[#Headers],0),0)</f>
        <v xml:space="preserve"> 18 ft.- 1 3/ 8"</v>
      </c>
      <c r="I146" s="2">
        <f>VLOOKUP([jobnumber],OvalData[],MATCH(Table2[[#Headers],[Support Tubes]],Table2[#Headers],0),0)</f>
        <v>0</v>
      </c>
      <c r="J146" s="2">
        <f>VLOOKUP([jobnumber],OvalData[],MATCH(Table2[[#Headers],[Upset]],Table2[#Headers],0),0)</f>
        <v>2</v>
      </c>
      <c r="K146" s="2" t="str">
        <f>VLOOKUP([jobnumber],OvalData[],MATCH(Table2[[#Headers],[Guide Type]],Table2[#Headers],0),0)</f>
        <v>SN2-4 5/8-E</v>
      </c>
      <c r="L146" s="2" t="str">
        <f>VLOOKUP([jobnumber],OvalData[],MATCH(Table2[[#Headers],[Wall Angle]],Table2[#Headers],0),0)</f>
        <v xml:space="preserve"> 11 ft.- 8"</v>
      </c>
      <c r="M146" s="2" t="str">
        <f>VLOOKUP([jobnumber],OvalData[],MATCH(Table2[[#Headers],[Middle Angle]],Table2[#Headers],0),0)</f>
        <v xml:space="preserve"> 10 ft.- 4 1/ 2"</v>
      </c>
      <c r="N146" s="2" t="str">
        <f>VLOOKUP([jobnumber],OvalData[],MATCH(Table2[[#Headers],[Front Angle]],Table2[#Headers],0),0)</f>
        <v xml:space="preserve"> 10 ft.- 3"</v>
      </c>
      <c r="O146" s="2">
        <f>VLOOKUP([jobnumber],OvalData[],MATCH(Table2[[#Headers],[Pipe Center Line]],Table2[#Headers],0),0)</f>
        <v>131</v>
      </c>
      <c r="P146" s="2">
        <f>VLOOKUP([jobnumber],OvalData[],MATCH(Table2[[#Headers],[Heat Expansion Gap]],Table2[#Headers],0),0)</f>
        <v>0</v>
      </c>
      <c r="Q146" s="2">
        <f>VLOOKUP([jobnumber],OvalData[],MATCH(Table2[[#Headers],[Hanging Weight Closed]],Table2[#Headers],0),0)</f>
        <v>795</v>
      </c>
      <c r="R146" s="2">
        <f>VLOOKUP([jobnumber],OvalData[],MATCH(Table2[[#Headers],[Hanging Weight Open]],Table2[#Headers],0),0)</f>
        <v>140</v>
      </c>
      <c r="S146" s="2">
        <f>VLOOKUP([jobnumber],OvalData[],MATCH(Table2[[#Headers],[Initial Lever Arm]],Table2[#Headers],0),0)</f>
        <v>4.25</v>
      </c>
      <c r="T146" s="2">
        <f>VLOOKUP([jobnumber],OvalData[],MATCH(Table2[[#Headers],[Turns to Raise]],Table2[#Headers],0),0)</f>
        <v>3.5859999999999999</v>
      </c>
      <c r="U146" s="2">
        <f>VLOOKUP([jobnumber],OvalData[],MATCH(Table2[[#Headers],[Final Lever Arm]],Table2[#Headers],0),0)</f>
        <v>6.37</v>
      </c>
      <c r="V146" s="2">
        <f>VLOOKUP([jobnumber],OvalData[],MATCH(Table2[[#Headers],[Torque Required Closed]],Table2[#Headers],0),0)</f>
        <v>3377.9</v>
      </c>
      <c r="W146" s="2">
        <f>VLOOKUP([jobnumber],OvalData[],MATCH(Table2[[#Headers],[Torque Required Open]],Table2[#Headers],0),0)</f>
        <v>892</v>
      </c>
      <c r="X146" s="2">
        <f>VLOOKUP([jobnumber],OvalData[],MATCH(Table2[[#Headers],[Pre Turns]],Table2[#Headers],0),0)</f>
        <v>1.3332999999999999</v>
      </c>
      <c r="Y146" s="2">
        <f>VLOOKUP([jobnumber],OvalData[],MATCH(Table2[[#Headers],[Required Torque Per Turn]],Table2[#Headers],0),0)</f>
        <v>688</v>
      </c>
      <c r="Z146" s="2">
        <f>VLOOKUP([jobnumber],OvalData[],MATCH(Table2[[#Headers],[Total Turns]],Table2[#Headers],0),0)</f>
        <v>4.91</v>
      </c>
      <c r="AA146" s="2">
        <f>VLOOKUP([jobnumber],OvalData[],MATCH(Table2[[#Headers],[Grille Vision Section]],Table2[#Headers],0),0)</f>
        <v>0</v>
      </c>
      <c r="AB146" s="2">
        <f>VLOOKUP([jobnumber],OvalData[],MATCH(Table2[[#Headers],[Grille Amount]],Table2[#Headers],0),0)</f>
        <v>0</v>
      </c>
      <c r="AC146" s="2">
        <f>VLOOKUP([jobnumber],OvalData[],MATCH(Table2[[#Headers],[Grille Center]],Table2[#Headers],0),0)</f>
        <v>0</v>
      </c>
      <c r="AD146" s="2">
        <f>VLOOKUP([jobnumber],OvalData[],MATCH(Table2[[#Headers],[Grille Pattern]],Table2[#Headers],0),0)</f>
        <v>0</v>
      </c>
      <c r="AE146" s="2">
        <f>VLOOKUP([jobnumber],OvalData[],MATCH(Table2[[#Headers],[Grille First Tube]],Table2[#Headers],0),0)</f>
        <v>0</v>
      </c>
      <c r="AF146" s="2">
        <f>VLOOKUP([jobnumber],OvalData[],MATCH(Table2[[#Headers],[Grille Standard Tube]],Table2[#Headers],0),0)</f>
        <v>0</v>
      </c>
      <c r="AG146" s="2">
        <f>VLOOKUP([jobnumber],OvalData[],MATCH(Table2[[#Headers],[Grille Total Links]],Table2[#Headers],0),0)</f>
        <v>0</v>
      </c>
      <c r="AH146" s="2">
        <f>VLOOKUP([jobnumber],OvalData[],MATCH(Table2[[#Headers],[Grille Rods]],Table2[#Headers],0),0)</f>
        <v>0</v>
      </c>
      <c r="AI146" s="2">
        <f>VLOOKUP([jobnumber],OvalData[],MATCH(Table2[[#Headers],[Grille Rod Length]],Table2[#Headers],0),0)</f>
        <v>0</v>
      </c>
      <c r="AJ146" s="2">
        <f>VLOOKUP([jobnumber],OvalData[],MATCH(Table2[[#Headers],[slattype]],Table2[#Headers],0),0)</f>
        <v>2</v>
      </c>
      <c r="AK146" s="2">
        <f>VLOOKUP([jobnumber],OvalData[],MATCH(Table2[[#Headers],[slatgage]],Table2[#Headers],0),0)</f>
        <v>18</v>
      </c>
      <c r="AL146" s="2">
        <f>VLOOKUP([jobnumber],OvalData[],MATCH(Table2[[#Headers],[Numer of Top Slats]],Table2[#Headers],0),0)</f>
        <v>0</v>
      </c>
      <c r="AM146" s="2">
        <f>VLOOKUP([jobnumber],OvalData[],MATCH(Table2[[#Headers],[Number of Bottom Slats]],Table2[#Headers],0),0)</f>
        <v>0</v>
      </c>
      <c r="AN146" s="2">
        <f>VLOOKUP([jobnumber],OvalData[],MATCH(Table2[[#Headers],[Solid Bottom Height]],Table2[#Headers],0),0)</f>
        <v>0</v>
      </c>
      <c r="AO146" s="2" t="str">
        <f>VLOOKUP([jobnumber],OvalData[],MATCH(Table2[[#Headers],[slatlength]],Table2[#Headers],0),0)</f>
        <v xml:space="preserve"> 18 ft.- 5 7/ 8"</v>
      </c>
      <c r="AP146" s="2">
        <f>VLOOKUP([jobnumber],OvalData[],MATCH(Table2[[#Headers],[Bottom Slat Length]],Table2[#Headers],0),0)</f>
        <v>0</v>
      </c>
      <c r="AQ146" s="2">
        <f>VLOOKUP([jobnumber],OvalData[],MATCH(Table2[[#Headers],[Number of Perferated Slats]],Table2[#Headers],0),0)</f>
        <v>0</v>
      </c>
      <c r="AR146" s="2">
        <f>VLOOKUP([jobnumber],OvalData[],MATCH(Table2[[#Headers],[First Preferated Slat From End]],Table2[#Headers],0),0)</f>
        <v>0</v>
      </c>
      <c r="AS146" s="2">
        <f>VLOOKUP([jobnumber],OvalData[],MATCH(Table2[[#Headers],[First Preferated Slat From Bottom]],Table2[#Headers],0),0)</f>
        <v>0</v>
      </c>
      <c r="AT146" s="2">
        <f>VLOOKUP([jobnumber],OvalData[],MATCH(Table2[[#Headers],[Total Number of Slats]],Table2[#Headers],0),0)</f>
        <v>51</v>
      </c>
      <c r="AU146" s="2">
        <f>VLOOKUP([jobnumber],OvalData[],MATCH(Table2[[#Headers],[Bottom Bar Slope]],Table2[#Headers],0),0)</f>
        <v>0</v>
      </c>
      <c r="AV146" s="2">
        <f>VLOOKUP([jobnumber],OvalData[],MATCH(Table2[[#Headers],[Bottom Bar Weight]],Table2[#Headers],0),0)</f>
        <v>80.5</v>
      </c>
      <c r="AW146" s="2" t="str">
        <f>VLOOKUP([jobnumber],OvalData[],MATCH(Table2[[#Headers],[Outer Spring Gage]],Table2[#Headers],0),0)</f>
        <v>Null</v>
      </c>
      <c r="AX146" s="2" t="str">
        <f>VLOOKUP([jobnumber],OvalData[],MATCH(Table2[[#Headers],[Outer Spring OD]],Table2[#Headers],0),0)</f>
        <v>Null</v>
      </c>
      <c r="AY146" s="2" t="str">
        <f>VLOOKUP([jobnumber],OvalData[],MATCH(Table2[[#Headers],[Outer Spring Length]],Table2[#Headers],0),0)</f>
        <v>Null</v>
      </c>
      <c r="AZ146" s="2" t="str">
        <f>VLOOKUP([jobnumber],OvalData[],MATCH(Table2[[#Headers],[Outer Spring Stretch]],Table2[#Headers],0),0)</f>
        <v>Null</v>
      </c>
      <c r="BA146" s="2" t="str">
        <f>VLOOKUP([jobnumber],OvalData[],MATCH(Table2[[#Headers],[Outer Spring Torque]],Table2[#Headers],0),0)</f>
        <v>Null</v>
      </c>
      <c r="BB146" s="2" t="str">
        <f>VLOOKUP([jobnumber],OvalData[],MATCH(Table2[[#Headers],[Outer Spring Max Turns]],Table2[#Headers],0),0)</f>
        <v>Null</v>
      </c>
      <c r="BC146" s="2" t="str">
        <f>VLOOKUP([jobnumber],OvalData[],MATCH(Table2[[#Headers],[Outer Spring Weight]],Table2[#Headers],0),0)</f>
        <v>Null</v>
      </c>
      <c r="BD146" s="2" t="str">
        <f>VLOOKUP([jobnumber],OvalData[],MATCH(Table2[[#Headers],[Inner Spring Gage]],Table2[#Headers],0),0)</f>
        <v>Null</v>
      </c>
      <c r="BE146" s="2" t="str">
        <f>VLOOKUP([jobnumber],OvalData[],MATCH(Table2[[#Headers],[Inner Spring OD]],Table2[#Headers],0),0)</f>
        <v>Null</v>
      </c>
      <c r="BF146" s="2" t="str">
        <f>VLOOKUP([jobnumber],OvalData[],MATCH(Table2[[#Headers],[Inner Spring Length]],Table2[#Headers],0),0)</f>
        <v>Null</v>
      </c>
      <c r="BG146" s="2" t="str">
        <f>VLOOKUP([jobnumber],OvalData[],MATCH(Table2[[#Headers],[Inner Spring Stretch]],Table2[#Headers],0),0)</f>
        <v>Null</v>
      </c>
      <c r="BH146" s="2" t="str">
        <f>VLOOKUP([jobnumber],OvalData[],MATCH(Table2[[#Headers],[Inner Spring Torque]],Table2[#Headers],0),0)</f>
        <v>Null</v>
      </c>
      <c r="BI146" s="2" t="str">
        <f>VLOOKUP([jobnumber],OvalData[],MATCH(Table2[[#Headers],[Inner Spring Max Turns]],Table2[#Headers],0),0)</f>
        <v>Null</v>
      </c>
      <c r="BJ146" s="2" t="str">
        <f>VLOOKUP([jobnumber],OvalData[],MATCH(Table2[[#Headers],[Inner Spring Weight]],Table2[#Headers],0),0)</f>
        <v>Null</v>
      </c>
      <c r="BK146" s="2">
        <f>VLOOKUP([jobnumber],OvalData[],MATCH(Table2[[#Headers],[Cycles]],Table2[#Headers],0),0)</f>
        <v>0</v>
      </c>
      <c r="BL146" s="2">
        <f>VLOOKUP([jobnumber],OvalData[],MATCH(Table2[[#Headers],[Total Spring Torque]],Table2[#Headers],0),0)</f>
        <v>0</v>
      </c>
      <c r="BM146" s="2">
        <f>VLOOKUP([jobnumber],OvalData[],MATCH(Table2[[#Headers],[Total Spring Weight]],Table2[#Headers],0),0)</f>
        <v>0</v>
      </c>
      <c r="BN146" s="2">
        <f>VLOOKUP([jobnumber],OvalData[],MATCH(Table2[[#Headers],[Pipe Weight]],Table2[#Headers],0),0)</f>
        <v>688.24239999999998</v>
      </c>
      <c r="BO146" s="2">
        <f>VLOOKUP([jobnumber],OvalData[],MATCH(Table2[[#Headers],[Max Pipe Deflection]],Table2[#Headers],0),0)</f>
        <v>2309</v>
      </c>
      <c r="BP146" s="2">
        <f>VLOOKUP([jobnumber],OvalData[],MATCH(Table2[[#Headers],[Number Non-Insulated Wrap Slats]],Table2[#Headers],0),0)</f>
        <v>0</v>
      </c>
      <c r="BQ146" s="2">
        <f>VLOOKUP([jobnumber],OvalData[],MATCH(Table2[[#Headers],[Number of Insolated Top Slats]],Table2[#Headers],0),0)</f>
        <v>45</v>
      </c>
      <c r="BR146" s="2">
        <f>VLOOKUP([jobnumber],OvalData[],MATCH(Table2[[#Headers],[Insolated Total Slats]],Table2[#Headers],0),0)</f>
        <v>45</v>
      </c>
      <c r="BS146" s="2">
        <f>VLOOKUP([jobnumber],OvalData[],MATCH(Table2[[#Headers],[Number of Slats]],Table2[#Headers],0),0)</f>
        <v>44.69</v>
      </c>
      <c r="BT146" s="2">
        <f>VLOOKUP([jobnumber],OvalData[],MATCH(Table2[[#Headers],[Wrap]],Table2[#Headers],0),0)</f>
        <v>0</v>
      </c>
      <c r="BU146" s="2">
        <f>VLOOKUP([jobnumber],OvalData[],MATCH(Table2[[#Headers],[Wall Angle Thickness]],Table2[#Headers],0),0)</f>
        <v>0</v>
      </c>
      <c r="BV146" s="2">
        <f>VLOOKUP([jobnumber],OvalData[],MATCH(Table2[[#Headers],[windlocks]],Table2[#Headers],0),0)</f>
        <v>0</v>
      </c>
      <c r="BW146" s="2" t="str">
        <f>VLOOKUP([jobnumber],OvalData[],MATCH(Table2[[#Headers],[bottombartype]],Table2[#Headers],0),0)</f>
        <v>SPECIAL</v>
      </c>
      <c r="BX146" s="2">
        <f>VLOOKUP([jobnumber],OvalData[],MATCH(Table2[[#Headers],[endlockweight]],Table2[#Headers],0),0)</f>
        <v>0.17</v>
      </c>
      <c r="BY146" s="2">
        <f>VLOOKUP([jobnumber],OvalData[],MATCH(Table2[[#Headers],[Endlock Total Weight]],Table2[#Headers],0),0)</f>
        <v>7.5972999999999997</v>
      </c>
      <c r="BZ146" s="2">
        <f>VLOOKUP([jobnumber],OvalData[],MATCH(Table2[[#Headers],[Grille Weight]],Table2[#Headers],0),0)</f>
        <v>0</v>
      </c>
      <c r="CA146" s="2">
        <f>VLOOKUP([jobnumber],OvalData[],MATCH(Table2[[#Headers],[barrelrings]],Table2[#Headers],0),0)</f>
        <v>1</v>
      </c>
    </row>
    <row r="147" spans="2:79">
      <c r="B147" s="2" t="str">
        <f>VLOOKUP([jobnumber],OvalData[],MATCH(Table2[[#Headers],[Hand]],Table2[#Headers],0),0)</f>
        <v>RH</v>
      </c>
      <c r="C147" s="2" t="str">
        <f>VLOOKUP([jobnumber],OvalData[],MATCH(Table2[[#Headers],[Model]],Table2[#Headers],0),0)</f>
        <v>SFMPP</v>
      </c>
      <c r="D147" s="2" t="str">
        <f>VLOOKUP([jobnumber],OvalData[],MATCH(Table2[[#Headers],[width]],Table2[#Headers],0),0)</f>
        <v xml:space="preserve"> 18 ft.- 2"</v>
      </c>
      <c r="E147" s="2" t="str">
        <f>VLOOKUP([jobnumber],OvalData[],MATCH(Table2[[#Headers],[stopheight]],Table2[#Headers],0),0)</f>
        <v xml:space="preserve"> 10 ft.- 0"</v>
      </c>
      <c r="F147" s="2" t="str">
        <f>VLOOKUP([jobnumber],OvalData[],MATCH(Table2[[#Headers],[Between Brackets]],Table2[#Headers],0),0)</f>
        <v xml:space="preserve"> 18 ft.- 7 7/ 8"</v>
      </c>
      <c r="G147" s="2" t="str">
        <f>VLOOKUP([jobnumber],OvalData[],MATCH(Table2[[#Headers],[shell]],Table2[#Headers],0),0)</f>
        <v>6 INCH TUBE</v>
      </c>
      <c r="H147" s="2" t="str">
        <f>VLOOKUP([jobnumber],OvalData[],MATCH(Table2[[#Headers],[pipewidth]],Table2[#Headers],0),0)</f>
        <v xml:space="preserve"> 18 ft.- 1 3/ 8"</v>
      </c>
      <c r="I147" s="2">
        <f>VLOOKUP([jobnumber],OvalData[],MATCH(Table2[[#Headers],[Support Tubes]],Table2[#Headers],0),0)</f>
        <v>0</v>
      </c>
      <c r="J147" s="2">
        <f>VLOOKUP([jobnumber],OvalData[],MATCH(Table2[[#Headers],[Upset]],Table2[#Headers],0),0)</f>
        <v>2</v>
      </c>
      <c r="K147" s="2" t="str">
        <f>VLOOKUP([jobnumber],OvalData[],MATCH(Table2[[#Headers],[Guide Type]],Table2[#Headers],0),0)</f>
        <v>SN2-4 5/8-E</v>
      </c>
      <c r="L147" s="2" t="str">
        <f>VLOOKUP([jobnumber],OvalData[],MATCH(Table2[[#Headers],[Wall Angle]],Table2[#Headers],0),0)</f>
        <v xml:space="preserve"> 11 ft.- 8"</v>
      </c>
      <c r="M147" s="2" t="str">
        <f>VLOOKUP([jobnumber],OvalData[],MATCH(Table2[[#Headers],[Middle Angle]],Table2[#Headers],0),0)</f>
        <v xml:space="preserve"> 10 ft.- 4 1/ 2"</v>
      </c>
      <c r="N147" s="2" t="str">
        <f>VLOOKUP([jobnumber],OvalData[],MATCH(Table2[[#Headers],[Front Angle]],Table2[#Headers],0),0)</f>
        <v xml:space="preserve"> 10 ft.- 3"</v>
      </c>
      <c r="O147" s="2">
        <f>VLOOKUP([jobnumber],OvalData[],MATCH(Table2[[#Headers],[Pipe Center Line]],Table2[#Headers],0),0)</f>
        <v>131</v>
      </c>
      <c r="P147" s="2">
        <f>VLOOKUP([jobnumber],OvalData[],MATCH(Table2[[#Headers],[Heat Expansion Gap]],Table2[#Headers],0),0)</f>
        <v>0</v>
      </c>
      <c r="Q147" s="2">
        <f>VLOOKUP([jobnumber],OvalData[],MATCH(Table2[[#Headers],[Hanging Weight Closed]],Table2[#Headers],0),0)</f>
        <v>795</v>
      </c>
      <c r="R147" s="2">
        <f>VLOOKUP([jobnumber],OvalData[],MATCH(Table2[[#Headers],[Hanging Weight Open]],Table2[#Headers],0),0)</f>
        <v>140</v>
      </c>
      <c r="S147" s="2">
        <f>VLOOKUP([jobnumber],OvalData[],MATCH(Table2[[#Headers],[Initial Lever Arm]],Table2[#Headers],0),0)</f>
        <v>4.25</v>
      </c>
      <c r="T147" s="2">
        <f>VLOOKUP([jobnumber],OvalData[],MATCH(Table2[[#Headers],[Turns to Raise]],Table2[#Headers],0),0)</f>
        <v>3.5859999999999999</v>
      </c>
      <c r="U147" s="2">
        <f>VLOOKUP([jobnumber],OvalData[],MATCH(Table2[[#Headers],[Final Lever Arm]],Table2[#Headers],0),0)</f>
        <v>6.37</v>
      </c>
      <c r="V147" s="2">
        <f>VLOOKUP([jobnumber],OvalData[],MATCH(Table2[[#Headers],[Torque Required Closed]],Table2[#Headers],0),0)</f>
        <v>3377.9</v>
      </c>
      <c r="W147" s="2">
        <f>VLOOKUP([jobnumber],OvalData[],MATCH(Table2[[#Headers],[Torque Required Open]],Table2[#Headers],0),0)</f>
        <v>892</v>
      </c>
      <c r="X147" s="2">
        <f>VLOOKUP([jobnumber],OvalData[],MATCH(Table2[[#Headers],[Pre Turns]],Table2[#Headers],0),0)</f>
        <v>1.3332999999999999</v>
      </c>
      <c r="Y147" s="2">
        <f>VLOOKUP([jobnumber],OvalData[],MATCH(Table2[[#Headers],[Required Torque Per Turn]],Table2[#Headers],0),0)</f>
        <v>688</v>
      </c>
      <c r="Z147" s="2">
        <f>VLOOKUP([jobnumber],OvalData[],MATCH(Table2[[#Headers],[Total Turns]],Table2[#Headers],0),0)</f>
        <v>4.91</v>
      </c>
      <c r="AA147" s="2">
        <f>VLOOKUP([jobnumber],OvalData[],MATCH(Table2[[#Headers],[Grille Vision Section]],Table2[#Headers],0),0)</f>
        <v>0</v>
      </c>
      <c r="AB147" s="2">
        <f>VLOOKUP([jobnumber],OvalData[],MATCH(Table2[[#Headers],[Grille Amount]],Table2[#Headers],0),0)</f>
        <v>0</v>
      </c>
      <c r="AC147" s="2">
        <f>VLOOKUP([jobnumber],OvalData[],MATCH(Table2[[#Headers],[Grille Center]],Table2[#Headers],0),0)</f>
        <v>0</v>
      </c>
      <c r="AD147" s="2">
        <f>VLOOKUP([jobnumber],OvalData[],MATCH(Table2[[#Headers],[Grille Pattern]],Table2[#Headers],0),0)</f>
        <v>0</v>
      </c>
      <c r="AE147" s="2">
        <f>VLOOKUP([jobnumber],OvalData[],MATCH(Table2[[#Headers],[Grille First Tube]],Table2[#Headers],0),0)</f>
        <v>0</v>
      </c>
      <c r="AF147" s="2">
        <f>VLOOKUP([jobnumber],OvalData[],MATCH(Table2[[#Headers],[Grille Standard Tube]],Table2[#Headers],0),0)</f>
        <v>0</v>
      </c>
      <c r="AG147" s="2">
        <f>VLOOKUP([jobnumber],OvalData[],MATCH(Table2[[#Headers],[Grille Total Links]],Table2[#Headers],0),0)</f>
        <v>0</v>
      </c>
      <c r="AH147" s="2">
        <f>VLOOKUP([jobnumber],OvalData[],MATCH(Table2[[#Headers],[Grille Rods]],Table2[#Headers],0),0)</f>
        <v>0</v>
      </c>
      <c r="AI147" s="2">
        <f>VLOOKUP([jobnumber],OvalData[],MATCH(Table2[[#Headers],[Grille Rod Length]],Table2[#Headers],0),0)</f>
        <v>0</v>
      </c>
      <c r="AJ147" s="2">
        <f>VLOOKUP([jobnumber],OvalData[],MATCH(Table2[[#Headers],[slattype]],Table2[#Headers],0),0)</f>
        <v>2</v>
      </c>
      <c r="AK147" s="2">
        <f>VLOOKUP([jobnumber],OvalData[],MATCH(Table2[[#Headers],[slatgage]],Table2[#Headers],0),0)</f>
        <v>18</v>
      </c>
      <c r="AL147" s="2">
        <f>VLOOKUP([jobnumber],OvalData[],MATCH(Table2[[#Headers],[Numer of Top Slats]],Table2[#Headers],0),0)</f>
        <v>0</v>
      </c>
      <c r="AM147" s="2">
        <f>VLOOKUP([jobnumber],OvalData[],MATCH(Table2[[#Headers],[Number of Bottom Slats]],Table2[#Headers],0),0)</f>
        <v>0</v>
      </c>
      <c r="AN147" s="2">
        <f>VLOOKUP([jobnumber],OvalData[],MATCH(Table2[[#Headers],[Solid Bottom Height]],Table2[#Headers],0),0)</f>
        <v>0</v>
      </c>
      <c r="AO147" s="2" t="str">
        <f>VLOOKUP([jobnumber],OvalData[],MATCH(Table2[[#Headers],[slatlength]],Table2[#Headers],0),0)</f>
        <v xml:space="preserve"> 18 ft.- 5 7/ 8"</v>
      </c>
      <c r="AP147" s="2">
        <f>VLOOKUP([jobnumber],OvalData[],MATCH(Table2[[#Headers],[Bottom Slat Length]],Table2[#Headers],0),0)</f>
        <v>0</v>
      </c>
      <c r="AQ147" s="2">
        <f>VLOOKUP([jobnumber],OvalData[],MATCH(Table2[[#Headers],[Number of Perferated Slats]],Table2[#Headers],0),0)</f>
        <v>0</v>
      </c>
      <c r="AR147" s="2">
        <f>VLOOKUP([jobnumber],OvalData[],MATCH(Table2[[#Headers],[First Preferated Slat From End]],Table2[#Headers],0),0)</f>
        <v>0</v>
      </c>
      <c r="AS147" s="2">
        <f>VLOOKUP([jobnumber],OvalData[],MATCH(Table2[[#Headers],[First Preferated Slat From Bottom]],Table2[#Headers],0),0)</f>
        <v>0</v>
      </c>
      <c r="AT147" s="2">
        <f>VLOOKUP([jobnumber],OvalData[],MATCH(Table2[[#Headers],[Total Number of Slats]],Table2[#Headers],0),0)</f>
        <v>51</v>
      </c>
      <c r="AU147" s="2">
        <f>VLOOKUP([jobnumber],OvalData[],MATCH(Table2[[#Headers],[Bottom Bar Slope]],Table2[#Headers],0),0)</f>
        <v>0</v>
      </c>
      <c r="AV147" s="2">
        <f>VLOOKUP([jobnumber],OvalData[],MATCH(Table2[[#Headers],[Bottom Bar Weight]],Table2[#Headers],0),0)</f>
        <v>80.5</v>
      </c>
      <c r="AW147" s="2" t="str">
        <f>VLOOKUP([jobnumber],OvalData[],MATCH(Table2[[#Headers],[Outer Spring Gage]],Table2[#Headers],0),0)</f>
        <v>Null</v>
      </c>
      <c r="AX147" s="2" t="str">
        <f>VLOOKUP([jobnumber],OvalData[],MATCH(Table2[[#Headers],[Outer Spring OD]],Table2[#Headers],0),0)</f>
        <v>Null</v>
      </c>
      <c r="AY147" s="2" t="str">
        <f>VLOOKUP([jobnumber],OvalData[],MATCH(Table2[[#Headers],[Outer Spring Length]],Table2[#Headers],0),0)</f>
        <v>Null</v>
      </c>
      <c r="AZ147" s="2" t="str">
        <f>VLOOKUP([jobnumber],OvalData[],MATCH(Table2[[#Headers],[Outer Spring Stretch]],Table2[#Headers],0),0)</f>
        <v>Null</v>
      </c>
      <c r="BA147" s="2" t="str">
        <f>VLOOKUP([jobnumber],OvalData[],MATCH(Table2[[#Headers],[Outer Spring Torque]],Table2[#Headers],0),0)</f>
        <v>Null</v>
      </c>
      <c r="BB147" s="2" t="str">
        <f>VLOOKUP([jobnumber],OvalData[],MATCH(Table2[[#Headers],[Outer Spring Max Turns]],Table2[#Headers],0),0)</f>
        <v>Null</v>
      </c>
      <c r="BC147" s="2" t="str">
        <f>VLOOKUP([jobnumber],OvalData[],MATCH(Table2[[#Headers],[Outer Spring Weight]],Table2[#Headers],0),0)</f>
        <v>Null</v>
      </c>
      <c r="BD147" s="2" t="str">
        <f>VLOOKUP([jobnumber],OvalData[],MATCH(Table2[[#Headers],[Inner Spring Gage]],Table2[#Headers],0),0)</f>
        <v>Null</v>
      </c>
      <c r="BE147" s="2" t="str">
        <f>VLOOKUP([jobnumber],OvalData[],MATCH(Table2[[#Headers],[Inner Spring OD]],Table2[#Headers],0),0)</f>
        <v>Null</v>
      </c>
      <c r="BF147" s="2" t="str">
        <f>VLOOKUP([jobnumber],OvalData[],MATCH(Table2[[#Headers],[Inner Spring Length]],Table2[#Headers],0),0)</f>
        <v>Null</v>
      </c>
      <c r="BG147" s="2" t="str">
        <f>VLOOKUP([jobnumber],OvalData[],MATCH(Table2[[#Headers],[Inner Spring Stretch]],Table2[#Headers],0),0)</f>
        <v>Null</v>
      </c>
      <c r="BH147" s="2" t="str">
        <f>VLOOKUP([jobnumber],OvalData[],MATCH(Table2[[#Headers],[Inner Spring Torque]],Table2[#Headers],0),0)</f>
        <v>Null</v>
      </c>
      <c r="BI147" s="2" t="str">
        <f>VLOOKUP([jobnumber],OvalData[],MATCH(Table2[[#Headers],[Inner Spring Max Turns]],Table2[#Headers],0),0)</f>
        <v>Null</v>
      </c>
      <c r="BJ147" s="2" t="str">
        <f>VLOOKUP([jobnumber],OvalData[],MATCH(Table2[[#Headers],[Inner Spring Weight]],Table2[#Headers],0),0)</f>
        <v>Null</v>
      </c>
      <c r="BK147" s="2">
        <f>VLOOKUP([jobnumber],OvalData[],MATCH(Table2[[#Headers],[Cycles]],Table2[#Headers],0),0)</f>
        <v>0</v>
      </c>
      <c r="BL147" s="2">
        <f>VLOOKUP([jobnumber],OvalData[],MATCH(Table2[[#Headers],[Total Spring Torque]],Table2[#Headers],0),0)</f>
        <v>0</v>
      </c>
      <c r="BM147" s="2">
        <f>VLOOKUP([jobnumber],OvalData[],MATCH(Table2[[#Headers],[Total Spring Weight]],Table2[#Headers],0),0)</f>
        <v>0</v>
      </c>
      <c r="BN147" s="2">
        <f>VLOOKUP([jobnumber],OvalData[],MATCH(Table2[[#Headers],[Pipe Weight]],Table2[#Headers],0),0)</f>
        <v>688.24239999999998</v>
      </c>
      <c r="BO147" s="2">
        <f>VLOOKUP([jobnumber],OvalData[],MATCH(Table2[[#Headers],[Max Pipe Deflection]],Table2[#Headers],0),0)</f>
        <v>2309</v>
      </c>
      <c r="BP147" s="2">
        <f>VLOOKUP([jobnumber],OvalData[],MATCH(Table2[[#Headers],[Number Non-Insulated Wrap Slats]],Table2[#Headers],0),0)</f>
        <v>0</v>
      </c>
      <c r="BQ147" s="2">
        <f>VLOOKUP([jobnumber],OvalData[],MATCH(Table2[[#Headers],[Number of Insolated Top Slats]],Table2[#Headers],0),0)</f>
        <v>45</v>
      </c>
      <c r="BR147" s="2">
        <f>VLOOKUP([jobnumber],OvalData[],MATCH(Table2[[#Headers],[Insolated Total Slats]],Table2[#Headers],0),0)</f>
        <v>45</v>
      </c>
      <c r="BS147" s="2">
        <f>VLOOKUP([jobnumber],OvalData[],MATCH(Table2[[#Headers],[Number of Slats]],Table2[#Headers],0),0)</f>
        <v>44.69</v>
      </c>
      <c r="BT147" s="2">
        <f>VLOOKUP([jobnumber],OvalData[],MATCH(Table2[[#Headers],[Wrap]],Table2[#Headers],0),0)</f>
        <v>0</v>
      </c>
      <c r="BU147" s="2">
        <f>VLOOKUP([jobnumber],OvalData[],MATCH(Table2[[#Headers],[Wall Angle Thickness]],Table2[#Headers],0),0)</f>
        <v>0</v>
      </c>
      <c r="BV147" s="2">
        <f>VLOOKUP([jobnumber],OvalData[],MATCH(Table2[[#Headers],[windlocks]],Table2[#Headers],0),0)</f>
        <v>0</v>
      </c>
      <c r="BW147" s="2" t="str">
        <f>VLOOKUP([jobnumber],OvalData[],MATCH(Table2[[#Headers],[bottombartype]],Table2[#Headers],0),0)</f>
        <v>SPECIAL</v>
      </c>
      <c r="BX147" s="2">
        <f>VLOOKUP([jobnumber],OvalData[],MATCH(Table2[[#Headers],[endlockweight]],Table2[#Headers],0),0)</f>
        <v>0.17</v>
      </c>
      <c r="BY147" s="2">
        <f>VLOOKUP([jobnumber],OvalData[],MATCH(Table2[[#Headers],[Endlock Total Weight]],Table2[#Headers],0),0)</f>
        <v>7.5972999999999997</v>
      </c>
      <c r="BZ147" s="2">
        <f>VLOOKUP([jobnumber],OvalData[],MATCH(Table2[[#Headers],[Grille Weight]],Table2[#Headers],0),0)</f>
        <v>0</v>
      </c>
      <c r="CA147" s="2">
        <f>VLOOKUP([jobnumber],OvalData[],MATCH(Table2[[#Headers],[barrelrings]],Table2[#Headers],0),0)</f>
        <v>1</v>
      </c>
    </row>
    <row r="148" spans="2:79">
      <c r="B148" s="2" t="str">
        <f>VLOOKUP([jobnumber],OvalData[],MATCH(Table2[[#Headers],[Hand]],Table2[#Headers],0),0)</f>
        <v>RH</v>
      </c>
      <c r="C148" s="2" t="str">
        <f>VLOOKUP([jobnumber],OvalData[],MATCH(Table2[[#Headers],[Model]],Table2[#Headers],0),0)</f>
        <v>SFMPP</v>
      </c>
      <c r="D148" s="2" t="str">
        <f>VLOOKUP([jobnumber],OvalData[],MATCH(Table2[[#Headers],[width]],Table2[#Headers],0),0)</f>
        <v xml:space="preserve"> 18 ft.- 2"</v>
      </c>
      <c r="E148" s="2" t="str">
        <f>VLOOKUP([jobnumber],OvalData[],MATCH(Table2[[#Headers],[stopheight]],Table2[#Headers],0),0)</f>
        <v xml:space="preserve"> 10 ft.- 0"</v>
      </c>
      <c r="F148" s="2" t="str">
        <f>VLOOKUP([jobnumber],OvalData[],MATCH(Table2[[#Headers],[Between Brackets]],Table2[#Headers],0),0)</f>
        <v xml:space="preserve"> 18 ft.- 7 7/ 8"</v>
      </c>
      <c r="G148" s="2" t="str">
        <f>VLOOKUP([jobnumber],OvalData[],MATCH(Table2[[#Headers],[shell]],Table2[#Headers],0),0)</f>
        <v>6 INCH TUBE</v>
      </c>
      <c r="H148" s="2" t="str">
        <f>VLOOKUP([jobnumber],OvalData[],MATCH(Table2[[#Headers],[pipewidth]],Table2[#Headers],0),0)</f>
        <v xml:space="preserve"> 18 ft.- 1 3/ 8"</v>
      </c>
      <c r="I148" s="2">
        <f>VLOOKUP([jobnumber],OvalData[],MATCH(Table2[[#Headers],[Support Tubes]],Table2[#Headers],0),0)</f>
        <v>0</v>
      </c>
      <c r="J148" s="2">
        <f>VLOOKUP([jobnumber],OvalData[],MATCH(Table2[[#Headers],[Upset]],Table2[#Headers],0),0)</f>
        <v>2</v>
      </c>
      <c r="K148" s="2" t="str">
        <f>VLOOKUP([jobnumber],OvalData[],MATCH(Table2[[#Headers],[Guide Type]],Table2[#Headers],0),0)</f>
        <v>SN2-4 5/8-E</v>
      </c>
      <c r="L148" s="2" t="str">
        <f>VLOOKUP([jobnumber],OvalData[],MATCH(Table2[[#Headers],[Wall Angle]],Table2[#Headers],0),0)</f>
        <v xml:space="preserve"> 11 ft.- 8"</v>
      </c>
      <c r="M148" s="2" t="str">
        <f>VLOOKUP([jobnumber],OvalData[],MATCH(Table2[[#Headers],[Middle Angle]],Table2[#Headers],0),0)</f>
        <v xml:space="preserve"> 10 ft.- 4 1/ 2"</v>
      </c>
      <c r="N148" s="2" t="str">
        <f>VLOOKUP([jobnumber],OvalData[],MATCH(Table2[[#Headers],[Front Angle]],Table2[#Headers],0),0)</f>
        <v xml:space="preserve"> 10 ft.- 3"</v>
      </c>
      <c r="O148" s="2">
        <f>VLOOKUP([jobnumber],OvalData[],MATCH(Table2[[#Headers],[Pipe Center Line]],Table2[#Headers],0),0)</f>
        <v>131</v>
      </c>
      <c r="P148" s="2">
        <f>VLOOKUP([jobnumber],OvalData[],MATCH(Table2[[#Headers],[Heat Expansion Gap]],Table2[#Headers],0),0)</f>
        <v>0</v>
      </c>
      <c r="Q148" s="2">
        <f>VLOOKUP([jobnumber],OvalData[],MATCH(Table2[[#Headers],[Hanging Weight Closed]],Table2[#Headers],0),0)</f>
        <v>795</v>
      </c>
      <c r="R148" s="2">
        <f>VLOOKUP([jobnumber],OvalData[],MATCH(Table2[[#Headers],[Hanging Weight Open]],Table2[#Headers],0),0)</f>
        <v>140</v>
      </c>
      <c r="S148" s="2">
        <f>VLOOKUP([jobnumber],OvalData[],MATCH(Table2[[#Headers],[Initial Lever Arm]],Table2[#Headers],0),0)</f>
        <v>4.25</v>
      </c>
      <c r="T148" s="2">
        <f>VLOOKUP([jobnumber],OvalData[],MATCH(Table2[[#Headers],[Turns to Raise]],Table2[#Headers],0),0)</f>
        <v>3.5859999999999999</v>
      </c>
      <c r="U148" s="2">
        <f>VLOOKUP([jobnumber],OvalData[],MATCH(Table2[[#Headers],[Final Lever Arm]],Table2[#Headers],0),0)</f>
        <v>6.37</v>
      </c>
      <c r="V148" s="2">
        <f>VLOOKUP([jobnumber],OvalData[],MATCH(Table2[[#Headers],[Torque Required Closed]],Table2[#Headers],0),0)</f>
        <v>3377.9</v>
      </c>
      <c r="W148" s="2">
        <f>VLOOKUP([jobnumber],OvalData[],MATCH(Table2[[#Headers],[Torque Required Open]],Table2[#Headers],0),0)</f>
        <v>892</v>
      </c>
      <c r="X148" s="2">
        <f>VLOOKUP([jobnumber],OvalData[],MATCH(Table2[[#Headers],[Pre Turns]],Table2[#Headers],0),0)</f>
        <v>1.3332999999999999</v>
      </c>
      <c r="Y148" s="2">
        <f>VLOOKUP([jobnumber],OvalData[],MATCH(Table2[[#Headers],[Required Torque Per Turn]],Table2[#Headers],0),0)</f>
        <v>688</v>
      </c>
      <c r="Z148" s="2">
        <f>VLOOKUP([jobnumber],OvalData[],MATCH(Table2[[#Headers],[Total Turns]],Table2[#Headers],0),0)</f>
        <v>4.91</v>
      </c>
      <c r="AA148" s="2">
        <f>VLOOKUP([jobnumber],OvalData[],MATCH(Table2[[#Headers],[Grille Vision Section]],Table2[#Headers],0),0)</f>
        <v>0</v>
      </c>
      <c r="AB148" s="2">
        <f>VLOOKUP([jobnumber],OvalData[],MATCH(Table2[[#Headers],[Grille Amount]],Table2[#Headers],0),0)</f>
        <v>0</v>
      </c>
      <c r="AC148" s="2">
        <f>VLOOKUP([jobnumber],OvalData[],MATCH(Table2[[#Headers],[Grille Center]],Table2[#Headers],0),0)</f>
        <v>0</v>
      </c>
      <c r="AD148" s="2">
        <f>VLOOKUP([jobnumber],OvalData[],MATCH(Table2[[#Headers],[Grille Pattern]],Table2[#Headers],0),0)</f>
        <v>0</v>
      </c>
      <c r="AE148" s="2">
        <f>VLOOKUP([jobnumber],OvalData[],MATCH(Table2[[#Headers],[Grille First Tube]],Table2[#Headers],0),0)</f>
        <v>0</v>
      </c>
      <c r="AF148" s="2">
        <f>VLOOKUP([jobnumber],OvalData[],MATCH(Table2[[#Headers],[Grille Standard Tube]],Table2[#Headers],0),0)</f>
        <v>0</v>
      </c>
      <c r="AG148" s="2">
        <f>VLOOKUP([jobnumber],OvalData[],MATCH(Table2[[#Headers],[Grille Total Links]],Table2[#Headers],0),0)</f>
        <v>0</v>
      </c>
      <c r="AH148" s="2">
        <f>VLOOKUP([jobnumber],OvalData[],MATCH(Table2[[#Headers],[Grille Rods]],Table2[#Headers],0),0)</f>
        <v>0</v>
      </c>
      <c r="AI148" s="2">
        <f>VLOOKUP([jobnumber],OvalData[],MATCH(Table2[[#Headers],[Grille Rod Length]],Table2[#Headers],0),0)</f>
        <v>0</v>
      </c>
      <c r="AJ148" s="2">
        <f>VLOOKUP([jobnumber],OvalData[],MATCH(Table2[[#Headers],[slattype]],Table2[#Headers],0),0)</f>
        <v>2</v>
      </c>
      <c r="AK148" s="2">
        <f>VLOOKUP([jobnumber],OvalData[],MATCH(Table2[[#Headers],[slatgage]],Table2[#Headers],0),0)</f>
        <v>18</v>
      </c>
      <c r="AL148" s="2">
        <f>VLOOKUP([jobnumber],OvalData[],MATCH(Table2[[#Headers],[Numer of Top Slats]],Table2[#Headers],0),0)</f>
        <v>0</v>
      </c>
      <c r="AM148" s="2">
        <f>VLOOKUP([jobnumber],OvalData[],MATCH(Table2[[#Headers],[Number of Bottom Slats]],Table2[#Headers],0),0)</f>
        <v>0</v>
      </c>
      <c r="AN148" s="2">
        <f>VLOOKUP([jobnumber],OvalData[],MATCH(Table2[[#Headers],[Solid Bottom Height]],Table2[#Headers],0),0)</f>
        <v>0</v>
      </c>
      <c r="AO148" s="2" t="str">
        <f>VLOOKUP([jobnumber],OvalData[],MATCH(Table2[[#Headers],[slatlength]],Table2[#Headers],0),0)</f>
        <v xml:space="preserve"> 18 ft.- 5 7/ 8"</v>
      </c>
      <c r="AP148" s="2">
        <f>VLOOKUP([jobnumber],OvalData[],MATCH(Table2[[#Headers],[Bottom Slat Length]],Table2[#Headers],0),0)</f>
        <v>0</v>
      </c>
      <c r="AQ148" s="2">
        <f>VLOOKUP([jobnumber],OvalData[],MATCH(Table2[[#Headers],[Number of Perferated Slats]],Table2[#Headers],0),0)</f>
        <v>0</v>
      </c>
      <c r="AR148" s="2">
        <f>VLOOKUP([jobnumber],OvalData[],MATCH(Table2[[#Headers],[First Preferated Slat From End]],Table2[#Headers],0),0)</f>
        <v>0</v>
      </c>
      <c r="AS148" s="2">
        <f>VLOOKUP([jobnumber],OvalData[],MATCH(Table2[[#Headers],[First Preferated Slat From Bottom]],Table2[#Headers],0),0)</f>
        <v>0</v>
      </c>
      <c r="AT148" s="2">
        <f>VLOOKUP([jobnumber],OvalData[],MATCH(Table2[[#Headers],[Total Number of Slats]],Table2[#Headers],0),0)</f>
        <v>51</v>
      </c>
      <c r="AU148" s="2">
        <f>VLOOKUP([jobnumber],OvalData[],MATCH(Table2[[#Headers],[Bottom Bar Slope]],Table2[#Headers],0),0)</f>
        <v>0</v>
      </c>
      <c r="AV148" s="2">
        <f>VLOOKUP([jobnumber],OvalData[],MATCH(Table2[[#Headers],[Bottom Bar Weight]],Table2[#Headers],0),0)</f>
        <v>80.5</v>
      </c>
      <c r="AW148" s="2" t="str">
        <f>VLOOKUP([jobnumber],OvalData[],MATCH(Table2[[#Headers],[Outer Spring Gage]],Table2[#Headers],0),0)</f>
        <v>Null</v>
      </c>
      <c r="AX148" s="2" t="str">
        <f>VLOOKUP([jobnumber],OvalData[],MATCH(Table2[[#Headers],[Outer Spring OD]],Table2[#Headers],0),0)</f>
        <v>Null</v>
      </c>
      <c r="AY148" s="2" t="str">
        <f>VLOOKUP([jobnumber],OvalData[],MATCH(Table2[[#Headers],[Outer Spring Length]],Table2[#Headers],0),0)</f>
        <v>Null</v>
      </c>
      <c r="AZ148" s="2" t="str">
        <f>VLOOKUP([jobnumber],OvalData[],MATCH(Table2[[#Headers],[Outer Spring Stretch]],Table2[#Headers],0),0)</f>
        <v>Null</v>
      </c>
      <c r="BA148" s="2" t="str">
        <f>VLOOKUP([jobnumber],OvalData[],MATCH(Table2[[#Headers],[Outer Spring Torque]],Table2[#Headers],0),0)</f>
        <v>Null</v>
      </c>
      <c r="BB148" s="2" t="str">
        <f>VLOOKUP([jobnumber],OvalData[],MATCH(Table2[[#Headers],[Outer Spring Max Turns]],Table2[#Headers],0),0)</f>
        <v>Null</v>
      </c>
      <c r="BC148" s="2" t="str">
        <f>VLOOKUP([jobnumber],OvalData[],MATCH(Table2[[#Headers],[Outer Spring Weight]],Table2[#Headers],0),0)</f>
        <v>Null</v>
      </c>
      <c r="BD148" s="2" t="str">
        <f>VLOOKUP([jobnumber],OvalData[],MATCH(Table2[[#Headers],[Inner Spring Gage]],Table2[#Headers],0),0)</f>
        <v>Null</v>
      </c>
      <c r="BE148" s="2" t="str">
        <f>VLOOKUP([jobnumber],OvalData[],MATCH(Table2[[#Headers],[Inner Spring OD]],Table2[#Headers],0),0)</f>
        <v>Null</v>
      </c>
      <c r="BF148" s="2" t="str">
        <f>VLOOKUP([jobnumber],OvalData[],MATCH(Table2[[#Headers],[Inner Spring Length]],Table2[#Headers],0),0)</f>
        <v>Null</v>
      </c>
      <c r="BG148" s="2" t="str">
        <f>VLOOKUP([jobnumber],OvalData[],MATCH(Table2[[#Headers],[Inner Spring Stretch]],Table2[#Headers],0),0)</f>
        <v>Null</v>
      </c>
      <c r="BH148" s="2" t="str">
        <f>VLOOKUP([jobnumber],OvalData[],MATCH(Table2[[#Headers],[Inner Spring Torque]],Table2[#Headers],0),0)</f>
        <v>Null</v>
      </c>
      <c r="BI148" s="2" t="str">
        <f>VLOOKUP([jobnumber],OvalData[],MATCH(Table2[[#Headers],[Inner Spring Max Turns]],Table2[#Headers],0),0)</f>
        <v>Null</v>
      </c>
      <c r="BJ148" s="2" t="str">
        <f>VLOOKUP([jobnumber],OvalData[],MATCH(Table2[[#Headers],[Inner Spring Weight]],Table2[#Headers],0),0)</f>
        <v>Null</v>
      </c>
      <c r="BK148" s="2">
        <f>VLOOKUP([jobnumber],OvalData[],MATCH(Table2[[#Headers],[Cycles]],Table2[#Headers],0),0)</f>
        <v>0</v>
      </c>
      <c r="BL148" s="2">
        <f>VLOOKUP([jobnumber],OvalData[],MATCH(Table2[[#Headers],[Total Spring Torque]],Table2[#Headers],0),0)</f>
        <v>0</v>
      </c>
      <c r="BM148" s="2">
        <f>VLOOKUP([jobnumber],OvalData[],MATCH(Table2[[#Headers],[Total Spring Weight]],Table2[#Headers],0),0)</f>
        <v>0</v>
      </c>
      <c r="BN148" s="2">
        <f>VLOOKUP([jobnumber],OvalData[],MATCH(Table2[[#Headers],[Pipe Weight]],Table2[#Headers],0),0)</f>
        <v>688.24239999999998</v>
      </c>
      <c r="BO148" s="2">
        <f>VLOOKUP([jobnumber],OvalData[],MATCH(Table2[[#Headers],[Max Pipe Deflection]],Table2[#Headers],0),0)</f>
        <v>2309</v>
      </c>
      <c r="BP148" s="2">
        <f>VLOOKUP([jobnumber],OvalData[],MATCH(Table2[[#Headers],[Number Non-Insulated Wrap Slats]],Table2[#Headers],0),0)</f>
        <v>0</v>
      </c>
      <c r="BQ148" s="2">
        <f>VLOOKUP([jobnumber],OvalData[],MATCH(Table2[[#Headers],[Number of Insolated Top Slats]],Table2[#Headers],0),0)</f>
        <v>45</v>
      </c>
      <c r="BR148" s="2">
        <f>VLOOKUP([jobnumber],OvalData[],MATCH(Table2[[#Headers],[Insolated Total Slats]],Table2[#Headers],0),0)</f>
        <v>45</v>
      </c>
      <c r="BS148" s="2">
        <f>VLOOKUP([jobnumber],OvalData[],MATCH(Table2[[#Headers],[Number of Slats]],Table2[#Headers],0),0)</f>
        <v>44.69</v>
      </c>
      <c r="BT148" s="2">
        <f>VLOOKUP([jobnumber],OvalData[],MATCH(Table2[[#Headers],[Wrap]],Table2[#Headers],0),0)</f>
        <v>0</v>
      </c>
      <c r="BU148" s="2">
        <f>VLOOKUP([jobnumber],OvalData[],MATCH(Table2[[#Headers],[Wall Angle Thickness]],Table2[#Headers],0),0)</f>
        <v>0</v>
      </c>
      <c r="BV148" s="2">
        <f>VLOOKUP([jobnumber],OvalData[],MATCH(Table2[[#Headers],[windlocks]],Table2[#Headers],0),0)</f>
        <v>0</v>
      </c>
      <c r="BW148" s="2" t="str">
        <f>VLOOKUP([jobnumber],OvalData[],MATCH(Table2[[#Headers],[bottombartype]],Table2[#Headers],0),0)</f>
        <v>SPECIAL</v>
      </c>
      <c r="BX148" s="2">
        <f>VLOOKUP([jobnumber],OvalData[],MATCH(Table2[[#Headers],[endlockweight]],Table2[#Headers],0),0)</f>
        <v>0.17</v>
      </c>
      <c r="BY148" s="2">
        <f>VLOOKUP([jobnumber],OvalData[],MATCH(Table2[[#Headers],[Endlock Total Weight]],Table2[#Headers],0),0)</f>
        <v>7.5972999999999997</v>
      </c>
      <c r="BZ148" s="2">
        <f>VLOOKUP([jobnumber],OvalData[],MATCH(Table2[[#Headers],[Grille Weight]],Table2[#Headers],0),0)</f>
        <v>0</v>
      </c>
      <c r="CA148" s="2">
        <f>VLOOKUP([jobnumber],OvalData[],MATCH(Table2[[#Headers],[barrelrings]],Table2[#Headers],0),0)</f>
        <v>1</v>
      </c>
    </row>
    <row r="149" spans="2:79">
      <c r="B149" s="2" t="str">
        <f>VLOOKUP([jobnumber],OvalData[],MATCH(Table2[[#Headers],[Hand]],Table2[#Headers],0),0)</f>
        <v>RH</v>
      </c>
      <c r="C149" s="2" t="str">
        <f>VLOOKUP([jobnumber],OvalData[],MATCH(Table2[[#Headers],[Model]],Table2[#Headers],0),0)</f>
        <v>SFMPP</v>
      </c>
      <c r="D149" s="2" t="str">
        <f>VLOOKUP([jobnumber],OvalData[],MATCH(Table2[[#Headers],[width]],Table2[#Headers],0),0)</f>
        <v xml:space="preserve"> 18 ft.- 2"</v>
      </c>
      <c r="E149" s="2" t="str">
        <f>VLOOKUP([jobnumber],OvalData[],MATCH(Table2[[#Headers],[stopheight]],Table2[#Headers],0),0)</f>
        <v xml:space="preserve"> 10 ft.- 0"</v>
      </c>
      <c r="F149" s="2" t="str">
        <f>VLOOKUP([jobnumber],OvalData[],MATCH(Table2[[#Headers],[Between Brackets]],Table2[#Headers],0),0)</f>
        <v xml:space="preserve"> 18 ft.- 7 7/ 8"</v>
      </c>
      <c r="G149" s="2" t="str">
        <f>VLOOKUP([jobnumber],OvalData[],MATCH(Table2[[#Headers],[shell]],Table2[#Headers],0),0)</f>
        <v>6 INCH TUBE</v>
      </c>
      <c r="H149" s="2" t="str">
        <f>VLOOKUP([jobnumber],OvalData[],MATCH(Table2[[#Headers],[pipewidth]],Table2[#Headers],0),0)</f>
        <v xml:space="preserve"> 18 ft.- 1 3/ 8"</v>
      </c>
      <c r="I149" s="2">
        <f>VLOOKUP([jobnumber],OvalData[],MATCH(Table2[[#Headers],[Support Tubes]],Table2[#Headers],0),0)</f>
        <v>0</v>
      </c>
      <c r="J149" s="2">
        <f>VLOOKUP([jobnumber],OvalData[],MATCH(Table2[[#Headers],[Upset]],Table2[#Headers],0),0)</f>
        <v>2</v>
      </c>
      <c r="K149" s="2" t="str">
        <f>VLOOKUP([jobnumber],OvalData[],MATCH(Table2[[#Headers],[Guide Type]],Table2[#Headers],0),0)</f>
        <v>SN2-4 5/8-E</v>
      </c>
      <c r="L149" s="2" t="str">
        <f>VLOOKUP([jobnumber],OvalData[],MATCH(Table2[[#Headers],[Wall Angle]],Table2[#Headers],0),0)</f>
        <v xml:space="preserve"> 11 ft.- 8"</v>
      </c>
      <c r="M149" s="2" t="str">
        <f>VLOOKUP([jobnumber],OvalData[],MATCH(Table2[[#Headers],[Middle Angle]],Table2[#Headers],0),0)</f>
        <v xml:space="preserve"> 10 ft.- 4 1/ 2"</v>
      </c>
      <c r="N149" s="2" t="str">
        <f>VLOOKUP([jobnumber],OvalData[],MATCH(Table2[[#Headers],[Front Angle]],Table2[#Headers],0),0)</f>
        <v xml:space="preserve"> 10 ft.- 3"</v>
      </c>
      <c r="O149" s="2">
        <f>VLOOKUP([jobnumber],OvalData[],MATCH(Table2[[#Headers],[Pipe Center Line]],Table2[#Headers],0),0)</f>
        <v>131</v>
      </c>
      <c r="P149" s="2">
        <f>VLOOKUP([jobnumber],OvalData[],MATCH(Table2[[#Headers],[Heat Expansion Gap]],Table2[#Headers],0),0)</f>
        <v>0</v>
      </c>
      <c r="Q149" s="2">
        <f>VLOOKUP([jobnumber],OvalData[],MATCH(Table2[[#Headers],[Hanging Weight Closed]],Table2[#Headers],0),0)</f>
        <v>795</v>
      </c>
      <c r="R149" s="2">
        <f>VLOOKUP([jobnumber],OvalData[],MATCH(Table2[[#Headers],[Hanging Weight Open]],Table2[#Headers],0),0)</f>
        <v>140</v>
      </c>
      <c r="S149" s="2">
        <f>VLOOKUP([jobnumber],OvalData[],MATCH(Table2[[#Headers],[Initial Lever Arm]],Table2[#Headers],0),0)</f>
        <v>4.25</v>
      </c>
      <c r="T149" s="2">
        <f>VLOOKUP([jobnumber],OvalData[],MATCH(Table2[[#Headers],[Turns to Raise]],Table2[#Headers],0),0)</f>
        <v>3.5859999999999999</v>
      </c>
      <c r="U149" s="2">
        <f>VLOOKUP([jobnumber],OvalData[],MATCH(Table2[[#Headers],[Final Lever Arm]],Table2[#Headers],0),0)</f>
        <v>6.37</v>
      </c>
      <c r="V149" s="2">
        <f>VLOOKUP([jobnumber],OvalData[],MATCH(Table2[[#Headers],[Torque Required Closed]],Table2[#Headers],0),0)</f>
        <v>3377.9</v>
      </c>
      <c r="W149" s="2">
        <f>VLOOKUP([jobnumber],OvalData[],MATCH(Table2[[#Headers],[Torque Required Open]],Table2[#Headers],0),0)</f>
        <v>892</v>
      </c>
      <c r="X149" s="2">
        <f>VLOOKUP([jobnumber],OvalData[],MATCH(Table2[[#Headers],[Pre Turns]],Table2[#Headers],0),0)</f>
        <v>1.3332999999999999</v>
      </c>
      <c r="Y149" s="2">
        <f>VLOOKUP([jobnumber],OvalData[],MATCH(Table2[[#Headers],[Required Torque Per Turn]],Table2[#Headers],0),0)</f>
        <v>688</v>
      </c>
      <c r="Z149" s="2">
        <f>VLOOKUP([jobnumber],OvalData[],MATCH(Table2[[#Headers],[Total Turns]],Table2[#Headers],0),0)</f>
        <v>4.91</v>
      </c>
      <c r="AA149" s="2">
        <f>VLOOKUP([jobnumber],OvalData[],MATCH(Table2[[#Headers],[Grille Vision Section]],Table2[#Headers],0),0)</f>
        <v>0</v>
      </c>
      <c r="AB149" s="2">
        <f>VLOOKUP([jobnumber],OvalData[],MATCH(Table2[[#Headers],[Grille Amount]],Table2[#Headers],0),0)</f>
        <v>0</v>
      </c>
      <c r="AC149" s="2">
        <f>VLOOKUP([jobnumber],OvalData[],MATCH(Table2[[#Headers],[Grille Center]],Table2[#Headers],0),0)</f>
        <v>0</v>
      </c>
      <c r="AD149" s="2">
        <f>VLOOKUP([jobnumber],OvalData[],MATCH(Table2[[#Headers],[Grille Pattern]],Table2[#Headers],0),0)</f>
        <v>0</v>
      </c>
      <c r="AE149" s="2">
        <f>VLOOKUP([jobnumber],OvalData[],MATCH(Table2[[#Headers],[Grille First Tube]],Table2[#Headers],0),0)</f>
        <v>0</v>
      </c>
      <c r="AF149" s="2">
        <f>VLOOKUP([jobnumber],OvalData[],MATCH(Table2[[#Headers],[Grille Standard Tube]],Table2[#Headers],0),0)</f>
        <v>0</v>
      </c>
      <c r="AG149" s="2">
        <f>VLOOKUP([jobnumber],OvalData[],MATCH(Table2[[#Headers],[Grille Total Links]],Table2[#Headers],0),0)</f>
        <v>0</v>
      </c>
      <c r="AH149" s="2">
        <f>VLOOKUP([jobnumber],OvalData[],MATCH(Table2[[#Headers],[Grille Rods]],Table2[#Headers],0),0)</f>
        <v>0</v>
      </c>
      <c r="AI149" s="2">
        <f>VLOOKUP([jobnumber],OvalData[],MATCH(Table2[[#Headers],[Grille Rod Length]],Table2[#Headers],0),0)</f>
        <v>0</v>
      </c>
      <c r="AJ149" s="2">
        <f>VLOOKUP([jobnumber],OvalData[],MATCH(Table2[[#Headers],[slattype]],Table2[#Headers],0),0)</f>
        <v>2</v>
      </c>
      <c r="AK149" s="2">
        <f>VLOOKUP([jobnumber],OvalData[],MATCH(Table2[[#Headers],[slatgage]],Table2[#Headers],0),0)</f>
        <v>18</v>
      </c>
      <c r="AL149" s="2">
        <f>VLOOKUP([jobnumber],OvalData[],MATCH(Table2[[#Headers],[Numer of Top Slats]],Table2[#Headers],0),0)</f>
        <v>0</v>
      </c>
      <c r="AM149" s="2">
        <f>VLOOKUP([jobnumber],OvalData[],MATCH(Table2[[#Headers],[Number of Bottom Slats]],Table2[#Headers],0),0)</f>
        <v>0</v>
      </c>
      <c r="AN149" s="2">
        <f>VLOOKUP([jobnumber],OvalData[],MATCH(Table2[[#Headers],[Solid Bottom Height]],Table2[#Headers],0),0)</f>
        <v>0</v>
      </c>
      <c r="AO149" s="2" t="str">
        <f>VLOOKUP([jobnumber],OvalData[],MATCH(Table2[[#Headers],[slatlength]],Table2[#Headers],0),0)</f>
        <v xml:space="preserve"> 18 ft.- 5 7/ 8"</v>
      </c>
      <c r="AP149" s="2">
        <f>VLOOKUP([jobnumber],OvalData[],MATCH(Table2[[#Headers],[Bottom Slat Length]],Table2[#Headers],0),0)</f>
        <v>0</v>
      </c>
      <c r="AQ149" s="2">
        <f>VLOOKUP([jobnumber],OvalData[],MATCH(Table2[[#Headers],[Number of Perferated Slats]],Table2[#Headers],0),0)</f>
        <v>0</v>
      </c>
      <c r="AR149" s="2">
        <f>VLOOKUP([jobnumber],OvalData[],MATCH(Table2[[#Headers],[First Preferated Slat From End]],Table2[#Headers],0),0)</f>
        <v>0</v>
      </c>
      <c r="AS149" s="2">
        <f>VLOOKUP([jobnumber],OvalData[],MATCH(Table2[[#Headers],[First Preferated Slat From Bottom]],Table2[#Headers],0),0)</f>
        <v>0</v>
      </c>
      <c r="AT149" s="2">
        <f>VLOOKUP([jobnumber],OvalData[],MATCH(Table2[[#Headers],[Total Number of Slats]],Table2[#Headers],0),0)</f>
        <v>51</v>
      </c>
      <c r="AU149" s="2">
        <f>VLOOKUP([jobnumber],OvalData[],MATCH(Table2[[#Headers],[Bottom Bar Slope]],Table2[#Headers],0),0)</f>
        <v>0</v>
      </c>
      <c r="AV149" s="2">
        <f>VLOOKUP([jobnumber],OvalData[],MATCH(Table2[[#Headers],[Bottom Bar Weight]],Table2[#Headers],0),0)</f>
        <v>80.5</v>
      </c>
      <c r="AW149" s="2" t="str">
        <f>VLOOKUP([jobnumber],OvalData[],MATCH(Table2[[#Headers],[Outer Spring Gage]],Table2[#Headers],0),0)</f>
        <v>Null</v>
      </c>
      <c r="AX149" s="2" t="str">
        <f>VLOOKUP([jobnumber],OvalData[],MATCH(Table2[[#Headers],[Outer Spring OD]],Table2[#Headers],0),0)</f>
        <v>Null</v>
      </c>
      <c r="AY149" s="2" t="str">
        <f>VLOOKUP([jobnumber],OvalData[],MATCH(Table2[[#Headers],[Outer Spring Length]],Table2[#Headers],0),0)</f>
        <v>Null</v>
      </c>
      <c r="AZ149" s="2" t="str">
        <f>VLOOKUP([jobnumber],OvalData[],MATCH(Table2[[#Headers],[Outer Spring Stretch]],Table2[#Headers],0),0)</f>
        <v>Null</v>
      </c>
      <c r="BA149" s="2" t="str">
        <f>VLOOKUP([jobnumber],OvalData[],MATCH(Table2[[#Headers],[Outer Spring Torque]],Table2[#Headers],0),0)</f>
        <v>Null</v>
      </c>
      <c r="BB149" s="2" t="str">
        <f>VLOOKUP([jobnumber],OvalData[],MATCH(Table2[[#Headers],[Outer Spring Max Turns]],Table2[#Headers],0),0)</f>
        <v>Null</v>
      </c>
      <c r="BC149" s="2" t="str">
        <f>VLOOKUP([jobnumber],OvalData[],MATCH(Table2[[#Headers],[Outer Spring Weight]],Table2[#Headers],0),0)</f>
        <v>Null</v>
      </c>
      <c r="BD149" s="2" t="str">
        <f>VLOOKUP([jobnumber],OvalData[],MATCH(Table2[[#Headers],[Inner Spring Gage]],Table2[#Headers],0),0)</f>
        <v>Null</v>
      </c>
      <c r="BE149" s="2" t="str">
        <f>VLOOKUP([jobnumber],OvalData[],MATCH(Table2[[#Headers],[Inner Spring OD]],Table2[#Headers],0),0)</f>
        <v>Null</v>
      </c>
      <c r="BF149" s="2" t="str">
        <f>VLOOKUP([jobnumber],OvalData[],MATCH(Table2[[#Headers],[Inner Spring Length]],Table2[#Headers],0),0)</f>
        <v>Null</v>
      </c>
      <c r="BG149" s="2" t="str">
        <f>VLOOKUP([jobnumber],OvalData[],MATCH(Table2[[#Headers],[Inner Spring Stretch]],Table2[#Headers],0),0)</f>
        <v>Null</v>
      </c>
      <c r="BH149" s="2" t="str">
        <f>VLOOKUP([jobnumber],OvalData[],MATCH(Table2[[#Headers],[Inner Spring Torque]],Table2[#Headers],0),0)</f>
        <v>Null</v>
      </c>
      <c r="BI149" s="2" t="str">
        <f>VLOOKUP([jobnumber],OvalData[],MATCH(Table2[[#Headers],[Inner Spring Max Turns]],Table2[#Headers],0),0)</f>
        <v>Null</v>
      </c>
      <c r="BJ149" s="2" t="str">
        <f>VLOOKUP([jobnumber],OvalData[],MATCH(Table2[[#Headers],[Inner Spring Weight]],Table2[#Headers],0),0)</f>
        <v>Null</v>
      </c>
      <c r="BK149" s="2">
        <f>VLOOKUP([jobnumber],OvalData[],MATCH(Table2[[#Headers],[Cycles]],Table2[#Headers],0),0)</f>
        <v>0</v>
      </c>
      <c r="BL149" s="2">
        <f>VLOOKUP([jobnumber],OvalData[],MATCH(Table2[[#Headers],[Total Spring Torque]],Table2[#Headers],0),0)</f>
        <v>0</v>
      </c>
      <c r="BM149" s="2">
        <f>VLOOKUP([jobnumber],OvalData[],MATCH(Table2[[#Headers],[Total Spring Weight]],Table2[#Headers],0),0)</f>
        <v>0</v>
      </c>
      <c r="BN149" s="2">
        <f>VLOOKUP([jobnumber],OvalData[],MATCH(Table2[[#Headers],[Pipe Weight]],Table2[#Headers],0),0)</f>
        <v>688.24239999999998</v>
      </c>
      <c r="BO149" s="2">
        <f>VLOOKUP([jobnumber],OvalData[],MATCH(Table2[[#Headers],[Max Pipe Deflection]],Table2[#Headers],0),0)</f>
        <v>2309</v>
      </c>
      <c r="BP149" s="2">
        <f>VLOOKUP([jobnumber],OvalData[],MATCH(Table2[[#Headers],[Number Non-Insulated Wrap Slats]],Table2[#Headers],0),0)</f>
        <v>0</v>
      </c>
      <c r="BQ149" s="2">
        <f>VLOOKUP([jobnumber],OvalData[],MATCH(Table2[[#Headers],[Number of Insolated Top Slats]],Table2[#Headers],0),0)</f>
        <v>45</v>
      </c>
      <c r="BR149" s="2">
        <f>VLOOKUP([jobnumber],OvalData[],MATCH(Table2[[#Headers],[Insolated Total Slats]],Table2[#Headers],0),0)</f>
        <v>45</v>
      </c>
      <c r="BS149" s="2">
        <f>VLOOKUP([jobnumber],OvalData[],MATCH(Table2[[#Headers],[Number of Slats]],Table2[#Headers],0),0)</f>
        <v>44.69</v>
      </c>
      <c r="BT149" s="2">
        <f>VLOOKUP([jobnumber],OvalData[],MATCH(Table2[[#Headers],[Wrap]],Table2[#Headers],0),0)</f>
        <v>0</v>
      </c>
      <c r="BU149" s="2">
        <f>VLOOKUP([jobnumber],OvalData[],MATCH(Table2[[#Headers],[Wall Angle Thickness]],Table2[#Headers],0),0)</f>
        <v>0</v>
      </c>
      <c r="BV149" s="2">
        <f>VLOOKUP([jobnumber],OvalData[],MATCH(Table2[[#Headers],[windlocks]],Table2[#Headers],0),0)</f>
        <v>0</v>
      </c>
      <c r="BW149" s="2" t="str">
        <f>VLOOKUP([jobnumber],OvalData[],MATCH(Table2[[#Headers],[bottombartype]],Table2[#Headers],0),0)</f>
        <v>SPECIAL</v>
      </c>
      <c r="BX149" s="2">
        <f>VLOOKUP([jobnumber],OvalData[],MATCH(Table2[[#Headers],[endlockweight]],Table2[#Headers],0),0)</f>
        <v>0.17</v>
      </c>
      <c r="BY149" s="2">
        <f>VLOOKUP([jobnumber],OvalData[],MATCH(Table2[[#Headers],[Endlock Total Weight]],Table2[#Headers],0),0)</f>
        <v>7.5972999999999997</v>
      </c>
      <c r="BZ149" s="2">
        <f>VLOOKUP([jobnumber],OvalData[],MATCH(Table2[[#Headers],[Grille Weight]],Table2[#Headers],0),0)</f>
        <v>0</v>
      </c>
      <c r="CA149" s="2">
        <f>VLOOKUP([jobnumber],OvalData[],MATCH(Table2[[#Headers],[barrelrings]],Table2[#Headers],0),0)</f>
        <v>1</v>
      </c>
    </row>
    <row r="150" spans="2:79">
      <c r="B150" s="2" t="str">
        <f>VLOOKUP([jobnumber],OvalData[],MATCH(Table2[[#Headers],[Hand]],Table2[#Headers],0),0)</f>
        <v>RH</v>
      </c>
      <c r="C150" s="2" t="str">
        <f>VLOOKUP([jobnumber],OvalData[],MATCH(Table2[[#Headers],[Model]],Table2[#Headers],0),0)</f>
        <v>SFMPP</v>
      </c>
      <c r="D150" s="2" t="str">
        <f>VLOOKUP([jobnumber],OvalData[],MATCH(Table2[[#Headers],[width]],Table2[#Headers],0),0)</f>
        <v xml:space="preserve"> 18 ft.- 2"</v>
      </c>
      <c r="E150" s="2" t="str">
        <f>VLOOKUP([jobnumber],OvalData[],MATCH(Table2[[#Headers],[stopheight]],Table2[#Headers],0),0)</f>
        <v xml:space="preserve"> 10 ft.- 0"</v>
      </c>
      <c r="F150" s="2" t="str">
        <f>VLOOKUP([jobnumber],OvalData[],MATCH(Table2[[#Headers],[Between Brackets]],Table2[#Headers],0),0)</f>
        <v xml:space="preserve"> 18 ft.- 7 7/ 8"</v>
      </c>
      <c r="G150" s="2" t="str">
        <f>VLOOKUP([jobnumber],OvalData[],MATCH(Table2[[#Headers],[shell]],Table2[#Headers],0),0)</f>
        <v>6 INCH TUBE</v>
      </c>
      <c r="H150" s="2" t="str">
        <f>VLOOKUP([jobnumber],OvalData[],MATCH(Table2[[#Headers],[pipewidth]],Table2[#Headers],0),0)</f>
        <v xml:space="preserve"> 18 ft.- 1 3/ 8"</v>
      </c>
      <c r="I150" s="2">
        <f>VLOOKUP([jobnumber],OvalData[],MATCH(Table2[[#Headers],[Support Tubes]],Table2[#Headers],0),0)</f>
        <v>0</v>
      </c>
      <c r="J150" s="2">
        <f>VLOOKUP([jobnumber],OvalData[],MATCH(Table2[[#Headers],[Upset]],Table2[#Headers],0),0)</f>
        <v>2</v>
      </c>
      <c r="K150" s="2" t="str">
        <f>VLOOKUP([jobnumber],OvalData[],MATCH(Table2[[#Headers],[Guide Type]],Table2[#Headers],0),0)</f>
        <v>SN2-4 5/8-E</v>
      </c>
      <c r="L150" s="2" t="str">
        <f>VLOOKUP([jobnumber],OvalData[],MATCH(Table2[[#Headers],[Wall Angle]],Table2[#Headers],0),0)</f>
        <v xml:space="preserve"> 11 ft.- 8"</v>
      </c>
      <c r="M150" s="2" t="str">
        <f>VLOOKUP([jobnumber],OvalData[],MATCH(Table2[[#Headers],[Middle Angle]],Table2[#Headers],0),0)</f>
        <v xml:space="preserve"> 10 ft.- 4 1/ 2"</v>
      </c>
      <c r="N150" s="2" t="str">
        <f>VLOOKUP([jobnumber],OvalData[],MATCH(Table2[[#Headers],[Front Angle]],Table2[#Headers],0),0)</f>
        <v xml:space="preserve"> 10 ft.- 3"</v>
      </c>
      <c r="O150" s="2">
        <f>VLOOKUP([jobnumber],OvalData[],MATCH(Table2[[#Headers],[Pipe Center Line]],Table2[#Headers],0),0)</f>
        <v>131</v>
      </c>
      <c r="P150" s="2">
        <f>VLOOKUP([jobnumber],OvalData[],MATCH(Table2[[#Headers],[Heat Expansion Gap]],Table2[#Headers],0),0)</f>
        <v>0</v>
      </c>
      <c r="Q150" s="2">
        <f>VLOOKUP([jobnumber],OvalData[],MATCH(Table2[[#Headers],[Hanging Weight Closed]],Table2[#Headers],0),0)</f>
        <v>795</v>
      </c>
      <c r="R150" s="2">
        <f>VLOOKUP([jobnumber],OvalData[],MATCH(Table2[[#Headers],[Hanging Weight Open]],Table2[#Headers],0),0)</f>
        <v>140</v>
      </c>
      <c r="S150" s="2">
        <f>VLOOKUP([jobnumber],OvalData[],MATCH(Table2[[#Headers],[Initial Lever Arm]],Table2[#Headers],0),0)</f>
        <v>4.25</v>
      </c>
      <c r="T150" s="2">
        <f>VLOOKUP([jobnumber],OvalData[],MATCH(Table2[[#Headers],[Turns to Raise]],Table2[#Headers],0),0)</f>
        <v>3.5859999999999999</v>
      </c>
      <c r="U150" s="2">
        <f>VLOOKUP([jobnumber],OvalData[],MATCH(Table2[[#Headers],[Final Lever Arm]],Table2[#Headers],0),0)</f>
        <v>6.37</v>
      </c>
      <c r="V150" s="2">
        <f>VLOOKUP([jobnumber],OvalData[],MATCH(Table2[[#Headers],[Torque Required Closed]],Table2[#Headers],0),0)</f>
        <v>3377.9</v>
      </c>
      <c r="W150" s="2">
        <f>VLOOKUP([jobnumber],OvalData[],MATCH(Table2[[#Headers],[Torque Required Open]],Table2[#Headers],0),0)</f>
        <v>892</v>
      </c>
      <c r="X150" s="2">
        <f>VLOOKUP([jobnumber],OvalData[],MATCH(Table2[[#Headers],[Pre Turns]],Table2[#Headers],0),0)</f>
        <v>1.3332999999999999</v>
      </c>
      <c r="Y150" s="2">
        <f>VLOOKUP([jobnumber],OvalData[],MATCH(Table2[[#Headers],[Required Torque Per Turn]],Table2[#Headers],0),0)</f>
        <v>688</v>
      </c>
      <c r="Z150" s="2">
        <f>VLOOKUP([jobnumber],OvalData[],MATCH(Table2[[#Headers],[Total Turns]],Table2[#Headers],0),0)</f>
        <v>4.91</v>
      </c>
      <c r="AA150" s="2">
        <f>VLOOKUP([jobnumber],OvalData[],MATCH(Table2[[#Headers],[Grille Vision Section]],Table2[#Headers],0),0)</f>
        <v>0</v>
      </c>
      <c r="AB150" s="2">
        <f>VLOOKUP([jobnumber],OvalData[],MATCH(Table2[[#Headers],[Grille Amount]],Table2[#Headers],0),0)</f>
        <v>0</v>
      </c>
      <c r="AC150" s="2">
        <f>VLOOKUP([jobnumber],OvalData[],MATCH(Table2[[#Headers],[Grille Center]],Table2[#Headers],0),0)</f>
        <v>0</v>
      </c>
      <c r="AD150" s="2">
        <f>VLOOKUP([jobnumber],OvalData[],MATCH(Table2[[#Headers],[Grille Pattern]],Table2[#Headers],0),0)</f>
        <v>0</v>
      </c>
      <c r="AE150" s="2">
        <f>VLOOKUP([jobnumber],OvalData[],MATCH(Table2[[#Headers],[Grille First Tube]],Table2[#Headers],0),0)</f>
        <v>0</v>
      </c>
      <c r="AF150" s="2">
        <f>VLOOKUP([jobnumber],OvalData[],MATCH(Table2[[#Headers],[Grille Standard Tube]],Table2[#Headers],0),0)</f>
        <v>0</v>
      </c>
      <c r="AG150" s="2">
        <f>VLOOKUP([jobnumber],OvalData[],MATCH(Table2[[#Headers],[Grille Total Links]],Table2[#Headers],0),0)</f>
        <v>0</v>
      </c>
      <c r="AH150" s="2">
        <f>VLOOKUP([jobnumber],OvalData[],MATCH(Table2[[#Headers],[Grille Rods]],Table2[#Headers],0),0)</f>
        <v>0</v>
      </c>
      <c r="AI150" s="2">
        <f>VLOOKUP([jobnumber],OvalData[],MATCH(Table2[[#Headers],[Grille Rod Length]],Table2[#Headers],0),0)</f>
        <v>0</v>
      </c>
      <c r="AJ150" s="2">
        <f>VLOOKUP([jobnumber],OvalData[],MATCH(Table2[[#Headers],[slattype]],Table2[#Headers],0),0)</f>
        <v>2</v>
      </c>
      <c r="AK150" s="2">
        <f>VLOOKUP([jobnumber],OvalData[],MATCH(Table2[[#Headers],[slatgage]],Table2[#Headers],0),0)</f>
        <v>18</v>
      </c>
      <c r="AL150" s="2">
        <f>VLOOKUP([jobnumber],OvalData[],MATCH(Table2[[#Headers],[Numer of Top Slats]],Table2[#Headers],0),0)</f>
        <v>0</v>
      </c>
      <c r="AM150" s="2">
        <f>VLOOKUP([jobnumber],OvalData[],MATCH(Table2[[#Headers],[Number of Bottom Slats]],Table2[#Headers],0),0)</f>
        <v>0</v>
      </c>
      <c r="AN150" s="2">
        <f>VLOOKUP([jobnumber],OvalData[],MATCH(Table2[[#Headers],[Solid Bottom Height]],Table2[#Headers],0),0)</f>
        <v>0</v>
      </c>
      <c r="AO150" s="2" t="str">
        <f>VLOOKUP([jobnumber],OvalData[],MATCH(Table2[[#Headers],[slatlength]],Table2[#Headers],0),0)</f>
        <v xml:space="preserve"> 18 ft.- 5 7/ 8"</v>
      </c>
      <c r="AP150" s="2">
        <f>VLOOKUP([jobnumber],OvalData[],MATCH(Table2[[#Headers],[Bottom Slat Length]],Table2[#Headers],0),0)</f>
        <v>0</v>
      </c>
      <c r="AQ150" s="2">
        <f>VLOOKUP([jobnumber],OvalData[],MATCH(Table2[[#Headers],[Number of Perferated Slats]],Table2[#Headers],0),0)</f>
        <v>0</v>
      </c>
      <c r="AR150" s="2">
        <f>VLOOKUP([jobnumber],OvalData[],MATCH(Table2[[#Headers],[First Preferated Slat From End]],Table2[#Headers],0),0)</f>
        <v>0</v>
      </c>
      <c r="AS150" s="2">
        <f>VLOOKUP([jobnumber],OvalData[],MATCH(Table2[[#Headers],[First Preferated Slat From Bottom]],Table2[#Headers],0),0)</f>
        <v>0</v>
      </c>
      <c r="AT150" s="2">
        <f>VLOOKUP([jobnumber],OvalData[],MATCH(Table2[[#Headers],[Total Number of Slats]],Table2[#Headers],0),0)</f>
        <v>51</v>
      </c>
      <c r="AU150" s="2">
        <f>VLOOKUP([jobnumber],OvalData[],MATCH(Table2[[#Headers],[Bottom Bar Slope]],Table2[#Headers],0),0)</f>
        <v>0</v>
      </c>
      <c r="AV150" s="2">
        <f>VLOOKUP([jobnumber],OvalData[],MATCH(Table2[[#Headers],[Bottom Bar Weight]],Table2[#Headers],0),0)</f>
        <v>80.5</v>
      </c>
      <c r="AW150" s="2" t="str">
        <f>VLOOKUP([jobnumber],OvalData[],MATCH(Table2[[#Headers],[Outer Spring Gage]],Table2[#Headers],0),0)</f>
        <v>Null</v>
      </c>
      <c r="AX150" s="2" t="str">
        <f>VLOOKUP([jobnumber],OvalData[],MATCH(Table2[[#Headers],[Outer Spring OD]],Table2[#Headers],0),0)</f>
        <v>Null</v>
      </c>
      <c r="AY150" s="2" t="str">
        <f>VLOOKUP([jobnumber],OvalData[],MATCH(Table2[[#Headers],[Outer Spring Length]],Table2[#Headers],0),0)</f>
        <v>Null</v>
      </c>
      <c r="AZ150" s="2" t="str">
        <f>VLOOKUP([jobnumber],OvalData[],MATCH(Table2[[#Headers],[Outer Spring Stretch]],Table2[#Headers],0),0)</f>
        <v>Null</v>
      </c>
      <c r="BA150" s="2" t="str">
        <f>VLOOKUP([jobnumber],OvalData[],MATCH(Table2[[#Headers],[Outer Spring Torque]],Table2[#Headers],0),0)</f>
        <v>Null</v>
      </c>
      <c r="BB150" s="2" t="str">
        <f>VLOOKUP([jobnumber],OvalData[],MATCH(Table2[[#Headers],[Outer Spring Max Turns]],Table2[#Headers],0),0)</f>
        <v>Null</v>
      </c>
      <c r="BC150" s="2" t="str">
        <f>VLOOKUP([jobnumber],OvalData[],MATCH(Table2[[#Headers],[Outer Spring Weight]],Table2[#Headers],0),0)</f>
        <v>Null</v>
      </c>
      <c r="BD150" s="2" t="str">
        <f>VLOOKUP([jobnumber],OvalData[],MATCH(Table2[[#Headers],[Inner Spring Gage]],Table2[#Headers],0),0)</f>
        <v>Null</v>
      </c>
      <c r="BE150" s="2" t="str">
        <f>VLOOKUP([jobnumber],OvalData[],MATCH(Table2[[#Headers],[Inner Spring OD]],Table2[#Headers],0),0)</f>
        <v>Null</v>
      </c>
      <c r="BF150" s="2" t="str">
        <f>VLOOKUP([jobnumber],OvalData[],MATCH(Table2[[#Headers],[Inner Spring Length]],Table2[#Headers],0),0)</f>
        <v>Null</v>
      </c>
      <c r="BG150" s="2" t="str">
        <f>VLOOKUP([jobnumber],OvalData[],MATCH(Table2[[#Headers],[Inner Spring Stretch]],Table2[#Headers],0),0)</f>
        <v>Null</v>
      </c>
      <c r="BH150" s="2" t="str">
        <f>VLOOKUP([jobnumber],OvalData[],MATCH(Table2[[#Headers],[Inner Spring Torque]],Table2[#Headers],0),0)</f>
        <v>Null</v>
      </c>
      <c r="BI150" s="2" t="str">
        <f>VLOOKUP([jobnumber],OvalData[],MATCH(Table2[[#Headers],[Inner Spring Max Turns]],Table2[#Headers],0),0)</f>
        <v>Null</v>
      </c>
      <c r="BJ150" s="2" t="str">
        <f>VLOOKUP([jobnumber],OvalData[],MATCH(Table2[[#Headers],[Inner Spring Weight]],Table2[#Headers],0),0)</f>
        <v>Null</v>
      </c>
      <c r="BK150" s="2">
        <f>VLOOKUP([jobnumber],OvalData[],MATCH(Table2[[#Headers],[Cycles]],Table2[#Headers],0),0)</f>
        <v>0</v>
      </c>
      <c r="BL150" s="2">
        <f>VLOOKUP([jobnumber],OvalData[],MATCH(Table2[[#Headers],[Total Spring Torque]],Table2[#Headers],0),0)</f>
        <v>0</v>
      </c>
      <c r="BM150" s="2">
        <f>VLOOKUP([jobnumber],OvalData[],MATCH(Table2[[#Headers],[Total Spring Weight]],Table2[#Headers],0),0)</f>
        <v>0</v>
      </c>
      <c r="BN150" s="2">
        <f>VLOOKUP([jobnumber],OvalData[],MATCH(Table2[[#Headers],[Pipe Weight]],Table2[#Headers],0),0)</f>
        <v>688.24239999999998</v>
      </c>
      <c r="BO150" s="2">
        <f>VLOOKUP([jobnumber],OvalData[],MATCH(Table2[[#Headers],[Max Pipe Deflection]],Table2[#Headers],0),0)</f>
        <v>2309</v>
      </c>
      <c r="BP150" s="2">
        <f>VLOOKUP([jobnumber],OvalData[],MATCH(Table2[[#Headers],[Number Non-Insulated Wrap Slats]],Table2[#Headers],0),0)</f>
        <v>0</v>
      </c>
      <c r="BQ150" s="2">
        <f>VLOOKUP([jobnumber],OvalData[],MATCH(Table2[[#Headers],[Number of Insolated Top Slats]],Table2[#Headers],0),0)</f>
        <v>45</v>
      </c>
      <c r="BR150" s="2">
        <f>VLOOKUP([jobnumber],OvalData[],MATCH(Table2[[#Headers],[Insolated Total Slats]],Table2[#Headers],0),0)</f>
        <v>45</v>
      </c>
      <c r="BS150" s="2">
        <f>VLOOKUP([jobnumber],OvalData[],MATCH(Table2[[#Headers],[Number of Slats]],Table2[#Headers],0),0)</f>
        <v>44.69</v>
      </c>
      <c r="BT150" s="2">
        <f>VLOOKUP([jobnumber],OvalData[],MATCH(Table2[[#Headers],[Wrap]],Table2[#Headers],0),0)</f>
        <v>0</v>
      </c>
      <c r="BU150" s="2">
        <f>VLOOKUP([jobnumber],OvalData[],MATCH(Table2[[#Headers],[Wall Angle Thickness]],Table2[#Headers],0),0)</f>
        <v>0</v>
      </c>
      <c r="BV150" s="2">
        <f>VLOOKUP([jobnumber],OvalData[],MATCH(Table2[[#Headers],[windlocks]],Table2[#Headers],0),0)</f>
        <v>0</v>
      </c>
      <c r="BW150" s="2" t="str">
        <f>VLOOKUP([jobnumber],OvalData[],MATCH(Table2[[#Headers],[bottombartype]],Table2[#Headers],0),0)</f>
        <v>SPECIAL</v>
      </c>
      <c r="BX150" s="2">
        <f>VLOOKUP([jobnumber],OvalData[],MATCH(Table2[[#Headers],[endlockweight]],Table2[#Headers],0),0)</f>
        <v>0.17</v>
      </c>
      <c r="BY150" s="2">
        <f>VLOOKUP([jobnumber],OvalData[],MATCH(Table2[[#Headers],[Endlock Total Weight]],Table2[#Headers],0),0)</f>
        <v>7.5972999999999997</v>
      </c>
      <c r="BZ150" s="2">
        <f>VLOOKUP([jobnumber],OvalData[],MATCH(Table2[[#Headers],[Grille Weight]],Table2[#Headers],0),0)</f>
        <v>0</v>
      </c>
      <c r="CA150" s="2">
        <f>VLOOKUP([jobnumber],OvalData[],MATCH(Table2[[#Headers],[barrelrings]],Table2[#Headers],0),0)</f>
        <v>1</v>
      </c>
    </row>
    <row r="151" spans="2:79">
      <c r="B151" s="2" t="str">
        <f>VLOOKUP([jobnumber],OvalData[],MATCH(Table2[[#Headers],[Hand]],Table2[#Headers],0),0)</f>
        <v>RH</v>
      </c>
      <c r="C151" s="2" t="str">
        <f>VLOOKUP([jobnumber],OvalData[],MATCH(Table2[[#Headers],[Model]],Table2[#Headers],0),0)</f>
        <v>SFMPP</v>
      </c>
      <c r="D151" s="2" t="str">
        <f>VLOOKUP([jobnumber],OvalData[],MATCH(Table2[[#Headers],[width]],Table2[#Headers],0),0)</f>
        <v xml:space="preserve"> 18 ft.- 2"</v>
      </c>
      <c r="E151" s="2" t="str">
        <f>VLOOKUP([jobnumber],OvalData[],MATCH(Table2[[#Headers],[stopheight]],Table2[#Headers],0),0)</f>
        <v xml:space="preserve"> 10 ft.- 0"</v>
      </c>
      <c r="F151" s="2" t="str">
        <f>VLOOKUP([jobnumber],OvalData[],MATCH(Table2[[#Headers],[Between Brackets]],Table2[#Headers],0),0)</f>
        <v xml:space="preserve"> 18 ft.- 7 7/ 8"</v>
      </c>
      <c r="G151" s="2" t="str">
        <f>VLOOKUP([jobnumber],OvalData[],MATCH(Table2[[#Headers],[shell]],Table2[#Headers],0),0)</f>
        <v>6 INCH TUBE</v>
      </c>
      <c r="H151" s="2" t="str">
        <f>VLOOKUP([jobnumber],OvalData[],MATCH(Table2[[#Headers],[pipewidth]],Table2[#Headers],0),0)</f>
        <v xml:space="preserve"> 18 ft.- 1 3/ 8"</v>
      </c>
      <c r="I151" s="2">
        <f>VLOOKUP([jobnumber],OvalData[],MATCH(Table2[[#Headers],[Support Tubes]],Table2[#Headers],0),0)</f>
        <v>0</v>
      </c>
      <c r="J151" s="2">
        <f>VLOOKUP([jobnumber],OvalData[],MATCH(Table2[[#Headers],[Upset]],Table2[#Headers],0),0)</f>
        <v>2</v>
      </c>
      <c r="K151" s="2" t="str">
        <f>VLOOKUP([jobnumber],OvalData[],MATCH(Table2[[#Headers],[Guide Type]],Table2[#Headers],0),0)</f>
        <v>SN2-4 5/8-E</v>
      </c>
      <c r="L151" s="2" t="str">
        <f>VLOOKUP([jobnumber],OvalData[],MATCH(Table2[[#Headers],[Wall Angle]],Table2[#Headers],0),0)</f>
        <v xml:space="preserve"> 11 ft.- 8"</v>
      </c>
      <c r="M151" s="2" t="str">
        <f>VLOOKUP([jobnumber],OvalData[],MATCH(Table2[[#Headers],[Middle Angle]],Table2[#Headers],0),0)</f>
        <v xml:space="preserve"> 10 ft.- 4 1/ 2"</v>
      </c>
      <c r="N151" s="2" t="str">
        <f>VLOOKUP([jobnumber],OvalData[],MATCH(Table2[[#Headers],[Front Angle]],Table2[#Headers],0),0)</f>
        <v xml:space="preserve"> 10 ft.- 3"</v>
      </c>
      <c r="O151" s="2">
        <f>VLOOKUP([jobnumber],OvalData[],MATCH(Table2[[#Headers],[Pipe Center Line]],Table2[#Headers],0),0)</f>
        <v>131</v>
      </c>
      <c r="P151" s="2">
        <f>VLOOKUP([jobnumber],OvalData[],MATCH(Table2[[#Headers],[Heat Expansion Gap]],Table2[#Headers],0),0)</f>
        <v>0</v>
      </c>
      <c r="Q151" s="2">
        <f>VLOOKUP([jobnumber],OvalData[],MATCH(Table2[[#Headers],[Hanging Weight Closed]],Table2[#Headers],0),0)</f>
        <v>795</v>
      </c>
      <c r="R151" s="2">
        <f>VLOOKUP([jobnumber],OvalData[],MATCH(Table2[[#Headers],[Hanging Weight Open]],Table2[#Headers],0),0)</f>
        <v>140</v>
      </c>
      <c r="S151" s="2">
        <f>VLOOKUP([jobnumber],OvalData[],MATCH(Table2[[#Headers],[Initial Lever Arm]],Table2[#Headers],0),0)</f>
        <v>4.25</v>
      </c>
      <c r="T151" s="2">
        <f>VLOOKUP([jobnumber],OvalData[],MATCH(Table2[[#Headers],[Turns to Raise]],Table2[#Headers],0),0)</f>
        <v>3.5859999999999999</v>
      </c>
      <c r="U151" s="2">
        <f>VLOOKUP([jobnumber],OvalData[],MATCH(Table2[[#Headers],[Final Lever Arm]],Table2[#Headers],0),0)</f>
        <v>6.37</v>
      </c>
      <c r="V151" s="2">
        <f>VLOOKUP([jobnumber],OvalData[],MATCH(Table2[[#Headers],[Torque Required Closed]],Table2[#Headers],0),0)</f>
        <v>3377.9</v>
      </c>
      <c r="W151" s="2">
        <f>VLOOKUP([jobnumber],OvalData[],MATCH(Table2[[#Headers],[Torque Required Open]],Table2[#Headers],0),0)</f>
        <v>892</v>
      </c>
      <c r="X151" s="2">
        <f>VLOOKUP([jobnumber],OvalData[],MATCH(Table2[[#Headers],[Pre Turns]],Table2[#Headers],0),0)</f>
        <v>1.3332999999999999</v>
      </c>
      <c r="Y151" s="2">
        <f>VLOOKUP([jobnumber],OvalData[],MATCH(Table2[[#Headers],[Required Torque Per Turn]],Table2[#Headers],0),0)</f>
        <v>688</v>
      </c>
      <c r="Z151" s="2">
        <f>VLOOKUP([jobnumber],OvalData[],MATCH(Table2[[#Headers],[Total Turns]],Table2[#Headers],0),0)</f>
        <v>4.91</v>
      </c>
      <c r="AA151" s="2">
        <f>VLOOKUP([jobnumber],OvalData[],MATCH(Table2[[#Headers],[Grille Vision Section]],Table2[#Headers],0),0)</f>
        <v>0</v>
      </c>
      <c r="AB151" s="2">
        <f>VLOOKUP([jobnumber],OvalData[],MATCH(Table2[[#Headers],[Grille Amount]],Table2[#Headers],0),0)</f>
        <v>0</v>
      </c>
      <c r="AC151" s="2">
        <f>VLOOKUP([jobnumber],OvalData[],MATCH(Table2[[#Headers],[Grille Center]],Table2[#Headers],0),0)</f>
        <v>0</v>
      </c>
      <c r="AD151" s="2">
        <f>VLOOKUP([jobnumber],OvalData[],MATCH(Table2[[#Headers],[Grille Pattern]],Table2[#Headers],0),0)</f>
        <v>0</v>
      </c>
      <c r="AE151" s="2">
        <f>VLOOKUP([jobnumber],OvalData[],MATCH(Table2[[#Headers],[Grille First Tube]],Table2[#Headers],0),0)</f>
        <v>0</v>
      </c>
      <c r="AF151" s="2">
        <f>VLOOKUP([jobnumber],OvalData[],MATCH(Table2[[#Headers],[Grille Standard Tube]],Table2[#Headers],0),0)</f>
        <v>0</v>
      </c>
      <c r="AG151" s="2">
        <f>VLOOKUP([jobnumber],OvalData[],MATCH(Table2[[#Headers],[Grille Total Links]],Table2[#Headers],0),0)</f>
        <v>0</v>
      </c>
      <c r="AH151" s="2">
        <f>VLOOKUP([jobnumber],OvalData[],MATCH(Table2[[#Headers],[Grille Rods]],Table2[#Headers],0),0)</f>
        <v>0</v>
      </c>
      <c r="AI151" s="2">
        <f>VLOOKUP([jobnumber],OvalData[],MATCH(Table2[[#Headers],[Grille Rod Length]],Table2[#Headers],0),0)</f>
        <v>0</v>
      </c>
      <c r="AJ151" s="2">
        <f>VLOOKUP([jobnumber],OvalData[],MATCH(Table2[[#Headers],[slattype]],Table2[#Headers],0),0)</f>
        <v>2</v>
      </c>
      <c r="AK151" s="2">
        <f>VLOOKUP([jobnumber],OvalData[],MATCH(Table2[[#Headers],[slatgage]],Table2[#Headers],0),0)</f>
        <v>18</v>
      </c>
      <c r="AL151" s="2">
        <f>VLOOKUP([jobnumber],OvalData[],MATCH(Table2[[#Headers],[Numer of Top Slats]],Table2[#Headers],0),0)</f>
        <v>0</v>
      </c>
      <c r="AM151" s="2">
        <f>VLOOKUP([jobnumber],OvalData[],MATCH(Table2[[#Headers],[Number of Bottom Slats]],Table2[#Headers],0),0)</f>
        <v>0</v>
      </c>
      <c r="AN151" s="2">
        <f>VLOOKUP([jobnumber],OvalData[],MATCH(Table2[[#Headers],[Solid Bottom Height]],Table2[#Headers],0),0)</f>
        <v>0</v>
      </c>
      <c r="AO151" s="2" t="str">
        <f>VLOOKUP([jobnumber],OvalData[],MATCH(Table2[[#Headers],[slatlength]],Table2[#Headers],0),0)</f>
        <v xml:space="preserve"> 18 ft.- 5 7/ 8"</v>
      </c>
      <c r="AP151" s="2">
        <f>VLOOKUP([jobnumber],OvalData[],MATCH(Table2[[#Headers],[Bottom Slat Length]],Table2[#Headers],0),0)</f>
        <v>0</v>
      </c>
      <c r="AQ151" s="2">
        <f>VLOOKUP([jobnumber],OvalData[],MATCH(Table2[[#Headers],[Number of Perferated Slats]],Table2[#Headers],0),0)</f>
        <v>0</v>
      </c>
      <c r="AR151" s="2">
        <f>VLOOKUP([jobnumber],OvalData[],MATCH(Table2[[#Headers],[First Preferated Slat From End]],Table2[#Headers],0),0)</f>
        <v>0</v>
      </c>
      <c r="AS151" s="2">
        <f>VLOOKUP([jobnumber],OvalData[],MATCH(Table2[[#Headers],[First Preferated Slat From Bottom]],Table2[#Headers],0),0)</f>
        <v>0</v>
      </c>
      <c r="AT151" s="2">
        <f>VLOOKUP([jobnumber],OvalData[],MATCH(Table2[[#Headers],[Total Number of Slats]],Table2[#Headers],0),0)</f>
        <v>51</v>
      </c>
      <c r="AU151" s="2">
        <f>VLOOKUP([jobnumber],OvalData[],MATCH(Table2[[#Headers],[Bottom Bar Slope]],Table2[#Headers],0),0)</f>
        <v>0</v>
      </c>
      <c r="AV151" s="2">
        <f>VLOOKUP([jobnumber],OvalData[],MATCH(Table2[[#Headers],[Bottom Bar Weight]],Table2[#Headers],0),0)</f>
        <v>80.5</v>
      </c>
      <c r="AW151" s="2" t="str">
        <f>VLOOKUP([jobnumber],OvalData[],MATCH(Table2[[#Headers],[Outer Spring Gage]],Table2[#Headers],0),0)</f>
        <v>Null</v>
      </c>
      <c r="AX151" s="2" t="str">
        <f>VLOOKUP([jobnumber],OvalData[],MATCH(Table2[[#Headers],[Outer Spring OD]],Table2[#Headers],0),0)</f>
        <v>Null</v>
      </c>
      <c r="AY151" s="2" t="str">
        <f>VLOOKUP([jobnumber],OvalData[],MATCH(Table2[[#Headers],[Outer Spring Length]],Table2[#Headers],0),0)</f>
        <v>Null</v>
      </c>
      <c r="AZ151" s="2" t="str">
        <f>VLOOKUP([jobnumber],OvalData[],MATCH(Table2[[#Headers],[Outer Spring Stretch]],Table2[#Headers],0),0)</f>
        <v>Null</v>
      </c>
      <c r="BA151" s="2" t="str">
        <f>VLOOKUP([jobnumber],OvalData[],MATCH(Table2[[#Headers],[Outer Spring Torque]],Table2[#Headers],0),0)</f>
        <v>Null</v>
      </c>
      <c r="BB151" s="2" t="str">
        <f>VLOOKUP([jobnumber],OvalData[],MATCH(Table2[[#Headers],[Outer Spring Max Turns]],Table2[#Headers],0),0)</f>
        <v>Null</v>
      </c>
      <c r="BC151" s="2" t="str">
        <f>VLOOKUP([jobnumber],OvalData[],MATCH(Table2[[#Headers],[Outer Spring Weight]],Table2[#Headers],0),0)</f>
        <v>Null</v>
      </c>
      <c r="BD151" s="2" t="str">
        <f>VLOOKUP([jobnumber],OvalData[],MATCH(Table2[[#Headers],[Inner Spring Gage]],Table2[#Headers],0),0)</f>
        <v>Null</v>
      </c>
      <c r="BE151" s="2" t="str">
        <f>VLOOKUP([jobnumber],OvalData[],MATCH(Table2[[#Headers],[Inner Spring OD]],Table2[#Headers],0),0)</f>
        <v>Null</v>
      </c>
      <c r="BF151" s="2" t="str">
        <f>VLOOKUP([jobnumber],OvalData[],MATCH(Table2[[#Headers],[Inner Spring Length]],Table2[#Headers],0),0)</f>
        <v>Null</v>
      </c>
      <c r="BG151" s="2" t="str">
        <f>VLOOKUP([jobnumber],OvalData[],MATCH(Table2[[#Headers],[Inner Spring Stretch]],Table2[#Headers],0),0)</f>
        <v>Null</v>
      </c>
      <c r="BH151" s="2" t="str">
        <f>VLOOKUP([jobnumber],OvalData[],MATCH(Table2[[#Headers],[Inner Spring Torque]],Table2[#Headers],0),0)</f>
        <v>Null</v>
      </c>
      <c r="BI151" s="2" t="str">
        <f>VLOOKUP([jobnumber],OvalData[],MATCH(Table2[[#Headers],[Inner Spring Max Turns]],Table2[#Headers],0),0)</f>
        <v>Null</v>
      </c>
      <c r="BJ151" s="2" t="str">
        <f>VLOOKUP([jobnumber],OvalData[],MATCH(Table2[[#Headers],[Inner Spring Weight]],Table2[#Headers],0),0)</f>
        <v>Null</v>
      </c>
      <c r="BK151" s="2">
        <f>VLOOKUP([jobnumber],OvalData[],MATCH(Table2[[#Headers],[Cycles]],Table2[#Headers],0),0)</f>
        <v>0</v>
      </c>
      <c r="BL151" s="2">
        <f>VLOOKUP([jobnumber],OvalData[],MATCH(Table2[[#Headers],[Total Spring Torque]],Table2[#Headers],0),0)</f>
        <v>0</v>
      </c>
      <c r="BM151" s="2">
        <f>VLOOKUP([jobnumber],OvalData[],MATCH(Table2[[#Headers],[Total Spring Weight]],Table2[#Headers],0),0)</f>
        <v>0</v>
      </c>
      <c r="BN151" s="2">
        <f>VLOOKUP([jobnumber],OvalData[],MATCH(Table2[[#Headers],[Pipe Weight]],Table2[#Headers],0),0)</f>
        <v>688.24239999999998</v>
      </c>
      <c r="BO151" s="2">
        <f>VLOOKUP([jobnumber],OvalData[],MATCH(Table2[[#Headers],[Max Pipe Deflection]],Table2[#Headers],0),0)</f>
        <v>2309</v>
      </c>
      <c r="BP151" s="2">
        <f>VLOOKUP([jobnumber],OvalData[],MATCH(Table2[[#Headers],[Number Non-Insulated Wrap Slats]],Table2[#Headers],0),0)</f>
        <v>0</v>
      </c>
      <c r="BQ151" s="2">
        <f>VLOOKUP([jobnumber],OvalData[],MATCH(Table2[[#Headers],[Number of Insolated Top Slats]],Table2[#Headers],0),0)</f>
        <v>45</v>
      </c>
      <c r="BR151" s="2">
        <f>VLOOKUP([jobnumber],OvalData[],MATCH(Table2[[#Headers],[Insolated Total Slats]],Table2[#Headers],0),0)</f>
        <v>45</v>
      </c>
      <c r="BS151" s="2">
        <f>VLOOKUP([jobnumber],OvalData[],MATCH(Table2[[#Headers],[Number of Slats]],Table2[#Headers],0),0)</f>
        <v>44.69</v>
      </c>
      <c r="BT151" s="2">
        <f>VLOOKUP([jobnumber],OvalData[],MATCH(Table2[[#Headers],[Wrap]],Table2[#Headers],0),0)</f>
        <v>0</v>
      </c>
      <c r="BU151" s="2">
        <f>VLOOKUP([jobnumber],OvalData[],MATCH(Table2[[#Headers],[Wall Angle Thickness]],Table2[#Headers],0),0)</f>
        <v>0</v>
      </c>
      <c r="BV151" s="2">
        <f>VLOOKUP([jobnumber],OvalData[],MATCH(Table2[[#Headers],[windlocks]],Table2[#Headers],0),0)</f>
        <v>0</v>
      </c>
      <c r="BW151" s="2" t="str">
        <f>VLOOKUP([jobnumber],OvalData[],MATCH(Table2[[#Headers],[bottombartype]],Table2[#Headers],0),0)</f>
        <v>SPECIAL</v>
      </c>
      <c r="BX151" s="2">
        <f>VLOOKUP([jobnumber],OvalData[],MATCH(Table2[[#Headers],[endlockweight]],Table2[#Headers],0),0)</f>
        <v>0.17</v>
      </c>
      <c r="BY151" s="2">
        <f>VLOOKUP([jobnumber],OvalData[],MATCH(Table2[[#Headers],[Endlock Total Weight]],Table2[#Headers],0),0)</f>
        <v>7.5972999999999997</v>
      </c>
      <c r="BZ151" s="2">
        <f>VLOOKUP([jobnumber],OvalData[],MATCH(Table2[[#Headers],[Grille Weight]],Table2[#Headers],0),0)</f>
        <v>0</v>
      </c>
      <c r="CA151" s="2">
        <f>VLOOKUP([jobnumber],OvalData[],MATCH(Table2[[#Headers],[barrelrings]],Table2[#Headers],0),0)</f>
        <v>1</v>
      </c>
    </row>
    <row r="152" spans="2:79">
      <c r="B152" s="2" t="str">
        <f>VLOOKUP([jobnumber],OvalData[],MATCH(Table2[[#Headers],[Hand]],Table2[#Headers],0),0)</f>
        <v>RH</v>
      </c>
      <c r="C152" s="2" t="str">
        <f>VLOOKUP([jobnumber],OvalData[],MATCH(Table2[[#Headers],[Model]],Table2[#Headers],0),0)</f>
        <v>SFMPP</v>
      </c>
      <c r="D152" s="2" t="str">
        <f>VLOOKUP([jobnumber],OvalData[],MATCH(Table2[[#Headers],[width]],Table2[#Headers],0),0)</f>
        <v xml:space="preserve"> 18 ft.- 2"</v>
      </c>
      <c r="E152" s="2" t="str">
        <f>VLOOKUP([jobnumber],OvalData[],MATCH(Table2[[#Headers],[stopheight]],Table2[#Headers],0),0)</f>
        <v xml:space="preserve"> 10 ft.- 0"</v>
      </c>
      <c r="F152" s="2" t="str">
        <f>VLOOKUP([jobnumber],OvalData[],MATCH(Table2[[#Headers],[Between Brackets]],Table2[#Headers],0),0)</f>
        <v xml:space="preserve"> 18 ft.- 7 7/ 8"</v>
      </c>
      <c r="G152" s="2" t="str">
        <f>VLOOKUP([jobnumber],OvalData[],MATCH(Table2[[#Headers],[shell]],Table2[#Headers],0),0)</f>
        <v>6 INCH TUBE</v>
      </c>
      <c r="H152" s="2" t="str">
        <f>VLOOKUP([jobnumber],OvalData[],MATCH(Table2[[#Headers],[pipewidth]],Table2[#Headers],0),0)</f>
        <v xml:space="preserve"> 18 ft.- 1 3/ 8"</v>
      </c>
      <c r="I152" s="2">
        <f>VLOOKUP([jobnumber],OvalData[],MATCH(Table2[[#Headers],[Support Tubes]],Table2[#Headers],0),0)</f>
        <v>0</v>
      </c>
      <c r="J152" s="2">
        <f>VLOOKUP([jobnumber],OvalData[],MATCH(Table2[[#Headers],[Upset]],Table2[#Headers],0),0)</f>
        <v>2</v>
      </c>
      <c r="K152" s="2" t="str">
        <f>VLOOKUP([jobnumber],OvalData[],MATCH(Table2[[#Headers],[Guide Type]],Table2[#Headers],0),0)</f>
        <v>SN2-4 5/8-E</v>
      </c>
      <c r="L152" s="2" t="str">
        <f>VLOOKUP([jobnumber],OvalData[],MATCH(Table2[[#Headers],[Wall Angle]],Table2[#Headers],0),0)</f>
        <v xml:space="preserve"> 11 ft.- 8"</v>
      </c>
      <c r="M152" s="2" t="str">
        <f>VLOOKUP([jobnumber],OvalData[],MATCH(Table2[[#Headers],[Middle Angle]],Table2[#Headers],0),0)</f>
        <v xml:space="preserve"> 10 ft.- 4 1/ 2"</v>
      </c>
      <c r="N152" s="2" t="str">
        <f>VLOOKUP([jobnumber],OvalData[],MATCH(Table2[[#Headers],[Front Angle]],Table2[#Headers],0),0)</f>
        <v xml:space="preserve"> 10 ft.- 3"</v>
      </c>
      <c r="O152" s="2">
        <f>VLOOKUP([jobnumber],OvalData[],MATCH(Table2[[#Headers],[Pipe Center Line]],Table2[#Headers],0),0)</f>
        <v>131</v>
      </c>
      <c r="P152" s="2">
        <f>VLOOKUP([jobnumber],OvalData[],MATCH(Table2[[#Headers],[Heat Expansion Gap]],Table2[#Headers],0),0)</f>
        <v>0</v>
      </c>
      <c r="Q152" s="2">
        <f>VLOOKUP([jobnumber],OvalData[],MATCH(Table2[[#Headers],[Hanging Weight Closed]],Table2[#Headers],0),0)</f>
        <v>795</v>
      </c>
      <c r="R152" s="2">
        <f>VLOOKUP([jobnumber],OvalData[],MATCH(Table2[[#Headers],[Hanging Weight Open]],Table2[#Headers],0),0)</f>
        <v>140</v>
      </c>
      <c r="S152" s="2">
        <f>VLOOKUP([jobnumber],OvalData[],MATCH(Table2[[#Headers],[Initial Lever Arm]],Table2[#Headers],0),0)</f>
        <v>4.25</v>
      </c>
      <c r="T152" s="2">
        <f>VLOOKUP([jobnumber],OvalData[],MATCH(Table2[[#Headers],[Turns to Raise]],Table2[#Headers],0),0)</f>
        <v>3.5859999999999999</v>
      </c>
      <c r="U152" s="2">
        <f>VLOOKUP([jobnumber],OvalData[],MATCH(Table2[[#Headers],[Final Lever Arm]],Table2[#Headers],0),0)</f>
        <v>6.37</v>
      </c>
      <c r="V152" s="2">
        <f>VLOOKUP([jobnumber],OvalData[],MATCH(Table2[[#Headers],[Torque Required Closed]],Table2[#Headers],0),0)</f>
        <v>3377.9</v>
      </c>
      <c r="W152" s="2">
        <f>VLOOKUP([jobnumber],OvalData[],MATCH(Table2[[#Headers],[Torque Required Open]],Table2[#Headers],0),0)</f>
        <v>892</v>
      </c>
      <c r="X152" s="2">
        <f>VLOOKUP([jobnumber],OvalData[],MATCH(Table2[[#Headers],[Pre Turns]],Table2[#Headers],0),0)</f>
        <v>1.3332999999999999</v>
      </c>
      <c r="Y152" s="2">
        <f>VLOOKUP([jobnumber],OvalData[],MATCH(Table2[[#Headers],[Required Torque Per Turn]],Table2[#Headers],0),0)</f>
        <v>688</v>
      </c>
      <c r="Z152" s="2">
        <f>VLOOKUP([jobnumber],OvalData[],MATCH(Table2[[#Headers],[Total Turns]],Table2[#Headers],0),0)</f>
        <v>4.91</v>
      </c>
      <c r="AA152" s="2">
        <f>VLOOKUP([jobnumber],OvalData[],MATCH(Table2[[#Headers],[Grille Vision Section]],Table2[#Headers],0),0)</f>
        <v>0</v>
      </c>
      <c r="AB152" s="2">
        <f>VLOOKUP([jobnumber],OvalData[],MATCH(Table2[[#Headers],[Grille Amount]],Table2[#Headers],0),0)</f>
        <v>0</v>
      </c>
      <c r="AC152" s="2">
        <f>VLOOKUP([jobnumber],OvalData[],MATCH(Table2[[#Headers],[Grille Center]],Table2[#Headers],0),0)</f>
        <v>0</v>
      </c>
      <c r="AD152" s="2">
        <f>VLOOKUP([jobnumber],OvalData[],MATCH(Table2[[#Headers],[Grille Pattern]],Table2[#Headers],0),0)</f>
        <v>0</v>
      </c>
      <c r="AE152" s="2">
        <f>VLOOKUP([jobnumber],OvalData[],MATCH(Table2[[#Headers],[Grille First Tube]],Table2[#Headers],0),0)</f>
        <v>0</v>
      </c>
      <c r="AF152" s="2">
        <f>VLOOKUP([jobnumber],OvalData[],MATCH(Table2[[#Headers],[Grille Standard Tube]],Table2[#Headers],0),0)</f>
        <v>0</v>
      </c>
      <c r="AG152" s="2">
        <f>VLOOKUP([jobnumber],OvalData[],MATCH(Table2[[#Headers],[Grille Total Links]],Table2[#Headers],0),0)</f>
        <v>0</v>
      </c>
      <c r="AH152" s="2">
        <f>VLOOKUP([jobnumber],OvalData[],MATCH(Table2[[#Headers],[Grille Rods]],Table2[#Headers],0),0)</f>
        <v>0</v>
      </c>
      <c r="AI152" s="2">
        <f>VLOOKUP([jobnumber],OvalData[],MATCH(Table2[[#Headers],[Grille Rod Length]],Table2[#Headers],0),0)</f>
        <v>0</v>
      </c>
      <c r="AJ152" s="2">
        <f>VLOOKUP([jobnumber],OvalData[],MATCH(Table2[[#Headers],[slattype]],Table2[#Headers],0),0)</f>
        <v>2</v>
      </c>
      <c r="AK152" s="2">
        <f>VLOOKUP([jobnumber],OvalData[],MATCH(Table2[[#Headers],[slatgage]],Table2[#Headers],0),0)</f>
        <v>18</v>
      </c>
      <c r="AL152" s="2">
        <f>VLOOKUP([jobnumber],OvalData[],MATCH(Table2[[#Headers],[Numer of Top Slats]],Table2[#Headers],0),0)</f>
        <v>0</v>
      </c>
      <c r="AM152" s="2">
        <f>VLOOKUP([jobnumber],OvalData[],MATCH(Table2[[#Headers],[Number of Bottom Slats]],Table2[#Headers],0),0)</f>
        <v>0</v>
      </c>
      <c r="AN152" s="2">
        <f>VLOOKUP([jobnumber],OvalData[],MATCH(Table2[[#Headers],[Solid Bottom Height]],Table2[#Headers],0),0)</f>
        <v>0</v>
      </c>
      <c r="AO152" s="2" t="str">
        <f>VLOOKUP([jobnumber],OvalData[],MATCH(Table2[[#Headers],[slatlength]],Table2[#Headers],0),0)</f>
        <v xml:space="preserve"> 18 ft.- 5 7/ 8"</v>
      </c>
      <c r="AP152" s="2">
        <f>VLOOKUP([jobnumber],OvalData[],MATCH(Table2[[#Headers],[Bottom Slat Length]],Table2[#Headers],0),0)</f>
        <v>0</v>
      </c>
      <c r="AQ152" s="2">
        <f>VLOOKUP([jobnumber],OvalData[],MATCH(Table2[[#Headers],[Number of Perferated Slats]],Table2[#Headers],0),0)</f>
        <v>0</v>
      </c>
      <c r="AR152" s="2">
        <f>VLOOKUP([jobnumber],OvalData[],MATCH(Table2[[#Headers],[First Preferated Slat From End]],Table2[#Headers],0),0)</f>
        <v>0</v>
      </c>
      <c r="AS152" s="2">
        <f>VLOOKUP([jobnumber],OvalData[],MATCH(Table2[[#Headers],[First Preferated Slat From Bottom]],Table2[#Headers],0),0)</f>
        <v>0</v>
      </c>
      <c r="AT152" s="2">
        <f>VLOOKUP([jobnumber],OvalData[],MATCH(Table2[[#Headers],[Total Number of Slats]],Table2[#Headers],0),0)</f>
        <v>51</v>
      </c>
      <c r="AU152" s="2">
        <f>VLOOKUP([jobnumber],OvalData[],MATCH(Table2[[#Headers],[Bottom Bar Slope]],Table2[#Headers],0),0)</f>
        <v>0</v>
      </c>
      <c r="AV152" s="2">
        <f>VLOOKUP([jobnumber],OvalData[],MATCH(Table2[[#Headers],[Bottom Bar Weight]],Table2[#Headers],0),0)</f>
        <v>80.5</v>
      </c>
      <c r="AW152" s="2" t="str">
        <f>VLOOKUP([jobnumber],OvalData[],MATCH(Table2[[#Headers],[Outer Spring Gage]],Table2[#Headers],0),0)</f>
        <v>Null</v>
      </c>
      <c r="AX152" s="2" t="str">
        <f>VLOOKUP([jobnumber],OvalData[],MATCH(Table2[[#Headers],[Outer Spring OD]],Table2[#Headers],0),0)</f>
        <v>Null</v>
      </c>
      <c r="AY152" s="2" t="str">
        <f>VLOOKUP([jobnumber],OvalData[],MATCH(Table2[[#Headers],[Outer Spring Length]],Table2[#Headers],0),0)</f>
        <v>Null</v>
      </c>
      <c r="AZ152" s="2" t="str">
        <f>VLOOKUP([jobnumber],OvalData[],MATCH(Table2[[#Headers],[Outer Spring Stretch]],Table2[#Headers],0),0)</f>
        <v>Null</v>
      </c>
      <c r="BA152" s="2" t="str">
        <f>VLOOKUP([jobnumber],OvalData[],MATCH(Table2[[#Headers],[Outer Spring Torque]],Table2[#Headers],0),0)</f>
        <v>Null</v>
      </c>
      <c r="BB152" s="2" t="str">
        <f>VLOOKUP([jobnumber],OvalData[],MATCH(Table2[[#Headers],[Outer Spring Max Turns]],Table2[#Headers],0),0)</f>
        <v>Null</v>
      </c>
      <c r="BC152" s="2" t="str">
        <f>VLOOKUP([jobnumber],OvalData[],MATCH(Table2[[#Headers],[Outer Spring Weight]],Table2[#Headers],0),0)</f>
        <v>Null</v>
      </c>
      <c r="BD152" s="2" t="str">
        <f>VLOOKUP([jobnumber],OvalData[],MATCH(Table2[[#Headers],[Inner Spring Gage]],Table2[#Headers],0),0)</f>
        <v>Null</v>
      </c>
      <c r="BE152" s="2" t="str">
        <f>VLOOKUP([jobnumber],OvalData[],MATCH(Table2[[#Headers],[Inner Spring OD]],Table2[#Headers],0),0)</f>
        <v>Null</v>
      </c>
      <c r="BF152" s="2" t="str">
        <f>VLOOKUP([jobnumber],OvalData[],MATCH(Table2[[#Headers],[Inner Spring Length]],Table2[#Headers],0),0)</f>
        <v>Null</v>
      </c>
      <c r="BG152" s="2" t="str">
        <f>VLOOKUP([jobnumber],OvalData[],MATCH(Table2[[#Headers],[Inner Spring Stretch]],Table2[#Headers],0),0)</f>
        <v>Null</v>
      </c>
      <c r="BH152" s="2" t="str">
        <f>VLOOKUP([jobnumber],OvalData[],MATCH(Table2[[#Headers],[Inner Spring Torque]],Table2[#Headers],0),0)</f>
        <v>Null</v>
      </c>
      <c r="BI152" s="2" t="str">
        <f>VLOOKUP([jobnumber],OvalData[],MATCH(Table2[[#Headers],[Inner Spring Max Turns]],Table2[#Headers],0),0)</f>
        <v>Null</v>
      </c>
      <c r="BJ152" s="2" t="str">
        <f>VLOOKUP([jobnumber],OvalData[],MATCH(Table2[[#Headers],[Inner Spring Weight]],Table2[#Headers],0),0)</f>
        <v>Null</v>
      </c>
      <c r="BK152" s="2">
        <f>VLOOKUP([jobnumber],OvalData[],MATCH(Table2[[#Headers],[Cycles]],Table2[#Headers],0),0)</f>
        <v>0</v>
      </c>
      <c r="BL152" s="2">
        <f>VLOOKUP([jobnumber],OvalData[],MATCH(Table2[[#Headers],[Total Spring Torque]],Table2[#Headers],0),0)</f>
        <v>0</v>
      </c>
      <c r="BM152" s="2">
        <f>VLOOKUP([jobnumber],OvalData[],MATCH(Table2[[#Headers],[Total Spring Weight]],Table2[#Headers],0),0)</f>
        <v>0</v>
      </c>
      <c r="BN152" s="2">
        <f>VLOOKUP([jobnumber],OvalData[],MATCH(Table2[[#Headers],[Pipe Weight]],Table2[#Headers],0),0)</f>
        <v>688.24239999999998</v>
      </c>
      <c r="BO152" s="2">
        <f>VLOOKUP([jobnumber],OvalData[],MATCH(Table2[[#Headers],[Max Pipe Deflection]],Table2[#Headers],0),0)</f>
        <v>2309</v>
      </c>
      <c r="BP152" s="2">
        <f>VLOOKUP([jobnumber],OvalData[],MATCH(Table2[[#Headers],[Number Non-Insulated Wrap Slats]],Table2[#Headers],0),0)</f>
        <v>0</v>
      </c>
      <c r="BQ152" s="2">
        <f>VLOOKUP([jobnumber],OvalData[],MATCH(Table2[[#Headers],[Number of Insolated Top Slats]],Table2[#Headers],0),0)</f>
        <v>45</v>
      </c>
      <c r="BR152" s="2">
        <f>VLOOKUP([jobnumber],OvalData[],MATCH(Table2[[#Headers],[Insolated Total Slats]],Table2[#Headers],0),0)</f>
        <v>45</v>
      </c>
      <c r="BS152" s="2">
        <f>VLOOKUP([jobnumber],OvalData[],MATCH(Table2[[#Headers],[Number of Slats]],Table2[#Headers],0),0)</f>
        <v>44.69</v>
      </c>
      <c r="BT152" s="2">
        <f>VLOOKUP([jobnumber],OvalData[],MATCH(Table2[[#Headers],[Wrap]],Table2[#Headers],0),0)</f>
        <v>0</v>
      </c>
      <c r="BU152" s="2">
        <f>VLOOKUP([jobnumber],OvalData[],MATCH(Table2[[#Headers],[Wall Angle Thickness]],Table2[#Headers],0),0)</f>
        <v>0</v>
      </c>
      <c r="BV152" s="2">
        <f>VLOOKUP([jobnumber],OvalData[],MATCH(Table2[[#Headers],[windlocks]],Table2[#Headers],0),0)</f>
        <v>0</v>
      </c>
      <c r="BW152" s="2" t="str">
        <f>VLOOKUP([jobnumber],OvalData[],MATCH(Table2[[#Headers],[bottombartype]],Table2[#Headers],0),0)</f>
        <v>SPECIAL</v>
      </c>
      <c r="BX152" s="2">
        <f>VLOOKUP([jobnumber],OvalData[],MATCH(Table2[[#Headers],[endlockweight]],Table2[#Headers],0),0)</f>
        <v>0.17</v>
      </c>
      <c r="BY152" s="2">
        <f>VLOOKUP([jobnumber],OvalData[],MATCH(Table2[[#Headers],[Endlock Total Weight]],Table2[#Headers],0),0)</f>
        <v>7.5972999999999997</v>
      </c>
      <c r="BZ152" s="2">
        <f>VLOOKUP([jobnumber],OvalData[],MATCH(Table2[[#Headers],[Grille Weight]],Table2[#Headers],0),0)</f>
        <v>0</v>
      </c>
      <c r="CA152" s="2">
        <f>VLOOKUP([jobnumber],OvalData[],MATCH(Table2[[#Headers],[barrelrings]],Table2[#Headers],0),0)</f>
        <v>1</v>
      </c>
    </row>
    <row r="153" spans="2:79">
      <c r="B153" s="2" t="str">
        <f>VLOOKUP([jobnumber],OvalData[],MATCH(Table2[[#Headers],[Hand]],Table2[#Headers],0),0)</f>
        <v>RH</v>
      </c>
      <c r="C153" s="2" t="str">
        <f>VLOOKUP([jobnumber],OvalData[],MATCH(Table2[[#Headers],[Model]],Table2[#Headers],0),0)</f>
        <v>SFMPP</v>
      </c>
      <c r="D153" s="2" t="str">
        <f>VLOOKUP([jobnumber],OvalData[],MATCH(Table2[[#Headers],[width]],Table2[#Headers],0),0)</f>
        <v xml:space="preserve"> 18 ft.- 2"</v>
      </c>
      <c r="E153" s="2" t="str">
        <f>VLOOKUP([jobnumber],OvalData[],MATCH(Table2[[#Headers],[stopheight]],Table2[#Headers],0),0)</f>
        <v xml:space="preserve"> 10 ft.- 0"</v>
      </c>
      <c r="F153" s="2" t="str">
        <f>VLOOKUP([jobnumber],OvalData[],MATCH(Table2[[#Headers],[Between Brackets]],Table2[#Headers],0),0)</f>
        <v xml:space="preserve"> 18 ft.- 7 7/ 8"</v>
      </c>
      <c r="G153" s="2" t="str">
        <f>VLOOKUP([jobnumber],OvalData[],MATCH(Table2[[#Headers],[shell]],Table2[#Headers],0),0)</f>
        <v>6 INCH TUBE</v>
      </c>
      <c r="H153" s="2" t="str">
        <f>VLOOKUP([jobnumber],OvalData[],MATCH(Table2[[#Headers],[pipewidth]],Table2[#Headers],0),0)</f>
        <v xml:space="preserve"> 18 ft.- 1 3/ 8"</v>
      </c>
      <c r="I153" s="2">
        <f>VLOOKUP([jobnumber],OvalData[],MATCH(Table2[[#Headers],[Support Tubes]],Table2[#Headers],0),0)</f>
        <v>0</v>
      </c>
      <c r="J153" s="2">
        <f>VLOOKUP([jobnumber],OvalData[],MATCH(Table2[[#Headers],[Upset]],Table2[#Headers],0),0)</f>
        <v>2</v>
      </c>
      <c r="K153" s="2" t="str">
        <f>VLOOKUP([jobnumber],OvalData[],MATCH(Table2[[#Headers],[Guide Type]],Table2[#Headers],0),0)</f>
        <v>SN2-4 5/8-E</v>
      </c>
      <c r="L153" s="2" t="str">
        <f>VLOOKUP([jobnumber],OvalData[],MATCH(Table2[[#Headers],[Wall Angle]],Table2[#Headers],0),0)</f>
        <v xml:space="preserve"> 11 ft.- 8"</v>
      </c>
      <c r="M153" s="2" t="str">
        <f>VLOOKUP([jobnumber],OvalData[],MATCH(Table2[[#Headers],[Middle Angle]],Table2[#Headers],0),0)</f>
        <v xml:space="preserve"> 10 ft.- 4 1/ 2"</v>
      </c>
      <c r="N153" s="2" t="str">
        <f>VLOOKUP([jobnumber],OvalData[],MATCH(Table2[[#Headers],[Front Angle]],Table2[#Headers],0),0)</f>
        <v xml:space="preserve"> 10 ft.- 3"</v>
      </c>
      <c r="O153" s="2">
        <f>VLOOKUP([jobnumber],OvalData[],MATCH(Table2[[#Headers],[Pipe Center Line]],Table2[#Headers],0),0)</f>
        <v>131</v>
      </c>
      <c r="P153" s="2">
        <f>VLOOKUP([jobnumber],OvalData[],MATCH(Table2[[#Headers],[Heat Expansion Gap]],Table2[#Headers],0),0)</f>
        <v>0</v>
      </c>
      <c r="Q153" s="2">
        <f>VLOOKUP([jobnumber],OvalData[],MATCH(Table2[[#Headers],[Hanging Weight Closed]],Table2[#Headers],0),0)</f>
        <v>795</v>
      </c>
      <c r="R153" s="2">
        <f>VLOOKUP([jobnumber],OvalData[],MATCH(Table2[[#Headers],[Hanging Weight Open]],Table2[#Headers],0),0)</f>
        <v>140</v>
      </c>
      <c r="S153" s="2">
        <f>VLOOKUP([jobnumber],OvalData[],MATCH(Table2[[#Headers],[Initial Lever Arm]],Table2[#Headers],0),0)</f>
        <v>4.25</v>
      </c>
      <c r="T153" s="2">
        <f>VLOOKUP([jobnumber],OvalData[],MATCH(Table2[[#Headers],[Turns to Raise]],Table2[#Headers],0),0)</f>
        <v>3.5859999999999999</v>
      </c>
      <c r="U153" s="2">
        <f>VLOOKUP([jobnumber],OvalData[],MATCH(Table2[[#Headers],[Final Lever Arm]],Table2[#Headers],0),0)</f>
        <v>6.37</v>
      </c>
      <c r="V153" s="2">
        <f>VLOOKUP([jobnumber],OvalData[],MATCH(Table2[[#Headers],[Torque Required Closed]],Table2[#Headers],0),0)</f>
        <v>3377.9</v>
      </c>
      <c r="W153" s="2">
        <f>VLOOKUP([jobnumber],OvalData[],MATCH(Table2[[#Headers],[Torque Required Open]],Table2[#Headers],0),0)</f>
        <v>892</v>
      </c>
      <c r="X153" s="2">
        <f>VLOOKUP([jobnumber],OvalData[],MATCH(Table2[[#Headers],[Pre Turns]],Table2[#Headers],0),0)</f>
        <v>1.3332999999999999</v>
      </c>
      <c r="Y153" s="2">
        <f>VLOOKUP([jobnumber],OvalData[],MATCH(Table2[[#Headers],[Required Torque Per Turn]],Table2[#Headers],0),0)</f>
        <v>688</v>
      </c>
      <c r="Z153" s="2">
        <f>VLOOKUP([jobnumber],OvalData[],MATCH(Table2[[#Headers],[Total Turns]],Table2[#Headers],0),0)</f>
        <v>4.91</v>
      </c>
      <c r="AA153" s="2">
        <f>VLOOKUP([jobnumber],OvalData[],MATCH(Table2[[#Headers],[Grille Vision Section]],Table2[#Headers],0),0)</f>
        <v>0</v>
      </c>
      <c r="AB153" s="2">
        <f>VLOOKUP([jobnumber],OvalData[],MATCH(Table2[[#Headers],[Grille Amount]],Table2[#Headers],0),0)</f>
        <v>0</v>
      </c>
      <c r="AC153" s="2">
        <f>VLOOKUP([jobnumber],OvalData[],MATCH(Table2[[#Headers],[Grille Center]],Table2[#Headers],0),0)</f>
        <v>0</v>
      </c>
      <c r="AD153" s="2">
        <f>VLOOKUP([jobnumber],OvalData[],MATCH(Table2[[#Headers],[Grille Pattern]],Table2[#Headers],0),0)</f>
        <v>0</v>
      </c>
      <c r="AE153" s="2">
        <f>VLOOKUP([jobnumber],OvalData[],MATCH(Table2[[#Headers],[Grille First Tube]],Table2[#Headers],0),0)</f>
        <v>0</v>
      </c>
      <c r="AF153" s="2">
        <f>VLOOKUP([jobnumber],OvalData[],MATCH(Table2[[#Headers],[Grille Standard Tube]],Table2[#Headers],0),0)</f>
        <v>0</v>
      </c>
      <c r="AG153" s="2">
        <f>VLOOKUP([jobnumber],OvalData[],MATCH(Table2[[#Headers],[Grille Total Links]],Table2[#Headers],0),0)</f>
        <v>0</v>
      </c>
      <c r="AH153" s="2">
        <f>VLOOKUP([jobnumber],OvalData[],MATCH(Table2[[#Headers],[Grille Rods]],Table2[#Headers],0),0)</f>
        <v>0</v>
      </c>
      <c r="AI153" s="2">
        <f>VLOOKUP([jobnumber],OvalData[],MATCH(Table2[[#Headers],[Grille Rod Length]],Table2[#Headers],0),0)</f>
        <v>0</v>
      </c>
      <c r="AJ153" s="2">
        <f>VLOOKUP([jobnumber],OvalData[],MATCH(Table2[[#Headers],[slattype]],Table2[#Headers],0),0)</f>
        <v>2</v>
      </c>
      <c r="AK153" s="2">
        <f>VLOOKUP([jobnumber],OvalData[],MATCH(Table2[[#Headers],[slatgage]],Table2[#Headers],0),0)</f>
        <v>18</v>
      </c>
      <c r="AL153" s="2">
        <f>VLOOKUP([jobnumber],OvalData[],MATCH(Table2[[#Headers],[Numer of Top Slats]],Table2[#Headers],0),0)</f>
        <v>0</v>
      </c>
      <c r="AM153" s="2">
        <f>VLOOKUP([jobnumber],OvalData[],MATCH(Table2[[#Headers],[Number of Bottom Slats]],Table2[#Headers],0),0)</f>
        <v>0</v>
      </c>
      <c r="AN153" s="2">
        <f>VLOOKUP([jobnumber],OvalData[],MATCH(Table2[[#Headers],[Solid Bottom Height]],Table2[#Headers],0),0)</f>
        <v>0</v>
      </c>
      <c r="AO153" s="2" t="str">
        <f>VLOOKUP([jobnumber],OvalData[],MATCH(Table2[[#Headers],[slatlength]],Table2[#Headers],0),0)</f>
        <v xml:space="preserve"> 18 ft.- 5 7/ 8"</v>
      </c>
      <c r="AP153" s="2">
        <f>VLOOKUP([jobnumber],OvalData[],MATCH(Table2[[#Headers],[Bottom Slat Length]],Table2[#Headers],0),0)</f>
        <v>0</v>
      </c>
      <c r="AQ153" s="2">
        <f>VLOOKUP([jobnumber],OvalData[],MATCH(Table2[[#Headers],[Number of Perferated Slats]],Table2[#Headers],0),0)</f>
        <v>0</v>
      </c>
      <c r="AR153" s="2">
        <f>VLOOKUP([jobnumber],OvalData[],MATCH(Table2[[#Headers],[First Preferated Slat From End]],Table2[#Headers],0),0)</f>
        <v>0</v>
      </c>
      <c r="AS153" s="2">
        <f>VLOOKUP([jobnumber],OvalData[],MATCH(Table2[[#Headers],[First Preferated Slat From Bottom]],Table2[#Headers],0),0)</f>
        <v>0</v>
      </c>
      <c r="AT153" s="2">
        <f>VLOOKUP([jobnumber],OvalData[],MATCH(Table2[[#Headers],[Total Number of Slats]],Table2[#Headers],0),0)</f>
        <v>51</v>
      </c>
      <c r="AU153" s="2">
        <f>VLOOKUP([jobnumber],OvalData[],MATCH(Table2[[#Headers],[Bottom Bar Slope]],Table2[#Headers],0),0)</f>
        <v>0</v>
      </c>
      <c r="AV153" s="2">
        <f>VLOOKUP([jobnumber],OvalData[],MATCH(Table2[[#Headers],[Bottom Bar Weight]],Table2[#Headers],0),0)</f>
        <v>80.5</v>
      </c>
      <c r="AW153" s="2" t="str">
        <f>VLOOKUP([jobnumber],OvalData[],MATCH(Table2[[#Headers],[Outer Spring Gage]],Table2[#Headers],0),0)</f>
        <v>Null</v>
      </c>
      <c r="AX153" s="2" t="str">
        <f>VLOOKUP([jobnumber],OvalData[],MATCH(Table2[[#Headers],[Outer Spring OD]],Table2[#Headers],0),0)</f>
        <v>Null</v>
      </c>
      <c r="AY153" s="2" t="str">
        <f>VLOOKUP([jobnumber],OvalData[],MATCH(Table2[[#Headers],[Outer Spring Length]],Table2[#Headers],0),0)</f>
        <v>Null</v>
      </c>
      <c r="AZ153" s="2" t="str">
        <f>VLOOKUP([jobnumber],OvalData[],MATCH(Table2[[#Headers],[Outer Spring Stretch]],Table2[#Headers],0),0)</f>
        <v>Null</v>
      </c>
      <c r="BA153" s="2" t="str">
        <f>VLOOKUP([jobnumber],OvalData[],MATCH(Table2[[#Headers],[Outer Spring Torque]],Table2[#Headers],0),0)</f>
        <v>Null</v>
      </c>
      <c r="BB153" s="2" t="str">
        <f>VLOOKUP([jobnumber],OvalData[],MATCH(Table2[[#Headers],[Outer Spring Max Turns]],Table2[#Headers],0),0)</f>
        <v>Null</v>
      </c>
      <c r="BC153" s="2" t="str">
        <f>VLOOKUP([jobnumber],OvalData[],MATCH(Table2[[#Headers],[Outer Spring Weight]],Table2[#Headers],0),0)</f>
        <v>Null</v>
      </c>
      <c r="BD153" s="2" t="str">
        <f>VLOOKUP([jobnumber],OvalData[],MATCH(Table2[[#Headers],[Inner Spring Gage]],Table2[#Headers],0),0)</f>
        <v>Null</v>
      </c>
      <c r="BE153" s="2" t="str">
        <f>VLOOKUP([jobnumber],OvalData[],MATCH(Table2[[#Headers],[Inner Spring OD]],Table2[#Headers],0),0)</f>
        <v>Null</v>
      </c>
      <c r="BF153" s="2" t="str">
        <f>VLOOKUP([jobnumber],OvalData[],MATCH(Table2[[#Headers],[Inner Spring Length]],Table2[#Headers],0),0)</f>
        <v>Null</v>
      </c>
      <c r="BG153" s="2" t="str">
        <f>VLOOKUP([jobnumber],OvalData[],MATCH(Table2[[#Headers],[Inner Spring Stretch]],Table2[#Headers],0),0)</f>
        <v>Null</v>
      </c>
      <c r="BH153" s="2" t="str">
        <f>VLOOKUP([jobnumber],OvalData[],MATCH(Table2[[#Headers],[Inner Spring Torque]],Table2[#Headers],0),0)</f>
        <v>Null</v>
      </c>
      <c r="BI153" s="2" t="str">
        <f>VLOOKUP([jobnumber],OvalData[],MATCH(Table2[[#Headers],[Inner Spring Max Turns]],Table2[#Headers],0),0)</f>
        <v>Null</v>
      </c>
      <c r="BJ153" s="2" t="str">
        <f>VLOOKUP([jobnumber],OvalData[],MATCH(Table2[[#Headers],[Inner Spring Weight]],Table2[#Headers],0),0)</f>
        <v>Null</v>
      </c>
      <c r="BK153" s="2">
        <f>VLOOKUP([jobnumber],OvalData[],MATCH(Table2[[#Headers],[Cycles]],Table2[#Headers],0),0)</f>
        <v>0</v>
      </c>
      <c r="BL153" s="2">
        <f>VLOOKUP([jobnumber],OvalData[],MATCH(Table2[[#Headers],[Total Spring Torque]],Table2[#Headers],0),0)</f>
        <v>0</v>
      </c>
      <c r="BM153" s="2">
        <f>VLOOKUP([jobnumber],OvalData[],MATCH(Table2[[#Headers],[Total Spring Weight]],Table2[#Headers],0),0)</f>
        <v>0</v>
      </c>
      <c r="BN153" s="2">
        <f>VLOOKUP([jobnumber],OvalData[],MATCH(Table2[[#Headers],[Pipe Weight]],Table2[#Headers],0),0)</f>
        <v>688.24239999999998</v>
      </c>
      <c r="BO153" s="2">
        <f>VLOOKUP([jobnumber],OvalData[],MATCH(Table2[[#Headers],[Max Pipe Deflection]],Table2[#Headers],0),0)</f>
        <v>2309</v>
      </c>
      <c r="BP153" s="2">
        <f>VLOOKUP([jobnumber],OvalData[],MATCH(Table2[[#Headers],[Number Non-Insulated Wrap Slats]],Table2[#Headers],0),0)</f>
        <v>0</v>
      </c>
      <c r="BQ153" s="2">
        <f>VLOOKUP([jobnumber],OvalData[],MATCH(Table2[[#Headers],[Number of Insolated Top Slats]],Table2[#Headers],0),0)</f>
        <v>45</v>
      </c>
      <c r="BR153" s="2">
        <f>VLOOKUP([jobnumber],OvalData[],MATCH(Table2[[#Headers],[Insolated Total Slats]],Table2[#Headers],0),0)</f>
        <v>45</v>
      </c>
      <c r="BS153" s="2">
        <f>VLOOKUP([jobnumber],OvalData[],MATCH(Table2[[#Headers],[Number of Slats]],Table2[#Headers],0),0)</f>
        <v>44.69</v>
      </c>
      <c r="BT153" s="2">
        <f>VLOOKUP([jobnumber],OvalData[],MATCH(Table2[[#Headers],[Wrap]],Table2[#Headers],0),0)</f>
        <v>0</v>
      </c>
      <c r="BU153" s="2">
        <f>VLOOKUP([jobnumber],OvalData[],MATCH(Table2[[#Headers],[Wall Angle Thickness]],Table2[#Headers],0),0)</f>
        <v>0</v>
      </c>
      <c r="BV153" s="2">
        <f>VLOOKUP([jobnumber],OvalData[],MATCH(Table2[[#Headers],[windlocks]],Table2[#Headers],0),0)</f>
        <v>0</v>
      </c>
      <c r="BW153" s="2" t="str">
        <f>VLOOKUP([jobnumber],OvalData[],MATCH(Table2[[#Headers],[bottombartype]],Table2[#Headers],0),0)</f>
        <v>SPECIAL</v>
      </c>
      <c r="BX153" s="2">
        <f>VLOOKUP([jobnumber],OvalData[],MATCH(Table2[[#Headers],[endlockweight]],Table2[#Headers],0),0)</f>
        <v>0.17</v>
      </c>
      <c r="BY153" s="2">
        <f>VLOOKUP([jobnumber],OvalData[],MATCH(Table2[[#Headers],[Endlock Total Weight]],Table2[#Headers],0),0)</f>
        <v>7.5972999999999997</v>
      </c>
      <c r="BZ153" s="2">
        <f>VLOOKUP([jobnumber],OvalData[],MATCH(Table2[[#Headers],[Grille Weight]],Table2[#Headers],0),0)</f>
        <v>0</v>
      </c>
      <c r="CA153" s="2">
        <f>VLOOKUP([jobnumber],OvalData[],MATCH(Table2[[#Headers],[barrelrings]],Table2[#Headers],0),0)</f>
        <v>1</v>
      </c>
    </row>
    <row r="154" spans="2:79">
      <c r="B154" s="2" t="str">
        <f>VLOOKUP([jobnumber],OvalData[],MATCH(Table2[[#Headers],[Hand]],Table2[#Headers],0),0)</f>
        <v>RH</v>
      </c>
      <c r="C154" s="2" t="str">
        <f>VLOOKUP([jobnumber],OvalData[],MATCH(Table2[[#Headers],[Model]],Table2[#Headers],0),0)</f>
        <v>SFMPP</v>
      </c>
      <c r="D154" s="2" t="str">
        <f>VLOOKUP([jobnumber],OvalData[],MATCH(Table2[[#Headers],[width]],Table2[#Headers],0),0)</f>
        <v xml:space="preserve"> 18 ft.- 2"</v>
      </c>
      <c r="E154" s="2" t="str">
        <f>VLOOKUP([jobnumber],OvalData[],MATCH(Table2[[#Headers],[stopheight]],Table2[#Headers],0),0)</f>
        <v xml:space="preserve"> 10 ft.- 0"</v>
      </c>
      <c r="F154" s="2" t="str">
        <f>VLOOKUP([jobnumber],OvalData[],MATCH(Table2[[#Headers],[Between Brackets]],Table2[#Headers],0),0)</f>
        <v xml:space="preserve"> 18 ft.- 7 7/ 8"</v>
      </c>
      <c r="G154" s="2" t="str">
        <f>VLOOKUP([jobnumber],OvalData[],MATCH(Table2[[#Headers],[shell]],Table2[#Headers],0),0)</f>
        <v>6 INCH TUBE</v>
      </c>
      <c r="H154" s="2" t="str">
        <f>VLOOKUP([jobnumber],OvalData[],MATCH(Table2[[#Headers],[pipewidth]],Table2[#Headers],0),0)</f>
        <v xml:space="preserve"> 18 ft.- 1 3/ 8"</v>
      </c>
      <c r="I154" s="2">
        <f>VLOOKUP([jobnumber],OvalData[],MATCH(Table2[[#Headers],[Support Tubes]],Table2[#Headers],0),0)</f>
        <v>0</v>
      </c>
      <c r="J154" s="2">
        <f>VLOOKUP([jobnumber],OvalData[],MATCH(Table2[[#Headers],[Upset]],Table2[#Headers],0),0)</f>
        <v>2</v>
      </c>
      <c r="K154" s="2" t="str">
        <f>VLOOKUP([jobnumber],OvalData[],MATCH(Table2[[#Headers],[Guide Type]],Table2[#Headers],0),0)</f>
        <v>SN2-4 5/8-E</v>
      </c>
      <c r="L154" s="2" t="str">
        <f>VLOOKUP([jobnumber],OvalData[],MATCH(Table2[[#Headers],[Wall Angle]],Table2[#Headers],0),0)</f>
        <v xml:space="preserve"> 11 ft.- 8"</v>
      </c>
      <c r="M154" s="2" t="str">
        <f>VLOOKUP([jobnumber],OvalData[],MATCH(Table2[[#Headers],[Middle Angle]],Table2[#Headers],0),0)</f>
        <v xml:space="preserve"> 10 ft.- 4 1/ 2"</v>
      </c>
      <c r="N154" s="2" t="str">
        <f>VLOOKUP([jobnumber],OvalData[],MATCH(Table2[[#Headers],[Front Angle]],Table2[#Headers],0),0)</f>
        <v xml:space="preserve"> 10 ft.- 3"</v>
      </c>
      <c r="O154" s="2">
        <f>VLOOKUP([jobnumber],OvalData[],MATCH(Table2[[#Headers],[Pipe Center Line]],Table2[#Headers],0),0)</f>
        <v>131</v>
      </c>
      <c r="P154" s="2">
        <f>VLOOKUP([jobnumber],OvalData[],MATCH(Table2[[#Headers],[Heat Expansion Gap]],Table2[#Headers],0),0)</f>
        <v>0</v>
      </c>
      <c r="Q154" s="2">
        <f>VLOOKUP([jobnumber],OvalData[],MATCH(Table2[[#Headers],[Hanging Weight Closed]],Table2[#Headers],0),0)</f>
        <v>795</v>
      </c>
      <c r="R154" s="2">
        <f>VLOOKUP([jobnumber],OvalData[],MATCH(Table2[[#Headers],[Hanging Weight Open]],Table2[#Headers],0),0)</f>
        <v>140</v>
      </c>
      <c r="S154" s="2">
        <f>VLOOKUP([jobnumber],OvalData[],MATCH(Table2[[#Headers],[Initial Lever Arm]],Table2[#Headers],0),0)</f>
        <v>4.25</v>
      </c>
      <c r="T154" s="2">
        <f>VLOOKUP([jobnumber],OvalData[],MATCH(Table2[[#Headers],[Turns to Raise]],Table2[#Headers],0),0)</f>
        <v>3.5859999999999999</v>
      </c>
      <c r="U154" s="2">
        <f>VLOOKUP([jobnumber],OvalData[],MATCH(Table2[[#Headers],[Final Lever Arm]],Table2[#Headers],0),0)</f>
        <v>6.37</v>
      </c>
      <c r="V154" s="2">
        <f>VLOOKUP([jobnumber],OvalData[],MATCH(Table2[[#Headers],[Torque Required Closed]],Table2[#Headers],0),0)</f>
        <v>3377.9</v>
      </c>
      <c r="W154" s="2">
        <f>VLOOKUP([jobnumber],OvalData[],MATCH(Table2[[#Headers],[Torque Required Open]],Table2[#Headers],0),0)</f>
        <v>892</v>
      </c>
      <c r="X154" s="2">
        <f>VLOOKUP([jobnumber],OvalData[],MATCH(Table2[[#Headers],[Pre Turns]],Table2[#Headers],0),0)</f>
        <v>1.3332999999999999</v>
      </c>
      <c r="Y154" s="2">
        <f>VLOOKUP([jobnumber],OvalData[],MATCH(Table2[[#Headers],[Required Torque Per Turn]],Table2[#Headers],0),0)</f>
        <v>688</v>
      </c>
      <c r="Z154" s="2">
        <f>VLOOKUP([jobnumber],OvalData[],MATCH(Table2[[#Headers],[Total Turns]],Table2[#Headers],0),0)</f>
        <v>4.91</v>
      </c>
      <c r="AA154" s="2">
        <f>VLOOKUP([jobnumber],OvalData[],MATCH(Table2[[#Headers],[Grille Vision Section]],Table2[#Headers],0),0)</f>
        <v>0</v>
      </c>
      <c r="AB154" s="2">
        <f>VLOOKUP([jobnumber],OvalData[],MATCH(Table2[[#Headers],[Grille Amount]],Table2[#Headers],0),0)</f>
        <v>0</v>
      </c>
      <c r="AC154" s="2">
        <f>VLOOKUP([jobnumber],OvalData[],MATCH(Table2[[#Headers],[Grille Center]],Table2[#Headers],0),0)</f>
        <v>0</v>
      </c>
      <c r="AD154" s="2">
        <f>VLOOKUP([jobnumber],OvalData[],MATCH(Table2[[#Headers],[Grille Pattern]],Table2[#Headers],0),0)</f>
        <v>0</v>
      </c>
      <c r="AE154" s="2">
        <f>VLOOKUP([jobnumber],OvalData[],MATCH(Table2[[#Headers],[Grille First Tube]],Table2[#Headers],0),0)</f>
        <v>0</v>
      </c>
      <c r="AF154" s="2">
        <f>VLOOKUP([jobnumber],OvalData[],MATCH(Table2[[#Headers],[Grille Standard Tube]],Table2[#Headers],0),0)</f>
        <v>0</v>
      </c>
      <c r="AG154" s="2">
        <f>VLOOKUP([jobnumber],OvalData[],MATCH(Table2[[#Headers],[Grille Total Links]],Table2[#Headers],0),0)</f>
        <v>0</v>
      </c>
      <c r="AH154" s="2">
        <f>VLOOKUP([jobnumber],OvalData[],MATCH(Table2[[#Headers],[Grille Rods]],Table2[#Headers],0),0)</f>
        <v>0</v>
      </c>
      <c r="AI154" s="2">
        <f>VLOOKUP([jobnumber],OvalData[],MATCH(Table2[[#Headers],[Grille Rod Length]],Table2[#Headers],0),0)</f>
        <v>0</v>
      </c>
      <c r="AJ154" s="2">
        <f>VLOOKUP([jobnumber],OvalData[],MATCH(Table2[[#Headers],[slattype]],Table2[#Headers],0),0)</f>
        <v>2</v>
      </c>
      <c r="AK154" s="2">
        <f>VLOOKUP([jobnumber],OvalData[],MATCH(Table2[[#Headers],[slatgage]],Table2[#Headers],0),0)</f>
        <v>18</v>
      </c>
      <c r="AL154" s="2">
        <f>VLOOKUP([jobnumber],OvalData[],MATCH(Table2[[#Headers],[Numer of Top Slats]],Table2[#Headers],0),0)</f>
        <v>0</v>
      </c>
      <c r="AM154" s="2">
        <f>VLOOKUP([jobnumber],OvalData[],MATCH(Table2[[#Headers],[Number of Bottom Slats]],Table2[#Headers],0),0)</f>
        <v>0</v>
      </c>
      <c r="AN154" s="2">
        <f>VLOOKUP([jobnumber],OvalData[],MATCH(Table2[[#Headers],[Solid Bottom Height]],Table2[#Headers],0),0)</f>
        <v>0</v>
      </c>
      <c r="AO154" s="2" t="str">
        <f>VLOOKUP([jobnumber],OvalData[],MATCH(Table2[[#Headers],[slatlength]],Table2[#Headers],0),0)</f>
        <v xml:space="preserve"> 18 ft.- 5 7/ 8"</v>
      </c>
      <c r="AP154" s="2">
        <f>VLOOKUP([jobnumber],OvalData[],MATCH(Table2[[#Headers],[Bottom Slat Length]],Table2[#Headers],0),0)</f>
        <v>0</v>
      </c>
      <c r="AQ154" s="2">
        <f>VLOOKUP([jobnumber],OvalData[],MATCH(Table2[[#Headers],[Number of Perferated Slats]],Table2[#Headers],0),0)</f>
        <v>0</v>
      </c>
      <c r="AR154" s="2">
        <f>VLOOKUP([jobnumber],OvalData[],MATCH(Table2[[#Headers],[First Preferated Slat From End]],Table2[#Headers],0),0)</f>
        <v>0</v>
      </c>
      <c r="AS154" s="2">
        <f>VLOOKUP([jobnumber],OvalData[],MATCH(Table2[[#Headers],[First Preferated Slat From Bottom]],Table2[#Headers],0),0)</f>
        <v>0</v>
      </c>
      <c r="AT154" s="2">
        <f>VLOOKUP([jobnumber],OvalData[],MATCH(Table2[[#Headers],[Total Number of Slats]],Table2[#Headers],0),0)</f>
        <v>51</v>
      </c>
      <c r="AU154" s="2">
        <f>VLOOKUP([jobnumber],OvalData[],MATCH(Table2[[#Headers],[Bottom Bar Slope]],Table2[#Headers],0),0)</f>
        <v>0</v>
      </c>
      <c r="AV154" s="2">
        <f>VLOOKUP([jobnumber],OvalData[],MATCH(Table2[[#Headers],[Bottom Bar Weight]],Table2[#Headers],0),0)</f>
        <v>80.5</v>
      </c>
      <c r="AW154" s="2" t="str">
        <f>VLOOKUP([jobnumber],OvalData[],MATCH(Table2[[#Headers],[Outer Spring Gage]],Table2[#Headers],0),0)</f>
        <v>Null</v>
      </c>
      <c r="AX154" s="2" t="str">
        <f>VLOOKUP([jobnumber],OvalData[],MATCH(Table2[[#Headers],[Outer Spring OD]],Table2[#Headers],0),0)</f>
        <v>Null</v>
      </c>
      <c r="AY154" s="2" t="str">
        <f>VLOOKUP([jobnumber],OvalData[],MATCH(Table2[[#Headers],[Outer Spring Length]],Table2[#Headers],0),0)</f>
        <v>Null</v>
      </c>
      <c r="AZ154" s="2" t="str">
        <f>VLOOKUP([jobnumber],OvalData[],MATCH(Table2[[#Headers],[Outer Spring Stretch]],Table2[#Headers],0),0)</f>
        <v>Null</v>
      </c>
      <c r="BA154" s="2" t="str">
        <f>VLOOKUP([jobnumber],OvalData[],MATCH(Table2[[#Headers],[Outer Spring Torque]],Table2[#Headers],0),0)</f>
        <v>Null</v>
      </c>
      <c r="BB154" s="2" t="str">
        <f>VLOOKUP([jobnumber],OvalData[],MATCH(Table2[[#Headers],[Outer Spring Max Turns]],Table2[#Headers],0),0)</f>
        <v>Null</v>
      </c>
      <c r="BC154" s="2" t="str">
        <f>VLOOKUP([jobnumber],OvalData[],MATCH(Table2[[#Headers],[Outer Spring Weight]],Table2[#Headers],0),0)</f>
        <v>Null</v>
      </c>
      <c r="BD154" s="2" t="str">
        <f>VLOOKUP([jobnumber],OvalData[],MATCH(Table2[[#Headers],[Inner Spring Gage]],Table2[#Headers],0),0)</f>
        <v>Null</v>
      </c>
      <c r="BE154" s="2" t="str">
        <f>VLOOKUP([jobnumber],OvalData[],MATCH(Table2[[#Headers],[Inner Spring OD]],Table2[#Headers],0),0)</f>
        <v>Null</v>
      </c>
      <c r="BF154" s="2" t="str">
        <f>VLOOKUP([jobnumber],OvalData[],MATCH(Table2[[#Headers],[Inner Spring Length]],Table2[#Headers],0),0)</f>
        <v>Null</v>
      </c>
      <c r="BG154" s="2" t="str">
        <f>VLOOKUP([jobnumber],OvalData[],MATCH(Table2[[#Headers],[Inner Spring Stretch]],Table2[#Headers],0),0)</f>
        <v>Null</v>
      </c>
      <c r="BH154" s="2" t="str">
        <f>VLOOKUP([jobnumber],OvalData[],MATCH(Table2[[#Headers],[Inner Spring Torque]],Table2[#Headers],0),0)</f>
        <v>Null</v>
      </c>
      <c r="BI154" s="2" t="str">
        <f>VLOOKUP([jobnumber],OvalData[],MATCH(Table2[[#Headers],[Inner Spring Max Turns]],Table2[#Headers],0),0)</f>
        <v>Null</v>
      </c>
      <c r="BJ154" s="2" t="str">
        <f>VLOOKUP([jobnumber],OvalData[],MATCH(Table2[[#Headers],[Inner Spring Weight]],Table2[#Headers],0),0)</f>
        <v>Null</v>
      </c>
      <c r="BK154" s="2">
        <f>VLOOKUP([jobnumber],OvalData[],MATCH(Table2[[#Headers],[Cycles]],Table2[#Headers],0),0)</f>
        <v>0</v>
      </c>
      <c r="BL154" s="2">
        <f>VLOOKUP([jobnumber],OvalData[],MATCH(Table2[[#Headers],[Total Spring Torque]],Table2[#Headers],0),0)</f>
        <v>0</v>
      </c>
      <c r="BM154" s="2">
        <f>VLOOKUP([jobnumber],OvalData[],MATCH(Table2[[#Headers],[Total Spring Weight]],Table2[#Headers],0),0)</f>
        <v>0</v>
      </c>
      <c r="BN154" s="2">
        <f>VLOOKUP([jobnumber],OvalData[],MATCH(Table2[[#Headers],[Pipe Weight]],Table2[#Headers],0),0)</f>
        <v>688.24239999999998</v>
      </c>
      <c r="BO154" s="2">
        <f>VLOOKUP([jobnumber],OvalData[],MATCH(Table2[[#Headers],[Max Pipe Deflection]],Table2[#Headers],0),0)</f>
        <v>2309</v>
      </c>
      <c r="BP154" s="2">
        <f>VLOOKUP([jobnumber],OvalData[],MATCH(Table2[[#Headers],[Number Non-Insulated Wrap Slats]],Table2[#Headers],0),0)</f>
        <v>0</v>
      </c>
      <c r="BQ154" s="2">
        <f>VLOOKUP([jobnumber],OvalData[],MATCH(Table2[[#Headers],[Number of Insolated Top Slats]],Table2[#Headers],0),0)</f>
        <v>45</v>
      </c>
      <c r="BR154" s="2">
        <f>VLOOKUP([jobnumber],OvalData[],MATCH(Table2[[#Headers],[Insolated Total Slats]],Table2[#Headers],0),0)</f>
        <v>45</v>
      </c>
      <c r="BS154" s="2">
        <f>VLOOKUP([jobnumber],OvalData[],MATCH(Table2[[#Headers],[Number of Slats]],Table2[#Headers],0),0)</f>
        <v>44.69</v>
      </c>
      <c r="BT154" s="2">
        <f>VLOOKUP([jobnumber],OvalData[],MATCH(Table2[[#Headers],[Wrap]],Table2[#Headers],0),0)</f>
        <v>0</v>
      </c>
      <c r="BU154" s="2">
        <f>VLOOKUP([jobnumber],OvalData[],MATCH(Table2[[#Headers],[Wall Angle Thickness]],Table2[#Headers],0),0)</f>
        <v>0</v>
      </c>
      <c r="BV154" s="2">
        <f>VLOOKUP([jobnumber],OvalData[],MATCH(Table2[[#Headers],[windlocks]],Table2[#Headers],0),0)</f>
        <v>0</v>
      </c>
      <c r="BW154" s="2" t="str">
        <f>VLOOKUP([jobnumber],OvalData[],MATCH(Table2[[#Headers],[bottombartype]],Table2[#Headers],0),0)</f>
        <v>SPECIAL</v>
      </c>
      <c r="BX154" s="2">
        <f>VLOOKUP([jobnumber],OvalData[],MATCH(Table2[[#Headers],[endlockweight]],Table2[#Headers],0),0)</f>
        <v>0.17</v>
      </c>
      <c r="BY154" s="2">
        <f>VLOOKUP([jobnumber],OvalData[],MATCH(Table2[[#Headers],[Endlock Total Weight]],Table2[#Headers],0),0)</f>
        <v>7.5972999999999997</v>
      </c>
      <c r="BZ154" s="2">
        <f>VLOOKUP([jobnumber],OvalData[],MATCH(Table2[[#Headers],[Grille Weight]],Table2[#Headers],0),0)</f>
        <v>0</v>
      </c>
      <c r="CA154" s="2">
        <f>VLOOKUP([jobnumber],OvalData[],MATCH(Table2[[#Headers],[barrelrings]],Table2[#Headers],0),0)</f>
        <v>1</v>
      </c>
    </row>
    <row r="155" spans="2:79">
      <c r="B155" s="2" t="str">
        <f>VLOOKUP([jobnumber],OvalData[],MATCH(Table2[[#Headers],[Hand]],Table2[#Headers],0),0)</f>
        <v>RH</v>
      </c>
      <c r="C155" s="2" t="str">
        <f>VLOOKUP([jobnumber],OvalData[],MATCH(Table2[[#Headers],[Model]],Table2[#Headers],0),0)</f>
        <v>SFMPP</v>
      </c>
      <c r="D155" s="2" t="str">
        <f>VLOOKUP([jobnumber],OvalData[],MATCH(Table2[[#Headers],[width]],Table2[#Headers],0),0)</f>
        <v xml:space="preserve"> 18 ft.- 2"</v>
      </c>
      <c r="E155" s="2" t="str">
        <f>VLOOKUP([jobnumber],OvalData[],MATCH(Table2[[#Headers],[stopheight]],Table2[#Headers],0),0)</f>
        <v xml:space="preserve"> 10 ft.- 0"</v>
      </c>
      <c r="F155" s="2" t="str">
        <f>VLOOKUP([jobnumber],OvalData[],MATCH(Table2[[#Headers],[Between Brackets]],Table2[#Headers],0),0)</f>
        <v xml:space="preserve"> 18 ft.- 7 7/ 8"</v>
      </c>
      <c r="G155" s="2" t="str">
        <f>VLOOKUP([jobnumber],OvalData[],MATCH(Table2[[#Headers],[shell]],Table2[#Headers],0),0)</f>
        <v>6 INCH TUBE</v>
      </c>
      <c r="H155" s="2" t="str">
        <f>VLOOKUP([jobnumber],OvalData[],MATCH(Table2[[#Headers],[pipewidth]],Table2[#Headers],0),0)</f>
        <v xml:space="preserve"> 18 ft.- 1 3/ 8"</v>
      </c>
      <c r="I155" s="2">
        <f>VLOOKUP([jobnumber],OvalData[],MATCH(Table2[[#Headers],[Support Tubes]],Table2[#Headers],0),0)</f>
        <v>0</v>
      </c>
      <c r="J155" s="2">
        <f>VLOOKUP([jobnumber],OvalData[],MATCH(Table2[[#Headers],[Upset]],Table2[#Headers],0),0)</f>
        <v>2</v>
      </c>
      <c r="K155" s="2" t="str">
        <f>VLOOKUP([jobnumber],OvalData[],MATCH(Table2[[#Headers],[Guide Type]],Table2[#Headers],0),0)</f>
        <v>SN2-4 5/8-E</v>
      </c>
      <c r="L155" s="2" t="str">
        <f>VLOOKUP([jobnumber],OvalData[],MATCH(Table2[[#Headers],[Wall Angle]],Table2[#Headers],0),0)</f>
        <v xml:space="preserve"> 11 ft.- 8"</v>
      </c>
      <c r="M155" s="2" t="str">
        <f>VLOOKUP([jobnumber],OvalData[],MATCH(Table2[[#Headers],[Middle Angle]],Table2[#Headers],0),0)</f>
        <v xml:space="preserve"> 10 ft.- 4 1/ 2"</v>
      </c>
      <c r="N155" s="2" t="str">
        <f>VLOOKUP([jobnumber],OvalData[],MATCH(Table2[[#Headers],[Front Angle]],Table2[#Headers],0),0)</f>
        <v xml:space="preserve"> 10 ft.- 3"</v>
      </c>
      <c r="O155" s="2">
        <f>VLOOKUP([jobnumber],OvalData[],MATCH(Table2[[#Headers],[Pipe Center Line]],Table2[#Headers],0),0)</f>
        <v>131</v>
      </c>
      <c r="P155" s="2">
        <f>VLOOKUP([jobnumber],OvalData[],MATCH(Table2[[#Headers],[Heat Expansion Gap]],Table2[#Headers],0),0)</f>
        <v>0</v>
      </c>
      <c r="Q155" s="2">
        <f>VLOOKUP([jobnumber],OvalData[],MATCH(Table2[[#Headers],[Hanging Weight Closed]],Table2[#Headers],0),0)</f>
        <v>795</v>
      </c>
      <c r="R155" s="2">
        <f>VLOOKUP([jobnumber],OvalData[],MATCH(Table2[[#Headers],[Hanging Weight Open]],Table2[#Headers],0),0)</f>
        <v>140</v>
      </c>
      <c r="S155" s="2">
        <f>VLOOKUP([jobnumber],OvalData[],MATCH(Table2[[#Headers],[Initial Lever Arm]],Table2[#Headers],0),0)</f>
        <v>4.25</v>
      </c>
      <c r="T155" s="2">
        <f>VLOOKUP([jobnumber],OvalData[],MATCH(Table2[[#Headers],[Turns to Raise]],Table2[#Headers],0),0)</f>
        <v>3.5859999999999999</v>
      </c>
      <c r="U155" s="2">
        <f>VLOOKUP([jobnumber],OvalData[],MATCH(Table2[[#Headers],[Final Lever Arm]],Table2[#Headers],0),0)</f>
        <v>6.37</v>
      </c>
      <c r="V155" s="2">
        <f>VLOOKUP([jobnumber],OvalData[],MATCH(Table2[[#Headers],[Torque Required Closed]],Table2[#Headers],0),0)</f>
        <v>3377.9</v>
      </c>
      <c r="W155" s="2">
        <f>VLOOKUP([jobnumber],OvalData[],MATCH(Table2[[#Headers],[Torque Required Open]],Table2[#Headers],0),0)</f>
        <v>892</v>
      </c>
      <c r="X155" s="2">
        <f>VLOOKUP([jobnumber],OvalData[],MATCH(Table2[[#Headers],[Pre Turns]],Table2[#Headers],0),0)</f>
        <v>1.3332999999999999</v>
      </c>
      <c r="Y155" s="2">
        <f>VLOOKUP([jobnumber],OvalData[],MATCH(Table2[[#Headers],[Required Torque Per Turn]],Table2[#Headers],0),0)</f>
        <v>688</v>
      </c>
      <c r="Z155" s="2">
        <f>VLOOKUP([jobnumber],OvalData[],MATCH(Table2[[#Headers],[Total Turns]],Table2[#Headers],0),0)</f>
        <v>4.91</v>
      </c>
      <c r="AA155" s="2">
        <f>VLOOKUP([jobnumber],OvalData[],MATCH(Table2[[#Headers],[Grille Vision Section]],Table2[#Headers],0),0)</f>
        <v>0</v>
      </c>
      <c r="AB155" s="2">
        <f>VLOOKUP([jobnumber],OvalData[],MATCH(Table2[[#Headers],[Grille Amount]],Table2[#Headers],0),0)</f>
        <v>0</v>
      </c>
      <c r="AC155" s="2">
        <f>VLOOKUP([jobnumber],OvalData[],MATCH(Table2[[#Headers],[Grille Center]],Table2[#Headers],0),0)</f>
        <v>0</v>
      </c>
      <c r="AD155" s="2">
        <f>VLOOKUP([jobnumber],OvalData[],MATCH(Table2[[#Headers],[Grille Pattern]],Table2[#Headers],0),0)</f>
        <v>0</v>
      </c>
      <c r="AE155" s="2">
        <f>VLOOKUP([jobnumber],OvalData[],MATCH(Table2[[#Headers],[Grille First Tube]],Table2[#Headers],0),0)</f>
        <v>0</v>
      </c>
      <c r="AF155" s="2">
        <f>VLOOKUP([jobnumber],OvalData[],MATCH(Table2[[#Headers],[Grille Standard Tube]],Table2[#Headers],0),0)</f>
        <v>0</v>
      </c>
      <c r="AG155" s="2">
        <f>VLOOKUP([jobnumber],OvalData[],MATCH(Table2[[#Headers],[Grille Total Links]],Table2[#Headers],0),0)</f>
        <v>0</v>
      </c>
      <c r="AH155" s="2">
        <f>VLOOKUP([jobnumber],OvalData[],MATCH(Table2[[#Headers],[Grille Rods]],Table2[#Headers],0),0)</f>
        <v>0</v>
      </c>
      <c r="AI155" s="2">
        <f>VLOOKUP([jobnumber],OvalData[],MATCH(Table2[[#Headers],[Grille Rod Length]],Table2[#Headers],0),0)</f>
        <v>0</v>
      </c>
      <c r="AJ155" s="2">
        <f>VLOOKUP([jobnumber],OvalData[],MATCH(Table2[[#Headers],[slattype]],Table2[#Headers],0),0)</f>
        <v>2</v>
      </c>
      <c r="AK155" s="2">
        <f>VLOOKUP([jobnumber],OvalData[],MATCH(Table2[[#Headers],[slatgage]],Table2[#Headers],0),0)</f>
        <v>18</v>
      </c>
      <c r="AL155" s="2">
        <f>VLOOKUP([jobnumber],OvalData[],MATCH(Table2[[#Headers],[Numer of Top Slats]],Table2[#Headers],0),0)</f>
        <v>0</v>
      </c>
      <c r="AM155" s="2">
        <f>VLOOKUP([jobnumber],OvalData[],MATCH(Table2[[#Headers],[Number of Bottom Slats]],Table2[#Headers],0),0)</f>
        <v>0</v>
      </c>
      <c r="AN155" s="2">
        <f>VLOOKUP([jobnumber],OvalData[],MATCH(Table2[[#Headers],[Solid Bottom Height]],Table2[#Headers],0),0)</f>
        <v>0</v>
      </c>
      <c r="AO155" s="2" t="str">
        <f>VLOOKUP([jobnumber],OvalData[],MATCH(Table2[[#Headers],[slatlength]],Table2[#Headers],0),0)</f>
        <v xml:space="preserve"> 18 ft.- 5 7/ 8"</v>
      </c>
      <c r="AP155" s="2">
        <f>VLOOKUP([jobnumber],OvalData[],MATCH(Table2[[#Headers],[Bottom Slat Length]],Table2[#Headers],0),0)</f>
        <v>0</v>
      </c>
      <c r="AQ155" s="2">
        <f>VLOOKUP([jobnumber],OvalData[],MATCH(Table2[[#Headers],[Number of Perferated Slats]],Table2[#Headers],0),0)</f>
        <v>0</v>
      </c>
      <c r="AR155" s="2">
        <f>VLOOKUP([jobnumber],OvalData[],MATCH(Table2[[#Headers],[First Preferated Slat From End]],Table2[#Headers],0),0)</f>
        <v>0</v>
      </c>
      <c r="AS155" s="2">
        <f>VLOOKUP([jobnumber],OvalData[],MATCH(Table2[[#Headers],[First Preferated Slat From Bottom]],Table2[#Headers],0),0)</f>
        <v>0</v>
      </c>
      <c r="AT155" s="2">
        <f>VLOOKUP([jobnumber],OvalData[],MATCH(Table2[[#Headers],[Total Number of Slats]],Table2[#Headers],0),0)</f>
        <v>51</v>
      </c>
      <c r="AU155" s="2">
        <f>VLOOKUP([jobnumber],OvalData[],MATCH(Table2[[#Headers],[Bottom Bar Slope]],Table2[#Headers],0),0)</f>
        <v>0</v>
      </c>
      <c r="AV155" s="2">
        <f>VLOOKUP([jobnumber],OvalData[],MATCH(Table2[[#Headers],[Bottom Bar Weight]],Table2[#Headers],0),0)</f>
        <v>80.5</v>
      </c>
      <c r="AW155" s="2" t="str">
        <f>VLOOKUP([jobnumber],OvalData[],MATCH(Table2[[#Headers],[Outer Spring Gage]],Table2[#Headers],0),0)</f>
        <v>Null</v>
      </c>
      <c r="AX155" s="2" t="str">
        <f>VLOOKUP([jobnumber],OvalData[],MATCH(Table2[[#Headers],[Outer Spring OD]],Table2[#Headers],0),0)</f>
        <v>Null</v>
      </c>
      <c r="AY155" s="2" t="str">
        <f>VLOOKUP([jobnumber],OvalData[],MATCH(Table2[[#Headers],[Outer Spring Length]],Table2[#Headers],0),0)</f>
        <v>Null</v>
      </c>
      <c r="AZ155" s="2" t="str">
        <f>VLOOKUP([jobnumber],OvalData[],MATCH(Table2[[#Headers],[Outer Spring Stretch]],Table2[#Headers],0),0)</f>
        <v>Null</v>
      </c>
      <c r="BA155" s="2" t="str">
        <f>VLOOKUP([jobnumber],OvalData[],MATCH(Table2[[#Headers],[Outer Spring Torque]],Table2[#Headers],0),0)</f>
        <v>Null</v>
      </c>
      <c r="BB155" s="2" t="str">
        <f>VLOOKUP([jobnumber],OvalData[],MATCH(Table2[[#Headers],[Outer Spring Max Turns]],Table2[#Headers],0),0)</f>
        <v>Null</v>
      </c>
      <c r="BC155" s="2" t="str">
        <f>VLOOKUP([jobnumber],OvalData[],MATCH(Table2[[#Headers],[Outer Spring Weight]],Table2[#Headers],0),0)</f>
        <v>Null</v>
      </c>
      <c r="BD155" s="2" t="str">
        <f>VLOOKUP([jobnumber],OvalData[],MATCH(Table2[[#Headers],[Inner Spring Gage]],Table2[#Headers],0),0)</f>
        <v>Null</v>
      </c>
      <c r="BE155" s="2" t="str">
        <f>VLOOKUP([jobnumber],OvalData[],MATCH(Table2[[#Headers],[Inner Spring OD]],Table2[#Headers],0),0)</f>
        <v>Null</v>
      </c>
      <c r="BF155" s="2" t="str">
        <f>VLOOKUP([jobnumber],OvalData[],MATCH(Table2[[#Headers],[Inner Spring Length]],Table2[#Headers],0),0)</f>
        <v>Null</v>
      </c>
      <c r="BG155" s="2" t="str">
        <f>VLOOKUP([jobnumber],OvalData[],MATCH(Table2[[#Headers],[Inner Spring Stretch]],Table2[#Headers],0),0)</f>
        <v>Null</v>
      </c>
      <c r="BH155" s="2" t="str">
        <f>VLOOKUP([jobnumber],OvalData[],MATCH(Table2[[#Headers],[Inner Spring Torque]],Table2[#Headers],0),0)</f>
        <v>Null</v>
      </c>
      <c r="BI155" s="2" t="str">
        <f>VLOOKUP([jobnumber],OvalData[],MATCH(Table2[[#Headers],[Inner Spring Max Turns]],Table2[#Headers],0),0)</f>
        <v>Null</v>
      </c>
      <c r="BJ155" s="2" t="str">
        <f>VLOOKUP([jobnumber],OvalData[],MATCH(Table2[[#Headers],[Inner Spring Weight]],Table2[#Headers],0),0)</f>
        <v>Null</v>
      </c>
      <c r="BK155" s="2">
        <f>VLOOKUP([jobnumber],OvalData[],MATCH(Table2[[#Headers],[Cycles]],Table2[#Headers],0),0)</f>
        <v>0</v>
      </c>
      <c r="BL155" s="2">
        <f>VLOOKUP([jobnumber],OvalData[],MATCH(Table2[[#Headers],[Total Spring Torque]],Table2[#Headers],0),0)</f>
        <v>0</v>
      </c>
      <c r="BM155" s="2">
        <f>VLOOKUP([jobnumber],OvalData[],MATCH(Table2[[#Headers],[Total Spring Weight]],Table2[#Headers],0),0)</f>
        <v>0</v>
      </c>
      <c r="BN155" s="2">
        <f>VLOOKUP([jobnumber],OvalData[],MATCH(Table2[[#Headers],[Pipe Weight]],Table2[#Headers],0),0)</f>
        <v>688.24239999999998</v>
      </c>
      <c r="BO155" s="2">
        <f>VLOOKUP([jobnumber],OvalData[],MATCH(Table2[[#Headers],[Max Pipe Deflection]],Table2[#Headers],0),0)</f>
        <v>2309</v>
      </c>
      <c r="BP155" s="2">
        <f>VLOOKUP([jobnumber],OvalData[],MATCH(Table2[[#Headers],[Number Non-Insulated Wrap Slats]],Table2[#Headers],0),0)</f>
        <v>0</v>
      </c>
      <c r="BQ155" s="2">
        <f>VLOOKUP([jobnumber],OvalData[],MATCH(Table2[[#Headers],[Number of Insolated Top Slats]],Table2[#Headers],0),0)</f>
        <v>45</v>
      </c>
      <c r="BR155" s="2">
        <f>VLOOKUP([jobnumber],OvalData[],MATCH(Table2[[#Headers],[Insolated Total Slats]],Table2[#Headers],0),0)</f>
        <v>45</v>
      </c>
      <c r="BS155" s="2">
        <f>VLOOKUP([jobnumber],OvalData[],MATCH(Table2[[#Headers],[Number of Slats]],Table2[#Headers],0),0)</f>
        <v>44.69</v>
      </c>
      <c r="BT155" s="2">
        <f>VLOOKUP([jobnumber],OvalData[],MATCH(Table2[[#Headers],[Wrap]],Table2[#Headers],0),0)</f>
        <v>0</v>
      </c>
      <c r="BU155" s="2">
        <f>VLOOKUP([jobnumber],OvalData[],MATCH(Table2[[#Headers],[Wall Angle Thickness]],Table2[#Headers],0),0)</f>
        <v>0</v>
      </c>
      <c r="BV155" s="2">
        <f>VLOOKUP([jobnumber],OvalData[],MATCH(Table2[[#Headers],[windlocks]],Table2[#Headers],0),0)</f>
        <v>0</v>
      </c>
      <c r="BW155" s="2" t="str">
        <f>VLOOKUP([jobnumber],OvalData[],MATCH(Table2[[#Headers],[bottombartype]],Table2[#Headers],0),0)</f>
        <v>SPECIAL</v>
      </c>
      <c r="BX155" s="2">
        <f>VLOOKUP([jobnumber],OvalData[],MATCH(Table2[[#Headers],[endlockweight]],Table2[#Headers],0),0)</f>
        <v>0.17</v>
      </c>
      <c r="BY155" s="2">
        <f>VLOOKUP([jobnumber],OvalData[],MATCH(Table2[[#Headers],[Endlock Total Weight]],Table2[#Headers],0),0)</f>
        <v>7.5972999999999997</v>
      </c>
      <c r="BZ155" s="2">
        <f>VLOOKUP([jobnumber],OvalData[],MATCH(Table2[[#Headers],[Grille Weight]],Table2[#Headers],0),0)</f>
        <v>0</v>
      </c>
      <c r="CA155" s="2">
        <f>VLOOKUP([jobnumber],OvalData[],MATCH(Table2[[#Headers],[barrelrings]],Table2[#Headers],0),0)</f>
        <v>1</v>
      </c>
    </row>
    <row r="156" spans="2:79">
      <c r="B156" s="2" t="str">
        <f>VLOOKUP([jobnumber],OvalData[],MATCH(Table2[[#Headers],[Hand]],Table2[#Headers],0),0)</f>
        <v>RH</v>
      </c>
      <c r="C156" s="2" t="str">
        <f>VLOOKUP([jobnumber],OvalData[],MATCH(Table2[[#Headers],[Model]],Table2[#Headers],0),0)</f>
        <v>SFMPP</v>
      </c>
      <c r="D156" s="2" t="str">
        <f>VLOOKUP([jobnumber],OvalData[],MATCH(Table2[[#Headers],[width]],Table2[#Headers],0),0)</f>
        <v xml:space="preserve"> 18 ft.- 2"</v>
      </c>
      <c r="E156" s="2" t="str">
        <f>VLOOKUP([jobnumber],OvalData[],MATCH(Table2[[#Headers],[stopheight]],Table2[#Headers],0),0)</f>
        <v xml:space="preserve"> 10 ft.- 0"</v>
      </c>
      <c r="F156" s="2" t="str">
        <f>VLOOKUP([jobnumber],OvalData[],MATCH(Table2[[#Headers],[Between Brackets]],Table2[#Headers],0),0)</f>
        <v xml:space="preserve"> 18 ft.- 7 7/ 8"</v>
      </c>
      <c r="G156" s="2" t="str">
        <f>VLOOKUP([jobnumber],OvalData[],MATCH(Table2[[#Headers],[shell]],Table2[#Headers],0),0)</f>
        <v>6 INCH TUBE</v>
      </c>
      <c r="H156" s="2" t="str">
        <f>VLOOKUP([jobnumber],OvalData[],MATCH(Table2[[#Headers],[pipewidth]],Table2[#Headers],0),0)</f>
        <v xml:space="preserve"> 18 ft.- 1 3/ 8"</v>
      </c>
      <c r="I156" s="2">
        <f>VLOOKUP([jobnumber],OvalData[],MATCH(Table2[[#Headers],[Support Tubes]],Table2[#Headers],0),0)</f>
        <v>0</v>
      </c>
      <c r="J156" s="2">
        <f>VLOOKUP([jobnumber],OvalData[],MATCH(Table2[[#Headers],[Upset]],Table2[#Headers],0),0)</f>
        <v>2</v>
      </c>
      <c r="K156" s="2" t="str">
        <f>VLOOKUP([jobnumber],OvalData[],MATCH(Table2[[#Headers],[Guide Type]],Table2[#Headers],0),0)</f>
        <v>SN2-4 5/8-E</v>
      </c>
      <c r="L156" s="2" t="str">
        <f>VLOOKUP([jobnumber],OvalData[],MATCH(Table2[[#Headers],[Wall Angle]],Table2[#Headers],0),0)</f>
        <v xml:space="preserve"> 11 ft.- 8"</v>
      </c>
      <c r="M156" s="2" t="str">
        <f>VLOOKUP([jobnumber],OvalData[],MATCH(Table2[[#Headers],[Middle Angle]],Table2[#Headers],0),0)</f>
        <v xml:space="preserve"> 10 ft.- 4 1/ 2"</v>
      </c>
      <c r="N156" s="2" t="str">
        <f>VLOOKUP([jobnumber],OvalData[],MATCH(Table2[[#Headers],[Front Angle]],Table2[#Headers],0),0)</f>
        <v xml:space="preserve"> 10 ft.- 3"</v>
      </c>
      <c r="O156" s="2">
        <f>VLOOKUP([jobnumber],OvalData[],MATCH(Table2[[#Headers],[Pipe Center Line]],Table2[#Headers],0),0)</f>
        <v>131</v>
      </c>
      <c r="P156" s="2">
        <f>VLOOKUP([jobnumber],OvalData[],MATCH(Table2[[#Headers],[Heat Expansion Gap]],Table2[#Headers],0),0)</f>
        <v>0</v>
      </c>
      <c r="Q156" s="2">
        <f>VLOOKUP([jobnumber],OvalData[],MATCH(Table2[[#Headers],[Hanging Weight Closed]],Table2[#Headers],0),0)</f>
        <v>795</v>
      </c>
      <c r="R156" s="2">
        <f>VLOOKUP([jobnumber],OvalData[],MATCH(Table2[[#Headers],[Hanging Weight Open]],Table2[#Headers],0),0)</f>
        <v>140</v>
      </c>
      <c r="S156" s="2">
        <f>VLOOKUP([jobnumber],OvalData[],MATCH(Table2[[#Headers],[Initial Lever Arm]],Table2[#Headers],0),0)</f>
        <v>4.25</v>
      </c>
      <c r="T156" s="2">
        <f>VLOOKUP([jobnumber],OvalData[],MATCH(Table2[[#Headers],[Turns to Raise]],Table2[#Headers],0),0)</f>
        <v>3.5859999999999999</v>
      </c>
      <c r="U156" s="2">
        <f>VLOOKUP([jobnumber],OvalData[],MATCH(Table2[[#Headers],[Final Lever Arm]],Table2[#Headers],0),0)</f>
        <v>6.37</v>
      </c>
      <c r="V156" s="2">
        <f>VLOOKUP([jobnumber],OvalData[],MATCH(Table2[[#Headers],[Torque Required Closed]],Table2[#Headers],0),0)</f>
        <v>3377.9</v>
      </c>
      <c r="W156" s="2">
        <f>VLOOKUP([jobnumber],OvalData[],MATCH(Table2[[#Headers],[Torque Required Open]],Table2[#Headers],0),0)</f>
        <v>892</v>
      </c>
      <c r="X156" s="2">
        <f>VLOOKUP([jobnumber],OvalData[],MATCH(Table2[[#Headers],[Pre Turns]],Table2[#Headers],0),0)</f>
        <v>1.3332999999999999</v>
      </c>
      <c r="Y156" s="2">
        <f>VLOOKUP([jobnumber],OvalData[],MATCH(Table2[[#Headers],[Required Torque Per Turn]],Table2[#Headers],0),0)</f>
        <v>688</v>
      </c>
      <c r="Z156" s="2">
        <f>VLOOKUP([jobnumber],OvalData[],MATCH(Table2[[#Headers],[Total Turns]],Table2[#Headers],0),0)</f>
        <v>4.91</v>
      </c>
      <c r="AA156" s="2">
        <f>VLOOKUP([jobnumber],OvalData[],MATCH(Table2[[#Headers],[Grille Vision Section]],Table2[#Headers],0),0)</f>
        <v>0</v>
      </c>
      <c r="AB156" s="2">
        <f>VLOOKUP([jobnumber],OvalData[],MATCH(Table2[[#Headers],[Grille Amount]],Table2[#Headers],0),0)</f>
        <v>0</v>
      </c>
      <c r="AC156" s="2">
        <f>VLOOKUP([jobnumber],OvalData[],MATCH(Table2[[#Headers],[Grille Center]],Table2[#Headers],0),0)</f>
        <v>0</v>
      </c>
      <c r="AD156" s="2">
        <f>VLOOKUP([jobnumber],OvalData[],MATCH(Table2[[#Headers],[Grille Pattern]],Table2[#Headers],0),0)</f>
        <v>0</v>
      </c>
      <c r="AE156" s="2">
        <f>VLOOKUP([jobnumber],OvalData[],MATCH(Table2[[#Headers],[Grille First Tube]],Table2[#Headers],0),0)</f>
        <v>0</v>
      </c>
      <c r="AF156" s="2">
        <f>VLOOKUP([jobnumber],OvalData[],MATCH(Table2[[#Headers],[Grille Standard Tube]],Table2[#Headers],0),0)</f>
        <v>0</v>
      </c>
      <c r="AG156" s="2">
        <f>VLOOKUP([jobnumber],OvalData[],MATCH(Table2[[#Headers],[Grille Total Links]],Table2[#Headers],0),0)</f>
        <v>0</v>
      </c>
      <c r="AH156" s="2">
        <f>VLOOKUP([jobnumber],OvalData[],MATCH(Table2[[#Headers],[Grille Rods]],Table2[#Headers],0),0)</f>
        <v>0</v>
      </c>
      <c r="AI156" s="2">
        <f>VLOOKUP([jobnumber],OvalData[],MATCH(Table2[[#Headers],[Grille Rod Length]],Table2[#Headers],0),0)</f>
        <v>0</v>
      </c>
      <c r="AJ156" s="2">
        <f>VLOOKUP([jobnumber],OvalData[],MATCH(Table2[[#Headers],[slattype]],Table2[#Headers],0),0)</f>
        <v>2</v>
      </c>
      <c r="AK156" s="2">
        <f>VLOOKUP([jobnumber],OvalData[],MATCH(Table2[[#Headers],[slatgage]],Table2[#Headers],0),0)</f>
        <v>18</v>
      </c>
      <c r="AL156" s="2">
        <f>VLOOKUP([jobnumber],OvalData[],MATCH(Table2[[#Headers],[Numer of Top Slats]],Table2[#Headers],0),0)</f>
        <v>0</v>
      </c>
      <c r="AM156" s="2">
        <f>VLOOKUP([jobnumber],OvalData[],MATCH(Table2[[#Headers],[Number of Bottom Slats]],Table2[#Headers],0),0)</f>
        <v>0</v>
      </c>
      <c r="AN156" s="2">
        <f>VLOOKUP([jobnumber],OvalData[],MATCH(Table2[[#Headers],[Solid Bottom Height]],Table2[#Headers],0),0)</f>
        <v>0</v>
      </c>
      <c r="AO156" s="2" t="str">
        <f>VLOOKUP([jobnumber],OvalData[],MATCH(Table2[[#Headers],[slatlength]],Table2[#Headers],0),0)</f>
        <v xml:space="preserve"> 18 ft.- 5 7/ 8"</v>
      </c>
      <c r="AP156" s="2">
        <f>VLOOKUP([jobnumber],OvalData[],MATCH(Table2[[#Headers],[Bottom Slat Length]],Table2[#Headers],0),0)</f>
        <v>0</v>
      </c>
      <c r="AQ156" s="2">
        <f>VLOOKUP([jobnumber],OvalData[],MATCH(Table2[[#Headers],[Number of Perferated Slats]],Table2[#Headers],0),0)</f>
        <v>0</v>
      </c>
      <c r="AR156" s="2">
        <f>VLOOKUP([jobnumber],OvalData[],MATCH(Table2[[#Headers],[First Preferated Slat From End]],Table2[#Headers],0),0)</f>
        <v>0</v>
      </c>
      <c r="AS156" s="2">
        <f>VLOOKUP([jobnumber],OvalData[],MATCH(Table2[[#Headers],[First Preferated Slat From Bottom]],Table2[#Headers],0),0)</f>
        <v>0</v>
      </c>
      <c r="AT156" s="2">
        <f>VLOOKUP([jobnumber],OvalData[],MATCH(Table2[[#Headers],[Total Number of Slats]],Table2[#Headers],0),0)</f>
        <v>51</v>
      </c>
      <c r="AU156" s="2">
        <f>VLOOKUP([jobnumber],OvalData[],MATCH(Table2[[#Headers],[Bottom Bar Slope]],Table2[#Headers],0),0)</f>
        <v>0</v>
      </c>
      <c r="AV156" s="2">
        <f>VLOOKUP([jobnumber],OvalData[],MATCH(Table2[[#Headers],[Bottom Bar Weight]],Table2[#Headers],0),0)</f>
        <v>80.5</v>
      </c>
      <c r="AW156" s="2" t="str">
        <f>VLOOKUP([jobnumber],OvalData[],MATCH(Table2[[#Headers],[Outer Spring Gage]],Table2[#Headers],0),0)</f>
        <v>Null</v>
      </c>
      <c r="AX156" s="2" t="str">
        <f>VLOOKUP([jobnumber],OvalData[],MATCH(Table2[[#Headers],[Outer Spring OD]],Table2[#Headers],0),0)</f>
        <v>Null</v>
      </c>
      <c r="AY156" s="2" t="str">
        <f>VLOOKUP([jobnumber],OvalData[],MATCH(Table2[[#Headers],[Outer Spring Length]],Table2[#Headers],0),0)</f>
        <v>Null</v>
      </c>
      <c r="AZ156" s="2" t="str">
        <f>VLOOKUP([jobnumber],OvalData[],MATCH(Table2[[#Headers],[Outer Spring Stretch]],Table2[#Headers],0),0)</f>
        <v>Null</v>
      </c>
      <c r="BA156" s="2" t="str">
        <f>VLOOKUP([jobnumber],OvalData[],MATCH(Table2[[#Headers],[Outer Spring Torque]],Table2[#Headers],0),0)</f>
        <v>Null</v>
      </c>
      <c r="BB156" s="2" t="str">
        <f>VLOOKUP([jobnumber],OvalData[],MATCH(Table2[[#Headers],[Outer Spring Max Turns]],Table2[#Headers],0),0)</f>
        <v>Null</v>
      </c>
      <c r="BC156" s="2" t="str">
        <f>VLOOKUP([jobnumber],OvalData[],MATCH(Table2[[#Headers],[Outer Spring Weight]],Table2[#Headers],0),0)</f>
        <v>Null</v>
      </c>
      <c r="BD156" s="2" t="str">
        <f>VLOOKUP([jobnumber],OvalData[],MATCH(Table2[[#Headers],[Inner Spring Gage]],Table2[#Headers],0),0)</f>
        <v>Null</v>
      </c>
      <c r="BE156" s="2" t="str">
        <f>VLOOKUP([jobnumber],OvalData[],MATCH(Table2[[#Headers],[Inner Spring OD]],Table2[#Headers],0),0)</f>
        <v>Null</v>
      </c>
      <c r="BF156" s="2" t="str">
        <f>VLOOKUP([jobnumber],OvalData[],MATCH(Table2[[#Headers],[Inner Spring Length]],Table2[#Headers],0),0)</f>
        <v>Null</v>
      </c>
      <c r="BG156" s="2" t="str">
        <f>VLOOKUP([jobnumber],OvalData[],MATCH(Table2[[#Headers],[Inner Spring Stretch]],Table2[#Headers],0),0)</f>
        <v>Null</v>
      </c>
      <c r="BH156" s="2" t="str">
        <f>VLOOKUP([jobnumber],OvalData[],MATCH(Table2[[#Headers],[Inner Spring Torque]],Table2[#Headers],0),0)</f>
        <v>Null</v>
      </c>
      <c r="BI156" s="2" t="str">
        <f>VLOOKUP([jobnumber],OvalData[],MATCH(Table2[[#Headers],[Inner Spring Max Turns]],Table2[#Headers],0),0)</f>
        <v>Null</v>
      </c>
      <c r="BJ156" s="2" t="str">
        <f>VLOOKUP([jobnumber],OvalData[],MATCH(Table2[[#Headers],[Inner Spring Weight]],Table2[#Headers],0),0)</f>
        <v>Null</v>
      </c>
      <c r="BK156" s="2">
        <f>VLOOKUP([jobnumber],OvalData[],MATCH(Table2[[#Headers],[Cycles]],Table2[#Headers],0),0)</f>
        <v>0</v>
      </c>
      <c r="BL156" s="2">
        <f>VLOOKUP([jobnumber],OvalData[],MATCH(Table2[[#Headers],[Total Spring Torque]],Table2[#Headers],0),0)</f>
        <v>0</v>
      </c>
      <c r="BM156" s="2">
        <f>VLOOKUP([jobnumber],OvalData[],MATCH(Table2[[#Headers],[Total Spring Weight]],Table2[#Headers],0),0)</f>
        <v>0</v>
      </c>
      <c r="BN156" s="2">
        <f>VLOOKUP([jobnumber],OvalData[],MATCH(Table2[[#Headers],[Pipe Weight]],Table2[#Headers],0),0)</f>
        <v>688.24239999999998</v>
      </c>
      <c r="BO156" s="2">
        <f>VLOOKUP([jobnumber],OvalData[],MATCH(Table2[[#Headers],[Max Pipe Deflection]],Table2[#Headers],0),0)</f>
        <v>2309</v>
      </c>
      <c r="BP156" s="2">
        <f>VLOOKUP([jobnumber],OvalData[],MATCH(Table2[[#Headers],[Number Non-Insulated Wrap Slats]],Table2[#Headers],0),0)</f>
        <v>0</v>
      </c>
      <c r="BQ156" s="2">
        <f>VLOOKUP([jobnumber],OvalData[],MATCH(Table2[[#Headers],[Number of Insolated Top Slats]],Table2[#Headers],0),0)</f>
        <v>45</v>
      </c>
      <c r="BR156" s="2">
        <f>VLOOKUP([jobnumber],OvalData[],MATCH(Table2[[#Headers],[Insolated Total Slats]],Table2[#Headers],0),0)</f>
        <v>45</v>
      </c>
      <c r="BS156" s="2">
        <f>VLOOKUP([jobnumber],OvalData[],MATCH(Table2[[#Headers],[Number of Slats]],Table2[#Headers],0),0)</f>
        <v>44.69</v>
      </c>
      <c r="BT156" s="2">
        <f>VLOOKUP([jobnumber],OvalData[],MATCH(Table2[[#Headers],[Wrap]],Table2[#Headers],0),0)</f>
        <v>0</v>
      </c>
      <c r="BU156" s="2">
        <f>VLOOKUP([jobnumber],OvalData[],MATCH(Table2[[#Headers],[Wall Angle Thickness]],Table2[#Headers],0),0)</f>
        <v>0</v>
      </c>
      <c r="BV156" s="2">
        <f>VLOOKUP([jobnumber],OvalData[],MATCH(Table2[[#Headers],[windlocks]],Table2[#Headers],0),0)</f>
        <v>0</v>
      </c>
      <c r="BW156" s="2" t="str">
        <f>VLOOKUP([jobnumber],OvalData[],MATCH(Table2[[#Headers],[bottombartype]],Table2[#Headers],0),0)</f>
        <v>SPECIAL</v>
      </c>
      <c r="BX156" s="2">
        <f>VLOOKUP([jobnumber],OvalData[],MATCH(Table2[[#Headers],[endlockweight]],Table2[#Headers],0),0)</f>
        <v>0.17</v>
      </c>
      <c r="BY156" s="2">
        <f>VLOOKUP([jobnumber],OvalData[],MATCH(Table2[[#Headers],[Endlock Total Weight]],Table2[#Headers],0),0)</f>
        <v>7.5972999999999997</v>
      </c>
      <c r="BZ156" s="2">
        <f>VLOOKUP([jobnumber],OvalData[],MATCH(Table2[[#Headers],[Grille Weight]],Table2[#Headers],0),0)</f>
        <v>0</v>
      </c>
      <c r="CA156" s="2">
        <f>VLOOKUP([jobnumber],OvalData[],MATCH(Table2[[#Headers],[barrelrings]],Table2[#Headers],0),0)</f>
        <v>1</v>
      </c>
    </row>
    <row r="157" spans="2:79">
      <c r="B157" s="2" t="str">
        <f>VLOOKUP([jobnumber],OvalData[],MATCH(Table2[[#Headers],[Hand]],Table2[#Headers],0),0)</f>
        <v>RH</v>
      </c>
      <c r="C157" s="2" t="str">
        <f>VLOOKUP([jobnumber],OvalData[],MATCH(Table2[[#Headers],[Model]],Table2[#Headers],0),0)</f>
        <v>SFMPP</v>
      </c>
      <c r="D157" s="2" t="str">
        <f>VLOOKUP([jobnumber],OvalData[],MATCH(Table2[[#Headers],[width]],Table2[#Headers],0),0)</f>
        <v xml:space="preserve"> 18 ft.- 2"</v>
      </c>
      <c r="E157" s="2" t="str">
        <f>VLOOKUP([jobnumber],OvalData[],MATCH(Table2[[#Headers],[stopheight]],Table2[#Headers],0),0)</f>
        <v xml:space="preserve"> 10 ft.- 0"</v>
      </c>
      <c r="F157" s="2" t="str">
        <f>VLOOKUP([jobnumber],OvalData[],MATCH(Table2[[#Headers],[Between Brackets]],Table2[#Headers],0),0)</f>
        <v xml:space="preserve"> 18 ft.- 7 7/ 8"</v>
      </c>
      <c r="G157" s="2" t="str">
        <f>VLOOKUP([jobnumber],OvalData[],MATCH(Table2[[#Headers],[shell]],Table2[#Headers],0),0)</f>
        <v>6 INCH TUBE</v>
      </c>
      <c r="H157" s="2" t="str">
        <f>VLOOKUP([jobnumber],OvalData[],MATCH(Table2[[#Headers],[pipewidth]],Table2[#Headers],0),0)</f>
        <v xml:space="preserve"> 18 ft.- 1 3/ 8"</v>
      </c>
      <c r="I157" s="2">
        <f>VLOOKUP([jobnumber],OvalData[],MATCH(Table2[[#Headers],[Support Tubes]],Table2[#Headers],0),0)</f>
        <v>0</v>
      </c>
      <c r="J157" s="2">
        <f>VLOOKUP([jobnumber],OvalData[],MATCH(Table2[[#Headers],[Upset]],Table2[#Headers],0),0)</f>
        <v>2</v>
      </c>
      <c r="K157" s="2" t="str">
        <f>VLOOKUP([jobnumber],OvalData[],MATCH(Table2[[#Headers],[Guide Type]],Table2[#Headers],0),0)</f>
        <v>SN2-4 5/8-E</v>
      </c>
      <c r="L157" s="2" t="str">
        <f>VLOOKUP([jobnumber],OvalData[],MATCH(Table2[[#Headers],[Wall Angle]],Table2[#Headers],0),0)</f>
        <v xml:space="preserve"> 11 ft.- 8"</v>
      </c>
      <c r="M157" s="2" t="str">
        <f>VLOOKUP([jobnumber],OvalData[],MATCH(Table2[[#Headers],[Middle Angle]],Table2[#Headers],0),0)</f>
        <v xml:space="preserve"> 10 ft.- 4 1/ 2"</v>
      </c>
      <c r="N157" s="2" t="str">
        <f>VLOOKUP([jobnumber],OvalData[],MATCH(Table2[[#Headers],[Front Angle]],Table2[#Headers],0),0)</f>
        <v xml:space="preserve"> 10 ft.- 3"</v>
      </c>
      <c r="O157" s="2">
        <f>VLOOKUP([jobnumber],OvalData[],MATCH(Table2[[#Headers],[Pipe Center Line]],Table2[#Headers],0),0)</f>
        <v>131</v>
      </c>
      <c r="P157" s="2">
        <f>VLOOKUP([jobnumber],OvalData[],MATCH(Table2[[#Headers],[Heat Expansion Gap]],Table2[#Headers],0),0)</f>
        <v>0</v>
      </c>
      <c r="Q157" s="2">
        <f>VLOOKUP([jobnumber],OvalData[],MATCH(Table2[[#Headers],[Hanging Weight Closed]],Table2[#Headers],0),0)</f>
        <v>795</v>
      </c>
      <c r="R157" s="2">
        <f>VLOOKUP([jobnumber],OvalData[],MATCH(Table2[[#Headers],[Hanging Weight Open]],Table2[#Headers],0),0)</f>
        <v>140</v>
      </c>
      <c r="S157" s="2">
        <f>VLOOKUP([jobnumber],OvalData[],MATCH(Table2[[#Headers],[Initial Lever Arm]],Table2[#Headers],0),0)</f>
        <v>4.25</v>
      </c>
      <c r="T157" s="2">
        <f>VLOOKUP([jobnumber],OvalData[],MATCH(Table2[[#Headers],[Turns to Raise]],Table2[#Headers],0),0)</f>
        <v>3.5859999999999999</v>
      </c>
      <c r="U157" s="2">
        <f>VLOOKUP([jobnumber],OvalData[],MATCH(Table2[[#Headers],[Final Lever Arm]],Table2[#Headers],0),0)</f>
        <v>6.37</v>
      </c>
      <c r="V157" s="2">
        <f>VLOOKUP([jobnumber],OvalData[],MATCH(Table2[[#Headers],[Torque Required Closed]],Table2[#Headers],0),0)</f>
        <v>3377.9</v>
      </c>
      <c r="W157" s="2">
        <f>VLOOKUP([jobnumber],OvalData[],MATCH(Table2[[#Headers],[Torque Required Open]],Table2[#Headers],0),0)</f>
        <v>892</v>
      </c>
      <c r="X157" s="2">
        <f>VLOOKUP([jobnumber],OvalData[],MATCH(Table2[[#Headers],[Pre Turns]],Table2[#Headers],0),0)</f>
        <v>1.3332999999999999</v>
      </c>
      <c r="Y157" s="2">
        <f>VLOOKUP([jobnumber],OvalData[],MATCH(Table2[[#Headers],[Required Torque Per Turn]],Table2[#Headers],0),0)</f>
        <v>688</v>
      </c>
      <c r="Z157" s="2">
        <f>VLOOKUP([jobnumber],OvalData[],MATCH(Table2[[#Headers],[Total Turns]],Table2[#Headers],0),0)</f>
        <v>4.91</v>
      </c>
      <c r="AA157" s="2">
        <f>VLOOKUP([jobnumber],OvalData[],MATCH(Table2[[#Headers],[Grille Vision Section]],Table2[#Headers],0),0)</f>
        <v>0</v>
      </c>
      <c r="AB157" s="2">
        <f>VLOOKUP([jobnumber],OvalData[],MATCH(Table2[[#Headers],[Grille Amount]],Table2[#Headers],0),0)</f>
        <v>0</v>
      </c>
      <c r="AC157" s="2">
        <f>VLOOKUP([jobnumber],OvalData[],MATCH(Table2[[#Headers],[Grille Center]],Table2[#Headers],0),0)</f>
        <v>0</v>
      </c>
      <c r="AD157" s="2">
        <f>VLOOKUP([jobnumber],OvalData[],MATCH(Table2[[#Headers],[Grille Pattern]],Table2[#Headers],0),0)</f>
        <v>0</v>
      </c>
      <c r="AE157" s="2">
        <f>VLOOKUP([jobnumber],OvalData[],MATCH(Table2[[#Headers],[Grille First Tube]],Table2[#Headers],0),0)</f>
        <v>0</v>
      </c>
      <c r="AF157" s="2">
        <f>VLOOKUP([jobnumber],OvalData[],MATCH(Table2[[#Headers],[Grille Standard Tube]],Table2[#Headers],0),0)</f>
        <v>0</v>
      </c>
      <c r="AG157" s="2">
        <f>VLOOKUP([jobnumber],OvalData[],MATCH(Table2[[#Headers],[Grille Total Links]],Table2[#Headers],0),0)</f>
        <v>0</v>
      </c>
      <c r="AH157" s="2">
        <f>VLOOKUP([jobnumber],OvalData[],MATCH(Table2[[#Headers],[Grille Rods]],Table2[#Headers],0),0)</f>
        <v>0</v>
      </c>
      <c r="AI157" s="2">
        <f>VLOOKUP([jobnumber],OvalData[],MATCH(Table2[[#Headers],[Grille Rod Length]],Table2[#Headers],0),0)</f>
        <v>0</v>
      </c>
      <c r="AJ157" s="2">
        <f>VLOOKUP([jobnumber],OvalData[],MATCH(Table2[[#Headers],[slattype]],Table2[#Headers],0),0)</f>
        <v>2</v>
      </c>
      <c r="AK157" s="2">
        <f>VLOOKUP([jobnumber],OvalData[],MATCH(Table2[[#Headers],[slatgage]],Table2[#Headers],0),0)</f>
        <v>18</v>
      </c>
      <c r="AL157" s="2">
        <f>VLOOKUP([jobnumber],OvalData[],MATCH(Table2[[#Headers],[Numer of Top Slats]],Table2[#Headers],0),0)</f>
        <v>0</v>
      </c>
      <c r="AM157" s="2">
        <f>VLOOKUP([jobnumber],OvalData[],MATCH(Table2[[#Headers],[Number of Bottom Slats]],Table2[#Headers],0),0)</f>
        <v>0</v>
      </c>
      <c r="AN157" s="2">
        <f>VLOOKUP([jobnumber],OvalData[],MATCH(Table2[[#Headers],[Solid Bottom Height]],Table2[#Headers],0),0)</f>
        <v>0</v>
      </c>
      <c r="AO157" s="2" t="str">
        <f>VLOOKUP([jobnumber],OvalData[],MATCH(Table2[[#Headers],[slatlength]],Table2[#Headers],0),0)</f>
        <v xml:space="preserve"> 18 ft.- 5 7/ 8"</v>
      </c>
      <c r="AP157" s="2">
        <f>VLOOKUP([jobnumber],OvalData[],MATCH(Table2[[#Headers],[Bottom Slat Length]],Table2[#Headers],0),0)</f>
        <v>0</v>
      </c>
      <c r="AQ157" s="2">
        <f>VLOOKUP([jobnumber],OvalData[],MATCH(Table2[[#Headers],[Number of Perferated Slats]],Table2[#Headers],0),0)</f>
        <v>0</v>
      </c>
      <c r="AR157" s="2">
        <f>VLOOKUP([jobnumber],OvalData[],MATCH(Table2[[#Headers],[First Preferated Slat From End]],Table2[#Headers],0),0)</f>
        <v>0</v>
      </c>
      <c r="AS157" s="2">
        <f>VLOOKUP([jobnumber],OvalData[],MATCH(Table2[[#Headers],[First Preferated Slat From Bottom]],Table2[#Headers],0),0)</f>
        <v>0</v>
      </c>
      <c r="AT157" s="2">
        <f>VLOOKUP([jobnumber],OvalData[],MATCH(Table2[[#Headers],[Total Number of Slats]],Table2[#Headers],0),0)</f>
        <v>51</v>
      </c>
      <c r="AU157" s="2">
        <f>VLOOKUP([jobnumber],OvalData[],MATCH(Table2[[#Headers],[Bottom Bar Slope]],Table2[#Headers],0),0)</f>
        <v>0</v>
      </c>
      <c r="AV157" s="2">
        <f>VLOOKUP([jobnumber],OvalData[],MATCH(Table2[[#Headers],[Bottom Bar Weight]],Table2[#Headers],0),0)</f>
        <v>80.5</v>
      </c>
      <c r="AW157" s="2" t="str">
        <f>VLOOKUP([jobnumber],OvalData[],MATCH(Table2[[#Headers],[Outer Spring Gage]],Table2[#Headers],0),0)</f>
        <v>Null</v>
      </c>
      <c r="AX157" s="2" t="str">
        <f>VLOOKUP([jobnumber],OvalData[],MATCH(Table2[[#Headers],[Outer Spring OD]],Table2[#Headers],0),0)</f>
        <v>Null</v>
      </c>
      <c r="AY157" s="2" t="str">
        <f>VLOOKUP([jobnumber],OvalData[],MATCH(Table2[[#Headers],[Outer Spring Length]],Table2[#Headers],0),0)</f>
        <v>Null</v>
      </c>
      <c r="AZ157" s="2" t="str">
        <f>VLOOKUP([jobnumber],OvalData[],MATCH(Table2[[#Headers],[Outer Spring Stretch]],Table2[#Headers],0),0)</f>
        <v>Null</v>
      </c>
      <c r="BA157" s="2" t="str">
        <f>VLOOKUP([jobnumber],OvalData[],MATCH(Table2[[#Headers],[Outer Spring Torque]],Table2[#Headers],0),0)</f>
        <v>Null</v>
      </c>
      <c r="BB157" s="2" t="str">
        <f>VLOOKUP([jobnumber],OvalData[],MATCH(Table2[[#Headers],[Outer Spring Max Turns]],Table2[#Headers],0),0)</f>
        <v>Null</v>
      </c>
      <c r="BC157" s="2" t="str">
        <f>VLOOKUP([jobnumber],OvalData[],MATCH(Table2[[#Headers],[Outer Spring Weight]],Table2[#Headers],0),0)</f>
        <v>Null</v>
      </c>
      <c r="BD157" s="2" t="str">
        <f>VLOOKUP([jobnumber],OvalData[],MATCH(Table2[[#Headers],[Inner Spring Gage]],Table2[#Headers],0),0)</f>
        <v>Null</v>
      </c>
      <c r="BE157" s="2" t="str">
        <f>VLOOKUP([jobnumber],OvalData[],MATCH(Table2[[#Headers],[Inner Spring OD]],Table2[#Headers],0),0)</f>
        <v>Null</v>
      </c>
      <c r="BF157" s="2" t="str">
        <f>VLOOKUP([jobnumber],OvalData[],MATCH(Table2[[#Headers],[Inner Spring Length]],Table2[#Headers],0),0)</f>
        <v>Null</v>
      </c>
      <c r="BG157" s="2" t="str">
        <f>VLOOKUP([jobnumber],OvalData[],MATCH(Table2[[#Headers],[Inner Spring Stretch]],Table2[#Headers],0),0)</f>
        <v>Null</v>
      </c>
      <c r="BH157" s="2" t="str">
        <f>VLOOKUP([jobnumber],OvalData[],MATCH(Table2[[#Headers],[Inner Spring Torque]],Table2[#Headers],0),0)</f>
        <v>Null</v>
      </c>
      <c r="BI157" s="2" t="str">
        <f>VLOOKUP([jobnumber],OvalData[],MATCH(Table2[[#Headers],[Inner Spring Max Turns]],Table2[#Headers],0),0)</f>
        <v>Null</v>
      </c>
      <c r="BJ157" s="2" t="str">
        <f>VLOOKUP([jobnumber],OvalData[],MATCH(Table2[[#Headers],[Inner Spring Weight]],Table2[#Headers],0),0)</f>
        <v>Null</v>
      </c>
      <c r="BK157" s="2">
        <f>VLOOKUP([jobnumber],OvalData[],MATCH(Table2[[#Headers],[Cycles]],Table2[#Headers],0),0)</f>
        <v>0</v>
      </c>
      <c r="BL157" s="2">
        <f>VLOOKUP([jobnumber],OvalData[],MATCH(Table2[[#Headers],[Total Spring Torque]],Table2[#Headers],0),0)</f>
        <v>0</v>
      </c>
      <c r="BM157" s="2">
        <f>VLOOKUP([jobnumber],OvalData[],MATCH(Table2[[#Headers],[Total Spring Weight]],Table2[#Headers],0),0)</f>
        <v>0</v>
      </c>
      <c r="BN157" s="2">
        <f>VLOOKUP([jobnumber],OvalData[],MATCH(Table2[[#Headers],[Pipe Weight]],Table2[#Headers],0),0)</f>
        <v>688.24239999999998</v>
      </c>
      <c r="BO157" s="2">
        <f>VLOOKUP([jobnumber],OvalData[],MATCH(Table2[[#Headers],[Max Pipe Deflection]],Table2[#Headers],0),0)</f>
        <v>2309</v>
      </c>
      <c r="BP157" s="2">
        <f>VLOOKUP([jobnumber],OvalData[],MATCH(Table2[[#Headers],[Number Non-Insulated Wrap Slats]],Table2[#Headers],0),0)</f>
        <v>0</v>
      </c>
      <c r="BQ157" s="2">
        <f>VLOOKUP([jobnumber],OvalData[],MATCH(Table2[[#Headers],[Number of Insolated Top Slats]],Table2[#Headers],0),0)</f>
        <v>45</v>
      </c>
      <c r="BR157" s="2">
        <f>VLOOKUP([jobnumber],OvalData[],MATCH(Table2[[#Headers],[Insolated Total Slats]],Table2[#Headers],0),0)</f>
        <v>45</v>
      </c>
      <c r="BS157" s="2">
        <f>VLOOKUP([jobnumber],OvalData[],MATCH(Table2[[#Headers],[Number of Slats]],Table2[#Headers],0),0)</f>
        <v>44.69</v>
      </c>
      <c r="BT157" s="2">
        <f>VLOOKUP([jobnumber],OvalData[],MATCH(Table2[[#Headers],[Wrap]],Table2[#Headers],0),0)</f>
        <v>0</v>
      </c>
      <c r="BU157" s="2">
        <f>VLOOKUP([jobnumber],OvalData[],MATCH(Table2[[#Headers],[Wall Angle Thickness]],Table2[#Headers],0),0)</f>
        <v>0</v>
      </c>
      <c r="BV157" s="2">
        <f>VLOOKUP([jobnumber],OvalData[],MATCH(Table2[[#Headers],[windlocks]],Table2[#Headers],0),0)</f>
        <v>0</v>
      </c>
      <c r="BW157" s="2" t="str">
        <f>VLOOKUP([jobnumber],OvalData[],MATCH(Table2[[#Headers],[bottombartype]],Table2[#Headers],0),0)</f>
        <v>SPECIAL</v>
      </c>
      <c r="BX157" s="2">
        <f>VLOOKUP([jobnumber],OvalData[],MATCH(Table2[[#Headers],[endlockweight]],Table2[#Headers],0),0)</f>
        <v>0.17</v>
      </c>
      <c r="BY157" s="2">
        <f>VLOOKUP([jobnumber],OvalData[],MATCH(Table2[[#Headers],[Endlock Total Weight]],Table2[#Headers],0),0)</f>
        <v>7.5972999999999997</v>
      </c>
      <c r="BZ157" s="2">
        <f>VLOOKUP([jobnumber],OvalData[],MATCH(Table2[[#Headers],[Grille Weight]],Table2[#Headers],0),0)</f>
        <v>0</v>
      </c>
      <c r="CA157" s="2">
        <f>VLOOKUP([jobnumber],OvalData[],MATCH(Table2[[#Headers],[barrelrings]],Table2[#Headers],0),0)</f>
        <v>1</v>
      </c>
    </row>
    <row r="158" spans="2:79">
      <c r="B158" s="2" t="str">
        <f>VLOOKUP([jobnumber],OvalData[],MATCH(Table2[[#Headers],[Hand]],Table2[#Headers],0),0)</f>
        <v>RH</v>
      </c>
      <c r="C158" s="2" t="str">
        <f>VLOOKUP([jobnumber],OvalData[],MATCH(Table2[[#Headers],[Model]],Table2[#Headers],0),0)</f>
        <v>SFMPP</v>
      </c>
      <c r="D158" s="2" t="str">
        <f>VLOOKUP([jobnumber],OvalData[],MATCH(Table2[[#Headers],[width]],Table2[#Headers],0),0)</f>
        <v xml:space="preserve"> 18 ft.- 2"</v>
      </c>
      <c r="E158" s="2" t="str">
        <f>VLOOKUP([jobnumber],OvalData[],MATCH(Table2[[#Headers],[stopheight]],Table2[#Headers],0),0)</f>
        <v xml:space="preserve"> 10 ft.- 0"</v>
      </c>
      <c r="F158" s="2" t="str">
        <f>VLOOKUP([jobnumber],OvalData[],MATCH(Table2[[#Headers],[Between Brackets]],Table2[#Headers],0),0)</f>
        <v xml:space="preserve"> 18 ft.- 7 7/ 8"</v>
      </c>
      <c r="G158" s="2" t="str">
        <f>VLOOKUP([jobnumber],OvalData[],MATCH(Table2[[#Headers],[shell]],Table2[#Headers],0),0)</f>
        <v>6 INCH TUBE</v>
      </c>
      <c r="H158" s="2" t="str">
        <f>VLOOKUP([jobnumber],OvalData[],MATCH(Table2[[#Headers],[pipewidth]],Table2[#Headers],0),0)</f>
        <v xml:space="preserve"> 18 ft.- 1 3/ 8"</v>
      </c>
      <c r="I158" s="2">
        <f>VLOOKUP([jobnumber],OvalData[],MATCH(Table2[[#Headers],[Support Tubes]],Table2[#Headers],0),0)</f>
        <v>0</v>
      </c>
      <c r="J158" s="2">
        <f>VLOOKUP([jobnumber],OvalData[],MATCH(Table2[[#Headers],[Upset]],Table2[#Headers],0),0)</f>
        <v>2</v>
      </c>
      <c r="K158" s="2" t="str">
        <f>VLOOKUP([jobnumber],OvalData[],MATCH(Table2[[#Headers],[Guide Type]],Table2[#Headers],0),0)</f>
        <v>SN2-4 5/8-E</v>
      </c>
      <c r="L158" s="2" t="str">
        <f>VLOOKUP([jobnumber],OvalData[],MATCH(Table2[[#Headers],[Wall Angle]],Table2[#Headers],0),0)</f>
        <v xml:space="preserve"> 11 ft.- 8"</v>
      </c>
      <c r="M158" s="2" t="str">
        <f>VLOOKUP([jobnumber],OvalData[],MATCH(Table2[[#Headers],[Middle Angle]],Table2[#Headers],0),0)</f>
        <v xml:space="preserve"> 10 ft.- 4 1/ 2"</v>
      </c>
      <c r="N158" s="2" t="str">
        <f>VLOOKUP([jobnumber],OvalData[],MATCH(Table2[[#Headers],[Front Angle]],Table2[#Headers],0),0)</f>
        <v xml:space="preserve"> 10 ft.- 3"</v>
      </c>
      <c r="O158" s="2">
        <f>VLOOKUP([jobnumber],OvalData[],MATCH(Table2[[#Headers],[Pipe Center Line]],Table2[#Headers],0),0)</f>
        <v>131</v>
      </c>
      <c r="P158" s="2">
        <f>VLOOKUP([jobnumber],OvalData[],MATCH(Table2[[#Headers],[Heat Expansion Gap]],Table2[#Headers],0),0)</f>
        <v>0</v>
      </c>
      <c r="Q158" s="2">
        <f>VLOOKUP([jobnumber],OvalData[],MATCH(Table2[[#Headers],[Hanging Weight Closed]],Table2[#Headers],0),0)</f>
        <v>795</v>
      </c>
      <c r="R158" s="2">
        <f>VLOOKUP([jobnumber],OvalData[],MATCH(Table2[[#Headers],[Hanging Weight Open]],Table2[#Headers],0),0)</f>
        <v>140</v>
      </c>
      <c r="S158" s="2">
        <f>VLOOKUP([jobnumber],OvalData[],MATCH(Table2[[#Headers],[Initial Lever Arm]],Table2[#Headers],0),0)</f>
        <v>4.25</v>
      </c>
      <c r="T158" s="2">
        <f>VLOOKUP([jobnumber],OvalData[],MATCH(Table2[[#Headers],[Turns to Raise]],Table2[#Headers],0),0)</f>
        <v>3.5859999999999999</v>
      </c>
      <c r="U158" s="2">
        <f>VLOOKUP([jobnumber],OvalData[],MATCH(Table2[[#Headers],[Final Lever Arm]],Table2[#Headers],0),0)</f>
        <v>6.37</v>
      </c>
      <c r="V158" s="2">
        <f>VLOOKUP([jobnumber],OvalData[],MATCH(Table2[[#Headers],[Torque Required Closed]],Table2[#Headers],0),0)</f>
        <v>3377.9</v>
      </c>
      <c r="W158" s="2">
        <f>VLOOKUP([jobnumber],OvalData[],MATCH(Table2[[#Headers],[Torque Required Open]],Table2[#Headers],0),0)</f>
        <v>892</v>
      </c>
      <c r="X158" s="2">
        <f>VLOOKUP([jobnumber],OvalData[],MATCH(Table2[[#Headers],[Pre Turns]],Table2[#Headers],0),0)</f>
        <v>1.3332999999999999</v>
      </c>
      <c r="Y158" s="2">
        <f>VLOOKUP([jobnumber],OvalData[],MATCH(Table2[[#Headers],[Required Torque Per Turn]],Table2[#Headers],0),0)</f>
        <v>688</v>
      </c>
      <c r="Z158" s="2">
        <f>VLOOKUP([jobnumber],OvalData[],MATCH(Table2[[#Headers],[Total Turns]],Table2[#Headers],0),0)</f>
        <v>4.91</v>
      </c>
      <c r="AA158" s="2">
        <f>VLOOKUP([jobnumber],OvalData[],MATCH(Table2[[#Headers],[Grille Vision Section]],Table2[#Headers],0),0)</f>
        <v>0</v>
      </c>
      <c r="AB158" s="2">
        <f>VLOOKUP([jobnumber],OvalData[],MATCH(Table2[[#Headers],[Grille Amount]],Table2[#Headers],0),0)</f>
        <v>0</v>
      </c>
      <c r="AC158" s="2">
        <f>VLOOKUP([jobnumber],OvalData[],MATCH(Table2[[#Headers],[Grille Center]],Table2[#Headers],0),0)</f>
        <v>0</v>
      </c>
      <c r="AD158" s="2">
        <f>VLOOKUP([jobnumber],OvalData[],MATCH(Table2[[#Headers],[Grille Pattern]],Table2[#Headers],0),0)</f>
        <v>0</v>
      </c>
      <c r="AE158" s="2">
        <f>VLOOKUP([jobnumber],OvalData[],MATCH(Table2[[#Headers],[Grille First Tube]],Table2[#Headers],0),0)</f>
        <v>0</v>
      </c>
      <c r="AF158" s="2">
        <f>VLOOKUP([jobnumber],OvalData[],MATCH(Table2[[#Headers],[Grille Standard Tube]],Table2[#Headers],0),0)</f>
        <v>0</v>
      </c>
      <c r="AG158" s="2">
        <f>VLOOKUP([jobnumber],OvalData[],MATCH(Table2[[#Headers],[Grille Total Links]],Table2[#Headers],0),0)</f>
        <v>0</v>
      </c>
      <c r="AH158" s="2">
        <f>VLOOKUP([jobnumber],OvalData[],MATCH(Table2[[#Headers],[Grille Rods]],Table2[#Headers],0),0)</f>
        <v>0</v>
      </c>
      <c r="AI158" s="2">
        <f>VLOOKUP([jobnumber],OvalData[],MATCH(Table2[[#Headers],[Grille Rod Length]],Table2[#Headers],0),0)</f>
        <v>0</v>
      </c>
      <c r="AJ158" s="2">
        <f>VLOOKUP([jobnumber],OvalData[],MATCH(Table2[[#Headers],[slattype]],Table2[#Headers],0),0)</f>
        <v>2</v>
      </c>
      <c r="AK158" s="2">
        <f>VLOOKUP([jobnumber],OvalData[],MATCH(Table2[[#Headers],[slatgage]],Table2[#Headers],0),0)</f>
        <v>18</v>
      </c>
      <c r="AL158" s="2">
        <f>VLOOKUP([jobnumber],OvalData[],MATCH(Table2[[#Headers],[Numer of Top Slats]],Table2[#Headers],0),0)</f>
        <v>0</v>
      </c>
      <c r="AM158" s="2">
        <f>VLOOKUP([jobnumber],OvalData[],MATCH(Table2[[#Headers],[Number of Bottom Slats]],Table2[#Headers],0),0)</f>
        <v>0</v>
      </c>
      <c r="AN158" s="2">
        <f>VLOOKUP([jobnumber],OvalData[],MATCH(Table2[[#Headers],[Solid Bottom Height]],Table2[#Headers],0),0)</f>
        <v>0</v>
      </c>
      <c r="AO158" s="2" t="str">
        <f>VLOOKUP([jobnumber],OvalData[],MATCH(Table2[[#Headers],[slatlength]],Table2[#Headers],0),0)</f>
        <v xml:space="preserve"> 18 ft.- 5 7/ 8"</v>
      </c>
      <c r="AP158" s="2">
        <f>VLOOKUP([jobnumber],OvalData[],MATCH(Table2[[#Headers],[Bottom Slat Length]],Table2[#Headers],0),0)</f>
        <v>0</v>
      </c>
      <c r="AQ158" s="2">
        <f>VLOOKUP([jobnumber],OvalData[],MATCH(Table2[[#Headers],[Number of Perferated Slats]],Table2[#Headers],0),0)</f>
        <v>0</v>
      </c>
      <c r="AR158" s="2">
        <f>VLOOKUP([jobnumber],OvalData[],MATCH(Table2[[#Headers],[First Preferated Slat From End]],Table2[#Headers],0),0)</f>
        <v>0</v>
      </c>
      <c r="AS158" s="2">
        <f>VLOOKUP([jobnumber],OvalData[],MATCH(Table2[[#Headers],[First Preferated Slat From Bottom]],Table2[#Headers],0),0)</f>
        <v>0</v>
      </c>
      <c r="AT158" s="2">
        <f>VLOOKUP([jobnumber],OvalData[],MATCH(Table2[[#Headers],[Total Number of Slats]],Table2[#Headers],0),0)</f>
        <v>51</v>
      </c>
      <c r="AU158" s="2">
        <f>VLOOKUP([jobnumber],OvalData[],MATCH(Table2[[#Headers],[Bottom Bar Slope]],Table2[#Headers],0),0)</f>
        <v>0</v>
      </c>
      <c r="AV158" s="2">
        <f>VLOOKUP([jobnumber],OvalData[],MATCH(Table2[[#Headers],[Bottom Bar Weight]],Table2[#Headers],0),0)</f>
        <v>80.5</v>
      </c>
      <c r="AW158" s="2" t="str">
        <f>VLOOKUP([jobnumber],OvalData[],MATCH(Table2[[#Headers],[Outer Spring Gage]],Table2[#Headers],0),0)</f>
        <v>Null</v>
      </c>
      <c r="AX158" s="2" t="str">
        <f>VLOOKUP([jobnumber],OvalData[],MATCH(Table2[[#Headers],[Outer Spring OD]],Table2[#Headers],0),0)</f>
        <v>Null</v>
      </c>
      <c r="AY158" s="2" t="str">
        <f>VLOOKUP([jobnumber],OvalData[],MATCH(Table2[[#Headers],[Outer Spring Length]],Table2[#Headers],0),0)</f>
        <v>Null</v>
      </c>
      <c r="AZ158" s="2" t="str">
        <f>VLOOKUP([jobnumber],OvalData[],MATCH(Table2[[#Headers],[Outer Spring Stretch]],Table2[#Headers],0),0)</f>
        <v>Null</v>
      </c>
      <c r="BA158" s="2" t="str">
        <f>VLOOKUP([jobnumber],OvalData[],MATCH(Table2[[#Headers],[Outer Spring Torque]],Table2[#Headers],0),0)</f>
        <v>Null</v>
      </c>
      <c r="BB158" s="2" t="str">
        <f>VLOOKUP([jobnumber],OvalData[],MATCH(Table2[[#Headers],[Outer Spring Max Turns]],Table2[#Headers],0),0)</f>
        <v>Null</v>
      </c>
      <c r="BC158" s="2" t="str">
        <f>VLOOKUP([jobnumber],OvalData[],MATCH(Table2[[#Headers],[Outer Spring Weight]],Table2[#Headers],0),0)</f>
        <v>Null</v>
      </c>
      <c r="BD158" s="2" t="str">
        <f>VLOOKUP([jobnumber],OvalData[],MATCH(Table2[[#Headers],[Inner Spring Gage]],Table2[#Headers],0),0)</f>
        <v>Null</v>
      </c>
      <c r="BE158" s="2" t="str">
        <f>VLOOKUP([jobnumber],OvalData[],MATCH(Table2[[#Headers],[Inner Spring OD]],Table2[#Headers],0),0)</f>
        <v>Null</v>
      </c>
      <c r="BF158" s="2" t="str">
        <f>VLOOKUP([jobnumber],OvalData[],MATCH(Table2[[#Headers],[Inner Spring Length]],Table2[#Headers],0),0)</f>
        <v>Null</v>
      </c>
      <c r="BG158" s="2" t="str">
        <f>VLOOKUP([jobnumber],OvalData[],MATCH(Table2[[#Headers],[Inner Spring Stretch]],Table2[#Headers],0),0)</f>
        <v>Null</v>
      </c>
      <c r="BH158" s="2" t="str">
        <f>VLOOKUP([jobnumber],OvalData[],MATCH(Table2[[#Headers],[Inner Spring Torque]],Table2[#Headers],0),0)</f>
        <v>Null</v>
      </c>
      <c r="BI158" s="2" t="str">
        <f>VLOOKUP([jobnumber],OvalData[],MATCH(Table2[[#Headers],[Inner Spring Max Turns]],Table2[#Headers],0),0)</f>
        <v>Null</v>
      </c>
      <c r="BJ158" s="2" t="str">
        <f>VLOOKUP([jobnumber],OvalData[],MATCH(Table2[[#Headers],[Inner Spring Weight]],Table2[#Headers],0),0)</f>
        <v>Null</v>
      </c>
      <c r="BK158" s="2">
        <f>VLOOKUP([jobnumber],OvalData[],MATCH(Table2[[#Headers],[Cycles]],Table2[#Headers],0),0)</f>
        <v>0</v>
      </c>
      <c r="BL158" s="2">
        <f>VLOOKUP([jobnumber],OvalData[],MATCH(Table2[[#Headers],[Total Spring Torque]],Table2[#Headers],0),0)</f>
        <v>0</v>
      </c>
      <c r="BM158" s="2">
        <f>VLOOKUP([jobnumber],OvalData[],MATCH(Table2[[#Headers],[Total Spring Weight]],Table2[#Headers],0),0)</f>
        <v>0</v>
      </c>
      <c r="BN158" s="2">
        <f>VLOOKUP([jobnumber],OvalData[],MATCH(Table2[[#Headers],[Pipe Weight]],Table2[#Headers],0),0)</f>
        <v>688.24239999999998</v>
      </c>
      <c r="BO158" s="2">
        <f>VLOOKUP([jobnumber],OvalData[],MATCH(Table2[[#Headers],[Max Pipe Deflection]],Table2[#Headers],0),0)</f>
        <v>2309</v>
      </c>
      <c r="BP158" s="2">
        <f>VLOOKUP([jobnumber],OvalData[],MATCH(Table2[[#Headers],[Number Non-Insulated Wrap Slats]],Table2[#Headers],0),0)</f>
        <v>0</v>
      </c>
      <c r="BQ158" s="2">
        <f>VLOOKUP([jobnumber],OvalData[],MATCH(Table2[[#Headers],[Number of Insolated Top Slats]],Table2[#Headers],0),0)</f>
        <v>45</v>
      </c>
      <c r="BR158" s="2">
        <f>VLOOKUP([jobnumber],OvalData[],MATCH(Table2[[#Headers],[Insolated Total Slats]],Table2[#Headers],0),0)</f>
        <v>45</v>
      </c>
      <c r="BS158" s="2">
        <f>VLOOKUP([jobnumber],OvalData[],MATCH(Table2[[#Headers],[Number of Slats]],Table2[#Headers],0),0)</f>
        <v>44.69</v>
      </c>
      <c r="BT158" s="2">
        <f>VLOOKUP([jobnumber],OvalData[],MATCH(Table2[[#Headers],[Wrap]],Table2[#Headers],0),0)</f>
        <v>0</v>
      </c>
      <c r="BU158" s="2">
        <f>VLOOKUP([jobnumber],OvalData[],MATCH(Table2[[#Headers],[Wall Angle Thickness]],Table2[#Headers],0),0)</f>
        <v>0</v>
      </c>
      <c r="BV158" s="2">
        <f>VLOOKUP([jobnumber],OvalData[],MATCH(Table2[[#Headers],[windlocks]],Table2[#Headers],0),0)</f>
        <v>0</v>
      </c>
      <c r="BW158" s="2" t="str">
        <f>VLOOKUP([jobnumber],OvalData[],MATCH(Table2[[#Headers],[bottombartype]],Table2[#Headers],0),0)</f>
        <v>SPECIAL</v>
      </c>
      <c r="BX158" s="2">
        <f>VLOOKUP([jobnumber],OvalData[],MATCH(Table2[[#Headers],[endlockweight]],Table2[#Headers],0),0)</f>
        <v>0.17</v>
      </c>
      <c r="BY158" s="2">
        <f>VLOOKUP([jobnumber],OvalData[],MATCH(Table2[[#Headers],[Endlock Total Weight]],Table2[#Headers],0),0)</f>
        <v>7.5972999999999997</v>
      </c>
      <c r="BZ158" s="2">
        <f>VLOOKUP([jobnumber],OvalData[],MATCH(Table2[[#Headers],[Grille Weight]],Table2[#Headers],0),0)</f>
        <v>0</v>
      </c>
      <c r="CA158" s="2">
        <f>VLOOKUP([jobnumber],OvalData[],MATCH(Table2[[#Headers],[barrelrings]],Table2[#Headers],0),0)</f>
        <v>1</v>
      </c>
    </row>
    <row r="159" spans="2:79">
      <c r="B159" s="2" t="str">
        <f>VLOOKUP([jobnumber],OvalData[],MATCH(Table2[[#Headers],[Hand]],Table2[#Headers],0),0)</f>
        <v>RH</v>
      </c>
      <c r="C159" s="2" t="str">
        <f>VLOOKUP([jobnumber],OvalData[],MATCH(Table2[[#Headers],[Model]],Table2[#Headers],0),0)</f>
        <v>SFMPP</v>
      </c>
      <c r="D159" s="2" t="str">
        <f>VLOOKUP([jobnumber],OvalData[],MATCH(Table2[[#Headers],[width]],Table2[#Headers],0),0)</f>
        <v xml:space="preserve"> 18 ft.- 2"</v>
      </c>
      <c r="E159" s="2" t="str">
        <f>VLOOKUP([jobnumber],OvalData[],MATCH(Table2[[#Headers],[stopheight]],Table2[#Headers],0),0)</f>
        <v xml:space="preserve"> 10 ft.- 0"</v>
      </c>
      <c r="F159" s="2" t="str">
        <f>VLOOKUP([jobnumber],OvalData[],MATCH(Table2[[#Headers],[Between Brackets]],Table2[#Headers],0),0)</f>
        <v xml:space="preserve"> 18 ft.- 7 7/ 8"</v>
      </c>
      <c r="G159" s="2" t="str">
        <f>VLOOKUP([jobnumber],OvalData[],MATCH(Table2[[#Headers],[shell]],Table2[#Headers],0),0)</f>
        <v>6 INCH TUBE</v>
      </c>
      <c r="H159" s="2" t="str">
        <f>VLOOKUP([jobnumber],OvalData[],MATCH(Table2[[#Headers],[pipewidth]],Table2[#Headers],0),0)</f>
        <v xml:space="preserve"> 18 ft.- 1 3/ 8"</v>
      </c>
      <c r="I159" s="2">
        <f>VLOOKUP([jobnumber],OvalData[],MATCH(Table2[[#Headers],[Support Tubes]],Table2[#Headers],0),0)</f>
        <v>0</v>
      </c>
      <c r="J159" s="2">
        <f>VLOOKUP([jobnumber],OvalData[],MATCH(Table2[[#Headers],[Upset]],Table2[#Headers],0),0)</f>
        <v>2</v>
      </c>
      <c r="K159" s="2" t="str">
        <f>VLOOKUP([jobnumber],OvalData[],MATCH(Table2[[#Headers],[Guide Type]],Table2[#Headers],0),0)</f>
        <v>SN2-4 5/8-E</v>
      </c>
      <c r="L159" s="2" t="str">
        <f>VLOOKUP([jobnumber],OvalData[],MATCH(Table2[[#Headers],[Wall Angle]],Table2[#Headers],0),0)</f>
        <v xml:space="preserve"> 11 ft.- 8"</v>
      </c>
      <c r="M159" s="2" t="str">
        <f>VLOOKUP([jobnumber],OvalData[],MATCH(Table2[[#Headers],[Middle Angle]],Table2[#Headers],0),0)</f>
        <v xml:space="preserve"> 10 ft.- 4 1/ 2"</v>
      </c>
      <c r="N159" s="2" t="str">
        <f>VLOOKUP([jobnumber],OvalData[],MATCH(Table2[[#Headers],[Front Angle]],Table2[#Headers],0),0)</f>
        <v xml:space="preserve"> 10 ft.- 3"</v>
      </c>
      <c r="O159" s="2">
        <f>VLOOKUP([jobnumber],OvalData[],MATCH(Table2[[#Headers],[Pipe Center Line]],Table2[#Headers],0),0)</f>
        <v>131</v>
      </c>
      <c r="P159" s="2">
        <f>VLOOKUP([jobnumber],OvalData[],MATCH(Table2[[#Headers],[Heat Expansion Gap]],Table2[#Headers],0),0)</f>
        <v>0</v>
      </c>
      <c r="Q159" s="2">
        <f>VLOOKUP([jobnumber],OvalData[],MATCH(Table2[[#Headers],[Hanging Weight Closed]],Table2[#Headers],0),0)</f>
        <v>795</v>
      </c>
      <c r="R159" s="2">
        <f>VLOOKUP([jobnumber],OvalData[],MATCH(Table2[[#Headers],[Hanging Weight Open]],Table2[#Headers],0),0)</f>
        <v>140</v>
      </c>
      <c r="S159" s="2">
        <f>VLOOKUP([jobnumber],OvalData[],MATCH(Table2[[#Headers],[Initial Lever Arm]],Table2[#Headers],0),0)</f>
        <v>4.25</v>
      </c>
      <c r="T159" s="2">
        <f>VLOOKUP([jobnumber],OvalData[],MATCH(Table2[[#Headers],[Turns to Raise]],Table2[#Headers],0),0)</f>
        <v>3.5859999999999999</v>
      </c>
      <c r="U159" s="2">
        <f>VLOOKUP([jobnumber],OvalData[],MATCH(Table2[[#Headers],[Final Lever Arm]],Table2[#Headers],0),0)</f>
        <v>6.37</v>
      </c>
      <c r="V159" s="2">
        <f>VLOOKUP([jobnumber],OvalData[],MATCH(Table2[[#Headers],[Torque Required Closed]],Table2[#Headers],0),0)</f>
        <v>3377.9</v>
      </c>
      <c r="W159" s="2">
        <f>VLOOKUP([jobnumber],OvalData[],MATCH(Table2[[#Headers],[Torque Required Open]],Table2[#Headers],0),0)</f>
        <v>892</v>
      </c>
      <c r="X159" s="2">
        <f>VLOOKUP([jobnumber],OvalData[],MATCH(Table2[[#Headers],[Pre Turns]],Table2[#Headers],0),0)</f>
        <v>1.3332999999999999</v>
      </c>
      <c r="Y159" s="2">
        <f>VLOOKUP([jobnumber],OvalData[],MATCH(Table2[[#Headers],[Required Torque Per Turn]],Table2[#Headers],0),0)</f>
        <v>688</v>
      </c>
      <c r="Z159" s="2">
        <f>VLOOKUP([jobnumber],OvalData[],MATCH(Table2[[#Headers],[Total Turns]],Table2[#Headers],0),0)</f>
        <v>4.91</v>
      </c>
      <c r="AA159" s="2">
        <f>VLOOKUP([jobnumber],OvalData[],MATCH(Table2[[#Headers],[Grille Vision Section]],Table2[#Headers],0),0)</f>
        <v>0</v>
      </c>
      <c r="AB159" s="2">
        <f>VLOOKUP([jobnumber],OvalData[],MATCH(Table2[[#Headers],[Grille Amount]],Table2[#Headers],0),0)</f>
        <v>0</v>
      </c>
      <c r="AC159" s="2">
        <f>VLOOKUP([jobnumber],OvalData[],MATCH(Table2[[#Headers],[Grille Center]],Table2[#Headers],0),0)</f>
        <v>0</v>
      </c>
      <c r="AD159" s="2">
        <f>VLOOKUP([jobnumber],OvalData[],MATCH(Table2[[#Headers],[Grille Pattern]],Table2[#Headers],0),0)</f>
        <v>0</v>
      </c>
      <c r="AE159" s="2">
        <f>VLOOKUP([jobnumber],OvalData[],MATCH(Table2[[#Headers],[Grille First Tube]],Table2[#Headers],0),0)</f>
        <v>0</v>
      </c>
      <c r="AF159" s="2">
        <f>VLOOKUP([jobnumber],OvalData[],MATCH(Table2[[#Headers],[Grille Standard Tube]],Table2[#Headers],0),0)</f>
        <v>0</v>
      </c>
      <c r="AG159" s="2">
        <f>VLOOKUP([jobnumber],OvalData[],MATCH(Table2[[#Headers],[Grille Total Links]],Table2[#Headers],0),0)</f>
        <v>0</v>
      </c>
      <c r="AH159" s="2">
        <f>VLOOKUP([jobnumber],OvalData[],MATCH(Table2[[#Headers],[Grille Rods]],Table2[#Headers],0),0)</f>
        <v>0</v>
      </c>
      <c r="AI159" s="2">
        <f>VLOOKUP([jobnumber],OvalData[],MATCH(Table2[[#Headers],[Grille Rod Length]],Table2[#Headers],0),0)</f>
        <v>0</v>
      </c>
      <c r="AJ159" s="2">
        <f>VLOOKUP([jobnumber],OvalData[],MATCH(Table2[[#Headers],[slattype]],Table2[#Headers],0),0)</f>
        <v>2</v>
      </c>
      <c r="AK159" s="2">
        <f>VLOOKUP([jobnumber],OvalData[],MATCH(Table2[[#Headers],[slatgage]],Table2[#Headers],0),0)</f>
        <v>18</v>
      </c>
      <c r="AL159" s="2">
        <f>VLOOKUP([jobnumber],OvalData[],MATCH(Table2[[#Headers],[Numer of Top Slats]],Table2[#Headers],0),0)</f>
        <v>0</v>
      </c>
      <c r="AM159" s="2">
        <f>VLOOKUP([jobnumber],OvalData[],MATCH(Table2[[#Headers],[Number of Bottom Slats]],Table2[#Headers],0),0)</f>
        <v>0</v>
      </c>
      <c r="AN159" s="2">
        <f>VLOOKUP([jobnumber],OvalData[],MATCH(Table2[[#Headers],[Solid Bottom Height]],Table2[#Headers],0),0)</f>
        <v>0</v>
      </c>
      <c r="AO159" s="2" t="str">
        <f>VLOOKUP([jobnumber],OvalData[],MATCH(Table2[[#Headers],[slatlength]],Table2[#Headers],0),0)</f>
        <v xml:space="preserve"> 18 ft.- 5 7/ 8"</v>
      </c>
      <c r="AP159" s="2">
        <f>VLOOKUP([jobnumber],OvalData[],MATCH(Table2[[#Headers],[Bottom Slat Length]],Table2[#Headers],0),0)</f>
        <v>0</v>
      </c>
      <c r="AQ159" s="2">
        <f>VLOOKUP([jobnumber],OvalData[],MATCH(Table2[[#Headers],[Number of Perferated Slats]],Table2[#Headers],0),0)</f>
        <v>0</v>
      </c>
      <c r="AR159" s="2">
        <f>VLOOKUP([jobnumber],OvalData[],MATCH(Table2[[#Headers],[First Preferated Slat From End]],Table2[#Headers],0),0)</f>
        <v>0</v>
      </c>
      <c r="AS159" s="2">
        <f>VLOOKUP([jobnumber],OvalData[],MATCH(Table2[[#Headers],[First Preferated Slat From Bottom]],Table2[#Headers],0),0)</f>
        <v>0</v>
      </c>
      <c r="AT159" s="2">
        <f>VLOOKUP([jobnumber],OvalData[],MATCH(Table2[[#Headers],[Total Number of Slats]],Table2[#Headers],0),0)</f>
        <v>51</v>
      </c>
      <c r="AU159" s="2">
        <f>VLOOKUP([jobnumber],OvalData[],MATCH(Table2[[#Headers],[Bottom Bar Slope]],Table2[#Headers],0),0)</f>
        <v>0</v>
      </c>
      <c r="AV159" s="2">
        <f>VLOOKUP([jobnumber],OvalData[],MATCH(Table2[[#Headers],[Bottom Bar Weight]],Table2[#Headers],0),0)</f>
        <v>80.5</v>
      </c>
      <c r="AW159" s="2" t="str">
        <f>VLOOKUP([jobnumber],OvalData[],MATCH(Table2[[#Headers],[Outer Spring Gage]],Table2[#Headers],0),0)</f>
        <v>Null</v>
      </c>
      <c r="AX159" s="2" t="str">
        <f>VLOOKUP([jobnumber],OvalData[],MATCH(Table2[[#Headers],[Outer Spring OD]],Table2[#Headers],0),0)</f>
        <v>Null</v>
      </c>
      <c r="AY159" s="2" t="str">
        <f>VLOOKUP([jobnumber],OvalData[],MATCH(Table2[[#Headers],[Outer Spring Length]],Table2[#Headers],0),0)</f>
        <v>Null</v>
      </c>
      <c r="AZ159" s="2" t="str">
        <f>VLOOKUP([jobnumber],OvalData[],MATCH(Table2[[#Headers],[Outer Spring Stretch]],Table2[#Headers],0),0)</f>
        <v>Null</v>
      </c>
      <c r="BA159" s="2" t="str">
        <f>VLOOKUP([jobnumber],OvalData[],MATCH(Table2[[#Headers],[Outer Spring Torque]],Table2[#Headers],0),0)</f>
        <v>Null</v>
      </c>
      <c r="BB159" s="2" t="str">
        <f>VLOOKUP([jobnumber],OvalData[],MATCH(Table2[[#Headers],[Outer Spring Max Turns]],Table2[#Headers],0),0)</f>
        <v>Null</v>
      </c>
      <c r="BC159" s="2" t="str">
        <f>VLOOKUP([jobnumber],OvalData[],MATCH(Table2[[#Headers],[Outer Spring Weight]],Table2[#Headers],0),0)</f>
        <v>Null</v>
      </c>
      <c r="BD159" s="2" t="str">
        <f>VLOOKUP([jobnumber],OvalData[],MATCH(Table2[[#Headers],[Inner Spring Gage]],Table2[#Headers],0),0)</f>
        <v>Null</v>
      </c>
      <c r="BE159" s="2" t="str">
        <f>VLOOKUP([jobnumber],OvalData[],MATCH(Table2[[#Headers],[Inner Spring OD]],Table2[#Headers],0),0)</f>
        <v>Null</v>
      </c>
      <c r="BF159" s="2" t="str">
        <f>VLOOKUP([jobnumber],OvalData[],MATCH(Table2[[#Headers],[Inner Spring Length]],Table2[#Headers],0),0)</f>
        <v>Null</v>
      </c>
      <c r="BG159" s="2" t="str">
        <f>VLOOKUP([jobnumber],OvalData[],MATCH(Table2[[#Headers],[Inner Spring Stretch]],Table2[#Headers],0),0)</f>
        <v>Null</v>
      </c>
      <c r="BH159" s="2" t="str">
        <f>VLOOKUP([jobnumber],OvalData[],MATCH(Table2[[#Headers],[Inner Spring Torque]],Table2[#Headers],0),0)</f>
        <v>Null</v>
      </c>
      <c r="BI159" s="2" t="str">
        <f>VLOOKUP([jobnumber],OvalData[],MATCH(Table2[[#Headers],[Inner Spring Max Turns]],Table2[#Headers],0),0)</f>
        <v>Null</v>
      </c>
      <c r="BJ159" s="2" t="str">
        <f>VLOOKUP([jobnumber],OvalData[],MATCH(Table2[[#Headers],[Inner Spring Weight]],Table2[#Headers],0),0)</f>
        <v>Null</v>
      </c>
      <c r="BK159" s="2">
        <f>VLOOKUP([jobnumber],OvalData[],MATCH(Table2[[#Headers],[Cycles]],Table2[#Headers],0),0)</f>
        <v>0</v>
      </c>
      <c r="BL159" s="2">
        <f>VLOOKUP([jobnumber],OvalData[],MATCH(Table2[[#Headers],[Total Spring Torque]],Table2[#Headers],0),0)</f>
        <v>0</v>
      </c>
      <c r="BM159" s="2">
        <f>VLOOKUP([jobnumber],OvalData[],MATCH(Table2[[#Headers],[Total Spring Weight]],Table2[#Headers],0),0)</f>
        <v>0</v>
      </c>
      <c r="BN159" s="2">
        <f>VLOOKUP([jobnumber],OvalData[],MATCH(Table2[[#Headers],[Pipe Weight]],Table2[#Headers],0),0)</f>
        <v>688.24239999999998</v>
      </c>
      <c r="BO159" s="2">
        <f>VLOOKUP([jobnumber],OvalData[],MATCH(Table2[[#Headers],[Max Pipe Deflection]],Table2[#Headers],0),0)</f>
        <v>2309</v>
      </c>
      <c r="BP159" s="2">
        <f>VLOOKUP([jobnumber],OvalData[],MATCH(Table2[[#Headers],[Number Non-Insulated Wrap Slats]],Table2[#Headers],0),0)</f>
        <v>0</v>
      </c>
      <c r="BQ159" s="2">
        <f>VLOOKUP([jobnumber],OvalData[],MATCH(Table2[[#Headers],[Number of Insolated Top Slats]],Table2[#Headers],0),0)</f>
        <v>45</v>
      </c>
      <c r="BR159" s="2">
        <f>VLOOKUP([jobnumber],OvalData[],MATCH(Table2[[#Headers],[Insolated Total Slats]],Table2[#Headers],0),0)</f>
        <v>45</v>
      </c>
      <c r="BS159" s="2">
        <f>VLOOKUP([jobnumber],OvalData[],MATCH(Table2[[#Headers],[Number of Slats]],Table2[#Headers],0),0)</f>
        <v>44.69</v>
      </c>
      <c r="BT159" s="2">
        <f>VLOOKUP([jobnumber],OvalData[],MATCH(Table2[[#Headers],[Wrap]],Table2[#Headers],0),0)</f>
        <v>0</v>
      </c>
      <c r="BU159" s="2">
        <f>VLOOKUP([jobnumber],OvalData[],MATCH(Table2[[#Headers],[Wall Angle Thickness]],Table2[#Headers],0),0)</f>
        <v>0</v>
      </c>
      <c r="BV159" s="2">
        <f>VLOOKUP([jobnumber],OvalData[],MATCH(Table2[[#Headers],[windlocks]],Table2[#Headers],0),0)</f>
        <v>0</v>
      </c>
      <c r="BW159" s="2" t="str">
        <f>VLOOKUP([jobnumber],OvalData[],MATCH(Table2[[#Headers],[bottombartype]],Table2[#Headers],0),0)</f>
        <v>SPECIAL</v>
      </c>
      <c r="BX159" s="2">
        <f>VLOOKUP([jobnumber],OvalData[],MATCH(Table2[[#Headers],[endlockweight]],Table2[#Headers],0),0)</f>
        <v>0.17</v>
      </c>
      <c r="BY159" s="2">
        <f>VLOOKUP([jobnumber],OvalData[],MATCH(Table2[[#Headers],[Endlock Total Weight]],Table2[#Headers],0),0)</f>
        <v>7.5972999999999997</v>
      </c>
      <c r="BZ159" s="2">
        <f>VLOOKUP([jobnumber],OvalData[],MATCH(Table2[[#Headers],[Grille Weight]],Table2[#Headers],0),0)</f>
        <v>0</v>
      </c>
      <c r="CA159" s="2">
        <f>VLOOKUP([jobnumber],OvalData[],MATCH(Table2[[#Headers],[barrelrings]],Table2[#Headers],0),0)</f>
        <v>1</v>
      </c>
    </row>
    <row r="160" spans="2:79">
      <c r="B160" s="2" t="str">
        <f>VLOOKUP([jobnumber],OvalData[],MATCH(Table2[[#Headers],[Hand]],Table2[#Headers],0),0)</f>
        <v>RH</v>
      </c>
      <c r="C160" s="2" t="str">
        <f>VLOOKUP([jobnumber],OvalData[],MATCH(Table2[[#Headers],[Model]],Table2[#Headers],0),0)</f>
        <v>SFMPP</v>
      </c>
      <c r="D160" s="2" t="str">
        <f>VLOOKUP([jobnumber],OvalData[],MATCH(Table2[[#Headers],[width]],Table2[#Headers],0),0)</f>
        <v xml:space="preserve"> 18 ft.- 2"</v>
      </c>
      <c r="E160" s="2" t="str">
        <f>VLOOKUP([jobnumber],OvalData[],MATCH(Table2[[#Headers],[stopheight]],Table2[#Headers],0),0)</f>
        <v xml:space="preserve"> 10 ft.- 0"</v>
      </c>
      <c r="F160" s="2" t="str">
        <f>VLOOKUP([jobnumber],OvalData[],MATCH(Table2[[#Headers],[Between Brackets]],Table2[#Headers],0),0)</f>
        <v xml:space="preserve"> 18 ft.- 7 7/ 8"</v>
      </c>
      <c r="G160" s="2" t="str">
        <f>VLOOKUP([jobnumber],OvalData[],MATCH(Table2[[#Headers],[shell]],Table2[#Headers],0),0)</f>
        <v>6 INCH TUBE</v>
      </c>
      <c r="H160" s="2" t="str">
        <f>VLOOKUP([jobnumber],OvalData[],MATCH(Table2[[#Headers],[pipewidth]],Table2[#Headers],0),0)</f>
        <v xml:space="preserve"> 18 ft.- 1 3/ 8"</v>
      </c>
      <c r="I160" s="2">
        <f>VLOOKUP([jobnumber],OvalData[],MATCH(Table2[[#Headers],[Support Tubes]],Table2[#Headers],0),0)</f>
        <v>0</v>
      </c>
      <c r="J160" s="2">
        <f>VLOOKUP([jobnumber],OvalData[],MATCH(Table2[[#Headers],[Upset]],Table2[#Headers],0),0)</f>
        <v>2</v>
      </c>
      <c r="K160" s="2" t="str">
        <f>VLOOKUP([jobnumber],OvalData[],MATCH(Table2[[#Headers],[Guide Type]],Table2[#Headers],0),0)</f>
        <v>SN2-4 5/8-E</v>
      </c>
      <c r="L160" s="2" t="str">
        <f>VLOOKUP([jobnumber],OvalData[],MATCH(Table2[[#Headers],[Wall Angle]],Table2[#Headers],0),0)</f>
        <v xml:space="preserve"> 11 ft.- 8"</v>
      </c>
      <c r="M160" s="2" t="str">
        <f>VLOOKUP([jobnumber],OvalData[],MATCH(Table2[[#Headers],[Middle Angle]],Table2[#Headers],0),0)</f>
        <v xml:space="preserve"> 10 ft.- 4 1/ 2"</v>
      </c>
      <c r="N160" s="2" t="str">
        <f>VLOOKUP([jobnumber],OvalData[],MATCH(Table2[[#Headers],[Front Angle]],Table2[#Headers],0),0)</f>
        <v xml:space="preserve"> 10 ft.- 3"</v>
      </c>
      <c r="O160" s="2">
        <f>VLOOKUP([jobnumber],OvalData[],MATCH(Table2[[#Headers],[Pipe Center Line]],Table2[#Headers],0),0)</f>
        <v>131</v>
      </c>
      <c r="P160" s="2">
        <f>VLOOKUP([jobnumber],OvalData[],MATCH(Table2[[#Headers],[Heat Expansion Gap]],Table2[#Headers],0),0)</f>
        <v>0</v>
      </c>
      <c r="Q160" s="2">
        <f>VLOOKUP([jobnumber],OvalData[],MATCH(Table2[[#Headers],[Hanging Weight Closed]],Table2[#Headers],0),0)</f>
        <v>795</v>
      </c>
      <c r="R160" s="2">
        <f>VLOOKUP([jobnumber],OvalData[],MATCH(Table2[[#Headers],[Hanging Weight Open]],Table2[#Headers],0),0)</f>
        <v>140</v>
      </c>
      <c r="S160" s="2">
        <f>VLOOKUP([jobnumber],OvalData[],MATCH(Table2[[#Headers],[Initial Lever Arm]],Table2[#Headers],0),0)</f>
        <v>4.25</v>
      </c>
      <c r="T160" s="2">
        <f>VLOOKUP([jobnumber],OvalData[],MATCH(Table2[[#Headers],[Turns to Raise]],Table2[#Headers],0),0)</f>
        <v>3.5859999999999999</v>
      </c>
      <c r="U160" s="2">
        <f>VLOOKUP([jobnumber],OvalData[],MATCH(Table2[[#Headers],[Final Lever Arm]],Table2[#Headers],0),0)</f>
        <v>6.37</v>
      </c>
      <c r="V160" s="2">
        <f>VLOOKUP([jobnumber],OvalData[],MATCH(Table2[[#Headers],[Torque Required Closed]],Table2[#Headers],0),0)</f>
        <v>3377.9</v>
      </c>
      <c r="W160" s="2">
        <f>VLOOKUP([jobnumber],OvalData[],MATCH(Table2[[#Headers],[Torque Required Open]],Table2[#Headers],0),0)</f>
        <v>892</v>
      </c>
      <c r="X160" s="2">
        <f>VLOOKUP([jobnumber],OvalData[],MATCH(Table2[[#Headers],[Pre Turns]],Table2[#Headers],0),0)</f>
        <v>1.3332999999999999</v>
      </c>
      <c r="Y160" s="2">
        <f>VLOOKUP([jobnumber],OvalData[],MATCH(Table2[[#Headers],[Required Torque Per Turn]],Table2[#Headers],0),0)</f>
        <v>688</v>
      </c>
      <c r="Z160" s="2">
        <f>VLOOKUP([jobnumber],OvalData[],MATCH(Table2[[#Headers],[Total Turns]],Table2[#Headers],0),0)</f>
        <v>4.91</v>
      </c>
      <c r="AA160" s="2">
        <f>VLOOKUP([jobnumber],OvalData[],MATCH(Table2[[#Headers],[Grille Vision Section]],Table2[#Headers],0),0)</f>
        <v>0</v>
      </c>
      <c r="AB160" s="2">
        <f>VLOOKUP([jobnumber],OvalData[],MATCH(Table2[[#Headers],[Grille Amount]],Table2[#Headers],0),0)</f>
        <v>0</v>
      </c>
      <c r="AC160" s="2">
        <f>VLOOKUP([jobnumber],OvalData[],MATCH(Table2[[#Headers],[Grille Center]],Table2[#Headers],0),0)</f>
        <v>0</v>
      </c>
      <c r="AD160" s="2">
        <f>VLOOKUP([jobnumber],OvalData[],MATCH(Table2[[#Headers],[Grille Pattern]],Table2[#Headers],0),0)</f>
        <v>0</v>
      </c>
      <c r="AE160" s="2">
        <f>VLOOKUP([jobnumber],OvalData[],MATCH(Table2[[#Headers],[Grille First Tube]],Table2[#Headers],0),0)</f>
        <v>0</v>
      </c>
      <c r="AF160" s="2">
        <f>VLOOKUP([jobnumber],OvalData[],MATCH(Table2[[#Headers],[Grille Standard Tube]],Table2[#Headers],0),0)</f>
        <v>0</v>
      </c>
      <c r="AG160" s="2">
        <f>VLOOKUP([jobnumber],OvalData[],MATCH(Table2[[#Headers],[Grille Total Links]],Table2[#Headers],0),0)</f>
        <v>0</v>
      </c>
      <c r="AH160" s="2">
        <f>VLOOKUP([jobnumber],OvalData[],MATCH(Table2[[#Headers],[Grille Rods]],Table2[#Headers],0),0)</f>
        <v>0</v>
      </c>
      <c r="AI160" s="2">
        <f>VLOOKUP([jobnumber],OvalData[],MATCH(Table2[[#Headers],[Grille Rod Length]],Table2[#Headers],0),0)</f>
        <v>0</v>
      </c>
      <c r="AJ160" s="2">
        <f>VLOOKUP([jobnumber],OvalData[],MATCH(Table2[[#Headers],[slattype]],Table2[#Headers],0),0)</f>
        <v>2</v>
      </c>
      <c r="AK160" s="2">
        <f>VLOOKUP([jobnumber],OvalData[],MATCH(Table2[[#Headers],[slatgage]],Table2[#Headers],0),0)</f>
        <v>18</v>
      </c>
      <c r="AL160" s="2">
        <f>VLOOKUP([jobnumber],OvalData[],MATCH(Table2[[#Headers],[Numer of Top Slats]],Table2[#Headers],0),0)</f>
        <v>0</v>
      </c>
      <c r="AM160" s="2">
        <f>VLOOKUP([jobnumber],OvalData[],MATCH(Table2[[#Headers],[Number of Bottom Slats]],Table2[#Headers],0),0)</f>
        <v>0</v>
      </c>
      <c r="AN160" s="2">
        <f>VLOOKUP([jobnumber],OvalData[],MATCH(Table2[[#Headers],[Solid Bottom Height]],Table2[#Headers],0),0)</f>
        <v>0</v>
      </c>
      <c r="AO160" s="2" t="str">
        <f>VLOOKUP([jobnumber],OvalData[],MATCH(Table2[[#Headers],[slatlength]],Table2[#Headers],0),0)</f>
        <v xml:space="preserve"> 18 ft.- 5 7/ 8"</v>
      </c>
      <c r="AP160" s="2">
        <f>VLOOKUP([jobnumber],OvalData[],MATCH(Table2[[#Headers],[Bottom Slat Length]],Table2[#Headers],0),0)</f>
        <v>0</v>
      </c>
      <c r="AQ160" s="2">
        <f>VLOOKUP([jobnumber],OvalData[],MATCH(Table2[[#Headers],[Number of Perferated Slats]],Table2[#Headers],0),0)</f>
        <v>0</v>
      </c>
      <c r="AR160" s="2">
        <f>VLOOKUP([jobnumber],OvalData[],MATCH(Table2[[#Headers],[First Preferated Slat From End]],Table2[#Headers],0),0)</f>
        <v>0</v>
      </c>
      <c r="AS160" s="2">
        <f>VLOOKUP([jobnumber],OvalData[],MATCH(Table2[[#Headers],[First Preferated Slat From Bottom]],Table2[#Headers],0),0)</f>
        <v>0</v>
      </c>
      <c r="AT160" s="2">
        <f>VLOOKUP([jobnumber],OvalData[],MATCH(Table2[[#Headers],[Total Number of Slats]],Table2[#Headers],0),0)</f>
        <v>51</v>
      </c>
      <c r="AU160" s="2">
        <f>VLOOKUP([jobnumber],OvalData[],MATCH(Table2[[#Headers],[Bottom Bar Slope]],Table2[#Headers],0),0)</f>
        <v>0</v>
      </c>
      <c r="AV160" s="2">
        <f>VLOOKUP([jobnumber],OvalData[],MATCH(Table2[[#Headers],[Bottom Bar Weight]],Table2[#Headers],0),0)</f>
        <v>80.5</v>
      </c>
      <c r="AW160" s="2" t="str">
        <f>VLOOKUP([jobnumber],OvalData[],MATCH(Table2[[#Headers],[Outer Spring Gage]],Table2[#Headers],0),0)</f>
        <v>Null</v>
      </c>
      <c r="AX160" s="2" t="str">
        <f>VLOOKUP([jobnumber],OvalData[],MATCH(Table2[[#Headers],[Outer Spring OD]],Table2[#Headers],0),0)</f>
        <v>Null</v>
      </c>
      <c r="AY160" s="2" t="str">
        <f>VLOOKUP([jobnumber],OvalData[],MATCH(Table2[[#Headers],[Outer Spring Length]],Table2[#Headers],0),0)</f>
        <v>Null</v>
      </c>
      <c r="AZ160" s="2" t="str">
        <f>VLOOKUP([jobnumber],OvalData[],MATCH(Table2[[#Headers],[Outer Spring Stretch]],Table2[#Headers],0),0)</f>
        <v>Null</v>
      </c>
      <c r="BA160" s="2" t="str">
        <f>VLOOKUP([jobnumber],OvalData[],MATCH(Table2[[#Headers],[Outer Spring Torque]],Table2[#Headers],0),0)</f>
        <v>Null</v>
      </c>
      <c r="BB160" s="2" t="str">
        <f>VLOOKUP([jobnumber],OvalData[],MATCH(Table2[[#Headers],[Outer Spring Max Turns]],Table2[#Headers],0),0)</f>
        <v>Null</v>
      </c>
      <c r="BC160" s="2" t="str">
        <f>VLOOKUP([jobnumber],OvalData[],MATCH(Table2[[#Headers],[Outer Spring Weight]],Table2[#Headers],0),0)</f>
        <v>Null</v>
      </c>
      <c r="BD160" s="2" t="str">
        <f>VLOOKUP([jobnumber],OvalData[],MATCH(Table2[[#Headers],[Inner Spring Gage]],Table2[#Headers],0),0)</f>
        <v>Null</v>
      </c>
      <c r="BE160" s="2" t="str">
        <f>VLOOKUP([jobnumber],OvalData[],MATCH(Table2[[#Headers],[Inner Spring OD]],Table2[#Headers],0),0)</f>
        <v>Null</v>
      </c>
      <c r="BF160" s="2" t="str">
        <f>VLOOKUP([jobnumber],OvalData[],MATCH(Table2[[#Headers],[Inner Spring Length]],Table2[#Headers],0),0)</f>
        <v>Null</v>
      </c>
      <c r="BG160" s="2" t="str">
        <f>VLOOKUP([jobnumber],OvalData[],MATCH(Table2[[#Headers],[Inner Spring Stretch]],Table2[#Headers],0),0)</f>
        <v>Null</v>
      </c>
      <c r="BH160" s="2" t="str">
        <f>VLOOKUP([jobnumber],OvalData[],MATCH(Table2[[#Headers],[Inner Spring Torque]],Table2[#Headers],0),0)</f>
        <v>Null</v>
      </c>
      <c r="BI160" s="2" t="str">
        <f>VLOOKUP([jobnumber],OvalData[],MATCH(Table2[[#Headers],[Inner Spring Max Turns]],Table2[#Headers],0),0)</f>
        <v>Null</v>
      </c>
      <c r="BJ160" s="2" t="str">
        <f>VLOOKUP([jobnumber],OvalData[],MATCH(Table2[[#Headers],[Inner Spring Weight]],Table2[#Headers],0),0)</f>
        <v>Null</v>
      </c>
      <c r="BK160" s="2">
        <f>VLOOKUP([jobnumber],OvalData[],MATCH(Table2[[#Headers],[Cycles]],Table2[#Headers],0),0)</f>
        <v>0</v>
      </c>
      <c r="BL160" s="2">
        <f>VLOOKUP([jobnumber],OvalData[],MATCH(Table2[[#Headers],[Total Spring Torque]],Table2[#Headers],0),0)</f>
        <v>0</v>
      </c>
      <c r="BM160" s="2">
        <f>VLOOKUP([jobnumber],OvalData[],MATCH(Table2[[#Headers],[Total Spring Weight]],Table2[#Headers],0),0)</f>
        <v>0</v>
      </c>
      <c r="BN160" s="2">
        <f>VLOOKUP([jobnumber],OvalData[],MATCH(Table2[[#Headers],[Pipe Weight]],Table2[#Headers],0),0)</f>
        <v>688.24239999999998</v>
      </c>
      <c r="BO160" s="2">
        <f>VLOOKUP([jobnumber],OvalData[],MATCH(Table2[[#Headers],[Max Pipe Deflection]],Table2[#Headers],0),0)</f>
        <v>2309</v>
      </c>
      <c r="BP160" s="2">
        <f>VLOOKUP([jobnumber],OvalData[],MATCH(Table2[[#Headers],[Number Non-Insulated Wrap Slats]],Table2[#Headers],0),0)</f>
        <v>0</v>
      </c>
      <c r="BQ160" s="2">
        <f>VLOOKUP([jobnumber],OvalData[],MATCH(Table2[[#Headers],[Number of Insolated Top Slats]],Table2[#Headers],0),0)</f>
        <v>45</v>
      </c>
      <c r="BR160" s="2">
        <f>VLOOKUP([jobnumber],OvalData[],MATCH(Table2[[#Headers],[Insolated Total Slats]],Table2[#Headers],0),0)</f>
        <v>45</v>
      </c>
      <c r="BS160" s="2">
        <f>VLOOKUP([jobnumber],OvalData[],MATCH(Table2[[#Headers],[Number of Slats]],Table2[#Headers],0),0)</f>
        <v>44.69</v>
      </c>
      <c r="BT160" s="2">
        <f>VLOOKUP([jobnumber],OvalData[],MATCH(Table2[[#Headers],[Wrap]],Table2[#Headers],0),0)</f>
        <v>0</v>
      </c>
      <c r="BU160" s="2">
        <f>VLOOKUP([jobnumber],OvalData[],MATCH(Table2[[#Headers],[Wall Angle Thickness]],Table2[#Headers],0),0)</f>
        <v>0</v>
      </c>
      <c r="BV160" s="2">
        <f>VLOOKUP([jobnumber],OvalData[],MATCH(Table2[[#Headers],[windlocks]],Table2[#Headers],0),0)</f>
        <v>0</v>
      </c>
      <c r="BW160" s="2" t="str">
        <f>VLOOKUP([jobnumber],OvalData[],MATCH(Table2[[#Headers],[bottombartype]],Table2[#Headers],0),0)</f>
        <v>SPECIAL</v>
      </c>
      <c r="BX160" s="2">
        <f>VLOOKUP([jobnumber],OvalData[],MATCH(Table2[[#Headers],[endlockweight]],Table2[#Headers],0),0)</f>
        <v>0.17</v>
      </c>
      <c r="BY160" s="2">
        <f>VLOOKUP([jobnumber],OvalData[],MATCH(Table2[[#Headers],[Endlock Total Weight]],Table2[#Headers],0),0)</f>
        <v>7.5972999999999997</v>
      </c>
      <c r="BZ160" s="2">
        <f>VLOOKUP([jobnumber],OvalData[],MATCH(Table2[[#Headers],[Grille Weight]],Table2[#Headers],0),0)</f>
        <v>0</v>
      </c>
      <c r="CA160" s="2">
        <f>VLOOKUP([jobnumber],OvalData[],MATCH(Table2[[#Headers],[barrelrings]],Table2[#Headers],0),0)</f>
        <v>1</v>
      </c>
    </row>
    <row r="161" spans="2:79">
      <c r="B161" s="2" t="str">
        <f>VLOOKUP([jobnumber],OvalData[],MATCH(Table2[[#Headers],[Hand]],Table2[#Headers],0),0)</f>
        <v>RH</v>
      </c>
      <c r="C161" s="2" t="str">
        <f>VLOOKUP([jobnumber],OvalData[],MATCH(Table2[[#Headers],[Model]],Table2[#Headers],0),0)</f>
        <v>SFMPP</v>
      </c>
      <c r="D161" s="2" t="str">
        <f>VLOOKUP([jobnumber],OvalData[],MATCH(Table2[[#Headers],[width]],Table2[#Headers],0),0)</f>
        <v xml:space="preserve"> 18 ft.- 2"</v>
      </c>
      <c r="E161" s="2" t="str">
        <f>VLOOKUP([jobnumber],OvalData[],MATCH(Table2[[#Headers],[stopheight]],Table2[#Headers],0),0)</f>
        <v xml:space="preserve"> 10 ft.- 0"</v>
      </c>
      <c r="F161" s="2" t="str">
        <f>VLOOKUP([jobnumber],OvalData[],MATCH(Table2[[#Headers],[Between Brackets]],Table2[#Headers],0),0)</f>
        <v xml:space="preserve"> 18 ft.- 7 7/ 8"</v>
      </c>
      <c r="G161" s="2" t="str">
        <f>VLOOKUP([jobnumber],OvalData[],MATCH(Table2[[#Headers],[shell]],Table2[#Headers],0),0)</f>
        <v>6 INCH TUBE</v>
      </c>
      <c r="H161" s="2" t="str">
        <f>VLOOKUP([jobnumber],OvalData[],MATCH(Table2[[#Headers],[pipewidth]],Table2[#Headers],0),0)</f>
        <v xml:space="preserve"> 18 ft.- 1 3/ 8"</v>
      </c>
      <c r="I161" s="2">
        <f>VLOOKUP([jobnumber],OvalData[],MATCH(Table2[[#Headers],[Support Tubes]],Table2[#Headers],0),0)</f>
        <v>0</v>
      </c>
      <c r="J161" s="2">
        <f>VLOOKUP([jobnumber],OvalData[],MATCH(Table2[[#Headers],[Upset]],Table2[#Headers],0),0)</f>
        <v>2</v>
      </c>
      <c r="K161" s="2" t="str">
        <f>VLOOKUP([jobnumber],OvalData[],MATCH(Table2[[#Headers],[Guide Type]],Table2[#Headers],0),0)</f>
        <v>SN2-4 5/8-E</v>
      </c>
      <c r="L161" s="2" t="str">
        <f>VLOOKUP([jobnumber],OvalData[],MATCH(Table2[[#Headers],[Wall Angle]],Table2[#Headers],0),0)</f>
        <v xml:space="preserve"> 11 ft.- 8"</v>
      </c>
      <c r="M161" s="2" t="str">
        <f>VLOOKUP([jobnumber],OvalData[],MATCH(Table2[[#Headers],[Middle Angle]],Table2[#Headers],0),0)</f>
        <v xml:space="preserve"> 10 ft.- 4 1/ 2"</v>
      </c>
      <c r="N161" s="2" t="str">
        <f>VLOOKUP([jobnumber],OvalData[],MATCH(Table2[[#Headers],[Front Angle]],Table2[#Headers],0),0)</f>
        <v xml:space="preserve"> 10 ft.- 3"</v>
      </c>
      <c r="O161" s="2">
        <f>VLOOKUP([jobnumber],OvalData[],MATCH(Table2[[#Headers],[Pipe Center Line]],Table2[#Headers],0),0)</f>
        <v>131</v>
      </c>
      <c r="P161" s="2">
        <f>VLOOKUP([jobnumber],OvalData[],MATCH(Table2[[#Headers],[Heat Expansion Gap]],Table2[#Headers],0),0)</f>
        <v>0</v>
      </c>
      <c r="Q161" s="2">
        <f>VLOOKUP([jobnumber],OvalData[],MATCH(Table2[[#Headers],[Hanging Weight Closed]],Table2[#Headers],0),0)</f>
        <v>795</v>
      </c>
      <c r="R161" s="2">
        <f>VLOOKUP([jobnumber],OvalData[],MATCH(Table2[[#Headers],[Hanging Weight Open]],Table2[#Headers],0),0)</f>
        <v>140</v>
      </c>
      <c r="S161" s="2">
        <f>VLOOKUP([jobnumber],OvalData[],MATCH(Table2[[#Headers],[Initial Lever Arm]],Table2[#Headers],0),0)</f>
        <v>4.25</v>
      </c>
      <c r="T161" s="2">
        <f>VLOOKUP([jobnumber],OvalData[],MATCH(Table2[[#Headers],[Turns to Raise]],Table2[#Headers],0),0)</f>
        <v>3.5859999999999999</v>
      </c>
      <c r="U161" s="2">
        <f>VLOOKUP([jobnumber],OvalData[],MATCH(Table2[[#Headers],[Final Lever Arm]],Table2[#Headers],0),0)</f>
        <v>6.37</v>
      </c>
      <c r="V161" s="2">
        <f>VLOOKUP([jobnumber],OvalData[],MATCH(Table2[[#Headers],[Torque Required Closed]],Table2[#Headers],0),0)</f>
        <v>3377.9</v>
      </c>
      <c r="W161" s="2">
        <f>VLOOKUP([jobnumber],OvalData[],MATCH(Table2[[#Headers],[Torque Required Open]],Table2[#Headers],0),0)</f>
        <v>892</v>
      </c>
      <c r="X161" s="2">
        <f>VLOOKUP([jobnumber],OvalData[],MATCH(Table2[[#Headers],[Pre Turns]],Table2[#Headers],0),0)</f>
        <v>1.3332999999999999</v>
      </c>
      <c r="Y161" s="2">
        <f>VLOOKUP([jobnumber],OvalData[],MATCH(Table2[[#Headers],[Required Torque Per Turn]],Table2[#Headers],0),0)</f>
        <v>688</v>
      </c>
      <c r="Z161" s="2">
        <f>VLOOKUP([jobnumber],OvalData[],MATCH(Table2[[#Headers],[Total Turns]],Table2[#Headers],0),0)</f>
        <v>4.91</v>
      </c>
      <c r="AA161" s="2">
        <f>VLOOKUP([jobnumber],OvalData[],MATCH(Table2[[#Headers],[Grille Vision Section]],Table2[#Headers],0),0)</f>
        <v>0</v>
      </c>
      <c r="AB161" s="2">
        <f>VLOOKUP([jobnumber],OvalData[],MATCH(Table2[[#Headers],[Grille Amount]],Table2[#Headers],0),0)</f>
        <v>0</v>
      </c>
      <c r="AC161" s="2">
        <f>VLOOKUP([jobnumber],OvalData[],MATCH(Table2[[#Headers],[Grille Center]],Table2[#Headers],0),0)</f>
        <v>0</v>
      </c>
      <c r="AD161" s="2">
        <f>VLOOKUP([jobnumber],OvalData[],MATCH(Table2[[#Headers],[Grille Pattern]],Table2[#Headers],0),0)</f>
        <v>0</v>
      </c>
      <c r="AE161" s="2">
        <f>VLOOKUP([jobnumber],OvalData[],MATCH(Table2[[#Headers],[Grille First Tube]],Table2[#Headers],0),0)</f>
        <v>0</v>
      </c>
      <c r="AF161" s="2">
        <f>VLOOKUP([jobnumber],OvalData[],MATCH(Table2[[#Headers],[Grille Standard Tube]],Table2[#Headers],0),0)</f>
        <v>0</v>
      </c>
      <c r="AG161" s="2">
        <f>VLOOKUP([jobnumber],OvalData[],MATCH(Table2[[#Headers],[Grille Total Links]],Table2[#Headers],0),0)</f>
        <v>0</v>
      </c>
      <c r="AH161" s="2">
        <f>VLOOKUP([jobnumber],OvalData[],MATCH(Table2[[#Headers],[Grille Rods]],Table2[#Headers],0),0)</f>
        <v>0</v>
      </c>
      <c r="AI161" s="2">
        <f>VLOOKUP([jobnumber],OvalData[],MATCH(Table2[[#Headers],[Grille Rod Length]],Table2[#Headers],0),0)</f>
        <v>0</v>
      </c>
      <c r="AJ161" s="2">
        <f>VLOOKUP([jobnumber],OvalData[],MATCH(Table2[[#Headers],[slattype]],Table2[#Headers],0),0)</f>
        <v>2</v>
      </c>
      <c r="AK161" s="2">
        <f>VLOOKUP([jobnumber],OvalData[],MATCH(Table2[[#Headers],[slatgage]],Table2[#Headers],0),0)</f>
        <v>18</v>
      </c>
      <c r="AL161" s="2">
        <f>VLOOKUP([jobnumber],OvalData[],MATCH(Table2[[#Headers],[Numer of Top Slats]],Table2[#Headers],0),0)</f>
        <v>0</v>
      </c>
      <c r="AM161" s="2">
        <f>VLOOKUP([jobnumber],OvalData[],MATCH(Table2[[#Headers],[Number of Bottom Slats]],Table2[#Headers],0),0)</f>
        <v>0</v>
      </c>
      <c r="AN161" s="2">
        <f>VLOOKUP([jobnumber],OvalData[],MATCH(Table2[[#Headers],[Solid Bottom Height]],Table2[#Headers],0),0)</f>
        <v>0</v>
      </c>
      <c r="AO161" s="2" t="str">
        <f>VLOOKUP([jobnumber],OvalData[],MATCH(Table2[[#Headers],[slatlength]],Table2[#Headers],0),0)</f>
        <v xml:space="preserve"> 18 ft.- 5 7/ 8"</v>
      </c>
      <c r="AP161" s="2">
        <f>VLOOKUP([jobnumber],OvalData[],MATCH(Table2[[#Headers],[Bottom Slat Length]],Table2[#Headers],0),0)</f>
        <v>0</v>
      </c>
      <c r="AQ161" s="2">
        <f>VLOOKUP([jobnumber],OvalData[],MATCH(Table2[[#Headers],[Number of Perferated Slats]],Table2[#Headers],0),0)</f>
        <v>0</v>
      </c>
      <c r="AR161" s="2">
        <f>VLOOKUP([jobnumber],OvalData[],MATCH(Table2[[#Headers],[First Preferated Slat From End]],Table2[#Headers],0),0)</f>
        <v>0</v>
      </c>
      <c r="AS161" s="2">
        <f>VLOOKUP([jobnumber],OvalData[],MATCH(Table2[[#Headers],[First Preferated Slat From Bottom]],Table2[#Headers],0),0)</f>
        <v>0</v>
      </c>
      <c r="AT161" s="2">
        <f>VLOOKUP([jobnumber],OvalData[],MATCH(Table2[[#Headers],[Total Number of Slats]],Table2[#Headers],0),0)</f>
        <v>51</v>
      </c>
      <c r="AU161" s="2">
        <f>VLOOKUP([jobnumber],OvalData[],MATCH(Table2[[#Headers],[Bottom Bar Slope]],Table2[#Headers],0),0)</f>
        <v>0</v>
      </c>
      <c r="AV161" s="2">
        <f>VLOOKUP([jobnumber],OvalData[],MATCH(Table2[[#Headers],[Bottom Bar Weight]],Table2[#Headers],0),0)</f>
        <v>80.5</v>
      </c>
      <c r="AW161" s="2" t="str">
        <f>VLOOKUP([jobnumber],OvalData[],MATCH(Table2[[#Headers],[Outer Spring Gage]],Table2[#Headers],0),0)</f>
        <v>Null</v>
      </c>
      <c r="AX161" s="2" t="str">
        <f>VLOOKUP([jobnumber],OvalData[],MATCH(Table2[[#Headers],[Outer Spring OD]],Table2[#Headers],0),0)</f>
        <v>Null</v>
      </c>
      <c r="AY161" s="2" t="str">
        <f>VLOOKUP([jobnumber],OvalData[],MATCH(Table2[[#Headers],[Outer Spring Length]],Table2[#Headers],0),0)</f>
        <v>Null</v>
      </c>
      <c r="AZ161" s="2" t="str">
        <f>VLOOKUP([jobnumber],OvalData[],MATCH(Table2[[#Headers],[Outer Spring Stretch]],Table2[#Headers],0),0)</f>
        <v>Null</v>
      </c>
      <c r="BA161" s="2" t="str">
        <f>VLOOKUP([jobnumber],OvalData[],MATCH(Table2[[#Headers],[Outer Spring Torque]],Table2[#Headers],0),0)</f>
        <v>Null</v>
      </c>
      <c r="BB161" s="2" t="str">
        <f>VLOOKUP([jobnumber],OvalData[],MATCH(Table2[[#Headers],[Outer Spring Max Turns]],Table2[#Headers],0),0)</f>
        <v>Null</v>
      </c>
      <c r="BC161" s="2" t="str">
        <f>VLOOKUP([jobnumber],OvalData[],MATCH(Table2[[#Headers],[Outer Spring Weight]],Table2[#Headers],0),0)</f>
        <v>Null</v>
      </c>
      <c r="BD161" s="2" t="str">
        <f>VLOOKUP([jobnumber],OvalData[],MATCH(Table2[[#Headers],[Inner Spring Gage]],Table2[#Headers],0),0)</f>
        <v>Null</v>
      </c>
      <c r="BE161" s="2" t="str">
        <f>VLOOKUP([jobnumber],OvalData[],MATCH(Table2[[#Headers],[Inner Spring OD]],Table2[#Headers],0),0)</f>
        <v>Null</v>
      </c>
      <c r="BF161" s="2" t="str">
        <f>VLOOKUP([jobnumber],OvalData[],MATCH(Table2[[#Headers],[Inner Spring Length]],Table2[#Headers],0),0)</f>
        <v>Null</v>
      </c>
      <c r="BG161" s="2" t="str">
        <f>VLOOKUP([jobnumber],OvalData[],MATCH(Table2[[#Headers],[Inner Spring Stretch]],Table2[#Headers],0),0)</f>
        <v>Null</v>
      </c>
      <c r="BH161" s="2" t="str">
        <f>VLOOKUP([jobnumber],OvalData[],MATCH(Table2[[#Headers],[Inner Spring Torque]],Table2[#Headers],0),0)</f>
        <v>Null</v>
      </c>
      <c r="BI161" s="2" t="str">
        <f>VLOOKUP([jobnumber],OvalData[],MATCH(Table2[[#Headers],[Inner Spring Max Turns]],Table2[#Headers],0),0)</f>
        <v>Null</v>
      </c>
      <c r="BJ161" s="2" t="str">
        <f>VLOOKUP([jobnumber],OvalData[],MATCH(Table2[[#Headers],[Inner Spring Weight]],Table2[#Headers],0),0)</f>
        <v>Null</v>
      </c>
      <c r="BK161" s="2">
        <f>VLOOKUP([jobnumber],OvalData[],MATCH(Table2[[#Headers],[Cycles]],Table2[#Headers],0),0)</f>
        <v>0</v>
      </c>
      <c r="BL161" s="2">
        <f>VLOOKUP([jobnumber],OvalData[],MATCH(Table2[[#Headers],[Total Spring Torque]],Table2[#Headers],0),0)</f>
        <v>0</v>
      </c>
      <c r="BM161" s="2">
        <f>VLOOKUP([jobnumber],OvalData[],MATCH(Table2[[#Headers],[Total Spring Weight]],Table2[#Headers],0),0)</f>
        <v>0</v>
      </c>
      <c r="BN161" s="2">
        <f>VLOOKUP([jobnumber],OvalData[],MATCH(Table2[[#Headers],[Pipe Weight]],Table2[#Headers],0),0)</f>
        <v>688.24239999999998</v>
      </c>
      <c r="BO161" s="2">
        <f>VLOOKUP([jobnumber],OvalData[],MATCH(Table2[[#Headers],[Max Pipe Deflection]],Table2[#Headers],0),0)</f>
        <v>2309</v>
      </c>
      <c r="BP161" s="2">
        <f>VLOOKUP([jobnumber],OvalData[],MATCH(Table2[[#Headers],[Number Non-Insulated Wrap Slats]],Table2[#Headers],0),0)</f>
        <v>0</v>
      </c>
      <c r="BQ161" s="2">
        <f>VLOOKUP([jobnumber],OvalData[],MATCH(Table2[[#Headers],[Number of Insolated Top Slats]],Table2[#Headers],0),0)</f>
        <v>45</v>
      </c>
      <c r="BR161" s="2">
        <f>VLOOKUP([jobnumber],OvalData[],MATCH(Table2[[#Headers],[Insolated Total Slats]],Table2[#Headers],0),0)</f>
        <v>45</v>
      </c>
      <c r="BS161" s="2">
        <f>VLOOKUP([jobnumber],OvalData[],MATCH(Table2[[#Headers],[Number of Slats]],Table2[#Headers],0),0)</f>
        <v>44.69</v>
      </c>
      <c r="BT161" s="2">
        <f>VLOOKUP([jobnumber],OvalData[],MATCH(Table2[[#Headers],[Wrap]],Table2[#Headers],0),0)</f>
        <v>0</v>
      </c>
      <c r="BU161" s="2">
        <f>VLOOKUP([jobnumber],OvalData[],MATCH(Table2[[#Headers],[Wall Angle Thickness]],Table2[#Headers],0),0)</f>
        <v>0</v>
      </c>
      <c r="BV161" s="2">
        <f>VLOOKUP([jobnumber],OvalData[],MATCH(Table2[[#Headers],[windlocks]],Table2[#Headers],0),0)</f>
        <v>0</v>
      </c>
      <c r="BW161" s="2" t="str">
        <f>VLOOKUP([jobnumber],OvalData[],MATCH(Table2[[#Headers],[bottombartype]],Table2[#Headers],0),0)</f>
        <v>SPECIAL</v>
      </c>
      <c r="BX161" s="2">
        <f>VLOOKUP([jobnumber],OvalData[],MATCH(Table2[[#Headers],[endlockweight]],Table2[#Headers],0),0)</f>
        <v>0.17</v>
      </c>
      <c r="BY161" s="2">
        <f>VLOOKUP([jobnumber],OvalData[],MATCH(Table2[[#Headers],[Endlock Total Weight]],Table2[#Headers],0),0)</f>
        <v>7.5972999999999997</v>
      </c>
      <c r="BZ161" s="2">
        <f>VLOOKUP([jobnumber],OvalData[],MATCH(Table2[[#Headers],[Grille Weight]],Table2[#Headers],0),0)</f>
        <v>0</v>
      </c>
      <c r="CA161" s="2">
        <f>VLOOKUP([jobnumber],OvalData[],MATCH(Table2[[#Headers],[barrelrings]],Table2[#Headers],0),0)</f>
        <v>1</v>
      </c>
    </row>
    <row r="162" spans="2:79">
      <c r="B162" s="2" t="str">
        <f>VLOOKUP([jobnumber],OvalData[],MATCH(Table2[[#Headers],[Hand]],Table2[#Headers],0),0)</f>
        <v>RH</v>
      </c>
      <c r="C162" s="2" t="str">
        <f>VLOOKUP([jobnumber],OvalData[],MATCH(Table2[[#Headers],[Model]],Table2[#Headers],0),0)</f>
        <v>SFMPP</v>
      </c>
      <c r="D162" s="2" t="str">
        <f>VLOOKUP([jobnumber],OvalData[],MATCH(Table2[[#Headers],[width]],Table2[#Headers],0),0)</f>
        <v xml:space="preserve"> 18 ft.- 2"</v>
      </c>
      <c r="E162" s="2" t="str">
        <f>VLOOKUP([jobnumber],OvalData[],MATCH(Table2[[#Headers],[stopheight]],Table2[#Headers],0),0)</f>
        <v xml:space="preserve"> 10 ft.- 0"</v>
      </c>
      <c r="F162" s="2" t="str">
        <f>VLOOKUP([jobnumber],OvalData[],MATCH(Table2[[#Headers],[Between Brackets]],Table2[#Headers],0),0)</f>
        <v xml:space="preserve"> 18 ft.- 7 7/ 8"</v>
      </c>
      <c r="G162" s="2" t="str">
        <f>VLOOKUP([jobnumber],OvalData[],MATCH(Table2[[#Headers],[shell]],Table2[#Headers],0),0)</f>
        <v>6 INCH TUBE</v>
      </c>
      <c r="H162" s="2" t="str">
        <f>VLOOKUP([jobnumber],OvalData[],MATCH(Table2[[#Headers],[pipewidth]],Table2[#Headers],0),0)</f>
        <v xml:space="preserve"> 18 ft.- 1 3/ 8"</v>
      </c>
      <c r="I162" s="2">
        <f>VLOOKUP([jobnumber],OvalData[],MATCH(Table2[[#Headers],[Support Tubes]],Table2[#Headers],0),0)</f>
        <v>0</v>
      </c>
      <c r="J162" s="2">
        <f>VLOOKUP([jobnumber],OvalData[],MATCH(Table2[[#Headers],[Upset]],Table2[#Headers],0),0)</f>
        <v>2</v>
      </c>
      <c r="K162" s="2" t="str">
        <f>VLOOKUP([jobnumber],OvalData[],MATCH(Table2[[#Headers],[Guide Type]],Table2[#Headers],0),0)</f>
        <v>SN2-4 5/8-E</v>
      </c>
      <c r="L162" s="2" t="str">
        <f>VLOOKUP([jobnumber],OvalData[],MATCH(Table2[[#Headers],[Wall Angle]],Table2[#Headers],0),0)</f>
        <v xml:space="preserve"> 11 ft.- 8"</v>
      </c>
      <c r="M162" s="2" t="str">
        <f>VLOOKUP([jobnumber],OvalData[],MATCH(Table2[[#Headers],[Middle Angle]],Table2[#Headers],0),0)</f>
        <v xml:space="preserve"> 10 ft.- 4 1/ 2"</v>
      </c>
      <c r="N162" s="2" t="str">
        <f>VLOOKUP([jobnumber],OvalData[],MATCH(Table2[[#Headers],[Front Angle]],Table2[#Headers],0),0)</f>
        <v xml:space="preserve"> 10 ft.- 3"</v>
      </c>
      <c r="O162" s="2">
        <f>VLOOKUP([jobnumber],OvalData[],MATCH(Table2[[#Headers],[Pipe Center Line]],Table2[#Headers],0),0)</f>
        <v>131</v>
      </c>
      <c r="P162" s="2">
        <f>VLOOKUP([jobnumber],OvalData[],MATCH(Table2[[#Headers],[Heat Expansion Gap]],Table2[#Headers],0),0)</f>
        <v>0</v>
      </c>
      <c r="Q162" s="2">
        <f>VLOOKUP([jobnumber],OvalData[],MATCH(Table2[[#Headers],[Hanging Weight Closed]],Table2[#Headers],0),0)</f>
        <v>795</v>
      </c>
      <c r="R162" s="2">
        <f>VLOOKUP([jobnumber],OvalData[],MATCH(Table2[[#Headers],[Hanging Weight Open]],Table2[#Headers],0),0)</f>
        <v>140</v>
      </c>
      <c r="S162" s="2">
        <f>VLOOKUP([jobnumber],OvalData[],MATCH(Table2[[#Headers],[Initial Lever Arm]],Table2[#Headers],0),0)</f>
        <v>4.25</v>
      </c>
      <c r="T162" s="2">
        <f>VLOOKUP([jobnumber],OvalData[],MATCH(Table2[[#Headers],[Turns to Raise]],Table2[#Headers],0),0)</f>
        <v>3.5859999999999999</v>
      </c>
      <c r="U162" s="2">
        <f>VLOOKUP([jobnumber],OvalData[],MATCH(Table2[[#Headers],[Final Lever Arm]],Table2[#Headers],0),0)</f>
        <v>6.37</v>
      </c>
      <c r="V162" s="2">
        <f>VLOOKUP([jobnumber],OvalData[],MATCH(Table2[[#Headers],[Torque Required Closed]],Table2[#Headers],0),0)</f>
        <v>3377.9</v>
      </c>
      <c r="W162" s="2">
        <f>VLOOKUP([jobnumber],OvalData[],MATCH(Table2[[#Headers],[Torque Required Open]],Table2[#Headers],0),0)</f>
        <v>892</v>
      </c>
      <c r="X162" s="2">
        <f>VLOOKUP([jobnumber],OvalData[],MATCH(Table2[[#Headers],[Pre Turns]],Table2[#Headers],0),0)</f>
        <v>1.3332999999999999</v>
      </c>
      <c r="Y162" s="2">
        <f>VLOOKUP([jobnumber],OvalData[],MATCH(Table2[[#Headers],[Required Torque Per Turn]],Table2[#Headers],0),0)</f>
        <v>688</v>
      </c>
      <c r="Z162" s="2">
        <f>VLOOKUP([jobnumber],OvalData[],MATCH(Table2[[#Headers],[Total Turns]],Table2[#Headers],0),0)</f>
        <v>4.91</v>
      </c>
      <c r="AA162" s="2">
        <f>VLOOKUP([jobnumber],OvalData[],MATCH(Table2[[#Headers],[Grille Vision Section]],Table2[#Headers],0),0)</f>
        <v>0</v>
      </c>
      <c r="AB162" s="2">
        <f>VLOOKUP([jobnumber],OvalData[],MATCH(Table2[[#Headers],[Grille Amount]],Table2[#Headers],0),0)</f>
        <v>0</v>
      </c>
      <c r="AC162" s="2">
        <f>VLOOKUP([jobnumber],OvalData[],MATCH(Table2[[#Headers],[Grille Center]],Table2[#Headers],0),0)</f>
        <v>0</v>
      </c>
      <c r="AD162" s="2">
        <f>VLOOKUP([jobnumber],OvalData[],MATCH(Table2[[#Headers],[Grille Pattern]],Table2[#Headers],0),0)</f>
        <v>0</v>
      </c>
      <c r="AE162" s="2">
        <f>VLOOKUP([jobnumber],OvalData[],MATCH(Table2[[#Headers],[Grille First Tube]],Table2[#Headers],0),0)</f>
        <v>0</v>
      </c>
      <c r="AF162" s="2">
        <f>VLOOKUP([jobnumber],OvalData[],MATCH(Table2[[#Headers],[Grille Standard Tube]],Table2[#Headers],0),0)</f>
        <v>0</v>
      </c>
      <c r="AG162" s="2">
        <f>VLOOKUP([jobnumber],OvalData[],MATCH(Table2[[#Headers],[Grille Total Links]],Table2[#Headers],0),0)</f>
        <v>0</v>
      </c>
      <c r="AH162" s="2">
        <f>VLOOKUP([jobnumber],OvalData[],MATCH(Table2[[#Headers],[Grille Rods]],Table2[#Headers],0),0)</f>
        <v>0</v>
      </c>
      <c r="AI162" s="2">
        <f>VLOOKUP([jobnumber],OvalData[],MATCH(Table2[[#Headers],[Grille Rod Length]],Table2[#Headers],0),0)</f>
        <v>0</v>
      </c>
      <c r="AJ162" s="2">
        <f>VLOOKUP([jobnumber],OvalData[],MATCH(Table2[[#Headers],[slattype]],Table2[#Headers],0),0)</f>
        <v>2</v>
      </c>
      <c r="AK162" s="2">
        <f>VLOOKUP([jobnumber],OvalData[],MATCH(Table2[[#Headers],[slatgage]],Table2[#Headers],0),0)</f>
        <v>18</v>
      </c>
      <c r="AL162" s="2">
        <f>VLOOKUP([jobnumber],OvalData[],MATCH(Table2[[#Headers],[Numer of Top Slats]],Table2[#Headers],0),0)</f>
        <v>0</v>
      </c>
      <c r="AM162" s="2">
        <f>VLOOKUP([jobnumber],OvalData[],MATCH(Table2[[#Headers],[Number of Bottom Slats]],Table2[#Headers],0),0)</f>
        <v>0</v>
      </c>
      <c r="AN162" s="2">
        <f>VLOOKUP([jobnumber],OvalData[],MATCH(Table2[[#Headers],[Solid Bottom Height]],Table2[#Headers],0),0)</f>
        <v>0</v>
      </c>
      <c r="AO162" s="2" t="str">
        <f>VLOOKUP([jobnumber],OvalData[],MATCH(Table2[[#Headers],[slatlength]],Table2[#Headers],0),0)</f>
        <v xml:space="preserve"> 18 ft.- 5 7/ 8"</v>
      </c>
      <c r="AP162" s="2">
        <f>VLOOKUP([jobnumber],OvalData[],MATCH(Table2[[#Headers],[Bottom Slat Length]],Table2[#Headers],0),0)</f>
        <v>0</v>
      </c>
      <c r="AQ162" s="2">
        <f>VLOOKUP([jobnumber],OvalData[],MATCH(Table2[[#Headers],[Number of Perferated Slats]],Table2[#Headers],0),0)</f>
        <v>0</v>
      </c>
      <c r="AR162" s="2">
        <f>VLOOKUP([jobnumber],OvalData[],MATCH(Table2[[#Headers],[First Preferated Slat From End]],Table2[#Headers],0),0)</f>
        <v>0</v>
      </c>
      <c r="AS162" s="2">
        <f>VLOOKUP([jobnumber],OvalData[],MATCH(Table2[[#Headers],[First Preferated Slat From Bottom]],Table2[#Headers],0),0)</f>
        <v>0</v>
      </c>
      <c r="AT162" s="2">
        <f>VLOOKUP([jobnumber],OvalData[],MATCH(Table2[[#Headers],[Total Number of Slats]],Table2[#Headers],0),0)</f>
        <v>51</v>
      </c>
      <c r="AU162" s="2">
        <f>VLOOKUP([jobnumber],OvalData[],MATCH(Table2[[#Headers],[Bottom Bar Slope]],Table2[#Headers],0),0)</f>
        <v>0</v>
      </c>
      <c r="AV162" s="2">
        <f>VLOOKUP([jobnumber],OvalData[],MATCH(Table2[[#Headers],[Bottom Bar Weight]],Table2[#Headers],0),0)</f>
        <v>80.5</v>
      </c>
      <c r="AW162" s="2" t="str">
        <f>VLOOKUP([jobnumber],OvalData[],MATCH(Table2[[#Headers],[Outer Spring Gage]],Table2[#Headers],0),0)</f>
        <v>Null</v>
      </c>
      <c r="AX162" s="2" t="str">
        <f>VLOOKUP([jobnumber],OvalData[],MATCH(Table2[[#Headers],[Outer Spring OD]],Table2[#Headers],0),0)</f>
        <v>Null</v>
      </c>
      <c r="AY162" s="2" t="str">
        <f>VLOOKUP([jobnumber],OvalData[],MATCH(Table2[[#Headers],[Outer Spring Length]],Table2[#Headers],0),0)</f>
        <v>Null</v>
      </c>
      <c r="AZ162" s="2" t="str">
        <f>VLOOKUP([jobnumber],OvalData[],MATCH(Table2[[#Headers],[Outer Spring Stretch]],Table2[#Headers],0),0)</f>
        <v>Null</v>
      </c>
      <c r="BA162" s="2" t="str">
        <f>VLOOKUP([jobnumber],OvalData[],MATCH(Table2[[#Headers],[Outer Spring Torque]],Table2[#Headers],0),0)</f>
        <v>Null</v>
      </c>
      <c r="BB162" s="2" t="str">
        <f>VLOOKUP([jobnumber],OvalData[],MATCH(Table2[[#Headers],[Outer Spring Max Turns]],Table2[#Headers],0),0)</f>
        <v>Null</v>
      </c>
      <c r="BC162" s="2" t="str">
        <f>VLOOKUP([jobnumber],OvalData[],MATCH(Table2[[#Headers],[Outer Spring Weight]],Table2[#Headers],0),0)</f>
        <v>Null</v>
      </c>
      <c r="BD162" s="2" t="str">
        <f>VLOOKUP([jobnumber],OvalData[],MATCH(Table2[[#Headers],[Inner Spring Gage]],Table2[#Headers],0),0)</f>
        <v>Null</v>
      </c>
      <c r="BE162" s="2" t="str">
        <f>VLOOKUP([jobnumber],OvalData[],MATCH(Table2[[#Headers],[Inner Spring OD]],Table2[#Headers],0),0)</f>
        <v>Null</v>
      </c>
      <c r="BF162" s="2" t="str">
        <f>VLOOKUP([jobnumber],OvalData[],MATCH(Table2[[#Headers],[Inner Spring Length]],Table2[#Headers],0),0)</f>
        <v>Null</v>
      </c>
      <c r="BG162" s="2" t="str">
        <f>VLOOKUP([jobnumber],OvalData[],MATCH(Table2[[#Headers],[Inner Spring Stretch]],Table2[#Headers],0),0)</f>
        <v>Null</v>
      </c>
      <c r="BH162" s="2" t="str">
        <f>VLOOKUP([jobnumber],OvalData[],MATCH(Table2[[#Headers],[Inner Spring Torque]],Table2[#Headers],0),0)</f>
        <v>Null</v>
      </c>
      <c r="BI162" s="2" t="str">
        <f>VLOOKUP([jobnumber],OvalData[],MATCH(Table2[[#Headers],[Inner Spring Max Turns]],Table2[#Headers],0),0)</f>
        <v>Null</v>
      </c>
      <c r="BJ162" s="2" t="str">
        <f>VLOOKUP([jobnumber],OvalData[],MATCH(Table2[[#Headers],[Inner Spring Weight]],Table2[#Headers],0),0)</f>
        <v>Null</v>
      </c>
      <c r="BK162" s="2">
        <f>VLOOKUP([jobnumber],OvalData[],MATCH(Table2[[#Headers],[Cycles]],Table2[#Headers],0),0)</f>
        <v>0</v>
      </c>
      <c r="BL162" s="2">
        <f>VLOOKUP([jobnumber],OvalData[],MATCH(Table2[[#Headers],[Total Spring Torque]],Table2[#Headers],0),0)</f>
        <v>0</v>
      </c>
      <c r="BM162" s="2">
        <f>VLOOKUP([jobnumber],OvalData[],MATCH(Table2[[#Headers],[Total Spring Weight]],Table2[#Headers],0),0)</f>
        <v>0</v>
      </c>
      <c r="BN162" s="2">
        <f>VLOOKUP([jobnumber],OvalData[],MATCH(Table2[[#Headers],[Pipe Weight]],Table2[#Headers],0),0)</f>
        <v>688.24239999999998</v>
      </c>
      <c r="BO162" s="2">
        <f>VLOOKUP([jobnumber],OvalData[],MATCH(Table2[[#Headers],[Max Pipe Deflection]],Table2[#Headers],0),0)</f>
        <v>2309</v>
      </c>
      <c r="BP162" s="2">
        <f>VLOOKUP([jobnumber],OvalData[],MATCH(Table2[[#Headers],[Number Non-Insulated Wrap Slats]],Table2[#Headers],0),0)</f>
        <v>0</v>
      </c>
      <c r="BQ162" s="2">
        <f>VLOOKUP([jobnumber],OvalData[],MATCH(Table2[[#Headers],[Number of Insolated Top Slats]],Table2[#Headers],0),0)</f>
        <v>45</v>
      </c>
      <c r="BR162" s="2">
        <f>VLOOKUP([jobnumber],OvalData[],MATCH(Table2[[#Headers],[Insolated Total Slats]],Table2[#Headers],0),0)</f>
        <v>45</v>
      </c>
      <c r="BS162" s="2">
        <f>VLOOKUP([jobnumber],OvalData[],MATCH(Table2[[#Headers],[Number of Slats]],Table2[#Headers],0),0)</f>
        <v>44.69</v>
      </c>
      <c r="BT162" s="2">
        <f>VLOOKUP([jobnumber],OvalData[],MATCH(Table2[[#Headers],[Wrap]],Table2[#Headers],0),0)</f>
        <v>0</v>
      </c>
      <c r="BU162" s="2">
        <f>VLOOKUP([jobnumber],OvalData[],MATCH(Table2[[#Headers],[Wall Angle Thickness]],Table2[#Headers],0),0)</f>
        <v>0</v>
      </c>
      <c r="BV162" s="2">
        <f>VLOOKUP([jobnumber],OvalData[],MATCH(Table2[[#Headers],[windlocks]],Table2[#Headers],0),0)</f>
        <v>0</v>
      </c>
      <c r="BW162" s="2" t="str">
        <f>VLOOKUP([jobnumber],OvalData[],MATCH(Table2[[#Headers],[bottombartype]],Table2[#Headers],0),0)</f>
        <v>SPECIAL</v>
      </c>
      <c r="BX162" s="2">
        <f>VLOOKUP([jobnumber],OvalData[],MATCH(Table2[[#Headers],[endlockweight]],Table2[#Headers],0),0)</f>
        <v>0.17</v>
      </c>
      <c r="BY162" s="2">
        <f>VLOOKUP([jobnumber],OvalData[],MATCH(Table2[[#Headers],[Endlock Total Weight]],Table2[#Headers],0),0)</f>
        <v>7.5972999999999997</v>
      </c>
      <c r="BZ162" s="2">
        <f>VLOOKUP([jobnumber],OvalData[],MATCH(Table2[[#Headers],[Grille Weight]],Table2[#Headers],0),0)</f>
        <v>0</v>
      </c>
      <c r="CA162" s="2">
        <f>VLOOKUP([jobnumber],OvalData[],MATCH(Table2[[#Headers],[barrelrings]],Table2[#Headers],0),0)</f>
        <v>1</v>
      </c>
    </row>
    <row r="163" spans="2:79">
      <c r="B163" s="2" t="str">
        <f>VLOOKUP([jobnumber],OvalData[],MATCH(Table2[[#Headers],[Hand]],Table2[#Headers],0),0)</f>
        <v>RH</v>
      </c>
      <c r="C163" s="2" t="str">
        <f>VLOOKUP([jobnumber],OvalData[],MATCH(Table2[[#Headers],[Model]],Table2[#Headers],0),0)</f>
        <v>SFMPP</v>
      </c>
      <c r="D163" s="2" t="str">
        <f>VLOOKUP([jobnumber],OvalData[],MATCH(Table2[[#Headers],[width]],Table2[#Headers],0),0)</f>
        <v xml:space="preserve"> 18 ft.- 2"</v>
      </c>
      <c r="E163" s="2" t="str">
        <f>VLOOKUP([jobnumber],OvalData[],MATCH(Table2[[#Headers],[stopheight]],Table2[#Headers],0),0)</f>
        <v xml:space="preserve"> 10 ft.- 0"</v>
      </c>
      <c r="F163" s="2" t="str">
        <f>VLOOKUP([jobnumber],OvalData[],MATCH(Table2[[#Headers],[Between Brackets]],Table2[#Headers],0),0)</f>
        <v xml:space="preserve"> 18 ft.- 7 7/ 8"</v>
      </c>
      <c r="G163" s="2" t="str">
        <f>VLOOKUP([jobnumber],OvalData[],MATCH(Table2[[#Headers],[shell]],Table2[#Headers],0),0)</f>
        <v>6 INCH TUBE</v>
      </c>
      <c r="H163" s="2" t="str">
        <f>VLOOKUP([jobnumber],OvalData[],MATCH(Table2[[#Headers],[pipewidth]],Table2[#Headers],0),0)</f>
        <v xml:space="preserve"> 18 ft.- 1 3/ 8"</v>
      </c>
      <c r="I163" s="2">
        <f>VLOOKUP([jobnumber],OvalData[],MATCH(Table2[[#Headers],[Support Tubes]],Table2[#Headers],0),0)</f>
        <v>0</v>
      </c>
      <c r="J163" s="2">
        <f>VLOOKUP([jobnumber],OvalData[],MATCH(Table2[[#Headers],[Upset]],Table2[#Headers],0),0)</f>
        <v>2</v>
      </c>
      <c r="K163" s="2" t="str">
        <f>VLOOKUP([jobnumber],OvalData[],MATCH(Table2[[#Headers],[Guide Type]],Table2[#Headers],0),0)</f>
        <v>SN2-4 5/8-E</v>
      </c>
      <c r="L163" s="2" t="str">
        <f>VLOOKUP([jobnumber],OvalData[],MATCH(Table2[[#Headers],[Wall Angle]],Table2[#Headers],0),0)</f>
        <v xml:space="preserve"> 11 ft.- 8"</v>
      </c>
      <c r="M163" s="2" t="str">
        <f>VLOOKUP([jobnumber],OvalData[],MATCH(Table2[[#Headers],[Middle Angle]],Table2[#Headers],0),0)</f>
        <v xml:space="preserve"> 10 ft.- 4 1/ 2"</v>
      </c>
      <c r="N163" s="2" t="str">
        <f>VLOOKUP([jobnumber],OvalData[],MATCH(Table2[[#Headers],[Front Angle]],Table2[#Headers],0),0)</f>
        <v xml:space="preserve"> 10 ft.- 3"</v>
      </c>
      <c r="O163" s="2">
        <f>VLOOKUP([jobnumber],OvalData[],MATCH(Table2[[#Headers],[Pipe Center Line]],Table2[#Headers],0),0)</f>
        <v>131</v>
      </c>
      <c r="P163" s="2">
        <f>VLOOKUP([jobnumber],OvalData[],MATCH(Table2[[#Headers],[Heat Expansion Gap]],Table2[#Headers],0),0)</f>
        <v>0</v>
      </c>
      <c r="Q163" s="2">
        <f>VLOOKUP([jobnumber],OvalData[],MATCH(Table2[[#Headers],[Hanging Weight Closed]],Table2[#Headers],0),0)</f>
        <v>795</v>
      </c>
      <c r="R163" s="2">
        <f>VLOOKUP([jobnumber],OvalData[],MATCH(Table2[[#Headers],[Hanging Weight Open]],Table2[#Headers],0),0)</f>
        <v>140</v>
      </c>
      <c r="S163" s="2">
        <f>VLOOKUP([jobnumber],OvalData[],MATCH(Table2[[#Headers],[Initial Lever Arm]],Table2[#Headers],0),0)</f>
        <v>4.25</v>
      </c>
      <c r="T163" s="2">
        <f>VLOOKUP([jobnumber],OvalData[],MATCH(Table2[[#Headers],[Turns to Raise]],Table2[#Headers],0),0)</f>
        <v>3.5859999999999999</v>
      </c>
      <c r="U163" s="2">
        <f>VLOOKUP([jobnumber],OvalData[],MATCH(Table2[[#Headers],[Final Lever Arm]],Table2[#Headers],0),0)</f>
        <v>6.37</v>
      </c>
      <c r="V163" s="2">
        <f>VLOOKUP([jobnumber],OvalData[],MATCH(Table2[[#Headers],[Torque Required Closed]],Table2[#Headers],0),0)</f>
        <v>3377.9</v>
      </c>
      <c r="W163" s="2">
        <f>VLOOKUP([jobnumber],OvalData[],MATCH(Table2[[#Headers],[Torque Required Open]],Table2[#Headers],0),0)</f>
        <v>892</v>
      </c>
      <c r="X163" s="2">
        <f>VLOOKUP([jobnumber],OvalData[],MATCH(Table2[[#Headers],[Pre Turns]],Table2[#Headers],0),0)</f>
        <v>1.3332999999999999</v>
      </c>
      <c r="Y163" s="2">
        <f>VLOOKUP([jobnumber],OvalData[],MATCH(Table2[[#Headers],[Required Torque Per Turn]],Table2[#Headers],0),0)</f>
        <v>688</v>
      </c>
      <c r="Z163" s="2">
        <f>VLOOKUP([jobnumber],OvalData[],MATCH(Table2[[#Headers],[Total Turns]],Table2[#Headers],0),0)</f>
        <v>4.91</v>
      </c>
      <c r="AA163" s="2">
        <f>VLOOKUP([jobnumber],OvalData[],MATCH(Table2[[#Headers],[Grille Vision Section]],Table2[#Headers],0),0)</f>
        <v>0</v>
      </c>
      <c r="AB163" s="2">
        <f>VLOOKUP([jobnumber],OvalData[],MATCH(Table2[[#Headers],[Grille Amount]],Table2[#Headers],0),0)</f>
        <v>0</v>
      </c>
      <c r="AC163" s="2">
        <f>VLOOKUP([jobnumber],OvalData[],MATCH(Table2[[#Headers],[Grille Center]],Table2[#Headers],0),0)</f>
        <v>0</v>
      </c>
      <c r="AD163" s="2">
        <f>VLOOKUP([jobnumber],OvalData[],MATCH(Table2[[#Headers],[Grille Pattern]],Table2[#Headers],0),0)</f>
        <v>0</v>
      </c>
      <c r="AE163" s="2">
        <f>VLOOKUP([jobnumber],OvalData[],MATCH(Table2[[#Headers],[Grille First Tube]],Table2[#Headers],0),0)</f>
        <v>0</v>
      </c>
      <c r="AF163" s="2">
        <f>VLOOKUP([jobnumber],OvalData[],MATCH(Table2[[#Headers],[Grille Standard Tube]],Table2[#Headers],0),0)</f>
        <v>0</v>
      </c>
      <c r="AG163" s="2">
        <f>VLOOKUP([jobnumber],OvalData[],MATCH(Table2[[#Headers],[Grille Total Links]],Table2[#Headers],0),0)</f>
        <v>0</v>
      </c>
      <c r="AH163" s="2">
        <f>VLOOKUP([jobnumber],OvalData[],MATCH(Table2[[#Headers],[Grille Rods]],Table2[#Headers],0),0)</f>
        <v>0</v>
      </c>
      <c r="AI163" s="2">
        <f>VLOOKUP([jobnumber],OvalData[],MATCH(Table2[[#Headers],[Grille Rod Length]],Table2[#Headers],0),0)</f>
        <v>0</v>
      </c>
      <c r="AJ163" s="2">
        <f>VLOOKUP([jobnumber],OvalData[],MATCH(Table2[[#Headers],[slattype]],Table2[#Headers],0),0)</f>
        <v>2</v>
      </c>
      <c r="AK163" s="2">
        <f>VLOOKUP([jobnumber],OvalData[],MATCH(Table2[[#Headers],[slatgage]],Table2[#Headers],0),0)</f>
        <v>18</v>
      </c>
      <c r="AL163" s="2">
        <f>VLOOKUP([jobnumber],OvalData[],MATCH(Table2[[#Headers],[Numer of Top Slats]],Table2[#Headers],0),0)</f>
        <v>0</v>
      </c>
      <c r="AM163" s="2">
        <f>VLOOKUP([jobnumber],OvalData[],MATCH(Table2[[#Headers],[Number of Bottom Slats]],Table2[#Headers],0),0)</f>
        <v>0</v>
      </c>
      <c r="AN163" s="2">
        <f>VLOOKUP([jobnumber],OvalData[],MATCH(Table2[[#Headers],[Solid Bottom Height]],Table2[#Headers],0),0)</f>
        <v>0</v>
      </c>
      <c r="AO163" s="2" t="str">
        <f>VLOOKUP([jobnumber],OvalData[],MATCH(Table2[[#Headers],[slatlength]],Table2[#Headers],0),0)</f>
        <v xml:space="preserve"> 18 ft.- 5 7/ 8"</v>
      </c>
      <c r="AP163" s="2">
        <f>VLOOKUP([jobnumber],OvalData[],MATCH(Table2[[#Headers],[Bottom Slat Length]],Table2[#Headers],0),0)</f>
        <v>0</v>
      </c>
      <c r="AQ163" s="2">
        <f>VLOOKUP([jobnumber],OvalData[],MATCH(Table2[[#Headers],[Number of Perferated Slats]],Table2[#Headers],0),0)</f>
        <v>0</v>
      </c>
      <c r="AR163" s="2">
        <f>VLOOKUP([jobnumber],OvalData[],MATCH(Table2[[#Headers],[First Preferated Slat From End]],Table2[#Headers],0),0)</f>
        <v>0</v>
      </c>
      <c r="AS163" s="2">
        <f>VLOOKUP([jobnumber],OvalData[],MATCH(Table2[[#Headers],[First Preferated Slat From Bottom]],Table2[#Headers],0),0)</f>
        <v>0</v>
      </c>
      <c r="AT163" s="2">
        <f>VLOOKUP([jobnumber],OvalData[],MATCH(Table2[[#Headers],[Total Number of Slats]],Table2[#Headers],0),0)</f>
        <v>51</v>
      </c>
      <c r="AU163" s="2">
        <f>VLOOKUP([jobnumber],OvalData[],MATCH(Table2[[#Headers],[Bottom Bar Slope]],Table2[#Headers],0),0)</f>
        <v>0</v>
      </c>
      <c r="AV163" s="2">
        <f>VLOOKUP([jobnumber],OvalData[],MATCH(Table2[[#Headers],[Bottom Bar Weight]],Table2[#Headers],0),0)</f>
        <v>80.5</v>
      </c>
      <c r="AW163" s="2" t="str">
        <f>VLOOKUP([jobnumber],OvalData[],MATCH(Table2[[#Headers],[Outer Spring Gage]],Table2[#Headers],0),0)</f>
        <v>Null</v>
      </c>
      <c r="AX163" s="2" t="str">
        <f>VLOOKUP([jobnumber],OvalData[],MATCH(Table2[[#Headers],[Outer Spring OD]],Table2[#Headers],0),0)</f>
        <v>Null</v>
      </c>
      <c r="AY163" s="2" t="str">
        <f>VLOOKUP([jobnumber],OvalData[],MATCH(Table2[[#Headers],[Outer Spring Length]],Table2[#Headers],0),0)</f>
        <v>Null</v>
      </c>
      <c r="AZ163" s="2" t="str">
        <f>VLOOKUP([jobnumber],OvalData[],MATCH(Table2[[#Headers],[Outer Spring Stretch]],Table2[#Headers],0),0)</f>
        <v>Null</v>
      </c>
      <c r="BA163" s="2" t="str">
        <f>VLOOKUP([jobnumber],OvalData[],MATCH(Table2[[#Headers],[Outer Spring Torque]],Table2[#Headers],0),0)</f>
        <v>Null</v>
      </c>
      <c r="BB163" s="2" t="str">
        <f>VLOOKUP([jobnumber],OvalData[],MATCH(Table2[[#Headers],[Outer Spring Max Turns]],Table2[#Headers],0),0)</f>
        <v>Null</v>
      </c>
      <c r="BC163" s="2" t="str">
        <f>VLOOKUP([jobnumber],OvalData[],MATCH(Table2[[#Headers],[Outer Spring Weight]],Table2[#Headers],0),0)</f>
        <v>Null</v>
      </c>
      <c r="BD163" s="2" t="str">
        <f>VLOOKUP([jobnumber],OvalData[],MATCH(Table2[[#Headers],[Inner Spring Gage]],Table2[#Headers],0),0)</f>
        <v>Null</v>
      </c>
      <c r="BE163" s="2" t="str">
        <f>VLOOKUP([jobnumber],OvalData[],MATCH(Table2[[#Headers],[Inner Spring OD]],Table2[#Headers],0),0)</f>
        <v>Null</v>
      </c>
      <c r="BF163" s="2" t="str">
        <f>VLOOKUP([jobnumber],OvalData[],MATCH(Table2[[#Headers],[Inner Spring Length]],Table2[#Headers],0),0)</f>
        <v>Null</v>
      </c>
      <c r="BG163" s="2" t="str">
        <f>VLOOKUP([jobnumber],OvalData[],MATCH(Table2[[#Headers],[Inner Spring Stretch]],Table2[#Headers],0),0)</f>
        <v>Null</v>
      </c>
      <c r="BH163" s="2" t="str">
        <f>VLOOKUP([jobnumber],OvalData[],MATCH(Table2[[#Headers],[Inner Spring Torque]],Table2[#Headers],0),0)</f>
        <v>Null</v>
      </c>
      <c r="BI163" s="2" t="str">
        <f>VLOOKUP([jobnumber],OvalData[],MATCH(Table2[[#Headers],[Inner Spring Max Turns]],Table2[#Headers],0),0)</f>
        <v>Null</v>
      </c>
      <c r="BJ163" s="2" t="str">
        <f>VLOOKUP([jobnumber],OvalData[],MATCH(Table2[[#Headers],[Inner Spring Weight]],Table2[#Headers],0),0)</f>
        <v>Null</v>
      </c>
      <c r="BK163" s="2">
        <f>VLOOKUP([jobnumber],OvalData[],MATCH(Table2[[#Headers],[Cycles]],Table2[#Headers],0),0)</f>
        <v>0</v>
      </c>
      <c r="BL163" s="2">
        <f>VLOOKUP([jobnumber],OvalData[],MATCH(Table2[[#Headers],[Total Spring Torque]],Table2[#Headers],0),0)</f>
        <v>0</v>
      </c>
      <c r="BM163" s="2">
        <f>VLOOKUP([jobnumber],OvalData[],MATCH(Table2[[#Headers],[Total Spring Weight]],Table2[#Headers],0),0)</f>
        <v>0</v>
      </c>
      <c r="BN163" s="2">
        <f>VLOOKUP([jobnumber],OvalData[],MATCH(Table2[[#Headers],[Pipe Weight]],Table2[#Headers],0),0)</f>
        <v>688.24239999999998</v>
      </c>
      <c r="BO163" s="2">
        <f>VLOOKUP([jobnumber],OvalData[],MATCH(Table2[[#Headers],[Max Pipe Deflection]],Table2[#Headers],0),0)</f>
        <v>2309</v>
      </c>
      <c r="BP163" s="2">
        <f>VLOOKUP([jobnumber],OvalData[],MATCH(Table2[[#Headers],[Number Non-Insulated Wrap Slats]],Table2[#Headers],0),0)</f>
        <v>0</v>
      </c>
      <c r="BQ163" s="2">
        <f>VLOOKUP([jobnumber],OvalData[],MATCH(Table2[[#Headers],[Number of Insolated Top Slats]],Table2[#Headers],0),0)</f>
        <v>45</v>
      </c>
      <c r="BR163" s="2">
        <f>VLOOKUP([jobnumber],OvalData[],MATCH(Table2[[#Headers],[Insolated Total Slats]],Table2[#Headers],0),0)</f>
        <v>45</v>
      </c>
      <c r="BS163" s="2">
        <f>VLOOKUP([jobnumber],OvalData[],MATCH(Table2[[#Headers],[Number of Slats]],Table2[#Headers],0),0)</f>
        <v>44.69</v>
      </c>
      <c r="BT163" s="2">
        <f>VLOOKUP([jobnumber],OvalData[],MATCH(Table2[[#Headers],[Wrap]],Table2[#Headers],0),0)</f>
        <v>0</v>
      </c>
      <c r="BU163" s="2">
        <f>VLOOKUP([jobnumber],OvalData[],MATCH(Table2[[#Headers],[Wall Angle Thickness]],Table2[#Headers],0),0)</f>
        <v>0</v>
      </c>
      <c r="BV163" s="2">
        <f>VLOOKUP([jobnumber],OvalData[],MATCH(Table2[[#Headers],[windlocks]],Table2[#Headers],0),0)</f>
        <v>0</v>
      </c>
      <c r="BW163" s="2" t="str">
        <f>VLOOKUP([jobnumber],OvalData[],MATCH(Table2[[#Headers],[bottombartype]],Table2[#Headers],0),0)</f>
        <v>SPECIAL</v>
      </c>
      <c r="BX163" s="2">
        <f>VLOOKUP([jobnumber],OvalData[],MATCH(Table2[[#Headers],[endlockweight]],Table2[#Headers],0),0)</f>
        <v>0.17</v>
      </c>
      <c r="BY163" s="2">
        <f>VLOOKUP([jobnumber],OvalData[],MATCH(Table2[[#Headers],[Endlock Total Weight]],Table2[#Headers],0),0)</f>
        <v>7.5972999999999997</v>
      </c>
      <c r="BZ163" s="2">
        <f>VLOOKUP([jobnumber],OvalData[],MATCH(Table2[[#Headers],[Grille Weight]],Table2[#Headers],0),0)</f>
        <v>0</v>
      </c>
      <c r="CA163" s="2">
        <f>VLOOKUP([jobnumber],OvalData[],MATCH(Table2[[#Headers],[barrelrings]],Table2[#Headers],0),0)</f>
        <v>1</v>
      </c>
    </row>
    <row r="164" spans="2:79">
      <c r="B164" s="2" t="str">
        <f>VLOOKUP([jobnumber],OvalData[],MATCH(Table2[[#Headers],[Hand]],Table2[#Headers],0),0)</f>
        <v>RH</v>
      </c>
      <c r="C164" s="2" t="str">
        <f>VLOOKUP([jobnumber],OvalData[],MATCH(Table2[[#Headers],[Model]],Table2[#Headers],0),0)</f>
        <v>SFMPP</v>
      </c>
      <c r="D164" s="2" t="str">
        <f>VLOOKUP([jobnumber],OvalData[],MATCH(Table2[[#Headers],[width]],Table2[#Headers],0),0)</f>
        <v xml:space="preserve"> 18 ft.- 2"</v>
      </c>
      <c r="E164" s="2" t="str">
        <f>VLOOKUP([jobnumber],OvalData[],MATCH(Table2[[#Headers],[stopheight]],Table2[#Headers],0),0)</f>
        <v xml:space="preserve"> 10 ft.- 0"</v>
      </c>
      <c r="F164" s="2" t="str">
        <f>VLOOKUP([jobnumber],OvalData[],MATCH(Table2[[#Headers],[Between Brackets]],Table2[#Headers],0),0)</f>
        <v xml:space="preserve"> 18 ft.- 7 7/ 8"</v>
      </c>
      <c r="G164" s="2" t="str">
        <f>VLOOKUP([jobnumber],OvalData[],MATCH(Table2[[#Headers],[shell]],Table2[#Headers],0),0)</f>
        <v>6 INCH TUBE</v>
      </c>
      <c r="H164" s="2" t="str">
        <f>VLOOKUP([jobnumber],OvalData[],MATCH(Table2[[#Headers],[pipewidth]],Table2[#Headers],0),0)</f>
        <v xml:space="preserve"> 18 ft.- 1 3/ 8"</v>
      </c>
      <c r="I164" s="2">
        <f>VLOOKUP([jobnumber],OvalData[],MATCH(Table2[[#Headers],[Support Tubes]],Table2[#Headers],0),0)</f>
        <v>0</v>
      </c>
      <c r="J164" s="2">
        <f>VLOOKUP([jobnumber],OvalData[],MATCH(Table2[[#Headers],[Upset]],Table2[#Headers],0),0)</f>
        <v>2</v>
      </c>
      <c r="K164" s="2" t="str">
        <f>VLOOKUP([jobnumber],OvalData[],MATCH(Table2[[#Headers],[Guide Type]],Table2[#Headers],0),0)</f>
        <v>SN2-4 5/8-E</v>
      </c>
      <c r="L164" s="2" t="str">
        <f>VLOOKUP([jobnumber],OvalData[],MATCH(Table2[[#Headers],[Wall Angle]],Table2[#Headers],0),0)</f>
        <v xml:space="preserve"> 11 ft.- 8"</v>
      </c>
      <c r="M164" s="2" t="str">
        <f>VLOOKUP([jobnumber],OvalData[],MATCH(Table2[[#Headers],[Middle Angle]],Table2[#Headers],0),0)</f>
        <v xml:space="preserve"> 10 ft.- 4 1/ 2"</v>
      </c>
      <c r="N164" s="2" t="str">
        <f>VLOOKUP([jobnumber],OvalData[],MATCH(Table2[[#Headers],[Front Angle]],Table2[#Headers],0),0)</f>
        <v xml:space="preserve"> 10 ft.- 3"</v>
      </c>
      <c r="O164" s="2">
        <f>VLOOKUP([jobnumber],OvalData[],MATCH(Table2[[#Headers],[Pipe Center Line]],Table2[#Headers],0),0)</f>
        <v>131</v>
      </c>
      <c r="P164" s="2">
        <f>VLOOKUP([jobnumber],OvalData[],MATCH(Table2[[#Headers],[Heat Expansion Gap]],Table2[#Headers],0),0)</f>
        <v>0</v>
      </c>
      <c r="Q164" s="2">
        <f>VLOOKUP([jobnumber],OvalData[],MATCH(Table2[[#Headers],[Hanging Weight Closed]],Table2[#Headers],0),0)</f>
        <v>795</v>
      </c>
      <c r="R164" s="2">
        <f>VLOOKUP([jobnumber],OvalData[],MATCH(Table2[[#Headers],[Hanging Weight Open]],Table2[#Headers],0),0)</f>
        <v>140</v>
      </c>
      <c r="S164" s="2">
        <f>VLOOKUP([jobnumber],OvalData[],MATCH(Table2[[#Headers],[Initial Lever Arm]],Table2[#Headers],0),0)</f>
        <v>4.25</v>
      </c>
      <c r="T164" s="2">
        <f>VLOOKUP([jobnumber],OvalData[],MATCH(Table2[[#Headers],[Turns to Raise]],Table2[#Headers],0),0)</f>
        <v>3.5859999999999999</v>
      </c>
      <c r="U164" s="2">
        <f>VLOOKUP([jobnumber],OvalData[],MATCH(Table2[[#Headers],[Final Lever Arm]],Table2[#Headers],0),0)</f>
        <v>6.37</v>
      </c>
      <c r="V164" s="2">
        <f>VLOOKUP([jobnumber],OvalData[],MATCH(Table2[[#Headers],[Torque Required Closed]],Table2[#Headers],0),0)</f>
        <v>3377.9</v>
      </c>
      <c r="W164" s="2">
        <f>VLOOKUP([jobnumber],OvalData[],MATCH(Table2[[#Headers],[Torque Required Open]],Table2[#Headers],0),0)</f>
        <v>892</v>
      </c>
      <c r="X164" s="2">
        <f>VLOOKUP([jobnumber],OvalData[],MATCH(Table2[[#Headers],[Pre Turns]],Table2[#Headers],0),0)</f>
        <v>1.3332999999999999</v>
      </c>
      <c r="Y164" s="2">
        <f>VLOOKUP([jobnumber],OvalData[],MATCH(Table2[[#Headers],[Required Torque Per Turn]],Table2[#Headers],0),0)</f>
        <v>688</v>
      </c>
      <c r="Z164" s="2">
        <f>VLOOKUP([jobnumber],OvalData[],MATCH(Table2[[#Headers],[Total Turns]],Table2[#Headers],0),0)</f>
        <v>4.91</v>
      </c>
      <c r="AA164" s="2">
        <f>VLOOKUP([jobnumber],OvalData[],MATCH(Table2[[#Headers],[Grille Vision Section]],Table2[#Headers],0),0)</f>
        <v>0</v>
      </c>
      <c r="AB164" s="2">
        <f>VLOOKUP([jobnumber],OvalData[],MATCH(Table2[[#Headers],[Grille Amount]],Table2[#Headers],0),0)</f>
        <v>0</v>
      </c>
      <c r="AC164" s="2">
        <f>VLOOKUP([jobnumber],OvalData[],MATCH(Table2[[#Headers],[Grille Center]],Table2[#Headers],0),0)</f>
        <v>0</v>
      </c>
      <c r="AD164" s="2">
        <f>VLOOKUP([jobnumber],OvalData[],MATCH(Table2[[#Headers],[Grille Pattern]],Table2[#Headers],0),0)</f>
        <v>0</v>
      </c>
      <c r="AE164" s="2">
        <f>VLOOKUP([jobnumber],OvalData[],MATCH(Table2[[#Headers],[Grille First Tube]],Table2[#Headers],0),0)</f>
        <v>0</v>
      </c>
      <c r="AF164" s="2">
        <f>VLOOKUP([jobnumber],OvalData[],MATCH(Table2[[#Headers],[Grille Standard Tube]],Table2[#Headers],0),0)</f>
        <v>0</v>
      </c>
      <c r="AG164" s="2">
        <f>VLOOKUP([jobnumber],OvalData[],MATCH(Table2[[#Headers],[Grille Total Links]],Table2[#Headers],0),0)</f>
        <v>0</v>
      </c>
      <c r="AH164" s="2">
        <f>VLOOKUP([jobnumber],OvalData[],MATCH(Table2[[#Headers],[Grille Rods]],Table2[#Headers],0),0)</f>
        <v>0</v>
      </c>
      <c r="AI164" s="2">
        <f>VLOOKUP([jobnumber],OvalData[],MATCH(Table2[[#Headers],[Grille Rod Length]],Table2[#Headers],0),0)</f>
        <v>0</v>
      </c>
      <c r="AJ164" s="2">
        <f>VLOOKUP([jobnumber],OvalData[],MATCH(Table2[[#Headers],[slattype]],Table2[#Headers],0),0)</f>
        <v>2</v>
      </c>
      <c r="AK164" s="2">
        <f>VLOOKUP([jobnumber],OvalData[],MATCH(Table2[[#Headers],[slatgage]],Table2[#Headers],0),0)</f>
        <v>18</v>
      </c>
      <c r="AL164" s="2">
        <f>VLOOKUP([jobnumber],OvalData[],MATCH(Table2[[#Headers],[Numer of Top Slats]],Table2[#Headers],0),0)</f>
        <v>0</v>
      </c>
      <c r="AM164" s="2">
        <f>VLOOKUP([jobnumber],OvalData[],MATCH(Table2[[#Headers],[Number of Bottom Slats]],Table2[#Headers],0),0)</f>
        <v>0</v>
      </c>
      <c r="AN164" s="2">
        <f>VLOOKUP([jobnumber],OvalData[],MATCH(Table2[[#Headers],[Solid Bottom Height]],Table2[#Headers],0),0)</f>
        <v>0</v>
      </c>
      <c r="AO164" s="2" t="str">
        <f>VLOOKUP([jobnumber],OvalData[],MATCH(Table2[[#Headers],[slatlength]],Table2[#Headers],0),0)</f>
        <v xml:space="preserve"> 18 ft.- 5 7/ 8"</v>
      </c>
      <c r="AP164" s="2">
        <f>VLOOKUP([jobnumber],OvalData[],MATCH(Table2[[#Headers],[Bottom Slat Length]],Table2[#Headers],0),0)</f>
        <v>0</v>
      </c>
      <c r="AQ164" s="2">
        <f>VLOOKUP([jobnumber],OvalData[],MATCH(Table2[[#Headers],[Number of Perferated Slats]],Table2[#Headers],0),0)</f>
        <v>0</v>
      </c>
      <c r="AR164" s="2">
        <f>VLOOKUP([jobnumber],OvalData[],MATCH(Table2[[#Headers],[First Preferated Slat From End]],Table2[#Headers],0),0)</f>
        <v>0</v>
      </c>
      <c r="AS164" s="2">
        <f>VLOOKUP([jobnumber],OvalData[],MATCH(Table2[[#Headers],[First Preferated Slat From Bottom]],Table2[#Headers],0),0)</f>
        <v>0</v>
      </c>
      <c r="AT164" s="2">
        <f>VLOOKUP([jobnumber],OvalData[],MATCH(Table2[[#Headers],[Total Number of Slats]],Table2[#Headers],0),0)</f>
        <v>51</v>
      </c>
      <c r="AU164" s="2">
        <f>VLOOKUP([jobnumber],OvalData[],MATCH(Table2[[#Headers],[Bottom Bar Slope]],Table2[#Headers],0),0)</f>
        <v>0</v>
      </c>
      <c r="AV164" s="2">
        <f>VLOOKUP([jobnumber],OvalData[],MATCH(Table2[[#Headers],[Bottom Bar Weight]],Table2[#Headers],0),0)</f>
        <v>80.5</v>
      </c>
      <c r="AW164" s="2" t="str">
        <f>VLOOKUP([jobnumber],OvalData[],MATCH(Table2[[#Headers],[Outer Spring Gage]],Table2[#Headers],0),0)</f>
        <v>Null</v>
      </c>
      <c r="AX164" s="2" t="str">
        <f>VLOOKUP([jobnumber],OvalData[],MATCH(Table2[[#Headers],[Outer Spring OD]],Table2[#Headers],0),0)</f>
        <v>Null</v>
      </c>
      <c r="AY164" s="2" t="str">
        <f>VLOOKUP([jobnumber],OvalData[],MATCH(Table2[[#Headers],[Outer Spring Length]],Table2[#Headers],0),0)</f>
        <v>Null</v>
      </c>
      <c r="AZ164" s="2" t="str">
        <f>VLOOKUP([jobnumber],OvalData[],MATCH(Table2[[#Headers],[Outer Spring Stretch]],Table2[#Headers],0),0)</f>
        <v>Null</v>
      </c>
      <c r="BA164" s="2" t="str">
        <f>VLOOKUP([jobnumber],OvalData[],MATCH(Table2[[#Headers],[Outer Spring Torque]],Table2[#Headers],0),0)</f>
        <v>Null</v>
      </c>
      <c r="BB164" s="2" t="str">
        <f>VLOOKUP([jobnumber],OvalData[],MATCH(Table2[[#Headers],[Outer Spring Max Turns]],Table2[#Headers],0),0)</f>
        <v>Null</v>
      </c>
      <c r="BC164" s="2" t="str">
        <f>VLOOKUP([jobnumber],OvalData[],MATCH(Table2[[#Headers],[Outer Spring Weight]],Table2[#Headers],0),0)</f>
        <v>Null</v>
      </c>
      <c r="BD164" s="2" t="str">
        <f>VLOOKUP([jobnumber],OvalData[],MATCH(Table2[[#Headers],[Inner Spring Gage]],Table2[#Headers],0),0)</f>
        <v>Null</v>
      </c>
      <c r="BE164" s="2" t="str">
        <f>VLOOKUP([jobnumber],OvalData[],MATCH(Table2[[#Headers],[Inner Spring OD]],Table2[#Headers],0),0)</f>
        <v>Null</v>
      </c>
      <c r="BF164" s="2" t="str">
        <f>VLOOKUP([jobnumber],OvalData[],MATCH(Table2[[#Headers],[Inner Spring Length]],Table2[#Headers],0),0)</f>
        <v>Null</v>
      </c>
      <c r="BG164" s="2" t="str">
        <f>VLOOKUP([jobnumber],OvalData[],MATCH(Table2[[#Headers],[Inner Spring Stretch]],Table2[#Headers],0),0)</f>
        <v>Null</v>
      </c>
      <c r="BH164" s="2" t="str">
        <f>VLOOKUP([jobnumber],OvalData[],MATCH(Table2[[#Headers],[Inner Spring Torque]],Table2[#Headers],0),0)</f>
        <v>Null</v>
      </c>
      <c r="BI164" s="2" t="str">
        <f>VLOOKUP([jobnumber],OvalData[],MATCH(Table2[[#Headers],[Inner Spring Max Turns]],Table2[#Headers],0),0)</f>
        <v>Null</v>
      </c>
      <c r="BJ164" s="2" t="str">
        <f>VLOOKUP([jobnumber],OvalData[],MATCH(Table2[[#Headers],[Inner Spring Weight]],Table2[#Headers],0),0)</f>
        <v>Null</v>
      </c>
      <c r="BK164" s="2">
        <f>VLOOKUP([jobnumber],OvalData[],MATCH(Table2[[#Headers],[Cycles]],Table2[#Headers],0),0)</f>
        <v>0</v>
      </c>
      <c r="BL164" s="2">
        <f>VLOOKUP([jobnumber],OvalData[],MATCH(Table2[[#Headers],[Total Spring Torque]],Table2[#Headers],0),0)</f>
        <v>0</v>
      </c>
      <c r="BM164" s="2">
        <f>VLOOKUP([jobnumber],OvalData[],MATCH(Table2[[#Headers],[Total Spring Weight]],Table2[#Headers],0),0)</f>
        <v>0</v>
      </c>
      <c r="BN164" s="2">
        <f>VLOOKUP([jobnumber],OvalData[],MATCH(Table2[[#Headers],[Pipe Weight]],Table2[#Headers],0),0)</f>
        <v>688.24239999999998</v>
      </c>
      <c r="BO164" s="2">
        <f>VLOOKUP([jobnumber],OvalData[],MATCH(Table2[[#Headers],[Max Pipe Deflection]],Table2[#Headers],0),0)</f>
        <v>2309</v>
      </c>
      <c r="BP164" s="2">
        <f>VLOOKUP([jobnumber],OvalData[],MATCH(Table2[[#Headers],[Number Non-Insulated Wrap Slats]],Table2[#Headers],0),0)</f>
        <v>0</v>
      </c>
      <c r="BQ164" s="2">
        <f>VLOOKUP([jobnumber],OvalData[],MATCH(Table2[[#Headers],[Number of Insolated Top Slats]],Table2[#Headers],0),0)</f>
        <v>45</v>
      </c>
      <c r="BR164" s="2">
        <f>VLOOKUP([jobnumber],OvalData[],MATCH(Table2[[#Headers],[Insolated Total Slats]],Table2[#Headers],0),0)</f>
        <v>45</v>
      </c>
      <c r="BS164" s="2">
        <f>VLOOKUP([jobnumber],OvalData[],MATCH(Table2[[#Headers],[Number of Slats]],Table2[#Headers],0),0)</f>
        <v>44.69</v>
      </c>
      <c r="BT164" s="2">
        <f>VLOOKUP([jobnumber],OvalData[],MATCH(Table2[[#Headers],[Wrap]],Table2[#Headers],0),0)</f>
        <v>0</v>
      </c>
      <c r="BU164" s="2">
        <f>VLOOKUP([jobnumber],OvalData[],MATCH(Table2[[#Headers],[Wall Angle Thickness]],Table2[#Headers],0),0)</f>
        <v>0</v>
      </c>
      <c r="BV164" s="2">
        <f>VLOOKUP([jobnumber],OvalData[],MATCH(Table2[[#Headers],[windlocks]],Table2[#Headers],0),0)</f>
        <v>0</v>
      </c>
      <c r="BW164" s="2" t="str">
        <f>VLOOKUP([jobnumber],OvalData[],MATCH(Table2[[#Headers],[bottombartype]],Table2[#Headers],0),0)</f>
        <v>SPECIAL</v>
      </c>
      <c r="BX164" s="2">
        <f>VLOOKUP([jobnumber],OvalData[],MATCH(Table2[[#Headers],[endlockweight]],Table2[#Headers],0),0)</f>
        <v>0.17</v>
      </c>
      <c r="BY164" s="2">
        <f>VLOOKUP([jobnumber],OvalData[],MATCH(Table2[[#Headers],[Endlock Total Weight]],Table2[#Headers],0),0)</f>
        <v>7.5972999999999997</v>
      </c>
      <c r="BZ164" s="2">
        <f>VLOOKUP([jobnumber],OvalData[],MATCH(Table2[[#Headers],[Grille Weight]],Table2[#Headers],0),0)</f>
        <v>0</v>
      </c>
      <c r="CA164" s="2">
        <f>VLOOKUP([jobnumber],OvalData[],MATCH(Table2[[#Headers],[barrelrings]],Table2[#Headers],0),0)</f>
        <v>1</v>
      </c>
    </row>
    <row r="165" spans="2:79">
      <c r="B165" s="2" t="str">
        <f>VLOOKUP([jobnumber],OvalData[],MATCH(Table2[[#Headers],[Hand]],Table2[#Headers],0),0)</f>
        <v>RH</v>
      </c>
      <c r="C165" s="2" t="str">
        <f>VLOOKUP([jobnumber],OvalData[],MATCH(Table2[[#Headers],[Model]],Table2[#Headers],0),0)</f>
        <v>SFMPP</v>
      </c>
      <c r="D165" s="2" t="str">
        <f>VLOOKUP([jobnumber],OvalData[],MATCH(Table2[[#Headers],[width]],Table2[#Headers],0),0)</f>
        <v xml:space="preserve"> 18 ft.- 2"</v>
      </c>
      <c r="E165" s="2" t="str">
        <f>VLOOKUP([jobnumber],OvalData[],MATCH(Table2[[#Headers],[stopheight]],Table2[#Headers],0),0)</f>
        <v xml:space="preserve"> 10 ft.- 0"</v>
      </c>
      <c r="F165" s="2" t="str">
        <f>VLOOKUP([jobnumber],OvalData[],MATCH(Table2[[#Headers],[Between Brackets]],Table2[#Headers],0),0)</f>
        <v xml:space="preserve"> 18 ft.- 7 7/ 8"</v>
      </c>
      <c r="G165" s="2" t="str">
        <f>VLOOKUP([jobnumber],OvalData[],MATCH(Table2[[#Headers],[shell]],Table2[#Headers],0),0)</f>
        <v>6 INCH TUBE</v>
      </c>
      <c r="H165" s="2" t="str">
        <f>VLOOKUP([jobnumber],OvalData[],MATCH(Table2[[#Headers],[pipewidth]],Table2[#Headers],0),0)</f>
        <v xml:space="preserve"> 18 ft.- 1 3/ 8"</v>
      </c>
      <c r="I165" s="2">
        <f>VLOOKUP([jobnumber],OvalData[],MATCH(Table2[[#Headers],[Support Tubes]],Table2[#Headers],0),0)</f>
        <v>0</v>
      </c>
      <c r="J165" s="2">
        <f>VLOOKUP([jobnumber],OvalData[],MATCH(Table2[[#Headers],[Upset]],Table2[#Headers],0),0)</f>
        <v>2</v>
      </c>
      <c r="K165" s="2" t="str">
        <f>VLOOKUP([jobnumber],OvalData[],MATCH(Table2[[#Headers],[Guide Type]],Table2[#Headers],0),0)</f>
        <v>SN2-4 5/8-E</v>
      </c>
      <c r="L165" s="2" t="str">
        <f>VLOOKUP([jobnumber],OvalData[],MATCH(Table2[[#Headers],[Wall Angle]],Table2[#Headers],0),0)</f>
        <v xml:space="preserve"> 11 ft.- 8"</v>
      </c>
      <c r="M165" s="2" t="str">
        <f>VLOOKUP([jobnumber],OvalData[],MATCH(Table2[[#Headers],[Middle Angle]],Table2[#Headers],0),0)</f>
        <v xml:space="preserve"> 10 ft.- 4 1/ 2"</v>
      </c>
      <c r="N165" s="2" t="str">
        <f>VLOOKUP([jobnumber],OvalData[],MATCH(Table2[[#Headers],[Front Angle]],Table2[#Headers],0),0)</f>
        <v xml:space="preserve"> 10 ft.- 3"</v>
      </c>
      <c r="O165" s="2">
        <f>VLOOKUP([jobnumber],OvalData[],MATCH(Table2[[#Headers],[Pipe Center Line]],Table2[#Headers],0),0)</f>
        <v>131</v>
      </c>
      <c r="P165" s="2">
        <f>VLOOKUP([jobnumber],OvalData[],MATCH(Table2[[#Headers],[Heat Expansion Gap]],Table2[#Headers],0),0)</f>
        <v>0</v>
      </c>
      <c r="Q165" s="2">
        <f>VLOOKUP([jobnumber],OvalData[],MATCH(Table2[[#Headers],[Hanging Weight Closed]],Table2[#Headers],0),0)</f>
        <v>795</v>
      </c>
      <c r="R165" s="2">
        <f>VLOOKUP([jobnumber],OvalData[],MATCH(Table2[[#Headers],[Hanging Weight Open]],Table2[#Headers],0),0)</f>
        <v>140</v>
      </c>
      <c r="S165" s="2">
        <f>VLOOKUP([jobnumber],OvalData[],MATCH(Table2[[#Headers],[Initial Lever Arm]],Table2[#Headers],0),0)</f>
        <v>4.25</v>
      </c>
      <c r="T165" s="2">
        <f>VLOOKUP([jobnumber],OvalData[],MATCH(Table2[[#Headers],[Turns to Raise]],Table2[#Headers],0),0)</f>
        <v>3.5859999999999999</v>
      </c>
      <c r="U165" s="2">
        <f>VLOOKUP([jobnumber],OvalData[],MATCH(Table2[[#Headers],[Final Lever Arm]],Table2[#Headers],0),0)</f>
        <v>6.37</v>
      </c>
      <c r="V165" s="2">
        <f>VLOOKUP([jobnumber],OvalData[],MATCH(Table2[[#Headers],[Torque Required Closed]],Table2[#Headers],0),0)</f>
        <v>3377.9</v>
      </c>
      <c r="W165" s="2">
        <f>VLOOKUP([jobnumber],OvalData[],MATCH(Table2[[#Headers],[Torque Required Open]],Table2[#Headers],0),0)</f>
        <v>892</v>
      </c>
      <c r="X165" s="2">
        <f>VLOOKUP([jobnumber],OvalData[],MATCH(Table2[[#Headers],[Pre Turns]],Table2[#Headers],0),0)</f>
        <v>1.3332999999999999</v>
      </c>
      <c r="Y165" s="2">
        <f>VLOOKUP([jobnumber],OvalData[],MATCH(Table2[[#Headers],[Required Torque Per Turn]],Table2[#Headers],0),0)</f>
        <v>688</v>
      </c>
      <c r="Z165" s="2">
        <f>VLOOKUP([jobnumber],OvalData[],MATCH(Table2[[#Headers],[Total Turns]],Table2[#Headers],0),0)</f>
        <v>4.91</v>
      </c>
      <c r="AA165" s="2">
        <f>VLOOKUP([jobnumber],OvalData[],MATCH(Table2[[#Headers],[Grille Vision Section]],Table2[#Headers],0),0)</f>
        <v>0</v>
      </c>
      <c r="AB165" s="2">
        <f>VLOOKUP([jobnumber],OvalData[],MATCH(Table2[[#Headers],[Grille Amount]],Table2[#Headers],0),0)</f>
        <v>0</v>
      </c>
      <c r="AC165" s="2">
        <f>VLOOKUP([jobnumber],OvalData[],MATCH(Table2[[#Headers],[Grille Center]],Table2[#Headers],0),0)</f>
        <v>0</v>
      </c>
      <c r="AD165" s="2">
        <f>VLOOKUP([jobnumber],OvalData[],MATCH(Table2[[#Headers],[Grille Pattern]],Table2[#Headers],0),0)</f>
        <v>0</v>
      </c>
      <c r="AE165" s="2">
        <f>VLOOKUP([jobnumber],OvalData[],MATCH(Table2[[#Headers],[Grille First Tube]],Table2[#Headers],0),0)</f>
        <v>0</v>
      </c>
      <c r="AF165" s="2">
        <f>VLOOKUP([jobnumber],OvalData[],MATCH(Table2[[#Headers],[Grille Standard Tube]],Table2[#Headers],0),0)</f>
        <v>0</v>
      </c>
      <c r="AG165" s="2">
        <f>VLOOKUP([jobnumber],OvalData[],MATCH(Table2[[#Headers],[Grille Total Links]],Table2[#Headers],0),0)</f>
        <v>0</v>
      </c>
      <c r="AH165" s="2">
        <f>VLOOKUP([jobnumber],OvalData[],MATCH(Table2[[#Headers],[Grille Rods]],Table2[#Headers],0),0)</f>
        <v>0</v>
      </c>
      <c r="AI165" s="2">
        <f>VLOOKUP([jobnumber],OvalData[],MATCH(Table2[[#Headers],[Grille Rod Length]],Table2[#Headers],0),0)</f>
        <v>0</v>
      </c>
      <c r="AJ165" s="2">
        <f>VLOOKUP([jobnumber],OvalData[],MATCH(Table2[[#Headers],[slattype]],Table2[#Headers],0),0)</f>
        <v>2</v>
      </c>
      <c r="AK165" s="2">
        <f>VLOOKUP([jobnumber],OvalData[],MATCH(Table2[[#Headers],[slatgage]],Table2[#Headers],0),0)</f>
        <v>18</v>
      </c>
      <c r="AL165" s="2">
        <f>VLOOKUP([jobnumber],OvalData[],MATCH(Table2[[#Headers],[Numer of Top Slats]],Table2[#Headers],0),0)</f>
        <v>0</v>
      </c>
      <c r="AM165" s="2">
        <f>VLOOKUP([jobnumber],OvalData[],MATCH(Table2[[#Headers],[Number of Bottom Slats]],Table2[#Headers],0),0)</f>
        <v>0</v>
      </c>
      <c r="AN165" s="2">
        <f>VLOOKUP([jobnumber],OvalData[],MATCH(Table2[[#Headers],[Solid Bottom Height]],Table2[#Headers],0),0)</f>
        <v>0</v>
      </c>
      <c r="AO165" s="2" t="str">
        <f>VLOOKUP([jobnumber],OvalData[],MATCH(Table2[[#Headers],[slatlength]],Table2[#Headers],0),0)</f>
        <v xml:space="preserve"> 18 ft.- 5 7/ 8"</v>
      </c>
      <c r="AP165" s="2">
        <f>VLOOKUP([jobnumber],OvalData[],MATCH(Table2[[#Headers],[Bottom Slat Length]],Table2[#Headers],0),0)</f>
        <v>0</v>
      </c>
      <c r="AQ165" s="2">
        <f>VLOOKUP([jobnumber],OvalData[],MATCH(Table2[[#Headers],[Number of Perferated Slats]],Table2[#Headers],0),0)</f>
        <v>0</v>
      </c>
      <c r="AR165" s="2">
        <f>VLOOKUP([jobnumber],OvalData[],MATCH(Table2[[#Headers],[First Preferated Slat From End]],Table2[#Headers],0),0)</f>
        <v>0</v>
      </c>
      <c r="AS165" s="2">
        <f>VLOOKUP([jobnumber],OvalData[],MATCH(Table2[[#Headers],[First Preferated Slat From Bottom]],Table2[#Headers],0),0)</f>
        <v>0</v>
      </c>
      <c r="AT165" s="2">
        <f>VLOOKUP([jobnumber],OvalData[],MATCH(Table2[[#Headers],[Total Number of Slats]],Table2[#Headers],0),0)</f>
        <v>51</v>
      </c>
      <c r="AU165" s="2">
        <f>VLOOKUP([jobnumber],OvalData[],MATCH(Table2[[#Headers],[Bottom Bar Slope]],Table2[#Headers],0),0)</f>
        <v>0</v>
      </c>
      <c r="AV165" s="2">
        <f>VLOOKUP([jobnumber],OvalData[],MATCH(Table2[[#Headers],[Bottom Bar Weight]],Table2[#Headers],0),0)</f>
        <v>80.5</v>
      </c>
      <c r="AW165" s="2" t="str">
        <f>VLOOKUP([jobnumber],OvalData[],MATCH(Table2[[#Headers],[Outer Spring Gage]],Table2[#Headers],0),0)</f>
        <v>Null</v>
      </c>
      <c r="AX165" s="2" t="str">
        <f>VLOOKUP([jobnumber],OvalData[],MATCH(Table2[[#Headers],[Outer Spring OD]],Table2[#Headers],0),0)</f>
        <v>Null</v>
      </c>
      <c r="AY165" s="2" t="str">
        <f>VLOOKUP([jobnumber],OvalData[],MATCH(Table2[[#Headers],[Outer Spring Length]],Table2[#Headers],0),0)</f>
        <v>Null</v>
      </c>
      <c r="AZ165" s="2" t="str">
        <f>VLOOKUP([jobnumber],OvalData[],MATCH(Table2[[#Headers],[Outer Spring Stretch]],Table2[#Headers],0),0)</f>
        <v>Null</v>
      </c>
      <c r="BA165" s="2" t="str">
        <f>VLOOKUP([jobnumber],OvalData[],MATCH(Table2[[#Headers],[Outer Spring Torque]],Table2[#Headers],0),0)</f>
        <v>Null</v>
      </c>
      <c r="BB165" s="2" t="str">
        <f>VLOOKUP([jobnumber],OvalData[],MATCH(Table2[[#Headers],[Outer Spring Max Turns]],Table2[#Headers],0),0)</f>
        <v>Null</v>
      </c>
      <c r="BC165" s="2" t="str">
        <f>VLOOKUP([jobnumber],OvalData[],MATCH(Table2[[#Headers],[Outer Spring Weight]],Table2[#Headers],0),0)</f>
        <v>Null</v>
      </c>
      <c r="BD165" s="2" t="str">
        <f>VLOOKUP([jobnumber],OvalData[],MATCH(Table2[[#Headers],[Inner Spring Gage]],Table2[#Headers],0),0)</f>
        <v>Null</v>
      </c>
      <c r="BE165" s="2" t="str">
        <f>VLOOKUP([jobnumber],OvalData[],MATCH(Table2[[#Headers],[Inner Spring OD]],Table2[#Headers],0),0)</f>
        <v>Null</v>
      </c>
      <c r="BF165" s="2" t="str">
        <f>VLOOKUP([jobnumber],OvalData[],MATCH(Table2[[#Headers],[Inner Spring Length]],Table2[#Headers],0),0)</f>
        <v>Null</v>
      </c>
      <c r="BG165" s="2" t="str">
        <f>VLOOKUP([jobnumber],OvalData[],MATCH(Table2[[#Headers],[Inner Spring Stretch]],Table2[#Headers],0),0)</f>
        <v>Null</v>
      </c>
      <c r="BH165" s="2" t="str">
        <f>VLOOKUP([jobnumber],OvalData[],MATCH(Table2[[#Headers],[Inner Spring Torque]],Table2[#Headers],0),0)</f>
        <v>Null</v>
      </c>
      <c r="BI165" s="2" t="str">
        <f>VLOOKUP([jobnumber],OvalData[],MATCH(Table2[[#Headers],[Inner Spring Max Turns]],Table2[#Headers],0),0)</f>
        <v>Null</v>
      </c>
      <c r="BJ165" s="2" t="str">
        <f>VLOOKUP([jobnumber],OvalData[],MATCH(Table2[[#Headers],[Inner Spring Weight]],Table2[#Headers],0),0)</f>
        <v>Null</v>
      </c>
      <c r="BK165" s="2">
        <f>VLOOKUP([jobnumber],OvalData[],MATCH(Table2[[#Headers],[Cycles]],Table2[#Headers],0),0)</f>
        <v>0</v>
      </c>
      <c r="BL165" s="2">
        <f>VLOOKUP([jobnumber],OvalData[],MATCH(Table2[[#Headers],[Total Spring Torque]],Table2[#Headers],0),0)</f>
        <v>0</v>
      </c>
      <c r="BM165" s="2">
        <f>VLOOKUP([jobnumber],OvalData[],MATCH(Table2[[#Headers],[Total Spring Weight]],Table2[#Headers],0),0)</f>
        <v>0</v>
      </c>
      <c r="BN165" s="2">
        <f>VLOOKUP([jobnumber],OvalData[],MATCH(Table2[[#Headers],[Pipe Weight]],Table2[#Headers],0),0)</f>
        <v>688.24239999999998</v>
      </c>
      <c r="BO165" s="2">
        <f>VLOOKUP([jobnumber],OvalData[],MATCH(Table2[[#Headers],[Max Pipe Deflection]],Table2[#Headers],0),0)</f>
        <v>2309</v>
      </c>
      <c r="BP165" s="2">
        <f>VLOOKUP([jobnumber],OvalData[],MATCH(Table2[[#Headers],[Number Non-Insulated Wrap Slats]],Table2[#Headers],0),0)</f>
        <v>0</v>
      </c>
      <c r="BQ165" s="2">
        <f>VLOOKUP([jobnumber],OvalData[],MATCH(Table2[[#Headers],[Number of Insolated Top Slats]],Table2[#Headers],0),0)</f>
        <v>45</v>
      </c>
      <c r="BR165" s="2">
        <f>VLOOKUP([jobnumber],OvalData[],MATCH(Table2[[#Headers],[Insolated Total Slats]],Table2[#Headers],0),0)</f>
        <v>45</v>
      </c>
      <c r="BS165" s="2">
        <f>VLOOKUP([jobnumber],OvalData[],MATCH(Table2[[#Headers],[Number of Slats]],Table2[#Headers],0),0)</f>
        <v>44.69</v>
      </c>
      <c r="BT165" s="2">
        <f>VLOOKUP([jobnumber],OvalData[],MATCH(Table2[[#Headers],[Wrap]],Table2[#Headers],0),0)</f>
        <v>0</v>
      </c>
      <c r="BU165" s="2">
        <f>VLOOKUP([jobnumber],OvalData[],MATCH(Table2[[#Headers],[Wall Angle Thickness]],Table2[#Headers],0),0)</f>
        <v>0</v>
      </c>
      <c r="BV165" s="2">
        <f>VLOOKUP([jobnumber],OvalData[],MATCH(Table2[[#Headers],[windlocks]],Table2[#Headers],0),0)</f>
        <v>0</v>
      </c>
      <c r="BW165" s="2" t="str">
        <f>VLOOKUP([jobnumber],OvalData[],MATCH(Table2[[#Headers],[bottombartype]],Table2[#Headers],0),0)</f>
        <v>SPECIAL</v>
      </c>
      <c r="BX165" s="2">
        <f>VLOOKUP([jobnumber],OvalData[],MATCH(Table2[[#Headers],[endlockweight]],Table2[#Headers],0),0)</f>
        <v>0.17</v>
      </c>
      <c r="BY165" s="2">
        <f>VLOOKUP([jobnumber],OvalData[],MATCH(Table2[[#Headers],[Endlock Total Weight]],Table2[#Headers],0),0)</f>
        <v>7.5972999999999997</v>
      </c>
      <c r="BZ165" s="2">
        <f>VLOOKUP([jobnumber],OvalData[],MATCH(Table2[[#Headers],[Grille Weight]],Table2[#Headers],0),0)</f>
        <v>0</v>
      </c>
      <c r="CA165" s="2">
        <f>VLOOKUP([jobnumber],OvalData[],MATCH(Table2[[#Headers],[barrelrings]],Table2[#Headers],0),0)</f>
        <v>1</v>
      </c>
    </row>
    <row r="166" spans="2:79">
      <c r="B166" s="2" t="str">
        <f>VLOOKUP([jobnumber],OvalData[],MATCH(Table2[[#Headers],[Hand]],Table2[#Headers],0),0)</f>
        <v>RH</v>
      </c>
      <c r="C166" s="2" t="str">
        <f>VLOOKUP([jobnumber],OvalData[],MATCH(Table2[[#Headers],[Model]],Table2[#Headers],0),0)</f>
        <v>SFMPP</v>
      </c>
      <c r="D166" s="2" t="str">
        <f>VLOOKUP([jobnumber],OvalData[],MATCH(Table2[[#Headers],[width]],Table2[#Headers],0),0)</f>
        <v xml:space="preserve"> 18 ft.- 2"</v>
      </c>
      <c r="E166" s="2" t="str">
        <f>VLOOKUP([jobnumber],OvalData[],MATCH(Table2[[#Headers],[stopheight]],Table2[#Headers],0),0)</f>
        <v xml:space="preserve"> 10 ft.- 0"</v>
      </c>
      <c r="F166" s="2" t="str">
        <f>VLOOKUP([jobnumber],OvalData[],MATCH(Table2[[#Headers],[Between Brackets]],Table2[#Headers],0),0)</f>
        <v xml:space="preserve"> 18 ft.- 7 7/ 8"</v>
      </c>
      <c r="G166" s="2" t="str">
        <f>VLOOKUP([jobnumber],OvalData[],MATCH(Table2[[#Headers],[shell]],Table2[#Headers],0),0)</f>
        <v>6 INCH TUBE</v>
      </c>
      <c r="H166" s="2" t="str">
        <f>VLOOKUP([jobnumber],OvalData[],MATCH(Table2[[#Headers],[pipewidth]],Table2[#Headers],0),0)</f>
        <v xml:space="preserve"> 18 ft.- 1 3/ 8"</v>
      </c>
      <c r="I166" s="2">
        <f>VLOOKUP([jobnumber],OvalData[],MATCH(Table2[[#Headers],[Support Tubes]],Table2[#Headers],0),0)</f>
        <v>0</v>
      </c>
      <c r="J166" s="2">
        <f>VLOOKUP([jobnumber],OvalData[],MATCH(Table2[[#Headers],[Upset]],Table2[#Headers],0),0)</f>
        <v>2</v>
      </c>
      <c r="K166" s="2" t="str">
        <f>VLOOKUP([jobnumber],OvalData[],MATCH(Table2[[#Headers],[Guide Type]],Table2[#Headers],0),0)</f>
        <v>SN2-4 5/8-E</v>
      </c>
      <c r="L166" s="2" t="str">
        <f>VLOOKUP([jobnumber],OvalData[],MATCH(Table2[[#Headers],[Wall Angle]],Table2[#Headers],0),0)</f>
        <v xml:space="preserve"> 11 ft.- 8"</v>
      </c>
      <c r="M166" s="2" t="str">
        <f>VLOOKUP([jobnumber],OvalData[],MATCH(Table2[[#Headers],[Middle Angle]],Table2[#Headers],0),0)</f>
        <v xml:space="preserve"> 10 ft.- 4 1/ 2"</v>
      </c>
      <c r="N166" s="2" t="str">
        <f>VLOOKUP([jobnumber],OvalData[],MATCH(Table2[[#Headers],[Front Angle]],Table2[#Headers],0),0)</f>
        <v xml:space="preserve"> 10 ft.- 3"</v>
      </c>
      <c r="O166" s="2">
        <f>VLOOKUP([jobnumber],OvalData[],MATCH(Table2[[#Headers],[Pipe Center Line]],Table2[#Headers],0),0)</f>
        <v>131</v>
      </c>
      <c r="P166" s="2">
        <f>VLOOKUP([jobnumber],OvalData[],MATCH(Table2[[#Headers],[Heat Expansion Gap]],Table2[#Headers],0),0)</f>
        <v>0</v>
      </c>
      <c r="Q166" s="2">
        <f>VLOOKUP([jobnumber],OvalData[],MATCH(Table2[[#Headers],[Hanging Weight Closed]],Table2[#Headers],0),0)</f>
        <v>795</v>
      </c>
      <c r="R166" s="2">
        <f>VLOOKUP([jobnumber],OvalData[],MATCH(Table2[[#Headers],[Hanging Weight Open]],Table2[#Headers],0),0)</f>
        <v>140</v>
      </c>
      <c r="S166" s="2">
        <f>VLOOKUP([jobnumber],OvalData[],MATCH(Table2[[#Headers],[Initial Lever Arm]],Table2[#Headers],0),0)</f>
        <v>4.25</v>
      </c>
      <c r="T166" s="2">
        <f>VLOOKUP([jobnumber],OvalData[],MATCH(Table2[[#Headers],[Turns to Raise]],Table2[#Headers],0),0)</f>
        <v>3.5859999999999999</v>
      </c>
      <c r="U166" s="2">
        <f>VLOOKUP([jobnumber],OvalData[],MATCH(Table2[[#Headers],[Final Lever Arm]],Table2[#Headers],0),0)</f>
        <v>6.37</v>
      </c>
      <c r="V166" s="2">
        <f>VLOOKUP([jobnumber],OvalData[],MATCH(Table2[[#Headers],[Torque Required Closed]],Table2[#Headers],0),0)</f>
        <v>3377.9</v>
      </c>
      <c r="W166" s="2">
        <f>VLOOKUP([jobnumber],OvalData[],MATCH(Table2[[#Headers],[Torque Required Open]],Table2[#Headers],0),0)</f>
        <v>892</v>
      </c>
      <c r="X166" s="2">
        <f>VLOOKUP([jobnumber],OvalData[],MATCH(Table2[[#Headers],[Pre Turns]],Table2[#Headers],0),0)</f>
        <v>1.3332999999999999</v>
      </c>
      <c r="Y166" s="2">
        <f>VLOOKUP([jobnumber],OvalData[],MATCH(Table2[[#Headers],[Required Torque Per Turn]],Table2[#Headers],0),0)</f>
        <v>688</v>
      </c>
      <c r="Z166" s="2">
        <f>VLOOKUP([jobnumber],OvalData[],MATCH(Table2[[#Headers],[Total Turns]],Table2[#Headers],0),0)</f>
        <v>4.91</v>
      </c>
      <c r="AA166" s="2">
        <f>VLOOKUP([jobnumber],OvalData[],MATCH(Table2[[#Headers],[Grille Vision Section]],Table2[#Headers],0),0)</f>
        <v>0</v>
      </c>
      <c r="AB166" s="2">
        <f>VLOOKUP([jobnumber],OvalData[],MATCH(Table2[[#Headers],[Grille Amount]],Table2[#Headers],0),0)</f>
        <v>0</v>
      </c>
      <c r="AC166" s="2">
        <f>VLOOKUP([jobnumber],OvalData[],MATCH(Table2[[#Headers],[Grille Center]],Table2[#Headers],0),0)</f>
        <v>0</v>
      </c>
      <c r="AD166" s="2">
        <f>VLOOKUP([jobnumber],OvalData[],MATCH(Table2[[#Headers],[Grille Pattern]],Table2[#Headers],0),0)</f>
        <v>0</v>
      </c>
      <c r="AE166" s="2">
        <f>VLOOKUP([jobnumber],OvalData[],MATCH(Table2[[#Headers],[Grille First Tube]],Table2[#Headers],0),0)</f>
        <v>0</v>
      </c>
      <c r="AF166" s="2">
        <f>VLOOKUP([jobnumber],OvalData[],MATCH(Table2[[#Headers],[Grille Standard Tube]],Table2[#Headers],0),0)</f>
        <v>0</v>
      </c>
      <c r="AG166" s="2">
        <f>VLOOKUP([jobnumber],OvalData[],MATCH(Table2[[#Headers],[Grille Total Links]],Table2[#Headers],0),0)</f>
        <v>0</v>
      </c>
      <c r="AH166" s="2">
        <f>VLOOKUP([jobnumber],OvalData[],MATCH(Table2[[#Headers],[Grille Rods]],Table2[#Headers],0),0)</f>
        <v>0</v>
      </c>
      <c r="AI166" s="2">
        <f>VLOOKUP([jobnumber],OvalData[],MATCH(Table2[[#Headers],[Grille Rod Length]],Table2[#Headers],0),0)</f>
        <v>0</v>
      </c>
      <c r="AJ166" s="2">
        <f>VLOOKUP([jobnumber],OvalData[],MATCH(Table2[[#Headers],[slattype]],Table2[#Headers],0),0)</f>
        <v>2</v>
      </c>
      <c r="AK166" s="2">
        <f>VLOOKUP([jobnumber],OvalData[],MATCH(Table2[[#Headers],[slatgage]],Table2[#Headers],0),0)</f>
        <v>18</v>
      </c>
      <c r="AL166" s="2">
        <f>VLOOKUP([jobnumber],OvalData[],MATCH(Table2[[#Headers],[Numer of Top Slats]],Table2[#Headers],0),0)</f>
        <v>0</v>
      </c>
      <c r="AM166" s="2">
        <f>VLOOKUP([jobnumber],OvalData[],MATCH(Table2[[#Headers],[Number of Bottom Slats]],Table2[#Headers],0),0)</f>
        <v>0</v>
      </c>
      <c r="AN166" s="2">
        <f>VLOOKUP([jobnumber],OvalData[],MATCH(Table2[[#Headers],[Solid Bottom Height]],Table2[#Headers],0),0)</f>
        <v>0</v>
      </c>
      <c r="AO166" s="2" t="str">
        <f>VLOOKUP([jobnumber],OvalData[],MATCH(Table2[[#Headers],[slatlength]],Table2[#Headers],0),0)</f>
        <v xml:space="preserve"> 18 ft.- 5 7/ 8"</v>
      </c>
      <c r="AP166" s="2">
        <f>VLOOKUP([jobnumber],OvalData[],MATCH(Table2[[#Headers],[Bottom Slat Length]],Table2[#Headers],0),0)</f>
        <v>0</v>
      </c>
      <c r="AQ166" s="2">
        <f>VLOOKUP([jobnumber],OvalData[],MATCH(Table2[[#Headers],[Number of Perferated Slats]],Table2[#Headers],0),0)</f>
        <v>0</v>
      </c>
      <c r="AR166" s="2">
        <f>VLOOKUP([jobnumber],OvalData[],MATCH(Table2[[#Headers],[First Preferated Slat From End]],Table2[#Headers],0),0)</f>
        <v>0</v>
      </c>
      <c r="AS166" s="2">
        <f>VLOOKUP([jobnumber],OvalData[],MATCH(Table2[[#Headers],[First Preferated Slat From Bottom]],Table2[#Headers],0),0)</f>
        <v>0</v>
      </c>
      <c r="AT166" s="2">
        <f>VLOOKUP([jobnumber],OvalData[],MATCH(Table2[[#Headers],[Total Number of Slats]],Table2[#Headers],0),0)</f>
        <v>51</v>
      </c>
      <c r="AU166" s="2">
        <f>VLOOKUP([jobnumber],OvalData[],MATCH(Table2[[#Headers],[Bottom Bar Slope]],Table2[#Headers],0),0)</f>
        <v>0</v>
      </c>
      <c r="AV166" s="2">
        <f>VLOOKUP([jobnumber],OvalData[],MATCH(Table2[[#Headers],[Bottom Bar Weight]],Table2[#Headers],0),0)</f>
        <v>80.5</v>
      </c>
      <c r="AW166" s="2" t="str">
        <f>VLOOKUP([jobnumber],OvalData[],MATCH(Table2[[#Headers],[Outer Spring Gage]],Table2[#Headers],0),0)</f>
        <v>Null</v>
      </c>
      <c r="AX166" s="2" t="str">
        <f>VLOOKUP([jobnumber],OvalData[],MATCH(Table2[[#Headers],[Outer Spring OD]],Table2[#Headers],0),0)</f>
        <v>Null</v>
      </c>
      <c r="AY166" s="2" t="str">
        <f>VLOOKUP([jobnumber],OvalData[],MATCH(Table2[[#Headers],[Outer Spring Length]],Table2[#Headers],0),0)</f>
        <v>Null</v>
      </c>
      <c r="AZ166" s="2" t="str">
        <f>VLOOKUP([jobnumber],OvalData[],MATCH(Table2[[#Headers],[Outer Spring Stretch]],Table2[#Headers],0),0)</f>
        <v>Null</v>
      </c>
      <c r="BA166" s="2" t="str">
        <f>VLOOKUP([jobnumber],OvalData[],MATCH(Table2[[#Headers],[Outer Spring Torque]],Table2[#Headers],0),0)</f>
        <v>Null</v>
      </c>
      <c r="BB166" s="2" t="str">
        <f>VLOOKUP([jobnumber],OvalData[],MATCH(Table2[[#Headers],[Outer Spring Max Turns]],Table2[#Headers],0),0)</f>
        <v>Null</v>
      </c>
      <c r="BC166" s="2" t="str">
        <f>VLOOKUP([jobnumber],OvalData[],MATCH(Table2[[#Headers],[Outer Spring Weight]],Table2[#Headers],0),0)</f>
        <v>Null</v>
      </c>
      <c r="BD166" s="2" t="str">
        <f>VLOOKUP([jobnumber],OvalData[],MATCH(Table2[[#Headers],[Inner Spring Gage]],Table2[#Headers],0),0)</f>
        <v>Null</v>
      </c>
      <c r="BE166" s="2" t="str">
        <f>VLOOKUP([jobnumber],OvalData[],MATCH(Table2[[#Headers],[Inner Spring OD]],Table2[#Headers],0),0)</f>
        <v>Null</v>
      </c>
      <c r="BF166" s="2" t="str">
        <f>VLOOKUP([jobnumber],OvalData[],MATCH(Table2[[#Headers],[Inner Spring Length]],Table2[#Headers],0),0)</f>
        <v>Null</v>
      </c>
      <c r="BG166" s="2" t="str">
        <f>VLOOKUP([jobnumber],OvalData[],MATCH(Table2[[#Headers],[Inner Spring Stretch]],Table2[#Headers],0),0)</f>
        <v>Null</v>
      </c>
      <c r="BH166" s="2" t="str">
        <f>VLOOKUP([jobnumber],OvalData[],MATCH(Table2[[#Headers],[Inner Spring Torque]],Table2[#Headers],0),0)</f>
        <v>Null</v>
      </c>
      <c r="BI166" s="2" t="str">
        <f>VLOOKUP([jobnumber],OvalData[],MATCH(Table2[[#Headers],[Inner Spring Max Turns]],Table2[#Headers],0),0)</f>
        <v>Null</v>
      </c>
      <c r="BJ166" s="2" t="str">
        <f>VLOOKUP([jobnumber],OvalData[],MATCH(Table2[[#Headers],[Inner Spring Weight]],Table2[#Headers],0),0)</f>
        <v>Null</v>
      </c>
      <c r="BK166" s="2">
        <f>VLOOKUP([jobnumber],OvalData[],MATCH(Table2[[#Headers],[Cycles]],Table2[#Headers],0),0)</f>
        <v>0</v>
      </c>
      <c r="BL166" s="2">
        <f>VLOOKUP([jobnumber],OvalData[],MATCH(Table2[[#Headers],[Total Spring Torque]],Table2[#Headers],0),0)</f>
        <v>0</v>
      </c>
      <c r="BM166" s="2">
        <f>VLOOKUP([jobnumber],OvalData[],MATCH(Table2[[#Headers],[Total Spring Weight]],Table2[#Headers],0),0)</f>
        <v>0</v>
      </c>
      <c r="BN166" s="2">
        <f>VLOOKUP([jobnumber],OvalData[],MATCH(Table2[[#Headers],[Pipe Weight]],Table2[#Headers],0),0)</f>
        <v>688.24239999999998</v>
      </c>
      <c r="BO166" s="2">
        <f>VLOOKUP([jobnumber],OvalData[],MATCH(Table2[[#Headers],[Max Pipe Deflection]],Table2[#Headers],0),0)</f>
        <v>2309</v>
      </c>
      <c r="BP166" s="2">
        <f>VLOOKUP([jobnumber],OvalData[],MATCH(Table2[[#Headers],[Number Non-Insulated Wrap Slats]],Table2[#Headers],0),0)</f>
        <v>0</v>
      </c>
      <c r="BQ166" s="2">
        <f>VLOOKUP([jobnumber],OvalData[],MATCH(Table2[[#Headers],[Number of Insolated Top Slats]],Table2[#Headers],0),0)</f>
        <v>45</v>
      </c>
      <c r="BR166" s="2">
        <f>VLOOKUP([jobnumber],OvalData[],MATCH(Table2[[#Headers],[Insolated Total Slats]],Table2[#Headers],0),0)</f>
        <v>45</v>
      </c>
      <c r="BS166" s="2">
        <f>VLOOKUP([jobnumber],OvalData[],MATCH(Table2[[#Headers],[Number of Slats]],Table2[#Headers],0),0)</f>
        <v>44.69</v>
      </c>
      <c r="BT166" s="2">
        <f>VLOOKUP([jobnumber],OvalData[],MATCH(Table2[[#Headers],[Wrap]],Table2[#Headers],0),0)</f>
        <v>0</v>
      </c>
      <c r="BU166" s="2">
        <f>VLOOKUP([jobnumber],OvalData[],MATCH(Table2[[#Headers],[Wall Angle Thickness]],Table2[#Headers],0),0)</f>
        <v>0</v>
      </c>
      <c r="BV166" s="2">
        <f>VLOOKUP([jobnumber],OvalData[],MATCH(Table2[[#Headers],[windlocks]],Table2[#Headers],0),0)</f>
        <v>0</v>
      </c>
      <c r="BW166" s="2" t="str">
        <f>VLOOKUP([jobnumber],OvalData[],MATCH(Table2[[#Headers],[bottombartype]],Table2[#Headers],0),0)</f>
        <v>SPECIAL</v>
      </c>
      <c r="BX166" s="2">
        <f>VLOOKUP([jobnumber],OvalData[],MATCH(Table2[[#Headers],[endlockweight]],Table2[#Headers],0),0)</f>
        <v>0.17</v>
      </c>
      <c r="BY166" s="2">
        <f>VLOOKUP([jobnumber],OvalData[],MATCH(Table2[[#Headers],[Endlock Total Weight]],Table2[#Headers],0),0)</f>
        <v>7.5972999999999997</v>
      </c>
      <c r="BZ166" s="2">
        <f>VLOOKUP([jobnumber],OvalData[],MATCH(Table2[[#Headers],[Grille Weight]],Table2[#Headers],0),0)</f>
        <v>0</v>
      </c>
      <c r="CA166" s="2">
        <f>VLOOKUP([jobnumber],OvalData[],MATCH(Table2[[#Headers],[barrelrings]],Table2[#Headers],0),0)</f>
        <v>1</v>
      </c>
    </row>
    <row r="167" spans="2:79">
      <c r="B167" s="2" t="str">
        <f>VLOOKUP([jobnumber],OvalData[],MATCH(Table2[[#Headers],[Hand]],Table2[#Headers],0),0)</f>
        <v>RH</v>
      </c>
      <c r="C167" s="2" t="str">
        <f>VLOOKUP([jobnumber],OvalData[],MATCH(Table2[[#Headers],[Model]],Table2[#Headers],0),0)</f>
        <v>SFMPP</v>
      </c>
      <c r="D167" s="2" t="str">
        <f>VLOOKUP([jobnumber],OvalData[],MATCH(Table2[[#Headers],[width]],Table2[#Headers],0),0)</f>
        <v xml:space="preserve"> 18 ft.- 2"</v>
      </c>
      <c r="E167" s="2" t="str">
        <f>VLOOKUP([jobnumber],OvalData[],MATCH(Table2[[#Headers],[stopheight]],Table2[#Headers],0),0)</f>
        <v xml:space="preserve"> 10 ft.- 0"</v>
      </c>
      <c r="F167" s="2" t="str">
        <f>VLOOKUP([jobnumber],OvalData[],MATCH(Table2[[#Headers],[Between Brackets]],Table2[#Headers],0),0)</f>
        <v xml:space="preserve"> 18 ft.- 7 7/ 8"</v>
      </c>
      <c r="G167" s="2" t="str">
        <f>VLOOKUP([jobnumber],OvalData[],MATCH(Table2[[#Headers],[shell]],Table2[#Headers],0),0)</f>
        <v>6 INCH TUBE</v>
      </c>
      <c r="H167" s="2" t="str">
        <f>VLOOKUP([jobnumber],OvalData[],MATCH(Table2[[#Headers],[pipewidth]],Table2[#Headers],0),0)</f>
        <v xml:space="preserve"> 18 ft.- 1 3/ 8"</v>
      </c>
      <c r="I167" s="2">
        <f>VLOOKUP([jobnumber],OvalData[],MATCH(Table2[[#Headers],[Support Tubes]],Table2[#Headers],0),0)</f>
        <v>0</v>
      </c>
      <c r="J167" s="2">
        <f>VLOOKUP([jobnumber],OvalData[],MATCH(Table2[[#Headers],[Upset]],Table2[#Headers],0),0)</f>
        <v>2</v>
      </c>
      <c r="K167" s="2" t="str">
        <f>VLOOKUP([jobnumber],OvalData[],MATCH(Table2[[#Headers],[Guide Type]],Table2[#Headers],0),0)</f>
        <v>SN2-4 5/8-E</v>
      </c>
      <c r="L167" s="2" t="str">
        <f>VLOOKUP([jobnumber],OvalData[],MATCH(Table2[[#Headers],[Wall Angle]],Table2[#Headers],0),0)</f>
        <v xml:space="preserve"> 11 ft.- 8"</v>
      </c>
      <c r="M167" s="2" t="str">
        <f>VLOOKUP([jobnumber],OvalData[],MATCH(Table2[[#Headers],[Middle Angle]],Table2[#Headers],0),0)</f>
        <v xml:space="preserve"> 10 ft.- 4 1/ 2"</v>
      </c>
      <c r="N167" s="2" t="str">
        <f>VLOOKUP([jobnumber],OvalData[],MATCH(Table2[[#Headers],[Front Angle]],Table2[#Headers],0),0)</f>
        <v xml:space="preserve"> 10 ft.- 3"</v>
      </c>
      <c r="O167" s="2">
        <f>VLOOKUP([jobnumber],OvalData[],MATCH(Table2[[#Headers],[Pipe Center Line]],Table2[#Headers],0),0)</f>
        <v>131</v>
      </c>
      <c r="P167" s="2">
        <f>VLOOKUP([jobnumber],OvalData[],MATCH(Table2[[#Headers],[Heat Expansion Gap]],Table2[#Headers],0),0)</f>
        <v>0</v>
      </c>
      <c r="Q167" s="2">
        <f>VLOOKUP([jobnumber],OvalData[],MATCH(Table2[[#Headers],[Hanging Weight Closed]],Table2[#Headers],0),0)</f>
        <v>795</v>
      </c>
      <c r="R167" s="2">
        <f>VLOOKUP([jobnumber],OvalData[],MATCH(Table2[[#Headers],[Hanging Weight Open]],Table2[#Headers],0),0)</f>
        <v>140</v>
      </c>
      <c r="S167" s="2">
        <f>VLOOKUP([jobnumber],OvalData[],MATCH(Table2[[#Headers],[Initial Lever Arm]],Table2[#Headers],0),0)</f>
        <v>4.25</v>
      </c>
      <c r="T167" s="2">
        <f>VLOOKUP([jobnumber],OvalData[],MATCH(Table2[[#Headers],[Turns to Raise]],Table2[#Headers],0),0)</f>
        <v>3.5859999999999999</v>
      </c>
      <c r="U167" s="2">
        <f>VLOOKUP([jobnumber],OvalData[],MATCH(Table2[[#Headers],[Final Lever Arm]],Table2[#Headers],0),0)</f>
        <v>6.37</v>
      </c>
      <c r="V167" s="2">
        <f>VLOOKUP([jobnumber],OvalData[],MATCH(Table2[[#Headers],[Torque Required Closed]],Table2[#Headers],0),0)</f>
        <v>3377.9</v>
      </c>
      <c r="W167" s="2">
        <f>VLOOKUP([jobnumber],OvalData[],MATCH(Table2[[#Headers],[Torque Required Open]],Table2[#Headers],0),0)</f>
        <v>892</v>
      </c>
      <c r="X167" s="2">
        <f>VLOOKUP([jobnumber],OvalData[],MATCH(Table2[[#Headers],[Pre Turns]],Table2[#Headers],0),0)</f>
        <v>1.3332999999999999</v>
      </c>
      <c r="Y167" s="2">
        <f>VLOOKUP([jobnumber],OvalData[],MATCH(Table2[[#Headers],[Required Torque Per Turn]],Table2[#Headers],0),0)</f>
        <v>688</v>
      </c>
      <c r="Z167" s="2">
        <f>VLOOKUP([jobnumber],OvalData[],MATCH(Table2[[#Headers],[Total Turns]],Table2[#Headers],0),0)</f>
        <v>4.91</v>
      </c>
      <c r="AA167" s="2">
        <f>VLOOKUP([jobnumber],OvalData[],MATCH(Table2[[#Headers],[Grille Vision Section]],Table2[#Headers],0),0)</f>
        <v>0</v>
      </c>
      <c r="AB167" s="2">
        <f>VLOOKUP([jobnumber],OvalData[],MATCH(Table2[[#Headers],[Grille Amount]],Table2[#Headers],0),0)</f>
        <v>0</v>
      </c>
      <c r="AC167" s="2">
        <f>VLOOKUP([jobnumber],OvalData[],MATCH(Table2[[#Headers],[Grille Center]],Table2[#Headers],0),0)</f>
        <v>0</v>
      </c>
      <c r="AD167" s="2">
        <f>VLOOKUP([jobnumber],OvalData[],MATCH(Table2[[#Headers],[Grille Pattern]],Table2[#Headers],0),0)</f>
        <v>0</v>
      </c>
      <c r="AE167" s="2">
        <f>VLOOKUP([jobnumber],OvalData[],MATCH(Table2[[#Headers],[Grille First Tube]],Table2[#Headers],0),0)</f>
        <v>0</v>
      </c>
      <c r="AF167" s="2">
        <f>VLOOKUP([jobnumber],OvalData[],MATCH(Table2[[#Headers],[Grille Standard Tube]],Table2[#Headers],0),0)</f>
        <v>0</v>
      </c>
      <c r="AG167" s="2">
        <f>VLOOKUP([jobnumber],OvalData[],MATCH(Table2[[#Headers],[Grille Total Links]],Table2[#Headers],0),0)</f>
        <v>0</v>
      </c>
      <c r="AH167" s="2">
        <f>VLOOKUP([jobnumber],OvalData[],MATCH(Table2[[#Headers],[Grille Rods]],Table2[#Headers],0),0)</f>
        <v>0</v>
      </c>
      <c r="AI167" s="2">
        <f>VLOOKUP([jobnumber],OvalData[],MATCH(Table2[[#Headers],[Grille Rod Length]],Table2[#Headers],0),0)</f>
        <v>0</v>
      </c>
      <c r="AJ167" s="2">
        <f>VLOOKUP([jobnumber],OvalData[],MATCH(Table2[[#Headers],[slattype]],Table2[#Headers],0),0)</f>
        <v>2</v>
      </c>
      <c r="AK167" s="2">
        <f>VLOOKUP([jobnumber],OvalData[],MATCH(Table2[[#Headers],[slatgage]],Table2[#Headers],0),0)</f>
        <v>18</v>
      </c>
      <c r="AL167" s="2">
        <f>VLOOKUP([jobnumber],OvalData[],MATCH(Table2[[#Headers],[Numer of Top Slats]],Table2[#Headers],0),0)</f>
        <v>0</v>
      </c>
      <c r="AM167" s="2">
        <f>VLOOKUP([jobnumber],OvalData[],MATCH(Table2[[#Headers],[Number of Bottom Slats]],Table2[#Headers],0),0)</f>
        <v>0</v>
      </c>
      <c r="AN167" s="2">
        <f>VLOOKUP([jobnumber],OvalData[],MATCH(Table2[[#Headers],[Solid Bottom Height]],Table2[#Headers],0),0)</f>
        <v>0</v>
      </c>
      <c r="AO167" s="2" t="str">
        <f>VLOOKUP([jobnumber],OvalData[],MATCH(Table2[[#Headers],[slatlength]],Table2[#Headers],0),0)</f>
        <v xml:space="preserve"> 18 ft.- 5 7/ 8"</v>
      </c>
      <c r="AP167" s="2">
        <f>VLOOKUP([jobnumber],OvalData[],MATCH(Table2[[#Headers],[Bottom Slat Length]],Table2[#Headers],0),0)</f>
        <v>0</v>
      </c>
      <c r="AQ167" s="2">
        <f>VLOOKUP([jobnumber],OvalData[],MATCH(Table2[[#Headers],[Number of Perferated Slats]],Table2[#Headers],0),0)</f>
        <v>0</v>
      </c>
      <c r="AR167" s="2">
        <f>VLOOKUP([jobnumber],OvalData[],MATCH(Table2[[#Headers],[First Preferated Slat From End]],Table2[#Headers],0),0)</f>
        <v>0</v>
      </c>
      <c r="AS167" s="2">
        <f>VLOOKUP([jobnumber],OvalData[],MATCH(Table2[[#Headers],[First Preferated Slat From Bottom]],Table2[#Headers],0),0)</f>
        <v>0</v>
      </c>
      <c r="AT167" s="2">
        <f>VLOOKUP([jobnumber],OvalData[],MATCH(Table2[[#Headers],[Total Number of Slats]],Table2[#Headers],0),0)</f>
        <v>51</v>
      </c>
      <c r="AU167" s="2">
        <f>VLOOKUP([jobnumber],OvalData[],MATCH(Table2[[#Headers],[Bottom Bar Slope]],Table2[#Headers],0),0)</f>
        <v>0</v>
      </c>
      <c r="AV167" s="2">
        <f>VLOOKUP([jobnumber],OvalData[],MATCH(Table2[[#Headers],[Bottom Bar Weight]],Table2[#Headers],0),0)</f>
        <v>80.5</v>
      </c>
      <c r="AW167" s="2" t="str">
        <f>VLOOKUP([jobnumber],OvalData[],MATCH(Table2[[#Headers],[Outer Spring Gage]],Table2[#Headers],0),0)</f>
        <v>Null</v>
      </c>
      <c r="AX167" s="2" t="str">
        <f>VLOOKUP([jobnumber],OvalData[],MATCH(Table2[[#Headers],[Outer Spring OD]],Table2[#Headers],0),0)</f>
        <v>Null</v>
      </c>
      <c r="AY167" s="2" t="str">
        <f>VLOOKUP([jobnumber],OvalData[],MATCH(Table2[[#Headers],[Outer Spring Length]],Table2[#Headers],0),0)</f>
        <v>Null</v>
      </c>
      <c r="AZ167" s="2" t="str">
        <f>VLOOKUP([jobnumber],OvalData[],MATCH(Table2[[#Headers],[Outer Spring Stretch]],Table2[#Headers],0),0)</f>
        <v>Null</v>
      </c>
      <c r="BA167" s="2" t="str">
        <f>VLOOKUP([jobnumber],OvalData[],MATCH(Table2[[#Headers],[Outer Spring Torque]],Table2[#Headers],0),0)</f>
        <v>Null</v>
      </c>
      <c r="BB167" s="2" t="str">
        <f>VLOOKUP([jobnumber],OvalData[],MATCH(Table2[[#Headers],[Outer Spring Max Turns]],Table2[#Headers],0),0)</f>
        <v>Null</v>
      </c>
      <c r="BC167" s="2" t="str">
        <f>VLOOKUP([jobnumber],OvalData[],MATCH(Table2[[#Headers],[Outer Spring Weight]],Table2[#Headers],0),0)</f>
        <v>Null</v>
      </c>
      <c r="BD167" s="2" t="str">
        <f>VLOOKUP([jobnumber],OvalData[],MATCH(Table2[[#Headers],[Inner Spring Gage]],Table2[#Headers],0),0)</f>
        <v>Null</v>
      </c>
      <c r="BE167" s="2" t="str">
        <f>VLOOKUP([jobnumber],OvalData[],MATCH(Table2[[#Headers],[Inner Spring OD]],Table2[#Headers],0),0)</f>
        <v>Null</v>
      </c>
      <c r="BF167" s="2" t="str">
        <f>VLOOKUP([jobnumber],OvalData[],MATCH(Table2[[#Headers],[Inner Spring Length]],Table2[#Headers],0),0)</f>
        <v>Null</v>
      </c>
      <c r="BG167" s="2" t="str">
        <f>VLOOKUP([jobnumber],OvalData[],MATCH(Table2[[#Headers],[Inner Spring Stretch]],Table2[#Headers],0),0)</f>
        <v>Null</v>
      </c>
      <c r="BH167" s="2" t="str">
        <f>VLOOKUP([jobnumber],OvalData[],MATCH(Table2[[#Headers],[Inner Spring Torque]],Table2[#Headers],0),0)</f>
        <v>Null</v>
      </c>
      <c r="BI167" s="2" t="str">
        <f>VLOOKUP([jobnumber],OvalData[],MATCH(Table2[[#Headers],[Inner Spring Max Turns]],Table2[#Headers],0),0)</f>
        <v>Null</v>
      </c>
      <c r="BJ167" s="2" t="str">
        <f>VLOOKUP([jobnumber],OvalData[],MATCH(Table2[[#Headers],[Inner Spring Weight]],Table2[#Headers],0),0)</f>
        <v>Null</v>
      </c>
      <c r="BK167" s="2">
        <f>VLOOKUP([jobnumber],OvalData[],MATCH(Table2[[#Headers],[Cycles]],Table2[#Headers],0),0)</f>
        <v>0</v>
      </c>
      <c r="BL167" s="2">
        <f>VLOOKUP([jobnumber],OvalData[],MATCH(Table2[[#Headers],[Total Spring Torque]],Table2[#Headers],0),0)</f>
        <v>0</v>
      </c>
      <c r="BM167" s="2">
        <f>VLOOKUP([jobnumber],OvalData[],MATCH(Table2[[#Headers],[Total Spring Weight]],Table2[#Headers],0),0)</f>
        <v>0</v>
      </c>
      <c r="BN167" s="2">
        <f>VLOOKUP([jobnumber],OvalData[],MATCH(Table2[[#Headers],[Pipe Weight]],Table2[#Headers],0),0)</f>
        <v>688.24239999999998</v>
      </c>
      <c r="BO167" s="2">
        <f>VLOOKUP([jobnumber],OvalData[],MATCH(Table2[[#Headers],[Max Pipe Deflection]],Table2[#Headers],0),0)</f>
        <v>2309</v>
      </c>
      <c r="BP167" s="2">
        <f>VLOOKUP([jobnumber],OvalData[],MATCH(Table2[[#Headers],[Number Non-Insulated Wrap Slats]],Table2[#Headers],0),0)</f>
        <v>0</v>
      </c>
      <c r="BQ167" s="2">
        <f>VLOOKUP([jobnumber],OvalData[],MATCH(Table2[[#Headers],[Number of Insolated Top Slats]],Table2[#Headers],0),0)</f>
        <v>45</v>
      </c>
      <c r="BR167" s="2">
        <f>VLOOKUP([jobnumber],OvalData[],MATCH(Table2[[#Headers],[Insolated Total Slats]],Table2[#Headers],0),0)</f>
        <v>45</v>
      </c>
      <c r="BS167" s="2">
        <f>VLOOKUP([jobnumber],OvalData[],MATCH(Table2[[#Headers],[Number of Slats]],Table2[#Headers],0),0)</f>
        <v>44.69</v>
      </c>
      <c r="BT167" s="2">
        <f>VLOOKUP([jobnumber],OvalData[],MATCH(Table2[[#Headers],[Wrap]],Table2[#Headers],0),0)</f>
        <v>0</v>
      </c>
      <c r="BU167" s="2">
        <f>VLOOKUP([jobnumber],OvalData[],MATCH(Table2[[#Headers],[Wall Angle Thickness]],Table2[#Headers],0),0)</f>
        <v>0</v>
      </c>
      <c r="BV167" s="2">
        <f>VLOOKUP([jobnumber],OvalData[],MATCH(Table2[[#Headers],[windlocks]],Table2[#Headers],0),0)</f>
        <v>0</v>
      </c>
      <c r="BW167" s="2" t="str">
        <f>VLOOKUP([jobnumber],OvalData[],MATCH(Table2[[#Headers],[bottombartype]],Table2[#Headers],0),0)</f>
        <v>SPECIAL</v>
      </c>
      <c r="BX167" s="2">
        <f>VLOOKUP([jobnumber],OvalData[],MATCH(Table2[[#Headers],[endlockweight]],Table2[#Headers],0),0)</f>
        <v>0.17</v>
      </c>
      <c r="BY167" s="2">
        <f>VLOOKUP([jobnumber],OvalData[],MATCH(Table2[[#Headers],[Endlock Total Weight]],Table2[#Headers],0),0)</f>
        <v>7.5972999999999997</v>
      </c>
      <c r="BZ167" s="2">
        <f>VLOOKUP([jobnumber],OvalData[],MATCH(Table2[[#Headers],[Grille Weight]],Table2[#Headers],0),0)</f>
        <v>0</v>
      </c>
      <c r="CA167" s="2">
        <f>VLOOKUP([jobnumber],OvalData[],MATCH(Table2[[#Headers],[barrelrings]],Table2[#Headers],0),0)</f>
        <v>1</v>
      </c>
    </row>
    <row r="168" spans="2:79">
      <c r="B168" s="2" t="str">
        <f>VLOOKUP([jobnumber],OvalData[],MATCH(Table2[[#Headers],[Hand]],Table2[#Headers],0),0)</f>
        <v>RH</v>
      </c>
      <c r="C168" s="2" t="str">
        <f>VLOOKUP([jobnumber],OvalData[],MATCH(Table2[[#Headers],[Model]],Table2[#Headers],0),0)</f>
        <v>SFMPP</v>
      </c>
      <c r="D168" s="2" t="str">
        <f>VLOOKUP([jobnumber],OvalData[],MATCH(Table2[[#Headers],[width]],Table2[#Headers],0),0)</f>
        <v xml:space="preserve"> 18 ft.- 2"</v>
      </c>
      <c r="E168" s="2" t="str">
        <f>VLOOKUP([jobnumber],OvalData[],MATCH(Table2[[#Headers],[stopheight]],Table2[#Headers],0),0)</f>
        <v xml:space="preserve"> 10 ft.- 0"</v>
      </c>
      <c r="F168" s="2" t="str">
        <f>VLOOKUP([jobnumber],OvalData[],MATCH(Table2[[#Headers],[Between Brackets]],Table2[#Headers],0),0)</f>
        <v xml:space="preserve"> 18 ft.- 7 7/ 8"</v>
      </c>
      <c r="G168" s="2" t="str">
        <f>VLOOKUP([jobnumber],OvalData[],MATCH(Table2[[#Headers],[shell]],Table2[#Headers],0),0)</f>
        <v>6 INCH TUBE</v>
      </c>
      <c r="H168" s="2" t="str">
        <f>VLOOKUP([jobnumber],OvalData[],MATCH(Table2[[#Headers],[pipewidth]],Table2[#Headers],0),0)</f>
        <v xml:space="preserve"> 18 ft.- 1 3/ 8"</v>
      </c>
      <c r="I168" s="2">
        <f>VLOOKUP([jobnumber],OvalData[],MATCH(Table2[[#Headers],[Support Tubes]],Table2[#Headers],0),0)</f>
        <v>0</v>
      </c>
      <c r="J168" s="2">
        <f>VLOOKUP([jobnumber],OvalData[],MATCH(Table2[[#Headers],[Upset]],Table2[#Headers],0),0)</f>
        <v>2</v>
      </c>
      <c r="K168" s="2" t="str">
        <f>VLOOKUP([jobnumber],OvalData[],MATCH(Table2[[#Headers],[Guide Type]],Table2[#Headers],0),0)</f>
        <v>SN2-4 5/8-E</v>
      </c>
      <c r="L168" s="2" t="str">
        <f>VLOOKUP([jobnumber],OvalData[],MATCH(Table2[[#Headers],[Wall Angle]],Table2[#Headers],0),0)</f>
        <v xml:space="preserve"> 11 ft.- 8"</v>
      </c>
      <c r="M168" s="2" t="str">
        <f>VLOOKUP([jobnumber],OvalData[],MATCH(Table2[[#Headers],[Middle Angle]],Table2[#Headers],0),0)</f>
        <v xml:space="preserve"> 10 ft.- 4 1/ 2"</v>
      </c>
      <c r="N168" s="2" t="str">
        <f>VLOOKUP([jobnumber],OvalData[],MATCH(Table2[[#Headers],[Front Angle]],Table2[#Headers],0),0)</f>
        <v xml:space="preserve"> 10 ft.- 3"</v>
      </c>
      <c r="O168" s="2">
        <f>VLOOKUP([jobnumber],OvalData[],MATCH(Table2[[#Headers],[Pipe Center Line]],Table2[#Headers],0),0)</f>
        <v>131</v>
      </c>
      <c r="P168" s="2">
        <f>VLOOKUP([jobnumber],OvalData[],MATCH(Table2[[#Headers],[Heat Expansion Gap]],Table2[#Headers],0),0)</f>
        <v>0</v>
      </c>
      <c r="Q168" s="2">
        <f>VLOOKUP([jobnumber],OvalData[],MATCH(Table2[[#Headers],[Hanging Weight Closed]],Table2[#Headers],0),0)</f>
        <v>795</v>
      </c>
      <c r="R168" s="2">
        <f>VLOOKUP([jobnumber],OvalData[],MATCH(Table2[[#Headers],[Hanging Weight Open]],Table2[#Headers],0),0)</f>
        <v>140</v>
      </c>
      <c r="S168" s="2">
        <f>VLOOKUP([jobnumber],OvalData[],MATCH(Table2[[#Headers],[Initial Lever Arm]],Table2[#Headers],0),0)</f>
        <v>4.25</v>
      </c>
      <c r="T168" s="2">
        <f>VLOOKUP([jobnumber],OvalData[],MATCH(Table2[[#Headers],[Turns to Raise]],Table2[#Headers],0),0)</f>
        <v>3.5859999999999999</v>
      </c>
      <c r="U168" s="2">
        <f>VLOOKUP([jobnumber],OvalData[],MATCH(Table2[[#Headers],[Final Lever Arm]],Table2[#Headers],0),0)</f>
        <v>6.37</v>
      </c>
      <c r="V168" s="2">
        <f>VLOOKUP([jobnumber],OvalData[],MATCH(Table2[[#Headers],[Torque Required Closed]],Table2[#Headers],0),0)</f>
        <v>3377.9</v>
      </c>
      <c r="W168" s="2">
        <f>VLOOKUP([jobnumber],OvalData[],MATCH(Table2[[#Headers],[Torque Required Open]],Table2[#Headers],0),0)</f>
        <v>892</v>
      </c>
      <c r="X168" s="2">
        <f>VLOOKUP([jobnumber],OvalData[],MATCH(Table2[[#Headers],[Pre Turns]],Table2[#Headers],0),0)</f>
        <v>1.3332999999999999</v>
      </c>
      <c r="Y168" s="2">
        <f>VLOOKUP([jobnumber],OvalData[],MATCH(Table2[[#Headers],[Required Torque Per Turn]],Table2[#Headers],0),0)</f>
        <v>688</v>
      </c>
      <c r="Z168" s="2">
        <f>VLOOKUP([jobnumber],OvalData[],MATCH(Table2[[#Headers],[Total Turns]],Table2[#Headers],0),0)</f>
        <v>4.91</v>
      </c>
      <c r="AA168" s="2">
        <f>VLOOKUP([jobnumber],OvalData[],MATCH(Table2[[#Headers],[Grille Vision Section]],Table2[#Headers],0),0)</f>
        <v>0</v>
      </c>
      <c r="AB168" s="2">
        <f>VLOOKUP([jobnumber],OvalData[],MATCH(Table2[[#Headers],[Grille Amount]],Table2[#Headers],0),0)</f>
        <v>0</v>
      </c>
      <c r="AC168" s="2">
        <f>VLOOKUP([jobnumber],OvalData[],MATCH(Table2[[#Headers],[Grille Center]],Table2[#Headers],0),0)</f>
        <v>0</v>
      </c>
      <c r="AD168" s="2">
        <f>VLOOKUP([jobnumber],OvalData[],MATCH(Table2[[#Headers],[Grille Pattern]],Table2[#Headers],0),0)</f>
        <v>0</v>
      </c>
      <c r="AE168" s="2">
        <f>VLOOKUP([jobnumber],OvalData[],MATCH(Table2[[#Headers],[Grille First Tube]],Table2[#Headers],0),0)</f>
        <v>0</v>
      </c>
      <c r="AF168" s="2">
        <f>VLOOKUP([jobnumber],OvalData[],MATCH(Table2[[#Headers],[Grille Standard Tube]],Table2[#Headers],0),0)</f>
        <v>0</v>
      </c>
      <c r="AG168" s="2">
        <f>VLOOKUP([jobnumber],OvalData[],MATCH(Table2[[#Headers],[Grille Total Links]],Table2[#Headers],0),0)</f>
        <v>0</v>
      </c>
      <c r="AH168" s="2">
        <f>VLOOKUP([jobnumber],OvalData[],MATCH(Table2[[#Headers],[Grille Rods]],Table2[#Headers],0),0)</f>
        <v>0</v>
      </c>
      <c r="AI168" s="2">
        <f>VLOOKUP([jobnumber],OvalData[],MATCH(Table2[[#Headers],[Grille Rod Length]],Table2[#Headers],0),0)</f>
        <v>0</v>
      </c>
      <c r="AJ168" s="2">
        <f>VLOOKUP([jobnumber],OvalData[],MATCH(Table2[[#Headers],[slattype]],Table2[#Headers],0),0)</f>
        <v>2</v>
      </c>
      <c r="AK168" s="2">
        <f>VLOOKUP([jobnumber],OvalData[],MATCH(Table2[[#Headers],[slatgage]],Table2[#Headers],0),0)</f>
        <v>18</v>
      </c>
      <c r="AL168" s="2">
        <f>VLOOKUP([jobnumber],OvalData[],MATCH(Table2[[#Headers],[Numer of Top Slats]],Table2[#Headers],0),0)</f>
        <v>0</v>
      </c>
      <c r="AM168" s="2">
        <f>VLOOKUP([jobnumber],OvalData[],MATCH(Table2[[#Headers],[Number of Bottom Slats]],Table2[#Headers],0),0)</f>
        <v>0</v>
      </c>
      <c r="AN168" s="2">
        <f>VLOOKUP([jobnumber],OvalData[],MATCH(Table2[[#Headers],[Solid Bottom Height]],Table2[#Headers],0),0)</f>
        <v>0</v>
      </c>
      <c r="AO168" s="2" t="str">
        <f>VLOOKUP([jobnumber],OvalData[],MATCH(Table2[[#Headers],[slatlength]],Table2[#Headers],0),0)</f>
        <v xml:space="preserve"> 18 ft.- 5 7/ 8"</v>
      </c>
      <c r="AP168" s="2">
        <f>VLOOKUP([jobnumber],OvalData[],MATCH(Table2[[#Headers],[Bottom Slat Length]],Table2[#Headers],0),0)</f>
        <v>0</v>
      </c>
      <c r="AQ168" s="2">
        <f>VLOOKUP([jobnumber],OvalData[],MATCH(Table2[[#Headers],[Number of Perferated Slats]],Table2[#Headers],0),0)</f>
        <v>0</v>
      </c>
      <c r="AR168" s="2">
        <f>VLOOKUP([jobnumber],OvalData[],MATCH(Table2[[#Headers],[First Preferated Slat From End]],Table2[#Headers],0),0)</f>
        <v>0</v>
      </c>
      <c r="AS168" s="2">
        <f>VLOOKUP([jobnumber],OvalData[],MATCH(Table2[[#Headers],[First Preferated Slat From Bottom]],Table2[#Headers],0),0)</f>
        <v>0</v>
      </c>
      <c r="AT168" s="2">
        <f>VLOOKUP([jobnumber],OvalData[],MATCH(Table2[[#Headers],[Total Number of Slats]],Table2[#Headers],0),0)</f>
        <v>51</v>
      </c>
      <c r="AU168" s="2">
        <f>VLOOKUP([jobnumber],OvalData[],MATCH(Table2[[#Headers],[Bottom Bar Slope]],Table2[#Headers],0),0)</f>
        <v>0</v>
      </c>
      <c r="AV168" s="2">
        <f>VLOOKUP([jobnumber],OvalData[],MATCH(Table2[[#Headers],[Bottom Bar Weight]],Table2[#Headers],0),0)</f>
        <v>80.5</v>
      </c>
      <c r="AW168" s="2" t="str">
        <f>VLOOKUP([jobnumber],OvalData[],MATCH(Table2[[#Headers],[Outer Spring Gage]],Table2[#Headers],0),0)</f>
        <v>Null</v>
      </c>
      <c r="AX168" s="2" t="str">
        <f>VLOOKUP([jobnumber],OvalData[],MATCH(Table2[[#Headers],[Outer Spring OD]],Table2[#Headers],0),0)</f>
        <v>Null</v>
      </c>
      <c r="AY168" s="2" t="str">
        <f>VLOOKUP([jobnumber],OvalData[],MATCH(Table2[[#Headers],[Outer Spring Length]],Table2[#Headers],0),0)</f>
        <v>Null</v>
      </c>
      <c r="AZ168" s="2" t="str">
        <f>VLOOKUP([jobnumber],OvalData[],MATCH(Table2[[#Headers],[Outer Spring Stretch]],Table2[#Headers],0),0)</f>
        <v>Null</v>
      </c>
      <c r="BA168" s="2" t="str">
        <f>VLOOKUP([jobnumber],OvalData[],MATCH(Table2[[#Headers],[Outer Spring Torque]],Table2[#Headers],0),0)</f>
        <v>Null</v>
      </c>
      <c r="BB168" s="2" t="str">
        <f>VLOOKUP([jobnumber],OvalData[],MATCH(Table2[[#Headers],[Outer Spring Max Turns]],Table2[#Headers],0),0)</f>
        <v>Null</v>
      </c>
      <c r="BC168" s="2" t="str">
        <f>VLOOKUP([jobnumber],OvalData[],MATCH(Table2[[#Headers],[Outer Spring Weight]],Table2[#Headers],0),0)</f>
        <v>Null</v>
      </c>
      <c r="BD168" s="2" t="str">
        <f>VLOOKUP([jobnumber],OvalData[],MATCH(Table2[[#Headers],[Inner Spring Gage]],Table2[#Headers],0),0)</f>
        <v>Null</v>
      </c>
      <c r="BE168" s="2" t="str">
        <f>VLOOKUP([jobnumber],OvalData[],MATCH(Table2[[#Headers],[Inner Spring OD]],Table2[#Headers],0),0)</f>
        <v>Null</v>
      </c>
      <c r="BF168" s="2" t="str">
        <f>VLOOKUP([jobnumber],OvalData[],MATCH(Table2[[#Headers],[Inner Spring Length]],Table2[#Headers],0),0)</f>
        <v>Null</v>
      </c>
      <c r="BG168" s="2" t="str">
        <f>VLOOKUP([jobnumber],OvalData[],MATCH(Table2[[#Headers],[Inner Spring Stretch]],Table2[#Headers],0),0)</f>
        <v>Null</v>
      </c>
      <c r="BH168" s="2" t="str">
        <f>VLOOKUP([jobnumber],OvalData[],MATCH(Table2[[#Headers],[Inner Spring Torque]],Table2[#Headers],0),0)</f>
        <v>Null</v>
      </c>
      <c r="BI168" s="2" t="str">
        <f>VLOOKUP([jobnumber],OvalData[],MATCH(Table2[[#Headers],[Inner Spring Max Turns]],Table2[#Headers],0),0)</f>
        <v>Null</v>
      </c>
      <c r="BJ168" s="2" t="str">
        <f>VLOOKUP([jobnumber],OvalData[],MATCH(Table2[[#Headers],[Inner Spring Weight]],Table2[#Headers],0),0)</f>
        <v>Null</v>
      </c>
      <c r="BK168" s="2">
        <f>VLOOKUP([jobnumber],OvalData[],MATCH(Table2[[#Headers],[Cycles]],Table2[#Headers],0),0)</f>
        <v>0</v>
      </c>
      <c r="BL168" s="2">
        <f>VLOOKUP([jobnumber],OvalData[],MATCH(Table2[[#Headers],[Total Spring Torque]],Table2[#Headers],0),0)</f>
        <v>0</v>
      </c>
      <c r="BM168" s="2">
        <f>VLOOKUP([jobnumber],OvalData[],MATCH(Table2[[#Headers],[Total Spring Weight]],Table2[#Headers],0),0)</f>
        <v>0</v>
      </c>
      <c r="BN168" s="2">
        <f>VLOOKUP([jobnumber],OvalData[],MATCH(Table2[[#Headers],[Pipe Weight]],Table2[#Headers],0),0)</f>
        <v>688.24239999999998</v>
      </c>
      <c r="BO168" s="2">
        <f>VLOOKUP([jobnumber],OvalData[],MATCH(Table2[[#Headers],[Max Pipe Deflection]],Table2[#Headers],0),0)</f>
        <v>2309</v>
      </c>
      <c r="BP168" s="2">
        <f>VLOOKUP([jobnumber],OvalData[],MATCH(Table2[[#Headers],[Number Non-Insulated Wrap Slats]],Table2[#Headers],0),0)</f>
        <v>0</v>
      </c>
      <c r="BQ168" s="2">
        <f>VLOOKUP([jobnumber],OvalData[],MATCH(Table2[[#Headers],[Number of Insolated Top Slats]],Table2[#Headers],0),0)</f>
        <v>45</v>
      </c>
      <c r="BR168" s="2">
        <f>VLOOKUP([jobnumber],OvalData[],MATCH(Table2[[#Headers],[Insolated Total Slats]],Table2[#Headers],0),0)</f>
        <v>45</v>
      </c>
      <c r="BS168" s="2">
        <f>VLOOKUP([jobnumber],OvalData[],MATCH(Table2[[#Headers],[Number of Slats]],Table2[#Headers],0),0)</f>
        <v>44.69</v>
      </c>
      <c r="BT168" s="2">
        <f>VLOOKUP([jobnumber],OvalData[],MATCH(Table2[[#Headers],[Wrap]],Table2[#Headers],0),0)</f>
        <v>0</v>
      </c>
      <c r="BU168" s="2">
        <f>VLOOKUP([jobnumber],OvalData[],MATCH(Table2[[#Headers],[Wall Angle Thickness]],Table2[#Headers],0),0)</f>
        <v>0</v>
      </c>
      <c r="BV168" s="2">
        <f>VLOOKUP([jobnumber],OvalData[],MATCH(Table2[[#Headers],[windlocks]],Table2[#Headers],0),0)</f>
        <v>0</v>
      </c>
      <c r="BW168" s="2" t="str">
        <f>VLOOKUP([jobnumber],OvalData[],MATCH(Table2[[#Headers],[bottombartype]],Table2[#Headers],0),0)</f>
        <v>SPECIAL</v>
      </c>
      <c r="BX168" s="2">
        <f>VLOOKUP([jobnumber],OvalData[],MATCH(Table2[[#Headers],[endlockweight]],Table2[#Headers],0),0)</f>
        <v>0.17</v>
      </c>
      <c r="BY168" s="2">
        <f>VLOOKUP([jobnumber],OvalData[],MATCH(Table2[[#Headers],[Endlock Total Weight]],Table2[#Headers],0),0)</f>
        <v>7.5972999999999997</v>
      </c>
      <c r="BZ168" s="2">
        <f>VLOOKUP([jobnumber],OvalData[],MATCH(Table2[[#Headers],[Grille Weight]],Table2[#Headers],0),0)</f>
        <v>0</v>
      </c>
      <c r="CA168" s="2">
        <f>VLOOKUP([jobnumber],OvalData[],MATCH(Table2[[#Headers],[barrelrings]],Table2[#Headers],0),0)</f>
        <v>1</v>
      </c>
    </row>
    <row r="169" spans="2:79">
      <c r="B169" s="2" t="str">
        <f>VLOOKUP([jobnumber],OvalData[],MATCH(Table2[[#Headers],[Hand]],Table2[#Headers],0),0)</f>
        <v>RH</v>
      </c>
      <c r="C169" s="2" t="str">
        <f>VLOOKUP([jobnumber],OvalData[],MATCH(Table2[[#Headers],[Model]],Table2[#Headers],0),0)</f>
        <v>SFMPP</v>
      </c>
      <c r="D169" s="2" t="str">
        <f>VLOOKUP([jobnumber],OvalData[],MATCH(Table2[[#Headers],[width]],Table2[#Headers],0),0)</f>
        <v xml:space="preserve"> 18 ft.- 2"</v>
      </c>
      <c r="E169" s="2" t="str">
        <f>VLOOKUP([jobnumber],OvalData[],MATCH(Table2[[#Headers],[stopheight]],Table2[#Headers],0),0)</f>
        <v xml:space="preserve"> 10 ft.- 0"</v>
      </c>
      <c r="F169" s="2" t="str">
        <f>VLOOKUP([jobnumber],OvalData[],MATCH(Table2[[#Headers],[Between Brackets]],Table2[#Headers],0),0)</f>
        <v xml:space="preserve"> 18 ft.- 7 7/ 8"</v>
      </c>
      <c r="G169" s="2" t="str">
        <f>VLOOKUP([jobnumber],OvalData[],MATCH(Table2[[#Headers],[shell]],Table2[#Headers],0),0)</f>
        <v>6 INCH TUBE</v>
      </c>
      <c r="H169" s="2" t="str">
        <f>VLOOKUP([jobnumber],OvalData[],MATCH(Table2[[#Headers],[pipewidth]],Table2[#Headers],0),0)</f>
        <v xml:space="preserve"> 18 ft.- 1 3/ 8"</v>
      </c>
      <c r="I169" s="2">
        <f>VLOOKUP([jobnumber],OvalData[],MATCH(Table2[[#Headers],[Support Tubes]],Table2[#Headers],0),0)</f>
        <v>0</v>
      </c>
      <c r="J169" s="2">
        <f>VLOOKUP([jobnumber],OvalData[],MATCH(Table2[[#Headers],[Upset]],Table2[#Headers],0),0)</f>
        <v>2</v>
      </c>
      <c r="K169" s="2" t="str">
        <f>VLOOKUP([jobnumber],OvalData[],MATCH(Table2[[#Headers],[Guide Type]],Table2[#Headers],0),0)</f>
        <v>SN2-4 5/8-E</v>
      </c>
      <c r="L169" s="2" t="str">
        <f>VLOOKUP([jobnumber],OvalData[],MATCH(Table2[[#Headers],[Wall Angle]],Table2[#Headers],0),0)</f>
        <v xml:space="preserve"> 11 ft.- 8"</v>
      </c>
      <c r="M169" s="2" t="str">
        <f>VLOOKUP([jobnumber],OvalData[],MATCH(Table2[[#Headers],[Middle Angle]],Table2[#Headers],0),0)</f>
        <v xml:space="preserve"> 10 ft.- 4 1/ 2"</v>
      </c>
      <c r="N169" s="2" t="str">
        <f>VLOOKUP([jobnumber],OvalData[],MATCH(Table2[[#Headers],[Front Angle]],Table2[#Headers],0),0)</f>
        <v xml:space="preserve"> 10 ft.- 3"</v>
      </c>
      <c r="O169" s="2">
        <f>VLOOKUP([jobnumber],OvalData[],MATCH(Table2[[#Headers],[Pipe Center Line]],Table2[#Headers],0),0)</f>
        <v>131</v>
      </c>
      <c r="P169" s="2">
        <f>VLOOKUP([jobnumber],OvalData[],MATCH(Table2[[#Headers],[Heat Expansion Gap]],Table2[#Headers],0),0)</f>
        <v>0</v>
      </c>
      <c r="Q169" s="2">
        <f>VLOOKUP([jobnumber],OvalData[],MATCH(Table2[[#Headers],[Hanging Weight Closed]],Table2[#Headers],0),0)</f>
        <v>795</v>
      </c>
      <c r="R169" s="2">
        <f>VLOOKUP([jobnumber],OvalData[],MATCH(Table2[[#Headers],[Hanging Weight Open]],Table2[#Headers],0),0)</f>
        <v>140</v>
      </c>
      <c r="S169" s="2">
        <f>VLOOKUP([jobnumber],OvalData[],MATCH(Table2[[#Headers],[Initial Lever Arm]],Table2[#Headers],0),0)</f>
        <v>4.25</v>
      </c>
      <c r="T169" s="2">
        <f>VLOOKUP([jobnumber],OvalData[],MATCH(Table2[[#Headers],[Turns to Raise]],Table2[#Headers],0),0)</f>
        <v>3.5859999999999999</v>
      </c>
      <c r="U169" s="2">
        <f>VLOOKUP([jobnumber],OvalData[],MATCH(Table2[[#Headers],[Final Lever Arm]],Table2[#Headers],0),0)</f>
        <v>6.37</v>
      </c>
      <c r="V169" s="2">
        <f>VLOOKUP([jobnumber],OvalData[],MATCH(Table2[[#Headers],[Torque Required Closed]],Table2[#Headers],0),0)</f>
        <v>3377.9</v>
      </c>
      <c r="W169" s="2">
        <f>VLOOKUP([jobnumber],OvalData[],MATCH(Table2[[#Headers],[Torque Required Open]],Table2[#Headers],0),0)</f>
        <v>892</v>
      </c>
      <c r="X169" s="2">
        <f>VLOOKUP([jobnumber],OvalData[],MATCH(Table2[[#Headers],[Pre Turns]],Table2[#Headers],0),0)</f>
        <v>1.3332999999999999</v>
      </c>
      <c r="Y169" s="2">
        <f>VLOOKUP([jobnumber],OvalData[],MATCH(Table2[[#Headers],[Required Torque Per Turn]],Table2[#Headers],0),0)</f>
        <v>688</v>
      </c>
      <c r="Z169" s="2">
        <f>VLOOKUP([jobnumber],OvalData[],MATCH(Table2[[#Headers],[Total Turns]],Table2[#Headers],0),0)</f>
        <v>4.91</v>
      </c>
      <c r="AA169" s="2">
        <f>VLOOKUP([jobnumber],OvalData[],MATCH(Table2[[#Headers],[Grille Vision Section]],Table2[#Headers],0),0)</f>
        <v>0</v>
      </c>
      <c r="AB169" s="2">
        <f>VLOOKUP([jobnumber],OvalData[],MATCH(Table2[[#Headers],[Grille Amount]],Table2[#Headers],0),0)</f>
        <v>0</v>
      </c>
      <c r="AC169" s="2">
        <f>VLOOKUP([jobnumber],OvalData[],MATCH(Table2[[#Headers],[Grille Center]],Table2[#Headers],0),0)</f>
        <v>0</v>
      </c>
      <c r="AD169" s="2">
        <f>VLOOKUP([jobnumber],OvalData[],MATCH(Table2[[#Headers],[Grille Pattern]],Table2[#Headers],0),0)</f>
        <v>0</v>
      </c>
      <c r="AE169" s="2">
        <f>VLOOKUP([jobnumber],OvalData[],MATCH(Table2[[#Headers],[Grille First Tube]],Table2[#Headers],0),0)</f>
        <v>0</v>
      </c>
      <c r="AF169" s="2">
        <f>VLOOKUP([jobnumber],OvalData[],MATCH(Table2[[#Headers],[Grille Standard Tube]],Table2[#Headers],0),0)</f>
        <v>0</v>
      </c>
      <c r="AG169" s="2">
        <f>VLOOKUP([jobnumber],OvalData[],MATCH(Table2[[#Headers],[Grille Total Links]],Table2[#Headers],0),0)</f>
        <v>0</v>
      </c>
      <c r="AH169" s="2">
        <f>VLOOKUP([jobnumber],OvalData[],MATCH(Table2[[#Headers],[Grille Rods]],Table2[#Headers],0),0)</f>
        <v>0</v>
      </c>
      <c r="AI169" s="2">
        <f>VLOOKUP([jobnumber],OvalData[],MATCH(Table2[[#Headers],[Grille Rod Length]],Table2[#Headers],0),0)</f>
        <v>0</v>
      </c>
      <c r="AJ169" s="2">
        <f>VLOOKUP([jobnumber],OvalData[],MATCH(Table2[[#Headers],[slattype]],Table2[#Headers],0),0)</f>
        <v>2</v>
      </c>
      <c r="AK169" s="2">
        <f>VLOOKUP([jobnumber],OvalData[],MATCH(Table2[[#Headers],[slatgage]],Table2[#Headers],0),0)</f>
        <v>18</v>
      </c>
      <c r="AL169" s="2">
        <f>VLOOKUP([jobnumber],OvalData[],MATCH(Table2[[#Headers],[Numer of Top Slats]],Table2[#Headers],0),0)</f>
        <v>0</v>
      </c>
      <c r="AM169" s="2">
        <f>VLOOKUP([jobnumber],OvalData[],MATCH(Table2[[#Headers],[Number of Bottom Slats]],Table2[#Headers],0),0)</f>
        <v>0</v>
      </c>
      <c r="AN169" s="2">
        <f>VLOOKUP([jobnumber],OvalData[],MATCH(Table2[[#Headers],[Solid Bottom Height]],Table2[#Headers],0),0)</f>
        <v>0</v>
      </c>
      <c r="AO169" s="2" t="str">
        <f>VLOOKUP([jobnumber],OvalData[],MATCH(Table2[[#Headers],[slatlength]],Table2[#Headers],0),0)</f>
        <v xml:space="preserve"> 18 ft.- 5 7/ 8"</v>
      </c>
      <c r="AP169" s="2">
        <f>VLOOKUP([jobnumber],OvalData[],MATCH(Table2[[#Headers],[Bottom Slat Length]],Table2[#Headers],0),0)</f>
        <v>0</v>
      </c>
      <c r="AQ169" s="2">
        <f>VLOOKUP([jobnumber],OvalData[],MATCH(Table2[[#Headers],[Number of Perferated Slats]],Table2[#Headers],0),0)</f>
        <v>0</v>
      </c>
      <c r="AR169" s="2">
        <f>VLOOKUP([jobnumber],OvalData[],MATCH(Table2[[#Headers],[First Preferated Slat From End]],Table2[#Headers],0),0)</f>
        <v>0</v>
      </c>
      <c r="AS169" s="2">
        <f>VLOOKUP([jobnumber],OvalData[],MATCH(Table2[[#Headers],[First Preferated Slat From Bottom]],Table2[#Headers],0),0)</f>
        <v>0</v>
      </c>
      <c r="AT169" s="2">
        <f>VLOOKUP([jobnumber],OvalData[],MATCH(Table2[[#Headers],[Total Number of Slats]],Table2[#Headers],0),0)</f>
        <v>51</v>
      </c>
      <c r="AU169" s="2">
        <f>VLOOKUP([jobnumber],OvalData[],MATCH(Table2[[#Headers],[Bottom Bar Slope]],Table2[#Headers],0),0)</f>
        <v>0</v>
      </c>
      <c r="AV169" s="2">
        <f>VLOOKUP([jobnumber],OvalData[],MATCH(Table2[[#Headers],[Bottom Bar Weight]],Table2[#Headers],0),0)</f>
        <v>80.5</v>
      </c>
      <c r="AW169" s="2" t="str">
        <f>VLOOKUP([jobnumber],OvalData[],MATCH(Table2[[#Headers],[Outer Spring Gage]],Table2[#Headers],0),0)</f>
        <v>Null</v>
      </c>
      <c r="AX169" s="2" t="str">
        <f>VLOOKUP([jobnumber],OvalData[],MATCH(Table2[[#Headers],[Outer Spring OD]],Table2[#Headers],0),0)</f>
        <v>Null</v>
      </c>
      <c r="AY169" s="2" t="str">
        <f>VLOOKUP([jobnumber],OvalData[],MATCH(Table2[[#Headers],[Outer Spring Length]],Table2[#Headers],0),0)</f>
        <v>Null</v>
      </c>
      <c r="AZ169" s="2" t="str">
        <f>VLOOKUP([jobnumber],OvalData[],MATCH(Table2[[#Headers],[Outer Spring Stretch]],Table2[#Headers],0),0)</f>
        <v>Null</v>
      </c>
      <c r="BA169" s="2" t="str">
        <f>VLOOKUP([jobnumber],OvalData[],MATCH(Table2[[#Headers],[Outer Spring Torque]],Table2[#Headers],0),0)</f>
        <v>Null</v>
      </c>
      <c r="BB169" s="2" t="str">
        <f>VLOOKUP([jobnumber],OvalData[],MATCH(Table2[[#Headers],[Outer Spring Max Turns]],Table2[#Headers],0),0)</f>
        <v>Null</v>
      </c>
      <c r="BC169" s="2" t="str">
        <f>VLOOKUP([jobnumber],OvalData[],MATCH(Table2[[#Headers],[Outer Spring Weight]],Table2[#Headers],0),0)</f>
        <v>Null</v>
      </c>
      <c r="BD169" s="2" t="str">
        <f>VLOOKUP([jobnumber],OvalData[],MATCH(Table2[[#Headers],[Inner Spring Gage]],Table2[#Headers],0),0)</f>
        <v>Null</v>
      </c>
      <c r="BE169" s="2" t="str">
        <f>VLOOKUP([jobnumber],OvalData[],MATCH(Table2[[#Headers],[Inner Spring OD]],Table2[#Headers],0),0)</f>
        <v>Null</v>
      </c>
      <c r="BF169" s="2" t="str">
        <f>VLOOKUP([jobnumber],OvalData[],MATCH(Table2[[#Headers],[Inner Spring Length]],Table2[#Headers],0),0)</f>
        <v>Null</v>
      </c>
      <c r="BG169" s="2" t="str">
        <f>VLOOKUP([jobnumber],OvalData[],MATCH(Table2[[#Headers],[Inner Spring Stretch]],Table2[#Headers],0),0)</f>
        <v>Null</v>
      </c>
      <c r="BH169" s="2" t="str">
        <f>VLOOKUP([jobnumber],OvalData[],MATCH(Table2[[#Headers],[Inner Spring Torque]],Table2[#Headers],0),0)</f>
        <v>Null</v>
      </c>
      <c r="BI169" s="2" t="str">
        <f>VLOOKUP([jobnumber],OvalData[],MATCH(Table2[[#Headers],[Inner Spring Max Turns]],Table2[#Headers],0),0)</f>
        <v>Null</v>
      </c>
      <c r="BJ169" s="2" t="str">
        <f>VLOOKUP([jobnumber],OvalData[],MATCH(Table2[[#Headers],[Inner Spring Weight]],Table2[#Headers],0),0)</f>
        <v>Null</v>
      </c>
      <c r="BK169" s="2">
        <f>VLOOKUP([jobnumber],OvalData[],MATCH(Table2[[#Headers],[Cycles]],Table2[#Headers],0),0)</f>
        <v>0</v>
      </c>
      <c r="BL169" s="2">
        <f>VLOOKUP([jobnumber],OvalData[],MATCH(Table2[[#Headers],[Total Spring Torque]],Table2[#Headers],0),0)</f>
        <v>0</v>
      </c>
      <c r="BM169" s="2">
        <f>VLOOKUP([jobnumber],OvalData[],MATCH(Table2[[#Headers],[Total Spring Weight]],Table2[#Headers],0),0)</f>
        <v>0</v>
      </c>
      <c r="BN169" s="2">
        <f>VLOOKUP([jobnumber],OvalData[],MATCH(Table2[[#Headers],[Pipe Weight]],Table2[#Headers],0),0)</f>
        <v>688.24239999999998</v>
      </c>
      <c r="BO169" s="2">
        <f>VLOOKUP([jobnumber],OvalData[],MATCH(Table2[[#Headers],[Max Pipe Deflection]],Table2[#Headers],0),0)</f>
        <v>2309</v>
      </c>
      <c r="BP169" s="2">
        <f>VLOOKUP([jobnumber],OvalData[],MATCH(Table2[[#Headers],[Number Non-Insulated Wrap Slats]],Table2[#Headers],0),0)</f>
        <v>0</v>
      </c>
      <c r="BQ169" s="2">
        <f>VLOOKUP([jobnumber],OvalData[],MATCH(Table2[[#Headers],[Number of Insolated Top Slats]],Table2[#Headers],0),0)</f>
        <v>45</v>
      </c>
      <c r="BR169" s="2">
        <f>VLOOKUP([jobnumber],OvalData[],MATCH(Table2[[#Headers],[Insolated Total Slats]],Table2[#Headers],0),0)</f>
        <v>45</v>
      </c>
      <c r="BS169" s="2">
        <f>VLOOKUP([jobnumber],OvalData[],MATCH(Table2[[#Headers],[Number of Slats]],Table2[#Headers],0),0)</f>
        <v>44.69</v>
      </c>
      <c r="BT169" s="2">
        <f>VLOOKUP([jobnumber],OvalData[],MATCH(Table2[[#Headers],[Wrap]],Table2[#Headers],0),0)</f>
        <v>0</v>
      </c>
      <c r="BU169" s="2">
        <f>VLOOKUP([jobnumber],OvalData[],MATCH(Table2[[#Headers],[Wall Angle Thickness]],Table2[#Headers],0),0)</f>
        <v>0</v>
      </c>
      <c r="BV169" s="2">
        <f>VLOOKUP([jobnumber],OvalData[],MATCH(Table2[[#Headers],[windlocks]],Table2[#Headers],0),0)</f>
        <v>0</v>
      </c>
      <c r="BW169" s="2" t="str">
        <f>VLOOKUP([jobnumber],OvalData[],MATCH(Table2[[#Headers],[bottombartype]],Table2[#Headers],0),0)</f>
        <v>SPECIAL</v>
      </c>
      <c r="BX169" s="2">
        <f>VLOOKUP([jobnumber],OvalData[],MATCH(Table2[[#Headers],[endlockweight]],Table2[#Headers],0),0)</f>
        <v>0.17</v>
      </c>
      <c r="BY169" s="2">
        <f>VLOOKUP([jobnumber],OvalData[],MATCH(Table2[[#Headers],[Endlock Total Weight]],Table2[#Headers],0),0)</f>
        <v>7.5972999999999997</v>
      </c>
      <c r="BZ169" s="2">
        <f>VLOOKUP([jobnumber],OvalData[],MATCH(Table2[[#Headers],[Grille Weight]],Table2[#Headers],0),0)</f>
        <v>0</v>
      </c>
      <c r="CA169" s="2">
        <f>VLOOKUP([jobnumber],OvalData[],MATCH(Table2[[#Headers],[barrelrings]],Table2[#Headers],0),0)</f>
        <v>1</v>
      </c>
    </row>
    <row r="170" spans="2:79">
      <c r="B170" s="2" t="str">
        <f>VLOOKUP([jobnumber],OvalData[],MATCH(Table2[[#Headers],[Hand]],Table2[#Headers],0),0)</f>
        <v>RH</v>
      </c>
      <c r="C170" s="2" t="str">
        <f>VLOOKUP([jobnumber],OvalData[],MATCH(Table2[[#Headers],[Model]],Table2[#Headers],0),0)</f>
        <v>SFMPP</v>
      </c>
      <c r="D170" s="2" t="str">
        <f>VLOOKUP([jobnumber],OvalData[],MATCH(Table2[[#Headers],[width]],Table2[#Headers],0),0)</f>
        <v xml:space="preserve"> 18 ft.- 2"</v>
      </c>
      <c r="E170" s="2" t="str">
        <f>VLOOKUP([jobnumber],OvalData[],MATCH(Table2[[#Headers],[stopheight]],Table2[#Headers],0),0)</f>
        <v xml:space="preserve"> 10 ft.- 0"</v>
      </c>
      <c r="F170" s="2" t="str">
        <f>VLOOKUP([jobnumber],OvalData[],MATCH(Table2[[#Headers],[Between Brackets]],Table2[#Headers],0),0)</f>
        <v xml:space="preserve"> 18 ft.- 7 7/ 8"</v>
      </c>
      <c r="G170" s="2" t="str">
        <f>VLOOKUP([jobnumber],OvalData[],MATCH(Table2[[#Headers],[shell]],Table2[#Headers],0),0)</f>
        <v>6 INCH TUBE</v>
      </c>
      <c r="H170" s="2" t="str">
        <f>VLOOKUP([jobnumber],OvalData[],MATCH(Table2[[#Headers],[pipewidth]],Table2[#Headers],0),0)</f>
        <v xml:space="preserve"> 18 ft.- 1 3/ 8"</v>
      </c>
      <c r="I170" s="2">
        <f>VLOOKUP([jobnumber],OvalData[],MATCH(Table2[[#Headers],[Support Tubes]],Table2[#Headers],0),0)</f>
        <v>0</v>
      </c>
      <c r="J170" s="2">
        <f>VLOOKUP([jobnumber],OvalData[],MATCH(Table2[[#Headers],[Upset]],Table2[#Headers],0),0)</f>
        <v>2</v>
      </c>
      <c r="K170" s="2" t="str">
        <f>VLOOKUP([jobnumber],OvalData[],MATCH(Table2[[#Headers],[Guide Type]],Table2[#Headers],0),0)</f>
        <v>SN2-4 5/8-E</v>
      </c>
      <c r="L170" s="2" t="str">
        <f>VLOOKUP([jobnumber],OvalData[],MATCH(Table2[[#Headers],[Wall Angle]],Table2[#Headers],0),0)</f>
        <v xml:space="preserve"> 11 ft.- 8"</v>
      </c>
      <c r="M170" s="2" t="str">
        <f>VLOOKUP([jobnumber],OvalData[],MATCH(Table2[[#Headers],[Middle Angle]],Table2[#Headers],0),0)</f>
        <v xml:space="preserve"> 10 ft.- 4 1/ 2"</v>
      </c>
      <c r="N170" s="2" t="str">
        <f>VLOOKUP([jobnumber],OvalData[],MATCH(Table2[[#Headers],[Front Angle]],Table2[#Headers],0),0)</f>
        <v xml:space="preserve"> 10 ft.- 3"</v>
      </c>
      <c r="O170" s="2">
        <f>VLOOKUP([jobnumber],OvalData[],MATCH(Table2[[#Headers],[Pipe Center Line]],Table2[#Headers],0),0)</f>
        <v>131</v>
      </c>
      <c r="P170" s="2">
        <f>VLOOKUP([jobnumber],OvalData[],MATCH(Table2[[#Headers],[Heat Expansion Gap]],Table2[#Headers],0),0)</f>
        <v>0</v>
      </c>
      <c r="Q170" s="2">
        <f>VLOOKUP([jobnumber],OvalData[],MATCH(Table2[[#Headers],[Hanging Weight Closed]],Table2[#Headers],0),0)</f>
        <v>795</v>
      </c>
      <c r="R170" s="2">
        <f>VLOOKUP([jobnumber],OvalData[],MATCH(Table2[[#Headers],[Hanging Weight Open]],Table2[#Headers],0),0)</f>
        <v>140</v>
      </c>
      <c r="S170" s="2">
        <f>VLOOKUP([jobnumber],OvalData[],MATCH(Table2[[#Headers],[Initial Lever Arm]],Table2[#Headers],0),0)</f>
        <v>4.25</v>
      </c>
      <c r="T170" s="2">
        <f>VLOOKUP([jobnumber],OvalData[],MATCH(Table2[[#Headers],[Turns to Raise]],Table2[#Headers],0),0)</f>
        <v>3.5859999999999999</v>
      </c>
      <c r="U170" s="2">
        <f>VLOOKUP([jobnumber],OvalData[],MATCH(Table2[[#Headers],[Final Lever Arm]],Table2[#Headers],0),0)</f>
        <v>6.37</v>
      </c>
      <c r="V170" s="2">
        <f>VLOOKUP([jobnumber],OvalData[],MATCH(Table2[[#Headers],[Torque Required Closed]],Table2[#Headers],0),0)</f>
        <v>3377.9</v>
      </c>
      <c r="W170" s="2">
        <f>VLOOKUP([jobnumber],OvalData[],MATCH(Table2[[#Headers],[Torque Required Open]],Table2[#Headers],0),0)</f>
        <v>892</v>
      </c>
      <c r="X170" s="2">
        <f>VLOOKUP([jobnumber],OvalData[],MATCH(Table2[[#Headers],[Pre Turns]],Table2[#Headers],0),0)</f>
        <v>1.3332999999999999</v>
      </c>
      <c r="Y170" s="2">
        <f>VLOOKUP([jobnumber],OvalData[],MATCH(Table2[[#Headers],[Required Torque Per Turn]],Table2[#Headers],0),0)</f>
        <v>688</v>
      </c>
      <c r="Z170" s="2">
        <f>VLOOKUP([jobnumber],OvalData[],MATCH(Table2[[#Headers],[Total Turns]],Table2[#Headers],0),0)</f>
        <v>4.91</v>
      </c>
      <c r="AA170" s="2">
        <f>VLOOKUP([jobnumber],OvalData[],MATCH(Table2[[#Headers],[Grille Vision Section]],Table2[#Headers],0),0)</f>
        <v>0</v>
      </c>
      <c r="AB170" s="2">
        <f>VLOOKUP([jobnumber],OvalData[],MATCH(Table2[[#Headers],[Grille Amount]],Table2[#Headers],0),0)</f>
        <v>0</v>
      </c>
      <c r="AC170" s="2">
        <f>VLOOKUP([jobnumber],OvalData[],MATCH(Table2[[#Headers],[Grille Center]],Table2[#Headers],0),0)</f>
        <v>0</v>
      </c>
      <c r="AD170" s="2">
        <f>VLOOKUP([jobnumber],OvalData[],MATCH(Table2[[#Headers],[Grille Pattern]],Table2[#Headers],0),0)</f>
        <v>0</v>
      </c>
      <c r="AE170" s="2">
        <f>VLOOKUP([jobnumber],OvalData[],MATCH(Table2[[#Headers],[Grille First Tube]],Table2[#Headers],0),0)</f>
        <v>0</v>
      </c>
      <c r="AF170" s="2">
        <f>VLOOKUP([jobnumber],OvalData[],MATCH(Table2[[#Headers],[Grille Standard Tube]],Table2[#Headers],0),0)</f>
        <v>0</v>
      </c>
      <c r="AG170" s="2">
        <f>VLOOKUP([jobnumber],OvalData[],MATCH(Table2[[#Headers],[Grille Total Links]],Table2[#Headers],0),0)</f>
        <v>0</v>
      </c>
      <c r="AH170" s="2">
        <f>VLOOKUP([jobnumber],OvalData[],MATCH(Table2[[#Headers],[Grille Rods]],Table2[#Headers],0),0)</f>
        <v>0</v>
      </c>
      <c r="AI170" s="2">
        <f>VLOOKUP([jobnumber],OvalData[],MATCH(Table2[[#Headers],[Grille Rod Length]],Table2[#Headers],0),0)</f>
        <v>0</v>
      </c>
      <c r="AJ170" s="2">
        <f>VLOOKUP([jobnumber],OvalData[],MATCH(Table2[[#Headers],[slattype]],Table2[#Headers],0),0)</f>
        <v>2</v>
      </c>
      <c r="AK170" s="2">
        <f>VLOOKUP([jobnumber],OvalData[],MATCH(Table2[[#Headers],[slatgage]],Table2[#Headers],0),0)</f>
        <v>18</v>
      </c>
      <c r="AL170" s="2">
        <f>VLOOKUP([jobnumber],OvalData[],MATCH(Table2[[#Headers],[Numer of Top Slats]],Table2[#Headers],0),0)</f>
        <v>0</v>
      </c>
      <c r="AM170" s="2">
        <f>VLOOKUP([jobnumber],OvalData[],MATCH(Table2[[#Headers],[Number of Bottom Slats]],Table2[#Headers],0),0)</f>
        <v>0</v>
      </c>
      <c r="AN170" s="2">
        <f>VLOOKUP([jobnumber],OvalData[],MATCH(Table2[[#Headers],[Solid Bottom Height]],Table2[#Headers],0),0)</f>
        <v>0</v>
      </c>
      <c r="AO170" s="2" t="str">
        <f>VLOOKUP([jobnumber],OvalData[],MATCH(Table2[[#Headers],[slatlength]],Table2[#Headers],0),0)</f>
        <v xml:space="preserve"> 18 ft.- 5 7/ 8"</v>
      </c>
      <c r="AP170" s="2">
        <f>VLOOKUP([jobnumber],OvalData[],MATCH(Table2[[#Headers],[Bottom Slat Length]],Table2[#Headers],0),0)</f>
        <v>0</v>
      </c>
      <c r="AQ170" s="2">
        <f>VLOOKUP([jobnumber],OvalData[],MATCH(Table2[[#Headers],[Number of Perferated Slats]],Table2[#Headers],0),0)</f>
        <v>0</v>
      </c>
      <c r="AR170" s="2">
        <f>VLOOKUP([jobnumber],OvalData[],MATCH(Table2[[#Headers],[First Preferated Slat From End]],Table2[#Headers],0),0)</f>
        <v>0</v>
      </c>
      <c r="AS170" s="2">
        <f>VLOOKUP([jobnumber],OvalData[],MATCH(Table2[[#Headers],[First Preferated Slat From Bottom]],Table2[#Headers],0),0)</f>
        <v>0</v>
      </c>
      <c r="AT170" s="2">
        <f>VLOOKUP([jobnumber],OvalData[],MATCH(Table2[[#Headers],[Total Number of Slats]],Table2[#Headers],0),0)</f>
        <v>51</v>
      </c>
      <c r="AU170" s="2">
        <f>VLOOKUP([jobnumber],OvalData[],MATCH(Table2[[#Headers],[Bottom Bar Slope]],Table2[#Headers],0),0)</f>
        <v>0</v>
      </c>
      <c r="AV170" s="2">
        <f>VLOOKUP([jobnumber],OvalData[],MATCH(Table2[[#Headers],[Bottom Bar Weight]],Table2[#Headers],0),0)</f>
        <v>80.5</v>
      </c>
      <c r="AW170" s="2" t="str">
        <f>VLOOKUP([jobnumber],OvalData[],MATCH(Table2[[#Headers],[Outer Spring Gage]],Table2[#Headers],0),0)</f>
        <v>Null</v>
      </c>
      <c r="AX170" s="2" t="str">
        <f>VLOOKUP([jobnumber],OvalData[],MATCH(Table2[[#Headers],[Outer Spring OD]],Table2[#Headers],0),0)</f>
        <v>Null</v>
      </c>
      <c r="AY170" s="2" t="str">
        <f>VLOOKUP([jobnumber],OvalData[],MATCH(Table2[[#Headers],[Outer Spring Length]],Table2[#Headers],0),0)</f>
        <v>Null</v>
      </c>
      <c r="AZ170" s="2" t="str">
        <f>VLOOKUP([jobnumber],OvalData[],MATCH(Table2[[#Headers],[Outer Spring Stretch]],Table2[#Headers],0),0)</f>
        <v>Null</v>
      </c>
      <c r="BA170" s="2" t="str">
        <f>VLOOKUP([jobnumber],OvalData[],MATCH(Table2[[#Headers],[Outer Spring Torque]],Table2[#Headers],0),0)</f>
        <v>Null</v>
      </c>
      <c r="BB170" s="2" t="str">
        <f>VLOOKUP([jobnumber],OvalData[],MATCH(Table2[[#Headers],[Outer Spring Max Turns]],Table2[#Headers],0),0)</f>
        <v>Null</v>
      </c>
      <c r="BC170" s="2" t="str">
        <f>VLOOKUP([jobnumber],OvalData[],MATCH(Table2[[#Headers],[Outer Spring Weight]],Table2[#Headers],0),0)</f>
        <v>Null</v>
      </c>
      <c r="BD170" s="2" t="str">
        <f>VLOOKUP([jobnumber],OvalData[],MATCH(Table2[[#Headers],[Inner Spring Gage]],Table2[#Headers],0),0)</f>
        <v>Null</v>
      </c>
      <c r="BE170" s="2" t="str">
        <f>VLOOKUP([jobnumber],OvalData[],MATCH(Table2[[#Headers],[Inner Spring OD]],Table2[#Headers],0),0)</f>
        <v>Null</v>
      </c>
      <c r="BF170" s="2" t="str">
        <f>VLOOKUP([jobnumber],OvalData[],MATCH(Table2[[#Headers],[Inner Spring Length]],Table2[#Headers],0),0)</f>
        <v>Null</v>
      </c>
      <c r="BG170" s="2" t="str">
        <f>VLOOKUP([jobnumber],OvalData[],MATCH(Table2[[#Headers],[Inner Spring Stretch]],Table2[#Headers],0),0)</f>
        <v>Null</v>
      </c>
      <c r="BH170" s="2" t="str">
        <f>VLOOKUP([jobnumber],OvalData[],MATCH(Table2[[#Headers],[Inner Spring Torque]],Table2[#Headers],0),0)</f>
        <v>Null</v>
      </c>
      <c r="BI170" s="2" t="str">
        <f>VLOOKUP([jobnumber],OvalData[],MATCH(Table2[[#Headers],[Inner Spring Max Turns]],Table2[#Headers],0),0)</f>
        <v>Null</v>
      </c>
      <c r="BJ170" s="2" t="str">
        <f>VLOOKUP([jobnumber],OvalData[],MATCH(Table2[[#Headers],[Inner Spring Weight]],Table2[#Headers],0),0)</f>
        <v>Null</v>
      </c>
      <c r="BK170" s="2">
        <f>VLOOKUP([jobnumber],OvalData[],MATCH(Table2[[#Headers],[Cycles]],Table2[#Headers],0),0)</f>
        <v>0</v>
      </c>
      <c r="BL170" s="2">
        <f>VLOOKUP([jobnumber],OvalData[],MATCH(Table2[[#Headers],[Total Spring Torque]],Table2[#Headers],0),0)</f>
        <v>0</v>
      </c>
      <c r="BM170" s="2">
        <f>VLOOKUP([jobnumber],OvalData[],MATCH(Table2[[#Headers],[Total Spring Weight]],Table2[#Headers],0),0)</f>
        <v>0</v>
      </c>
      <c r="BN170" s="2">
        <f>VLOOKUP([jobnumber],OvalData[],MATCH(Table2[[#Headers],[Pipe Weight]],Table2[#Headers],0),0)</f>
        <v>688.24239999999998</v>
      </c>
      <c r="BO170" s="2">
        <f>VLOOKUP([jobnumber],OvalData[],MATCH(Table2[[#Headers],[Max Pipe Deflection]],Table2[#Headers],0),0)</f>
        <v>2309</v>
      </c>
      <c r="BP170" s="2">
        <f>VLOOKUP([jobnumber],OvalData[],MATCH(Table2[[#Headers],[Number Non-Insulated Wrap Slats]],Table2[#Headers],0),0)</f>
        <v>0</v>
      </c>
      <c r="BQ170" s="2">
        <f>VLOOKUP([jobnumber],OvalData[],MATCH(Table2[[#Headers],[Number of Insolated Top Slats]],Table2[#Headers],0),0)</f>
        <v>45</v>
      </c>
      <c r="BR170" s="2">
        <f>VLOOKUP([jobnumber],OvalData[],MATCH(Table2[[#Headers],[Insolated Total Slats]],Table2[#Headers],0),0)</f>
        <v>45</v>
      </c>
      <c r="BS170" s="2">
        <f>VLOOKUP([jobnumber],OvalData[],MATCH(Table2[[#Headers],[Number of Slats]],Table2[#Headers],0),0)</f>
        <v>44.69</v>
      </c>
      <c r="BT170" s="2">
        <f>VLOOKUP([jobnumber],OvalData[],MATCH(Table2[[#Headers],[Wrap]],Table2[#Headers],0),0)</f>
        <v>0</v>
      </c>
      <c r="BU170" s="2">
        <f>VLOOKUP([jobnumber],OvalData[],MATCH(Table2[[#Headers],[Wall Angle Thickness]],Table2[#Headers],0),0)</f>
        <v>0</v>
      </c>
      <c r="BV170" s="2">
        <f>VLOOKUP([jobnumber],OvalData[],MATCH(Table2[[#Headers],[windlocks]],Table2[#Headers],0),0)</f>
        <v>0</v>
      </c>
      <c r="BW170" s="2" t="str">
        <f>VLOOKUP([jobnumber],OvalData[],MATCH(Table2[[#Headers],[bottombartype]],Table2[#Headers],0),0)</f>
        <v>SPECIAL</v>
      </c>
      <c r="BX170" s="2">
        <f>VLOOKUP([jobnumber],OvalData[],MATCH(Table2[[#Headers],[endlockweight]],Table2[#Headers],0),0)</f>
        <v>0.17</v>
      </c>
      <c r="BY170" s="2">
        <f>VLOOKUP([jobnumber],OvalData[],MATCH(Table2[[#Headers],[Endlock Total Weight]],Table2[#Headers],0),0)</f>
        <v>7.5972999999999997</v>
      </c>
      <c r="BZ170" s="2">
        <f>VLOOKUP([jobnumber],OvalData[],MATCH(Table2[[#Headers],[Grille Weight]],Table2[#Headers],0),0)</f>
        <v>0</v>
      </c>
      <c r="CA170" s="2">
        <f>VLOOKUP([jobnumber],OvalData[],MATCH(Table2[[#Headers],[barrelrings]],Table2[#Headers],0),0)</f>
        <v>1</v>
      </c>
    </row>
    <row r="171" spans="2:79">
      <c r="B171" s="2" t="str">
        <f>VLOOKUP([jobnumber],OvalData[],MATCH(Table2[[#Headers],[Hand]],Table2[#Headers],0),0)</f>
        <v>RH</v>
      </c>
      <c r="C171" s="2" t="str">
        <f>VLOOKUP([jobnumber],OvalData[],MATCH(Table2[[#Headers],[Model]],Table2[#Headers],0),0)</f>
        <v>SFMPP</v>
      </c>
      <c r="D171" s="2" t="str">
        <f>VLOOKUP([jobnumber],OvalData[],MATCH(Table2[[#Headers],[width]],Table2[#Headers],0),0)</f>
        <v xml:space="preserve"> 18 ft.- 2"</v>
      </c>
      <c r="E171" s="2" t="str">
        <f>VLOOKUP([jobnumber],OvalData[],MATCH(Table2[[#Headers],[stopheight]],Table2[#Headers],0),0)</f>
        <v xml:space="preserve"> 10 ft.- 0"</v>
      </c>
      <c r="F171" s="2" t="str">
        <f>VLOOKUP([jobnumber],OvalData[],MATCH(Table2[[#Headers],[Between Brackets]],Table2[#Headers],0),0)</f>
        <v xml:space="preserve"> 18 ft.- 7 7/ 8"</v>
      </c>
      <c r="G171" s="2" t="str">
        <f>VLOOKUP([jobnumber],OvalData[],MATCH(Table2[[#Headers],[shell]],Table2[#Headers],0),0)</f>
        <v>6 INCH TUBE</v>
      </c>
      <c r="H171" s="2" t="str">
        <f>VLOOKUP([jobnumber],OvalData[],MATCH(Table2[[#Headers],[pipewidth]],Table2[#Headers],0),0)</f>
        <v xml:space="preserve"> 18 ft.- 1 3/ 8"</v>
      </c>
      <c r="I171" s="2">
        <f>VLOOKUP([jobnumber],OvalData[],MATCH(Table2[[#Headers],[Support Tubes]],Table2[#Headers],0),0)</f>
        <v>0</v>
      </c>
      <c r="J171" s="2">
        <f>VLOOKUP([jobnumber],OvalData[],MATCH(Table2[[#Headers],[Upset]],Table2[#Headers],0),0)</f>
        <v>2</v>
      </c>
      <c r="K171" s="2" t="str">
        <f>VLOOKUP([jobnumber],OvalData[],MATCH(Table2[[#Headers],[Guide Type]],Table2[#Headers],0),0)</f>
        <v>SN2-4 5/8-E</v>
      </c>
      <c r="L171" s="2" t="str">
        <f>VLOOKUP([jobnumber],OvalData[],MATCH(Table2[[#Headers],[Wall Angle]],Table2[#Headers],0),0)</f>
        <v xml:space="preserve"> 11 ft.- 8"</v>
      </c>
      <c r="M171" s="2" t="str">
        <f>VLOOKUP([jobnumber],OvalData[],MATCH(Table2[[#Headers],[Middle Angle]],Table2[#Headers],0),0)</f>
        <v xml:space="preserve"> 10 ft.- 4 1/ 2"</v>
      </c>
      <c r="N171" s="2" t="str">
        <f>VLOOKUP([jobnumber],OvalData[],MATCH(Table2[[#Headers],[Front Angle]],Table2[#Headers],0),0)</f>
        <v xml:space="preserve"> 10 ft.- 3"</v>
      </c>
      <c r="O171" s="2">
        <f>VLOOKUP([jobnumber],OvalData[],MATCH(Table2[[#Headers],[Pipe Center Line]],Table2[#Headers],0),0)</f>
        <v>131</v>
      </c>
      <c r="P171" s="2">
        <f>VLOOKUP([jobnumber],OvalData[],MATCH(Table2[[#Headers],[Heat Expansion Gap]],Table2[#Headers],0),0)</f>
        <v>0</v>
      </c>
      <c r="Q171" s="2">
        <f>VLOOKUP([jobnumber],OvalData[],MATCH(Table2[[#Headers],[Hanging Weight Closed]],Table2[#Headers],0),0)</f>
        <v>795</v>
      </c>
      <c r="R171" s="2">
        <f>VLOOKUP([jobnumber],OvalData[],MATCH(Table2[[#Headers],[Hanging Weight Open]],Table2[#Headers],0),0)</f>
        <v>140</v>
      </c>
      <c r="S171" s="2">
        <f>VLOOKUP([jobnumber],OvalData[],MATCH(Table2[[#Headers],[Initial Lever Arm]],Table2[#Headers],0),0)</f>
        <v>4.25</v>
      </c>
      <c r="T171" s="2">
        <f>VLOOKUP([jobnumber],OvalData[],MATCH(Table2[[#Headers],[Turns to Raise]],Table2[#Headers],0),0)</f>
        <v>3.5859999999999999</v>
      </c>
      <c r="U171" s="2">
        <f>VLOOKUP([jobnumber],OvalData[],MATCH(Table2[[#Headers],[Final Lever Arm]],Table2[#Headers],0),0)</f>
        <v>6.37</v>
      </c>
      <c r="V171" s="2">
        <f>VLOOKUP([jobnumber],OvalData[],MATCH(Table2[[#Headers],[Torque Required Closed]],Table2[#Headers],0),0)</f>
        <v>3377.9</v>
      </c>
      <c r="W171" s="2">
        <f>VLOOKUP([jobnumber],OvalData[],MATCH(Table2[[#Headers],[Torque Required Open]],Table2[#Headers],0),0)</f>
        <v>892</v>
      </c>
      <c r="X171" s="2">
        <f>VLOOKUP([jobnumber],OvalData[],MATCH(Table2[[#Headers],[Pre Turns]],Table2[#Headers],0),0)</f>
        <v>1.3332999999999999</v>
      </c>
      <c r="Y171" s="2">
        <f>VLOOKUP([jobnumber],OvalData[],MATCH(Table2[[#Headers],[Required Torque Per Turn]],Table2[#Headers],0),0)</f>
        <v>688</v>
      </c>
      <c r="Z171" s="2">
        <f>VLOOKUP([jobnumber],OvalData[],MATCH(Table2[[#Headers],[Total Turns]],Table2[#Headers],0),0)</f>
        <v>4.91</v>
      </c>
      <c r="AA171" s="2">
        <f>VLOOKUP([jobnumber],OvalData[],MATCH(Table2[[#Headers],[Grille Vision Section]],Table2[#Headers],0),0)</f>
        <v>0</v>
      </c>
      <c r="AB171" s="2">
        <f>VLOOKUP([jobnumber],OvalData[],MATCH(Table2[[#Headers],[Grille Amount]],Table2[#Headers],0),0)</f>
        <v>0</v>
      </c>
      <c r="AC171" s="2">
        <f>VLOOKUP([jobnumber],OvalData[],MATCH(Table2[[#Headers],[Grille Center]],Table2[#Headers],0),0)</f>
        <v>0</v>
      </c>
      <c r="AD171" s="2">
        <f>VLOOKUP([jobnumber],OvalData[],MATCH(Table2[[#Headers],[Grille Pattern]],Table2[#Headers],0),0)</f>
        <v>0</v>
      </c>
      <c r="AE171" s="2">
        <f>VLOOKUP([jobnumber],OvalData[],MATCH(Table2[[#Headers],[Grille First Tube]],Table2[#Headers],0),0)</f>
        <v>0</v>
      </c>
      <c r="AF171" s="2">
        <f>VLOOKUP([jobnumber],OvalData[],MATCH(Table2[[#Headers],[Grille Standard Tube]],Table2[#Headers],0),0)</f>
        <v>0</v>
      </c>
      <c r="AG171" s="2">
        <f>VLOOKUP([jobnumber],OvalData[],MATCH(Table2[[#Headers],[Grille Total Links]],Table2[#Headers],0),0)</f>
        <v>0</v>
      </c>
      <c r="AH171" s="2">
        <f>VLOOKUP([jobnumber],OvalData[],MATCH(Table2[[#Headers],[Grille Rods]],Table2[#Headers],0),0)</f>
        <v>0</v>
      </c>
      <c r="AI171" s="2">
        <f>VLOOKUP([jobnumber],OvalData[],MATCH(Table2[[#Headers],[Grille Rod Length]],Table2[#Headers],0),0)</f>
        <v>0</v>
      </c>
      <c r="AJ171" s="2">
        <f>VLOOKUP([jobnumber],OvalData[],MATCH(Table2[[#Headers],[slattype]],Table2[#Headers],0),0)</f>
        <v>2</v>
      </c>
      <c r="AK171" s="2">
        <f>VLOOKUP([jobnumber],OvalData[],MATCH(Table2[[#Headers],[slatgage]],Table2[#Headers],0),0)</f>
        <v>18</v>
      </c>
      <c r="AL171" s="2">
        <f>VLOOKUP([jobnumber],OvalData[],MATCH(Table2[[#Headers],[Numer of Top Slats]],Table2[#Headers],0),0)</f>
        <v>0</v>
      </c>
      <c r="AM171" s="2">
        <f>VLOOKUP([jobnumber],OvalData[],MATCH(Table2[[#Headers],[Number of Bottom Slats]],Table2[#Headers],0),0)</f>
        <v>0</v>
      </c>
      <c r="AN171" s="2">
        <f>VLOOKUP([jobnumber],OvalData[],MATCH(Table2[[#Headers],[Solid Bottom Height]],Table2[#Headers],0),0)</f>
        <v>0</v>
      </c>
      <c r="AO171" s="2" t="str">
        <f>VLOOKUP([jobnumber],OvalData[],MATCH(Table2[[#Headers],[slatlength]],Table2[#Headers],0),0)</f>
        <v xml:space="preserve"> 18 ft.- 5 7/ 8"</v>
      </c>
      <c r="AP171" s="2">
        <f>VLOOKUP([jobnumber],OvalData[],MATCH(Table2[[#Headers],[Bottom Slat Length]],Table2[#Headers],0),0)</f>
        <v>0</v>
      </c>
      <c r="AQ171" s="2">
        <f>VLOOKUP([jobnumber],OvalData[],MATCH(Table2[[#Headers],[Number of Perferated Slats]],Table2[#Headers],0),0)</f>
        <v>0</v>
      </c>
      <c r="AR171" s="2">
        <f>VLOOKUP([jobnumber],OvalData[],MATCH(Table2[[#Headers],[First Preferated Slat From End]],Table2[#Headers],0),0)</f>
        <v>0</v>
      </c>
      <c r="AS171" s="2">
        <f>VLOOKUP([jobnumber],OvalData[],MATCH(Table2[[#Headers],[First Preferated Slat From Bottom]],Table2[#Headers],0),0)</f>
        <v>0</v>
      </c>
      <c r="AT171" s="2">
        <f>VLOOKUP([jobnumber],OvalData[],MATCH(Table2[[#Headers],[Total Number of Slats]],Table2[#Headers],0),0)</f>
        <v>51</v>
      </c>
      <c r="AU171" s="2">
        <f>VLOOKUP([jobnumber],OvalData[],MATCH(Table2[[#Headers],[Bottom Bar Slope]],Table2[#Headers],0),0)</f>
        <v>0</v>
      </c>
      <c r="AV171" s="2">
        <f>VLOOKUP([jobnumber],OvalData[],MATCH(Table2[[#Headers],[Bottom Bar Weight]],Table2[#Headers],0),0)</f>
        <v>80.5</v>
      </c>
      <c r="AW171" s="2" t="str">
        <f>VLOOKUP([jobnumber],OvalData[],MATCH(Table2[[#Headers],[Outer Spring Gage]],Table2[#Headers],0),0)</f>
        <v>Null</v>
      </c>
      <c r="AX171" s="2" t="str">
        <f>VLOOKUP([jobnumber],OvalData[],MATCH(Table2[[#Headers],[Outer Spring OD]],Table2[#Headers],0),0)</f>
        <v>Null</v>
      </c>
      <c r="AY171" s="2" t="str">
        <f>VLOOKUP([jobnumber],OvalData[],MATCH(Table2[[#Headers],[Outer Spring Length]],Table2[#Headers],0),0)</f>
        <v>Null</v>
      </c>
      <c r="AZ171" s="2" t="str">
        <f>VLOOKUP([jobnumber],OvalData[],MATCH(Table2[[#Headers],[Outer Spring Stretch]],Table2[#Headers],0),0)</f>
        <v>Null</v>
      </c>
      <c r="BA171" s="2" t="str">
        <f>VLOOKUP([jobnumber],OvalData[],MATCH(Table2[[#Headers],[Outer Spring Torque]],Table2[#Headers],0),0)</f>
        <v>Null</v>
      </c>
      <c r="BB171" s="2" t="str">
        <f>VLOOKUP([jobnumber],OvalData[],MATCH(Table2[[#Headers],[Outer Spring Max Turns]],Table2[#Headers],0),0)</f>
        <v>Null</v>
      </c>
      <c r="BC171" s="2" t="str">
        <f>VLOOKUP([jobnumber],OvalData[],MATCH(Table2[[#Headers],[Outer Spring Weight]],Table2[#Headers],0),0)</f>
        <v>Null</v>
      </c>
      <c r="BD171" s="2" t="str">
        <f>VLOOKUP([jobnumber],OvalData[],MATCH(Table2[[#Headers],[Inner Spring Gage]],Table2[#Headers],0),0)</f>
        <v>Null</v>
      </c>
      <c r="BE171" s="2" t="str">
        <f>VLOOKUP([jobnumber],OvalData[],MATCH(Table2[[#Headers],[Inner Spring OD]],Table2[#Headers],0),0)</f>
        <v>Null</v>
      </c>
      <c r="BF171" s="2" t="str">
        <f>VLOOKUP([jobnumber],OvalData[],MATCH(Table2[[#Headers],[Inner Spring Length]],Table2[#Headers],0),0)</f>
        <v>Null</v>
      </c>
      <c r="BG171" s="2" t="str">
        <f>VLOOKUP([jobnumber],OvalData[],MATCH(Table2[[#Headers],[Inner Spring Stretch]],Table2[#Headers],0),0)</f>
        <v>Null</v>
      </c>
      <c r="BH171" s="2" t="str">
        <f>VLOOKUP([jobnumber],OvalData[],MATCH(Table2[[#Headers],[Inner Spring Torque]],Table2[#Headers],0),0)</f>
        <v>Null</v>
      </c>
      <c r="BI171" s="2" t="str">
        <f>VLOOKUP([jobnumber],OvalData[],MATCH(Table2[[#Headers],[Inner Spring Max Turns]],Table2[#Headers],0),0)</f>
        <v>Null</v>
      </c>
      <c r="BJ171" s="2" t="str">
        <f>VLOOKUP([jobnumber],OvalData[],MATCH(Table2[[#Headers],[Inner Spring Weight]],Table2[#Headers],0),0)</f>
        <v>Null</v>
      </c>
      <c r="BK171" s="2">
        <f>VLOOKUP([jobnumber],OvalData[],MATCH(Table2[[#Headers],[Cycles]],Table2[#Headers],0),0)</f>
        <v>0</v>
      </c>
      <c r="BL171" s="2">
        <f>VLOOKUP([jobnumber],OvalData[],MATCH(Table2[[#Headers],[Total Spring Torque]],Table2[#Headers],0),0)</f>
        <v>0</v>
      </c>
      <c r="BM171" s="2">
        <f>VLOOKUP([jobnumber],OvalData[],MATCH(Table2[[#Headers],[Total Spring Weight]],Table2[#Headers],0),0)</f>
        <v>0</v>
      </c>
      <c r="BN171" s="2">
        <f>VLOOKUP([jobnumber],OvalData[],MATCH(Table2[[#Headers],[Pipe Weight]],Table2[#Headers],0),0)</f>
        <v>688.24239999999998</v>
      </c>
      <c r="BO171" s="2">
        <f>VLOOKUP([jobnumber],OvalData[],MATCH(Table2[[#Headers],[Max Pipe Deflection]],Table2[#Headers],0),0)</f>
        <v>2309</v>
      </c>
      <c r="BP171" s="2">
        <f>VLOOKUP([jobnumber],OvalData[],MATCH(Table2[[#Headers],[Number Non-Insulated Wrap Slats]],Table2[#Headers],0),0)</f>
        <v>0</v>
      </c>
      <c r="BQ171" s="2">
        <f>VLOOKUP([jobnumber],OvalData[],MATCH(Table2[[#Headers],[Number of Insolated Top Slats]],Table2[#Headers],0),0)</f>
        <v>45</v>
      </c>
      <c r="BR171" s="2">
        <f>VLOOKUP([jobnumber],OvalData[],MATCH(Table2[[#Headers],[Insolated Total Slats]],Table2[#Headers],0),0)</f>
        <v>45</v>
      </c>
      <c r="BS171" s="2">
        <f>VLOOKUP([jobnumber],OvalData[],MATCH(Table2[[#Headers],[Number of Slats]],Table2[#Headers],0),0)</f>
        <v>44.69</v>
      </c>
      <c r="BT171" s="2">
        <f>VLOOKUP([jobnumber],OvalData[],MATCH(Table2[[#Headers],[Wrap]],Table2[#Headers],0),0)</f>
        <v>0</v>
      </c>
      <c r="BU171" s="2">
        <f>VLOOKUP([jobnumber],OvalData[],MATCH(Table2[[#Headers],[Wall Angle Thickness]],Table2[#Headers],0),0)</f>
        <v>0</v>
      </c>
      <c r="BV171" s="2">
        <f>VLOOKUP([jobnumber],OvalData[],MATCH(Table2[[#Headers],[windlocks]],Table2[#Headers],0),0)</f>
        <v>0</v>
      </c>
      <c r="BW171" s="2" t="str">
        <f>VLOOKUP([jobnumber],OvalData[],MATCH(Table2[[#Headers],[bottombartype]],Table2[#Headers],0),0)</f>
        <v>SPECIAL</v>
      </c>
      <c r="BX171" s="2">
        <f>VLOOKUP([jobnumber],OvalData[],MATCH(Table2[[#Headers],[endlockweight]],Table2[#Headers],0),0)</f>
        <v>0.17</v>
      </c>
      <c r="BY171" s="2">
        <f>VLOOKUP([jobnumber],OvalData[],MATCH(Table2[[#Headers],[Endlock Total Weight]],Table2[#Headers],0),0)</f>
        <v>7.5972999999999997</v>
      </c>
      <c r="BZ171" s="2">
        <f>VLOOKUP([jobnumber],OvalData[],MATCH(Table2[[#Headers],[Grille Weight]],Table2[#Headers],0),0)</f>
        <v>0</v>
      </c>
      <c r="CA171" s="2">
        <f>VLOOKUP([jobnumber],OvalData[],MATCH(Table2[[#Headers],[barrelrings]],Table2[#Headers],0),0)</f>
        <v>1</v>
      </c>
    </row>
    <row r="172" spans="2:79">
      <c r="B172" s="2" t="str">
        <f>VLOOKUP([jobnumber],OvalData[],MATCH(Table2[[#Headers],[Hand]],Table2[#Headers],0),0)</f>
        <v>RH</v>
      </c>
      <c r="C172" s="2" t="str">
        <f>VLOOKUP([jobnumber],OvalData[],MATCH(Table2[[#Headers],[Model]],Table2[#Headers],0),0)</f>
        <v>SFMPP</v>
      </c>
      <c r="D172" s="2" t="str">
        <f>VLOOKUP([jobnumber],OvalData[],MATCH(Table2[[#Headers],[width]],Table2[#Headers],0),0)</f>
        <v xml:space="preserve"> 18 ft.- 2"</v>
      </c>
      <c r="E172" s="2" t="str">
        <f>VLOOKUP([jobnumber],OvalData[],MATCH(Table2[[#Headers],[stopheight]],Table2[#Headers],0),0)</f>
        <v xml:space="preserve"> 10 ft.- 0"</v>
      </c>
      <c r="F172" s="2" t="str">
        <f>VLOOKUP([jobnumber],OvalData[],MATCH(Table2[[#Headers],[Between Brackets]],Table2[#Headers],0),0)</f>
        <v xml:space="preserve"> 18 ft.- 7 7/ 8"</v>
      </c>
      <c r="G172" s="2" t="str">
        <f>VLOOKUP([jobnumber],OvalData[],MATCH(Table2[[#Headers],[shell]],Table2[#Headers],0),0)</f>
        <v>6 INCH TUBE</v>
      </c>
      <c r="H172" s="2" t="str">
        <f>VLOOKUP([jobnumber],OvalData[],MATCH(Table2[[#Headers],[pipewidth]],Table2[#Headers],0),0)</f>
        <v xml:space="preserve"> 18 ft.- 1 3/ 8"</v>
      </c>
      <c r="I172" s="2">
        <f>VLOOKUP([jobnumber],OvalData[],MATCH(Table2[[#Headers],[Support Tubes]],Table2[#Headers],0),0)</f>
        <v>0</v>
      </c>
      <c r="J172" s="2">
        <f>VLOOKUP([jobnumber],OvalData[],MATCH(Table2[[#Headers],[Upset]],Table2[#Headers],0),0)</f>
        <v>2</v>
      </c>
      <c r="K172" s="2" t="str">
        <f>VLOOKUP([jobnumber],OvalData[],MATCH(Table2[[#Headers],[Guide Type]],Table2[#Headers],0),0)</f>
        <v>SN2-4 5/8-E</v>
      </c>
      <c r="L172" s="2" t="str">
        <f>VLOOKUP([jobnumber],OvalData[],MATCH(Table2[[#Headers],[Wall Angle]],Table2[#Headers],0),0)</f>
        <v xml:space="preserve"> 11 ft.- 8"</v>
      </c>
      <c r="M172" s="2" t="str">
        <f>VLOOKUP([jobnumber],OvalData[],MATCH(Table2[[#Headers],[Middle Angle]],Table2[#Headers],0),0)</f>
        <v xml:space="preserve"> 10 ft.- 4 1/ 2"</v>
      </c>
      <c r="N172" s="2" t="str">
        <f>VLOOKUP([jobnumber],OvalData[],MATCH(Table2[[#Headers],[Front Angle]],Table2[#Headers],0),0)</f>
        <v xml:space="preserve"> 10 ft.- 3"</v>
      </c>
      <c r="O172" s="2">
        <f>VLOOKUP([jobnumber],OvalData[],MATCH(Table2[[#Headers],[Pipe Center Line]],Table2[#Headers],0),0)</f>
        <v>131</v>
      </c>
      <c r="P172" s="2">
        <f>VLOOKUP([jobnumber],OvalData[],MATCH(Table2[[#Headers],[Heat Expansion Gap]],Table2[#Headers],0),0)</f>
        <v>0</v>
      </c>
      <c r="Q172" s="2">
        <f>VLOOKUP([jobnumber],OvalData[],MATCH(Table2[[#Headers],[Hanging Weight Closed]],Table2[#Headers],0),0)</f>
        <v>795</v>
      </c>
      <c r="R172" s="2">
        <f>VLOOKUP([jobnumber],OvalData[],MATCH(Table2[[#Headers],[Hanging Weight Open]],Table2[#Headers],0),0)</f>
        <v>140</v>
      </c>
      <c r="S172" s="2">
        <f>VLOOKUP([jobnumber],OvalData[],MATCH(Table2[[#Headers],[Initial Lever Arm]],Table2[#Headers],0),0)</f>
        <v>4.25</v>
      </c>
      <c r="T172" s="2">
        <f>VLOOKUP([jobnumber],OvalData[],MATCH(Table2[[#Headers],[Turns to Raise]],Table2[#Headers],0),0)</f>
        <v>3.5859999999999999</v>
      </c>
      <c r="U172" s="2">
        <f>VLOOKUP([jobnumber],OvalData[],MATCH(Table2[[#Headers],[Final Lever Arm]],Table2[#Headers],0),0)</f>
        <v>6.37</v>
      </c>
      <c r="V172" s="2">
        <f>VLOOKUP([jobnumber],OvalData[],MATCH(Table2[[#Headers],[Torque Required Closed]],Table2[#Headers],0),0)</f>
        <v>3377.9</v>
      </c>
      <c r="W172" s="2">
        <f>VLOOKUP([jobnumber],OvalData[],MATCH(Table2[[#Headers],[Torque Required Open]],Table2[#Headers],0),0)</f>
        <v>892</v>
      </c>
      <c r="X172" s="2">
        <f>VLOOKUP([jobnumber],OvalData[],MATCH(Table2[[#Headers],[Pre Turns]],Table2[#Headers],0),0)</f>
        <v>1.3332999999999999</v>
      </c>
      <c r="Y172" s="2">
        <f>VLOOKUP([jobnumber],OvalData[],MATCH(Table2[[#Headers],[Required Torque Per Turn]],Table2[#Headers],0),0)</f>
        <v>688</v>
      </c>
      <c r="Z172" s="2">
        <f>VLOOKUP([jobnumber],OvalData[],MATCH(Table2[[#Headers],[Total Turns]],Table2[#Headers],0),0)</f>
        <v>4.91</v>
      </c>
      <c r="AA172" s="2">
        <f>VLOOKUP([jobnumber],OvalData[],MATCH(Table2[[#Headers],[Grille Vision Section]],Table2[#Headers],0),0)</f>
        <v>0</v>
      </c>
      <c r="AB172" s="2">
        <f>VLOOKUP([jobnumber],OvalData[],MATCH(Table2[[#Headers],[Grille Amount]],Table2[#Headers],0),0)</f>
        <v>0</v>
      </c>
      <c r="AC172" s="2">
        <f>VLOOKUP([jobnumber],OvalData[],MATCH(Table2[[#Headers],[Grille Center]],Table2[#Headers],0),0)</f>
        <v>0</v>
      </c>
      <c r="AD172" s="2">
        <f>VLOOKUP([jobnumber],OvalData[],MATCH(Table2[[#Headers],[Grille Pattern]],Table2[#Headers],0),0)</f>
        <v>0</v>
      </c>
      <c r="AE172" s="2">
        <f>VLOOKUP([jobnumber],OvalData[],MATCH(Table2[[#Headers],[Grille First Tube]],Table2[#Headers],0),0)</f>
        <v>0</v>
      </c>
      <c r="AF172" s="2">
        <f>VLOOKUP([jobnumber],OvalData[],MATCH(Table2[[#Headers],[Grille Standard Tube]],Table2[#Headers],0),0)</f>
        <v>0</v>
      </c>
      <c r="AG172" s="2">
        <f>VLOOKUP([jobnumber],OvalData[],MATCH(Table2[[#Headers],[Grille Total Links]],Table2[#Headers],0),0)</f>
        <v>0</v>
      </c>
      <c r="AH172" s="2">
        <f>VLOOKUP([jobnumber],OvalData[],MATCH(Table2[[#Headers],[Grille Rods]],Table2[#Headers],0),0)</f>
        <v>0</v>
      </c>
      <c r="AI172" s="2">
        <f>VLOOKUP([jobnumber],OvalData[],MATCH(Table2[[#Headers],[Grille Rod Length]],Table2[#Headers],0),0)</f>
        <v>0</v>
      </c>
      <c r="AJ172" s="2">
        <f>VLOOKUP([jobnumber],OvalData[],MATCH(Table2[[#Headers],[slattype]],Table2[#Headers],0),0)</f>
        <v>2</v>
      </c>
      <c r="AK172" s="2">
        <f>VLOOKUP([jobnumber],OvalData[],MATCH(Table2[[#Headers],[slatgage]],Table2[#Headers],0),0)</f>
        <v>18</v>
      </c>
      <c r="AL172" s="2">
        <f>VLOOKUP([jobnumber],OvalData[],MATCH(Table2[[#Headers],[Numer of Top Slats]],Table2[#Headers],0),0)</f>
        <v>0</v>
      </c>
      <c r="AM172" s="2">
        <f>VLOOKUP([jobnumber],OvalData[],MATCH(Table2[[#Headers],[Number of Bottom Slats]],Table2[#Headers],0),0)</f>
        <v>0</v>
      </c>
      <c r="AN172" s="2">
        <f>VLOOKUP([jobnumber],OvalData[],MATCH(Table2[[#Headers],[Solid Bottom Height]],Table2[#Headers],0),0)</f>
        <v>0</v>
      </c>
      <c r="AO172" s="2" t="str">
        <f>VLOOKUP([jobnumber],OvalData[],MATCH(Table2[[#Headers],[slatlength]],Table2[#Headers],0),0)</f>
        <v xml:space="preserve"> 18 ft.- 5 7/ 8"</v>
      </c>
      <c r="AP172" s="2">
        <f>VLOOKUP([jobnumber],OvalData[],MATCH(Table2[[#Headers],[Bottom Slat Length]],Table2[#Headers],0),0)</f>
        <v>0</v>
      </c>
      <c r="AQ172" s="2">
        <f>VLOOKUP([jobnumber],OvalData[],MATCH(Table2[[#Headers],[Number of Perferated Slats]],Table2[#Headers],0),0)</f>
        <v>0</v>
      </c>
      <c r="AR172" s="2">
        <f>VLOOKUP([jobnumber],OvalData[],MATCH(Table2[[#Headers],[First Preferated Slat From End]],Table2[#Headers],0),0)</f>
        <v>0</v>
      </c>
      <c r="AS172" s="2">
        <f>VLOOKUP([jobnumber],OvalData[],MATCH(Table2[[#Headers],[First Preferated Slat From Bottom]],Table2[#Headers],0),0)</f>
        <v>0</v>
      </c>
      <c r="AT172" s="2">
        <f>VLOOKUP([jobnumber],OvalData[],MATCH(Table2[[#Headers],[Total Number of Slats]],Table2[#Headers],0),0)</f>
        <v>51</v>
      </c>
      <c r="AU172" s="2">
        <f>VLOOKUP([jobnumber],OvalData[],MATCH(Table2[[#Headers],[Bottom Bar Slope]],Table2[#Headers],0),0)</f>
        <v>0</v>
      </c>
      <c r="AV172" s="2">
        <f>VLOOKUP([jobnumber],OvalData[],MATCH(Table2[[#Headers],[Bottom Bar Weight]],Table2[#Headers],0),0)</f>
        <v>80.5</v>
      </c>
      <c r="AW172" s="2" t="str">
        <f>VLOOKUP([jobnumber],OvalData[],MATCH(Table2[[#Headers],[Outer Spring Gage]],Table2[#Headers],0),0)</f>
        <v>Null</v>
      </c>
      <c r="AX172" s="2" t="str">
        <f>VLOOKUP([jobnumber],OvalData[],MATCH(Table2[[#Headers],[Outer Spring OD]],Table2[#Headers],0),0)</f>
        <v>Null</v>
      </c>
      <c r="AY172" s="2" t="str">
        <f>VLOOKUP([jobnumber],OvalData[],MATCH(Table2[[#Headers],[Outer Spring Length]],Table2[#Headers],0),0)</f>
        <v>Null</v>
      </c>
      <c r="AZ172" s="2" t="str">
        <f>VLOOKUP([jobnumber],OvalData[],MATCH(Table2[[#Headers],[Outer Spring Stretch]],Table2[#Headers],0),0)</f>
        <v>Null</v>
      </c>
      <c r="BA172" s="2" t="str">
        <f>VLOOKUP([jobnumber],OvalData[],MATCH(Table2[[#Headers],[Outer Spring Torque]],Table2[#Headers],0),0)</f>
        <v>Null</v>
      </c>
      <c r="BB172" s="2" t="str">
        <f>VLOOKUP([jobnumber],OvalData[],MATCH(Table2[[#Headers],[Outer Spring Max Turns]],Table2[#Headers],0),0)</f>
        <v>Null</v>
      </c>
      <c r="BC172" s="2" t="str">
        <f>VLOOKUP([jobnumber],OvalData[],MATCH(Table2[[#Headers],[Outer Spring Weight]],Table2[#Headers],0),0)</f>
        <v>Null</v>
      </c>
      <c r="BD172" s="2" t="str">
        <f>VLOOKUP([jobnumber],OvalData[],MATCH(Table2[[#Headers],[Inner Spring Gage]],Table2[#Headers],0),0)</f>
        <v>Null</v>
      </c>
      <c r="BE172" s="2" t="str">
        <f>VLOOKUP([jobnumber],OvalData[],MATCH(Table2[[#Headers],[Inner Spring OD]],Table2[#Headers],0),0)</f>
        <v>Null</v>
      </c>
      <c r="BF172" s="2" t="str">
        <f>VLOOKUP([jobnumber],OvalData[],MATCH(Table2[[#Headers],[Inner Spring Length]],Table2[#Headers],0),0)</f>
        <v>Null</v>
      </c>
      <c r="BG172" s="2" t="str">
        <f>VLOOKUP([jobnumber],OvalData[],MATCH(Table2[[#Headers],[Inner Spring Stretch]],Table2[#Headers],0),0)</f>
        <v>Null</v>
      </c>
      <c r="BH172" s="2" t="str">
        <f>VLOOKUP([jobnumber],OvalData[],MATCH(Table2[[#Headers],[Inner Spring Torque]],Table2[#Headers],0),0)</f>
        <v>Null</v>
      </c>
      <c r="BI172" s="2" t="str">
        <f>VLOOKUP([jobnumber],OvalData[],MATCH(Table2[[#Headers],[Inner Spring Max Turns]],Table2[#Headers],0),0)</f>
        <v>Null</v>
      </c>
      <c r="BJ172" s="2" t="str">
        <f>VLOOKUP([jobnumber],OvalData[],MATCH(Table2[[#Headers],[Inner Spring Weight]],Table2[#Headers],0),0)</f>
        <v>Null</v>
      </c>
      <c r="BK172" s="2">
        <f>VLOOKUP([jobnumber],OvalData[],MATCH(Table2[[#Headers],[Cycles]],Table2[#Headers],0),0)</f>
        <v>0</v>
      </c>
      <c r="BL172" s="2">
        <f>VLOOKUP([jobnumber],OvalData[],MATCH(Table2[[#Headers],[Total Spring Torque]],Table2[#Headers],0),0)</f>
        <v>0</v>
      </c>
      <c r="BM172" s="2">
        <f>VLOOKUP([jobnumber],OvalData[],MATCH(Table2[[#Headers],[Total Spring Weight]],Table2[#Headers],0),0)</f>
        <v>0</v>
      </c>
      <c r="BN172" s="2">
        <f>VLOOKUP([jobnumber],OvalData[],MATCH(Table2[[#Headers],[Pipe Weight]],Table2[#Headers],0),0)</f>
        <v>688.24239999999998</v>
      </c>
      <c r="BO172" s="2">
        <f>VLOOKUP([jobnumber],OvalData[],MATCH(Table2[[#Headers],[Max Pipe Deflection]],Table2[#Headers],0),0)</f>
        <v>2309</v>
      </c>
      <c r="BP172" s="2">
        <f>VLOOKUP([jobnumber],OvalData[],MATCH(Table2[[#Headers],[Number Non-Insulated Wrap Slats]],Table2[#Headers],0),0)</f>
        <v>0</v>
      </c>
      <c r="BQ172" s="2">
        <f>VLOOKUP([jobnumber],OvalData[],MATCH(Table2[[#Headers],[Number of Insolated Top Slats]],Table2[#Headers],0),0)</f>
        <v>45</v>
      </c>
      <c r="BR172" s="2">
        <f>VLOOKUP([jobnumber],OvalData[],MATCH(Table2[[#Headers],[Insolated Total Slats]],Table2[#Headers],0),0)</f>
        <v>45</v>
      </c>
      <c r="BS172" s="2">
        <f>VLOOKUP([jobnumber],OvalData[],MATCH(Table2[[#Headers],[Number of Slats]],Table2[#Headers],0),0)</f>
        <v>44.69</v>
      </c>
      <c r="BT172" s="2">
        <f>VLOOKUP([jobnumber],OvalData[],MATCH(Table2[[#Headers],[Wrap]],Table2[#Headers],0),0)</f>
        <v>0</v>
      </c>
      <c r="BU172" s="2">
        <f>VLOOKUP([jobnumber],OvalData[],MATCH(Table2[[#Headers],[Wall Angle Thickness]],Table2[#Headers],0),0)</f>
        <v>0</v>
      </c>
      <c r="BV172" s="2">
        <f>VLOOKUP([jobnumber],OvalData[],MATCH(Table2[[#Headers],[windlocks]],Table2[#Headers],0),0)</f>
        <v>0</v>
      </c>
      <c r="BW172" s="2" t="str">
        <f>VLOOKUP([jobnumber],OvalData[],MATCH(Table2[[#Headers],[bottombartype]],Table2[#Headers],0),0)</f>
        <v>SPECIAL</v>
      </c>
      <c r="BX172" s="2">
        <f>VLOOKUP([jobnumber],OvalData[],MATCH(Table2[[#Headers],[endlockweight]],Table2[#Headers],0),0)</f>
        <v>0.17</v>
      </c>
      <c r="BY172" s="2">
        <f>VLOOKUP([jobnumber],OvalData[],MATCH(Table2[[#Headers],[Endlock Total Weight]],Table2[#Headers],0),0)</f>
        <v>7.5972999999999997</v>
      </c>
      <c r="BZ172" s="2">
        <f>VLOOKUP([jobnumber],OvalData[],MATCH(Table2[[#Headers],[Grille Weight]],Table2[#Headers],0),0)</f>
        <v>0</v>
      </c>
      <c r="CA172" s="2">
        <f>VLOOKUP([jobnumber],OvalData[],MATCH(Table2[[#Headers],[barrelrings]],Table2[#Headers],0),0)</f>
        <v>1</v>
      </c>
    </row>
    <row r="173" spans="2:79">
      <c r="B173" s="2" t="str">
        <f>VLOOKUP([jobnumber],OvalData[],MATCH(Table2[[#Headers],[Hand]],Table2[#Headers],0),0)</f>
        <v>RH</v>
      </c>
      <c r="C173" s="2" t="str">
        <f>VLOOKUP([jobnumber],OvalData[],MATCH(Table2[[#Headers],[Model]],Table2[#Headers],0),0)</f>
        <v>SFMPP</v>
      </c>
      <c r="D173" s="2" t="str">
        <f>VLOOKUP([jobnumber],OvalData[],MATCH(Table2[[#Headers],[width]],Table2[#Headers],0),0)</f>
        <v xml:space="preserve"> 18 ft.- 2"</v>
      </c>
      <c r="E173" s="2" t="str">
        <f>VLOOKUP([jobnumber],OvalData[],MATCH(Table2[[#Headers],[stopheight]],Table2[#Headers],0),0)</f>
        <v xml:space="preserve"> 10 ft.- 0"</v>
      </c>
      <c r="F173" s="2" t="str">
        <f>VLOOKUP([jobnumber],OvalData[],MATCH(Table2[[#Headers],[Between Brackets]],Table2[#Headers],0),0)</f>
        <v xml:space="preserve"> 18 ft.- 7 7/ 8"</v>
      </c>
      <c r="G173" s="2" t="str">
        <f>VLOOKUP([jobnumber],OvalData[],MATCH(Table2[[#Headers],[shell]],Table2[#Headers],0),0)</f>
        <v>6 INCH TUBE</v>
      </c>
      <c r="H173" s="2" t="str">
        <f>VLOOKUP([jobnumber],OvalData[],MATCH(Table2[[#Headers],[pipewidth]],Table2[#Headers],0),0)</f>
        <v xml:space="preserve"> 18 ft.- 1 3/ 8"</v>
      </c>
      <c r="I173" s="2">
        <f>VLOOKUP([jobnumber],OvalData[],MATCH(Table2[[#Headers],[Support Tubes]],Table2[#Headers],0),0)</f>
        <v>0</v>
      </c>
      <c r="J173" s="2">
        <f>VLOOKUP([jobnumber],OvalData[],MATCH(Table2[[#Headers],[Upset]],Table2[#Headers],0),0)</f>
        <v>2</v>
      </c>
      <c r="K173" s="2" t="str">
        <f>VLOOKUP([jobnumber],OvalData[],MATCH(Table2[[#Headers],[Guide Type]],Table2[#Headers],0),0)</f>
        <v>SN2-4 5/8-E</v>
      </c>
      <c r="L173" s="2" t="str">
        <f>VLOOKUP([jobnumber],OvalData[],MATCH(Table2[[#Headers],[Wall Angle]],Table2[#Headers],0),0)</f>
        <v xml:space="preserve"> 11 ft.- 8"</v>
      </c>
      <c r="M173" s="2" t="str">
        <f>VLOOKUP([jobnumber],OvalData[],MATCH(Table2[[#Headers],[Middle Angle]],Table2[#Headers],0),0)</f>
        <v xml:space="preserve"> 10 ft.- 4 1/ 2"</v>
      </c>
      <c r="N173" s="2" t="str">
        <f>VLOOKUP([jobnumber],OvalData[],MATCH(Table2[[#Headers],[Front Angle]],Table2[#Headers],0),0)</f>
        <v xml:space="preserve"> 10 ft.- 3"</v>
      </c>
      <c r="O173" s="2">
        <f>VLOOKUP([jobnumber],OvalData[],MATCH(Table2[[#Headers],[Pipe Center Line]],Table2[#Headers],0),0)</f>
        <v>131</v>
      </c>
      <c r="P173" s="2">
        <f>VLOOKUP([jobnumber],OvalData[],MATCH(Table2[[#Headers],[Heat Expansion Gap]],Table2[#Headers],0),0)</f>
        <v>0</v>
      </c>
      <c r="Q173" s="2">
        <f>VLOOKUP([jobnumber],OvalData[],MATCH(Table2[[#Headers],[Hanging Weight Closed]],Table2[#Headers],0),0)</f>
        <v>795</v>
      </c>
      <c r="R173" s="2">
        <f>VLOOKUP([jobnumber],OvalData[],MATCH(Table2[[#Headers],[Hanging Weight Open]],Table2[#Headers],0),0)</f>
        <v>140</v>
      </c>
      <c r="S173" s="2">
        <f>VLOOKUP([jobnumber],OvalData[],MATCH(Table2[[#Headers],[Initial Lever Arm]],Table2[#Headers],0),0)</f>
        <v>4.25</v>
      </c>
      <c r="T173" s="2">
        <f>VLOOKUP([jobnumber],OvalData[],MATCH(Table2[[#Headers],[Turns to Raise]],Table2[#Headers],0),0)</f>
        <v>3.5859999999999999</v>
      </c>
      <c r="U173" s="2">
        <f>VLOOKUP([jobnumber],OvalData[],MATCH(Table2[[#Headers],[Final Lever Arm]],Table2[#Headers],0),0)</f>
        <v>6.37</v>
      </c>
      <c r="V173" s="2">
        <f>VLOOKUP([jobnumber],OvalData[],MATCH(Table2[[#Headers],[Torque Required Closed]],Table2[#Headers],0),0)</f>
        <v>3377.9</v>
      </c>
      <c r="W173" s="2">
        <f>VLOOKUP([jobnumber],OvalData[],MATCH(Table2[[#Headers],[Torque Required Open]],Table2[#Headers],0),0)</f>
        <v>892</v>
      </c>
      <c r="X173" s="2">
        <f>VLOOKUP([jobnumber],OvalData[],MATCH(Table2[[#Headers],[Pre Turns]],Table2[#Headers],0),0)</f>
        <v>1.3332999999999999</v>
      </c>
      <c r="Y173" s="2">
        <f>VLOOKUP([jobnumber],OvalData[],MATCH(Table2[[#Headers],[Required Torque Per Turn]],Table2[#Headers],0),0)</f>
        <v>688</v>
      </c>
      <c r="Z173" s="2">
        <f>VLOOKUP([jobnumber],OvalData[],MATCH(Table2[[#Headers],[Total Turns]],Table2[#Headers],0),0)</f>
        <v>4.91</v>
      </c>
      <c r="AA173" s="2">
        <f>VLOOKUP([jobnumber],OvalData[],MATCH(Table2[[#Headers],[Grille Vision Section]],Table2[#Headers],0),0)</f>
        <v>0</v>
      </c>
      <c r="AB173" s="2">
        <f>VLOOKUP([jobnumber],OvalData[],MATCH(Table2[[#Headers],[Grille Amount]],Table2[#Headers],0),0)</f>
        <v>0</v>
      </c>
      <c r="AC173" s="2">
        <f>VLOOKUP([jobnumber],OvalData[],MATCH(Table2[[#Headers],[Grille Center]],Table2[#Headers],0),0)</f>
        <v>0</v>
      </c>
      <c r="AD173" s="2">
        <f>VLOOKUP([jobnumber],OvalData[],MATCH(Table2[[#Headers],[Grille Pattern]],Table2[#Headers],0),0)</f>
        <v>0</v>
      </c>
      <c r="AE173" s="2">
        <f>VLOOKUP([jobnumber],OvalData[],MATCH(Table2[[#Headers],[Grille First Tube]],Table2[#Headers],0),0)</f>
        <v>0</v>
      </c>
      <c r="AF173" s="2">
        <f>VLOOKUP([jobnumber],OvalData[],MATCH(Table2[[#Headers],[Grille Standard Tube]],Table2[#Headers],0),0)</f>
        <v>0</v>
      </c>
      <c r="AG173" s="2">
        <f>VLOOKUP([jobnumber],OvalData[],MATCH(Table2[[#Headers],[Grille Total Links]],Table2[#Headers],0),0)</f>
        <v>0</v>
      </c>
      <c r="AH173" s="2">
        <f>VLOOKUP([jobnumber],OvalData[],MATCH(Table2[[#Headers],[Grille Rods]],Table2[#Headers],0),0)</f>
        <v>0</v>
      </c>
      <c r="AI173" s="2">
        <f>VLOOKUP([jobnumber],OvalData[],MATCH(Table2[[#Headers],[Grille Rod Length]],Table2[#Headers],0),0)</f>
        <v>0</v>
      </c>
      <c r="AJ173" s="2">
        <f>VLOOKUP([jobnumber],OvalData[],MATCH(Table2[[#Headers],[slattype]],Table2[#Headers],0),0)</f>
        <v>2</v>
      </c>
      <c r="AK173" s="2">
        <f>VLOOKUP([jobnumber],OvalData[],MATCH(Table2[[#Headers],[slatgage]],Table2[#Headers],0),0)</f>
        <v>18</v>
      </c>
      <c r="AL173" s="2">
        <f>VLOOKUP([jobnumber],OvalData[],MATCH(Table2[[#Headers],[Numer of Top Slats]],Table2[#Headers],0),0)</f>
        <v>0</v>
      </c>
      <c r="AM173" s="2">
        <f>VLOOKUP([jobnumber],OvalData[],MATCH(Table2[[#Headers],[Number of Bottom Slats]],Table2[#Headers],0),0)</f>
        <v>0</v>
      </c>
      <c r="AN173" s="2">
        <f>VLOOKUP([jobnumber],OvalData[],MATCH(Table2[[#Headers],[Solid Bottom Height]],Table2[#Headers],0),0)</f>
        <v>0</v>
      </c>
      <c r="AO173" s="2" t="str">
        <f>VLOOKUP([jobnumber],OvalData[],MATCH(Table2[[#Headers],[slatlength]],Table2[#Headers],0),0)</f>
        <v xml:space="preserve"> 18 ft.- 5 7/ 8"</v>
      </c>
      <c r="AP173" s="2">
        <f>VLOOKUP([jobnumber],OvalData[],MATCH(Table2[[#Headers],[Bottom Slat Length]],Table2[#Headers],0),0)</f>
        <v>0</v>
      </c>
      <c r="AQ173" s="2">
        <f>VLOOKUP([jobnumber],OvalData[],MATCH(Table2[[#Headers],[Number of Perferated Slats]],Table2[#Headers],0),0)</f>
        <v>0</v>
      </c>
      <c r="AR173" s="2">
        <f>VLOOKUP([jobnumber],OvalData[],MATCH(Table2[[#Headers],[First Preferated Slat From End]],Table2[#Headers],0),0)</f>
        <v>0</v>
      </c>
      <c r="AS173" s="2">
        <f>VLOOKUP([jobnumber],OvalData[],MATCH(Table2[[#Headers],[First Preferated Slat From Bottom]],Table2[#Headers],0),0)</f>
        <v>0</v>
      </c>
      <c r="AT173" s="2">
        <f>VLOOKUP([jobnumber],OvalData[],MATCH(Table2[[#Headers],[Total Number of Slats]],Table2[#Headers],0),0)</f>
        <v>51</v>
      </c>
      <c r="AU173" s="2">
        <f>VLOOKUP([jobnumber],OvalData[],MATCH(Table2[[#Headers],[Bottom Bar Slope]],Table2[#Headers],0),0)</f>
        <v>0</v>
      </c>
      <c r="AV173" s="2">
        <f>VLOOKUP([jobnumber],OvalData[],MATCH(Table2[[#Headers],[Bottom Bar Weight]],Table2[#Headers],0),0)</f>
        <v>80.5</v>
      </c>
      <c r="AW173" s="2" t="str">
        <f>VLOOKUP([jobnumber],OvalData[],MATCH(Table2[[#Headers],[Outer Spring Gage]],Table2[#Headers],0),0)</f>
        <v>Null</v>
      </c>
      <c r="AX173" s="2" t="str">
        <f>VLOOKUP([jobnumber],OvalData[],MATCH(Table2[[#Headers],[Outer Spring OD]],Table2[#Headers],0),0)</f>
        <v>Null</v>
      </c>
      <c r="AY173" s="2" t="str">
        <f>VLOOKUP([jobnumber],OvalData[],MATCH(Table2[[#Headers],[Outer Spring Length]],Table2[#Headers],0),0)</f>
        <v>Null</v>
      </c>
      <c r="AZ173" s="2" t="str">
        <f>VLOOKUP([jobnumber],OvalData[],MATCH(Table2[[#Headers],[Outer Spring Stretch]],Table2[#Headers],0),0)</f>
        <v>Null</v>
      </c>
      <c r="BA173" s="2" t="str">
        <f>VLOOKUP([jobnumber],OvalData[],MATCH(Table2[[#Headers],[Outer Spring Torque]],Table2[#Headers],0),0)</f>
        <v>Null</v>
      </c>
      <c r="BB173" s="2" t="str">
        <f>VLOOKUP([jobnumber],OvalData[],MATCH(Table2[[#Headers],[Outer Spring Max Turns]],Table2[#Headers],0),0)</f>
        <v>Null</v>
      </c>
      <c r="BC173" s="2" t="str">
        <f>VLOOKUP([jobnumber],OvalData[],MATCH(Table2[[#Headers],[Outer Spring Weight]],Table2[#Headers],0),0)</f>
        <v>Null</v>
      </c>
      <c r="BD173" s="2" t="str">
        <f>VLOOKUP([jobnumber],OvalData[],MATCH(Table2[[#Headers],[Inner Spring Gage]],Table2[#Headers],0),0)</f>
        <v>Null</v>
      </c>
      <c r="BE173" s="2" t="str">
        <f>VLOOKUP([jobnumber],OvalData[],MATCH(Table2[[#Headers],[Inner Spring OD]],Table2[#Headers],0),0)</f>
        <v>Null</v>
      </c>
      <c r="BF173" s="2" t="str">
        <f>VLOOKUP([jobnumber],OvalData[],MATCH(Table2[[#Headers],[Inner Spring Length]],Table2[#Headers],0),0)</f>
        <v>Null</v>
      </c>
      <c r="BG173" s="2" t="str">
        <f>VLOOKUP([jobnumber],OvalData[],MATCH(Table2[[#Headers],[Inner Spring Stretch]],Table2[#Headers],0),0)</f>
        <v>Null</v>
      </c>
      <c r="BH173" s="2" t="str">
        <f>VLOOKUP([jobnumber],OvalData[],MATCH(Table2[[#Headers],[Inner Spring Torque]],Table2[#Headers],0),0)</f>
        <v>Null</v>
      </c>
      <c r="BI173" s="2" t="str">
        <f>VLOOKUP([jobnumber],OvalData[],MATCH(Table2[[#Headers],[Inner Spring Max Turns]],Table2[#Headers],0),0)</f>
        <v>Null</v>
      </c>
      <c r="BJ173" s="2" t="str">
        <f>VLOOKUP([jobnumber],OvalData[],MATCH(Table2[[#Headers],[Inner Spring Weight]],Table2[#Headers],0),0)</f>
        <v>Null</v>
      </c>
      <c r="BK173" s="2">
        <f>VLOOKUP([jobnumber],OvalData[],MATCH(Table2[[#Headers],[Cycles]],Table2[#Headers],0),0)</f>
        <v>0</v>
      </c>
      <c r="BL173" s="2">
        <f>VLOOKUP([jobnumber],OvalData[],MATCH(Table2[[#Headers],[Total Spring Torque]],Table2[#Headers],0),0)</f>
        <v>0</v>
      </c>
      <c r="BM173" s="2">
        <f>VLOOKUP([jobnumber],OvalData[],MATCH(Table2[[#Headers],[Total Spring Weight]],Table2[#Headers],0),0)</f>
        <v>0</v>
      </c>
      <c r="BN173" s="2">
        <f>VLOOKUP([jobnumber],OvalData[],MATCH(Table2[[#Headers],[Pipe Weight]],Table2[#Headers],0),0)</f>
        <v>688.24239999999998</v>
      </c>
      <c r="BO173" s="2">
        <f>VLOOKUP([jobnumber],OvalData[],MATCH(Table2[[#Headers],[Max Pipe Deflection]],Table2[#Headers],0),0)</f>
        <v>2309</v>
      </c>
      <c r="BP173" s="2">
        <f>VLOOKUP([jobnumber],OvalData[],MATCH(Table2[[#Headers],[Number Non-Insulated Wrap Slats]],Table2[#Headers],0),0)</f>
        <v>0</v>
      </c>
      <c r="BQ173" s="2">
        <f>VLOOKUP([jobnumber],OvalData[],MATCH(Table2[[#Headers],[Number of Insolated Top Slats]],Table2[#Headers],0),0)</f>
        <v>45</v>
      </c>
      <c r="BR173" s="2">
        <f>VLOOKUP([jobnumber],OvalData[],MATCH(Table2[[#Headers],[Insolated Total Slats]],Table2[#Headers],0),0)</f>
        <v>45</v>
      </c>
      <c r="BS173" s="2">
        <f>VLOOKUP([jobnumber],OvalData[],MATCH(Table2[[#Headers],[Number of Slats]],Table2[#Headers],0),0)</f>
        <v>44.69</v>
      </c>
      <c r="BT173" s="2">
        <f>VLOOKUP([jobnumber],OvalData[],MATCH(Table2[[#Headers],[Wrap]],Table2[#Headers],0),0)</f>
        <v>0</v>
      </c>
      <c r="BU173" s="2">
        <f>VLOOKUP([jobnumber],OvalData[],MATCH(Table2[[#Headers],[Wall Angle Thickness]],Table2[#Headers],0),0)</f>
        <v>0</v>
      </c>
      <c r="BV173" s="2">
        <f>VLOOKUP([jobnumber],OvalData[],MATCH(Table2[[#Headers],[windlocks]],Table2[#Headers],0),0)</f>
        <v>0</v>
      </c>
      <c r="BW173" s="2" t="str">
        <f>VLOOKUP([jobnumber],OvalData[],MATCH(Table2[[#Headers],[bottombartype]],Table2[#Headers],0),0)</f>
        <v>SPECIAL</v>
      </c>
      <c r="BX173" s="2">
        <f>VLOOKUP([jobnumber],OvalData[],MATCH(Table2[[#Headers],[endlockweight]],Table2[#Headers],0),0)</f>
        <v>0.17</v>
      </c>
      <c r="BY173" s="2">
        <f>VLOOKUP([jobnumber],OvalData[],MATCH(Table2[[#Headers],[Endlock Total Weight]],Table2[#Headers],0),0)</f>
        <v>7.5972999999999997</v>
      </c>
      <c r="BZ173" s="2">
        <f>VLOOKUP([jobnumber],OvalData[],MATCH(Table2[[#Headers],[Grille Weight]],Table2[#Headers],0),0)</f>
        <v>0</v>
      </c>
      <c r="CA173" s="2">
        <f>VLOOKUP([jobnumber],OvalData[],MATCH(Table2[[#Headers],[barrelrings]],Table2[#Headers],0),0)</f>
        <v>1</v>
      </c>
    </row>
    <row r="174" spans="2:79">
      <c r="B174" s="2" t="str">
        <f>VLOOKUP([jobnumber],OvalData[],MATCH(Table2[[#Headers],[Hand]],Table2[#Headers],0),0)</f>
        <v>RH</v>
      </c>
      <c r="C174" s="2" t="str">
        <f>VLOOKUP([jobnumber],OvalData[],MATCH(Table2[[#Headers],[Model]],Table2[#Headers],0),0)</f>
        <v>SFMPP</v>
      </c>
      <c r="D174" s="2" t="str">
        <f>VLOOKUP([jobnumber],OvalData[],MATCH(Table2[[#Headers],[width]],Table2[#Headers],0),0)</f>
        <v xml:space="preserve"> 18 ft.- 2"</v>
      </c>
      <c r="E174" s="2" t="str">
        <f>VLOOKUP([jobnumber],OvalData[],MATCH(Table2[[#Headers],[stopheight]],Table2[#Headers],0),0)</f>
        <v xml:space="preserve"> 10 ft.- 0"</v>
      </c>
      <c r="F174" s="2" t="str">
        <f>VLOOKUP([jobnumber],OvalData[],MATCH(Table2[[#Headers],[Between Brackets]],Table2[#Headers],0),0)</f>
        <v xml:space="preserve"> 18 ft.- 7 7/ 8"</v>
      </c>
      <c r="G174" s="2" t="str">
        <f>VLOOKUP([jobnumber],OvalData[],MATCH(Table2[[#Headers],[shell]],Table2[#Headers],0),0)</f>
        <v>6 INCH TUBE</v>
      </c>
      <c r="H174" s="2" t="str">
        <f>VLOOKUP([jobnumber],OvalData[],MATCH(Table2[[#Headers],[pipewidth]],Table2[#Headers],0),0)</f>
        <v xml:space="preserve"> 18 ft.- 1 3/ 8"</v>
      </c>
      <c r="I174" s="2">
        <f>VLOOKUP([jobnumber],OvalData[],MATCH(Table2[[#Headers],[Support Tubes]],Table2[#Headers],0),0)</f>
        <v>0</v>
      </c>
      <c r="J174" s="2">
        <f>VLOOKUP([jobnumber],OvalData[],MATCH(Table2[[#Headers],[Upset]],Table2[#Headers],0),0)</f>
        <v>2</v>
      </c>
      <c r="K174" s="2" t="str">
        <f>VLOOKUP([jobnumber],OvalData[],MATCH(Table2[[#Headers],[Guide Type]],Table2[#Headers],0),0)</f>
        <v>SN2-4 5/8-E</v>
      </c>
      <c r="L174" s="2" t="str">
        <f>VLOOKUP([jobnumber],OvalData[],MATCH(Table2[[#Headers],[Wall Angle]],Table2[#Headers],0),0)</f>
        <v xml:space="preserve"> 11 ft.- 8"</v>
      </c>
      <c r="M174" s="2" t="str">
        <f>VLOOKUP([jobnumber],OvalData[],MATCH(Table2[[#Headers],[Middle Angle]],Table2[#Headers],0),0)</f>
        <v xml:space="preserve"> 10 ft.- 4 1/ 2"</v>
      </c>
      <c r="N174" s="2" t="str">
        <f>VLOOKUP([jobnumber],OvalData[],MATCH(Table2[[#Headers],[Front Angle]],Table2[#Headers],0),0)</f>
        <v xml:space="preserve"> 10 ft.- 3"</v>
      </c>
      <c r="O174" s="2">
        <f>VLOOKUP([jobnumber],OvalData[],MATCH(Table2[[#Headers],[Pipe Center Line]],Table2[#Headers],0),0)</f>
        <v>131</v>
      </c>
      <c r="P174" s="2">
        <f>VLOOKUP([jobnumber],OvalData[],MATCH(Table2[[#Headers],[Heat Expansion Gap]],Table2[#Headers],0),0)</f>
        <v>0</v>
      </c>
      <c r="Q174" s="2">
        <f>VLOOKUP([jobnumber],OvalData[],MATCH(Table2[[#Headers],[Hanging Weight Closed]],Table2[#Headers],0),0)</f>
        <v>795</v>
      </c>
      <c r="R174" s="2">
        <f>VLOOKUP([jobnumber],OvalData[],MATCH(Table2[[#Headers],[Hanging Weight Open]],Table2[#Headers],0),0)</f>
        <v>140</v>
      </c>
      <c r="S174" s="2">
        <f>VLOOKUP([jobnumber],OvalData[],MATCH(Table2[[#Headers],[Initial Lever Arm]],Table2[#Headers],0),0)</f>
        <v>4.25</v>
      </c>
      <c r="T174" s="2">
        <f>VLOOKUP([jobnumber],OvalData[],MATCH(Table2[[#Headers],[Turns to Raise]],Table2[#Headers],0),0)</f>
        <v>3.5859999999999999</v>
      </c>
      <c r="U174" s="2">
        <f>VLOOKUP([jobnumber],OvalData[],MATCH(Table2[[#Headers],[Final Lever Arm]],Table2[#Headers],0),0)</f>
        <v>6.37</v>
      </c>
      <c r="V174" s="2">
        <f>VLOOKUP([jobnumber],OvalData[],MATCH(Table2[[#Headers],[Torque Required Closed]],Table2[#Headers],0),0)</f>
        <v>3377.9</v>
      </c>
      <c r="W174" s="2">
        <f>VLOOKUP([jobnumber],OvalData[],MATCH(Table2[[#Headers],[Torque Required Open]],Table2[#Headers],0),0)</f>
        <v>892</v>
      </c>
      <c r="X174" s="2">
        <f>VLOOKUP([jobnumber],OvalData[],MATCH(Table2[[#Headers],[Pre Turns]],Table2[#Headers],0),0)</f>
        <v>1.3332999999999999</v>
      </c>
      <c r="Y174" s="2">
        <f>VLOOKUP([jobnumber],OvalData[],MATCH(Table2[[#Headers],[Required Torque Per Turn]],Table2[#Headers],0),0)</f>
        <v>688</v>
      </c>
      <c r="Z174" s="2">
        <f>VLOOKUP([jobnumber],OvalData[],MATCH(Table2[[#Headers],[Total Turns]],Table2[#Headers],0),0)</f>
        <v>4.91</v>
      </c>
      <c r="AA174" s="2">
        <f>VLOOKUP([jobnumber],OvalData[],MATCH(Table2[[#Headers],[Grille Vision Section]],Table2[#Headers],0),0)</f>
        <v>0</v>
      </c>
      <c r="AB174" s="2">
        <f>VLOOKUP([jobnumber],OvalData[],MATCH(Table2[[#Headers],[Grille Amount]],Table2[#Headers],0),0)</f>
        <v>0</v>
      </c>
      <c r="AC174" s="2">
        <f>VLOOKUP([jobnumber],OvalData[],MATCH(Table2[[#Headers],[Grille Center]],Table2[#Headers],0),0)</f>
        <v>0</v>
      </c>
      <c r="AD174" s="2">
        <f>VLOOKUP([jobnumber],OvalData[],MATCH(Table2[[#Headers],[Grille Pattern]],Table2[#Headers],0),0)</f>
        <v>0</v>
      </c>
      <c r="AE174" s="2">
        <f>VLOOKUP([jobnumber],OvalData[],MATCH(Table2[[#Headers],[Grille First Tube]],Table2[#Headers],0),0)</f>
        <v>0</v>
      </c>
      <c r="AF174" s="2">
        <f>VLOOKUP([jobnumber],OvalData[],MATCH(Table2[[#Headers],[Grille Standard Tube]],Table2[#Headers],0),0)</f>
        <v>0</v>
      </c>
      <c r="AG174" s="2">
        <f>VLOOKUP([jobnumber],OvalData[],MATCH(Table2[[#Headers],[Grille Total Links]],Table2[#Headers],0),0)</f>
        <v>0</v>
      </c>
      <c r="AH174" s="2">
        <f>VLOOKUP([jobnumber],OvalData[],MATCH(Table2[[#Headers],[Grille Rods]],Table2[#Headers],0),0)</f>
        <v>0</v>
      </c>
      <c r="AI174" s="2">
        <f>VLOOKUP([jobnumber],OvalData[],MATCH(Table2[[#Headers],[Grille Rod Length]],Table2[#Headers],0),0)</f>
        <v>0</v>
      </c>
      <c r="AJ174" s="2">
        <f>VLOOKUP([jobnumber],OvalData[],MATCH(Table2[[#Headers],[slattype]],Table2[#Headers],0),0)</f>
        <v>2</v>
      </c>
      <c r="AK174" s="2">
        <f>VLOOKUP([jobnumber],OvalData[],MATCH(Table2[[#Headers],[slatgage]],Table2[#Headers],0),0)</f>
        <v>18</v>
      </c>
      <c r="AL174" s="2">
        <f>VLOOKUP([jobnumber],OvalData[],MATCH(Table2[[#Headers],[Numer of Top Slats]],Table2[#Headers],0),0)</f>
        <v>0</v>
      </c>
      <c r="AM174" s="2">
        <f>VLOOKUP([jobnumber],OvalData[],MATCH(Table2[[#Headers],[Number of Bottom Slats]],Table2[#Headers],0),0)</f>
        <v>0</v>
      </c>
      <c r="AN174" s="2">
        <f>VLOOKUP([jobnumber],OvalData[],MATCH(Table2[[#Headers],[Solid Bottom Height]],Table2[#Headers],0),0)</f>
        <v>0</v>
      </c>
      <c r="AO174" s="2" t="str">
        <f>VLOOKUP([jobnumber],OvalData[],MATCH(Table2[[#Headers],[slatlength]],Table2[#Headers],0),0)</f>
        <v xml:space="preserve"> 18 ft.- 5 7/ 8"</v>
      </c>
      <c r="AP174" s="2">
        <f>VLOOKUP([jobnumber],OvalData[],MATCH(Table2[[#Headers],[Bottom Slat Length]],Table2[#Headers],0),0)</f>
        <v>0</v>
      </c>
      <c r="AQ174" s="2">
        <f>VLOOKUP([jobnumber],OvalData[],MATCH(Table2[[#Headers],[Number of Perferated Slats]],Table2[#Headers],0),0)</f>
        <v>0</v>
      </c>
      <c r="AR174" s="2">
        <f>VLOOKUP([jobnumber],OvalData[],MATCH(Table2[[#Headers],[First Preferated Slat From End]],Table2[#Headers],0),0)</f>
        <v>0</v>
      </c>
      <c r="AS174" s="2">
        <f>VLOOKUP([jobnumber],OvalData[],MATCH(Table2[[#Headers],[First Preferated Slat From Bottom]],Table2[#Headers],0),0)</f>
        <v>0</v>
      </c>
      <c r="AT174" s="2">
        <f>VLOOKUP([jobnumber],OvalData[],MATCH(Table2[[#Headers],[Total Number of Slats]],Table2[#Headers],0),0)</f>
        <v>51</v>
      </c>
      <c r="AU174" s="2">
        <f>VLOOKUP([jobnumber],OvalData[],MATCH(Table2[[#Headers],[Bottom Bar Slope]],Table2[#Headers],0),0)</f>
        <v>0</v>
      </c>
      <c r="AV174" s="2">
        <f>VLOOKUP([jobnumber],OvalData[],MATCH(Table2[[#Headers],[Bottom Bar Weight]],Table2[#Headers],0),0)</f>
        <v>80.5</v>
      </c>
      <c r="AW174" s="2" t="str">
        <f>VLOOKUP([jobnumber],OvalData[],MATCH(Table2[[#Headers],[Outer Spring Gage]],Table2[#Headers],0),0)</f>
        <v>Null</v>
      </c>
      <c r="AX174" s="2" t="str">
        <f>VLOOKUP([jobnumber],OvalData[],MATCH(Table2[[#Headers],[Outer Spring OD]],Table2[#Headers],0),0)</f>
        <v>Null</v>
      </c>
      <c r="AY174" s="2" t="str">
        <f>VLOOKUP([jobnumber],OvalData[],MATCH(Table2[[#Headers],[Outer Spring Length]],Table2[#Headers],0),0)</f>
        <v>Null</v>
      </c>
      <c r="AZ174" s="2" t="str">
        <f>VLOOKUP([jobnumber],OvalData[],MATCH(Table2[[#Headers],[Outer Spring Stretch]],Table2[#Headers],0),0)</f>
        <v>Null</v>
      </c>
      <c r="BA174" s="2" t="str">
        <f>VLOOKUP([jobnumber],OvalData[],MATCH(Table2[[#Headers],[Outer Spring Torque]],Table2[#Headers],0),0)</f>
        <v>Null</v>
      </c>
      <c r="BB174" s="2" t="str">
        <f>VLOOKUP([jobnumber],OvalData[],MATCH(Table2[[#Headers],[Outer Spring Max Turns]],Table2[#Headers],0),0)</f>
        <v>Null</v>
      </c>
      <c r="BC174" s="2" t="str">
        <f>VLOOKUP([jobnumber],OvalData[],MATCH(Table2[[#Headers],[Outer Spring Weight]],Table2[#Headers],0),0)</f>
        <v>Null</v>
      </c>
      <c r="BD174" s="2" t="str">
        <f>VLOOKUP([jobnumber],OvalData[],MATCH(Table2[[#Headers],[Inner Spring Gage]],Table2[#Headers],0),0)</f>
        <v>Null</v>
      </c>
      <c r="BE174" s="2" t="str">
        <f>VLOOKUP([jobnumber],OvalData[],MATCH(Table2[[#Headers],[Inner Spring OD]],Table2[#Headers],0),0)</f>
        <v>Null</v>
      </c>
      <c r="BF174" s="2" t="str">
        <f>VLOOKUP([jobnumber],OvalData[],MATCH(Table2[[#Headers],[Inner Spring Length]],Table2[#Headers],0),0)</f>
        <v>Null</v>
      </c>
      <c r="BG174" s="2" t="str">
        <f>VLOOKUP([jobnumber],OvalData[],MATCH(Table2[[#Headers],[Inner Spring Stretch]],Table2[#Headers],0),0)</f>
        <v>Null</v>
      </c>
      <c r="BH174" s="2" t="str">
        <f>VLOOKUP([jobnumber],OvalData[],MATCH(Table2[[#Headers],[Inner Spring Torque]],Table2[#Headers],0),0)</f>
        <v>Null</v>
      </c>
      <c r="BI174" s="2" t="str">
        <f>VLOOKUP([jobnumber],OvalData[],MATCH(Table2[[#Headers],[Inner Spring Max Turns]],Table2[#Headers],0),0)</f>
        <v>Null</v>
      </c>
      <c r="BJ174" s="2" t="str">
        <f>VLOOKUP([jobnumber],OvalData[],MATCH(Table2[[#Headers],[Inner Spring Weight]],Table2[#Headers],0),0)</f>
        <v>Null</v>
      </c>
      <c r="BK174" s="2">
        <f>VLOOKUP([jobnumber],OvalData[],MATCH(Table2[[#Headers],[Cycles]],Table2[#Headers],0),0)</f>
        <v>0</v>
      </c>
      <c r="BL174" s="2">
        <f>VLOOKUP([jobnumber],OvalData[],MATCH(Table2[[#Headers],[Total Spring Torque]],Table2[#Headers],0),0)</f>
        <v>0</v>
      </c>
      <c r="BM174" s="2">
        <f>VLOOKUP([jobnumber],OvalData[],MATCH(Table2[[#Headers],[Total Spring Weight]],Table2[#Headers],0),0)</f>
        <v>0</v>
      </c>
      <c r="BN174" s="2">
        <f>VLOOKUP([jobnumber],OvalData[],MATCH(Table2[[#Headers],[Pipe Weight]],Table2[#Headers],0),0)</f>
        <v>688.24239999999998</v>
      </c>
      <c r="BO174" s="2">
        <f>VLOOKUP([jobnumber],OvalData[],MATCH(Table2[[#Headers],[Max Pipe Deflection]],Table2[#Headers],0),0)</f>
        <v>2309</v>
      </c>
      <c r="BP174" s="2">
        <f>VLOOKUP([jobnumber],OvalData[],MATCH(Table2[[#Headers],[Number Non-Insulated Wrap Slats]],Table2[#Headers],0),0)</f>
        <v>0</v>
      </c>
      <c r="BQ174" s="2">
        <f>VLOOKUP([jobnumber],OvalData[],MATCH(Table2[[#Headers],[Number of Insolated Top Slats]],Table2[#Headers],0),0)</f>
        <v>45</v>
      </c>
      <c r="BR174" s="2">
        <f>VLOOKUP([jobnumber],OvalData[],MATCH(Table2[[#Headers],[Insolated Total Slats]],Table2[#Headers],0),0)</f>
        <v>45</v>
      </c>
      <c r="BS174" s="2">
        <f>VLOOKUP([jobnumber],OvalData[],MATCH(Table2[[#Headers],[Number of Slats]],Table2[#Headers],0),0)</f>
        <v>44.69</v>
      </c>
      <c r="BT174" s="2">
        <f>VLOOKUP([jobnumber],OvalData[],MATCH(Table2[[#Headers],[Wrap]],Table2[#Headers],0),0)</f>
        <v>0</v>
      </c>
      <c r="BU174" s="2">
        <f>VLOOKUP([jobnumber],OvalData[],MATCH(Table2[[#Headers],[Wall Angle Thickness]],Table2[#Headers],0),0)</f>
        <v>0</v>
      </c>
      <c r="BV174" s="2">
        <f>VLOOKUP([jobnumber],OvalData[],MATCH(Table2[[#Headers],[windlocks]],Table2[#Headers],0),0)</f>
        <v>0</v>
      </c>
      <c r="BW174" s="2" t="str">
        <f>VLOOKUP([jobnumber],OvalData[],MATCH(Table2[[#Headers],[bottombartype]],Table2[#Headers],0),0)</f>
        <v>SPECIAL</v>
      </c>
      <c r="BX174" s="2">
        <f>VLOOKUP([jobnumber],OvalData[],MATCH(Table2[[#Headers],[endlockweight]],Table2[#Headers],0),0)</f>
        <v>0.17</v>
      </c>
      <c r="BY174" s="2">
        <f>VLOOKUP([jobnumber],OvalData[],MATCH(Table2[[#Headers],[Endlock Total Weight]],Table2[#Headers],0),0)</f>
        <v>7.5972999999999997</v>
      </c>
      <c r="BZ174" s="2">
        <f>VLOOKUP([jobnumber],OvalData[],MATCH(Table2[[#Headers],[Grille Weight]],Table2[#Headers],0),0)</f>
        <v>0</v>
      </c>
      <c r="CA174" s="2">
        <f>VLOOKUP([jobnumber],OvalData[],MATCH(Table2[[#Headers],[barrelrings]],Table2[#Headers],0),0)</f>
        <v>1</v>
      </c>
    </row>
    <row r="175" spans="2:79">
      <c r="B175" s="2" t="str">
        <f>VLOOKUP([jobnumber],OvalData[],MATCH(Table2[[#Headers],[Hand]],Table2[#Headers],0),0)</f>
        <v>RH</v>
      </c>
      <c r="C175" s="2" t="str">
        <f>VLOOKUP([jobnumber],OvalData[],MATCH(Table2[[#Headers],[Model]],Table2[#Headers],0),0)</f>
        <v>SFMPP</v>
      </c>
      <c r="D175" s="2" t="str">
        <f>VLOOKUP([jobnumber],OvalData[],MATCH(Table2[[#Headers],[width]],Table2[#Headers],0),0)</f>
        <v xml:space="preserve"> 18 ft.- 2"</v>
      </c>
      <c r="E175" s="2" t="str">
        <f>VLOOKUP([jobnumber],OvalData[],MATCH(Table2[[#Headers],[stopheight]],Table2[#Headers],0),0)</f>
        <v xml:space="preserve"> 10 ft.- 0"</v>
      </c>
      <c r="F175" s="2" t="str">
        <f>VLOOKUP([jobnumber],OvalData[],MATCH(Table2[[#Headers],[Between Brackets]],Table2[#Headers],0),0)</f>
        <v xml:space="preserve"> 18 ft.- 7 7/ 8"</v>
      </c>
      <c r="G175" s="2" t="str">
        <f>VLOOKUP([jobnumber],OvalData[],MATCH(Table2[[#Headers],[shell]],Table2[#Headers],0),0)</f>
        <v>6 INCH TUBE</v>
      </c>
      <c r="H175" s="2" t="str">
        <f>VLOOKUP([jobnumber],OvalData[],MATCH(Table2[[#Headers],[pipewidth]],Table2[#Headers],0),0)</f>
        <v xml:space="preserve"> 18 ft.- 1 3/ 8"</v>
      </c>
      <c r="I175" s="2">
        <f>VLOOKUP([jobnumber],OvalData[],MATCH(Table2[[#Headers],[Support Tubes]],Table2[#Headers],0),0)</f>
        <v>0</v>
      </c>
      <c r="J175" s="2">
        <f>VLOOKUP([jobnumber],OvalData[],MATCH(Table2[[#Headers],[Upset]],Table2[#Headers],0),0)</f>
        <v>2</v>
      </c>
      <c r="K175" s="2" t="str">
        <f>VLOOKUP([jobnumber],OvalData[],MATCH(Table2[[#Headers],[Guide Type]],Table2[#Headers],0),0)</f>
        <v>SN2-4 5/8-E</v>
      </c>
      <c r="L175" s="2" t="str">
        <f>VLOOKUP([jobnumber],OvalData[],MATCH(Table2[[#Headers],[Wall Angle]],Table2[#Headers],0),0)</f>
        <v xml:space="preserve"> 11 ft.- 8"</v>
      </c>
      <c r="M175" s="2" t="str">
        <f>VLOOKUP([jobnumber],OvalData[],MATCH(Table2[[#Headers],[Middle Angle]],Table2[#Headers],0),0)</f>
        <v xml:space="preserve"> 10 ft.- 4 1/ 2"</v>
      </c>
      <c r="N175" s="2" t="str">
        <f>VLOOKUP([jobnumber],OvalData[],MATCH(Table2[[#Headers],[Front Angle]],Table2[#Headers],0),0)</f>
        <v xml:space="preserve"> 10 ft.- 3"</v>
      </c>
      <c r="O175" s="2">
        <f>VLOOKUP([jobnumber],OvalData[],MATCH(Table2[[#Headers],[Pipe Center Line]],Table2[#Headers],0),0)</f>
        <v>131</v>
      </c>
      <c r="P175" s="2">
        <f>VLOOKUP([jobnumber],OvalData[],MATCH(Table2[[#Headers],[Heat Expansion Gap]],Table2[#Headers],0),0)</f>
        <v>0</v>
      </c>
      <c r="Q175" s="2">
        <f>VLOOKUP([jobnumber],OvalData[],MATCH(Table2[[#Headers],[Hanging Weight Closed]],Table2[#Headers],0),0)</f>
        <v>795</v>
      </c>
      <c r="R175" s="2">
        <f>VLOOKUP([jobnumber],OvalData[],MATCH(Table2[[#Headers],[Hanging Weight Open]],Table2[#Headers],0),0)</f>
        <v>140</v>
      </c>
      <c r="S175" s="2">
        <f>VLOOKUP([jobnumber],OvalData[],MATCH(Table2[[#Headers],[Initial Lever Arm]],Table2[#Headers],0),0)</f>
        <v>4.25</v>
      </c>
      <c r="T175" s="2">
        <f>VLOOKUP([jobnumber],OvalData[],MATCH(Table2[[#Headers],[Turns to Raise]],Table2[#Headers],0),0)</f>
        <v>3.5859999999999999</v>
      </c>
      <c r="U175" s="2">
        <f>VLOOKUP([jobnumber],OvalData[],MATCH(Table2[[#Headers],[Final Lever Arm]],Table2[#Headers],0),0)</f>
        <v>6.37</v>
      </c>
      <c r="V175" s="2">
        <f>VLOOKUP([jobnumber],OvalData[],MATCH(Table2[[#Headers],[Torque Required Closed]],Table2[#Headers],0),0)</f>
        <v>3377.9</v>
      </c>
      <c r="W175" s="2">
        <f>VLOOKUP([jobnumber],OvalData[],MATCH(Table2[[#Headers],[Torque Required Open]],Table2[#Headers],0),0)</f>
        <v>892</v>
      </c>
      <c r="X175" s="2">
        <f>VLOOKUP([jobnumber],OvalData[],MATCH(Table2[[#Headers],[Pre Turns]],Table2[#Headers],0),0)</f>
        <v>1.3332999999999999</v>
      </c>
      <c r="Y175" s="2">
        <f>VLOOKUP([jobnumber],OvalData[],MATCH(Table2[[#Headers],[Required Torque Per Turn]],Table2[#Headers],0),0)</f>
        <v>688</v>
      </c>
      <c r="Z175" s="2">
        <f>VLOOKUP([jobnumber],OvalData[],MATCH(Table2[[#Headers],[Total Turns]],Table2[#Headers],0),0)</f>
        <v>4.91</v>
      </c>
      <c r="AA175" s="2">
        <f>VLOOKUP([jobnumber],OvalData[],MATCH(Table2[[#Headers],[Grille Vision Section]],Table2[#Headers],0),0)</f>
        <v>0</v>
      </c>
      <c r="AB175" s="2">
        <f>VLOOKUP([jobnumber],OvalData[],MATCH(Table2[[#Headers],[Grille Amount]],Table2[#Headers],0),0)</f>
        <v>0</v>
      </c>
      <c r="AC175" s="2">
        <f>VLOOKUP([jobnumber],OvalData[],MATCH(Table2[[#Headers],[Grille Center]],Table2[#Headers],0),0)</f>
        <v>0</v>
      </c>
      <c r="AD175" s="2">
        <f>VLOOKUP([jobnumber],OvalData[],MATCH(Table2[[#Headers],[Grille Pattern]],Table2[#Headers],0),0)</f>
        <v>0</v>
      </c>
      <c r="AE175" s="2">
        <f>VLOOKUP([jobnumber],OvalData[],MATCH(Table2[[#Headers],[Grille First Tube]],Table2[#Headers],0),0)</f>
        <v>0</v>
      </c>
      <c r="AF175" s="2">
        <f>VLOOKUP([jobnumber],OvalData[],MATCH(Table2[[#Headers],[Grille Standard Tube]],Table2[#Headers],0),0)</f>
        <v>0</v>
      </c>
      <c r="AG175" s="2">
        <f>VLOOKUP([jobnumber],OvalData[],MATCH(Table2[[#Headers],[Grille Total Links]],Table2[#Headers],0),0)</f>
        <v>0</v>
      </c>
      <c r="AH175" s="2">
        <f>VLOOKUP([jobnumber],OvalData[],MATCH(Table2[[#Headers],[Grille Rods]],Table2[#Headers],0),0)</f>
        <v>0</v>
      </c>
      <c r="AI175" s="2">
        <f>VLOOKUP([jobnumber],OvalData[],MATCH(Table2[[#Headers],[Grille Rod Length]],Table2[#Headers],0),0)</f>
        <v>0</v>
      </c>
      <c r="AJ175" s="2">
        <f>VLOOKUP([jobnumber],OvalData[],MATCH(Table2[[#Headers],[slattype]],Table2[#Headers],0),0)</f>
        <v>2</v>
      </c>
      <c r="AK175" s="2">
        <f>VLOOKUP([jobnumber],OvalData[],MATCH(Table2[[#Headers],[slatgage]],Table2[#Headers],0),0)</f>
        <v>18</v>
      </c>
      <c r="AL175" s="2">
        <f>VLOOKUP([jobnumber],OvalData[],MATCH(Table2[[#Headers],[Numer of Top Slats]],Table2[#Headers],0),0)</f>
        <v>0</v>
      </c>
      <c r="AM175" s="2">
        <f>VLOOKUP([jobnumber],OvalData[],MATCH(Table2[[#Headers],[Number of Bottom Slats]],Table2[#Headers],0),0)</f>
        <v>0</v>
      </c>
      <c r="AN175" s="2">
        <f>VLOOKUP([jobnumber],OvalData[],MATCH(Table2[[#Headers],[Solid Bottom Height]],Table2[#Headers],0),0)</f>
        <v>0</v>
      </c>
      <c r="AO175" s="2" t="str">
        <f>VLOOKUP([jobnumber],OvalData[],MATCH(Table2[[#Headers],[slatlength]],Table2[#Headers],0),0)</f>
        <v xml:space="preserve"> 18 ft.- 5 7/ 8"</v>
      </c>
      <c r="AP175" s="2">
        <f>VLOOKUP([jobnumber],OvalData[],MATCH(Table2[[#Headers],[Bottom Slat Length]],Table2[#Headers],0),0)</f>
        <v>0</v>
      </c>
      <c r="AQ175" s="2">
        <f>VLOOKUP([jobnumber],OvalData[],MATCH(Table2[[#Headers],[Number of Perferated Slats]],Table2[#Headers],0),0)</f>
        <v>0</v>
      </c>
      <c r="AR175" s="2">
        <f>VLOOKUP([jobnumber],OvalData[],MATCH(Table2[[#Headers],[First Preferated Slat From End]],Table2[#Headers],0),0)</f>
        <v>0</v>
      </c>
      <c r="AS175" s="2">
        <f>VLOOKUP([jobnumber],OvalData[],MATCH(Table2[[#Headers],[First Preferated Slat From Bottom]],Table2[#Headers],0),0)</f>
        <v>0</v>
      </c>
      <c r="AT175" s="2">
        <f>VLOOKUP([jobnumber],OvalData[],MATCH(Table2[[#Headers],[Total Number of Slats]],Table2[#Headers],0),0)</f>
        <v>51</v>
      </c>
      <c r="AU175" s="2">
        <f>VLOOKUP([jobnumber],OvalData[],MATCH(Table2[[#Headers],[Bottom Bar Slope]],Table2[#Headers],0),0)</f>
        <v>0</v>
      </c>
      <c r="AV175" s="2">
        <f>VLOOKUP([jobnumber],OvalData[],MATCH(Table2[[#Headers],[Bottom Bar Weight]],Table2[#Headers],0),0)</f>
        <v>80.5</v>
      </c>
      <c r="AW175" s="2" t="str">
        <f>VLOOKUP([jobnumber],OvalData[],MATCH(Table2[[#Headers],[Outer Spring Gage]],Table2[#Headers],0),0)</f>
        <v>Null</v>
      </c>
      <c r="AX175" s="2" t="str">
        <f>VLOOKUP([jobnumber],OvalData[],MATCH(Table2[[#Headers],[Outer Spring OD]],Table2[#Headers],0),0)</f>
        <v>Null</v>
      </c>
      <c r="AY175" s="2" t="str">
        <f>VLOOKUP([jobnumber],OvalData[],MATCH(Table2[[#Headers],[Outer Spring Length]],Table2[#Headers],0),0)</f>
        <v>Null</v>
      </c>
      <c r="AZ175" s="2" t="str">
        <f>VLOOKUP([jobnumber],OvalData[],MATCH(Table2[[#Headers],[Outer Spring Stretch]],Table2[#Headers],0),0)</f>
        <v>Null</v>
      </c>
      <c r="BA175" s="2" t="str">
        <f>VLOOKUP([jobnumber],OvalData[],MATCH(Table2[[#Headers],[Outer Spring Torque]],Table2[#Headers],0),0)</f>
        <v>Null</v>
      </c>
      <c r="BB175" s="2" t="str">
        <f>VLOOKUP([jobnumber],OvalData[],MATCH(Table2[[#Headers],[Outer Spring Max Turns]],Table2[#Headers],0),0)</f>
        <v>Null</v>
      </c>
      <c r="BC175" s="2" t="str">
        <f>VLOOKUP([jobnumber],OvalData[],MATCH(Table2[[#Headers],[Outer Spring Weight]],Table2[#Headers],0),0)</f>
        <v>Null</v>
      </c>
      <c r="BD175" s="2" t="str">
        <f>VLOOKUP([jobnumber],OvalData[],MATCH(Table2[[#Headers],[Inner Spring Gage]],Table2[#Headers],0),0)</f>
        <v>Null</v>
      </c>
      <c r="BE175" s="2" t="str">
        <f>VLOOKUP([jobnumber],OvalData[],MATCH(Table2[[#Headers],[Inner Spring OD]],Table2[#Headers],0),0)</f>
        <v>Null</v>
      </c>
      <c r="BF175" s="2" t="str">
        <f>VLOOKUP([jobnumber],OvalData[],MATCH(Table2[[#Headers],[Inner Spring Length]],Table2[#Headers],0),0)</f>
        <v>Null</v>
      </c>
      <c r="BG175" s="2" t="str">
        <f>VLOOKUP([jobnumber],OvalData[],MATCH(Table2[[#Headers],[Inner Spring Stretch]],Table2[#Headers],0),0)</f>
        <v>Null</v>
      </c>
      <c r="BH175" s="2" t="str">
        <f>VLOOKUP([jobnumber],OvalData[],MATCH(Table2[[#Headers],[Inner Spring Torque]],Table2[#Headers],0),0)</f>
        <v>Null</v>
      </c>
      <c r="BI175" s="2" t="str">
        <f>VLOOKUP([jobnumber],OvalData[],MATCH(Table2[[#Headers],[Inner Spring Max Turns]],Table2[#Headers],0),0)</f>
        <v>Null</v>
      </c>
      <c r="BJ175" s="2" t="str">
        <f>VLOOKUP([jobnumber],OvalData[],MATCH(Table2[[#Headers],[Inner Spring Weight]],Table2[#Headers],0),0)</f>
        <v>Null</v>
      </c>
      <c r="BK175" s="2">
        <f>VLOOKUP([jobnumber],OvalData[],MATCH(Table2[[#Headers],[Cycles]],Table2[#Headers],0),0)</f>
        <v>0</v>
      </c>
      <c r="BL175" s="2">
        <f>VLOOKUP([jobnumber],OvalData[],MATCH(Table2[[#Headers],[Total Spring Torque]],Table2[#Headers],0),0)</f>
        <v>0</v>
      </c>
      <c r="BM175" s="2">
        <f>VLOOKUP([jobnumber],OvalData[],MATCH(Table2[[#Headers],[Total Spring Weight]],Table2[#Headers],0),0)</f>
        <v>0</v>
      </c>
      <c r="BN175" s="2">
        <f>VLOOKUP([jobnumber],OvalData[],MATCH(Table2[[#Headers],[Pipe Weight]],Table2[#Headers],0),0)</f>
        <v>688.24239999999998</v>
      </c>
      <c r="BO175" s="2">
        <f>VLOOKUP([jobnumber],OvalData[],MATCH(Table2[[#Headers],[Max Pipe Deflection]],Table2[#Headers],0),0)</f>
        <v>2309</v>
      </c>
      <c r="BP175" s="2">
        <f>VLOOKUP([jobnumber],OvalData[],MATCH(Table2[[#Headers],[Number Non-Insulated Wrap Slats]],Table2[#Headers],0),0)</f>
        <v>0</v>
      </c>
      <c r="BQ175" s="2">
        <f>VLOOKUP([jobnumber],OvalData[],MATCH(Table2[[#Headers],[Number of Insolated Top Slats]],Table2[#Headers],0),0)</f>
        <v>45</v>
      </c>
      <c r="BR175" s="2">
        <f>VLOOKUP([jobnumber],OvalData[],MATCH(Table2[[#Headers],[Insolated Total Slats]],Table2[#Headers],0),0)</f>
        <v>45</v>
      </c>
      <c r="BS175" s="2">
        <f>VLOOKUP([jobnumber],OvalData[],MATCH(Table2[[#Headers],[Number of Slats]],Table2[#Headers],0),0)</f>
        <v>44.69</v>
      </c>
      <c r="BT175" s="2">
        <f>VLOOKUP([jobnumber],OvalData[],MATCH(Table2[[#Headers],[Wrap]],Table2[#Headers],0),0)</f>
        <v>0</v>
      </c>
      <c r="BU175" s="2">
        <f>VLOOKUP([jobnumber],OvalData[],MATCH(Table2[[#Headers],[Wall Angle Thickness]],Table2[#Headers],0),0)</f>
        <v>0</v>
      </c>
      <c r="BV175" s="2">
        <f>VLOOKUP([jobnumber],OvalData[],MATCH(Table2[[#Headers],[windlocks]],Table2[#Headers],0),0)</f>
        <v>0</v>
      </c>
      <c r="BW175" s="2" t="str">
        <f>VLOOKUP([jobnumber],OvalData[],MATCH(Table2[[#Headers],[bottombartype]],Table2[#Headers],0),0)</f>
        <v>SPECIAL</v>
      </c>
      <c r="BX175" s="2">
        <f>VLOOKUP([jobnumber],OvalData[],MATCH(Table2[[#Headers],[endlockweight]],Table2[#Headers],0),0)</f>
        <v>0.17</v>
      </c>
      <c r="BY175" s="2">
        <f>VLOOKUP([jobnumber],OvalData[],MATCH(Table2[[#Headers],[Endlock Total Weight]],Table2[#Headers],0),0)</f>
        <v>7.5972999999999997</v>
      </c>
      <c r="BZ175" s="2">
        <f>VLOOKUP([jobnumber],OvalData[],MATCH(Table2[[#Headers],[Grille Weight]],Table2[#Headers],0),0)</f>
        <v>0</v>
      </c>
      <c r="CA175" s="2">
        <f>VLOOKUP([jobnumber],OvalData[],MATCH(Table2[[#Headers],[barrelrings]],Table2[#Headers],0),0)</f>
        <v>1</v>
      </c>
    </row>
    <row r="176" spans="2:79">
      <c r="B176" s="2" t="str">
        <f>VLOOKUP([jobnumber],OvalData[],MATCH(Table2[[#Headers],[Hand]],Table2[#Headers],0),0)</f>
        <v>RH</v>
      </c>
      <c r="C176" s="2" t="str">
        <f>VLOOKUP([jobnumber],OvalData[],MATCH(Table2[[#Headers],[Model]],Table2[#Headers],0),0)</f>
        <v>SFMPP</v>
      </c>
      <c r="D176" s="2" t="str">
        <f>VLOOKUP([jobnumber],OvalData[],MATCH(Table2[[#Headers],[width]],Table2[#Headers],0),0)</f>
        <v xml:space="preserve"> 18 ft.- 2"</v>
      </c>
      <c r="E176" s="2" t="str">
        <f>VLOOKUP([jobnumber],OvalData[],MATCH(Table2[[#Headers],[stopheight]],Table2[#Headers],0),0)</f>
        <v xml:space="preserve"> 10 ft.- 0"</v>
      </c>
      <c r="F176" s="2" t="str">
        <f>VLOOKUP([jobnumber],OvalData[],MATCH(Table2[[#Headers],[Between Brackets]],Table2[#Headers],0),0)</f>
        <v xml:space="preserve"> 18 ft.- 7 7/ 8"</v>
      </c>
      <c r="G176" s="2" t="str">
        <f>VLOOKUP([jobnumber],OvalData[],MATCH(Table2[[#Headers],[shell]],Table2[#Headers],0),0)</f>
        <v>6 INCH TUBE</v>
      </c>
      <c r="H176" s="2" t="str">
        <f>VLOOKUP([jobnumber],OvalData[],MATCH(Table2[[#Headers],[pipewidth]],Table2[#Headers],0),0)</f>
        <v xml:space="preserve"> 18 ft.- 1 3/ 8"</v>
      </c>
      <c r="I176" s="2">
        <f>VLOOKUP([jobnumber],OvalData[],MATCH(Table2[[#Headers],[Support Tubes]],Table2[#Headers],0),0)</f>
        <v>0</v>
      </c>
      <c r="J176" s="2">
        <f>VLOOKUP([jobnumber],OvalData[],MATCH(Table2[[#Headers],[Upset]],Table2[#Headers],0),0)</f>
        <v>2</v>
      </c>
      <c r="K176" s="2" t="str">
        <f>VLOOKUP([jobnumber],OvalData[],MATCH(Table2[[#Headers],[Guide Type]],Table2[#Headers],0),0)</f>
        <v>SN2-4 5/8-E</v>
      </c>
      <c r="L176" s="2" t="str">
        <f>VLOOKUP([jobnumber],OvalData[],MATCH(Table2[[#Headers],[Wall Angle]],Table2[#Headers],0),0)</f>
        <v xml:space="preserve"> 11 ft.- 8"</v>
      </c>
      <c r="M176" s="2" t="str">
        <f>VLOOKUP([jobnumber],OvalData[],MATCH(Table2[[#Headers],[Middle Angle]],Table2[#Headers],0),0)</f>
        <v xml:space="preserve"> 10 ft.- 4 1/ 2"</v>
      </c>
      <c r="N176" s="2" t="str">
        <f>VLOOKUP([jobnumber],OvalData[],MATCH(Table2[[#Headers],[Front Angle]],Table2[#Headers],0),0)</f>
        <v xml:space="preserve"> 10 ft.- 3"</v>
      </c>
      <c r="O176" s="2">
        <f>VLOOKUP([jobnumber],OvalData[],MATCH(Table2[[#Headers],[Pipe Center Line]],Table2[#Headers],0),0)</f>
        <v>131</v>
      </c>
      <c r="P176" s="2">
        <f>VLOOKUP([jobnumber],OvalData[],MATCH(Table2[[#Headers],[Heat Expansion Gap]],Table2[#Headers],0),0)</f>
        <v>0</v>
      </c>
      <c r="Q176" s="2">
        <f>VLOOKUP([jobnumber],OvalData[],MATCH(Table2[[#Headers],[Hanging Weight Closed]],Table2[#Headers],0),0)</f>
        <v>795</v>
      </c>
      <c r="R176" s="2">
        <f>VLOOKUP([jobnumber],OvalData[],MATCH(Table2[[#Headers],[Hanging Weight Open]],Table2[#Headers],0),0)</f>
        <v>140</v>
      </c>
      <c r="S176" s="2">
        <f>VLOOKUP([jobnumber],OvalData[],MATCH(Table2[[#Headers],[Initial Lever Arm]],Table2[#Headers],0),0)</f>
        <v>4.25</v>
      </c>
      <c r="T176" s="2">
        <f>VLOOKUP([jobnumber],OvalData[],MATCH(Table2[[#Headers],[Turns to Raise]],Table2[#Headers],0),0)</f>
        <v>3.5859999999999999</v>
      </c>
      <c r="U176" s="2">
        <f>VLOOKUP([jobnumber],OvalData[],MATCH(Table2[[#Headers],[Final Lever Arm]],Table2[#Headers],0),0)</f>
        <v>6.37</v>
      </c>
      <c r="V176" s="2">
        <f>VLOOKUP([jobnumber],OvalData[],MATCH(Table2[[#Headers],[Torque Required Closed]],Table2[#Headers],0),0)</f>
        <v>3377.9</v>
      </c>
      <c r="W176" s="2">
        <f>VLOOKUP([jobnumber],OvalData[],MATCH(Table2[[#Headers],[Torque Required Open]],Table2[#Headers],0),0)</f>
        <v>892</v>
      </c>
      <c r="X176" s="2">
        <f>VLOOKUP([jobnumber],OvalData[],MATCH(Table2[[#Headers],[Pre Turns]],Table2[#Headers],0),0)</f>
        <v>1.3332999999999999</v>
      </c>
      <c r="Y176" s="2">
        <f>VLOOKUP([jobnumber],OvalData[],MATCH(Table2[[#Headers],[Required Torque Per Turn]],Table2[#Headers],0),0)</f>
        <v>688</v>
      </c>
      <c r="Z176" s="2">
        <f>VLOOKUP([jobnumber],OvalData[],MATCH(Table2[[#Headers],[Total Turns]],Table2[#Headers],0),0)</f>
        <v>4.91</v>
      </c>
      <c r="AA176" s="2">
        <f>VLOOKUP([jobnumber],OvalData[],MATCH(Table2[[#Headers],[Grille Vision Section]],Table2[#Headers],0),0)</f>
        <v>0</v>
      </c>
      <c r="AB176" s="2">
        <f>VLOOKUP([jobnumber],OvalData[],MATCH(Table2[[#Headers],[Grille Amount]],Table2[#Headers],0),0)</f>
        <v>0</v>
      </c>
      <c r="AC176" s="2">
        <f>VLOOKUP([jobnumber],OvalData[],MATCH(Table2[[#Headers],[Grille Center]],Table2[#Headers],0),0)</f>
        <v>0</v>
      </c>
      <c r="AD176" s="2">
        <f>VLOOKUP([jobnumber],OvalData[],MATCH(Table2[[#Headers],[Grille Pattern]],Table2[#Headers],0),0)</f>
        <v>0</v>
      </c>
      <c r="AE176" s="2">
        <f>VLOOKUP([jobnumber],OvalData[],MATCH(Table2[[#Headers],[Grille First Tube]],Table2[#Headers],0),0)</f>
        <v>0</v>
      </c>
      <c r="AF176" s="2">
        <f>VLOOKUP([jobnumber],OvalData[],MATCH(Table2[[#Headers],[Grille Standard Tube]],Table2[#Headers],0),0)</f>
        <v>0</v>
      </c>
      <c r="AG176" s="2">
        <f>VLOOKUP([jobnumber],OvalData[],MATCH(Table2[[#Headers],[Grille Total Links]],Table2[#Headers],0),0)</f>
        <v>0</v>
      </c>
      <c r="AH176" s="2">
        <f>VLOOKUP([jobnumber],OvalData[],MATCH(Table2[[#Headers],[Grille Rods]],Table2[#Headers],0),0)</f>
        <v>0</v>
      </c>
      <c r="AI176" s="2">
        <f>VLOOKUP([jobnumber],OvalData[],MATCH(Table2[[#Headers],[Grille Rod Length]],Table2[#Headers],0),0)</f>
        <v>0</v>
      </c>
      <c r="AJ176" s="2">
        <f>VLOOKUP([jobnumber],OvalData[],MATCH(Table2[[#Headers],[slattype]],Table2[#Headers],0),0)</f>
        <v>2</v>
      </c>
      <c r="AK176" s="2">
        <f>VLOOKUP([jobnumber],OvalData[],MATCH(Table2[[#Headers],[slatgage]],Table2[#Headers],0),0)</f>
        <v>18</v>
      </c>
      <c r="AL176" s="2">
        <f>VLOOKUP([jobnumber],OvalData[],MATCH(Table2[[#Headers],[Numer of Top Slats]],Table2[#Headers],0),0)</f>
        <v>0</v>
      </c>
      <c r="AM176" s="2">
        <f>VLOOKUP([jobnumber],OvalData[],MATCH(Table2[[#Headers],[Number of Bottom Slats]],Table2[#Headers],0),0)</f>
        <v>0</v>
      </c>
      <c r="AN176" s="2">
        <f>VLOOKUP([jobnumber],OvalData[],MATCH(Table2[[#Headers],[Solid Bottom Height]],Table2[#Headers],0),0)</f>
        <v>0</v>
      </c>
      <c r="AO176" s="2" t="str">
        <f>VLOOKUP([jobnumber],OvalData[],MATCH(Table2[[#Headers],[slatlength]],Table2[#Headers],0),0)</f>
        <v xml:space="preserve"> 18 ft.- 5 7/ 8"</v>
      </c>
      <c r="AP176" s="2">
        <f>VLOOKUP([jobnumber],OvalData[],MATCH(Table2[[#Headers],[Bottom Slat Length]],Table2[#Headers],0),0)</f>
        <v>0</v>
      </c>
      <c r="AQ176" s="2">
        <f>VLOOKUP([jobnumber],OvalData[],MATCH(Table2[[#Headers],[Number of Perferated Slats]],Table2[#Headers],0),0)</f>
        <v>0</v>
      </c>
      <c r="AR176" s="2">
        <f>VLOOKUP([jobnumber],OvalData[],MATCH(Table2[[#Headers],[First Preferated Slat From End]],Table2[#Headers],0),0)</f>
        <v>0</v>
      </c>
      <c r="AS176" s="2">
        <f>VLOOKUP([jobnumber],OvalData[],MATCH(Table2[[#Headers],[First Preferated Slat From Bottom]],Table2[#Headers],0),0)</f>
        <v>0</v>
      </c>
      <c r="AT176" s="2">
        <f>VLOOKUP([jobnumber],OvalData[],MATCH(Table2[[#Headers],[Total Number of Slats]],Table2[#Headers],0),0)</f>
        <v>51</v>
      </c>
      <c r="AU176" s="2">
        <f>VLOOKUP([jobnumber],OvalData[],MATCH(Table2[[#Headers],[Bottom Bar Slope]],Table2[#Headers],0),0)</f>
        <v>0</v>
      </c>
      <c r="AV176" s="2">
        <f>VLOOKUP([jobnumber],OvalData[],MATCH(Table2[[#Headers],[Bottom Bar Weight]],Table2[#Headers],0),0)</f>
        <v>80.5</v>
      </c>
      <c r="AW176" s="2" t="str">
        <f>VLOOKUP([jobnumber],OvalData[],MATCH(Table2[[#Headers],[Outer Spring Gage]],Table2[#Headers],0),0)</f>
        <v>Null</v>
      </c>
      <c r="AX176" s="2" t="str">
        <f>VLOOKUP([jobnumber],OvalData[],MATCH(Table2[[#Headers],[Outer Spring OD]],Table2[#Headers],0),0)</f>
        <v>Null</v>
      </c>
      <c r="AY176" s="2" t="str">
        <f>VLOOKUP([jobnumber],OvalData[],MATCH(Table2[[#Headers],[Outer Spring Length]],Table2[#Headers],0),0)</f>
        <v>Null</v>
      </c>
      <c r="AZ176" s="2" t="str">
        <f>VLOOKUP([jobnumber],OvalData[],MATCH(Table2[[#Headers],[Outer Spring Stretch]],Table2[#Headers],0),0)</f>
        <v>Null</v>
      </c>
      <c r="BA176" s="2" t="str">
        <f>VLOOKUP([jobnumber],OvalData[],MATCH(Table2[[#Headers],[Outer Spring Torque]],Table2[#Headers],0),0)</f>
        <v>Null</v>
      </c>
      <c r="BB176" s="2" t="str">
        <f>VLOOKUP([jobnumber],OvalData[],MATCH(Table2[[#Headers],[Outer Spring Max Turns]],Table2[#Headers],0),0)</f>
        <v>Null</v>
      </c>
      <c r="BC176" s="2" t="str">
        <f>VLOOKUP([jobnumber],OvalData[],MATCH(Table2[[#Headers],[Outer Spring Weight]],Table2[#Headers],0),0)</f>
        <v>Null</v>
      </c>
      <c r="BD176" s="2" t="str">
        <f>VLOOKUP([jobnumber],OvalData[],MATCH(Table2[[#Headers],[Inner Spring Gage]],Table2[#Headers],0),0)</f>
        <v>Null</v>
      </c>
      <c r="BE176" s="2" t="str">
        <f>VLOOKUP([jobnumber],OvalData[],MATCH(Table2[[#Headers],[Inner Spring OD]],Table2[#Headers],0),0)</f>
        <v>Null</v>
      </c>
      <c r="BF176" s="2" t="str">
        <f>VLOOKUP([jobnumber],OvalData[],MATCH(Table2[[#Headers],[Inner Spring Length]],Table2[#Headers],0),0)</f>
        <v>Null</v>
      </c>
      <c r="BG176" s="2" t="str">
        <f>VLOOKUP([jobnumber],OvalData[],MATCH(Table2[[#Headers],[Inner Spring Stretch]],Table2[#Headers],0),0)</f>
        <v>Null</v>
      </c>
      <c r="BH176" s="2" t="str">
        <f>VLOOKUP([jobnumber],OvalData[],MATCH(Table2[[#Headers],[Inner Spring Torque]],Table2[#Headers],0),0)</f>
        <v>Null</v>
      </c>
      <c r="BI176" s="2" t="str">
        <f>VLOOKUP([jobnumber],OvalData[],MATCH(Table2[[#Headers],[Inner Spring Max Turns]],Table2[#Headers],0),0)</f>
        <v>Null</v>
      </c>
      <c r="BJ176" s="2" t="str">
        <f>VLOOKUP([jobnumber],OvalData[],MATCH(Table2[[#Headers],[Inner Spring Weight]],Table2[#Headers],0),0)</f>
        <v>Null</v>
      </c>
      <c r="BK176" s="2">
        <f>VLOOKUP([jobnumber],OvalData[],MATCH(Table2[[#Headers],[Cycles]],Table2[#Headers],0),0)</f>
        <v>0</v>
      </c>
      <c r="BL176" s="2">
        <f>VLOOKUP([jobnumber],OvalData[],MATCH(Table2[[#Headers],[Total Spring Torque]],Table2[#Headers],0),0)</f>
        <v>0</v>
      </c>
      <c r="BM176" s="2">
        <f>VLOOKUP([jobnumber],OvalData[],MATCH(Table2[[#Headers],[Total Spring Weight]],Table2[#Headers],0),0)</f>
        <v>0</v>
      </c>
      <c r="BN176" s="2">
        <f>VLOOKUP([jobnumber],OvalData[],MATCH(Table2[[#Headers],[Pipe Weight]],Table2[#Headers],0),0)</f>
        <v>688.24239999999998</v>
      </c>
      <c r="BO176" s="2">
        <f>VLOOKUP([jobnumber],OvalData[],MATCH(Table2[[#Headers],[Max Pipe Deflection]],Table2[#Headers],0),0)</f>
        <v>2309</v>
      </c>
      <c r="BP176" s="2">
        <f>VLOOKUP([jobnumber],OvalData[],MATCH(Table2[[#Headers],[Number Non-Insulated Wrap Slats]],Table2[#Headers],0),0)</f>
        <v>0</v>
      </c>
      <c r="BQ176" s="2">
        <f>VLOOKUP([jobnumber],OvalData[],MATCH(Table2[[#Headers],[Number of Insolated Top Slats]],Table2[#Headers],0),0)</f>
        <v>45</v>
      </c>
      <c r="BR176" s="2">
        <f>VLOOKUP([jobnumber],OvalData[],MATCH(Table2[[#Headers],[Insolated Total Slats]],Table2[#Headers],0),0)</f>
        <v>45</v>
      </c>
      <c r="BS176" s="2">
        <f>VLOOKUP([jobnumber],OvalData[],MATCH(Table2[[#Headers],[Number of Slats]],Table2[#Headers],0),0)</f>
        <v>44.69</v>
      </c>
      <c r="BT176" s="2">
        <f>VLOOKUP([jobnumber],OvalData[],MATCH(Table2[[#Headers],[Wrap]],Table2[#Headers],0),0)</f>
        <v>0</v>
      </c>
      <c r="BU176" s="2">
        <f>VLOOKUP([jobnumber],OvalData[],MATCH(Table2[[#Headers],[Wall Angle Thickness]],Table2[#Headers],0),0)</f>
        <v>0</v>
      </c>
      <c r="BV176" s="2">
        <f>VLOOKUP([jobnumber],OvalData[],MATCH(Table2[[#Headers],[windlocks]],Table2[#Headers],0),0)</f>
        <v>0</v>
      </c>
      <c r="BW176" s="2" t="str">
        <f>VLOOKUP([jobnumber],OvalData[],MATCH(Table2[[#Headers],[bottombartype]],Table2[#Headers],0),0)</f>
        <v>SPECIAL</v>
      </c>
      <c r="BX176" s="2">
        <f>VLOOKUP([jobnumber],OvalData[],MATCH(Table2[[#Headers],[endlockweight]],Table2[#Headers],0),0)</f>
        <v>0.17</v>
      </c>
      <c r="BY176" s="2">
        <f>VLOOKUP([jobnumber],OvalData[],MATCH(Table2[[#Headers],[Endlock Total Weight]],Table2[#Headers],0),0)</f>
        <v>7.5972999999999997</v>
      </c>
      <c r="BZ176" s="2">
        <f>VLOOKUP([jobnumber],OvalData[],MATCH(Table2[[#Headers],[Grille Weight]],Table2[#Headers],0),0)</f>
        <v>0</v>
      </c>
      <c r="CA176" s="2">
        <f>VLOOKUP([jobnumber],OvalData[],MATCH(Table2[[#Headers],[barrelrings]],Table2[#Headers],0),0)</f>
        <v>1</v>
      </c>
    </row>
    <row r="177" spans="2:79">
      <c r="B177" s="2" t="str">
        <f>VLOOKUP([jobnumber],OvalData[],MATCH(Table2[[#Headers],[Hand]],Table2[#Headers],0),0)</f>
        <v>RH</v>
      </c>
      <c r="C177" s="2" t="str">
        <f>VLOOKUP([jobnumber],OvalData[],MATCH(Table2[[#Headers],[Model]],Table2[#Headers],0),0)</f>
        <v>SFMPP</v>
      </c>
      <c r="D177" s="2" t="str">
        <f>VLOOKUP([jobnumber],OvalData[],MATCH(Table2[[#Headers],[width]],Table2[#Headers],0),0)</f>
        <v xml:space="preserve"> 18 ft.- 2"</v>
      </c>
      <c r="E177" s="2" t="str">
        <f>VLOOKUP([jobnumber],OvalData[],MATCH(Table2[[#Headers],[stopheight]],Table2[#Headers],0),0)</f>
        <v xml:space="preserve"> 10 ft.- 0"</v>
      </c>
      <c r="F177" s="2" t="str">
        <f>VLOOKUP([jobnumber],OvalData[],MATCH(Table2[[#Headers],[Between Brackets]],Table2[#Headers],0),0)</f>
        <v xml:space="preserve"> 18 ft.- 7 7/ 8"</v>
      </c>
      <c r="G177" s="2" t="str">
        <f>VLOOKUP([jobnumber],OvalData[],MATCH(Table2[[#Headers],[shell]],Table2[#Headers],0),0)</f>
        <v>6 INCH TUBE</v>
      </c>
      <c r="H177" s="2" t="str">
        <f>VLOOKUP([jobnumber],OvalData[],MATCH(Table2[[#Headers],[pipewidth]],Table2[#Headers],0),0)</f>
        <v xml:space="preserve"> 18 ft.- 1 3/ 8"</v>
      </c>
      <c r="I177" s="2">
        <f>VLOOKUP([jobnumber],OvalData[],MATCH(Table2[[#Headers],[Support Tubes]],Table2[#Headers],0),0)</f>
        <v>0</v>
      </c>
      <c r="J177" s="2">
        <f>VLOOKUP([jobnumber],OvalData[],MATCH(Table2[[#Headers],[Upset]],Table2[#Headers],0),0)</f>
        <v>2</v>
      </c>
      <c r="K177" s="2" t="str">
        <f>VLOOKUP([jobnumber],OvalData[],MATCH(Table2[[#Headers],[Guide Type]],Table2[#Headers],0),0)</f>
        <v>SN2-4 5/8-E</v>
      </c>
      <c r="L177" s="2" t="str">
        <f>VLOOKUP([jobnumber],OvalData[],MATCH(Table2[[#Headers],[Wall Angle]],Table2[#Headers],0),0)</f>
        <v xml:space="preserve"> 11 ft.- 8"</v>
      </c>
      <c r="M177" s="2" t="str">
        <f>VLOOKUP([jobnumber],OvalData[],MATCH(Table2[[#Headers],[Middle Angle]],Table2[#Headers],0),0)</f>
        <v xml:space="preserve"> 10 ft.- 4 1/ 2"</v>
      </c>
      <c r="N177" s="2" t="str">
        <f>VLOOKUP([jobnumber],OvalData[],MATCH(Table2[[#Headers],[Front Angle]],Table2[#Headers],0),0)</f>
        <v xml:space="preserve"> 10 ft.- 3"</v>
      </c>
      <c r="O177" s="2">
        <f>VLOOKUP([jobnumber],OvalData[],MATCH(Table2[[#Headers],[Pipe Center Line]],Table2[#Headers],0),0)</f>
        <v>131</v>
      </c>
      <c r="P177" s="2">
        <f>VLOOKUP([jobnumber],OvalData[],MATCH(Table2[[#Headers],[Heat Expansion Gap]],Table2[#Headers],0),0)</f>
        <v>0</v>
      </c>
      <c r="Q177" s="2">
        <f>VLOOKUP([jobnumber],OvalData[],MATCH(Table2[[#Headers],[Hanging Weight Closed]],Table2[#Headers],0),0)</f>
        <v>795</v>
      </c>
      <c r="R177" s="2">
        <f>VLOOKUP([jobnumber],OvalData[],MATCH(Table2[[#Headers],[Hanging Weight Open]],Table2[#Headers],0),0)</f>
        <v>140</v>
      </c>
      <c r="S177" s="2">
        <f>VLOOKUP([jobnumber],OvalData[],MATCH(Table2[[#Headers],[Initial Lever Arm]],Table2[#Headers],0),0)</f>
        <v>4.25</v>
      </c>
      <c r="T177" s="2">
        <f>VLOOKUP([jobnumber],OvalData[],MATCH(Table2[[#Headers],[Turns to Raise]],Table2[#Headers],0),0)</f>
        <v>3.5859999999999999</v>
      </c>
      <c r="U177" s="2">
        <f>VLOOKUP([jobnumber],OvalData[],MATCH(Table2[[#Headers],[Final Lever Arm]],Table2[#Headers],0),0)</f>
        <v>6.37</v>
      </c>
      <c r="V177" s="2">
        <f>VLOOKUP([jobnumber],OvalData[],MATCH(Table2[[#Headers],[Torque Required Closed]],Table2[#Headers],0),0)</f>
        <v>3377.9</v>
      </c>
      <c r="W177" s="2">
        <f>VLOOKUP([jobnumber],OvalData[],MATCH(Table2[[#Headers],[Torque Required Open]],Table2[#Headers],0),0)</f>
        <v>892</v>
      </c>
      <c r="X177" s="2">
        <f>VLOOKUP([jobnumber],OvalData[],MATCH(Table2[[#Headers],[Pre Turns]],Table2[#Headers],0),0)</f>
        <v>1.3332999999999999</v>
      </c>
      <c r="Y177" s="2">
        <f>VLOOKUP([jobnumber],OvalData[],MATCH(Table2[[#Headers],[Required Torque Per Turn]],Table2[#Headers],0),0)</f>
        <v>688</v>
      </c>
      <c r="Z177" s="2">
        <f>VLOOKUP([jobnumber],OvalData[],MATCH(Table2[[#Headers],[Total Turns]],Table2[#Headers],0),0)</f>
        <v>4.91</v>
      </c>
      <c r="AA177" s="2">
        <f>VLOOKUP([jobnumber],OvalData[],MATCH(Table2[[#Headers],[Grille Vision Section]],Table2[#Headers],0),0)</f>
        <v>0</v>
      </c>
      <c r="AB177" s="2">
        <f>VLOOKUP([jobnumber],OvalData[],MATCH(Table2[[#Headers],[Grille Amount]],Table2[#Headers],0),0)</f>
        <v>0</v>
      </c>
      <c r="AC177" s="2">
        <f>VLOOKUP([jobnumber],OvalData[],MATCH(Table2[[#Headers],[Grille Center]],Table2[#Headers],0),0)</f>
        <v>0</v>
      </c>
      <c r="AD177" s="2">
        <f>VLOOKUP([jobnumber],OvalData[],MATCH(Table2[[#Headers],[Grille Pattern]],Table2[#Headers],0),0)</f>
        <v>0</v>
      </c>
      <c r="AE177" s="2">
        <f>VLOOKUP([jobnumber],OvalData[],MATCH(Table2[[#Headers],[Grille First Tube]],Table2[#Headers],0),0)</f>
        <v>0</v>
      </c>
      <c r="AF177" s="2">
        <f>VLOOKUP([jobnumber],OvalData[],MATCH(Table2[[#Headers],[Grille Standard Tube]],Table2[#Headers],0),0)</f>
        <v>0</v>
      </c>
      <c r="AG177" s="2">
        <f>VLOOKUP([jobnumber],OvalData[],MATCH(Table2[[#Headers],[Grille Total Links]],Table2[#Headers],0),0)</f>
        <v>0</v>
      </c>
      <c r="AH177" s="2">
        <f>VLOOKUP([jobnumber],OvalData[],MATCH(Table2[[#Headers],[Grille Rods]],Table2[#Headers],0),0)</f>
        <v>0</v>
      </c>
      <c r="AI177" s="2">
        <f>VLOOKUP([jobnumber],OvalData[],MATCH(Table2[[#Headers],[Grille Rod Length]],Table2[#Headers],0),0)</f>
        <v>0</v>
      </c>
      <c r="AJ177" s="2">
        <f>VLOOKUP([jobnumber],OvalData[],MATCH(Table2[[#Headers],[slattype]],Table2[#Headers],0),0)</f>
        <v>2</v>
      </c>
      <c r="AK177" s="2">
        <f>VLOOKUP([jobnumber],OvalData[],MATCH(Table2[[#Headers],[slatgage]],Table2[#Headers],0),0)</f>
        <v>18</v>
      </c>
      <c r="AL177" s="2">
        <f>VLOOKUP([jobnumber],OvalData[],MATCH(Table2[[#Headers],[Numer of Top Slats]],Table2[#Headers],0),0)</f>
        <v>0</v>
      </c>
      <c r="AM177" s="2">
        <f>VLOOKUP([jobnumber],OvalData[],MATCH(Table2[[#Headers],[Number of Bottom Slats]],Table2[#Headers],0),0)</f>
        <v>0</v>
      </c>
      <c r="AN177" s="2">
        <f>VLOOKUP([jobnumber],OvalData[],MATCH(Table2[[#Headers],[Solid Bottom Height]],Table2[#Headers],0),0)</f>
        <v>0</v>
      </c>
      <c r="AO177" s="2" t="str">
        <f>VLOOKUP([jobnumber],OvalData[],MATCH(Table2[[#Headers],[slatlength]],Table2[#Headers],0),0)</f>
        <v xml:space="preserve"> 18 ft.- 5 7/ 8"</v>
      </c>
      <c r="AP177" s="2">
        <f>VLOOKUP([jobnumber],OvalData[],MATCH(Table2[[#Headers],[Bottom Slat Length]],Table2[#Headers],0),0)</f>
        <v>0</v>
      </c>
      <c r="AQ177" s="2">
        <f>VLOOKUP([jobnumber],OvalData[],MATCH(Table2[[#Headers],[Number of Perferated Slats]],Table2[#Headers],0),0)</f>
        <v>0</v>
      </c>
      <c r="AR177" s="2">
        <f>VLOOKUP([jobnumber],OvalData[],MATCH(Table2[[#Headers],[First Preferated Slat From End]],Table2[#Headers],0),0)</f>
        <v>0</v>
      </c>
      <c r="AS177" s="2">
        <f>VLOOKUP([jobnumber],OvalData[],MATCH(Table2[[#Headers],[First Preferated Slat From Bottom]],Table2[#Headers],0),0)</f>
        <v>0</v>
      </c>
      <c r="AT177" s="2">
        <f>VLOOKUP([jobnumber],OvalData[],MATCH(Table2[[#Headers],[Total Number of Slats]],Table2[#Headers],0),0)</f>
        <v>51</v>
      </c>
      <c r="AU177" s="2">
        <f>VLOOKUP([jobnumber],OvalData[],MATCH(Table2[[#Headers],[Bottom Bar Slope]],Table2[#Headers],0),0)</f>
        <v>0</v>
      </c>
      <c r="AV177" s="2">
        <f>VLOOKUP([jobnumber],OvalData[],MATCH(Table2[[#Headers],[Bottom Bar Weight]],Table2[#Headers],0),0)</f>
        <v>80.5</v>
      </c>
      <c r="AW177" s="2" t="str">
        <f>VLOOKUP([jobnumber],OvalData[],MATCH(Table2[[#Headers],[Outer Spring Gage]],Table2[#Headers],0),0)</f>
        <v>Null</v>
      </c>
      <c r="AX177" s="2" t="str">
        <f>VLOOKUP([jobnumber],OvalData[],MATCH(Table2[[#Headers],[Outer Spring OD]],Table2[#Headers],0),0)</f>
        <v>Null</v>
      </c>
      <c r="AY177" s="2" t="str">
        <f>VLOOKUP([jobnumber],OvalData[],MATCH(Table2[[#Headers],[Outer Spring Length]],Table2[#Headers],0),0)</f>
        <v>Null</v>
      </c>
      <c r="AZ177" s="2" t="str">
        <f>VLOOKUP([jobnumber],OvalData[],MATCH(Table2[[#Headers],[Outer Spring Stretch]],Table2[#Headers],0),0)</f>
        <v>Null</v>
      </c>
      <c r="BA177" s="2" t="str">
        <f>VLOOKUP([jobnumber],OvalData[],MATCH(Table2[[#Headers],[Outer Spring Torque]],Table2[#Headers],0),0)</f>
        <v>Null</v>
      </c>
      <c r="BB177" s="2" t="str">
        <f>VLOOKUP([jobnumber],OvalData[],MATCH(Table2[[#Headers],[Outer Spring Max Turns]],Table2[#Headers],0),0)</f>
        <v>Null</v>
      </c>
      <c r="BC177" s="2" t="str">
        <f>VLOOKUP([jobnumber],OvalData[],MATCH(Table2[[#Headers],[Outer Spring Weight]],Table2[#Headers],0),0)</f>
        <v>Null</v>
      </c>
      <c r="BD177" s="2" t="str">
        <f>VLOOKUP([jobnumber],OvalData[],MATCH(Table2[[#Headers],[Inner Spring Gage]],Table2[#Headers],0),0)</f>
        <v>Null</v>
      </c>
      <c r="BE177" s="2" t="str">
        <f>VLOOKUP([jobnumber],OvalData[],MATCH(Table2[[#Headers],[Inner Spring OD]],Table2[#Headers],0),0)</f>
        <v>Null</v>
      </c>
      <c r="BF177" s="2" t="str">
        <f>VLOOKUP([jobnumber],OvalData[],MATCH(Table2[[#Headers],[Inner Spring Length]],Table2[#Headers],0),0)</f>
        <v>Null</v>
      </c>
      <c r="BG177" s="2" t="str">
        <f>VLOOKUP([jobnumber],OvalData[],MATCH(Table2[[#Headers],[Inner Spring Stretch]],Table2[#Headers],0),0)</f>
        <v>Null</v>
      </c>
      <c r="BH177" s="2" t="str">
        <f>VLOOKUP([jobnumber],OvalData[],MATCH(Table2[[#Headers],[Inner Spring Torque]],Table2[#Headers],0),0)</f>
        <v>Null</v>
      </c>
      <c r="BI177" s="2" t="str">
        <f>VLOOKUP([jobnumber],OvalData[],MATCH(Table2[[#Headers],[Inner Spring Max Turns]],Table2[#Headers],0),0)</f>
        <v>Null</v>
      </c>
      <c r="BJ177" s="2" t="str">
        <f>VLOOKUP([jobnumber],OvalData[],MATCH(Table2[[#Headers],[Inner Spring Weight]],Table2[#Headers],0),0)</f>
        <v>Null</v>
      </c>
      <c r="BK177" s="2">
        <f>VLOOKUP([jobnumber],OvalData[],MATCH(Table2[[#Headers],[Cycles]],Table2[#Headers],0),0)</f>
        <v>0</v>
      </c>
      <c r="BL177" s="2">
        <f>VLOOKUP([jobnumber],OvalData[],MATCH(Table2[[#Headers],[Total Spring Torque]],Table2[#Headers],0),0)</f>
        <v>0</v>
      </c>
      <c r="BM177" s="2">
        <f>VLOOKUP([jobnumber],OvalData[],MATCH(Table2[[#Headers],[Total Spring Weight]],Table2[#Headers],0),0)</f>
        <v>0</v>
      </c>
      <c r="BN177" s="2">
        <f>VLOOKUP([jobnumber],OvalData[],MATCH(Table2[[#Headers],[Pipe Weight]],Table2[#Headers],0),0)</f>
        <v>688.24239999999998</v>
      </c>
      <c r="BO177" s="2">
        <f>VLOOKUP([jobnumber],OvalData[],MATCH(Table2[[#Headers],[Max Pipe Deflection]],Table2[#Headers],0),0)</f>
        <v>2309</v>
      </c>
      <c r="BP177" s="2">
        <f>VLOOKUP([jobnumber],OvalData[],MATCH(Table2[[#Headers],[Number Non-Insulated Wrap Slats]],Table2[#Headers],0),0)</f>
        <v>0</v>
      </c>
      <c r="BQ177" s="2">
        <f>VLOOKUP([jobnumber],OvalData[],MATCH(Table2[[#Headers],[Number of Insolated Top Slats]],Table2[#Headers],0),0)</f>
        <v>45</v>
      </c>
      <c r="BR177" s="2">
        <f>VLOOKUP([jobnumber],OvalData[],MATCH(Table2[[#Headers],[Insolated Total Slats]],Table2[#Headers],0),0)</f>
        <v>45</v>
      </c>
      <c r="BS177" s="2">
        <f>VLOOKUP([jobnumber],OvalData[],MATCH(Table2[[#Headers],[Number of Slats]],Table2[#Headers],0),0)</f>
        <v>44.69</v>
      </c>
      <c r="BT177" s="2">
        <f>VLOOKUP([jobnumber],OvalData[],MATCH(Table2[[#Headers],[Wrap]],Table2[#Headers],0),0)</f>
        <v>0</v>
      </c>
      <c r="BU177" s="2">
        <f>VLOOKUP([jobnumber],OvalData[],MATCH(Table2[[#Headers],[Wall Angle Thickness]],Table2[#Headers],0),0)</f>
        <v>0</v>
      </c>
      <c r="BV177" s="2">
        <f>VLOOKUP([jobnumber],OvalData[],MATCH(Table2[[#Headers],[windlocks]],Table2[#Headers],0),0)</f>
        <v>0</v>
      </c>
      <c r="BW177" s="2" t="str">
        <f>VLOOKUP([jobnumber],OvalData[],MATCH(Table2[[#Headers],[bottombartype]],Table2[#Headers],0),0)</f>
        <v>SPECIAL</v>
      </c>
      <c r="BX177" s="2">
        <f>VLOOKUP([jobnumber],OvalData[],MATCH(Table2[[#Headers],[endlockweight]],Table2[#Headers],0),0)</f>
        <v>0.17</v>
      </c>
      <c r="BY177" s="2">
        <f>VLOOKUP([jobnumber],OvalData[],MATCH(Table2[[#Headers],[Endlock Total Weight]],Table2[#Headers],0),0)</f>
        <v>7.5972999999999997</v>
      </c>
      <c r="BZ177" s="2">
        <f>VLOOKUP([jobnumber],OvalData[],MATCH(Table2[[#Headers],[Grille Weight]],Table2[#Headers],0),0)</f>
        <v>0</v>
      </c>
      <c r="CA177" s="2">
        <f>VLOOKUP([jobnumber],OvalData[],MATCH(Table2[[#Headers],[barrelrings]],Table2[#Headers],0),0)</f>
        <v>1</v>
      </c>
    </row>
    <row r="178" spans="2:79">
      <c r="B178" s="2" t="str">
        <f>VLOOKUP([jobnumber],OvalData[],MATCH(Table2[[#Headers],[Hand]],Table2[#Headers],0),0)</f>
        <v>RH</v>
      </c>
      <c r="C178" s="2" t="str">
        <f>VLOOKUP([jobnumber],OvalData[],MATCH(Table2[[#Headers],[Model]],Table2[#Headers],0),0)</f>
        <v>SFMPP</v>
      </c>
      <c r="D178" s="2" t="str">
        <f>VLOOKUP([jobnumber],OvalData[],MATCH(Table2[[#Headers],[width]],Table2[#Headers],0),0)</f>
        <v xml:space="preserve"> 18 ft.- 2"</v>
      </c>
      <c r="E178" s="2" t="str">
        <f>VLOOKUP([jobnumber],OvalData[],MATCH(Table2[[#Headers],[stopheight]],Table2[#Headers],0),0)</f>
        <v xml:space="preserve"> 10 ft.- 0"</v>
      </c>
      <c r="F178" s="2" t="str">
        <f>VLOOKUP([jobnumber],OvalData[],MATCH(Table2[[#Headers],[Between Brackets]],Table2[#Headers],0),0)</f>
        <v xml:space="preserve"> 18 ft.- 7 7/ 8"</v>
      </c>
      <c r="G178" s="2" t="str">
        <f>VLOOKUP([jobnumber],OvalData[],MATCH(Table2[[#Headers],[shell]],Table2[#Headers],0),0)</f>
        <v>6 INCH TUBE</v>
      </c>
      <c r="H178" s="2" t="str">
        <f>VLOOKUP([jobnumber],OvalData[],MATCH(Table2[[#Headers],[pipewidth]],Table2[#Headers],0),0)</f>
        <v xml:space="preserve"> 18 ft.- 1 3/ 8"</v>
      </c>
      <c r="I178" s="2">
        <f>VLOOKUP([jobnumber],OvalData[],MATCH(Table2[[#Headers],[Support Tubes]],Table2[#Headers],0),0)</f>
        <v>0</v>
      </c>
      <c r="J178" s="2">
        <f>VLOOKUP([jobnumber],OvalData[],MATCH(Table2[[#Headers],[Upset]],Table2[#Headers],0),0)</f>
        <v>2</v>
      </c>
      <c r="K178" s="2" t="str">
        <f>VLOOKUP([jobnumber],OvalData[],MATCH(Table2[[#Headers],[Guide Type]],Table2[#Headers],0),0)</f>
        <v>SN2-4 5/8-E</v>
      </c>
      <c r="L178" s="2" t="str">
        <f>VLOOKUP([jobnumber],OvalData[],MATCH(Table2[[#Headers],[Wall Angle]],Table2[#Headers],0),0)</f>
        <v xml:space="preserve"> 11 ft.- 8"</v>
      </c>
      <c r="M178" s="2" t="str">
        <f>VLOOKUP([jobnumber],OvalData[],MATCH(Table2[[#Headers],[Middle Angle]],Table2[#Headers],0),0)</f>
        <v xml:space="preserve"> 10 ft.- 4 1/ 2"</v>
      </c>
      <c r="N178" s="2" t="str">
        <f>VLOOKUP([jobnumber],OvalData[],MATCH(Table2[[#Headers],[Front Angle]],Table2[#Headers],0),0)</f>
        <v xml:space="preserve"> 10 ft.- 3"</v>
      </c>
      <c r="O178" s="2">
        <f>VLOOKUP([jobnumber],OvalData[],MATCH(Table2[[#Headers],[Pipe Center Line]],Table2[#Headers],0),0)</f>
        <v>131</v>
      </c>
      <c r="P178" s="2">
        <f>VLOOKUP([jobnumber],OvalData[],MATCH(Table2[[#Headers],[Heat Expansion Gap]],Table2[#Headers],0),0)</f>
        <v>0</v>
      </c>
      <c r="Q178" s="2">
        <f>VLOOKUP([jobnumber],OvalData[],MATCH(Table2[[#Headers],[Hanging Weight Closed]],Table2[#Headers],0),0)</f>
        <v>795</v>
      </c>
      <c r="R178" s="2">
        <f>VLOOKUP([jobnumber],OvalData[],MATCH(Table2[[#Headers],[Hanging Weight Open]],Table2[#Headers],0),0)</f>
        <v>140</v>
      </c>
      <c r="S178" s="2">
        <f>VLOOKUP([jobnumber],OvalData[],MATCH(Table2[[#Headers],[Initial Lever Arm]],Table2[#Headers],0),0)</f>
        <v>4.25</v>
      </c>
      <c r="T178" s="2">
        <f>VLOOKUP([jobnumber],OvalData[],MATCH(Table2[[#Headers],[Turns to Raise]],Table2[#Headers],0),0)</f>
        <v>3.5859999999999999</v>
      </c>
      <c r="U178" s="2">
        <f>VLOOKUP([jobnumber],OvalData[],MATCH(Table2[[#Headers],[Final Lever Arm]],Table2[#Headers],0),0)</f>
        <v>6.37</v>
      </c>
      <c r="V178" s="2">
        <f>VLOOKUP([jobnumber],OvalData[],MATCH(Table2[[#Headers],[Torque Required Closed]],Table2[#Headers],0),0)</f>
        <v>3377.9</v>
      </c>
      <c r="W178" s="2">
        <f>VLOOKUP([jobnumber],OvalData[],MATCH(Table2[[#Headers],[Torque Required Open]],Table2[#Headers],0),0)</f>
        <v>892</v>
      </c>
      <c r="X178" s="2">
        <f>VLOOKUP([jobnumber],OvalData[],MATCH(Table2[[#Headers],[Pre Turns]],Table2[#Headers],0),0)</f>
        <v>1.3332999999999999</v>
      </c>
      <c r="Y178" s="2">
        <f>VLOOKUP([jobnumber],OvalData[],MATCH(Table2[[#Headers],[Required Torque Per Turn]],Table2[#Headers],0),0)</f>
        <v>688</v>
      </c>
      <c r="Z178" s="2">
        <f>VLOOKUP([jobnumber],OvalData[],MATCH(Table2[[#Headers],[Total Turns]],Table2[#Headers],0),0)</f>
        <v>4.91</v>
      </c>
      <c r="AA178" s="2">
        <f>VLOOKUP([jobnumber],OvalData[],MATCH(Table2[[#Headers],[Grille Vision Section]],Table2[#Headers],0),0)</f>
        <v>0</v>
      </c>
      <c r="AB178" s="2">
        <f>VLOOKUP([jobnumber],OvalData[],MATCH(Table2[[#Headers],[Grille Amount]],Table2[#Headers],0),0)</f>
        <v>0</v>
      </c>
      <c r="AC178" s="2">
        <f>VLOOKUP([jobnumber],OvalData[],MATCH(Table2[[#Headers],[Grille Center]],Table2[#Headers],0),0)</f>
        <v>0</v>
      </c>
      <c r="AD178" s="2">
        <f>VLOOKUP([jobnumber],OvalData[],MATCH(Table2[[#Headers],[Grille Pattern]],Table2[#Headers],0),0)</f>
        <v>0</v>
      </c>
      <c r="AE178" s="2">
        <f>VLOOKUP([jobnumber],OvalData[],MATCH(Table2[[#Headers],[Grille First Tube]],Table2[#Headers],0),0)</f>
        <v>0</v>
      </c>
      <c r="AF178" s="2">
        <f>VLOOKUP([jobnumber],OvalData[],MATCH(Table2[[#Headers],[Grille Standard Tube]],Table2[#Headers],0),0)</f>
        <v>0</v>
      </c>
      <c r="AG178" s="2">
        <f>VLOOKUP([jobnumber],OvalData[],MATCH(Table2[[#Headers],[Grille Total Links]],Table2[#Headers],0),0)</f>
        <v>0</v>
      </c>
      <c r="AH178" s="2">
        <f>VLOOKUP([jobnumber],OvalData[],MATCH(Table2[[#Headers],[Grille Rods]],Table2[#Headers],0),0)</f>
        <v>0</v>
      </c>
      <c r="AI178" s="2">
        <f>VLOOKUP([jobnumber],OvalData[],MATCH(Table2[[#Headers],[Grille Rod Length]],Table2[#Headers],0),0)</f>
        <v>0</v>
      </c>
      <c r="AJ178" s="2">
        <f>VLOOKUP([jobnumber],OvalData[],MATCH(Table2[[#Headers],[slattype]],Table2[#Headers],0),0)</f>
        <v>2</v>
      </c>
      <c r="AK178" s="2">
        <f>VLOOKUP([jobnumber],OvalData[],MATCH(Table2[[#Headers],[slatgage]],Table2[#Headers],0),0)</f>
        <v>18</v>
      </c>
      <c r="AL178" s="2">
        <f>VLOOKUP([jobnumber],OvalData[],MATCH(Table2[[#Headers],[Numer of Top Slats]],Table2[#Headers],0),0)</f>
        <v>0</v>
      </c>
      <c r="AM178" s="2">
        <f>VLOOKUP([jobnumber],OvalData[],MATCH(Table2[[#Headers],[Number of Bottom Slats]],Table2[#Headers],0),0)</f>
        <v>0</v>
      </c>
      <c r="AN178" s="2">
        <f>VLOOKUP([jobnumber],OvalData[],MATCH(Table2[[#Headers],[Solid Bottom Height]],Table2[#Headers],0),0)</f>
        <v>0</v>
      </c>
      <c r="AO178" s="2" t="str">
        <f>VLOOKUP([jobnumber],OvalData[],MATCH(Table2[[#Headers],[slatlength]],Table2[#Headers],0),0)</f>
        <v xml:space="preserve"> 18 ft.- 5 7/ 8"</v>
      </c>
      <c r="AP178" s="2">
        <f>VLOOKUP([jobnumber],OvalData[],MATCH(Table2[[#Headers],[Bottom Slat Length]],Table2[#Headers],0),0)</f>
        <v>0</v>
      </c>
      <c r="AQ178" s="2">
        <f>VLOOKUP([jobnumber],OvalData[],MATCH(Table2[[#Headers],[Number of Perferated Slats]],Table2[#Headers],0),0)</f>
        <v>0</v>
      </c>
      <c r="AR178" s="2">
        <f>VLOOKUP([jobnumber],OvalData[],MATCH(Table2[[#Headers],[First Preferated Slat From End]],Table2[#Headers],0),0)</f>
        <v>0</v>
      </c>
      <c r="AS178" s="2">
        <f>VLOOKUP([jobnumber],OvalData[],MATCH(Table2[[#Headers],[First Preferated Slat From Bottom]],Table2[#Headers],0),0)</f>
        <v>0</v>
      </c>
      <c r="AT178" s="2">
        <f>VLOOKUP([jobnumber],OvalData[],MATCH(Table2[[#Headers],[Total Number of Slats]],Table2[#Headers],0),0)</f>
        <v>51</v>
      </c>
      <c r="AU178" s="2">
        <f>VLOOKUP([jobnumber],OvalData[],MATCH(Table2[[#Headers],[Bottom Bar Slope]],Table2[#Headers],0),0)</f>
        <v>0</v>
      </c>
      <c r="AV178" s="2">
        <f>VLOOKUP([jobnumber],OvalData[],MATCH(Table2[[#Headers],[Bottom Bar Weight]],Table2[#Headers],0),0)</f>
        <v>80.5</v>
      </c>
      <c r="AW178" s="2" t="str">
        <f>VLOOKUP([jobnumber],OvalData[],MATCH(Table2[[#Headers],[Outer Spring Gage]],Table2[#Headers],0),0)</f>
        <v>Null</v>
      </c>
      <c r="AX178" s="2" t="str">
        <f>VLOOKUP([jobnumber],OvalData[],MATCH(Table2[[#Headers],[Outer Spring OD]],Table2[#Headers],0),0)</f>
        <v>Null</v>
      </c>
      <c r="AY178" s="2" t="str">
        <f>VLOOKUP([jobnumber],OvalData[],MATCH(Table2[[#Headers],[Outer Spring Length]],Table2[#Headers],0),0)</f>
        <v>Null</v>
      </c>
      <c r="AZ178" s="2" t="str">
        <f>VLOOKUP([jobnumber],OvalData[],MATCH(Table2[[#Headers],[Outer Spring Stretch]],Table2[#Headers],0),0)</f>
        <v>Null</v>
      </c>
      <c r="BA178" s="2" t="str">
        <f>VLOOKUP([jobnumber],OvalData[],MATCH(Table2[[#Headers],[Outer Spring Torque]],Table2[#Headers],0),0)</f>
        <v>Null</v>
      </c>
      <c r="BB178" s="2" t="str">
        <f>VLOOKUP([jobnumber],OvalData[],MATCH(Table2[[#Headers],[Outer Spring Max Turns]],Table2[#Headers],0),0)</f>
        <v>Null</v>
      </c>
      <c r="BC178" s="2" t="str">
        <f>VLOOKUP([jobnumber],OvalData[],MATCH(Table2[[#Headers],[Outer Spring Weight]],Table2[#Headers],0),0)</f>
        <v>Null</v>
      </c>
      <c r="BD178" s="2" t="str">
        <f>VLOOKUP([jobnumber],OvalData[],MATCH(Table2[[#Headers],[Inner Spring Gage]],Table2[#Headers],0),0)</f>
        <v>Null</v>
      </c>
      <c r="BE178" s="2" t="str">
        <f>VLOOKUP([jobnumber],OvalData[],MATCH(Table2[[#Headers],[Inner Spring OD]],Table2[#Headers],0),0)</f>
        <v>Null</v>
      </c>
      <c r="BF178" s="2" t="str">
        <f>VLOOKUP([jobnumber],OvalData[],MATCH(Table2[[#Headers],[Inner Spring Length]],Table2[#Headers],0),0)</f>
        <v>Null</v>
      </c>
      <c r="BG178" s="2" t="str">
        <f>VLOOKUP([jobnumber],OvalData[],MATCH(Table2[[#Headers],[Inner Spring Stretch]],Table2[#Headers],0),0)</f>
        <v>Null</v>
      </c>
      <c r="BH178" s="2" t="str">
        <f>VLOOKUP([jobnumber],OvalData[],MATCH(Table2[[#Headers],[Inner Spring Torque]],Table2[#Headers],0),0)</f>
        <v>Null</v>
      </c>
      <c r="BI178" s="2" t="str">
        <f>VLOOKUP([jobnumber],OvalData[],MATCH(Table2[[#Headers],[Inner Spring Max Turns]],Table2[#Headers],0),0)</f>
        <v>Null</v>
      </c>
      <c r="BJ178" s="2" t="str">
        <f>VLOOKUP([jobnumber],OvalData[],MATCH(Table2[[#Headers],[Inner Spring Weight]],Table2[#Headers],0),0)</f>
        <v>Null</v>
      </c>
      <c r="BK178" s="2">
        <f>VLOOKUP([jobnumber],OvalData[],MATCH(Table2[[#Headers],[Cycles]],Table2[#Headers],0),0)</f>
        <v>0</v>
      </c>
      <c r="BL178" s="2">
        <f>VLOOKUP([jobnumber],OvalData[],MATCH(Table2[[#Headers],[Total Spring Torque]],Table2[#Headers],0),0)</f>
        <v>0</v>
      </c>
      <c r="BM178" s="2">
        <f>VLOOKUP([jobnumber],OvalData[],MATCH(Table2[[#Headers],[Total Spring Weight]],Table2[#Headers],0),0)</f>
        <v>0</v>
      </c>
      <c r="BN178" s="2">
        <f>VLOOKUP([jobnumber],OvalData[],MATCH(Table2[[#Headers],[Pipe Weight]],Table2[#Headers],0),0)</f>
        <v>688.24239999999998</v>
      </c>
      <c r="BO178" s="2">
        <f>VLOOKUP([jobnumber],OvalData[],MATCH(Table2[[#Headers],[Max Pipe Deflection]],Table2[#Headers],0),0)</f>
        <v>2309</v>
      </c>
      <c r="BP178" s="2">
        <f>VLOOKUP([jobnumber],OvalData[],MATCH(Table2[[#Headers],[Number Non-Insulated Wrap Slats]],Table2[#Headers],0),0)</f>
        <v>0</v>
      </c>
      <c r="BQ178" s="2">
        <f>VLOOKUP([jobnumber],OvalData[],MATCH(Table2[[#Headers],[Number of Insolated Top Slats]],Table2[#Headers],0),0)</f>
        <v>45</v>
      </c>
      <c r="BR178" s="2">
        <f>VLOOKUP([jobnumber],OvalData[],MATCH(Table2[[#Headers],[Insolated Total Slats]],Table2[#Headers],0),0)</f>
        <v>45</v>
      </c>
      <c r="BS178" s="2">
        <f>VLOOKUP([jobnumber],OvalData[],MATCH(Table2[[#Headers],[Number of Slats]],Table2[#Headers],0),0)</f>
        <v>44.69</v>
      </c>
      <c r="BT178" s="2">
        <f>VLOOKUP([jobnumber],OvalData[],MATCH(Table2[[#Headers],[Wrap]],Table2[#Headers],0),0)</f>
        <v>0</v>
      </c>
      <c r="BU178" s="2">
        <f>VLOOKUP([jobnumber],OvalData[],MATCH(Table2[[#Headers],[Wall Angle Thickness]],Table2[#Headers],0),0)</f>
        <v>0</v>
      </c>
      <c r="BV178" s="2">
        <f>VLOOKUP([jobnumber],OvalData[],MATCH(Table2[[#Headers],[windlocks]],Table2[#Headers],0),0)</f>
        <v>0</v>
      </c>
      <c r="BW178" s="2" t="str">
        <f>VLOOKUP([jobnumber],OvalData[],MATCH(Table2[[#Headers],[bottombartype]],Table2[#Headers],0),0)</f>
        <v>SPECIAL</v>
      </c>
      <c r="BX178" s="2">
        <f>VLOOKUP([jobnumber],OvalData[],MATCH(Table2[[#Headers],[endlockweight]],Table2[#Headers],0),0)</f>
        <v>0.17</v>
      </c>
      <c r="BY178" s="2">
        <f>VLOOKUP([jobnumber],OvalData[],MATCH(Table2[[#Headers],[Endlock Total Weight]],Table2[#Headers],0),0)</f>
        <v>7.5972999999999997</v>
      </c>
      <c r="BZ178" s="2">
        <f>VLOOKUP([jobnumber],OvalData[],MATCH(Table2[[#Headers],[Grille Weight]],Table2[#Headers],0),0)</f>
        <v>0</v>
      </c>
      <c r="CA178" s="2">
        <f>VLOOKUP([jobnumber],OvalData[],MATCH(Table2[[#Headers],[barrelrings]],Table2[#Headers],0),0)</f>
        <v>1</v>
      </c>
    </row>
    <row r="179" spans="2:79">
      <c r="B179" s="2" t="str">
        <f>VLOOKUP([jobnumber],OvalData[],MATCH(Table2[[#Headers],[Hand]],Table2[#Headers],0),0)</f>
        <v>RH</v>
      </c>
      <c r="C179" s="2" t="str">
        <f>VLOOKUP([jobnumber],OvalData[],MATCH(Table2[[#Headers],[Model]],Table2[#Headers],0),0)</f>
        <v>SFMPP</v>
      </c>
      <c r="D179" s="2" t="str">
        <f>VLOOKUP([jobnumber],OvalData[],MATCH(Table2[[#Headers],[width]],Table2[#Headers],0),0)</f>
        <v xml:space="preserve"> 18 ft.- 2"</v>
      </c>
      <c r="E179" s="2" t="str">
        <f>VLOOKUP([jobnumber],OvalData[],MATCH(Table2[[#Headers],[stopheight]],Table2[#Headers],0),0)</f>
        <v xml:space="preserve"> 10 ft.- 0"</v>
      </c>
      <c r="F179" s="2" t="str">
        <f>VLOOKUP([jobnumber],OvalData[],MATCH(Table2[[#Headers],[Between Brackets]],Table2[#Headers],0),0)</f>
        <v xml:space="preserve"> 18 ft.- 7 7/ 8"</v>
      </c>
      <c r="G179" s="2" t="str">
        <f>VLOOKUP([jobnumber],OvalData[],MATCH(Table2[[#Headers],[shell]],Table2[#Headers],0),0)</f>
        <v>6 INCH TUBE</v>
      </c>
      <c r="H179" s="2" t="str">
        <f>VLOOKUP([jobnumber],OvalData[],MATCH(Table2[[#Headers],[pipewidth]],Table2[#Headers],0),0)</f>
        <v xml:space="preserve"> 18 ft.- 1 3/ 8"</v>
      </c>
      <c r="I179" s="2">
        <f>VLOOKUP([jobnumber],OvalData[],MATCH(Table2[[#Headers],[Support Tubes]],Table2[#Headers],0),0)</f>
        <v>0</v>
      </c>
      <c r="J179" s="2">
        <f>VLOOKUP([jobnumber],OvalData[],MATCH(Table2[[#Headers],[Upset]],Table2[#Headers],0),0)</f>
        <v>2</v>
      </c>
      <c r="K179" s="2" t="str">
        <f>VLOOKUP([jobnumber],OvalData[],MATCH(Table2[[#Headers],[Guide Type]],Table2[#Headers],0),0)</f>
        <v>SN2-4 5/8-E</v>
      </c>
      <c r="L179" s="2" t="str">
        <f>VLOOKUP([jobnumber],OvalData[],MATCH(Table2[[#Headers],[Wall Angle]],Table2[#Headers],0),0)</f>
        <v xml:space="preserve"> 11 ft.- 8"</v>
      </c>
      <c r="M179" s="2" t="str">
        <f>VLOOKUP([jobnumber],OvalData[],MATCH(Table2[[#Headers],[Middle Angle]],Table2[#Headers],0),0)</f>
        <v xml:space="preserve"> 10 ft.- 4 1/ 2"</v>
      </c>
      <c r="N179" s="2" t="str">
        <f>VLOOKUP([jobnumber],OvalData[],MATCH(Table2[[#Headers],[Front Angle]],Table2[#Headers],0),0)</f>
        <v xml:space="preserve"> 10 ft.- 3"</v>
      </c>
      <c r="O179" s="2">
        <f>VLOOKUP([jobnumber],OvalData[],MATCH(Table2[[#Headers],[Pipe Center Line]],Table2[#Headers],0),0)</f>
        <v>131</v>
      </c>
      <c r="P179" s="2">
        <f>VLOOKUP([jobnumber],OvalData[],MATCH(Table2[[#Headers],[Heat Expansion Gap]],Table2[#Headers],0),0)</f>
        <v>0</v>
      </c>
      <c r="Q179" s="2">
        <f>VLOOKUP([jobnumber],OvalData[],MATCH(Table2[[#Headers],[Hanging Weight Closed]],Table2[#Headers],0),0)</f>
        <v>795</v>
      </c>
      <c r="R179" s="2">
        <f>VLOOKUP([jobnumber],OvalData[],MATCH(Table2[[#Headers],[Hanging Weight Open]],Table2[#Headers],0),0)</f>
        <v>140</v>
      </c>
      <c r="S179" s="2">
        <f>VLOOKUP([jobnumber],OvalData[],MATCH(Table2[[#Headers],[Initial Lever Arm]],Table2[#Headers],0),0)</f>
        <v>4.25</v>
      </c>
      <c r="T179" s="2">
        <f>VLOOKUP([jobnumber],OvalData[],MATCH(Table2[[#Headers],[Turns to Raise]],Table2[#Headers],0),0)</f>
        <v>3.5859999999999999</v>
      </c>
      <c r="U179" s="2">
        <f>VLOOKUP([jobnumber],OvalData[],MATCH(Table2[[#Headers],[Final Lever Arm]],Table2[#Headers],0),0)</f>
        <v>6.37</v>
      </c>
      <c r="V179" s="2">
        <f>VLOOKUP([jobnumber],OvalData[],MATCH(Table2[[#Headers],[Torque Required Closed]],Table2[#Headers],0),0)</f>
        <v>3377.9</v>
      </c>
      <c r="W179" s="2">
        <f>VLOOKUP([jobnumber],OvalData[],MATCH(Table2[[#Headers],[Torque Required Open]],Table2[#Headers],0),0)</f>
        <v>892</v>
      </c>
      <c r="X179" s="2">
        <f>VLOOKUP([jobnumber],OvalData[],MATCH(Table2[[#Headers],[Pre Turns]],Table2[#Headers],0),0)</f>
        <v>1.3332999999999999</v>
      </c>
      <c r="Y179" s="2">
        <f>VLOOKUP([jobnumber],OvalData[],MATCH(Table2[[#Headers],[Required Torque Per Turn]],Table2[#Headers],0),0)</f>
        <v>688</v>
      </c>
      <c r="Z179" s="2">
        <f>VLOOKUP([jobnumber],OvalData[],MATCH(Table2[[#Headers],[Total Turns]],Table2[#Headers],0),0)</f>
        <v>4.91</v>
      </c>
      <c r="AA179" s="2">
        <f>VLOOKUP([jobnumber],OvalData[],MATCH(Table2[[#Headers],[Grille Vision Section]],Table2[#Headers],0),0)</f>
        <v>0</v>
      </c>
      <c r="AB179" s="2">
        <f>VLOOKUP([jobnumber],OvalData[],MATCH(Table2[[#Headers],[Grille Amount]],Table2[#Headers],0),0)</f>
        <v>0</v>
      </c>
      <c r="AC179" s="2">
        <f>VLOOKUP([jobnumber],OvalData[],MATCH(Table2[[#Headers],[Grille Center]],Table2[#Headers],0),0)</f>
        <v>0</v>
      </c>
      <c r="AD179" s="2">
        <f>VLOOKUP([jobnumber],OvalData[],MATCH(Table2[[#Headers],[Grille Pattern]],Table2[#Headers],0),0)</f>
        <v>0</v>
      </c>
      <c r="AE179" s="2">
        <f>VLOOKUP([jobnumber],OvalData[],MATCH(Table2[[#Headers],[Grille First Tube]],Table2[#Headers],0),0)</f>
        <v>0</v>
      </c>
      <c r="AF179" s="2">
        <f>VLOOKUP([jobnumber],OvalData[],MATCH(Table2[[#Headers],[Grille Standard Tube]],Table2[#Headers],0),0)</f>
        <v>0</v>
      </c>
      <c r="AG179" s="2">
        <f>VLOOKUP([jobnumber],OvalData[],MATCH(Table2[[#Headers],[Grille Total Links]],Table2[#Headers],0),0)</f>
        <v>0</v>
      </c>
      <c r="AH179" s="2">
        <f>VLOOKUP([jobnumber],OvalData[],MATCH(Table2[[#Headers],[Grille Rods]],Table2[#Headers],0),0)</f>
        <v>0</v>
      </c>
      <c r="AI179" s="2">
        <f>VLOOKUP([jobnumber],OvalData[],MATCH(Table2[[#Headers],[Grille Rod Length]],Table2[#Headers],0),0)</f>
        <v>0</v>
      </c>
      <c r="AJ179" s="2">
        <f>VLOOKUP([jobnumber],OvalData[],MATCH(Table2[[#Headers],[slattype]],Table2[#Headers],0),0)</f>
        <v>2</v>
      </c>
      <c r="AK179" s="2">
        <f>VLOOKUP([jobnumber],OvalData[],MATCH(Table2[[#Headers],[slatgage]],Table2[#Headers],0),0)</f>
        <v>18</v>
      </c>
      <c r="AL179" s="2">
        <f>VLOOKUP([jobnumber],OvalData[],MATCH(Table2[[#Headers],[Numer of Top Slats]],Table2[#Headers],0),0)</f>
        <v>0</v>
      </c>
      <c r="AM179" s="2">
        <f>VLOOKUP([jobnumber],OvalData[],MATCH(Table2[[#Headers],[Number of Bottom Slats]],Table2[#Headers],0),0)</f>
        <v>0</v>
      </c>
      <c r="AN179" s="2">
        <f>VLOOKUP([jobnumber],OvalData[],MATCH(Table2[[#Headers],[Solid Bottom Height]],Table2[#Headers],0),0)</f>
        <v>0</v>
      </c>
      <c r="AO179" s="2" t="str">
        <f>VLOOKUP([jobnumber],OvalData[],MATCH(Table2[[#Headers],[slatlength]],Table2[#Headers],0),0)</f>
        <v xml:space="preserve"> 18 ft.- 5 7/ 8"</v>
      </c>
      <c r="AP179" s="2">
        <f>VLOOKUP([jobnumber],OvalData[],MATCH(Table2[[#Headers],[Bottom Slat Length]],Table2[#Headers],0),0)</f>
        <v>0</v>
      </c>
      <c r="AQ179" s="2">
        <f>VLOOKUP([jobnumber],OvalData[],MATCH(Table2[[#Headers],[Number of Perferated Slats]],Table2[#Headers],0),0)</f>
        <v>0</v>
      </c>
      <c r="AR179" s="2">
        <f>VLOOKUP([jobnumber],OvalData[],MATCH(Table2[[#Headers],[First Preferated Slat From End]],Table2[#Headers],0),0)</f>
        <v>0</v>
      </c>
      <c r="AS179" s="2">
        <f>VLOOKUP([jobnumber],OvalData[],MATCH(Table2[[#Headers],[First Preferated Slat From Bottom]],Table2[#Headers],0),0)</f>
        <v>0</v>
      </c>
      <c r="AT179" s="2">
        <f>VLOOKUP([jobnumber],OvalData[],MATCH(Table2[[#Headers],[Total Number of Slats]],Table2[#Headers],0),0)</f>
        <v>51</v>
      </c>
      <c r="AU179" s="2">
        <f>VLOOKUP([jobnumber],OvalData[],MATCH(Table2[[#Headers],[Bottom Bar Slope]],Table2[#Headers],0),0)</f>
        <v>0</v>
      </c>
      <c r="AV179" s="2">
        <f>VLOOKUP([jobnumber],OvalData[],MATCH(Table2[[#Headers],[Bottom Bar Weight]],Table2[#Headers],0),0)</f>
        <v>80.5</v>
      </c>
      <c r="AW179" s="2" t="str">
        <f>VLOOKUP([jobnumber],OvalData[],MATCH(Table2[[#Headers],[Outer Spring Gage]],Table2[#Headers],0),0)</f>
        <v>Null</v>
      </c>
      <c r="AX179" s="2" t="str">
        <f>VLOOKUP([jobnumber],OvalData[],MATCH(Table2[[#Headers],[Outer Spring OD]],Table2[#Headers],0),0)</f>
        <v>Null</v>
      </c>
      <c r="AY179" s="2" t="str">
        <f>VLOOKUP([jobnumber],OvalData[],MATCH(Table2[[#Headers],[Outer Spring Length]],Table2[#Headers],0),0)</f>
        <v>Null</v>
      </c>
      <c r="AZ179" s="2" t="str">
        <f>VLOOKUP([jobnumber],OvalData[],MATCH(Table2[[#Headers],[Outer Spring Stretch]],Table2[#Headers],0),0)</f>
        <v>Null</v>
      </c>
      <c r="BA179" s="2" t="str">
        <f>VLOOKUP([jobnumber],OvalData[],MATCH(Table2[[#Headers],[Outer Spring Torque]],Table2[#Headers],0),0)</f>
        <v>Null</v>
      </c>
      <c r="BB179" s="2" t="str">
        <f>VLOOKUP([jobnumber],OvalData[],MATCH(Table2[[#Headers],[Outer Spring Max Turns]],Table2[#Headers],0),0)</f>
        <v>Null</v>
      </c>
      <c r="BC179" s="2" t="str">
        <f>VLOOKUP([jobnumber],OvalData[],MATCH(Table2[[#Headers],[Outer Spring Weight]],Table2[#Headers],0),0)</f>
        <v>Null</v>
      </c>
      <c r="BD179" s="2" t="str">
        <f>VLOOKUP([jobnumber],OvalData[],MATCH(Table2[[#Headers],[Inner Spring Gage]],Table2[#Headers],0),0)</f>
        <v>Null</v>
      </c>
      <c r="BE179" s="2" t="str">
        <f>VLOOKUP([jobnumber],OvalData[],MATCH(Table2[[#Headers],[Inner Spring OD]],Table2[#Headers],0),0)</f>
        <v>Null</v>
      </c>
      <c r="BF179" s="2" t="str">
        <f>VLOOKUP([jobnumber],OvalData[],MATCH(Table2[[#Headers],[Inner Spring Length]],Table2[#Headers],0),0)</f>
        <v>Null</v>
      </c>
      <c r="BG179" s="2" t="str">
        <f>VLOOKUP([jobnumber],OvalData[],MATCH(Table2[[#Headers],[Inner Spring Stretch]],Table2[#Headers],0),0)</f>
        <v>Null</v>
      </c>
      <c r="BH179" s="2" t="str">
        <f>VLOOKUP([jobnumber],OvalData[],MATCH(Table2[[#Headers],[Inner Spring Torque]],Table2[#Headers],0),0)</f>
        <v>Null</v>
      </c>
      <c r="BI179" s="2" t="str">
        <f>VLOOKUP([jobnumber],OvalData[],MATCH(Table2[[#Headers],[Inner Spring Max Turns]],Table2[#Headers],0),0)</f>
        <v>Null</v>
      </c>
      <c r="BJ179" s="2" t="str">
        <f>VLOOKUP([jobnumber],OvalData[],MATCH(Table2[[#Headers],[Inner Spring Weight]],Table2[#Headers],0),0)</f>
        <v>Null</v>
      </c>
      <c r="BK179" s="2">
        <f>VLOOKUP([jobnumber],OvalData[],MATCH(Table2[[#Headers],[Cycles]],Table2[#Headers],0),0)</f>
        <v>0</v>
      </c>
      <c r="BL179" s="2">
        <f>VLOOKUP([jobnumber],OvalData[],MATCH(Table2[[#Headers],[Total Spring Torque]],Table2[#Headers],0),0)</f>
        <v>0</v>
      </c>
      <c r="BM179" s="2">
        <f>VLOOKUP([jobnumber],OvalData[],MATCH(Table2[[#Headers],[Total Spring Weight]],Table2[#Headers],0),0)</f>
        <v>0</v>
      </c>
      <c r="BN179" s="2">
        <f>VLOOKUP([jobnumber],OvalData[],MATCH(Table2[[#Headers],[Pipe Weight]],Table2[#Headers],0),0)</f>
        <v>688.24239999999998</v>
      </c>
      <c r="BO179" s="2">
        <f>VLOOKUP([jobnumber],OvalData[],MATCH(Table2[[#Headers],[Max Pipe Deflection]],Table2[#Headers],0),0)</f>
        <v>2309</v>
      </c>
      <c r="BP179" s="2">
        <f>VLOOKUP([jobnumber],OvalData[],MATCH(Table2[[#Headers],[Number Non-Insulated Wrap Slats]],Table2[#Headers],0),0)</f>
        <v>0</v>
      </c>
      <c r="BQ179" s="2">
        <f>VLOOKUP([jobnumber],OvalData[],MATCH(Table2[[#Headers],[Number of Insolated Top Slats]],Table2[#Headers],0),0)</f>
        <v>45</v>
      </c>
      <c r="BR179" s="2">
        <f>VLOOKUP([jobnumber],OvalData[],MATCH(Table2[[#Headers],[Insolated Total Slats]],Table2[#Headers],0),0)</f>
        <v>45</v>
      </c>
      <c r="BS179" s="2">
        <f>VLOOKUP([jobnumber],OvalData[],MATCH(Table2[[#Headers],[Number of Slats]],Table2[#Headers],0),0)</f>
        <v>44.69</v>
      </c>
      <c r="BT179" s="2">
        <f>VLOOKUP([jobnumber],OvalData[],MATCH(Table2[[#Headers],[Wrap]],Table2[#Headers],0),0)</f>
        <v>0</v>
      </c>
      <c r="BU179" s="2">
        <f>VLOOKUP([jobnumber],OvalData[],MATCH(Table2[[#Headers],[Wall Angle Thickness]],Table2[#Headers],0),0)</f>
        <v>0</v>
      </c>
      <c r="BV179" s="2">
        <f>VLOOKUP([jobnumber],OvalData[],MATCH(Table2[[#Headers],[windlocks]],Table2[#Headers],0),0)</f>
        <v>0</v>
      </c>
      <c r="BW179" s="2" t="str">
        <f>VLOOKUP([jobnumber],OvalData[],MATCH(Table2[[#Headers],[bottombartype]],Table2[#Headers],0),0)</f>
        <v>SPECIAL</v>
      </c>
      <c r="BX179" s="2">
        <f>VLOOKUP([jobnumber],OvalData[],MATCH(Table2[[#Headers],[endlockweight]],Table2[#Headers],0),0)</f>
        <v>0.17</v>
      </c>
      <c r="BY179" s="2">
        <f>VLOOKUP([jobnumber],OvalData[],MATCH(Table2[[#Headers],[Endlock Total Weight]],Table2[#Headers],0),0)</f>
        <v>7.5972999999999997</v>
      </c>
      <c r="BZ179" s="2">
        <f>VLOOKUP([jobnumber],OvalData[],MATCH(Table2[[#Headers],[Grille Weight]],Table2[#Headers],0),0)</f>
        <v>0</v>
      </c>
      <c r="CA179" s="2">
        <f>VLOOKUP([jobnumber],OvalData[],MATCH(Table2[[#Headers],[barrelrings]],Table2[#Headers],0),0)</f>
        <v>1</v>
      </c>
    </row>
    <row r="180" spans="2:79">
      <c r="B180" s="2" t="str">
        <f>VLOOKUP([jobnumber],OvalData[],MATCH(Table2[[#Headers],[Hand]],Table2[#Headers],0),0)</f>
        <v>RH</v>
      </c>
      <c r="C180" s="2" t="str">
        <f>VLOOKUP([jobnumber],OvalData[],MATCH(Table2[[#Headers],[Model]],Table2[#Headers],0),0)</f>
        <v>SFMPP</v>
      </c>
      <c r="D180" s="2" t="str">
        <f>VLOOKUP([jobnumber],OvalData[],MATCH(Table2[[#Headers],[width]],Table2[#Headers],0),0)</f>
        <v xml:space="preserve"> 18 ft.- 2"</v>
      </c>
      <c r="E180" s="2" t="str">
        <f>VLOOKUP([jobnumber],OvalData[],MATCH(Table2[[#Headers],[stopheight]],Table2[#Headers],0),0)</f>
        <v xml:space="preserve"> 10 ft.- 0"</v>
      </c>
      <c r="F180" s="2" t="str">
        <f>VLOOKUP([jobnumber],OvalData[],MATCH(Table2[[#Headers],[Between Brackets]],Table2[#Headers],0),0)</f>
        <v xml:space="preserve"> 18 ft.- 7 7/ 8"</v>
      </c>
      <c r="G180" s="2" t="str">
        <f>VLOOKUP([jobnumber],OvalData[],MATCH(Table2[[#Headers],[shell]],Table2[#Headers],0),0)</f>
        <v>6 INCH TUBE</v>
      </c>
      <c r="H180" s="2" t="str">
        <f>VLOOKUP([jobnumber],OvalData[],MATCH(Table2[[#Headers],[pipewidth]],Table2[#Headers],0),0)</f>
        <v xml:space="preserve"> 18 ft.- 1 3/ 8"</v>
      </c>
      <c r="I180" s="2">
        <f>VLOOKUP([jobnumber],OvalData[],MATCH(Table2[[#Headers],[Support Tubes]],Table2[#Headers],0),0)</f>
        <v>0</v>
      </c>
      <c r="J180" s="2">
        <f>VLOOKUP([jobnumber],OvalData[],MATCH(Table2[[#Headers],[Upset]],Table2[#Headers],0),0)</f>
        <v>2</v>
      </c>
      <c r="K180" s="2" t="str">
        <f>VLOOKUP([jobnumber],OvalData[],MATCH(Table2[[#Headers],[Guide Type]],Table2[#Headers],0),0)</f>
        <v>SN2-4 5/8-E</v>
      </c>
      <c r="L180" s="2" t="str">
        <f>VLOOKUP([jobnumber],OvalData[],MATCH(Table2[[#Headers],[Wall Angle]],Table2[#Headers],0),0)</f>
        <v xml:space="preserve"> 11 ft.- 8"</v>
      </c>
      <c r="M180" s="2" t="str">
        <f>VLOOKUP([jobnumber],OvalData[],MATCH(Table2[[#Headers],[Middle Angle]],Table2[#Headers],0),0)</f>
        <v xml:space="preserve"> 10 ft.- 4 1/ 2"</v>
      </c>
      <c r="N180" s="2" t="str">
        <f>VLOOKUP([jobnumber],OvalData[],MATCH(Table2[[#Headers],[Front Angle]],Table2[#Headers],0),0)</f>
        <v xml:space="preserve"> 10 ft.- 3"</v>
      </c>
      <c r="O180" s="2">
        <f>VLOOKUP([jobnumber],OvalData[],MATCH(Table2[[#Headers],[Pipe Center Line]],Table2[#Headers],0),0)</f>
        <v>131</v>
      </c>
      <c r="P180" s="2">
        <f>VLOOKUP([jobnumber],OvalData[],MATCH(Table2[[#Headers],[Heat Expansion Gap]],Table2[#Headers],0),0)</f>
        <v>0</v>
      </c>
      <c r="Q180" s="2">
        <f>VLOOKUP([jobnumber],OvalData[],MATCH(Table2[[#Headers],[Hanging Weight Closed]],Table2[#Headers],0),0)</f>
        <v>795</v>
      </c>
      <c r="R180" s="2">
        <f>VLOOKUP([jobnumber],OvalData[],MATCH(Table2[[#Headers],[Hanging Weight Open]],Table2[#Headers],0),0)</f>
        <v>140</v>
      </c>
      <c r="S180" s="2">
        <f>VLOOKUP([jobnumber],OvalData[],MATCH(Table2[[#Headers],[Initial Lever Arm]],Table2[#Headers],0),0)</f>
        <v>4.25</v>
      </c>
      <c r="T180" s="2">
        <f>VLOOKUP([jobnumber],OvalData[],MATCH(Table2[[#Headers],[Turns to Raise]],Table2[#Headers],0),0)</f>
        <v>3.5859999999999999</v>
      </c>
      <c r="U180" s="2">
        <f>VLOOKUP([jobnumber],OvalData[],MATCH(Table2[[#Headers],[Final Lever Arm]],Table2[#Headers],0),0)</f>
        <v>6.37</v>
      </c>
      <c r="V180" s="2">
        <f>VLOOKUP([jobnumber],OvalData[],MATCH(Table2[[#Headers],[Torque Required Closed]],Table2[#Headers],0),0)</f>
        <v>3377.9</v>
      </c>
      <c r="W180" s="2">
        <f>VLOOKUP([jobnumber],OvalData[],MATCH(Table2[[#Headers],[Torque Required Open]],Table2[#Headers],0),0)</f>
        <v>892</v>
      </c>
      <c r="X180" s="2">
        <f>VLOOKUP([jobnumber],OvalData[],MATCH(Table2[[#Headers],[Pre Turns]],Table2[#Headers],0),0)</f>
        <v>1.3332999999999999</v>
      </c>
      <c r="Y180" s="2">
        <f>VLOOKUP([jobnumber],OvalData[],MATCH(Table2[[#Headers],[Required Torque Per Turn]],Table2[#Headers],0),0)</f>
        <v>688</v>
      </c>
      <c r="Z180" s="2">
        <f>VLOOKUP([jobnumber],OvalData[],MATCH(Table2[[#Headers],[Total Turns]],Table2[#Headers],0),0)</f>
        <v>4.91</v>
      </c>
      <c r="AA180" s="2">
        <f>VLOOKUP([jobnumber],OvalData[],MATCH(Table2[[#Headers],[Grille Vision Section]],Table2[#Headers],0),0)</f>
        <v>0</v>
      </c>
      <c r="AB180" s="2">
        <f>VLOOKUP([jobnumber],OvalData[],MATCH(Table2[[#Headers],[Grille Amount]],Table2[#Headers],0),0)</f>
        <v>0</v>
      </c>
      <c r="AC180" s="2">
        <f>VLOOKUP([jobnumber],OvalData[],MATCH(Table2[[#Headers],[Grille Center]],Table2[#Headers],0),0)</f>
        <v>0</v>
      </c>
      <c r="AD180" s="2">
        <f>VLOOKUP([jobnumber],OvalData[],MATCH(Table2[[#Headers],[Grille Pattern]],Table2[#Headers],0),0)</f>
        <v>0</v>
      </c>
      <c r="AE180" s="2">
        <f>VLOOKUP([jobnumber],OvalData[],MATCH(Table2[[#Headers],[Grille First Tube]],Table2[#Headers],0),0)</f>
        <v>0</v>
      </c>
      <c r="AF180" s="2">
        <f>VLOOKUP([jobnumber],OvalData[],MATCH(Table2[[#Headers],[Grille Standard Tube]],Table2[#Headers],0),0)</f>
        <v>0</v>
      </c>
      <c r="AG180" s="2">
        <f>VLOOKUP([jobnumber],OvalData[],MATCH(Table2[[#Headers],[Grille Total Links]],Table2[#Headers],0),0)</f>
        <v>0</v>
      </c>
      <c r="AH180" s="2">
        <f>VLOOKUP([jobnumber],OvalData[],MATCH(Table2[[#Headers],[Grille Rods]],Table2[#Headers],0),0)</f>
        <v>0</v>
      </c>
      <c r="AI180" s="2">
        <f>VLOOKUP([jobnumber],OvalData[],MATCH(Table2[[#Headers],[Grille Rod Length]],Table2[#Headers],0),0)</f>
        <v>0</v>
      </c>
      <c r="AJ180" s="2">
        <f>VLOOKUP([jobnumber],OvalData[],MATCH(Table2[[#Headers],[slattype]],Table2[#Headers],0),0)</f>
        <v>2</v>
      </c>
      <c r="AK180" s="2">
        <f>VLOOKUP([jobnumber],OvalData[],MATCH(Table2[[#Headers],[slatgage]],Table2[#Headers],0),0)</f>
        <v>18</v>
      </c>
      <c r="AL180" s="2">
        <f>VLOOKUP([jobnumber],OvalData[],MATCH(Table2[[#Headers],[Numer of Top Slats]],Table2[#Headers],0),0)</f>
        <v>0</v>
      </c>
      <c r="AM180" s="2">
        <f>VLOOKUP([jobnumber],OvalData[],MATCH(Table2[[#Headers],[Number of Bottom Slats]],Table2[#Headers],0),0)</f>
        <v>0</v>
      </c>
      <c r="AN180" s="2">
        <f>VLOOKUP([jobnumber],OvalData[],MATCH(Table2[[#Headers],[Solid Bottom Height]],Table2[#Headers],0),0)</f>
        <v>0</v>
      </c>
      <c r="AO180" s="2" t="str">
        <f>VLOOKUP([jobnumber],OvalData[],MATCH(Table2[[#Headers],[slatlength]],Table2[#Headers],0),0)</f>
        <v xml:space="preserve"> 18 ft.- 5 7/ 8"</v>
      </c>
      <c r="AP180" s="2">
        <f>VLOOKUP([jobnumber],OvalData[],MATCH(Table2[[#Headers],[Bottom Slat Length]],Table2[#Headers],0),0)</f>
        <v>0</v>
      </c>
      <c r="AQ180" s="2">
        <f>VLOOKUP([jobnumber],OvalData[],MATCH(Table2[[#Headers],[Number of Perferated Slats]],Table2[#Headers],0),0)</f>
        <v>0</v>
      </c>
      <c r="AR180" s="2">
        <f>VLOOKUP([jobnumber],OvalData[],MATCH(Table2[[#Headers],[First Preferated Slat From End]],Table2[#Headers],0),0)</f>
        <v>0</v>
      </c>
      <c r="AS180" s="2">
        <f>VLOOKUP([jobnumber],OvalData[],MATCH(Table2[[#Headers],[First Preferated Slat From Bottom]],Table2[#Headers],0),0)</f>
        <v>0</v>
      </c>
      <c r="AT180" s="2">
        <f>VLOOKUP([jobnumber],OvalData[],MATCH(Table2[[#Headers],[Total Number of Slats]],Table2[#Headers],0),0)</f>
        <v>51</v>
      </c>
      <c r="AU180" s="2">
        <f>VLOOKUP([jobnumber],OvalData[],MATCH(Table2[[#Headers],[Bottom Bar Slope]],Table2[#Headers],0),0)</f>
        <v>0</v>
      </c>
      <c r="AV180" s="2">
        <f>VLOOKUP([jobnumber],OvalData[],MATCH(Table2[[#Headers],[Bottom Bar Weight]],Table2[#Headers],0),0)</f>
        <v>80.5</v>
      </c>
      <c r="AW180" s="2" t="str">
        <f>VLOOKUP([jobnumber],OvalData[],MATCH(Table2[[#Headers],[Outer Spring Gage]],Table2[#Headers],0),0)</f>
        <v>Null</v>
      </c>
      <c r="AX180" s="2" t="str">
        <f>VLOOKUP([jobnumber],OvalData[],MATCH(Table2[[#Headers],[Outer Spring OD]],Table2[#Headers],0),0)</f>
        <v>Null</v>
      </c>
      <c r="AY180" s="2" t="str">
        <f>VLOOKUP([jobnumber],OvalData[],MATCH(Table2[[#Headers],[Outer Spring Length]],Table2[#Headers],0),0)</f>
        <v>Null</v>
      </c>
      <c r="AZ180" s="2" t="str">
        <f>VLOOKUP([jobnumber],OvalData[],MATCH(Table2[[#Headers],[Outer Spring Stretch]],Table2[#Headers],0),0)</f>
        <v>Null</v>
      </c>
      <c r="BA180" s="2" t="str">
        <f>VLOOKUP([jobnumber],OvalData[],MATCH(Table2[[#Headers],[Outer Spring Torque]],Table2[#Headers],0),0)</f>
        <v>Null</v>
      </c>
      <c r="BB180" s="2" t="str">
        <f>VLOOKUP([jobnumber],OvalData[],MATCH(Table2[[#Headers],[Outer Spring Max Turns]],Table2[#Headers],0),0)</f>
        <v>Null</v>
      </c>
      <c r="BC180" s="2" t="str">
        <f>VLOOKUP([jobnumber],OvalData[],MATCH(Table2[[#Headers],[Outer Spring Weight]],Table2[#Headers],0),0)</f>
        <v>Null</v>
      </c>
      <c r="BD180" s="2" t="str">
        <f>VLOOKUP([jobnumber],OvalData[],MATCH(Table2[[#Headers],[Inner Spring Gage]],Table2[#Headers],0),0)</f>
        <v>Null</v>
      </c>
      <c r="BE180" s="2" t="str">
        <f>VLOOKUP([jobnumber],OvalData[],MATCH(Table2[[#Headers],[Inner Spring OD]],Table2[#Headers],0),0)</f>
        <v>Null</v>
      </c>
      <c r="BF180" s="2" t="str">
        <f>VLOOKUP([jobnumber],OvalData[],MATCH(Table2[[#Headers],[Inner Spring Length]],Table2[#Headers],0),0)</f>
        <v>Null</v>
      </c>
      <c r="BG180" s="2" t="str">
        <f>VLOOKUP([jobnumber],OvalData[],MATCH(Table2[[#Headers],[Inner Spring Stretch]],Table2[#Headers],0),0)</f>
        <v>Null</v>
      </c>
      <c r="BH180" s="2" t="str">
        <f>VLOOKUP([jobnumber],OvalData[],MATCH(Table2[[#Headers],[Inner Spring Torque]],Table2[#Headers],0),0)</f>
        <v>Null</v>
      </c>
      <c r="BI180" s="2" t="str">
        <f>VLOOKUP([jobnumber],OvalData[],MATCH(Table2[[#Headers],[Inner Spring Max Turns]],Table2[#Headers],0),0)</f>
        <v>Null</v>
      </c>
      <c r="BJ180" s="2" t="str">
        <f>VLOOKUP([jobnumber],OvalData[],MATCH(Table2[[#Headers],[Inner Spring Weight]],Table2[#Headers],0),0)</f>
        <v>Null</v>
      </c>
      <c r="BK180" s="2">
        <f>VLOOKUP([jobnumber],OvalData[],MATCH(Table2[[#Headers],[Cycles]],Table2[#Headers],0),0)</f>
        <v>0</v>
      </c>
      <c r="BL180" s="2">
        <f>VLOOKUP([jobnumber],OvalData[],MATCH(Table2[[#Headers],[Total Spring Torque]],Table2[#Headers],0),0)</f>
        <v>0</v>
      </c>
      <c r="BM180" s="2">
        <f>VLOOKUP([jobnumber],OvalData[],MATCH(Table2[[#Headers],[Total Spring Weight]],Table2[#Headers],0),0)</f>
        <v>0</v>
      </c>
      <c r="BN180" s="2">
        <f>VLOOKUP([jobnumber],OvalData[],MATCH(Table2[[#Headers],[Pipe Weight]],Table2[#Headers],0),0)</f>
        <v>688.24239999999998</v>
      </c>
      <c r="BO180" s="2">
        <f>VLOOKUP([jobnumber],OvalData[],MATCH(Table2[[#Headers],[Max Pipe Deflection]],Table2[#Headers],0),0)</f>
        <v>2309</v>
      </c>
      <c r="BP180" s="2">
        <f>VLOOKUP([jobnumber],OvalData[],MATCH(Table2[[#Headers],[Number Non-Insulated Wrap Slats]],Table2[#Headers],0),0)</f>
        <v>0</v>
      </c>
      <c r="BQ180" s="2">
        <f>VLOOKUP([jobnumber],OvalData[],MATCH(Table2[[#Headers],[Number of Insolated Top Slats]],Table2[#Headers],0),0)</f>
        <v>45</v>
      </c>
      <c r="BR180" s="2">
        <f>VLOOKUP([jobnumber],OvalData[],MATCH(Table2[[#Headers],[Insolated Total Slats]],Table2[#Headers],0),0)</f>
        <v>45</v>
      </c>
      <c r="BS180" s="2">
        <f>VLOOKUP([jobnumber],OvalData[],MATCH(Table2[[#Headers],[Number of Slats]],Table2[#Headers],0),0)</f>
        <v>44.69</v>
      </c>
      <c r="BT180" s="2">
        <f>VLOOKUP([jobnumber],OvalData[],MATCH(Table2[[#Headers],[Wrap]],Table2[#Headers],0),0)</f>
        <v>0</v>
      </c>
      <c r="BU180" s="2">
        <f>VLOOKUP([jobnumber],OvalData[],MATCH(Table2[[#Headers],[Wall Angle Thickness]],Table2[#Headers],0),0)</f>
        <v>0</v>
      </c>
      <c r="BV180" s="2">
        <f>VLOOKUP([jobnumber],OvalData[],MATCH(Table2[[#Headers],[windlocks]],Table2[#Headers],0),0)</f>
        <v>0</v>
      </c>
      <c r="BW180" s="2" t="str">
        <f>VLOOKUP([jobnumber],OvalData[],MATCH(Table2[[#Headers],[bottombartype]],Table2[#Headers],0),0)</f>
        <v>SPECIAL</v>
      </c>
      <c r="BX180" s="2">
        <f>VLOOKUP([jobnumber],OvalData[],MATCH(Table2[[#Headers],[endlockweight]],Table2[#Headers],0),0)</f>
        <v>0.17</v>
      </c>
      <c r="BY180" s="2">
        <f>VLOOKUP([jobnumber],OvalData[],MATCH(Table2[[#Headers],[Endlock Total Weight]],Table2[#Headers],0),0)</f>
        <v>7.5972999999999997</v>
      </c>
      <c r="BZ180" s="2">
        <f>VLOOKUP([jobnumber],OvalData[],MATCH(Table2[[#Headers],[Grille Weight]],Table2[#Headers],0),0)</f>
        <v>0</v>
      </c>
      <c r="CA180" s="2">
        <f>VLOOKUP([jobnumber],OvalData[],MATCH(Table2[[#Headers],[barrelrings]],Table2[#Headers],0),0)</f>
        <v>1</v>
      </c>
    </row>
    <row r="181" spans="2:79">
      <c r="B181" s="2" t="str">
        <f>VLOOKUP([jobnumber],OvalData[],MATCH(Table2[[#Headers],[Hand]],Table2[#Headers],0),0)</f>
        <v>RH</v>
      </c>
      <c r="C181" s="2" t="str">
        <f>VLOOKUP([jobnumber],OvalData[],MATCH(Table2[[#Headers],[Model]],Table2[#Headers],0),0)</f>
        <v>SFMPP</v>
      </c>
      <c r="D181" s="2" t="str">
        <f>VLOOKUP([jobnumber],OvalData[],MATCH(Table2[[#Headers],[width]],Table2[#Headers],0),0)</f>
        <v xml:space="preserve"> 18 ft.- 2"</v>
      </c>
      <c r="E181" s="2" t="str">
        <f>VLOOKUP([jobnumber],OvalData[],MATCH(Table2[[#Headers],[stopheight]],Table2[#Headers],0),0)</f>
        <v xml:space="preserve"> 10 ft.- 0"</v>
      </c>
      <c r="F181" s="2" t="str">
        <f>VLOOKUP([jobnumber],OvalData[],MATCH(Table2[[#Headers],[Between Brackets]],Table2[#Headers],0),0)</f>
        <v xml:space="preserve"> 18 ft.- 7 7/ 8"</v>
      </c>
      <c r="G181" s="2" t="str">
        <f>VLOOKUP([jobnumber],OvalData[],MATCH(Table2[[#Headers],[shell]],Table2[#Headers],0),0)</f>
        <v>6 INCH TUBE</v>
      </c>
      <c r="H181" s="2" t="str">
        <f>VLOOKUP([jobnumber],OvalData[],MATCH(Table2[[#Headers],[pipewidth]],Table2[#Headers],0),0)</f>
        <v xml:space="preserve"> 18 ft.- 1 3/ 8"</v>
      </c>
      <c r="I181" s="2">
        <f>VLOOKUP([jobnumber],OvalData[],MATCH(Table2[[#Headers],[Support Tubes]],Table2[#Headers],0),0)</f>
        <v>0</v>
      </c>
      <c r="J181" s="2">
        <f>VLOOKUP([jobnumber],OvalData[],MATCH(Table2[[#Headers],[Upset]],Table2[#Headers],0),0)</f>
        <v>2</v>
      </c>
      <c r="K181" s="2" t="str">
        <f>VLOOKUP([jobnumber],OvalData[],MATCH(Table2[[#Headers],[Guide Type]],Table2[#Headers],0),0)</f>
        <v>SN2-4 5/8-E</v>
      </c>
      <c r="L181" s="2" t="str">
        <f>VLOOKUP([jobnumber],OvalData[],MATCH(Table2[[#Headers],[Wall Angle]],Table2[#Headers],0),0)</f>
        <v xml:space="preserve"> 11 ft.- 8"</v>
      </c>
      <c r="M181" s="2" t="str">
        <f>VLOOKUP([jobnumber],OvalData[],MATCH(Table2[[#Headers],[Middle Angle]],Table2[#Headers],0),0)</f>
        <v xml:space="preserve"> 10 ft.- 4 1/ 2"</v>
      </c>
      <c r="N181" s="2" t="str">
        <f>VLOOKUP([jobnumber],OvalData[],MATCH(Table2[[#Headers],[Front Angle]],Table2[#Headers],0),0)</f>
        <v xml:space="preserve"> 10 ft.- 3"</v>
      </c>
      <c r="O181" s="2">
        <f>VLOOKUP([jobnumber],OvalData[],MATCH(Table2[[#Headers],[Pipe Center Line]],Table2[#Headers],0),0)</f>
        <v>131</v>
      </c>
      <c r="P181" s="2">
        <f>VLOOKUP([jobnumber],OvalData[],MATCH(Table2[[#Headers],[Heat Expansion Gap]],Table2[#Headers],0),0)</f>
        <v>0</v>
      </c>
      <c r="Q181" s="2">
        <f>VLOOKUP([jobnumber],OvalData[],MATCH(Table2[[#Headers],[Hanging Weight Closed]],Table2[#Headers],0),0)</f>
        <v>795</v>
      </c>
      <c r="R181" s="2">
        <f>VLOOKUP([jobnumber],OvalData[],MATCH(Table2[[#Headers],[Hanging Weight Open]],Table2[#Headers],0),0)</f>
        <v>140</v>
      </c>
      <c r="S181" s="2">
        <f>VLOOKUP([jobnumber],OvalData[],MATCH(Table2[[#Headers],[Initial Lever Arm]],Table2[#Headers],0),0)</f>
        <v>4.25</v>
      </c>
      <c r="T181" s="2">
        <f>VLOOKUP([jobnumber],OvalData[],MATCH(Table2[[#Headers],[Turns to Raise]],Table2[#Headers],0),0)</f>
        <v>3.5859999999999999</v>
      </c>
      <c r="U181" s="2">
        <f>VLOOKUP([jobnumber],OvalData[],MATCH(Table2[[#Headers],[Final Lever Arm]],Table2[#Headers],0),0)</f>
        <v>6.37</v>
      </c>
      <c r="V181" s="2">
        <f>VLOOKUP([jobnumber],OvalData[],MATCH(Table2[[#Headers],[Torque Required Closed]],Table2[#Headers],0),0)</f>
        <v>3377.9</v>
      </c>
      <c r="W181" s="2">
        <f>VLOOKUP([jobnumber],OvalData[],MATCH(Table2[[#Headers],[Torque Required Open]],Table2[#Headers],0),0)</f>
        <v>892</v>
      </c>
      <c r="X181" s="2">
        <f>VLOOKUP([jobnumber],OvalData[],MATCH(Table2[[#Headers],[Pre Turns]],Table2[#Headers],0),0)</f>
        <v>1.3332999999999999</v>
      </c>
      <c r="Y181" s="2">
        <f>VLOOKUP([jobnumber],OvalData[],MATCH(Table2[[#Headers],[Required Torque Per Turn]],Table2[#Headers],0),0)</f>
        <v>688</v>
      </c>
      <c r="Z181" s="2">
        <f>VLOOKUP([jobnumber],OvalData[],MATCH(Table2[[#Headers],[Total Turns]],Table2[#Headers],0),0)</f>
        <v>4.91</v>
      </c>
      <c r="AA181" s="2">
        <f>VLOOKUP([jobnumber],OvalData[],MATCH(Table2[[#Headers],[Grille Vision Section]],Table2[#Headers],0),0)</f>
        <v>0</v>
      </c>
      <c r="AB181" s="2">
        <f>VLOOKUP([jobnumber],OvalData[],MATCH(Table2[[#Headers],[Grille Amount]],Table2[#Headers],0),0)</f>
        <v>0</v>
      </c>
      <c r="AC181" s="2">
        <f>VLOOKUP([jobnumber],OvalData[],MATCH(Table2[[#Headers],[Grille Center]],Table2[#Headers],0),0)</f>
        <v>0</v>
      </c>
      <c r="AD181" s="2">
        <f>VLOOKUP([jobnumber],OvalData[],MATCH(Table2[[#Headers],[Grille Pattern]],Table2[#Headers],0),0)</f>
        <v>0</v>
      </c>
      <c r="AE181" s="2">
        <f>VLOOKUP([jobnumber],OvalData[],MATCH(Table2[[#Headers],[Grille First Tube]],Table2[#Headers],0),0)</f>
        <v>0</v>
      </c>
      <c r="AF181" s="2">
        <f>VLOOKUP([jobnumber],OvalData[],MATCH(Table2[[#Headers],[Grille Standard Tube]],Table2[#Headers],0),0)</f>
        <v>0</v>
      </c>
      <c r="AG181" s="2">
        <f>VLOOKUP([jobnumber],OvalData[],MATCH(Table2[[#Headers],[Grille Total Links]],Table2[#Headers],0),0)</f>
        <v>0</v>
      </c>
      <c r="AH181" s="2">
        <f>VLOOKUP([jobnumber],OvalData[],MATCH(Table2[[#Headers],[Grille Rods]],Table2[#Headers],0),0)</f>
        <v>0</v>
      </c>
      <c r="AI181" s="2">
        <f>VLOOKUP([jobnumber],OvalData[],MATCH(Table2[[#Headers],[Grille Rod Length]],Table2[#Headers],0),0)</f>
        <v>0</v>
      </c>
      <c r="AJ181" s="2">
        <f>VLOOKUP([jobnumber],OvalData[],MATCH(Table2[[#Headers],[slattype]],Table2[#Headers],0),0)</f>
        <v>2</v>
      </c>
      <c r="AK181" s="2">
        <f>VLOOKUP([jobnumber],OvalData[],MATCH(Table2[[#Headers],[slatgage]],Table2[#Headers],0),0)</f>
        <v>18</v>
      </c>
      <c r="AL181" s="2">
        <f>VLOOKUP([jobnumber],OvalData[],MATCH(Table2[[#Headers],[Numer of Top Slats]],Table2[#Headers],0),0)</f>
        <v>0</v>
      </c>
      <c r="AM181" s="2">
        <f>VLOOKUP([jobnumber],OvalData[],MATCH(Table2[[#Headers],[Number of Bottom Slats]],Table2[#Headers],0),0)</f>
        <v>0</v>
      </c>
      <c r="AN181" s="2">
        <f>VLOOKUP([jobnumber],OvalData[],MATCH(Table2[[#Headers],[Solid Bottom Height]],Table2[#Headers],0),0)</f>
        <v>0</v>
      </c>
      <c r="AO181" s="2" t="str">
        <f>VLOOKUP([jobnumber],OvalData[],MATCH(Table2[[#Headers],[slatlength]],Table2[#Headers],0),0)</f>
        <v xml:space="preserve"> 18 ft.- 5 7/ 8"</v>
      </c>
      <c r="AP181" s="2">
        <f>VLOOKUP([jobnumber],OvalData[],MATCH(Table2[[#Headers],[Bottom Slat Length]],Table2[#Headers],0),0)</f>
        <v>0</v>
      </c>
      <c r="AQ181" s="2">
        <f>VLOOKUP([jobnumber],OvalData[],MATCH(Table2[[#Headers],[Number of Perferated Slats]],Table2[#Headers],0),0)</f>
        <v>0</v>
      </c>
      <c r="AR181" s="2">
        <f>VLOOKUP([jobnumber],OvalData[],MATCH(Table2[[#Headers],[First Preferated Slat From End]],Table2[#Headers],0),0)</f>
        <v>0</v>
      </c>
      <c r="AS181" s="2">
        <f>VLOOKUP([jobnumber],OvalData[],MATCH(Table2[[#Headers],[First Preferated Slat From Bottom]],Table2[#Headers],0),0)</f>
        <v>0</v>
      </c>
      <c r="AT181" s="2">
        <f>VLOOKUP([jobnumber],OvalData[],MATCH(Table2[[#Headers],[Total Number of Slats]],Table2[#Headers],0),0)</f>
        <v>51</v>
      </c>
      <c r="AU181" s="2">
        <f>VLOOKUP([jobnumber],OvalData[],MATCH(Table2[[#Headers],[Bottom Bar Slope]],Table2[#Headers],0),0)</f>
        <v>0</v>
      </c>
      <c r="AV181" s="2">
        <f>VLOOKUP([jobnumber],OvalData[],MATCH(Table2[[#Headers],[Bottom Bar Weight]],Table2[#Headers],0),0)</f>
        <v>80.5</v>
      </c>
      <c r="AW181" s="2" t="str">
        <f>VLOOKUP([jobnumber],OvalData[],MATCH(Table2[[#Headers],[Outer Spring Gage]],Table2[#Headers],0),0)</f>
        <v>Null</v>
      </c>
      <c r="AX181" s="2" t="str">
        <f>VLOOKUP([jobnumber],OvalData[],MATCH(Table2[[#Headers],[Outer Spring OD]],Table2[#Headers],0),0)</f>
        <v>Null</v>
      </c>
      <c r="AY181" s="2" t="str">
        <f>VLOOKUP([jobnumber],OvalData[],MATCH(Table2[[#Headers],[Outer Spring Length]],Table2[#Headers],0),0)</f>
        <v>Null</v>
      </c>
      <c r="AZ181" s="2" t="str">
        <f>VLOOKUP([jobnumber],OvalData[],MATCH(Table2[[#Headers],[Outer Spring Stretch]],Table2[#Headers],0),0)</f>
        <v>Null</v>
      </c>
      <c r="BA181" s="2" t="str">
        <f>VLOOKUP([jobnumber],OvalData[],MATCH(Table2[[#Headers],[Outer Spring Torque]],Table2[#Headers],0),0)</f>
        <v>Null</v>
      </c>
      <c r="BB181" s="2" t="str">
        <f>VLOOKUP([jobnumber],OvalData[],MATCH(Table2[[#Headers],[Outer Spring Max Turns]],Table2[#Headers],0),0)</f>
        <v>Null</v>
      </c>
      <c r="BC181" s="2" t="str">
        <f>VLOOKUP([jobnumber],OvalData[],MATCH(Table2[[#Headers],[Outer Spring Weight]],Table2[#Headers],0),0)</f>
        <v>Null</v>
      </c>
      <c r="BD181" s="2" t="str">
        <f>VLOOKUP([jobnumber],OvalData[],MATCH(Table2[[#Headers],[Inner Spring Gage]],Table2[#Headers],0),0)</f>
        <v>Null</v>
      </c>
      <c r="BE181" s="2" t="str">
        <f>VLOOKUP([jobnumber],OvalData[],MATCH(Table2[[#Headers],[Inner Spring OD]],Table2[#Headers],0),0)</f>
        <v>Null</v>
      </c>
      <c r="BF181" s="2" t="str">
        <f>VLOOKUP([jobnumber],OvalData[],MATCH(Table2[[#Headers],[Inner Spring Length]],Table2[#Headers],0),0)</f>
        <v>Null</v>
      </c>
      <c r="BG181" s="2" t="str">
        <f>VLOOKUP([jobnumber],OvalData[],MATCH(Table2[[#Headers],[Inner Spring Stretch]],Table2[#Headers],0),0)</f>
        <v>Null</v>
      </c>
      <c r="BH181" s="2" t="str">
        <f>VLOOKUP([jobnumber],OvalData[],MATCH(Table2[[#Headers],[Inner Spring Torque]],Table2[#Headers],0),0)</f>
        <v>Null</v>
      </c>
      <c r="BI181" s="2" t="str">
        <f>VLOOKUP([jobnumber],OvalData[],MATCH(Table2[[#Headers],[Inner Spring Max Turns]],Table2[#Headers],0),0)</f>
        <v>Null</v>
      </c>
      <c r="BJ181" s="2" t="str">
        <f>VLOOKUP([jobnumber],OvalData[],MATCH(Table2[[#Headers],[Inner Spring Weight]],Table2[#Headers],0),0)</f>
        <v>Null</v>
      </c>
      <c r="BK181" s="2">
        <f>VLOOKUP([jobnumber],OvalData[],MATCH(Table2[[#Headers],[Cycles]],Table2[#Headers],0),0)</f>
        <v>0</v>
      </c>
      <c r="BL181" s="2">
        <f>VLOOKUP([jobnumber],OvalData[],MATCH(Table2[[#Headers],[Total Spring Torque]],Table2[#Headers],0),0)</f>
        <v>0</v>
      </c>
      <c r="BM181" s="2">
        <f>VLOOKUP([jobnumber],OvalData[],MATCH(Table2[[#Headers],[Total Spring Weight]],Table2[#Headers],0),0)</f>
        <v>0</v>
      </c>
      <c r="BN181" s="2">
        <f>VLOOKUP([jobnumber],OvalData[],MATCH(Table2[[#Headers],[Pipe Weight]],Table2[#Headers],0),0)</f>
        <v>688.24239999999998</v>
      </c>
      <c r="BO181" s="2">
        <f>VLOOKUP([jobnumber],OvalData[],MATCH(Table2[[#Headers],[Max Pipe Deflection]],Table2[#Headers],0),0)</f>
        <v>2309</v>
      </c>
      <c r="BP181" s="2">
        <f>VLOOKUP([jobnumber],OvalData[],MATCH(Table2[[#Headers],[Number Non-Insulated Wrap Slats]],Table2[#Headers],0),0)</f>
        <v>0</v>
      </c>
      <c r="BQ181" s="2">
        <f>VLOOKUP([jobnumber],OvalData[],MATCH(Table2[[#Headers],[Number of Insolated Top Slats]],Table2[#Headers],0),0)</f>
        <v>45</v>
      </c>
      <c r="BR181" s="2">
        <f>VLOOKUP([jobnumber],OvalData[],MATCH(Table2[[#Headers],[Insolated Total Slats]],Table2[#Headers],0),0)</f>
        <v>45</v>
      </c>
      <c r="BS181" s="2">
        <f>VLOOKUP([jobnumber],OvalData[],MATCH(Table2[[#Headers],[Number of Slats]],Table2[#Headers],0),0)</f>
        <v>44.69</v>
      </c>
      <c r="BT181" s="2">
        <f>VLOOKUP([jobnumber],OvalData[],MATCH(Table2[[#Headers],[Wrap]],Table2[#Headers],0),0)</f>
        <v>0</v>
      </c>
      <c r="BU181" s="2">
        <f>VLOOKUP([jobnumber],OvalData[],MATCH(Table2[[#Headers],[Wall Angle Thickness]],Table2[#Headers],0),0)</f>
        <v>0</v>
      </c>
      <c r="BV181" s="2">
        <f>VLOOKUP([jobnumber],OvalData[],MATCH(Table2[[#Headers],[windlocks]],Table2[#Headers],0),0)</f>
        <v>0</v>
      </c>
      <c r="BW181" s="2" t="str">
        <f>VLOOKUP([jobnumber],OvalData[],MATCH(Table2[[#Headers],[bottombartype]],Table2[#Headers],0),0)</f>
        <v>SPECIAL</v>
      </c>
      <c r="BX181" s="2">
        <f>VLOOKUP([jobnumber],OvalData[],MATCH(Table2[[#Headers],[endlockweight]],Table2[#Headers],0),0)</f>
        <v>0.17</v>
      </c>
      <c r="BY181" s="2">
        <f>VLOOKUP([jobnumber],OvalData[],MATCH(Table2[[#Headers],[Endlock Total Weight]],Table2[#Headers],0),0)</f>
        <v>7.5972999999999997</v>
      </c>
      <c r="BZ181" s="2">
        <f>VLOOKUP([jobnumber],OvalData[],MATCH(Table2[[#Headers],[Grille Weight]],Table2[#Headers],0),0)</f>
        <v>0</v>
      </c>
      <c r="CA181" s="2">
        <f>VLOOKUP([jobnumber],OvalData[],MATCH(Table2[[#Headers],[barrelrings]],Table2[#Headers],0),0)</f>
        <v>1</v>
      </c>
    </row>
    <row r="182" spans="2:79">
      <c r="B182" s="2" t="str">
        <f>VLOOKUP([jobnumber],OvalData[],MATCH(Table2[[#Headers],[Hand]],Table2[#Headers],0),0)</f>
        <v>RH</v>
      </c>
      <c r="C182" s="2" t="str">
        <f>VLOOKUP([jobnumber],OvalData[],MATCH(Table2[[#Headers],[Model]],Table2[#Headers],0),0)</f>
        <v>SFMPP</v>
      </c>
      <c r="D182" s="2" t="str">
        <f>VLOOKUP([jobnumber],OvalData[],MATCH(Table2[[#Headers],[width]],Table2[#Headers],0),0)</f>
        <v xml:space="preserve"> 18 ft.- 2"</v>
      </c>
      <c r="E182" s="2" t="str">
        <f>VLOOKUP([jobnumber],OvalData[],MATCH(Table2[[#Headers],[stopheight]],Table2[#Headers],0),0)</f>
        <v xml:space="preserve"> 10 ft.- 0"</v>
      </c>
      <c r="F182" s="2" t="str">
        <f>VLOOKUP([jobnumber],OvalData[],MATCH(Table2[[#Headers],[Between Brackets]],Table2[#Headers],0),0)</f>
        <v xml:space="preserve"> 18 ft.- 7 7/ 8"</v>
      </c>
      <c r="G182" s="2" t="str">
        <f>VLOOKUP([jobnumber],OvalData[],MATCH(Table2[[#Headers],[shell]],Table2[#Headers],0),0)</f>
        <v>6 INCH TUBE</v>
      </c>
      <c r="H182" s="2" t="str">
        <f>VLOOKUP([jobnumber],OvalData[],MATCH(Table2[[#Headers],[pipewidth]],Table2[#Headers],0),0)</f>
        <v xml:space="preserve"> 18 ft.- 1 3/ 8"</v>
      </c>
      <c r="I182" s="2">
        <f>VLOOKUP([jobnumber],OvalData[],MATCH(Table2[[#Headers],[Support Tubes]],Table2[#Headers],0),0)</f>
        <v>0</v>
      </c>
      <c r="J182" s="2">
        <f>VLOOKUP([jobnumber],OvalData[],MATCH(Table2[[#Headers],[Upset]],Table2[#Headers],0),0)</f>
        <v>2</v>
      </c>
      <c r="K182" s="2" t="str">
        <f>VLOOKUP([jobnumber],OvalData[],MATCH(Table2[[#Headers],[Guide Type]],Table2[#Headers],0),0)</f>
        <v>SN2-4 5/8-E</v>
      </c>
      <c r="L182" s="2" t="str">
        <f>VLOOKUP([jobnumber],OvalData[],MATCH(Table2[[#Headers],[Wall Angle]],Table2[#Headers],0),0)</f>
        <v xml:space="preserve"> 11 ft.- 8"</v>
      </c>
      <c r="M182" s="2" t="str">
        <f>VLOOKUP([jobnumber],OvalData[],MATCH(Table2[[#Headers],[Middle Angle]],Table2[#Headers],0),0)</f>
        <v xml:space="preserve"> 10 ft.- 4 1/ 2"</v>
      </c>
      <c r="N182" s="2" t="str">
        <f>VLOOKUP([jobnumber],OvalData[],MATCH(Table2[[#Headers],[Front Angle]],Table2[#Headers],0),0)</f>
        <v xml:space="preserve"> 10 ft.- 3"</v>
      </c>
      <c r="O182" s="2">
        <f>VLOOKUP([jobnumber],OvalData[],MATCH(Table2[[#Headers],[Pipe Center Line]],Table2[#Headers],0),0)</f>
        <v>131</v>
      </c>
      <c r="P182" s="2">
        <f>VLOOKUP([jobnumber],OvalData[],MATCH(Table2[[#Headers],[Heat Expansion Gap]],Table2[#Headers],0),0)</f>
        <v>0</v>
      </c>
      <c r="Q182" s="2">
        <f>VLOOKUP([jobnumber],OvalData[],MATCH(Table2[[#Headers],[Hanging Weight Closed]],Table2[#Headers],0),0)</f>
        <v>795</v>
      </c>
      <c r="R182" s="2">
        <f>VLOOKUP([jobnumber],OvalData[],MATCH(Table2[[#Headers],[Hanging Weight Open]],Table2[#Headers],0),0)</f>
        <v>140</v>
      </c>
      <c r="S182" s="2">
        <f>VLOOKUP([jobnumber],OvalData[],MATCH(Table2[[#Headers],[Initial Lever Arm]],Table2[#Headers],0),0)</f>
        <v>4.25</v>
      </c>
      <c r="T182" s="2">
        <f>VLOOKUP([jobnumber],OvalData[],MATCH(Table2[[#Headers],[Turns to Raise]],Table2[#Headers],0),0)</f>
        <v>3.5859999999999999</v>
      </c>
      <c r="U182" s="2">
        <f>VLOOKUP([jobnumber],OvalData[],MATCH(Table2[[#Headers],[Final Lever Arm]],Table2[#Headers],0),0)</f>
        <v>6.37</v>
      </c>
      <c r="V182" s="2">
        <f>VLOOKUP([jobnumber],OvalData[],MATCH(Table2[[#Headers],[Torque Required Closed]],Table2[#Headers],0),0)</f>
        <v>3377.9</v>
      </c>
      <c r="W182" s="2">
        <f>VLOOKUP([jobnumber],OvalData[],MATCH(Table2[[#Headers],[Torque Required Open]],Table2[#Headers],0),0)</f>
        <v>892</v>
      </c>
      <c r="X182" s="2">
        <f>VLOOKUP([jobnumber],OvalData[],MATCH(Table2[[#Headers],[Pre Turns]],Table2[#Headers],0),0)</f>
        <v>1.3332999999999999</v>
      </c>
      <c r="Y182" s="2">
        <f>VLOOKUP([jobnumber],OvalData[],MATCH(Table2[[#Headers],[Required Torque Per Turn]],Table2[#Headers],0),0)</f>
        <v>688</v>
      </c>
      <c r="Z182" s="2">
        <f>VLOOKUP([jobnumber],OvalData[],MATCH(Table2[[#Headers],[Total Turns]],Table2[#Headers],0),0)</f>
        <v>4.91</v>
      </c>
      <c r="AA182" s="2">
        <f>VLOOKUP([jobnumber],OvalData[],MATCH(Table2[[#Headers],[Grille Vision Section]],Table2[#Headers],0),0)</f>
        <v>0</v>
      </c>
      <c r="AB182" s="2">
        <f>VLOOKUP([jobnumber],OvalData[],MATCH(Table2[[#Headers],[Grille Amount]],Table2[#Headers],0),0)</f>
        <v>0</v>
      </c>
      <c r="AC182" s="2">
        <f>VLOOKUP([jobnumber],OvalData[],MATCH(Table2[[#Headers],[Grille Center]],Table2[#Headers],0),0)</f>
        <v>0</v>
      </c>
      <c r="AD182" s="2">
        <f>VLOOKUP([jobnumber],OvalData[],MATCH(Table2[[#Headers],[Grille Pattern]],Table2[#Headers],0),0)</f>
        <v>0</v>
      </c>
      <c r="AE182" s="2">
        <f>VLOOKUP([jobnumber],OvalData[],MATCH(Table2[[#Headers],[Grille First Tube]],Table2[#Headers],0),0)</f>
        <v>0</v>
      </c>
      <c r="AF182" s="2">
        <f>VLOOKUP([jobnumber],OvalData[],MATCH(Table2[[#Headers],[Grille Standard Tube]],Table2[#Headers],0),0)</f>
        <v>0</v>
      </c>
      <c r="AG182" s="2">
        <f>VLOOKUP([jobnumber],OvalData[],MATCH(Table2[[#Headers],[Grille Total Links]],Table2[#Headers],0),0)</f>
        <v>0</v>
      </c>
      <c r="AH182" s="2">
        <f>VLOOKUP([jobnumber],OvalData[],MATCH(Table2[[#Headers],[Grille Rods]],Table2[#Headers],0),0)</f>
        <v>0</v>
      </c>
      <c r="AI182" s="2">
        <f>VLOOKUP([jobnumber],OvalData[],MATCH(Table2[[#Headers],[Grille Rod Length]],Table2[#Headers],0),0)</f>
        <v>0</v>
      </c>
      <c r="AJ182" s="2">
        <f>VLOOKUP([jobnumber],OvalData[],MATCH(Table2[[#Headers],[slattype]],Table2[#Headers],0),0)</f>
        <v>2</v>
      </c>
      <c r="AK182" s="2">
        <f>VLOOKUP([jobnumber],OvalData[],MATCH(Table2[[#Headers],[slatgage]],Table2[#Headers],0),0)</f>
        <v>18</v>
      </c>
      <c r="AL182" s="2">
        <f>VLOOKUP([jobnumber],OvalData[],MATCH(Table2[[#Headers],[Numer of Top Slats]],Table2[#Headers],0),0)</f>
        <v>0</v>
      </c>
      <c r="AM182" s="2">
        <f>VLOOKUP([jobnumber],OvalData[],MATCH(Table2[[#Headers],[Number of Bottom Slats]],Table2[#Headers],0),0)</f>
        <v>0</v>
      </c>
      <c r="AN182" s="2">
        <f>VLOOKUP([jobnumber],OvalData[],MATCH(Table2[[#Headers],[Solid Bottom Height]],Table2[#Headers],0),0)</f>
        <v>0</v>
      </c>
      <c r="AO182" s="2" t="str">
        <f>VLOOKUP([jobnumber],OvalData[],MATCH(Table2[[#Headers],[slatlength]],Table2[#Headers],0),0)</f>
        <v xml:space="preserve"> 18 ft.- 5 7/ 8"</v>
      </c>
      <c r="AP182" s="2">
        <f>VLOOKUP([jobnumber],OvalData[],MATCH(Table2[[#Headers],[Bottom Slat Length]],Table2[#Headers],0),0)</f>
        <v>0</v>
      </c>
      <c r="AQ182" s="2">
        <f>VLOOKUP([jobnumber],OvalData[],MATCH(Table2[[#Headers],[Number of Perferated Slats]],Table2[#Headers],0),0)</f>
        <v>0</v>
      </c>
      <c r="AR182" s="2">
        <f>VLOOKUP([jobnumber],OvalData[],MATCH(Table2[[#Headers],[First Preferated Slat From End]],Table2[#Headers],0),0)</f>
        <v>0</v>
      </c>
      <c r="AS182" s="2">
        <f>VLOOKUP([jobnumber],OvalData[],MATCH(Table2[[#Headers],[First Preferated Slat From Bottom]],Table2[#Headers],0),0)</f>
        <v>0</v>
      </c>
      <c r="AT182" s="2">
        <f>VLOOKUP([jobnumber],OvalData[],MATCH(Table2[[#Headers],[Total Number of Slats]],Table2[#Headers],0),0)</f>
        <v>51</v>
      </c>
      <c r="AU182" s="2">
        <f>VLOOKUP([jobnumber],OvalData[],MATCH(Table2[[#Headers],[Bottom Bar Slope]],Table2[#Headers],0),0)</f>
        <v>0</v>
      </c>
      <c r="AV182" s="2">
        <f>VLOOKUP([jobnumber],OvalData[],MATCH(Table2[[#Headers],[Bottom Bar Weight]],Table2[#Headers],0),0)</f>
        <v>80.5</v>
      </c>
      <c r="AW182" s="2" t="str">
        <f>VLOOKUP([jobnumber],OvalData[],MATCH(Table2[[#Headers],[Outer Spring Gage]],Table2[#Headers],0),0)</f>
        <v>Null</v>
      </c>
      <c r="AX182" s="2" t="str">
        <f>VLOOKUP([jobnumber],OvalData[],MATCH(Table2[[#Headers],[Outer Spring OD]],Table2[#Headers],0),0)</f>
        <v>Null</v>
      </c>
      <c r="AY182" s="2" t="str">
        <f>VLOOKUP([jobnumber],OvalData[],MATCH(Table2[[#Headers],[Outer Spring Length]],Table2[#Headers],0),0)</f>
        <v>Null</v>
      </c>
      <c r="AZ182" s="2" t="str">
        <f>VLOOKUP([jobnumber],OvalData[],MATCH(Table2[[#Headers],[Outer Spring Stretch]],Table2[#Headers],0),0)</f>
        <v>Null</v>
      </c>
      <c r="BA182" s="2" t="str">
        <f>VLOOKUP([jobnumber],OvalData[],MATCH(Table2[[#Headers],[Outer Spring Torque]],Table2[#Headers],0),0)</f>
        <v>Null</v>
      </c>
      <c r="BB182" s="2" t="str">
        <f>VLOOKUP([jobnumber],OvalData[],MATCH(Table2[[#Headers],[Outer Spring Max Turns]],Table2[#Headers],0),0)</f>
        <v>Null</v>
      </c>
      <c r="BC182" s="2" t="str">
        <f>VLOOKUP([jobnumber],OvalData[],MATCH(Table2[[#Headers],[Outer Spring Weight]],Table2[#Headers],0),0)</f>
        <v>Null</v>
      </c>
      <c r="BD182" s="2" t="str">
        <f>VLOOKUP([jobnumber],OvalData[],MATCH(Table2[[#Headers],[Inner Spring Gage]],Table2[#Headers],0),0)</f>
        <v>Null</v>
      </c>
      <c r="BE182" s="2" t="str">
        <f>VLOOKUP([jobnumber],OvalData[],MATCH(Table2[[#Headers],[Inner Spring OD]],Table2[#Headers],0),0)</f>
        <v>Null</v>
      </c>
      <c r="BF182" s="2" t="str">
        <f>VLOOKUP([jobnumber],OvalData[],MATCH(Table2[[#Headers],[Inner Spring Length]],Table2[#Headers],0),0)</f>
        <v>Null</v>
      </c>
      <c r="BG182" s="2" t="str">
        <f>VLOOKUP([jobnumber],OvalData[],MATCH(Table2[[#Headers],[Inner Spring Stretch]],Table2[#Headers],0),0)</f>
        <v>Null</v>
      </c>
      <c r="BH182" s="2" t="str">
        <f>VLOOKUP([jobnumber],OvalData[],MATCH(Table2[[#Headers],[Inner Spring Torque]],Table2[#Headers],0),0)</f>
        <v>Null</v>
      </c>
      <c r="BI182" s="2" t="str">
        <f>VLOOKUP([jobnumber],OvalData[],MATCH(Table2[[#Headers],[Inner Spring Max Turns]],Table2[#Headers],0),0)</f>
        <v>Null</v>
      </c>
      <c r="BJ182" s="2" t="str">
        <f>VLOOKUP([jobnumber],OvalData[],MATCH(Table2[[#Headers],[Inner Spring Weight]],Table2[#Headers],0),0)</f>
        <v>Null</v>
      </c>
      <c r="BK182" s="2">
        <f>VLOOKUP([jobnumber],OvalData[],MATCH(Table2[[#Headers],[Cycles]],Table2[#Headers],0),0)</f>
        <v>0</v>
      </c>
      <c r="BL182" s="2">
        <f>VLOOKUP([jobnumber],OvalData[],MATCH(Table2[[#Headers],[Total Spring Torque]],Table2[#Headers],0),0)</f>
        <v>0</v>
      </c>
      <c r="BM182" s="2">
        <f>VLOOKUP([jobnumber],OvalData[],MATCH(Table2[[#Headers],[Total Spring Weight]],Table2[#Headers],0),0)</f>
        <v>0</v>
      </c>
      <c r="BN182" s="2">
        <f>VLOOKUP([jobnumber],OvalData[],MATCH(Table2[[#Headers],[Pipe Weight]],Table2[#Headers],0),0)</f>
        <v>688.24239999999998</v>
      </c>
      <c r="BO182" s="2">
        <f>VLOOKUP([jobnumber],OvalData[],MATCH(Table2[[#Headers],[Max Pipe Deflection]],Table2[#Headers],0),0)</f>
        <v>2309</v>
      </c>
      <c r="BP182" s="2">
        <f>VLOOKUP([jobnumber],OvalData[],MATCH(Table2[[#Headers],[Number Non-Insulated Wrap Slats]],Table2[#Headers],0),0)</f>
        <v>0</v>
      </c>
      <c r="BQ182" s="2">
        <f>VLOOKUP([jobnumber],OvalData[],MATCH(Table2[[#Headers],[Number of Insolated Top Slats]],Table2[#Headers],0),0)</f>
        <v>45</v>
      </c>
      <c r="BR182" s="2">
        <f>VLOOKUP([jobnumber],OvalData[],MATCH(Table2[[#Headers],[Insolated Total Slats]],Table2[#Headers],0),0)</f>
        <v>45</v>
      </c>
      <c r="BS182" s="2">
        <f>VLOOKUP([jobnumber],OvalData[],MATCH(Table2[[#Headers],[Number of Slats]],Table2[#Headers],0),0)</f>
        <v>44.69</v>
      </c>
      <c r="BT182" s="2">
        <f>VLOOKUP([jobnumber],OvalData[],MATCH(Table2[[#Headers],[Wrap]],Table2[#Headers],0),0)</f>
        <v>0</v>
      </c>
      <c r="BU182" s="2">
        <f>VLOOKUP([jobnumber],OvalData[],MATCH(Table2[[#Headers],[Wall Angle Thickness]],Table2[#Headers],0),0)</f>
        <v>0</v>
      </c>
      <c r="BV182" s="2">
        <f>VLOOKUP([jobnumber],OvalData[],MATCH(Table2[[#Headers],[windlocks]],Table2[#Headers],0),0)</f>
        <v>0</v>
      </c>
      <c r="BW182" s="2" t="str">
        <f>VLOOKUP([jobnumber],OvalData[],MATCH(Table2[[#Headers],[bottombartype]],Table2[#Headers],0),0)</f>
        <v>SPECIAL</v>
      </c>
      <c r="BX182" s="2">
        <f>VLOOKUP([jobnumber],OvalData[],MATCH(Table2[[#Headers],[endlockweight]],Table2[#Headers],0),0)</f>
        <v>0.17</v>
      </c>
      <c r="BY182" s="2">
        <f>VLOOKUP([jobnumber],OvalData[],MATCH(Table2[[#Headers],[Endlock Total Weight]],Table2[#Headers],0),0)</f>
        <v>7.5972999999999997</v>
      </c>
      <c r="BZ182" s="2">
        <f>VLOOKUP([jobnumber],OvalData[],MATCH(Table2[[#Headers],[Grille Weight]],Table2[#Headers],0),0)</f>
        <v>0</v>
      </c>
      <c r="CA182" s="2">
        <f>VLOOKUP([jobnumber],OvalData[],MATCH(Table2[[#Headers],[barrelrings]],Table2[#Headers],0),0)</f>
        <v>1</v>
      </c>
    </row>
    <row r="183" spans="2:79">
      <c r="B183" s="2" t="str">
        <f>VLOOKUP([jobnumber],OvalData[],MATCH(Table2[[#Headers],[Hand]],Table2[#Headers],0),0)</f>
        <v>RH</v>
      </c>
      <c r="C183" s="2" t="str">
        <f>VLOOKUP([jobnumber],OvalData[],MATCH(Table2[[#Headers],[Model]],Table2[#Headers],0),0)</f>
        <v>SFMPP</v>
      </c>
      <c r="D183" s="2" t="str">
        <f>VLOOKUP([jobnumber],OvalData[],MATCH(Table2[[#Headers],[width]],Table2[#Headers],0),0)</f>
        <v xml:space="preserve"> 18 ft.- 2"</v>
      </c>
      <c r="E183" s="2" t="str">
        <f>VLOOKUP([jobnumber],OvalData[],MATCH(Table2[[#Headers],[stopheight]],Table2[#Headers],0),0)</f>
        <v xml:space="preserve"> 10 ft.- 0"</v>
      </c>
      <c r="F183" s="2" t="str">
        <f>VLOOKUP([jobnumber],OvalData[],MATCH(Table2[[#Headers],[Between Brackets]],Table2[#Headers],0),0)</f>
        <v xml:space="preserve"> 18 ft.- 7 7/ 8"</v>
      </c>
      <c r="G183" s="2" t="str">
        <f>VLOOKUP([jobnumber],OvalData[],MATCH(Table2[[#Headers],[shell]],Table2[#Headers],0),0)</f>
        <v>6 INCH TUBE</v>
      </c>
      <c r="H183" s="2" t="str">
        <f>VLOOKUP([jobnumber],OvalData[],MATCH(Table2[[#Headers],[pipewidth]],Table2[#Headers],0),0)</f>
        <v xml:space="preserve"> 18 ft.- 1 3/ 8"</v>
      </c>
      <c r="I183" s="2">
        <f>VLOOKUP([jobnumber],OvalData[],MATCH(Table2[[#Headers],[Support Tubes]],Table2[#Headers],0),0)</f>
        <v>0</v>
      </c>
      <c r="J183" s="2">
        <f>VLOOKUP([jobnumber],OvalData[],MATCH(Table2[[#Headers],[Upset]],Table2[#Headers],0),0)</f>
        <v>2</v>
      </c>
      <c r="K183" s="2" t="str">
        <f>VLOOKUP([jobnumber],OvalData[],MATCH(Table2[[#Headers],[Guide Type]],Table2[#Headers],0),0)</f>
        <v>SN2-4 5/8-E</v>
      </c>
      <c r="L183" s="2" t="str">
        <f>VLOOKUP([jobnumber],OvalData[],MATCH(Table2[[#Headers],[Wall Angle]],Table2[#Headers],0),0)</f>
        <v xml:space="preserve"> 11 ft.- 8"</v>
      </c>
      <c r="M183" s="2" t="str">
        <f>VLOOKUP([jobnumber],OvalData[],MATCH(Table2[[#Headers],[Middle Angle]],Table2[#Headers],0),0)</f>
        <v xml:space="preserve"> 10 ft.- 4 1/ 2"</v>
      </c>
      <c r="N183" s="2" t="str">
        <f>VLOOKUP([jobnumber],OvalData[],MATCH(Table2[[#Headers],[Front Angle]],Table2[#Headers],0),0)</f>
        <v xml:space="preserve"> 10 ft.- 3"</v>
      </c>
      <c r="O183" s="2">
        <f>VLOOKUP([jobnumber],OvalData[],MATCH(Table2[[#Headers],[Pipe Center Line]],Table2[#Headers],0),0)</f>
        <v>131</v>
      </c>
      <c r="P183" s="2">
        <f>VLOOKUP([jobnumber],OvalData[],MATCH(Table2[[#Headers],[Heat Expansion Gap]],Table2[#Headers],0),0)</f>
        <v>0</v>
      </c>
      <c r="Q183" s="2">
        <f>VLOOKUP([jobnumber],OvalData[],MATCH(Table2[[#Headers],[Hanging Weight Closed]],Table2[#Headers],0),0)</f>
        <v>795</v>
      </c>
      <c r="R183" s="2">
        <f>VLOOKUP([jobnumber],OvalData[],MATCH(Table2[[#Headers],[Hanging Weight Open]],Table2[#Headers],0),0)</f>
        <v>140</v>
      </c>
      <c r="S183" s="2">
        <f>VLOOKUP([jobnumber],OvalData[],MATCH(Table2[[#Headers],[Initial Lever Arm]],Table2[#Headers],0),0)</f>
        <v>4.25</v>
      </c>
      <c r="T183" s="2">
        <f>VLOOKUP([jobnumber],OvalData[],MATCH(Table2[[#Headers],[Turns to Raise]],Table2[#Headers],0),0)</f>
        <v>3.5859999999999999</v>
      </c>
      <c r="U183" s="2">
        <f>VLOOKUP([jobnumber],OvalData[],MATCH(Table2[[#Headers],[Final Lever Arm]],Table2[#Headers],0),0)</f>
        <v>6.37</v>
      </c>
      <c r="V183" s="2">
        <f>VLOOKUP([jobnumber],OvalData[],MATCH(Table2[[#Headers],[Torque Required Closed]],Table2[#Headers],0),0)</f>
        <v>3377.9</v>
      </c>
      <c r="W183" s="2">
        <f>VLOOKUP([jobnumber],OvalData[],MATCH(Table2[[#Headers],[Torque Required Open]],Table2[#Headers],0),0)</f>
        <v>892</v>
      </c>
      <c r="X183" s="2">
        <f>VLOOKUP([jobnumber],OvalData[],MATCH(Table2[[#Headers],[Pre Turns]],Table2[#Headers],0),0)</f>
        <v>1.3332999999999999</v>
      </c>
      <c r="Y183" s="2">
        <f>VLOOKUP([jobnumber],OvalData[],MATCH(Table2[[#Headers],[Required Torque Per Turn]],Table2[#Headers],0),0)</f>
        <v>688</v>
      </c>
      <c r="Z183" s="2">
        <f>VLOOKUP([jobnumber],OvalData[],MATCH(Table2[[#Headers],[Total Turns]],Table2[#Headers],0),0)</f>
        <v>4.91</v>
      </c>
      <c r="AA183" s="2">
        <f>VLOOKUP([jobnumber],OvalData[],MATCH(Table2[[#Headers],[Grille Vision Section]],Table2[#Headers],0),0)</f>
        <v>0</v>
      </c>
      <c r="AB183" s="2">
        <f>VLOOKUP([jobnumber],OvalData[],MATCH(Table2[[#Headers],[Grille Amount]],Table2[#Headers],0),0)</f>
        <v>0</v>
      </c>
      <c r="AC183" s="2">
        <f>VLOOKUP([jobnumber],OvalData[],MATCH(Table2[[#Headers],[Grille Center]],Table2[#Headers],0),0)</f>
        <v>0</v>
      </c>
      <c r="AD183" s="2">
        <f>VLOOKUP([jobnumber],OvalData[],MATCH(Table2[[#Headers],[Grille Pattern]],Table2[#Headers],0),0)</f>
        <v>0</v>
      </c>
      <c r="AE183" s="2">
        <f>VLOOKUP([jobnumber],OvalData[],MATCH(Table2[[#Headers],[Grille First Tube]],Table2[#Headers],0),0)</f>
        <v>0</v>
      </c>
      <c r="AF183" s="2">
        <f>VLOOKUP([jobnumber],OvalData[],MATCH(Table2[[#Headers],[Grille Standard Tube]],Table2[#Headers],0),0)</f>
        <v>0</v>
      </c>
      <c r="AG183" s="2">
        <f>VLOOKUP([jobnumber],OvalData[],MATCH(Table2[[#Headers],[Grille Total Links]],Table2[#Headers],0),0)</f>
        <v>0</v>
      </c>
      <c r="AH183" s="2">
        <f>VLOOKUP([jobnumber],OvalData[],MATCH(Table2[[#Headers],[Grille Rods]],Table2[#Headers],0),0)</f>
        <v>0</v>
      </c>
      <c r="AI183" s="2">
        <f>VLOOKUP([jobnumber],OvalData[],MATCH(Table2[[#Headers],[Grille Rod Length]],Table2[#Headers],0),0)</f>
        <v>0</v>
      </c>
      <c r="AJ183" s="2">
        <f>VLOOKUP([jobnumber],OvalData[],MATCH(Table2[[#Headers],[slattype]],Table2[#Headers],0),0)</f>
        <v>2</v>
      </c>
      <c r="AK183" s="2">
        <f>VLOOKUP([jobnumber],OvalData[],MATCH(Table2[[#Headers],[slatgage]],Table2[#Headers],0),0)</f>
        <v>18</v>
      </c>
      <c r="AL183" s="2">
        <f>VLOOKUP([jobnumber],OvalData[],MATCH(Table2[[#Headers],[Numer of Top Slats]],Table2[#Headers],0),0)</f>
        <v>0</v>
      </c>
      <c r="AM183" s="2">
        <f>VLOOKUP([jobnumber],OvalData[],MATCH(Table2[[#Headers],[Number of Bottom Slats]],Table2[#Headers],0),0)</f>
        <v>0</v>
      </c>
      <c r="AN183" s="2">
        <f>VLOOKUP([jobnumber],OvalData[],MATCH(Table2[[#Headers],[Solid Bottom Height]],Table2[#Headers],0),0)</f>
        <v>0</v>
      </c>
      <c r="AO183" s="2" t="str">
        <f>VLOOKUP([jobnumber],OvalData[],MATCH(Table2[[#Headers],[slatlength]],Table2[#Headers],0),0)</f>
        <v xml:space="preserve"> 18 ft.- 5 7/ 8"</v>
      </c>
      <c r="AP183" s="2">
        <f>VLOOKUP([jobnumber],OvalData[],MATCH(Table2[[#Headers],[Bottom Slat Length]],Table2[#Headers],0),0)</f>
        <v>0</v>
      </c>
      <c r="AQ183" s="2">
        <f>VLOOKUP([jobnumber],OvalData[],MATCH(Table2[[#Headers],[Number of Perferated Slats]],Table2[#Headers],0),0)</f>
        <v>0</v>
      </c>
      <c r="AR183" s="2">
        <f>VLOOKUP([jobnumber],OvalData[],MATCH(Table2[[#Headers],[First Preferated Slat From End]],Table2[#Headers],0),0)</f>
        <v>0</v>
      </c>
      <c r="AS183" s="2">
        <f>VLOOKUP([jobnumber],OvalData[],MATCH(Table2[[#Headers],[First Preferated Slat From Bottom]],Table2[#Headers],0),0)</f>
        <v>0</v>
      </c>
      <c r="AT183" s="2">
        <f>VLOOKUP([jobnumber],OvalData[],MATCH(Table2[[#Headers],[Total Number of Slats]],Table2[#Headers],0),0)</f>
        <v>51</v>
      </c>
      <c r="AU183" s="2">
        <f>VLOOKUP([jobnumber],OvalData[],MATCH(Table2[[#Headers],[Bottom Bar Slope]],Table2[#Headers],0),0)</f>
        <v>0</v>
      </c>
      <c r="AV183" s="2">
        <f>VLOOKUP([jobnumber],OvalData[],MATCH(Table2[[#Headers],[Bottom Bar Weight]],Table2[#Headers],0),0)</f>
        <v>80.5</v>
      </c>
      <c r="AW183" s="2" t="str">
        <f>VLOOKUP([jobnumber],OvalData[],MATCH(Table2[[#Headers],[Outer Spring Gage]],Table2[#Headers],0),0)</f>
        <v>Null</v>
      </c>
      <c r="AX183" s="2" t="str">
        <f>VLOOKUP([jobnumber],OvalData[],MATCH(Table2[[#Headers],[Outer Spring OD]],Table2[#Headers],0),0)</f>
        <v>Null</v>
      </c>
      <c r="AY183" s="2" t="str">
        <f>VLOOKUP([jobnumber],OvalData[],MATCH(Table2[[#Headers],[Outer Spring Length]],Table2[#Headers],0),0)</f>
        <v>Null</v>
      </c>
      <c r="AZ183" s="2" t="str">
        <f>VLOOKUP([jobnumber],OvalData[],MATCH(Table2[[#Headers],[Outer Spring Stretch]],Table2[#Headers],0),0)</f>
        <v>Null</v>
      </c>
      <c r="BA183" s="2" t="str">
        <f>VLOOKUP([jobnumber],OvalData[],MATCH(Table2[[#Headers],[Outer Spring Torque]],Table2[#Headers],0),0)</f>
        <v>Null</v>
      </c>
      <c r="BB183" s="2" t="str">
        <f>VLOOKUP([jobnumber],OvalData[],MATCH(Table2[[#Headers],[Outer Spring Max Turns]],Table2[#Headers],0),0)</f>
        <v>Null</v>
      </c>
      <c r="BC183" s="2" t="str">
        <f>VLOOKUP([jobnumber],OvalData[],MATCH(Table2[[#Headers],[Outer Spring Weight]],Table2[#Headers],0),0)</f>
        <v>Null</v>
      </c>
      <c r="BD183" s="2" t="str">
        <f>VLOOKUP([jobnumber],OvalData[],MATCH(Table2[[#Headers],[Inner Spring Gage]],Table2[#Headers],0),0)</f>
        <v>Null</v>
      </c>
      <c r="BE183" s="2" t="str">
        <f>VLOOKUP([jobnumber],OvalData[],MATCH(Table2[[#Headers],[Inner Spring OD]],Table2[#Headers],0),0)</f>
        <v>Null</v>
      </c>
      <c r="BF183" s="2" t="str">
        <f>VLOOKUP([jobnumber],OvalData[],MATCH(Table2[[#Headers],[Inner Spring Length]],Table2[#Headers],0),0)</f>
        <v>Null</v>
      </c>
      <c r="BG183" s="2" t="str">
        <f>VLOOKUP([jobnumber],OvalData[],MATCH(Table2[[#Headers],[Inner Spring Stretch]],Table2[#Headers],0),0)</f>
        <v>Null</v>
      </c>
      <c r="BH183" s="2" t="str">
        <f>VLOOKUP([jobnumber],OvalData[],MATCH(Table2[[#Headers],[Inner Spring Torque]],Table2[#Headers],0),0)</f>
        <v>Null</v>
      </c>
      <c r="BI183" s="2" t="str">
        <f>VLOOKUP([jobnumber],OvalData[],MATCH(Table2[[#Headers],[Inner Spring Max Turns]],Table2[#Headers],0),0)</f>
        <v>Null</v>
      </c>
      <c r="BJ183" s="2" t="str">
        <f>VLOOKUP([jobnumber],OvalData[],MATCH(Table2[[#Headers],[Inner Spring Weight]],Table2[#Headers],0),0)</f>
        <v>Null</v>
      </c>
      <c r="BK183" s="2">
        <f>VLOOKUP([jobnumber],OvalData[],MATCH(Table2[[#Headers],[Cycles]],Table2[#Headers],0),0)</f>
        <v>0</v>
      </c>
      <c r="BL183" s="2">
        <f>VLOOKUP([jobnumber],OvalData[],MATCH(Table2[[#Headers],[Total Spring Torque]],Table2[#Headers],0),0)</f>
        <v>0</v>
      </c>
      <c r="BM183" s="2">
        <f>VLOOKUP([jobnumber],OvalData[],MATCH(Table2[[#Headers],[Total Spring Weight]],Table2[#Headers],0),0)</f>
        <v>0</v>
      </c>
      <c r="BN183" s="2">
        <f>VLOOKUP([jobnumber],OvalData[],MATCH(Table2[[#Headers],[Pipe Weight]],Table2[#Headers],0),0)</f>
        <v>688.24239999999998</v>
      </c>
      <c r="BO183" s="2">
        <f>VLOOKUP([jobnumber],OvalData[],MATCH(Table2[[#Headers],[Max Pipe Deflection]],Table2[#Headers],0),0)</f>
        <v>2309</v>
      </c>
      <c r="BP183" s="2">
        <f>VLOOKUP([jobnumber],OvalData[],MATCH(Table2[[#Headers],[Number Non-Insulated Wrap Slats]],Table2[#Headers],0),0)</f>
        <v>0</v>
      </c>
      <c r="BQ183" s="2">
        <f>VLOOKUP([jobnumber],OvalData[],MATCH(Table2[[#Headers],[Number of Insolated Top Slats]],Table2[#Headers],0),0)</f>
        <v>45</v>
      </c>
      <c r="BR183" s="2">
        <f>VLOOKUP([jobnumber],OvalData[],MATCH(Table2[[#Headers],[Insolated Total Slats]],Table2[#Headers],0),0)</f>
        <v>45</v>
      </c>
      <c r="BS183" s="2">
        <f>VLOOKUP([jobnumber],OvalData[],MATCH(Table2[[#Headers],[Number of Slats]],Table2[#Headers],0),0)</f>
        <v>44.69</v>
      </c>
      <c r="BT183" s="2">
        <f>VLOOKUP([jobnumber],OvalData[],MATCH(Table2[[#Headers],[Wrap]],Table2[#Headers],0),0)</f>
        <v>0</v>
      </c>
      <c r="BU183" s="2">
        <f>VLOOKUP([jobnumber],OvalData[],MATCH(Table2[[#Headers],[Wall Angle Thickness]],Table2[#Headers],0),0)</f>
        <v>0</v>
      </c>
      <c r="BV183" s="2">
        <f>VLOOKUP([jobnumber],OvalData[],MATCH(Table2[[#Headers],[windlocks]],Table2[#Headers],0),0)</f>
        <v>0</v>
      </c>
      <c r="BW183" s="2" t="str">
        <f>VLOOKUP([jobnumber],OvalData[],MATCH(Table2[[#Headers],[bottombartype]],Table2[#Headers],0),0)</f>
        <v>SPECIAL</v>
      </c>
      <c r="BX183" s="2">
        <f>VLOOKUP([jobnumber],OvalData[],MATCH(Table2[[#Headers],[endlockweight]],Table2[#Headers],0),0)</f>
        <v>0.17</v>
      </c>
      <c r="BY183" s="2">
        <f>VLOOKUP([jobnumber],OvalData[],MATCH(Table2[[#Headers],[Endlock Total Weight]],Table2[#Headers],0),0)</f>
        <v>7.5972999999999997</v>
      </c>
      <c r="BZ183" s="2">
        <f>VLOOKUP([jobnumber],OvalData[],MATCH(Table2[[#Headers],[Grille Weight]],Table2[#Headers],0),0)</f>
        <v>0</v>
      </c>
      <c r="CA183" s="2">
        <f>VLOOKUP([jobnumber],OvalData[],MATCH(Table2[[#Headers],[barrelrings]],Table2[#Headers],0),0)</f>
        <v>1</v>
      </c>
    </row>
    <row r="184" spans="2:79">
      <c r="B184" s="2" t="str">
        <f>VLOOKUP([jobnumber],OvalData[],MATCH(Table2[[#Headers],[Hand]],Table2[#Headers],0),0)</f>
        <v>RH</v>
      </c>
      <c r="C184" s="2" t="str">
        <f>VLOOKUP([jobnumber],OvalData[],MATCH(Table2[[#Headers],[Model]],Table2[#Headers],0),0)</f>
        <v>SFMPP</v>
      </c>
      <c r="D184" s="2" t="str">
        <f>VLOOKUP([jobnumber],OvalData[],MATCH(Table2[[#Headers],[width]],Table2[#Headers],0),0)</f>
        <v xml:space="preserve"> 18 ft.- 2"</v>
      </c>
      <c r="E184" s="2" t="str">
        <f>VLOOKUP([jobnumber],OvalData[],MATCH(Table2[[#Headers],[stopheight]],Table2[#Headers],0),0)</f>
        <v xml:space="preserve"> 10 ft.- 0"</v>
      </c>
      <c r="F184" s="2" t="str">
        <f>VLOOKUP([jobnumber],OvalData[],MATCH(Table2[[#Headers],[Between Brackets]],Table2[#Headers],0),0)</f>
        <v xml:space="preserve"> 18 ft.- 7 7/ 8"</v>
      </c>
      <c r="G184" s="2" t="str">
        <f>VLOOKUP([jobnumber],OvalData[],MATCH(Table2[[#Headers],[shell]],Table2[#Headers],0),0)</f>
        <v>6 INCH TUBE</v>
      </c>
      <c r="H184" s="2" t="str">
        <f>VLOOKUP([jobnumber],OvalData[],MATCH(Table2[[#Headers],[pipewidth]],Table2[#Headers],0),0)</f>
        <v xml:space="preserve"> 18 ft.- 1 3/ 8"</v>
      </c>
      <c r="I184" s="2">
        <f>VLOOKUP([jobnumber],OvalData[],MATCH(Table2[[#Headers],[Support Tubes]],Table2[#Headers],0),0)</f>
        <v>0</v>
      </c>
      <c r="J184" s="2">
        <f>VLOOKUP([jobnumber],OvalData[],MATCH(Table2[[#Headers],[Upset]],Table2[#Headers],0),0)</f>
        <v>2</v>
      </c>
      <c r="K184" s="2" t="str">
        <f>VLOOKUP([jobnumber],OvalData[],MATCH(Table2[[#Headers],[Guide Type]],Table2[#Headers],0),0)</f>
        <v>SN2-4 5/8-E</v>
      </c>
      <c r="L184" s="2" t="str">
        <f>VLOOKUP([jobnumber],OvalData[],MATCH(Table2[[#Headers],[Wall Angle]],Table2[#Headers],0),0)</f>
        <v xml:space="preserve"> 11 ft.- 8"</v>
      </c>
      <c r="M184" s="2" t="str">
        <f>VLOOKUP([jobnumber],OvalData[],MATCH(Table2[[#Headers],[Middle Angle]],Table2[#Headers],0),0)</f>
        <v xml:space="preserve"> 10 ft.- 4 1/ 2"</v>
      </c>
      <c r="N184" s="2" t="str">
        <f>VLOOKUP([jobnumber],OvalData[],MATCH(Table2[[#Headers],[Front Angle]],Table2[#Headers],0),0)</f>
        <v xml:space="preserve"> 10 ft.- 3"</v>
      </c>
      <c r="O184" s="2">
        <f>VLOOKUP([jobnumber],OvalData[],MATCH(Table2[[#Headers],[Pipe Center Line]],Table2[#Headers],0),0)</f>
        <v>131</v>
      </c>
      <c r="P184" s="2">
        <f>VLOOKUP([jobnumber],OvalData[],MATCH(Table2[[#Headers],[Heat Expansion Gap]],Table2[#Headers],0),0)</f>
        <v>0</v>
      </c>
      <c r="Q184" s="2">
        <f>VLOOKUP([jobnumber],OvalData[],MATCH(Table2[[#Headers],[Hanging Weight Closed]],Table2[#Headers],0),0)</f>
        <v>795</v>
      </c>
      <c r="R184" s="2">
        <f>VLOOKUP([jobnumber],OvalData[],MATCH(Table2[[#Headers],[Hanging Weight Open]],Table2[#Headers],0),0)</f>
        <v>140</v>
      </c>
      <c r="S184" s="2">
        <f>VLOOKUP([jobnumber],OvalData[],MATCH(Table2[[#Headers],[Initial Lever Arm]],Table2[#Headers],0),0)</f>
        <v>4.25</v>
      </c>
      <c r="T184" s="2">
        <f>VLOOKUP([jobnumber],OvalData[],MATCH(Table2[[#Headers],[Turns to Raise]],Table2[#Headers],0),0)</f>
        <v>3.5859999999999999</v>
      </c>
      <c r="U184" s="2">
        <f>VLOOKUP([jobnumber],OvalData[],MATCH(Table2[[#Headers],[Final Lever Arm]],Table2[#Headers],0),0)</f>
        <v>6.37</v>
      </c>
      <c r="V184" s="2">
        <f>VLOOKUP([jobnumber],OvalData[],MATCH(Table2[[#Headers],[Torque Required Closed]],Table2[#Headers],0),0)</f>
        <v>3377.9</v>
      </c>
      <c r="W184" s="2">
        <f>VLOOKUP([jobnumber],OvalData[],MATCH(Table2[[#Headers],[Torque Required Open]],Table2[#Headers],0),0)</f>
        <v>892</v>
      </c>
      <c r="X184" s="2">
        <f>VLOOKUP([jobnumber],OvalData[],MATCH(Table2[[#Headers],[Pre Turns]],Table2[#Headers],0),0)</f>
        <v>1.3332999999999999</v>
      </c>
      <c r="Y184" s="2">
        <f>VLOOKUP([jobnumber],OvalData[],MATCH(Table2[[#Headers],[Required Torque Per Turn]],Table2[#Headers],0),0)</f>
        <v>688</v>
      </c>
      <c r="Z184" s="2">
        <f>VLOOKUP([jobnumber],OvalData[],MATCH(Table2[[#Headers],[Total Turns]],Table2[#Headers],0),0)</f>
        <v>4.91</v>
      </c>
      <c r="AA184" s="2">
        <f>VLOOKUP([jobnumber],OvalData[],MATCH(Table2[[#Headers],[Grille Vision Section]],Table2[#Headers],0),0)</f>
        <v>0</v>
      </c>
      <c r="AB184" s="2">
        <f>VLOOKUP([jobnumber],OvalData[],MATCH(Table2[[#Headers],[Grille Amount]],Table2[#Headers],0),0)</f>
        <v>0</v>
      </c>
      <c r="AC184" s="2">
        <f>VLOOKUP([jobnumber],OvalData[],MATCH(Table2[[#Headers],[Grille Center]],Table2[#Headers],0),0)</f>
        <v>0</v>
      </c>
      <c r="AD184" s="2">
        <f>VLOOKUP([jobnumber],OvalData[],MATCH(Table2[[#Headers],[Grille Pattern]],Table2[#Headers],0),0)</f>
        <v>0</v>
      </c>
      <c r="AE184" s="2">
        <f>VLOOKUP([jobnumber],OvalData[],MATCH(Table2[[#Headers],[Grille First Tube]],Table2[#Headers],0),0)</f>
        <v>0</v>
      </c>
      <c r="AF184" s="2">
        <f>VLOOKUP([jobnumber],OvalData[],MATCH(Table2[[#Headers],[Grille Standard Tube]],Table2[#Headers],0),0)</f>
        <v>0</v>
      </c>
      <c r="AG184" s="2">
        <f>VLOOKUP([jobnumber],OvalData[],MATCH(Table2[[#Headers],[Grille Total Links]],Table2[#Headers],0),0)</f>
        <v>0</v>
      </c>
      <c r="AH184" s="2">
        <f>VLOOKUP([jobnumber],OvalData[],MATCH(Table2[[#Headers],[Grille Rods]],Table2[#Headers],0),0)</f>
        <v>0</v>
      </c>
      <c r="AI184" s="2">
        <f>VLOOKUP([jobnumber],OvalData[],MATCH(Table2[[#Headers],[Grille Rod Length]],Table2[#Headers],0),0)</f>
        <v>0</v>
      </c>
      <c r="AJ184" s="2">
        <f>VLOOKUP([jobnumber],OvalData[],MATCH(Table2[[#Headers],[slattype]],Table2[#Headers],0),0)</f>
        <v>2</v>
      </c>
      <c r="AK184" s="2">
        <f>VLOOKUP([jobnumber],OvalData[],MATCH(Table2[[#Headers],[slatgage]],Table2[#Headers],0),0)</f>
        <v>18</v>
      </c>
      <c r="AL184" s="2">
        <f>VLOOKUP([jobnumber],OvalData[],MATCH(Table2[[#Headers],[Numer of Top Slats]],Table2[#Headers],0),0)</f>
        <v>0</v>
      </c>
      <c r="AM184" s="2">
        <f>VLOOKUP([jobnumber],OvalData[],MATCH(Table2[[#Headers],[Number of Bottom Slats]],Table2[#Headers],0),0)</f>
        <v>0</v>
      </c>
      <c r="AN184" s="2">
        <f>VLOOKUP([jobnumber],OvalData[],MATCH(Table2[[#Headers],[Solid Bottom Height]],Table2[#Headers],0),0)</f>
        <v>0</v>
      </c>
      <c r="AO184" s="2" t="str">
        <f>VLOOKUP([jobnumber],OvalData[],MATCH(Table2[[#Headers],[slatlength]],Table2[#Headers],0),0)</f>
        <v xml:space="preserve"> 18 ft.- 5 7/ 8"</v>
      </c>
      <c r="AP184" s="2">
        <f>VLOOKUP([jobnumber],OvalData[],MATCH(Table2[[#Headers],[Bottom Slat Length]],Table2[#Headers],0),0)</f>
        <v>0</v>
      </c>
      <c r="AQ184" s="2">
        <f>VLOOKUP([jobnumber],OvalData[],MATCH(Table2[[#Headers],[Number of Perferated Slats]],Table2[#Headers],0),0)</f>
        <v>0</v>
      </c>
      <c r="AR184" s="2">
        <f>VLOOKUP([jobnumber],OvalData[],MATCH(Table2[[#Headers],[First Preferated Slat From End]],Table2[#Headers],0),0)</f>
        <v>0</v>
      </c>
      <c r="AS184" s="2">
        <f>VLOOKUP([jobnumber],OvalData[],MATCH(Table2[[#Headers],[First Preferated Slat From Bottom]],Table2[#Headers],0),0)</f>
        <v>0</v>
      </c>
      <c r="AT184" s="2">
        <f>VLOOKUP([jobnumber],OvalData[],MATCH(Table2[[#Headers],[Total Number of Slats]],Table2[#Headers],0),0)</f>
        <v>51</v>
      </c>
      <c r="AU184" s="2">
        <f>VLOOKUP([jobnumber],OvalData[],MATCH(Table2[[#Headers],[Bottom Bar Slope]],Table2[#Headers],0),0)</f>
        <v>0</v>
      </c>
      <c r="AV184" s="2">
        <f>VLOOKUP([jobnumber],OvalData[],MATCH(Table2[[#Headers],[Bottom Bar Weight]],Table2[#Headers],0),0)</f>
        <v>80.5</v>
      </c>
      <c r="AW184" s="2" t="str">
        <f>VLOOKUP([jobnumber],OvalData[],MATCH(Table2[[#Headers],[Outer Spring Gage]],Table2[#Headers],0),0)</f>
        <v>Null</v>
      </c>
      <c r="AX184" s="2" t="str">
        <f>VLOOKUP([jobnumber],OvalData[],MATCH(Table2[[#Headers],[Outer Spring OD]],Table2[#Headers],0),0)</f>
        <v>Null</v>
      </c>
      <c r="AY184" s="2" t="str">
        <f>VLOOKUP([jobnumber],OvalData[],MATCH(Table2[[#Headers],[Outer Spring Length]],Table2[#Headers],0),0)</f>
        <v>Null</v>
      </c>
      <c r="AZ184" s="2" t="str">
        <f>VLOOKUP([jobnumber],OvalData[],MATCH(Table2[[#Headers],[Outer Spring Stretch]],Table2[#Headers],0),0)</f>
        <v>Null</v>
      </c>
      <c r="BA184" s="2" t="str">
        <f>VLOOKUP([jobnumber],OvalData[],MATCH(Table2[[#Headers],[Outer Spring Torque]],Table2[#Headers],0),0)</f>
        <v>Null</v>
      </c>
      <c r="BB184" s="2" t="str">
        <f>VLOOKUP([jobnumber],OvalData[],MATCH(Table2[[#Headers],[Outer Spring Max Turns]],Table2[#Headers],0),0)</f>
        <v>Null</v>
      </c>
      <c r="BC184" s="2" t="str">
        <f>VLOOKUP([jobnumber],OvalData[],MATCH(Table2[[#Headers],[Outer Spring Weight]],Table2[#Headers],0),0)</f>
        <v>Null</v>
      </c>
      <c r="BD184" s="2" t="str">
        <f>VLOOKUP([jobnumber],OvalData[],MATCH(Table2[[#Headers],[Inner Spring Gage]],Table2[#Headers],0),0)</f>
        <v>Null</v>
      </c>
      <c r="BE184" s="2" t="str">
        <f>VLOOKUP([jobnumber],OvalData[],MATCH(Table2[[#Headers],[Inner Spring OD]],Table2[#Headers],0),0)</f>
        <v>Null</v>
      </c>
      <c r="BF184" s="2" t="str">
        <f>VLOOKUP([jobnumber],OvalData[],MATCH(Table2[[#Headers],[Inner Spring Length]],Table2[#Headers],0),0)</f>
        <v>Null</v>
      </c>
      <c r="BG184" s="2" t="str">
        <f>VLOOKUP([jobnumber],OvalData[],MATCH(Table2[[#Headers],[Inner Spring Stretch]],Table2[#Headers],0),0)</f>
        <v>Null</v>
      </c>
      <c r="BH184" s="2" t="str">
        <f>VLOOKUP([jobnumber],OvalData[],MATCH(Table2[[#Headers],[Inner Spring Torque]],Table2[#Headers],0),0)</f>
        <v>Null</v>
      </c>
      <c r="BI184" s="2" t="str">
        <f>VLOOKUP([jobnumber],OvalData[],MATCH(Table2[[#Headers],[Inner Spring Max Turns]],Table2[#Headers],0),0)</f>
        <v>Null</v>
      </c>
      <c r="BJ184" s="2" t="str">
        <f>VLOOKUP([jobnumber],OvalData[],MATCH(Table2[[#Headers],[Inner Spring Weight]],Table2[#Headers],0),0)</f>
        <v>Null</v>
      </c>
      <c r="BK184" s="2">
        <f>VLOOKUP([jobnumber],OvalData[],MATCH(Table2[[#Headers],[Cycles]],Table2[#Headers],0),0)</f>
        <v>0</v>
      </c>
      <c r="BL184" s="2">
        <f>VLOOKUP([jobnumber],OvalData[],MATCH(Table2[[#Headers],[Total Spring Torque]],Table2[#Headers],0),0)</f>
        <v>0</v>
      </c>
      <c r="BM184" s="2">
        <f>VLOOKUP([jobnumber],OvalData[],MATCH(Table2[[#Headers],[Total Spring Weight]],Table2[#Headers],0),0)</f>
        <v>0</v>
      </c>
      <c r="BN184" s="2">
        <f>VLOOKUP([jobnumber],OvalData[],MATCH(Table2[[#Headers],[Pipe Weight]],Table2[#Headers],0),0)</f>
        <v>688.24239999999998</v>
      </c>
      <c r="BO184" s="2">
        <f>VLOOKUP([jobnumber],OvalData[],MATCH(Table2[[#Headers],[Max Pipe Deflection]],Table2[#Headers],0),0)</f>
        <v>2309</v>
      </c>
      <c r="BP184" s="2">
        <f>VLOOKUP([jobnumber],OvalData[],MATCH(Table2[[#Headers],[Number Non-Insulated Wrap Slats]],Table2[#Headers],0),0)</f>
        <v>0</v>
      </c>
      <c r="BQ184" s="2">
        <f>VLOOKUP([jobnumber],OvalData[],MATCH(Table2[[#Headers],[Number of Insolated Top Slats]],Table2[#Headers],0),0)</f>
        <v>45</v>
      </c>
      <c r="BR184" s="2">
        <f>VLOOKUP([jobnumber],OvalData[],MATCH(Table2[[#Headers],[Insolated Total Slats]],Table2[#Headers],0),0)</f>
        <v>45</v>
      </c>
      <c r="BS184" s="2">
        <f>VLOOKUP([jobnumber],OvalData[],MATCH(Table2[[#Headers],[Number of Slats]],Table2[#Headers],0),0)</f>
        <v>44.69</v>
      </c>
      <c r="BT184" s="2">
        <f>VLOOKUP([jobnumber],OvalData[],MATCH(Table2[[#Headers],[Wrap]],Table2[#Headers],0),0)</f>
        <v>0</v>
      </c>
      <c r="BU184" s="2">
        <f>VLOOKUP([jobnumber],OvalData[],MATCH(Table2[[#Headers],[Wall Angle Thickness]],Table2[#Headers],0),0)</f>
        <v>0</v>
      </c>
      <c r="BV184" s="2">
        <f>VLOOKUP([jobnumber],OvalData[],MATCH(Table2[[#Headers],[windlocks]],Table2[#Headers],0),0)</f>
        <v>0</v>
      </c>
      <c r="BW184" s="2" t="str">
        <f>VLOOKUP([jobnumber],OvalData[],MATCH(Table2[[#Headers],[bottombartype]],Table2[#Headers],0),0)</f>
        <v>SPECIAL</v>
      </c>
      <c r="BX184" s="2">
        <f>VLOOKUP([jobnumber],OvalData[],MATCH(Table2[[#Headers],[endlockweight]],Table2[#Headers],0),0)</f>
        <v>0.17</v>
      </c>
      <c r="BY184" s="2">
        <f>VLOOKUP([jobnumber],OvalData[],MATCH(Table2[[#Headers],[Endlock Total Weight]],Table2[#Headers],0),0)</f>
        <v>7.5972999999999997</v>
      </c>
      <c r="BZ184" s="2">
        <f>VLOOKUP([jobnumber],OvalData[],MATCH(Table2[[#Headers],[Grille Weight]],Table2[#Headers],0),0)</f>
        <v>0</v>
      </c>
      <c r="CA184" s="2">
        <f>VLOOKUP([jobnumber],OvalData[],MATCH(Table2[[#Headers],[barrelrings]],Table2[#Headers],0),0)</f>
        <v>1</v>
      </c>
    </row>
    <row r="185" spans="2:79">
      <c r="B185" s="2" t="str">
        <f>VLOOKUP([jobnumber],OvalData[],MATCH(Table2[[#Headers],[Hand]],Table2[#Headers],0),0)</f>
        <v>RH</v>
      </c>
      <c r="C185" s="2" t="str">
        <f>VLOOKUP([jobnumber],OvalData[],MATCH(Table2[[#Headers],[Model]],Table2[#Headers],0),0)</f>
        <v>SFMPP</v>
      </c>
      <c r="D185" s="2" t="str">
        <f>VLOOKUP([jobnumber],OvalData[],MATCH(Table2[[#Headers],[width]],Table2[#Headers],0),0)</f>
        <v xml:space="preserve"> 18 ft.- 2"</v>
      </c>
      <c r="E185" s="2" t="str">
        <f>VLOOKUP([jobnumber],OvalData[],MATCH(Table2[[#Headers],[stopheight]],Table2[#Headers],0),0)</f>
        <v xml:space="preserve"> 10 ft.- 0"</v>
      </c>
      <c r="F185" s="2" t="str">
        <f>VLOOKUP([jobnumber],OvalData[],MATCH(Table2[[#Headers],[Between Brackets]],Table2[#Headers],0),0)</f>
        <v xml:space="preserve"> 18 ft.- 7 7/ 8"</v>
      </c>
      <c r="G185" s="2" t="str">
        <f>VLOOKUP([jobnumber],OvalData[],MATCH(Table2[[#Headers],[shell]],Table2[#Headers],0),0)</f>
        <v>6 INCH TUBE</v>
      </c>
      <c r="H185" s="2" t="str">
        <f>VLOOKUP([jobnumber],OvalData[],MATCH(Table2[[#Headers],[pipewidth]],Table2[#Headers],0),0)</f>
        <v xml:space="preserve"> 18 ft.- 1 3/ 8"</v>
      </c>
      <c r="I185" s="2">
        <f>VLOOKUP([jobnumber],OvalData[],MATCH(Table2[[#Headers],[Support Tubes]],Table2[#Headers],0),0)</f>
        <v>0</v>
      </c>
      <c r="J185" s="2">
        <f>VLOOKUP([jobnumber],OvalData[],MATCH(Table2[[#Headers],[Upset]],Table2[#Headers],0),0)</f>
        <v>2</v>
      </c>
      <c r="K185" s="2" t="str">
        <f>VLOOKUP([jobnumber],OvalData[],MATCH(Table2[[#Headers],[Guide Type]],Table2[#Headers],0),0)</f>
        <v>SN2-4 5/8-E</v>
      </c>
      <c r="L185" s="2" t="str">
        <f>VLOOKUP([jobnumber],OvalData[],MATCH(Table2[[#Headers],[Wall Angle]],Table2[#Headers],0),0)</f>
        <v xml:space="preserve"> 11 ft.- 8"</v>
      </c>
      <c r="M185" s="2" t="str">
        <f>VLOOKUP([jobnumber],OvalData[],MATCH(Table2[[#Headers],[Middle Angle]],Table2[#Headers],0),0)</f>
        <v xml:space="preserve"> 10 ft.- 4 1/ 2"</v>
      </c>
      <c r="N185" s="2" t="str">
        <f>VLOOKUP([jobnumber],OvalData[],MATCH(Table2[[#Headers],[Front Angle]],Table2[#Headers],0),0)</f>
        <v xml:space="preserve"> 10 ft.- 3"</v>
      </c>
      <c r="O185" s="2">
        <f>VLOOKUP([jobnumber],OvalData[],MATCH(Table2[[#Headers],[Pipe Center Line]],Table2[#Headers],0),0)</f>
        <v>131</v>
      </c>
      <c r="P185" s="2">
        <f>VLOOKUP([jobnumber],OvalData[],MATCH(Table2[[#Headers],[Heat Expansion Gap]],Table2[#Headers],0),0)</f>
        <v>0</v>
      </c>
      <c r="Q185" s="2">
        <f>VLOOKUP([jobnumber],OvalData[],MATCH(Table2[[#Headers],[Hanging Weight Closed]],Table2[#Headers],0),0)</f>
        <v>795</v>
      </c>
      <c r="R185" s="2">
        <f>VLOOKUP([jobnumber],OvalData[],MATCH(Table2[[#Headers],[Hanging Weight Open]],Table2[#Headers],0),0)</f>
        <v>140</v>
      </c>
      <c r="S185" s="2">
        <f>VLOOKUP([jobnumber],OvalData[],MATCH(Table2[[#Headers],[Initial Lever Arm]],Table2[#Headers],0),0)</f>
        <v>4.25</v>
      </c>
      <c r="T185" s="2">
        <f>VLOOKUP([jobnumber],OvalData[],MATCH(Table2[[#Headers],[Turns to Raise]],Table2[#Headers],0),0)</f>
        <v>3.5859999999999999</v>
      </c>
      <c r="U185" s="2">
        <f>VLOOKUP([jobnumber],OvalData[],MATCH(Table2[[#Headers],[Final Lever Arm]],Table2[#Headers],0),0)</f>
        <v>6.37</v>
      </c>
      <c r="V185" s="2">
        <f>VLOOKUP([jobnumber],OvalData[],MATCH(Table2[[#Headers],[Torque Required Closed]],Table2[#Headers],0),0)</f>
        <v>3377.9</v>
      </c>
      <c r="W185" s="2">
        <f>VLOOKUP([jobnumber],OvalData[],MATCH(Table2[[#Headers],[Torque Required Open]],Table2[#Headers],0),0)</f>
        <v>892</v>
      </c>
      <c r="X185" s="2">
        <f>VLOOKUP([jobnumber],OvalData[],MATCH(Table2[[#Headers],[Pre Turns]],Table2[#Headers],0),0)</f>
        <v>1.3332999999999999</v>
      </c>
      <c r="Y185" s="2">
        <f>VLOOKUP([jobnumber],OvalData[],MATCH(Table2[[#Headers],[Required Torque Per Turn]],Table2[#Headers],0),0)</f>
        <v>688</v>
      </c>
      <c r="Z185" s="2">
        <f>VLOOKUP([jobnumber],OvalData[],MATCH(Table2[[#Headers],[Total Turns]],Table2[#Headers],0),0)</f>
        <v>4.91</v>
      </c>
      <c r="AA185" s="2">
        <f>VLOOKUP([jobnumber],OvalData[],MATCH(Table2[[#Headers],[Grille Vision Section]],Table2[#Headers],0),0)</f>
        <v>0</v>
      </c>
      <c r="AB185" s="2">
        <f>VLOOKUP([jobnumber],OvalData[],MATCH(Table2[[#Headers],[Grille Amount]],Table2[#Headers],0),0)</f>
        <v>0</v>
      </c>
      <c r="AC185" s="2">
        <f>VLOOKUP([jobnumber],OvalData[],MATCH(Table2[[#Headers],[Grille Center]],Table2[#Headers],0),0)</f>
        <v>0</v>
      </c>
      <c r="AD185" s="2">
        <f>VLOOKUP([jobnumber],OvalData[],MATCH(Table2[[#Headers],[Grille Pattern]],Table2[#Headers],0),0)</f>
        <v>0</v>
      </c>
      <c r="AE185" s="2">
        <f>VLOOKUP([jobnumber],OvalData[],MATCH(Table2[[#Headers],[Grille First Tube]],Table2[#Headers],0),0)</f>
        <v>0</v>
      </c>
      <c r="AF185" s="2">
        <f>VLOOKUP([jobnumber],OvalData[],MATCH(Table2[[#Headers],[Grille Standard Tube]],Table2[#Headers],0),0)</f>
        <v>0</v>
      </c>
      <c r="AG185" s="2">
        <f>VLOOKUP([jobnumber],OvalData[],MATCH(Table2[[#Headers],[Grille Total Links]],Table2[#Headers],0),0)</f>
        <v>0</v>
      </c>
      <c r="AH185" s="2">
        <f>VLOOKUP([jobnumber],OvalData[],MATCH(Table2[[#Headers],[Grille Rods]],Table2[#Headers],0),0)</f>
        <v>0</v>
      </c>
      <c r="AI185" s="2">
        <f>VLOOKUP([jobnumber],OvalData[],MATCH(Table2[[#Headers],[Grille Rod Length]],Table2[#Headers],0),0)</f>
        <v>0</v>
      </c>
      <c r="AJ185" s="2">
        <f>VLOOKUP([jobnumber],OvalData[],MATCH(Table2[[#Headers],[slattype]],Table2[#Headers],0),0)</f>
        <v>2</v>
      </c>
      <c r="AK185" s="2">
        <f>VLOOKUP([jobnumber],OvalData[],MATCH(Table2[[#Headers],[slatgage]],Table2[#Headers],0),0)</f>
        <v>18</v>
      </c>
      <c r="AL185" s="2">
        <f>VLOOKUP([jobnumber],OvalData[],MATCH(Table2[[#Headers],[Numer of Top Slats]],Table2[#Headers],0),0)</f>
        <v>0</v>
      </c>
      <c r="AM185" s="2">
        <f>VLOOKUP([jobnumber],OvalData[],MATCH(Table2[[#Headers],[Number of Bottom Slats]],Table2[#Headers],0),0)</f>
        <v>0</v>
      </c>
      <c r="AN185" s="2">
        <f>VLOOKUP([jobnumber],OvalData[],MATCH(Table2[[#Headers],[Solid Bottom Height]],Table2[#Headers],0),0)</f>
        <v>0</v>
      </c>
      <c r="AO185" s="2" t="str">
        <f>VLOOKUP([jobnumber],OvalData[],MATCH(Table2[[#Headers],[slatlength]],Table2[#Headers],0),0)</f>
        <v xml:space="preserve"> 18 ft.- 5 7/ 8"</v>
      </c>
      <c r="AP185" s="2">
        <f>VLOOKUP([jobnumber],OvalData[],MATCH(Table2[[#Headers],[Bottom Slat Length]],Table2[#Headers],0),0)</f>
        <v>0</v>
      </c>
      <c r="AQ185" s="2">
        <f>VLOOKUP([jobnumber],OvalData[],MATCH(Table2[[#Headers],[Number of Perferated Slats]],Table2[#Headers],0),0)</f>
        <v>0</v>
      </c>
      <c r="AR185" s="2">
        <f>VLOOKUP([jobnumber],OvalData[],MATCH(Table2[[#Headers],[First Preferated Slat From End]],Table2[#Headers],0),0)</f>
        <v>0</v>
      </c>
      <c r="AS185" s="2">
        <f>VLOOKUP([jobnumber],OvalData[],MATCH(Table2[[#Headers],[First Preferated Slat From Bottom]],Table2[#Headers],0),0)</f>
        <v>0</v>
      </c>
      <c r="AT185" s="2">
        <f>VLOOKUP([jobnumber],OvalData[],MATCH(Table2[[#Headers],[Total Number of Slats]],Table2[#Headers],0),0)</f>
        <v>51</v>
      </c>
      <c r="AU185" s="2">
        <f>VLOOKUP([jobnumber],OvalData[],MATCH(Table2[[#Headers],[Bottom Bar Slope]],Table2[#Headers],0),0)</f>
        <v>0</v>
      </c>
      <c r="AV185" s="2">
        <f>VLOOKUP([jobnumber],OvalData[],MATCH(Table2[[#Headers],[Bottom Bar Weight]],Table2[#Headers],0),0)</f>
        <v>80.5</v>
      </c>
      <c r="AW185" s="2" t="str">
        <f>VLOOKUP([jobnumber],OvalData[],MATCH(Table2[[#Headers],[Outer Spring Gage]],Table2[#Headers],0),0)</f>
        <v>Null</v>
      </c>
      <c r="AX185" s="2" t="str">
        <f>VLOOKUP([jobnumber],OvalData[],MATCH(Table2[[#Headers],[Outer Spring OD]],Table2[#Headers],0),0)</f>
        <v>Null</v>
      </c>
      <c r="AY185" s="2" t="str">
        <f>VLOOKUP([jobnumber],OvalData[],MATCH(Table2[[#Headers],[Outer Spring Length]],Table2[#Headers],0),0)</f>
        <v>Null</v>
      </c>
      <c r="AZ185" s="2" t="str">
        <f>VLOOKUP([jobnumber],OvalData[],MATCH(Table2[[#Headers],[Outer Spring Stretch]],Table2[#Headers],0),0)</f>
        <v>Null</v>
      </c>
      <c r="BA185" s="2" t="str">
        <f>VLOOKUP([jobnumber],OvalData[],MATCH(Table2[[#Headers],[Outer Spring Torque]],Table2[#Headers],0),0)</f>
        <v>Null</v>
      </c>
      <c r="BB185" s="2" t="str">
        <f>VLOOKUP([jobnumber],OvalData[],MATCH(Table2[[#Headers],[Outer Spring Max Turns]],Table2[#Headers],0),0)</f>
        <v>Null</v>
      </c>
      <c r="BC185" s="2" t="str">
        <f>VLOOKUP([jobnumber],OvalData[],MATCH(Table2[[#Headers],[Outer Spring Weight]],Table2[#Headers],0),0)</f>
        <v>Null</v>
      </c>
      <c r="BD185" s="2" t="str">
        <f>VLOOKUP([jobnumber],OvalData[],MATCH(Table2[[#Headers],[Inner Spring Gage]],Table2[#Headers],0),0)</f>
        <v>Null</v>
      </c>
      <c r="BE185" s="2" t="str">
        <f>VLOOKUP([jobnumber],OvalData[],MATCH(Table2[[#Headers],[Inner Spring OD]],Table2[#Headers],0),0)</f>
        <v>Null</v>
      </c>
      <c r="BF185" s="2" t="str">
        <f>VLOOKUP([jobnumber],OvalData[],MATCH(Table2[[#Headers],[Inner Spring Length]],Table2[#Headers],0),0)</f>
        <v>Null</v>
      </c>
      <c r="BG185" s="2" t="str">
        <f>VLOOKUP([jobnumber],OvalData[],MATCH(Table2[[#Headers],[Inner Spring Stretch]],Table2[#Headers],0),0)</f>
        <v>Null</v>
      </c>
      <c r="BH185" s="2" t="str">
        <f>VLOOKUP([jobnumber],OvalData[],MATCH(Table2[[#Headers],[Inner Spring Torque]],Table2[#Headers],0),0)</f>
        <v>Null</v>
      </c>
      <c r="BI185" s="2" t="str">
        <f>VLOOKUP([jobnumber],OvalData[],MATCH(Table2[[#Headers],[Inner Spring Max Turns]],Table2[#Headers],0),0)</f>
        <v>Null</v>
      </c>
      <c r="BJ185" s="2" t="str">
        <f>VLOOKUP([jobnumber],OvalData[],MATCH(Table2[[#Headers],[Inner Spring Weight]],Table2[#Headers],0),0)</f>
        <v>Null</v>
      </c>
      <c r="BK185" s="2">
        <f>VLOOKUP([jobnumber],OvalData[],MATCH(Table2[[#Headers],[Cycles]],Table2[#Headers],0),0)</f>
        <v>0</v>
      </c>
      <c r="BL185" s="2">
        <f>VLOOKUP([jobnumber],OvalData[],MATCH(Table2[[#Headers],[Total Spring Torque]],Table2[#Headers],0),0)</f>
        <v>0</v>
      </c>
      <c r="BM185" s="2">
        <f>VLOOKUP([jobnumber],OvalData[],MATCH(Table2[[#Headers],[Total Spring Weight]],Table2[#Headers],0),0)</f>
        <v>0</v>
      </c>
      <c r="BN185" s="2">
        <f>VLOOKUP([jobnumber],OvalData[],MATCH(Table2[[#Headers],[Pipe Weight]],Table2[#Headers],0),0)</f>
        <v>688.24239999999998</v>
      </c>
      <c r="BO185" s="2">
        <f>VLOOKUP([jobnumber],OvalData[],MATCH(Table2[[#Headers],[Max Pipe Deflection]],Table2[#Headers],0),0)</f>
        <v>2309</v>
      </c>
      <c r="BP185" s="2">
        <f>VLOOKUP([jobnumber],OvalData[],MATCH(Table2[[#Headers],[Number Non-Insulated Wrap Slats]],Table2[#Headers],0),0)</f>
        <v>0</v>
      </c>
      <c r="BQ185" s="2">
        <f>VLOOKUP([jobnumber],OvalData[],MATCH(Table2[[#Headers],[Number of Insolated Top Slats]],Table2[#Headers],0),0)</f>
        <v>45</v>
      </c>
      <c r="BR185" s="2">
        <f>VLOOKUP([jobnumber],OvalData[],MATCH(Table2[[#Headers],[Insolated Total Slats]],Table2[#Headers],0),0)</f>
        <v>45</v>
      </c>
      <c r="BS185" s="2">
        <f>VLOOKUP([jobnumber],OvalData[],MATCH(Table2[[#Headers],[Number of Slats]],Table2[#Headers],0),0)</f>
        <v>44.69</v>
      </c>
      <c r="BT185" s="2">
        <f>VLOOKUP([jobnumber],OvalData[],MATCH(Table2[[#Headers],[Wrap]],Table2[#Headers],0),0)</f>
        <v>0</v>
      </c>
      <c r="BU185" s="2">
        <f>VLOOKUP([jobnumber],OvalData[],MATCH(Table2[[#Headers],[Wall Angle Thickness]],Table2[#Headers],0),0)</f>
        <v>0</v>
      </c>
      <c r="BV185" s="2">
        <f>VLOOKUP([jobnumber],OvalData[],MATCH(Table2[[#Headers],[windlocks]],Table2[#Headers],0),0)</f>
        <v>0</v>
      </c>
      <c r="BW185" s="2" t="str">
        <f>VLOOKUP([jobnumber],OvalData[],MATCH(Table2[[#Headers],[bottombartype]],Table2[#Headers],0),0)</f>
        <v>SPECIAL</v>
      </c>
      <c r="BX185" s="2">
        <f>VLOOKUP([jobnumber],OvalData[],MATCH(Table2[[#Headers],[endlockweight]],Table2[#Headers],0),0)</f>
        <v>0.17</v>
      </c>
      <c r="BY185" s="2">
        <f>VLOOKUP([jobnumber],OvalData[],MATCH(Table2[[#Headers],[Endlock Total Weight]],Table2[#Headers],0),0)</f>
        <v>7.5972999999999997</v>
      </c>
      <c r="BZ185" s="2">
        <f>VLOOKUP([jobnumber],OvalData[],MATCH(Table2[[#Headers],[Grille Weight]],Table2[#Headers],0),0)</f>
        <v>0</v>
      </c>
      <c r="CA185" s="2">
        <f>VLOOKUP([jobnumber],OvalData[],MATCH(Table2[[#Headers],[barrelrings]],Table2[#Headers],0),0)</f>
        <v>1</v>
      </c>
    </row>
    <row r="186" spans="2:79">
      <c r="B186" s="2" t="str">
        <f>VLOOKUP([jobnumber],OvalData[],MATCH(Table2[[#Headers],[Hand]],Table2[#Headers],0),0)</f>
        <v>RH</v>
      </c>
      <c r="C186" s="2" t="str">
        <f>VLOOKUP([jobnumber],OvalData[],MATCH(Table2[[#Headers],[Model]],Table2[#Headers],0),0)</f>
        <v>SFMPP</v>
      </c>
      <c r="D186" s="2" t="str">
        <f>VLOOKUP([jobnumber],OvalData[],MATCH(Table2[[#Headers],[width]],Table2[#Headers],0),0)</f>
        <v xml:space="preserve"> 18 ft.- 2"</v>
      </c>
      <c r="E186" s="2" t="str">
        <f>VLOOKUP([jobnumber],OvalData[],MATCH(Table2[[#Headers],[stopheight]],Table2[#Headers],0),0)</f>
        <v xml:space="preserve"> 10 ft.- 0"</v>
      </c>
      <c r="F186" s="2" t="str">
        <f>VLOOKUP([jobnumber],OvalData[],MATCH(Table2[[#Headers],[Between Brackets]],Table2[#Headers],0),0)</f>
        <v xml:space="preserve"> 18 ft.- 7 7/ 8"</v>
      </c>
      <c r="G186" s="2" t="str">
        <f>VLOOKUP([jobnumber],OvalData[],MATCH(Table2[[#Headers],[shell]],Table2[#Headers],0),0)</f>
        <v>6 INCH TUBE</v>
      </c>
      <c r="H186" s="2" t="str">
        <f>VLOOKUP([jobnumber],OvalData[],MATCH(Table2[[#Headers],[pipewidth]],Table2[#Headers],0),0)</f>
        <v xml:space="preserve"> 18 ft.- 1 3/ 8"</v>
      </c>
      <c r="I186" s="2">
        <f>VLOOKUP([jobnumber],OvalData[],MATCH(Table2[[#Headers],[Support Tubes]],Table2[#Headers],0),0)</f>
        <v>0</v>
      </c>
      <c r="J186" s="2">
        <f>VLOOKUP([jobnumber],OvalData[],MATCH(Table2[[#Headers],[Upset]],Table2[#Headers],0),0)</f>
        <v>2</v>
      </c>
      <c r="K186" s="2" t="str">
        <f>VLOOKUP([jobnumber],OvalData[],MATCH(Table2[[#Headers],[Guide Type]],Table2[#Headers],0),0)</f>
        <v>SN2-4 5/8-E</v>
      </c>
      <c r="L186" s="2" t="str">
        <f>VLOOKUP([jobnumber],OvalData[],MATCH(Table2[[#Headers],[Wall Angle]],Table2[#Headers],0),0)</f>
        <v xml:space="preserve"> 11 ft.- 8"</v>
      </c>
      <c r="M186" s="2" t="str">
        <f>VLOOKUP([jobnumber],OvalData[],MATCH(Table2[[#Headers],[Middle Angle]],Table2[#Headers],0),0)</f>
        <v xml:space="preserve"> 10 ft.- 4 1/ 2"</v>
      </c>
      <c r="N186" s="2" t="str">
        <f>VLOOKUP([jobnumber],OvalData[],MATCH(Table2[[#Headers],[Front Angle]],Table2[#Headers],0),0)</f>
        <v xml:space="preserve"> 10 ft.- 3"</v>
      </c>
      <c r="O186" s="2">
        <f>VLOOKUP([jobnumber],OvalData[],MATCH(Table2[[#Headers],[Pipe Center Line]],Table2[#Headers],0),0)</f>
        <v>131</v>
      </c>
      <c r="P186" s="2">
        <f>VLOOKUP([jobnumber],OvalData[],MATCH(Table2[[#Headers],[Heat Expansion Gap]],Table2[#Headers],0),0)</f>
        <v>0</v>
      </c>
      <c r="Q186" s="2">
        <f>VLOOKUP([jobnumber],OvalData[],MATCH(Table2[[#Headers],[Hanging Weight Closed]],Table2[#Headers],0),0)</f>
        <v>795</v>
      </c>
      <c r="R186" s="2">
        <f>VLOOKUP([jobnumber],OvalData[],MATCH(Table2[[#Headers],[Hanging Weight Open]],Table2[#Headers],0),0)</f>
        <v>140</v>
      </c>
      <c r="S186" s="2">
        <f>VLOOKUP([jobnumber],OvalData[],MATCH(Table2[[#Headers],[Initial Lever Arm]],Table2[#Headers],0),0)</f>
        <v>4.25</v>
      </c>
      <c r="T186" s="2">
        <f>VLOOKUP([jobnumber],OvalData[],MATCH(Table2[[#Headers],[Turns to Raise]],Table2[#Headers],0),0)</f>
        <v>3.5859999999999999</v>
      </c>
      <c r="U186" s="2">
        <f>VLOOKUP([jobnumber],OvalData[],MATCH(Table2[[#Headers],[Final Lever Arm]],Table2[#Headers],0),0)</f>
        <v>6.37</v>
      </c>
      <c r="V186" s="2">
        <f>VLOOKUP([jobnumber],OvalData[],MATCH(Table2[[#Headers],[Torque Required Closed]],Table2[#Headers],0),0)</f>
        <v>3377.9</v>
      </c>
      <c r="W186" s="2">
        <f>VLOOKUP([jobnumber],OvalData[],MATCH(Table2[[#Headers],[Torque Required Open]],Table2[#Headers],0),0)</f>
        <v>892</v>
      </c>
      <c r="X186" s="2">
        <f>VLOOKUP([jobnumber],OvalData[],MATCH(Table2[[#Headers],[Pre Turns]],Table2[#Headers],0),0)</f>
        <v>1.3332999999999999</v>
      </c>
      <c r="Y186" s="2">
        <f>VLOOKUP([jobnumber],OvalData[],MATCH(Table2[[#Headers],[Required Torque Per Turn]],Table2[#Headers],0),0)</f>
        <v>688</v>
      </c>
      <c r="Z186" s="2">
        <f>VLOOKUP([jobnumber],OvalData[],MATCH(Table2[[#Headers],[Total Turns]],Table2[#Headers],0),0)</f>
        <v>4.91</v>
      </c>
      <c r="AA186" s="2">
        <f>VLOOKUP([jobnumber],OvalData[],MATCH(Table2[[#Headers],[Grille Vision Section]],Table2[#Headers],0),0)</f>
        <v>0</v>
      </c>
      <c r="AB186" s="2">
        <f>VLOOKUP([jobnumber],OvalData[],MATCH(Table2[[#Headers],[Grille Amount]],Table2[#Headers],0),0)</f>
        <v>0</v>
      </c>
      <c r="AC186" s="2">
        <f>VLOOKUP([jobnumber],OvalData[],MATCH(Table2[[#Headers],[Grille Center]],Table2[#Headers],0),0)</f>
        <v>0</v>
      </c>
      <c r="AD186" s="2">
        <f>VLOOKUP([jobnumber],OvalData[],MATCH(Table2[[#Headers],[Grille Pattern]],Table2[#Headers],0),0)</f>
        <v>0</v>
      </c>
      <c r="AE186" s="2">
        <f>VLOOKUP([jobnumber],OvalData[],MATCH(Table2[[#Headers],[Grille First Tube]],Table2[#Headers],0),0)</f>
        <v>0</v>
      </c>
      <c r="AF186" s="2">
        <f>VLOOKUP([jobnumber],OvalData[],MATCH(Table2[[#Headers],[Grille Standard Tube]],Table2[#Headers],0),0)</f>
        <v>0</v>
      </c>
      <c r="AG186" s="2">
        <f>VLOOKUP([jobnumber],OvalData[],MATCH(Table2[[#Headers],[Grille Total Links]],Table2[#Headers],0),0)</f>
        <v>0</v>
      </c>
      <c r="AH186" s="2">
        <f>VLOOKUP([jobnumber],OvalData[],MATCH(Table2[[#Headers],[Grille Rods]],Table2[#Headers],0),0)</f>
        <v>0</v>
      </c>
      <c r="AI186" s="2">
        <f>VLOOKUP([jobnumber],OvalData[],MATCH(Table2[[#Headers],[Grille Rod Length]],Table2[#Headers],0),0)</f>
        <v>0</v>
      </c>
      <c r="AJ186" s="2">
        <f>VLOOKUP([jobnumber],OvalData[],MATCH(Table2[[#Headers],[slattype]],Table2[#Headers],0),0)</f>
        <v>2</v>
      </c>
      <c r="AK186" s="2">
        <f>VLOOKUP([jobnumber],OvalData[],MATCH(Table2[[#Headers],[slatgage]],Table2[#Headers],0),0)</f>
        <v>18</v>
      </c>
      <c r="AL186" s="2">
        <f>VLOOKUP([jobnumber],OvalData[],MATCH(Table2[[#Headers],[Numer of Top Slats]],Table2[#Headers],0),0)</f>
        <v>0</v>
      </c>
      <c r="AM186" s="2">
        <f>VLOOKUP([jobnumber],OvalData[],MATCH(Table2[[#Headers],[Number of Bottom Slats]],Table2[#Headers],0),0)</f>
        <v>0</v>
      </c>
      <c r="AN186" s="2">
        <f>VLOOKUP([jobnumber],OvalData[],MATCH(Table2[[#Headers],[Solid Bottom Height]],Table2[#Headers],0),0)</f>
        <v>0</v>
      </c>
      <c r="AO186" s="2" t="str">
        <f>VLOOKUP([jobnumber],OvalData[],MATCH(Table2[[#Headers],[slatlength]],Table2[#Headers],0),0)</f>
        <v xml:space="preserve"> 18 ft.- 5 7/ 8"</v>
      </c>
      <c r="AP186" s="2">
        <f>VLOOKUP([jobnumber],OvalData[],MATCH(Table2[[#Headers],[Bottom Slat Length]],Table2[#Headers],0),0)</f>
        <v>0</v>
      </c>
      <c r="AQ186" s="2">
        <f>VLOOKUP([jobnumber],OvalData[],MATCH(Table2[[#Headers],[Number of Perferated Slats]],Table2[#Headers],0),0)</f>
        <v>0</v>
      </c>
      <c r="AR186" s="2">
        <f>VLOOKUP([jobnumber],OvalData[],MATCH(Table2[[#Headers],[First Preferated Slat From End]],Table2[#Headers],0),0)</f>
        <v>0</v>
      </c>
      <c r="AS186" s="2">
        <f>VLOOKUP([jobnumber],OvalData[],MATCH(Table2[[#Headers],[First Preferated Slat From Bottom]],Table2[#Headers],0),0)</f>
        <v>0</v>
      </c>
      <c r="AT186" s="2">
        <f>VLOOKUP([jobnumber],OvalData[],MATCH(Table2[[#Headers],[Total Number of Slats]],Table2[#Headers],0),0)</f>
        <v>51</v>
      </c>
      <c r="AU186" s="2">
        <f>VLOOKUP([jobnumber],OvalData[],MATCH(Table2[[#Headers],[Bottom Bar Slope]],Table2[#Headers],0),0)</f>
        <v>0</v>
      </c>
      <c r="AV186" s="2">
        <f>VLOOKUP([jobnumber],OvalData[],MATCH(Table2[[#Headers],[Bottom Bar Weight]],Table2[#Headers],0),0)</f>
        <v>80.5</v>
      </c>
      <c r="AW186" s="2" t="str">
        <f>VLOOKUP([jobnumber],OvalData[],MATCH(Table2[[#Headers],[Outer Spring Gage]],Table2[#Headers],0),0)</f>
        <v>Null</v>
      </c>
      <c r="AX186" s="2" t="str">
        <f>VLOOKUP([jobnumber],OvalData[],MATCH(Table2[[#Headers],[Outer Spring OD]],Table2[#Headers],0),0)</f>
        <v>Null</v>
      </c>
      <c r="AY186" s="2" t="str">
        <f>VLOOKUP([jobnumber],OvalData[],MATCH(Table2[[#Headers],[Outer Spring Length]],Table2[#Headers],0),0)</f>
        <v>Null</v>
      </c>
      <c r="AZ186" s="2" t="str">
        <f>VLOOKUP([jobnumber],OvalData[],MATCH(Table2[[#Headers],[Outer Spring Stretch]],Table2[#Headers],0),0)</f>
        <v>Null</v>
      </c>
      <c r="BA186" s="2" t="str">
        <f>VLOOKUP([jobnumber],OvalData[],MATCH(Table2[[#Headers],[Outer Spring Torque]],Table2[#Headers],0),0)</f>
        <v>Null</v>
      </c>
      <c r="BB186" s="2" t="str">
        <f>VLOOKUP([jobnumber],OvalData[],MATCH(Table2[[#Headers],[Outer Spring Max Turns]],Table2[#Headers],0),0)</f>
        <v>Null</v>
      </c>
      <c r="BC186" s="2" t="str">
        <f>VLOOKUP([jobnumber],OvalData[],MATCH(Table2[[#Headers],[Outer Spring Weight]],Table2[#Headers],0),0)</f>
        <v>Null</v>
      </c>
      <c r="BD186" s="2" t="str">
        <f>VLOOKUP([jobnumber],OvalData[],MATCH(Table2[[#Headers],[Inner Spring Gage]],Table2[#Headers],0),0)</f>
        <v>Null</v>
      </c>
      <c r="BE186" s="2" t="str">
        <f>VLOOKUP([jobnumber],OvalData[],MATCH(Table2[[#Headers],[Inner Spring OD]],Table2[#Headers],0),0)</f>
        <v>Null</v>
      </c>
      <c r="BF186" s="2" t="str">
        <f>VLOOKUP([jobnumber],OvalData[],MATCH(Table2[[#Headers],[Inner Spring Length]],Table2[#Headers],0),0)</f>
        <v>Null</v>
      </c>
      <c r="BG186" s="2" t="str">
        <f>VLOOKUP([jobnumber],OvalData[],MATCH(Table2[[#Headers],[Inner Spring Stretch]],Table2[#Headers],0),0)</f>
        <v>Null</v>
      </c>
      <c r="BH186" s="2" t="str">
        <f>VLOOKUP([jobnumber],OvalData[],MATCH(Table2[[#Headers],[Inner Spring Torque]],Table2[#Headers],0),0)</f>
        <v>Null</v>
      </c>
      <c r="BI186" s="2" t="str">
        <f>VLOOKUP([jobnumber],OvalData[],MATCH(Table2[[#Headers],[Inner Spring Max Turns]],Table2[#Headers],0),0)</f>
        <v>Null</v>
      </c>
      <c r="BJ186" s="2" t="str">
        <f>VLOOKUP([jobnumber],OvalData[],MATCH(Table2[[#Headers],[Inner Spring Weight]],Table2[#Headers],0),0)</f>
        <v>Null</v>
      </c>
      <c r="BK186" s="2">
        <f>VLOOKUP([jobnumber],OvalData[],MATCH(Table2[[#Headers],[Cycles]],Table2[#Headers],0),0)</f>
        <v>0</v>
      </c>
      <c r="BL186" s="2">
        <f>VLOOKUP([jobnumber],OvalData[],MATCH(Table2[[#Headers],[Total Spring Torque]],Table2[#Headers],0),0)</f>
        <v>0</v>
      </c>
      <c r="BM186" s="2">
        <f>VLOOKUP([jobnumber],OvalData[],MATCH(Table2[[#Headers],[Total Spring Weight]],Table2[#Headers],0),0)</f>
        <v>0</v>
      </c>
      <c r="BN186" s="2">
        <f>VLOOKUP([jobnumber],OvalData[],MATCH(Table2[[#Headers],[Pipe Weight]],Table2[#Headers],0),0)</f>
        <v>688.24239999999998</v>
      </c>
      <c r="BO186" s="2">
        <f>VLOOKUP([jobnumber],OvalData[],MATCH(Table2[[#Headers],[Max Pipe Deflection]],Table2[#Headers],0),0)</f>
        <v>2309</v>
      </c>
      <c r="BP186" s="2">
        <f>VLOOKUP([jobnumber],OvalData[],MATCH(Table2[[#Headers],[Number Non-Insulated Wrap Slats]],Table2[#Headers],0),0)</f>
        <v>0</v>
      </c>
      <c r="BQ186" s="2">
        <f>VLOOKUP([jobnumber],OvalData[],MATCH(Table2[[#Headers],[Number of Insolated Top Slats]],Table2[#Headers],0),0)</f>
        <v>45</v>
      </c>
      <c r="BR186" s="2">
        <f>VLOOKUP([jobnumber],OvalData[],MATCH(Table2[[#Headers],[Insolated Total Slats]],Table2[#Headers],0),0)</f>
        <v>45</v>
      </c>
      <c r="BS186" s="2">
        <f>VLOOKUP([jobnumber],OvalData[],MATCH(Table2[[#Headers],[Number of Slats]],Table2[#Headers],0),0)</f>
        <v>44.69</v>
      </c>
      <c r="BT186" s="2">
        <f>VLOOKUP([jobnumber],OvalData[],MATCH(Table2[[#Headers],[Wrap]],Table2[#Headers],0),0)</f>
        <v>0</v>
      </c>
      <c r="BU186" s="2">
        <f>VLOOKUP([jobnumber],OvalData[],MATCH(Table2[[#Headers],[Wall Angle Thickness]],Table2[#Headers],0),0)</f>
        <v>0</v>
      </c>
      <c r="BV186" s="2">
        <f>VLOOKUP([jobnumber],OvalData[],MATCH(Table2[[#Headers],[windlocks]],Table2[#Headers],0),0)</f>
        <v>0</v>
      </c>
      <c r="BW186" s="2" t="str">
        <f>VLOOKUP([jobnumber],OvalData[],MATCH(Table2[[#Headers],[bottombartype]],Table2[#Headers],0),0)</f>
        <v>SPECIAL</v>
      </c>
      <c r="BX186" s="2">
        <f>VLOOKUP([jobnumber],OvalData[],MATCH(Table2[[#Headers],[endlockweight]],Table2[#Headers],0),0)</f>
        <v>0.17</v>
      </c>
      <c r="BY186" s="2">
        <f>VLOOKUP([jobnumber],OvalData[],MATCH(Table2[[#Headers],[Endlock Total Weight]],Table2[#Headers],0),0)</f>
        <v>7.5972999999999997</v>
      </c>
      <c r="BZ186" s="2">
        <f>VLOOKUP([jobnumber],OvalData[],MATCH(Table2[[#Headers],[Grille Weight]],Table2[#Headers],0),0)</f>
        <v>0</v>
      </c>
      <c r="CA186" s="2">
        <f>VLOOKUP([jobnumber],OvalData[],MATCH(Table2[[#Headers],[barrelrings]],Table2[#Headers],0),0)</f>
        <v>1</v>
      </c>
    </row>
    <row r="187" spans="2:79">
      <c r="B187" s="2" t="str">
        <f>VLOOKUP([jobnumber],OvalData[],MATCH(Table2[[#Headers],[Hand]],Table2[#Headers],0),0)</f>
        <v>RH</v>
      </c>
      <c r="C187" s="2" t="str">
        <f>VLOOKUP([jobnumber],OvalData[],MATCH(Table2[[#Headers],[Model]],Table2[#Headers],0),0)</f>
        <v>SFMPP</v>
      </c>
      <c r="D187" s="2" t="str">
        <f>VLOOKUP([jobnumber],OvalData[],MATCH(Table2[[#Headers],[width]],Table2[#Headers],0),0)</f>
        <v xml:space="preserve"> 18 ft.- 2"</v>
      </c>
      <c r="E187" s="2" t="str">
        <f>VLOOKUP([jobnumber],OvalData[],MATCH(Table2[[#Headers],[stopheight]],Table2[#Headers],0),0)</f>
        <v xml:space="preserve"> 10 ft.- 0"</v>
      </c>
      <c r="F187" s="2" t="str">
        <f>VLOOKUP([jobnumber],OvalData[],MATCH(Table2[[#Headers],[Between Brackets]],Table2[#Headers],0),0)</f>
        <v xml:space="preserve"> 18 ft.- 7 7/ 8"</v>
      </c>
      <c r="G187" s="2" t="str">
        <f>VLOOKUP([jobnumber],OvalData[],MATCH(Table2[[#Headers],[shell]],Table2[#Headers],0),0)</f>
        <v>6 INCH TUBE</v>
      </c>
      <c r="H187" s="2" t="str">
        <f>VLOOKUP([jobnumber],OvalData[],MATCH(Table2[[#Headers],[pipewidth]],Table2[#Headers],0),0)</f>
        <v xml:space="preserve"> 18 ft.- 1 3/ 8"</v>
      </c>
      <c r="I187" s="2">
        <f>VLOOKUP([jobnumber],OvalData[],MATCH(Table2[[#Headers],[Support Tubes]],Table2[#Headers],0),0)</f>
        <v>0</v>
      </c>
      <c r="J187" s="2">
        <f>VLOOKUP([jobnumber],OvalData[],MATCH(Table2[[#Headers],[Upset]],Table2[#Headers],0),0)</f>
        <v>2</v>
      </c>
      <c r="K187" s="2" t="str">
        <f>VLOOKUP([jobnumber],OvalData[],MATCH(Table2[[#Headers],[Guide Type]],Table2[#Headers],0),0)</f>
        <v>SN2-4 5/8-E</v>
      </c>
      <c r="L187" s="2" t="str">
        <f>VLOOKUP([jobnumber],OvalData[],MATCH(Table2[[#Headers],[Wall Angle]],Table2[#Headers],0),0)</f>
        <v xml:space="preserve"> 11 ft.- 8"</v>
      </c>
      <c r="M187" s="2" t="str">
        <f>VLOOKUP([jobnumber],OvalData[],MATCH(Table2[[#Headers],[Middle Angle]],Table2[#Headers],0),0)</f>
        <v xml:space="preserve"> 10 ft.- 4 1/ 2"</v>
      </c>
      <c r="N187" s="2" t="str">
        <f>VLOOKUP([jobnumber],OvalData[],MATCH(Table2[[#Headers],[Front Angle]],Table2[#Headers],0),0)</f>
        <v xml:space="preserve"> 10 ft.- 3"</v>
      </c>
      <c r="O187" s="2">
        <f>VLOOKUP([jobnumber],OvalData[],MATCH(Table2[[#Headers],[Pipe Center Line]],Table2[#Headers],0),0)</f>
        <v>131</v>
      </c>
      <c r="P187" s="2">
        <f>VLOOKUP([jobnumber],OvalData[],MATCH(Table2[[#Headers],[Heat Expansion Gap]],Table2[#Headers],0),0)</f>
        <v>0</v>
      </c>
      <c r="Q187" s="2">
        <f>VLOOKUP([jobnumber],OvalData[],MATCH(Table2[[#Headers],[Hanging Weight Closed]],Table2[#Headers],0),0)</f>
        <v>795</v>
      </c>
      <c r="R187" s="2">
        <f>VLOOKUP([jobnumber],OvalData[],MATCH(Table2[[#Headers],[Hanging Weight Open]],Table2[#Headers],0),0)</f>
        <v>140</v>
      </c>
      <c r="S187" s="2">
        <f>VLOOKUP([jobnumber],OvalData[],MATCH(Table2[[#Headers],[Initial Lever Arm]],Table2[#Headers],0),0)</f>
        <v>4.25</v>
      </c>
      <c r="T187" s="2">
        <f>VLOOKUP([jobnumber],OvalData[],MATCH(Table2[[#Headers],[Turns to Raise]],Table2[#Headers],0),0)</f>
        <v>3.5859999999999999</v>
      </c>
      <c r="U187" s="2">
        <f>VLOOKUP([jobnumber],OvalData[],MATCH(Table2[[#Headers],[Final Lever Arm]],Table2[#Headers],0),0)</f>
        <v>6.37</v>
      </c>
      <c r="V187" s="2">
        <f>VLOOKUP([jobnumber],OvalData[],MATCH(Table2[[#Headers],[Torque Required Closed]],Table2[#Headers],0),0)</f>
        <v>3377.9</v>
      </c>
      <c r="W187" s="2">
        <f>VLOOKUP([jobnumber],OvalData[],MATCH(Table2[[#Headers],[Torque Required Open]],Table2[#Headers],0),0)</f>
        <v>892</v>
      </c>
      <c r="X187" s="2">
        <f>VLOOKUP([jobnumber],OvalData[],MATCH(Table2[[#Headers],[Pre Turns]],Table2[#Headers],0),0)</f>
        <v>1.3332999999999999</v>
      </c>
      <c r="Y187" s="2">
        <f>VLOOKUP([jobnumber],OvalData[],MATCH(Table2[[#Headers],[Required Torque Per Turn]],Table2[#Headers],0),0)</f>
        <v>688</v>
      </c>
      <c r="Z187" s="2">
        <f>VLOOKUP([jobnumber],OvalData[],MATCH(Table2[[#Headers],[Total Turns]],Table2[#Headers],0),0)</f>
        <v>4.91</v>
      </c>
      <c r="AA187" s="2">
        <f>VLOOKUP([jobnumber],OvalData[],MATCH(Table2[[#Headers],[Grille Vision Section]],Table2[#Headers],0),0)</f>
        <v>0</v>
      </c>
      <c r="AB187" s="2">
        <f>VLOOKUP([jobnumber],OvalData[],MATCH(Table2[[#Headers],[Grille Amount]],Table2[#Headers],0),0)</f>
        <v>0</v>
      </c>
      <c r="AC187" s="2">
        <f>VLOOKUP([jobnumber],OvalData[],MATCH(Table2[[#Headers],[Grille Center]],Table2[#Headers],0),0)</f>
        <v>0</v>
      </c>
      <c r="AD187" s="2">
        <f>VLOOKUP([jobnumber],OvalData[],MATCH(Table2[[#Headers],[Grille Pattern]],Table2[#Headers],0),0)</f>
        <v>0</v>
      </c>
      <c r="AE187" s="2">
        <f>VLOOKUP([jobnumber],OvalData[],MATCH(Table2[[#Headers],[Grille First Tube]],Table2[#Headers],0),0)</f>
        <v>0</v>
      </c>
      <c r="AF187" s="2">
        <f>VLOOKUP([jobnumber],OvalData[],MATCH(Table2[[#Headers],[Grille Standard Tube]],Table2[#Headers],0),0)</f>
        <v>0</v>
      </c>
      <c r="AG187" s="2">
        <f>VLOOKUP([jobnumber],OvalData[],MATCH(Table2[[#Headers],[Grille Total Links]],Table2[#Headers],0),0)</f>
        <v>0</v>
      </c>
      <c r="AH187" s="2">
        <f>VLOOKUP([jobnumber],OvalData[],MATCH(Table2[[#Headers],[Grille Rods]],Table2[#Headers],0),0)</f>
        <v>0</v>
      </c>
      <c r="AI187" s="2">
        <f>VLOOKUP([jobnumber],OvalData[],MATCH(Table2[[#Headers],[Grille Rod Length]],Table2[#Headers],0),0)</f>
        <v>0</v>
      </c>
      <c r="AJ187" s="2">
        <f>VLOOKUP([jobnumber],OvalData[],MATCH(Table2[[#Headers],[slattype]],Table2[#Headers],0),0)</f>
        <v>2</v>
      </c>
      <c r="AK187" s="2">
        <f>VLOOKUP([jobnumber],OvalData[],MATCH(Table2[[#Headers],[slatgage]],Table2[#Headers],0),0)</f>
        <v>18</v>
      </c>
      <c r="AL187" s="2">
        <f>VLOOKUP([jobnumber],OvalData[],MATCH(Table2[[#Headers],[Numer of Top Slats]],Table2[#Headers],0),0)</f>
        <v>0</v>
      </c>
      <c r="AM187" s="2">
        <f>VLOOKUP([jobnumber],OvalData[],MATCH(Table2[[#Headers],[Number of Bottom Slats]],Table2[#Headers],0),0)</f>
        <v>0</v>
      </c>
      <c r="AN187" s="2">
        <f>VLOOKUP([jobnumber],OvalData[],MATCH(Table2[[#Headers],[Solid Bottom Height]],Table2[#Headers],0),0)</f>
        <v>0</v>
      </c>
      <c r="AO187" s="2" t="str">
        <f>VLOOKUP([jobnumber],OvalData[],MATCH(Table2[[#Headers],[slatlength]],Table2[#Headers],0),0)</f>
        <v xml:space="preserve"> 18 ft.- 5 7/ 8"</v>
      </c>
      <c r="AP187" s="2">
        <f>VLOOKUP([jobnumber],OvalData[],MATCH(Table2[[#Headers],[Bottom Slat Length]],Table2[#Headers],0),0)</f>
        <v>0</v>
      </c>
      <c r="AQ187" s="2">
        <f>VLOOKUP([jobnumber],OvalData[],MATCH(Table2[[#Headers],[Number of Perferated Slats]],Table2[#Headers],0),0)</f>
        <v>0</v>
      </c>
      <c r="AR187" s="2">
        <f>VLOOKUP([jobnumber],OvalData[],MATCH(Table2[[#Headers],[First Preferated Slat From End]],Table2[#Headers],0),0)</f>
        <v>0</v>
      </c>
      <c r="AS187" s="2">
        <f>VLOOKUP([jobnumber],OvalData[],MATCH(Table2[[#Headers],[First Preferated Slat From Bottom]],Table2[#Headers],0),0)</f>
        <v>0</v>
      </c>
      <c r="AT187" s="2">
        <f>VLOOKUP([jobnumber],OvalData[],MATCH(Table2[[#Headers],[Total Number of Slats]],Table2[#Headers],0),0)</f>
        <v>51</v>
      </c>
      <c r="AU187" s="2">
        <f>VLOOKUP([jobnumber],OvalData[],MATCH(Table2[[#Headers],[Bottom Bar Slope]],Table2[#Headers],0),0)</f>
        <v>0</v>
      </c>
      <c r="AV187" s="2">
        <f>VLOOKUP([jobnumber],OvalData[],MATCH(Table2[[#Headers],[Bottom Bar Weight]],Table2[#Headers],0),0)</f>
        <v>80.5</v>
      </c>
      <c r="AW187" s="2" t="str">
        <f>VLOOKUP([jobnumber],OvalData[],MATCH(Table2[[#Headers],[Outer Spring Gage]],Table2[#Headers],0),0)</f>
        <v>Null</v>
      </c>
      <c r="AX187" s="2" t="str">
        <f>VLOOKUP([jobnumber],OvalData[],MATCH(Table2[[#Headers],[Outer Spring OD]],Table2[#Headers],0),0)</f>
        <v>Null</v>
      </c>
      <c r="AY187" s="2" t="str">
        <f>VLOOKUP([jobnumber],OvalData[],MATCH(Table2[[#Headers],[Outer Spring Length]],Table2[#Headers],0),0)</f>
        <v>Null</v>
      </c>
      <c r="AZ187" s="2" t="str">
        <f>VLOOKUP([jobnumber],OvalData[],MATCH(Table2[[#Headers],[Outer Spring Stretch]],Table2[#Headers],0),0)</f>
        <v>Null</v>
      </c>
      <c r="BA187" s="2" t="str">
        <f>VLOOKUP([jobnumber],OvalData[],MATCH(Table2[[#Headers],[Outer Spring Torque]],Table2[#Headers],0),0)</f>
        <v>Null</v>
      </c>
      <c r="BB187" s="2" t="str">
        <f>VLOOKUP([jobnumber],OvalData[],MATCH(Table2[[#Headers],[Outer Spring Max Turns]],Table2[#Headers],0),0)</f>
        <v>Null</v>
      </c>
      <c r="BC187" s="2" t="str">
        <f>VLOOKUP([jobnumber],OvalData[],MATCH(Table2[[#Headers],[Outer Spring Weight]],Table2[#Headers],0),0)</f>
        <v>Null</v>
      </c>
      <c r="BD187" s="2" t="str">
        <f>VLOOKUP([jobnumber],OvalData[],MATCH(Table2[[#Headers],[Inner Spring Gage]],Table2[#Headers],0),0)</f>
        <v>Null</v>
      </c>
      <c r="BE187" s="2" t="str">
        <f>VLOOKUP([jobnumber],OvalData[],MATCH(Table2[[#Headers],[Inner Spring OD]],Table2[#Headers],0),0)</f>
        <v>Null</v>
      </c>
      <c r="BF187" s="2" t="str">
        <f>VLOOKUP([jobnumber],OvalData[],MATCH(Table2[[#Headers],[Inner Spring Length]],Table2[#Headers],0),0)</f>
        <v>Null</v>
      </c>
      <c r="BG187" s="2" t="str">
        <f>VLOOKUP([jobnumber],OvalData[],MATCH(Table2[[#Headers],[Inner Spring Stretch]],Table2[#Headers],0),0)</f>
        <v>Null</v>
      </c>
      <c r="BH187" s="2" t="str">
        <f>VLOOKUP([jobnumber],OvalData[],MATCH(Table2[[#Headers],[Inner Spring Torque]],Table2[#Headers],0),0)</f>
        <v>Null</v>
      </c>
      <c r="BI187" s="2" t="str">
        <f>VLOOKUP([jobnumber],OvalData[],MATCH(Table2[[#Headers],[Inner Spring Max Turns]],Table2[#Headers],0),0)</f>
        <v>Null</v>
      </c>
      <c r="BJ187" s="2" t="str">
        <f>VLOOKUP([jobnumber],OvalData[],MATCH(Table2[[#Headers],[Inner Spring Weight]],Table2[#Headers],0),0)</f>
        <v>Null</v>
      </c>
      <c r="BK187" s="2">
        <f>VLOOKUP([jobnumber],OvalData[],MATCH(Table2[[#Headers],[Cycles]],Table2[#Headers],0),0)</f>
        <v>0</v>
      </c>
      <c r="BL187" s="2">
        <f>VLOOKUP([jobnumber],OvalData[],MATCH(Table2[[#Headers],[Total Spring Torque]],Table2[#Headers],0),0)</f>
        <v>0</v>
      </c>
      <c r="BM187" s="2">
        <f>VLOOKUP([jobnumber],OvalData[],MATCH(Table2[[#Headers],[Total Spring Weight]],Table2[#Headers],0),0)</f>
        <v>0</v>
      </c>
      <c r="BN187" s="2">
        <f>VLOOKUP([jobnumber],OvalData[],MATCH(Table2[[#Headers],[Pipe Weight]],Table2[#Headers],0),0)</f>
        <v>688.24239999999998</v>
      </c>
      <c r="BO187" s="2">
        <f>VLOOKUP([jobnumber],OvalData[],MATCH(Table2[[#Headers],[Max Pipe Deflection]],Table2[#Headers],0),0)</f>
        <v>2309</v>
      </c>
      <c r="BP187" s="2">
        <f>VLOOKUP([jobnumber],OvalData[],MATCH(Table2[[#Headers],[Number Non-Insulated Wrap Slats]],Table2[#Headers],0),0)</f>
        <v>0</v>
      </c>
      <c r="BQ187" s="2">
        <f>VLOOKUP([jobnumber],OvalData[],MATCH(Table2[[#Headers],[Number of Insolated Top Slats]],Table2[#Headers],0),0)</f>
        <v>45</v>
      </c>
      <c r="BR187" s="2">
        <f>VLOOKUP([jobnumber],OvalData[],MATCH(Table2[[#Headers],[Insolated Total Slats]],Table2[#Headers],0),0)</f>
        <v>45</v>
      </c>
      <c r="BS187" s="2">
        <f>VLOOKUP([jobnumber],OvalData[],MATCH(Table2[[#Headers],[Number of Slats]],Table2[#Headers],0),0)</f>
        <v>44.69</v>
      </c>
      <c r="BT187" s="2">
        <f>VLOOKUP([jobnumber],OvalData[],MATCH(Table2[[#Headers],[Wrap]],Table2[#Headers],0),0)</f>
        <v>0</v>
      </c>
      <c r="BU187" s="2">
        <f>VLOOKUP([jobnumber],OvalData[],MATCH(Table2[[#Headers],[Wall Angle Thickness]],Table2[#Headers],0),0)</f>
        <v>0</v>
      </c>
      <c r="BV187" s="2">
        <f>VLOOKUP([jobnumber],OvalData[],MATCH(Table2[[#Headers],[windlocks]],Table2[#Headers],0),0)</f>
        <v>0</v>
      </c>
      <c r="BW187" s="2" t="str">
        <f>VLOOKUP([jobnumber],OvalData[],MATCH(Table2[[#Headers],[bottombartype]],Table2[#Headers],0),0)</f>
        <v>SPECIAL</v>
      </c>
      <c r="BX187" s="2">
        <f>VLOOKUP([jobnumber],OvalData[],MATCH(Table2[[#Headers],[endlockweight]],Table2[#Headers],0),0)</f>
        <v>0.17</v>
      </c>
      <c r="BY187" s="2">
        <f>VLOOKUP([jobnumber],OvalData[],MATCH(Table2[[#Headers],[Endlock Total Weight]],Table2[#Headers],0),0)</f>
        <v>7.5972999999999997</v>
      </c>
      <c r="BZ187" s="2">
        <f>VLOOKUP([jobnumber],OvalData[],MATCH(Table2[[#Headers],[Grille Weight]],Table2[#Headers],0),0)</f>
        <v>0</v>
      </c>
      <c r="CA187" s="2">
        <f>VLOOKUP([jobnumber],OvalData[],MATCH(Table2[[#Headers],[barrelrings]],Table2[#Headers],0),0)</f>
        <v>1</v>
      </c>
    </row>
    <row r="188" spans="2:79">
      <c r="B188" s="2" t="str">
        <f>VLOOKUP([jobnumber],OvalData[],MATCH(Table2[[#Headers],[Hand]],Table2[#Headers],0),0)</f>
        <v>RH</v>
      </c>
      <c r="C188" s="2" t="str">
        <f>VLOOKUP([jobnumber],OvalData[],MATCH(Table2[[#Headers],[Model]],Table2[#Headers],0),0)</f>
        <v>SFMPP</v>
      </c>
      <c r="D188" s="2" t="str">
        <f>VLOOKUP([jobnumber],OvalData[],MATCH(Table2[[#Headers],[width]],Table2[#Headers],0),0)</f>
        <v xml:space="preserve"> 18 ft.- 2"</v>
      </c>
      <c r="E188" s="2" t="str">
        <f>VLOOKUP([jobnumber],OvalData[],MATCH(Table2[[#Headers],[stopheight]],Table2[#Headers],0),0)</f>
        <v xml:space="preserve"> 10 ft.- 0"</v>
      </c>
      <c r="F188" s="2" t="str">
        <f>VLOOKUP([jobnumber],OvalData[],MATCH(Table2[[#Headers],[Between Brackets]],Table2[#Headers],0),0)</f>
        <v xml:space="preserve"> 18 ft.- 7 7/ 8"</v>
      </c>
      <c r="G188" s="2" t="str">
        <f>VLOOKUP([jobnumber],OvalData[],MATCH(Table2[[#Headers],[shell]],Table2[#Headers],0),0)</f>
        <v>6 INCH TUBE</v>
      </c>
      <c r="H188" s="2" t="str">
        <f>VLOOKUP([jobnumber],OvalData[],MATCH(Table2[[#Headers],[pipewidth]],Table2[#Headers],0),0)</f>
        <v xml:space="preserve"> 18 ft.- 1 3/ 8"</v>
      </c>
      <c r="I188" s="2">
        <f>VLOOKUP([jobnumber],OvalData[],MATCH(Table2[[#Headers],[Support Tubes]],Table2[#Headers],0),0)</f>
        <v>0</v>
      </c>
      <c r="J188" s="2">
        <f>VLOOKUP([jobnumber],OvalData[],MATCH(Table2[[#Headers],[Upset]],Table2[#Headers],0),0)</f>
        <v>2</v>
      </c>
      <c r="K188" s="2" t="str">
        <f>VLOOKUP([jobnumber],OvalData[],MATCH(Table2[[#Headers],[Guide Type]],Table2[#Headers],0),0)</f>
        <v>SN2-4 5/8-E</v>
      </c>
      <c r="L188" s="2" t="str">
        <f>VLOOKUP([jobnumber],OvalData[],MATCH(Table2[[#Headers],[Wall Angle]],Table2[#Headers],0),0)</f>
        <v xml:space="preserve"> 11 ft.- 8"</v>
      </c>
      <c r="M188" s="2" t="str">
        <f>VLOOKUP([jobnumber],OvalData[],MATCH(Table2[[#Headers],[Middle Angle]],Table2[#Headers],0),0)</f>
        <v xml:space="preserve"> 10 ft.- 4 1/ 2"</v>
      </c>
      <c r="N188" s="2" t="str">
        <f>VLOOKUP([jobnumber],OvalData[],MATCH(Table2[[#Headers],[Front Angle]],Table2[#Headers],0),0)</f>
        <v xml:space="preserve"> 10 ft.- 3"</v>
      </c>
      <c r="O188" s="2">
        <f>VLOOKUP([jobnumber],OvalData[],MATCH(Table2[[#Headers],[Pipe Center Line]],Table2[#Headers],0),0)</f>
        <v>131</v>
      </c>
      <c r="P188" s="2">
        <f>VLOOKUP([jobnumber],OvalData[],MATCH(Table2[[#Headers],[Heat Expansion Gap]],Table2[#Headers],0),0)</f>
        <v>0</v>
      </c>
      <c r="Q188" s="2">
        <f>VLOOKUP([jobnumber],OvalData[],MATCH(Table2[[#Headers],[Hanging Weight Closed]],Table2[#Headers],0),0)</f>
        <v>795</v>
      </c>
      <c r="R188" s="2">
        <f>VLOOKUP([jobnumber],OvalData[],MATCH(Table2[[#Headers],[Hanging Weight Open]],Table2[#Headers],0),0)</f>
        <v>140</v>
      </c>
      <c r="S188" s="2">
        <f>VLOOKUP([jobnumber],OvalData[],MATCH(Table2[[#Headers],[Initial Lever Arm]],Table2[#Headers],0),0)</f>
        <v>4.25</v>
      </c>
      <c r="T188" s="2">
        <f>VLOOKUP([jobnumber],OvalData[],MATCH(Table2[[#Headers],[Turns to Raise]],Table2[#Headers],0),0)</f>
        <v>3.5859999999999999</v>
      </c>
      <c r="U188" s="2">
        <f>VLOOKUP([jobnumber],OvalData[],MATCH(Table2[[#Headers],[Final Lever Arm]],Table2[#Headers],0),0)</f>
        <v>6.37</v>
      </c>
      <c r="V188" s="2">
        <f>VLOOKUP([jobnumber],OvalData[],MATCH(Table2[[#Headers],[Torque Required Closed]],Table2[#Headers],0),0)</f>
        <v>3377.9</v>
      </c>
      <c r="W188" s="2">
        <f>VLOOKUP([jobnumber],OvalData[],MATCH(Table2[[#Headers],[Torque Required Open]],Table2[#Headers],0),0)</f>
        <v>892</v>
      </c>
      <c r="X188" s="2">
        <f>VLOOKUP([jobnumber],OvalData[],MATCH(Table2[[#Headers],[Pre Turns]],Table2[#Headers],0),0)</f>
        <v>1.3332999999999999</v>
      </c>
      <c r="Y188" s="2">
        <f>VLOOKUP([jobnumber],OvalData[],MATCH(Table2[[#Headers],[Required Torque Per Turn]],Table2[#Headers],0),0)</f>
        <v>688</v>
      </c>
      <c r="Z188" s="2">
        <f>VLOOKUP([jobnumber],OvalData[],MATCH(Table2[[#Headers],[Total Turns]],Table2[#Headers],0),0)</f>
        <v>4.91</v>
      </c>
      <c r="AA188" s="2">
        <f>VLOOKUP([jobnumber],OvalData[],MATCH(Table2[[#Headers],[Grille Vision Section]],Table2[#Headers],0),0)</f>
        <v>0</v>
      </c>
      <c r="AB188" s="2">
        <f>VLOOKUP([jobnumber],OvalData[],MATCH(Table2[[#Headers],[Grille Amount]],Table2[#Headers],0),0)</f>
        <v>0</v>
      </c>
      <c r="AC188" s="2">
        <f>VLOOKUP([jobnumber],OvalData[],MATCH(Table2[[#Headers],[Grille Center]],Table2[#Headers],0),0)</f>
        <v>0</v>
      </c>
      <c r="AD188" s="2">
        <f>VLOOKUP([jobnumber],OvalData[],MATCH(Table2[[#Headers],[Grille Pattern]],Table2[#Headers],0),0)</f>
        <v>0</v>
      </c>
      <c r="AE188" s="2">
        <f>VLOOKUP([jobnumber],OvalData[],MATCH(Table2[[#Headers],[Grille First Tube]],Table2[#Headers],0),0)</f>
        <v>0</v>
      </c>
      <c r="AF188" s="2">
        <f>VLOOKUP([jobnumber],OvalData[],MATCH(Table2[[#Headers],[Grille Standard Tube]],Table2[#Headers],0),0)</f>
        <v>0</v>
      </c>
      <c r="AG188" s="2">
        <f>VLOOKUP([jobnumber],OvalData[],MATCH(Table2[[#Headers],[Grille Total Links]],Table2[#Headers],0),0)</f>
        <v>0</v>
      </c>
      <c r="AH188" s="2">
        <f>VLOOKUP([jobnumber],OvalData[],MATCH(Table2[[#Headers],[Grille Rods]],Table2[#Headers],0),0)</f>
        <v>0</v>
      </c>
      <c r="AI188" s="2">
        <f>VLOOKUP([jobnumber],OvalData[],MATCH(Table2[[#Headers],[Grille Rod Length]],Table2[#Headers],0),0)</f>
        <v>0</v>
      </c>
      <c r="AJ188" s="2">
        <f>VLOOKUP([jobnumber],OvalData[],MATCH(Table2[[#Headers],[slattype]],Table2[#Headers],0),0)</f>
        <v>2</v>
      </c>
      <c r="AK188" s="2">
        <f>VLOOKUP([jobnumber],OvalData[],MATCH(Table2[[#Headers],[slatgage]],Table2[#Headers],0),0)</f>
        <v>18</v>
      </c>
      <c r="AL188" s="2">
        <f>VLOOKUP([jobnumber],OvalData[],MATCH(Table2[[#Headers],[Numer of Top Slats]],Table2[#Headers],0),0)</f>
        <v>0</v>
      </c>
      <c r="AM188" s="2">
        <f>VLOOKUP([jobnumber],OvalData[],MATCH(Table2[[#Headers],[Number of Bottom Slats]],Table2[#Headers],0),0)</f>
        <v>0</v>
      </c>
      <c r="AN188" s="2">
        <f>VLOOKUP([jobnumber],OvalData[],MATCH(Table2[[#Headers],[Solid Bottom Height]],Table2[#Headers],0),0)</f>
        <v>0</v>
      </c>
      <c r="AO188" s="2" t="str">
        <f>VLOOKUP([jobnumber],OvalData[],MATCH(Table2[[#Headers],[slatlength]],Table2[#Headers],0),0)</f>
        <v xml:space="preserve"> 18 ft.- 5 7/ 8"</v>
      </c>
      <c r="AP188" s="2">
        <f>VLOOKUP([jobnumber],OvalData[],MATCH(Table2[[#Headers],[Bottom Slat Length]],Table2[#Headers],0),0)</f>
        <v>0</v>
      </c>
      <c r="AQ188" s="2">
        <f>VLOOKUP([jobnumber],OvalData[],MATCH(Table2[[#Headers],[Number of Perferated Slats]],Table2[#Headers],0),0)</f>
        <v>0</v>
      </c>
      <c r="AR188" s="2">
        <f>VLOOKUP([jobnumber],OvalData[],MATCH(Table2[[#Headers],[First Preferated Slat From End]],Table2[#Headers],0),0)</f>
        <v>0</v>
      </c>
      <c r="AS188" s="2">
        <f>VLOOKUP([jobnumber],OvalData[],MATCH(Table2[[#Headers],[First Preferated Slat From Bottom]],Table2[#Headers],0),0)</f>
        <v>0</v>
      </c>
      <c r="AT188" s="2">
        <f>VLOOKUP([jobnumber],OvalData[],MATCH(Table2[[#Headers],[Total Number of Slats]],Table2[#Headers],0),0)</f>
        <v>51</v>
      </c>
      <c r="AU188" s="2">
        <f>VLOOKUP([jobnumber],OvalData[],MATCH(Table2[[#Headers],[Bottom Bar Slope]],Table2[#Headers],0),0)</f>
        <v>0</v>
      </c>
      <c r="AV188" s="2">
        <f>VLOOKUP([jobnumber],OvalData[],MATCH(Table2[[#Headers],[Bottom Bar Weight]],Table2[#Headers],0),0)</f>
        <v>80.5</v>
      </c>
      <c r="AW188" s="2" t="str">
        <f>VLOOKUP([jobnumber],OvalData[],MATCH(Table2[[#Headers],[Outer Spring Gage]],Table2[#Headers],0),0)</f>
        <v>Null</v>
      </c>
      <c r="AX188" s="2" t="str">
        <f>VLOOKUP([jobnumber],OvalData[],MATCH(Table2[[#Headers],[Outer Spring OD]],Table2[#Headers],0),0)</f>
        <v>Null</v>
      </c>
      <c r="AY188" s="2" t="str">
        <f>VLOOKUP([jobnumber],OvalData[],MATCH(Table2[[#Headers],[Outer Spring Length]],Table2[#Headers],0),0)</f>
        <v>Null</v>
      </c>
      <c r="AZ188" s="2" t="str">
        <f>VLOOKUP([jobnumber],OvalData[],MATCH(Table2[[#Headers],[Outer Spring Stretch]],Table2[#Headers],0),0)</f>
        <v>Null</v>
      </c>
      <c r="BA188" s="2" t="str">
        <f>VLOOKUP([jobnumber],OvalData[],MATCH(Table2[[#Headers],[Outer Spring Torque]],Table2[#Headers],0),0)</f>
        <v>Null</v>
      </c>
      <c r="BB188" s="2" t="str">
        <f>VLOOKUP([jobnumber],OvalData[],MATCH(Table2[[#Headers],[Outer Spring Max Turns]],Table2[#Headers],0),0)</f>
        <v>Null</v>
      </c>
      <c r="BC188" s="2" t="str">
        <f>VLOOKUP([jobnumber],OvalData[],MATCH(Table2[[#Headers],[Outer Spring Weight]],Table2[#Headers],0),0)</f>
        <v>Null</v>
      </c>
      <c r="BD188" s="2" t="str">
        <f>VLOOKUP([jobnumber],OvalData[],MATCH(Table2[[#Headers],[Inner Spring Gage]],Table2[#Headers],0),0)</f>
        <v>Null</v>
      </c>
      <c r="BE188" s="2" t="str">
        <f>VLOOKUP([jobnumber],OvalData[],MATCH(Table2[[#Headers],[Inner Spring OD]],Table2[#Headers],0),0)</f>
        <v>Null</v>
      </c>
      <c r="BF188" s="2" t="str">
        <f>VLOOKUP([jobnumber],OvalData[],MATCH(Table2[[#Headers],[Inner Spring Length]],Table2[#Headers],0),0)</f>
        <v>Null</v>
      </c>
      <c r="BG188" s="2" t="str">
        <f>VLOOKUP([jobnumber],OvalData[],MATCH(Table2[[#Headers],[Inner Spring Stretch]],Table2[#Headers],0),0)</f>
        <v>Null</v>
      </c>
      <c r="BH188" s="2" t="str">
        <f>VLOOKUP([jobnumber],OvalData[],MATCH(Table2[[#Headers],[Inner Spring Torque]],Table2[#Headers],0),0)</f>
        <v>Null</v>
      </c>
      <c r="BI188" s="2" t="str">
        <f>VLOOKUP([jobnumber],OvalData[],MATCH(Table2[[#Headers],[Inner Spring Max Turns]],Table2[#Headers],0),0)</f>
        <v>Null</v>
      </c>
      <c r="BJ188" s="2" t="str">
        <f>VLOOKUP([jobnumber],OvalData[],MATCH(Table2[[#Headers],[Inner Spring Weight]],Table2[#Headers],0),0)</f>
        <v>Null</v>
      </c>
      <c r="BK188" s="2">
        <f>VLOOKUP([jobnumber],OvalData[],MATCH(Table2[[#Headers],[Cycles]],Table2[#Headers],0),0)</f>
        <v>0</v>
      </c>
      <c r="BL188" s="2">
        <f>VLOOKUP([jobnumber],OvalData[],MATCH(Table2[[#Headers],[Total Spring Torque]],Table2[#Headers],0),0)</f>
        <v>0</v>
      </c>
      <c r="BM188" s="2">
        <f>VLOOKUP([jobnumber],OvalData[],MATCH(Table2[[#Headers],[Total Spring Weight]],Table2[#Headers],0),0)</f>
        <v>0</v>
      </c>
      <c r="BN188" s="2">
        <f>VLOOKUP([jobnumber],OvalData[],MATCH(Table2[[#Headers],[Pipe Weight]],Table2[#Headers],0),0)</f>
        <v>688.24239999999998</v>
      </c>
      <c r="BO188" s="2">
        <f>VLOOKUP([jobnumber],OvalData[],MATCH(Table2[[#Headers],[Max Pipe Deflection]],Table2[#Headers],0),0)</f>
        <v>2309</v>
      </c>
      <c r="BP188" s="2">
        <f>VLOOKUP([jobnumber],OvalData[],MATCH(Table2[[#Headers],[Number Non-Insulated Wrap Slats]],Table2[#Headers],0),0)</f>
        <v>0</v>
      </c>
      <c r="BQ188" s="2">
        <f>VLOOKUP([jobnumber],OvalData[],MATCH(Table2[[#Headers],[Number of Insolated Top Slats]],Table2[#Headers],0),0)</f>
        <v>45</v>
      </c>
      <c r="BR188" s="2">
        <f>VLOOKUP([jobnumber],OvalData[],MATCH(Table2[[#Headers],[Insolated Total Slats]],Table2[#Headers],0),0)</f>
        <v>45</v>
      </c>
      <c r="BS188" s="2">
        <f>VLOOKUP([jobnumber],OvalData[],MATCH(Table2[[#Headers],[Number of Slats]],Table2[#Headers],0),0)</f>
        <v>44.69</v>
      </c>
      <c r="BT188" s="2">
        <f>VLOOKUP([jobnumber],OvalData[],MATCH(Table2[[#Headers],[Wrap]],Table2[#Headers],0),0)</f>
        <v>0</v>
      </c>
      <c r="BU188" s="2">
        <f>VLOOKUP([jobnumber],OvalData[],MATCH(Table2[[#Headers],[Wall Angle Thickness]],Table2[#Headers],0),0)</f>
        <v>0</v>
      </c>
      <c r="BV188" s="2">
        <f>VLOOKUP([jobnumber],OvalData[],MATCH(Table2[[#Headers],[windlocks]],Table2[#Headers],0),0)</f>
        <v>0</v>
      </c>
      <c r="BW188" s="2" t="str">
        <f>VLOOKUP([jobnumber],OvalData[],MATCH(Table2[[#Headers],[bottombartype]],Table2[#Headers],0),0)</f>
        <v>SPECIAL</v>
      </c>
      <c r="BX188" s="2">
        <f>VLOOKUP([jobnumber],OvalData[],MATCH(Table2[[#Headers],[endlockweight]],Table2[#Headers],0),0)</f>
        <v>0.17</v>
      </c>
      <c r="BY188" s="2">
        <f>VLOOKUP([jobnumber],OvalData[],MATCH(Table2[[#Headers],[Endlock Total Weight]],Table2[#Headers],0),0)</f>
        <v>7.5972999999999997</v>
      </c>
      <c r="BZ188" s="2">
        <f>VLOOKUP([jobnumber],OvalData[],MATCH(Table2[[#Headers],[Grille Weight]],Table2[#Headers],0),0)</f>
        <v>0</v>
      </c>
      <c r="CA188" s="2">
        <f>VLOOKUP([jobnumber],OvalData[],MATCH(Table2[[#Headers],[barrelrings]],Table2[#Headers],0),0)</f>
        <v>1</v>
      </c>
    </row>
    <row r="189" spans="2:79">
      <c r="B189" s="2" t="str">
        <f>VLOOKUP([jobnumber],OvalData[],MATCH(Table2[[#Headers],[Hand]],Table2[#Headers],0),0)</f>
        <v>RH</v>
      </c>
      <c r="C189" s="2" t="str">
        <f>VLOOKUP([jobnumber],OvalData[],MATCH(Table2[[#Headers],[Model]],Table2[#Headers],0),0)</f>
        <v>SFMPP</v>
      </c>
      <c r="D189" s="2" t="str">
        <f>VLOOKUP([jobnumber],OvalData[],MATCH(Table2[[#Headers],[width]],Table2[#Headers],0),0)</f>
        <v xml:space="preserve"> 18 ft.- 2"</v>
      </c>
      <c r="E189" s="2" t="str">
        <f>VLOOKUP([jobnumber],OvalData[],MATCH(Table2[[#Headers],[stopheight]],Table2[#Headers],0),0)</f>
        <v xml:space="preserve"> 10 ft.- 0"</v>
      </c>
      <c r="F189" s="2" t="str">
        <f>VLOOKUP([jobnumber],OvalData[],MATCH(Table2[[#Headers],[Between Brackets]],Table2[#Headers],0),0)</f>
        <v xml:space="preserve"> 18 ft.- 7 7/ 8"</v>
      </c>
      <c r="G189" s="2" t="str">
        <f>VLOOKUP([jobnumber],OvalData[],MATCH(Table2[[#Headers],[shell]],Table2[#Headers],0),0)</f>
        <v>6 INCH TUBE</v>
      </c>
      <c r="H189" s="2" t="str">
        <f>VLOOKUP([jobnumber],OvalData[],MATCH(Table2[[#Headers],[pipewidth]],Table2[#Headers],0),0)</f>
        <v xml:space="preserve"> 18 ft.- 1 3/ 8"</v>
      </c>
      <c r="I189" s="2">
        <f>VLOOKUP([jobnumber],OvalData[],MATCH(Table2[[#Headers],[Support Tubes]],Table2[#Headers],0),0)</f>
        <v>0</v>
      </c>
      <c r="J189" s="2">
        <f>VLOOKUP([jobnumber],OvalData[],MATCH(Table2[[#Headers],[Upset]],Table2[#Headers],0),0)</f>
        <v>2</v>
      </c>
      <c r="K189" s="2" t="str">
        <f>VLOOKUP([jobnumber],OvalData[],MATCH(Table2[[#Headers],[Guide Type]],Table2[#Headers],0),0)</f>
        <v>SN2-4 5/8-E</v>
      </c>
      <c r="L189" s="2" t="str">
        <f>VLOOKUP([jobnumber],OvalData[],MATCH(Table2[[#Headers],[Wall Angle]],Table2[#Headers],0),0)</f>
        <v xml:space="preserve"> 11 ft.- 8"</v>
      </c>
      <c r="M189" s="2" t="str">
        <f>VLOOKUP([jobnumber],OvalData[],MATCH(Table2[[#Headers],[Middle Angle]],Table2[#Headers],0),0)</f>
        <v xml:space="preserve"> 10 ft.- 4 1/ 2"</v>
      </c>
      <c r="N189" s="2" t="str">
        <f>VLOOKUP([jobnumber],OvalData[],MATCH(Table2[[#Headers],[Front Angle]],Table2[#Headers],0),0)</f>
        <v xml:space="preserve"> 10 ft.- 3"</v>
      </c>
      <c r="O189" s="2">
        <f>VLOOKUP([jobnumber],OvalData[],MATCH(Table2[[#Headers],[Pipe Center Line]],Table2[#Headers],0),0)</f>
        <v>131</v>
      </c>
      <c r="P189" s="2">
        <f>VLOOKUP([jobnumber],OvalData[],MATCH(Table2[[#Headers],[Heat Expansion Gap]],Table2[#Headers],0),0)</f>
        <v>0</v>
      </c>
      <c r="Q189" s="2">
        <f>VLOOKUP([jobnumber],OvalData[],MATCH(Table2[[#Headers],[Hanging Weight Closed]],Table2[#Headers],0),0)</f>
        <v>795</v>
      </c>
      <c r="R189" s="2">
        <f>VLOOKUP([jobnumber],OvalData[],MATCH(Table2[[#Headers],[Hanging Weight Open]],Table2[#Headers],0),0)</f>
        <v>140</v>
      </c>
      <c r="S189" s="2">
        <f>VLOOKUP([jobnumber],OvalData[],MATCH(Table2[[#Headers],[Initial Lever Arm]],Table2[#Headers],0),0)</f>
        <v>4.25</v>
      </c>
      <c r="T189" s="2">
        <f>VLOOKUP([jobnumber],OvalData[],MATCH(Table2[[#Headers],[Turns to Raise]],Table2[#Headers],0),0)</f>
        <v>3.5859999999999999</v>
      </c>
      <c r="U189" s="2">
        <f>VLOOKUP([jobnumber],OvalData[],MATCH(Table2[[#Headers],[Final Lever Arm]],Table2[#Headers],0),0)</f>
        <v>6.37</v>
      </c>
      <c r="V189" s="2">
        <f>VLOOKUP([jobnumber],OvalData[],MATCH(Table2[[#Headers],[Torque Required Closed]],Table2[#Headers],0),0)</f>
        <v>3377.9</v>
      </c>
      <c r="W189" s="2">
        <f>VLOOKUP([jobnumber],OvalData[],MATCH(Table2[[#Headers],[Torque Required Open]],Table2[#Headers],0),0)</f>
        <v>892</v>
      </c>
      <c r="X189" s="2">
        <f>VLOOKUP([jobnumber],OvalData[],MATCH(Table2[[#Headers],[Pre Turns]],Table2[#Headers],0),0)</f>
        <v>1.3332999999999999</v>
      </c>
      <c r="Y189" s="2">
        <f>VLOOKUP([jobnumber],OvalData[],MATCH(Table2[[#Headers],[Required Torque Per Turn]],Table2[#Headers],0),0)</f>
        <v>688</v>
      </c>
      <c r="Z189" s="2">
        <f>VLOOKUP([jobnumber],OvalData[],MATCH(Table2[[#Headers],[Total Turns]],Table2[#Headers],0),0)</f>
        <v>4.91</v>
      </c>
      <c r="AA189" s="2">
        <f>VLOOKUP([jobnumber],OvalData[],MATCH(Table2[[#Headers],[Grille Vision Section]],Table2[#Headers],0),0)</f>
        <v>0</v>
      </c>
      <c r="AB189" s="2">
        <f>VLOOKUP([jobnumber],OvalData[],MATCH(Table2[[#Headers],[Grille Amount]],Table2[#Headers],0),0)</f>
        <v>0</v>
      </c>
      <c r="AC189" s="2">
        <f>VLOOKUP([jobnumber],OvalData[],MATCH(Table2[[#Headers],[Grille Center]],Table2[#Headers],0),0)</f>
        <v>0</v>
      </c>
      <c r="AD189" s="2">
        <f>VLOOKUP([jobnumber],OvalData[],MATCH(Table2[[#Headers],[Grille Pattern]],Table2[#Headers],0),0)</f>
        <v>0</v>
      </c>
      <c r="AE189" s="2">
        <f>VLOOKUP([jobnumber],OvalData[],MATCH(Table2[[#Headers],[Grille First Tube]],Table2[#Headers],0),0)</f>
        <v>0</v>
      </c>
      <c r="AF189" s="2">
        <f>VLOOKUP([jobnumber],OvalData[],MATCH(Table2[[#Headers],[Grille Standard Tube]],Table2[#Headers],0),0)</f>
        <v>0</v>
      </c>
      <c r="AG189" s="2">
        <f>VLOOKUP([jobnumber],OvalData[],MATCH(Table2[[#Headers],[Grille Total Links]],Table2[#Headers],0),0)</f>
        <v>0</v>
      </c>
      <c r="AH189" s="2">
        <f>VLOOKUP([jobnumber],OvalData[],MATCH(Table2[[#Headers],[Grille Rods]],Table2[#Headers],0),0)</f>
        <v>0</v>
      </c>
      <c r="AI189" s="2">
        <f>VLOOKUP([jobnumber],OvalData[],MATCH(Table2[[#Headers],[Grille Rod Length]],Table2[#Headers],0),0)</f>
        <v>0</v>
      </c>
      <c r="AJ189" s="2">
        <f>VLOOKUP([jobnumber],OvalData[],MATCH(Table2[[#Headers],[slattype]],Table2[#Headers],0),0)</f>
        <v>2</v>
      </c>
      <c r="AK189" s="2">
        <f>VLOOKUP([jobnumber],OvalData[],MATCH(Table2[[#Headers],[slatgage]],Table2[#Headers],0),0)</f>
        <v>18</v>
      </c>
      <c r="AL189" s="2">
        <f>VLOOKUP([jobnumber],OvalData[],MATCH(Table2[[#Headers],[Numer of Top Slats]],Table2[#Headers],0),0)</f>
        <v>0</v>
      </c>
      <c r="AM189" s="2">
        <f>VLOOKUP([jobnumber],OvalData[],MATCH(Table2[[#Headers],[Number of Bottom Slats]],Table2[#Headers],0),0)</f>
        <v>0</v>
      </c>
      <c r="AN189" s="2">
        <f>VLOOKUP([jobnumber],OvalData[],MATCH(Table2[[#Headers],[Solid Bottom Height]],Table2[#Headers],0),0)</f>
        <v>0</v>
      </c>
      <c r="AO189" s="2" t="str">
        <f>VLOOKUP([jobnumber],OvalData[],MATCH(Table2[[#Headers],[slatlength]],Table2[#Headers],0),0)</f>
        <v xml:space="preserve"> 18 ft.- 5 7/ 8"</v>
      </c>
      <c r="AP189" s="2">
        <f>VLOOKUP([jobnumber],OvalData[],MATCH(Table2[[#Headers],[Bottom Slat Length]],Table2[#Headers],0),0)</f>
        <v>0</v>
      </c>
      <c r="AQ189" s="2">
        <f>VLOOKUP([jobnumber],OvalData[],MATCH(Table2[[#Headers],[Number of Perferated Slats]],Table2[#Headers],0),0)</f>
        <v>0</v>
      </c>
      <c r="AR189" s="2">
        <f>VLOOKUP([jobnumber],OvalData[],MATCH(Table2[[#Headers],[First Preferated Slat From End]],Table2[#Headers],0),0)</f>
        <v>0</v>
      </c>
      <c r="AS189" s="2">
        <f>VLOOKUP([jobnumber],OvalData[],MATCH(Table2[[#Headers],[First Preferated Slat From Bottom]],Table2[#Headers],0),0)</f>
        <v>0</v>
      </c>
      <c r="AT189" s="2">
        <f>VLOOKUP([jobnumber],OvalData[],MATCH(Table2[[#Headers],[Total Number of Slats]],Table2[#Headers],0),0)</f>
        <v>51</v>
      </c>
      <c r="AU189" s="2">
        <f>VLOOKUP([jobnumber],OvalData[],MATCH(Table2[[#Headers],[Bottom Bar Slope]],Table2[#Headers],0),0)</f>
        <v>0</v>
      </c>
      <c r="AV189" s="2">
        <f>VLOOKUP([jobnumber],OvalData[],MATCH(Table2[[#Headers],[Bottom Bar Weight]],Table2[#Headers],0),0)</f>
        <v>80.5</v>
      </c>
      <c r="AW189" s="2" t="str">
        <f>VLOOKUP([jobnumber],OvalData[],MATCH(Table2[[#Headers],[Outer Spring Gage]],Table2[#Headers],0),0)</f>
        <v>Null</v>
      </c>
      <c r="AX189" s="2" t="str">
        <f>VLOOKUP([jobnumber],OvalData[],MATCH(Table2[[#Headers],[Outer Spring OD]],Table2[#Headers],0),0)</f>
        <v>Null</v>
      </c>
      <c r="AY189" s="2" t="str">
        <f>VLOOKUP([jobnumber],OvalData[],MATCH(Table2[[#Headers],[Outer Spring Length]],Table2[#Headers],0),0)</f>
        <v>Null</v>
      </c>
      <c r="AZ189" s="2" t="str">
        <f>VLOOKUP([jobnumber],OvalData[],MATCH(Table2[[#Headers],[Outer Spring Stretch]],Table2[#Headers],0),0)</f>
        <v>Null</v>
      </c>
      <c r="BA189" s="2" t="str">
        <f>VLOOKUP([jobnumber],OvalData[],MATCH(Table2[[#Headers],[Outer Spring Torque]],Table2[#Headers],0),0)</f>
        <v>Null</v>
      </c>
      <c r="BB189" s="2" t="str">
        <f>VLOOKUP([jobnumber],OvalData[],MATCH(Table2[[#Headers],[Outer Spring Max Turns]],Table2[#Headers],0),0)</f>
        <v>Null</v>
      </c>
      <c r="BC189" s="2" t="str">
        <f>VLOOKUP([jobnumber],OvalData[],MATCH(Table2[[#Headers],[Outer Spring Weight]],Table2[#Headers],0),0)</f>
        <v>Null</v>
      </c>
      <c r="BD189" s="2" t="str">
        <f>VLOOKUP([jobnumber],OvalData[],MATCH(Table2[[#Headers],[Inner Spring Gage]],Table2[#Headers],0),0)</f>
        <v>Null</v>
      </c>
      <c r="BE189" s="2" t="str">
        <f>VLOOKUP([jobnumber],OvalData[],MATCH(Table2[[#Headers],[Inner Spring OD]],Table2[#Headers],0),0)</f>
        <v>Null</v>
      </c>
      <c r="BF189" s="2" t="str">
        <f>VLOOKUP([jobnumber],OvalData[],MATCH(Table2[[#Headers],[Inner Spring Length]],Table2[#Headers],0),0)</f>
        <v>Null</v>
      </c>
      <c r="BG189" s="2" t="str">
        <f>VLOOKUP([jobnumber],OvalData[],MATCH(Table2[[#Headers],[Inner Spring Stretch]],Table2[#Headers],0),0)</f>
        <v>Null</v>
      </c>
      <c r="BH189" s="2" t="str">
        <f>VLOOKUP([jobnumber],OvalData[],MATCH(Table2[[#Headers],[Inner Spring Torque]],Table2[#Headers],0),0)</f>
        <v>Null</v>
      </c>
      <c r="BI189" s="2" t="str">
        <f>VLOOKUP([jobnumber],OvalData[],MATCH(Table2[[#Headers],[Inner Spring Max Turns]],Table2[#Headers],0),0)</f>
        <v>Null</v>
      </c>
      <c r="BJ189" s="2" t="str">
        <f>VLOOKUP([jobnumber],OvalData[],MATCH(Table2[[#Headers],[Inner Spring Weight]],Table2[#Headers],0),0)</f>
        <v>Null</v>
      </c>
      <c r="BK189" s="2">
        <f>VLOOKUP([jobnumber],OvalData[],MATCH(Table2[[#Headers],[Cycles]],Table2[#Headers],0),0)</f>
        <v>0</v>
      </c>
      <c r="BL189" s="2">
        <f>VLOOKUP([jobnumber],OvalData[],MATCH(Table2[[#Headers],[Total Spring Torque]],Table2[#Headers],0),0)</f>
        <v>0</v>
      </c>
      <c r="BM189" s="2">
        <f>VLOOKUP([jobnumber],OvalData[],MATCH(Table2[[#Headers],[Total Spring Weight]],Table2[#Headers],0),0)</f>
        <v>0</v>
      </c>
      <c r="BN189" s="2">
        <f>VLOOKUP([jobnumber],OvalData[],MATCH(Table2[[#Headers],[Pipe Weight]],Table2[#Headers],0),0)</f>
        <v>688.24239999999998</v>
      </c>
      <c r="BO189" s="2">
        <f>VLOOKUP([jobnumber],OvalData[],MATCH(Table2[[#Headers],[Max Pipe Deflection]],Table2[#Headers],0),0)</f>
        <v>2309</v>
      </c>
      <c r="BP189" s="2">
        <f>VLOOKUP([jobnumber],OvalData[],MATCH(Table2[[#Headers],[Number Non-Insulated Wrap Slats]],Table2[#Headers],0),0)</f>
        <v>0</v>
      </c>
      <c r="BQ189" s="2">
        <f>VLOOKUP([jobnumber],OvalData[],MATCH(Table2[[#Headers],[Number of Insolated Top Slats]],Table2[#Headers],0),0)</f>
        <v>45</v>
      </c>
      <c r="BR189" s="2">
        <f>VLOOKUP([jobnumber],OvalData[],MATCH(Table2[[#Headers],[Insolated Total Slats]],Table2[#Headers],0),0)</f>
        <v>45</v>
      </c>
      <c r="BS189" s="2">
        <f>VLOOKUP([jobnumber],OvalData[],MATCH(Table2[[#Headers],[Number of Slats]],Table2[#Headers],0),0)</f>
        <v>44.69</v>
      </c>
      <c r="BT189" s="2">
        <f>VLOOKUP([jobnumber],OvalData[],MATCH(Table2[[#Headers],[Wrap]],Table2[#Headers],0),0)</f>
        <v>0</v>
      </c>
      <c r="BU189" s="2">
        <f>VLOOKUP([jobnumber],OvalData[],MATCH(Table2[[#Headers],[Wall Angle Thickness]],Table2[#Headers],0),0)</f>
        <v>0</v>
      </c>
      <c r="BV189" s="2">
        <f>VLOOKUP([jobnumber],OvalData[],MATCH(Table2[[#Headers],[windlocks]],Table2[#Headers],0),0)</f>
        <v>0</v>
      </c>
      <c r="BW189" s="2" t="str">
        <f>VLOOKUP([jobnumber],OvalData[],MATCH(Table2[[#Headers],[bottombartype]],Table2[#Headers],0),0)</f>
        <v>SPECIAL</v>
      </c>
      <c r="BX189" s="2">
        <f>VLOOKUP([jobnumber],OvalData[],MATCH(Table2[[#Headers],[endlockweight]],Table2[#Headers],0),0)</f>
        <v>0.17</v>
      </c>
      <c r="BY189" s="2">
        <f>VLOOKUP([jobnumber],OvalData[],MATCH(Table2[[#Headers],[Endlock Total Weight]],Table2[#Headers],0),0)</f>
        <v>7.5972999999999997</v>
      </c>
      <c r="BZ189" s="2">
        <f>VLOOKUP([jobnumber],OvalData[],MATCH(Table2[[#Headers],[Grille Weight]],Table2[#Headers],0),0)</f>
        <v>0</v>
      </c>
      <c r="CA189" s="2">
        <f>VLOOKUP([jobnumber],OvalData[],MATCH(Table2[[#Headers],[barrelrings]],Table2[#Headers],0),0)</f>
        <v>1</v>
      </c>
    </row>
    <row r="190" spans="2:79">
      <c r="B190" s="2" t="str">
        <f>VLOOKUP([jobnumber],OvalData[],MATCH(Table2[[#Headers],[Hand]],Table2[#Headers],0),0)</f>
        <v>RH</v>
      </c>
      <c r="C190" s="2" t="str">
        <f>VLOOKUP([jobnumber],OvalData[],MATCH(Table2[[#Headers],[Model]],Table2[#Headers],0),0)</f>
        <v>SFMPP</v>
      </c>
      <c r="D190" s="2" t="str">
        <f>VLOOKUP([jobnumber],OvalData[],MATCH(Table2[[#Headers],[width]],Table2[#Headers],0),0)</f>
        <v xml:space="preserve"> 18 ft.- 2"</v>
      </c>
      <c r="E190" s="2" t="str">
        <f>VLOOKUP([jobnumber],OvalData[],MATCH(Table2[[#Headers],[stopheight]],Table2[#Headers],0),0)</f>
        <v xml:space="preserve"> 10 ft.- 0"</v>
      </c>
      <c r="F190" s="2" t="str">
        <f>VLOOKUP([jobnumber],OvalData[],MATCH(Table2[[#Headers],[Between Brackets]],Table2[#Headers],0),0)</f>
        <v xml:space="preserve"> 18 ft.- 7 7/ 8"</v>
      </c>
      <c r="G190" s="2" t="str">
        <f>VLOOKUP([jobnumber],OvalData[],MATCH(Table2[[#Headers],[shell]],Table2[#Headers],0),0)</f>
        <v>6 INCH TUBE</v>
      </c>
      <c r="H190" s="2" t="str">
        <f>VLOOKUP([jobnumber],OvalData[],MATCH(Table2[[#Headers],[pipewidth]],Table2[#Headers],0),0)</f>
        <v xml:space="preserve"> 18 ft.- 1 3/ 8"</v>
      </c>
      <c r="I190" s="2">
        <f>VLOOKUP([jobnumber],OvalData[],MATCH(Table2[[#Headers],[Support Tubes]],Table2[#Headers],0),0)</f>
        <v>0</v>
      </c>
      <c r="J190" s="2">
        <f>VLOOKUP([jobnumber],OvalData[],MATCH(Table2[[#Headers],[Upset]],Table2[#Headers],0),0)</f>
        <v>2</v>
      </c>
      <c r="K190" s="2" t="str">
        <f>VLOOKUP([jobnumber],OvalData[],MATCH(Table2[[#Headers],[Guide Type]],Table2[#Headers],0),0)</f>
        <v>SN2-4 5/8-E</v>
      </c>
      <c r="L190" s="2" t="str">
        <f>VLOOKUP([jobnumber],OvalData[],MATCH(Table2[[#Headers],[Wall Angle]],Table2[#Headers],0),0)</f>
        <v xml:space="preserve"> 11 ft.- 8"</v>
      </c>
      <c r="M190" s="2" t="str">
        <f>VLOOKUP([jobnumber],OvalData[],MATCH(Table2[[#Headers],[Middle Angle]],Table2[#Headers],0),0)</f>
        <v xml:space="preserve"> 10 ft.- 4 1/ 2"</v>
      </c>
      <c r="N190" s="2" t="str">
        <f>VLOOKUP([jobnumber],OvalData[],MATCH(Table2[[#Headers],[Front Angle]],Table2[#Headers],0),0)</f>
        <v xml:space="preserve"> 10 ft.- 3"</v>
      </c>
      <c r="O190" s="2">
        <f>VLOOKUP([jobnumber],OvalData[],MATCH(Table2[[#Headers],[Pipe Center Line]],Table2[#Headers],0),0)</f>
        <v>131</v>
      </c>
      <c r="P190" s="2">
        <f>VLOOKUP([jobnumber],OvalData[],MATCH(Table2[[#Headers],[Heat Expansion Gap]],Table2[#Headers],0),0)</f>
        <v>0</v>
      </c>
      <c r="Q190" s="2">
        <f>VLOOKUP([jobnumber],OvalData[],MATCH(Table2[[#Headers],[Hanging Weight Closed]],Table2[#Headers],0),0)</f>
        <v>795</v>
      </c>
      <c r="R190" s="2">
        <f>VLOOKUP([jobnumber],OvalData[],MATCH(Table2[[#Headers],[Hanging Weight Open]],Table2[#Headers],0),0)</f>
        <v>140</v>
      </c>
      <c r="S190" s="2">
        <f>VLOOKUP([jobnumber],OvalData[],MATCH(Table2[[#Headers],[Initial Lever Arm]],Table2[#Headers],0),0)</f>
        <v>4.25</v>
      </c>
      <c r="T190" s="2">
        <f>VLOOKUP([jobnumber],OvalData[],MATCH(Table2[[#Headers],[Turns to Raise]],Table2[#Headers],0),0)</f>
        <v>3.5859999999999999</v>
      </c>
      <c r="U190" s="2">
        <f>VLOOKUP([jobnumber],OvalData[],MATCH(Table2[[#Headers],[Final Lever Arm]],Table2[#Headers],0),0)</f>
        <v>6.37</v>
      </c>
      <c r="V190" s="2">
        <f>VLOOKUP([jobnumber],OvalData[],MATCH(Table2[[#Headers],[Torque Required Closed]],Table2[#Headers],0),0)</f>
        <v>3377.9</v>
      </c>
      <c r="W190" s="2">
        <f>VLOOKUP([jobnumber],OvalData[],MATCH(Table2[[#Headers],[Torque Required Open]],Table2[#Headers],0),0)</f>
        <v>892</v>
      </c>
      <c r="X190" s="2">
        <f>VLOOKUP([jobnumber],OvalData[],MATCH(Table2[[#Headers],[Pre Turns]],Table2[#Headers],0),0)</f>
        <v>1.3332999999999999</v>
      </c>
      <c r="Y190" s="2">
        <f>VLOOKUP([jobnumber],OvalData[],MATCH(Table2[[#Headers],[Required Torque Per Turn]],Table2[#Headers],0),0)</f>
        <v>688</v>
      </c>
      <c r="Z190" s="2">
        <f>VLOOKUP([jobnumber],OvalData[],MATCH(Table2[[#Headers],[Total Turns]],Table2[#Headers],0),0)</f>
        <v>4.91</v>
      </c>
      <c r="AA190" s="2">
        <f>VLOOKUP([jobnumber],OvalData[],MATCH(Table2[[#Headers],[Grille Vision Section]],Table2[#Headers],0),0)</f>
        <v>0</v>
      </c>
      <c r="AB190" s="2">
        <f>VLOOKUP([jobnumber],OvalData[],MATCH(Table2[[#Headers],[Grille Amount]],Table2[#Headers],0),0)</f>
        <v>0</v>
      </c>
      <c r="AC190" s="2">
        <f>VLOOKUP([jobnumber],OvalData[],MATCH(Table2[[#Headers],[Grille Center]],Table2[#Headers],0),0)</f>
        <v>0</v>
      </c>
      <c r="AD190" s="2">
        <f>VLOOKUP([jobnumber],OvalData[],MATCH(Table2[[#Headers],[Grille Pattern]],Table2[#Headers],0),0)</f>
        <v>0</v>
      </c>
      <c r="AE190" s="2">
        <f>VLOOKUP([jobnumber],OvalData[],MATCH(Table2[[#Headers],[Grille First Tube]],Table2[#Headers],0),0)</f>
        <v>0</v>
      </c>
      <c r="AF190" s="2">
        <f>VLOOKUP([jobnumber],OvalData[],MATCH(Table2[[#Headers],[Grille Standard Tube]],Table2[#Headers],0),0)</f>
        <v>0</v>
      </c>
      <c r="AG190" s="2">
        <f>VLOOKUP([jobnumber],OvalData[],MATCH(Table2[[#Headers],[Grille Total Links]],Table2[#Headers],0),0)</f>
        <v>0</v>
      </c>
      <c r="AH190" s="2">
        <f>VLOOKUP([jobnumber],OvalData[],MATCH(Table2[[#Headers],[Grille Rods]],Table2[#Headers],0),0)</f>
        <v>0</v>
      </c>
      <c r="AI190" s="2">
        <f>VLOOKUP([jobnumber],OvalData[],MATCH(Table2[[#Headers],[Grille Rod Length]],Table2[#Headers],0),0)</f>
        <v>0</v>
      </c>
      <c r="AJ190" s="2">
        <f>VLOOKUP([jobnumber],OvalData[],MATCH(Table2[[#Headers],[slattype]],Table2[#Headers],0),0)</f>
        <v>2</v>
      </c>
      <c r="AK190" s="2">
        <f>VLOOKUP([jobnumber],OvalData[],MATCH(Table2[[#Headers],[slatgage]],Table2[#Headers],0),0)</f>
        <v>18</v>
      </c>
      <c r="AL190" s="2">
        <f>VLOOKUP([jobnumber],OvalData[],MATCH(Table2[[#Headers],[Numer of Top Slats]],Table2[#Headers],0),0)</f>
        <v>0</v>
      </c>
      <c r="AM190" s="2">
        <f>VLOOKUP([jobnumber],OvalData[],MATCH(Table2[[#Headers],[Number of Bottom Slats]],Table2[#Headers],0),0)</f>
        <v>0</v>
      </c>
      <c r="AN190" s="2">
        <f>VLOOKUP([jobnumber],OvalData[],MATCH(Table2[[#Headers],[Solid Bottom Height]],Table2[#Headers],0),0)</f>
        <v>0</v>
      </c>
      <c r="AO190" s="2" t="str">
        <f>VLOOKUP([jobnumber],OvalData[],MATCH(Table2[[#Headers],[slatlength]],Table2[#Headers],0),0)</f>
        <v xml:space="preserve"> 18 ft.- 5 7/ 8"</v>
      </c>
      <c r="AP190" s="2">
        <f>VLOOKUP([jobnumber],OvalData[],MATCH(Table2[[#Headers],[Bottom Slat Length]],Table2[#Headers],0),0)</f>
        <v>0</v>
      </c>
      <c r="AQ190" s="2">
        <f>VLOOKUP([jobnumber],OvalData[],MATCH(Table2[[#Headers],[Number of Perferated Slats]],Table2[#Headers],0),0)</f>
        <v>0</v>
      </c>
      <c r="AR190" s="2">
        <f>VLOOKUP([jobnumber],OvalData[],MATCH(Table2[[#Headers],[First Preferated Slat From End]],Table2[#Headers],0),0)</f>
        <v>0</v>
      </c>
      <c r="AS190" s="2">
        <f>VLOOKUP([jobnumber],OvalData[],MATCH(Table2[[#Headers],[First Preferated Slat From Bottom]],Table2[#Headers],0),0)</f>
        <v>0</v>
      </c>
      <c r="AT190" s="2">
        <f>VLOOKUP([jobnumber],OvalData[],MATCH(Table2[[#Headers],[Total Number of Slats]],Table2[#Headers],0),0)</f>
        <v>51</v>
      </c>
      <c r="AU190" s="2">
        <f>VLOOKUP([jobnumber],OvalData[],MATCH(Table2[[#Headers],[Bottom Bar Slope]],Table2[#Headers],0),0)</f>
        <v>0</v>
      </c>
      <c r="AV190" s="2">
        <f>VLOOKUP([jobnumber],OvalData[],MATCH(Table2[[#Headers],[Bottom Bar Weight]],Table2[#Headers],0),0)</f>
        <v>80.5</v>
      </c>
      <c r="AW190" s="2" t="str">
        <f>VLOOKUP([jobnumber],OvalData[],MATCH(Table2[[#Headers],[Outer Spring Gage]],Table2[#Headers],0),0)</f>
        <v>Null</v>
      </c>
      <c r="AX190" s="2" t="str">
        <f>VLOOKUP([jobnumber],OvalData[],MATCH(Table2[[#Headers],[Outer Spring OD]],Table2[#Headers],0),0)</f>
        <v>Null</v>
      </c>
      <c r="AY190" s="2" t="str">
        <f>VLOOKUP([jobnumber],OvalData[],MATCH(Table2[[#Headers],[Outer Spring Length]],Table2[#Headers],0),0)</f>
        <v>Null</v>
      </c>
      <c r="AZ190" s="2" t="str">
        <f>VLOOKUP([jobnumber],OvalData[],MATCH(Table2[[#Headers],[Outer Spring Stretch]],Table2[#Headers],0),0)</f>
        <v>Null</v>
      </c>
      <c r="BA190" s="2" t="str">
        <f>VLOOKUP([jobnumber],OvalData[],MATCH(Table2[[#Headers],[Outer Spring Torque]],Table2[#Headers],0),0)</f>
        <v>Null</v>
      </c>
      <c r="BB190" s="2" t="str">
        <f>VLOOKUP([jobnumber],OvalData[],MATCH(Table2[[#Headers],[Outer Spring Max Turns]],Table2[#Headers],0),0)</f>
        <v>Null</v>
      </c>
      <c r="BC190" s="2" t="str">
        <f>VLOOKUP([jobnumber],OvalData[],MATCH(Table2[[#Headers],[Outer Spring Weight]],Table2[#Headers],0),0)</f>
        <v>Null</v>
      </c>
      <c r="BD190" s="2" t="str">
        <f>VLOOKUP([jobnumber],OvalData[],MATCH(Table2[[#Headers],[Inner Spring Gage]],Table2[#Headers],0),0)</f>
        <v>Null</v>
      </c>
      <c r="BE190" s="2" t="str">
        <f>VLOOKUP([jobnumber],OvalData[],MATCH(Table2[[#Headers],[Inner Spring OD]],Table2[#Headers],0),0)</f>
        <v>Null</v>
      </c>
      <c r="BF190" s="2" t="str">
        <f>VLOOKUP([jobnumber],OvalData[],MATCH(Table2[[#Headers],[Inner Spring Length]],Table2[#Headers],0),0)</f>
        <v>Null</v>
      </c>
      <c r="BG190" s="2" t="str">
        <f>VLOOKUP([jobnumber],OvalData[],MATCH(Table2[[#Headers],[Inner Spring Stretch]],Table2[#Headers],0),0)</f>
        <v>Null</v>
      </c>
      <c r="BH190" s="2" t="str">
        <f>VLOOKUP([jobnumber],OvalData[],MATCH(Table2[[#Headers],[Inner Spring Torque]],Table2[#Headers],0),0)</f>
        <v>Null</v>
      </c>
      <c r="BI190" s="2" t="str">
        <f>VLOOKUP([jobnumber],OvalData[],MATCH(Table2[[#Headers],[Inner Spring Max Turns]],Table2[#Headers],0),0)</f>
        <v>Null</v>
      </c>
      <c r="BJ190" s="2" t="str">
        <f>VLOOKUP([jobnumber],OvalData[],MATCH(Table2[[#Headers],[Inner Spring Weight]],Table2[#Headers],0),0)</f>
        <v>Null</v>
      </c>
      <c r="BK190" s="2">
        <f>VLOOKUP([jobnumber],OvalData[],MATCH(Table2[[#Headers],[Cycles]],Table2[#Headers],0),0)</f>
        <v>0</v>
      </c>
      <c r="BL190" s="2">
        <f>VLOOKUP([jobnumber],OvalData[],MATCH(Table2[[#Headers],[Total Spring Torque]],Table2[#Headers],0),0)</f>
        <v>0</v>
      </c>
      <c r="BM190" s="2">
        <f>VLOOKUP([jobnumber],OvalData[],MATCH(Table2[[#Headers],[Total Spring Weight]],Table2[#Headers],0),0)</f>
        <v>0</v>
      </c>
      <c r="BN190" s="2">
        <f>VLOOKUP([jobnumber],OvalData[],MATCH(Table2[[#Headers],[Pipe Weight]],Table2[#Headers],0),0)</f>
        <v>688.24239999999998</v>
      </c>
      <c r="BO190" s="2">
        <f>VLOOKUP([jobnumber],OvalData[],MATCH(Table2[[#Headers],[Max Pipe Deflection]],Table2[#Headers],0),0)</f>
        <v>2309</v>
      </c>
      <c r="BP190" s="2">
        <f>VLOOKUP([jobnumber],OvalData[],MATCH(Table2[[#Headers],[Number Non-Insulated Wrap Slats]],Table2[#Headers],0),0)</f>
        <v>0</v>
      </c>
      <c r="BQ190" s="2">
        <f>VLOOKUP([jobnumber],OvalData[],MATCH(Table2[[#Headers],[Number of Insolated Top Slats]],Table2[#Headers],0),0)</f>
        <v>45</v>
      </c>
      <c r="BR190" s="2">
        <f>VLOOKUP([jobnumber],OvalData[],MATCH(Table2[[#Headers],[Insolated Total Slats]],Table2[#Headers],0),0)</f>
        <v>45</v>
      </c>
      <c r="BS190" s="2">
        <f>VLOOKUP([jobnumber],OvalData[],MATCH(Table2[[#Headers],[Number of Slats]],Table2[#Headers],0),0)</f>
        <v>44.69</v>
      </c>
      <c r="BT190" s="2">
        <f>VLOOKUP([jobnumber],OvalData[],MATCH(Table2[[#Headers],[Wrap]],Table2[#Headers],0),0)</f>
        <v>0</v>
      </c>
      <c r="BU190" s="2">
        <f>VLOOKUP([jobnumber],OvalData[],MATCH(Table2[[#Headers],[Wall Angle Thickness]],Table2[#Headers],0),0)</f>
        <v>0</v>
      </c>
      <c r="BV190" s="2">
        <f>VLOOKUP([jobnumber],OvalData[],MATCH(Table2[[#Headers],[windlocks]],Table2[#Headers],0),0)</f>
        <v>0</v>
      </c>
      <c r="BW190" s="2" t="str">
        <f>VLOOKUP([jobnumber],OvalData[],MATCH(Table2[[#Headers],[bottombartype]],Table2[#Headers],0),0)</f>
        <v>SPECIAL</v>
      </c>
      <c r="BX190" s="2">
        <f>VLOOKUP([jobnumber],OvalData[],MATCH(Table2[[#Headers],[endlockweight]],Table2[#Headers],0),0)</f>
        <v>0.17</v>
      </c>
      <c r="BY190" s="2">
        <f>VLOOKUP([jobnumber],OvalData[],MATCH(Table2[[#Headers],[Endlock Total Weight]],Table2[#Headers],0),0)</f>
        <v>7.5972999999999997</v>
      </c>
      <c r="BZ190" s="2">
        <f>VLOOKUP([jobnumber],OvalData[],MATCH(Table2[[#Headers],[Grille Weight]],Table2[#Headers],0),0)</f>
        <v>0</v>
      </c>
      <c r="CA190" s="2">
        <f>VLOOKUP([jobnumber],OvalData[],MATCH(Table2[[#Headers],[barrelrings]],Table2[#Headers],0),0)</f>
        <v>1</v>
      </c>
    </row>
    <row r="191" spans="2:79">
      <c r="B191" s="2" t="str">
        <f>VLOOKUP([jobnumber],OvalData[],MATCH(Table2[[#Headers],[Hand]],Table2[#Headers],0),0)</f>
        <v>RH</v>
      </c>
      <c r="C191" s="2" t="str">
        <f>VLOOKUP([jobnumber],OvalData[],MATCH(Table2[[#Headers],[Model]],Table2[#Headers],0),0)</f>
        <v>SFMPP</v>
      </c>
      <c r="D191" s="2" t="str">
        <f>VLOOKUP([jobnumber],OvalData[],MATCH(Table2[[#Headers],[width]],Table2[#Headers],0),0)</f>
        <v xml:space="preserve"> 18 ft.- 2"</v>
      </c>
      <c r="E191" s="2" t="str">
        <f>VLOOKUP([jobnumber],OvalData[],MATCH(Table2[[#Headers],[stopheight]],Table2[#Headers],0),0)</f>
        <v xml:space="preserve"> 10 ft.- 0"</v>
      </c>
      <c r="F191" s="2" t="str">
        <f>VLOOKUP([jobnumber],OvalData[],MATCH(Table2[[#Headers],[Between Brackets]],Table2[#Headers],0),0)</f>
        <v xml:space="preserve"> 18 ft.- 7 7/ 8"</v>
      </c>
      <c r="G191" s="2" t="str">
        <f>VLOOKUP([jobnumber],OvalData[],MATCH(Table2[[#Headers],[shell]],Table2[#Headers],0),0)</f>
        <v>6 INCH TUBE</v>
      </c>
      <c r="H191" s="2" t="str">
        <f>VLOOKUP([jobnumber],OvalData[],MATCH(Table2[[#Headers],[pipewidth]],Table2[#Headers],0),0)</f>
        <v xml:space="preserve"> 18 ft.- 1 3/ 8"</v>
      </c>
      <c r="I191" s="2">
        <f>VLOOKUP([jobnumber],OvalData[],MATCH(Table2[[#Headers],[Support Tubes]],Table2[#Headers],0),0)</f>
        <v>0</v>
      </c>
      <c r="J191" s="2">
        <f>VLOOKUP([jobnumber],OvalData[],MATCH(Table2[[#Headers],[Upset]],Table2[#Headers],0),0)</f>
        <v>2</v>
      </c>
      <c r="K191" s="2" t="str">
        <f>VLOOKUP([jobnumber],OvalData[],MATCH(Table2[[#Headers],[Guide Type]],Table2[#Headers],0),0)</f>
        <v>SN2-4 5/8-E</v>
      </c>
      <c r="L191" s="2" t="str">
        <f>VLOOKUP([jobnumber],OvalData[],MATCH(Table2[[#Headers],[Wall Angle]],Table2[#Headers],0),0)</f>
        <v xml:space="preserve"> 11 ft.- 8"</v>
      </c>
      <c r="M191" s="2" t="str">
        <f>VLOOKUP([jobnumber],OvalData[],MATCH(Table2[[#Headers],[Middle Angle]],Table2[#Headers],0),0)</f>
        <v xml:space="preserve"> 10 ft.- 4 1/ 2"</v>
      </c>
      <c r="N191" s="2" t="str">
        <f>VLOOKUP([jobnumber],OvalData[],MATCH(Table2[[#Headers],[Front Angle]],Table2[#Headers],0),0)</f>
        <v xml:space="preserve"> 10 ft.- 3"</v>
      </c>
      <c r="O191" s="2">
        <f>VLOOKUP([jobnumber],OvalData[],MATCH(Table2[[#Headers],[Pipe Center Line]],Table2[#Headers],0),0)</f>
        <v>131</v>
      </c>
      <c r="P191" s="2">
        <f>VLOOKUP([jobnumber],OvalData[],MATCH(Table2[[#Headers],[Heat Expansion Gap]],Table2[#Headers],0),0)</f>
        <v>0</v>
      </c>
      <c r="Q191" s="2">
        <f>VLOOKUP([jobnumber],OvalData[],MATCH(Table2[[#Headers],[Hanging Weight Closed]],Table2[#Headers],0),0)</f>
        <v>795</v>
      </c>
      <c r="R191" s="2">
        <f>VLOOKUP([jobnumber],OvalData[],MATCH(Table2[[#Headers],[Hanging Weight Open]],Table2[#Headers],0),0)</f>
        <v>140</v>
      </c>
      <c r="S191" s="2">
        <f>VLOOKUP([jobnumber],OvalData[],MATCH(Table2[[#Headers],[Initial Lever Arm]],Table2[#Headers],0),0)</f>
        <v>4.25</v>
      </c>
      <c r="T191" s="2">
        <f>VLOOKUP([jobnumber],OvalData[],MATCH(Table2[[#Headers],[Turns to Raise]],Table2[#Headers],0),0)</f>
        <v>3.5859999999999999</v>
      </c>
      <c r="U191" s="2">
        <f>VLOOKUP([jobnumber],OvalData[],MATCH(Table2[[#Headers],[Final Lever Arm]],Table2[#Headers],0),0)</f>
        <v>6.37</v>
      </c>
      <c r="V191" s="2">
        <f>VLOOKUP([jobnumber],OvalData[],MATCH(Table2[[#Headers],[Torque Required Closed]],Table2[#Headers],0),0)</f>
        <v>3377.9</v>
      </c>
      <c r="W191" s="2">
        <f>VLOOKUP([jobnumber],OvalData[],MATCH(Table2[[#Headers],[Torque Required Open]],Table2[#Headers],0),0)</f>
        <v>892</v>
      </c>
      <c r="X191" s="2">
        <f>VLOOKUP([jobnumber],OvalData[],MATCH(Table2[[#Headers],[Pre Turns]],Table2[#Headers],0),0)</f>
        <v>1.3332999999999999</v>
      </c>
      <c r="Y191" s="2">
        <f>VLOOKUP([jobnumber],OvalData[],MATCH(Table2[[#Headers],[Required Torque Per Turn]],Table2[#Headers],0),0)</f>
        <v>688</v>
      </c>
      <c r="Z191" s="2">
        <f>VLOOKUP([jobnumber],OvalData[],MATCH(Table2[[#Headers],[Total Turns]],Table2[#Headers],0),0)</f>
        <v>4.91</v>
      </c>
      <c r="AA191" s="2">
        <f>VLOOKUP([jobnumber],OvalData[],MATCH(Table2[[#Headers],[Grille Vision Section]],Table2[#Headers],0),0)</f>
        <v>0</v>
      </c>
      <c r="AB191" s="2">
        <f>VLOOKUP([jobnumber],OvalData[],MATCH(Table2[[#Headers],[Grille Amount]],Table2[#Headers],0),0)</f>
        <v>0</v>
      </c>
      <c r="AC191" s="2">
        <f>VLOOKUP([jobnumber],OvalData[],MATCH(Table2[[#Headers],[Grille Center]],Table2[#Headers],0),0)</f>
        <v>0</v>
      </c>
      <c r="AD191" s="2">
        <f>VLOOKUP([jobnumber],OvalData[],MATCH(Table2[[#Headers],[Grille Pattern]],Table2[#Headers],0),0)</f>
        <v>0</v>
      </c>
      <c r="AE191" s="2">
        <f>VLOOKUP([jobnumber],OvalData[],MATCH(Table2[[#Headers],[Grille First Tube]],Table2[#Headers],0),0)</f>
        <v>0</v>
      </c>
      <c r="AF191" s="2">
        <f>VLOOKUP([jobnumber],OvalData[],MATCH(Table2[[#Headers],[Grille Standard Tube]],Table2[#Headers],0),0)</f>
        <v>0</v>
      </c>
      <c r="AG191" s="2">
        <f>VLOOKUP([jobnumber],OvalData[],MATCH(Table2[[#Headers],[Grille Total Links]],Table2[#Headers],0),0)</f>
        <v>0</v>
      </c>
      <c r="AH191" s="2">
        <f>VLOOKUP([jobnumber],OvalData[],MATCH(Table2[[#Headers],[Grille Rods]],Table2[#Headers],0),0)</f>
        <v>0</v>
      </c>
      <c r="AI191" s="2">
        <f>VLOOKUP([jobnumber],OvalData[],MATCH(Table2[[#Headers],[Grille Rod Length]],Table2[#Headers],0),0)</f>
        <v>0</v>
      </c>
      <c r="AJ191" s="2">
        <f>VLOOKUP([jobnumber],OvalData[],MATCH(Table2[[#Headers],[slattype]],Table2[#Headers],0),0)</f>
        <v>2</v>
      </c>
      <c r="AK191" s="2">
        <f>VLOOKUP([jobnumber],OvalData[],MATCH(Table2[[#Headers],[slatgage]],Table2[#Headers],0),0)</f>
        <v>18</v>
      </c>
      <c r="AL191" s="2">
        <f>VLOOKUP([jobnumber],OvalData[],MATCH(Table2[[#Headers],[Numer of Top Slats]],Table2[#Headers],0),0)</f>
        <v>0</v>
      </c>
      <c r="AM191" s="2">
        <f>VLOOKUP([jobnumber],OvalData[],MATCH(Table2[[#Headers],[Number of Bottom Slats]],Table2[#Headers],0),0)</f>
        <v>0</v>
      </c>
      <c r="AN191" s="2">
        <f>VLOOKUP([jobnumber],OvalData[],MATCH(Table2[[#Headers],[Solid Bottom Height]],Table2[#Headers],0),0)</f>
        <v>0</v>
      </c>
      <c r="AO191" s="2" t="str">
        <f>VLOOKUP([jobnumber],OvalData[],MATCH(Table2[[#Headers],[slatlength]],Table2[#Headers],0),0)</f>
        <v xml:space="preserve"> 18 ft.- 5 7/ 8"</v>
      </c>
      <c r="AP191" s="2">
        <f>VLOOKUP([jobnumber],OvalData[],MATCH(Table2[[#Headers],[Bottom Slat Length]],Table2[#Headers],0),0)</f>
        <v>0</v>
      </c>
      <c r="AQ191" s="2">
        <f>VLOOKUP([jobnumber],OvalData[],MATCH(Table2[[#Headers],[Number of Perferated Slats]],Table2[#Headers],0),0)</f>
        <v>0</v>
      </c>
      <c r="AR191" s="2">
        <f>VLOOKUP([jobnumber],OvalData[],MATCH(Table2[[#Headers],[First Preferated Slat From End]],Table2[#Headers],0),0)</f>
        <v>0</v>
      </c>
      <c r="AS191" s="2">
        <f>VLOOKUP([jobnumber],OvalData[],MATCH(Table2[[#Headers],[First Preferated Slat From Bottom]],Table2[#Headers],0),0)</f>
        <v>0</v>
      </c>
      <c r="AT191" s="2">
        <f>VLOOKUP([jobnumber],OvalData[],MATCH(Table2[[#Headers],[Total Number of Slats]],Table2[#Headers],0),0)</f>
        <v>51</v>
      </c>
      <c r="AU191" s="2">
        <f>VLOOKUP([jobnumber],OvalData[],MATCH(Table2[[#Headers],[Bottom Bar Slope]],Table2[#Headers],0),0)</f>
        <v>0</v>
      </c>
      <c r="AV191" s="2">
        <f>VLOOKUP([jobnumber],OvalData[],MATCH(Table2[[#Headers],[Bottom Bar Weight]],Table2[#Headers],0),0)</f>
        <v>80.5</v>
      </c>
      <c r="AW191" s="2" t="str">
        <f>VLOOKUP([jobnumber],OvalData[],MATCH(Table2[[#Headers],[Outer Spring Gage]],Table2[#Headers],0),0)</f>
        <v>Null</v>
      </c>
      <c r="AX191" s="2" t="str">
        <f>VLOOKUP([jobnumber],OvalData[],MATCH(Table2[[#Headers],[Outer Spring OD]],Table2[#Headers],0),0)</f>
        <v>Null</v>
      </c>
      <c r="AY191" s="2" t="str">
        <f>VLOOKUP([jobnumber],OvalData[],MATCH(Table2[[#Headers],[Outer Spring Length]],Table2[#Headers],0),0)</f>
        <v>Null</v>
      </c>
      <c r="AZ191" s="2" t="str">
        <f>VLOOKUP([jobnumber],OvalData[],MATCH(Table2[[#Headers],[Outer Spring Stretch]],Table2[#Headers],0),0)</f>
        <v>Null</v>
      </c>
      <c r="BA191" s="2" t="str">
        <f>VLOOKUP([jobnumber],OvalData[],MATCH(Table2[[#Headers],[Outer Spring Torque]],Table2[#Headers],0),0)</f>
        <v>Null</v>
      </c>
      <c r="BB191" s="2" t="str">
        <f>VLOOKUP([jobnumber],OvalData[],MATCH(Table2[[#Headers],[Outer Spring Max Turns]],Table2[#Headers],0),0)</f>
        <v>Null</v>
      </c>
      <c r="BC191" s="2" t="str">
        <f>VLOOKUP([jobnumber],OvalData[],MATCH(Table2[[#Headers],[Outer Spring Weight]],Table2[#Headers],0),0)</f>
        <v>Null</v>
      </c>
      <c r="BD191" s="2" t="str">
        <f>VLOOKUP([jobnumber],OvalData[],MATCH(Table2[[#Headers],[Inner Spring Gage]],Table2[#Headers],0),0)</f>
        <v>Null</v>
      </c>
      <c r="BE191" s="2" t="str">
        <f>VLOOKUP([jobnumber],OvalData[],MATCH(Table2[[#Headers],[Inner Spring OD]],Table2[#Headers],0),0)</f>
        <v>Null</v>
      </c>
      <c r="BF191" s="2" t="str">
        <f>VLOOKUP([jobnumber],OvalData[],MATCH(Table2[[#Headers],[Inner Spring Length]],Table2[#Headers],0),0)</f>
        <v>Null</v>
      </c>
      <c r="BG191" s="2" t="str">
        <f>VLOOKUP([jobnumber],OvalData[],MATCH(Table2[[#Headers],[Inner Spring Stretch]],Table2[#Headers],0),0)</f>
        <v>Null</v>
      </c>
      <c r="BH191" s="2" t="str">
        <f>VLOOKUP([jobnumber],OvalData[],MATCH(Table2[[#Headers],[Inner Spring Torque]],Table2[#Headers],0),0)</f>
        <v>Null</v>
      </c>
      <c r="BI191" s="2" t="str">
        <f>VLOOKUP([jobnumber],OvalData[],MATCH(Table2[[#Headers],[Inner Spring Max Turns]],Table2[#Headers],0),0)</f>
        <v>Null</v>
      </c>
      <c r="BJ191" s="2" t="str">
        <f>VLOOKUP([jobnumber],OvalData[],MATCH(Table2[[#Headers],[Inner Spring Weight]],Table2[#Headers],0),0)</f>
        <v>Null</v>
      </c>
      <c r="BK191" s="2">
        <f>VLOOKUP([jobnumber],OvalData[],MATCH(Table2[[#Headers],[Cycles]],Table2[#Headers],0),0)</f>
        <v>0</v>
      </c>
      <c r="BL191" s="2">
        <f>VLOOKUP([jobnumber],OvalData[],MATCH(Table2[[#Headers],[Total Spring Torque]],Table2[#Headers],0),0)</f>
        <v>0</v>
      </c>
      <c r="BM191" s="2">
        <f>VLOOKUP([jobnumber],OvalData[],MATCH(Table2[[#Headers],[Total Spring Weight]],Table2[#Headers],0),0)</f>
        <v>0</v>
      </c>
      <c r="BN191" s="2">
        <f>VLOOKUP([jobnumber],OvalData[],MATCH(Table2[[#Headers],[Pipe Weight]],Table2[#Headers],0),0)</f>
        <v>688.24239999999998</v>
      </c>
      <c r="BO191" s="2">
        <f>VLOOKUP([jobnumber],OvalData[],MATCH(Table2[[#Headers],[Max Pipe Deflection]],Table2[#Headers],0),0)</f>
        <v>2309</v>
      </c>
      <c r="BP191" s="2">
        <f>VLOOKUP([jobnumber],OvalData[],MATCH(Table2[[#Headers],[Number Non-Insulated Wrap Slats]],Table2[#Headers],0),0)</f>
        <v>0</v>
      </c>
      <c r="BQ191" s="2">
        <f>VLOOKUP([jobnumber],OvalData[],MATCH(Table2[[#Headers],[Number of Insolated Top Slats]],Table2[#Headers],0),0)</f>
        <v>45</v>
      </c>
      <c r="BR191" s="2">
        <f>VLOOKUP([jobnumber],OvalData[],MATCH(Table2[[#Headers],[Insolated Total Slats]],Table2[#Headers],0),0)</f>
        <v>45</v>
      </c>
      <c r="BS191" s="2">
        <f>VLOOKUP([jobnumber],OvalData[],MATCH(Table2[[#Headers],[Number of Slats]],Table2[#Headers],0),0)</f>
        <v>44.69</v>
      </c>
      <c r="BT191" s="2">
        <f>VLOOKUP([jobnumber],OvalData[],MATCH(Table2[[#Headers],[Wrap]],Table2[#Headers],0),0)</f>
        <v>0</v>
      </c>
      <c r="BU191" s="2">
        <f>VLOOKUP([jobnumber],OvalData[],MATCH(Table2[[#Headers],[Wall Angle Thickness]],Table2[#Headers],0),0)</f>
        <v>0</v>
      </c>
      <c r="BV191" s="2">
        <f>VLOOKUP([jobnumber],OvalData[],MATCH(Table2[[#Headers],[windlocks]],Table2[#Headers],0),0)</f>
        <v>0</v>
      </c>
      <c r="BW191" s="2" t="str">
        <f>VLOOKUP([jobnumber],OvalData[],MATCH(Table2[[#Headers],[bottombartype]],Table2[#Headers],0),0)</f>
        <v>SPECIAL</v>
      </c>
      <c r="BX191" s="2">
        <f>VLOOKUP([jobnumber],OvalData[],MATCH(Table2[[#Headers],[endlockweight]],Table2[#Headers],0),0)</f>
        <v>0.17</v>
      </c>
      <c r="BY191" s="2">
        <f>VLOOKUP([jobnumber],OvalData[],MATCH(Table2[[#Headers],[Endlock Total Weight]],Table2[#Headers],0),0)</f>
        <v>7.5972999999999997</v>
      </c>
      <c r="BZ191" s="2">
        <f>VLOOKUP([jobnumber],OvalData[],MATCH(Table2[[#Headers],[Grille Weight]],Table2[#Headers],0),0)</f>
        <v>0</v>
      </c>
      <c r="CA191" s="2">
        <f>VLOOKUP([jobnumber],OvalData[],MATCH(Table2[[#Headers],[barrelrings]],Table2[#Headers],0),0)</f>
        <v>1</v>
      </c>
    </row>
    <row r="192" spans="2:79">
      <c r="B192" s="2" t="str">
        <f>VLOOKUP([jobnumber],OvalData[],MATCH(Table2[[#Headers],[Hand]],Table2[#Headers],0),0)</f>
        <v>RH</v>
      </c>
      <c r="C192" s="2" t="str">
        <f>VLOOKUP([jobnumber],OvalData[],MATCH(Table2[[#Headers],[Model]],Table2[#Headers],0),0)</f>
        <v>SFMPP</v>
      </c>
      <c r="D192" s="2" t="str">
        <f>VLOOKUP([jobnumber],OvalData[],MATCH(Table2[[#Headers],[width]],Table2[#Headers],0),0)</f>
        <v xml:space="preserve"> 18 ft.- 2"</v>
      </c>
      <c r="E192" s="2" t="str">
        <f>VLOOKUP([jobnumber],OvalData[],MATCH(Table2[[#Headers],[stopheight]],Table2[#Headers],0),0)</f>
        <v xml:space="preserve"> 10 ft.- 0"</v>
      </c>
      <c r="F192" s="2" t="str">
        <f>VLOOKUP([jobnumber],OvalData[],MATCH(Table2[[#Headers],[Between Brackets]],Table2[#Headers],0),0)</f>
        <v xml:space="preserve"> 18 ft.- 7 7/ 8"</v>
      </c>
      <c r="G192" s="2" t="str">
        <f>VLOOKUP([jobnumber],OvalData[],MATCH(Table2[[#Headers],[shell]],Table2[#Headers],0),0)</f>
        <v>6 INCH TUBE</v>
      </c>
      <c r="H192" s="2" t="str">
        <f>VLOOKUP([jobnumber],OvalData[],MATCH(Table2[[#Headers],[pipewidth]],Table2[#Headers],0),0)</f>
        <v xml:space="preserve"> 18 ft.- 1 3/ 8"</v>
      </c>
      <c r="I192" s="2">
        <f>VLOOKUP([jobnumber],OvalData[],MATCH(Table2[[#Headers],[Support Tubes]],Table2[#Headers],0),0)</f>
        <v>0</v>
      </c>
      <c r="J192" s="2">
        <f>VLOOKUP([jobnumber],OvalData[],MATCH(Table2[[#Headers],[Upset]],Table2[#Headers],0),0)</f>
        <v>2</v>
      </c>
      <c r="K192" s="2" t="str">
        <f>VLOOKUP([jobnumber],OvalData[],MATCH(Table2[[#Headers],[Guide Type]],Table2[#Headers],0),0)</f>
        <v>SN2-4 5/8-E</v>
      </c>
      <c r="L192" s="2" t="str">
        <f>VLOOKUP([jobnumber],OvalData[],MATCH(Table2[[#Headers],[Wall Angle]],Table2[#Headers],0),0)</f>
        <v xml:space="preserve"> 11 ft.- 8"</v>
      </c>
      <c r="M192" s="2" t="str">
        <f>VLOOKUP([jobnumber],OvalData[],MATCH(Table2[[#Headers],[Middle Angle]],Table2[#Headers],0),0)</f>
        <v xml:space="preserve"> 10 ft.- 4 1/ 2"</v>
      </c>
      <c r="N192" s="2" t="str">
        <f>VLOOKUP([jobnumber],OvalData[],MATCH(Table2[[#Headers],[Front Angle]],Table2[#Headers],0),0)</f>
        <v xml:space="preserve"> 10 ft.- 3"</v>
      </c>
      <c r="O192" s="2">
        <f>VLOOKUP([jobnumber],OvalData[],MATCH(Table2[[#Headers],[Pipe Center Line]],Table2[#Headers],0),0)</f>
        <v>131</v>
      </c>
      <c r="P192" s="2">
        <f>VLOOKUP([jobnumber],OvalData[],MATCH(Table2[[#Headers],[Heat Expansion Gap]],Table2[#Headers],0),0)</f>
        <v>0</v>
      </c>
      <c r="Q192" s="2">
        <f>VLOOKUP([jobnumber],OvalData[],MATCH(Table2[[#Headers],[Hanging Weight Closed]],Table2[#Headers],0),0)</f>
        <v>795</v>
      </c>
      <c r="R192" s="2">
        <f>VLOOKUP([jobnumber],OvalData[],MATCH(Table2[[#Headers],[Hanging Weight Open]],Table2[#Headers],0),0)</f>
        <v>140</v>
      </c>
      <c r="S192" s="2">
        <f>VLOOKUP([jobnumber],OvalData[],MATCH(Table2[[#Headers],[Initial Lever Arm]],Table2[#Headers],0),0)</f>
        <v>4.25</v>
      </c>
      <c r="T192" s="2">
        <f>VLOOKUP([jobnumber],OvalData[],MATCH(Table2[[#Headers],[Turns to Raise]],Table2[#Headers],0),0)</f>
        <v>3.5859999999999999</v>
      </c>
      <c r="U192" s="2">
        <f>VLOOKUP([jobnumber],OvalData[],MATCH(Table2[[#Headers],[Final Lever Arm]],Table2[#Headers],0),0)</f>
        <v>6.37</v>
      </c>
      <c r="V192" s="2">
        <f>VLOOKUP([jobnumber],OvalData[],MATCH(Table2[[#Headers],[Torque Required Closed]],Table2[#Headers],0),0)</f>
        <v>3377.9</v>
      </c>
      <c r="W192" s="2">
        <f>VLOOKUP([jobnumber],OvalData[],MATCH(Table2[[#Headers],[Torque Required Open]],Table2[#Headers],0),0)</f>
        <v>892</v>
      </c>
      <c r="X192" s="2">
        <f>VLOOKUP([jobnumber],OvalData[],MATCH(Table2[[#Headers],[Pre Turns]],Table2[#Headers],0),0)</f>
        <v>1.3332999999999999</v>
      </c>
      <c r="Y192" s="2">
        <f>VLOOKUP([jobnumber],OvalData[],MATCH(Table2[[#Headers],[Required Torque Per Turn]],Table2[#Headers],0),0)</f>
        <v>688</v>
      </c>
      <c r="Z192" s="2">
        <f>VLOOKUP([jobnumber],OvalData[],MATCH(Table2[[#Headers],[Total Turns]],Table2[#Headers],0),0)</f>
        <v>4.91</v>
      </c>
      <c r="AA192" s="2">
        <f>VLOOKUP([jobnumber],OvalData[],MATCH(Table2[[#Headers],[Grille Vision Section]],Table2[#Headers],0),0)</f>
        <v>0</v>
      </c>
      <c r="AB192" s="2">
        <f>VLOOKUP([jobnumber],OvalData[],MATCH(Table2[[#Headers],[Grille Amount]],Table2[#Headers],0),0)</f>
        <v>0</v>
      </c>
      <c r="AC192" s="2">
        <f>VLOOKUP([jobnumber],OvalData[],MATCH(Table2[[#Headers],[Grille Center]],Table2[#Headers],0),0)</f>
        <v>0</v>
      </c>
      <c r="AD192" s="2">
        <f>VLOOKUP([jobnumber],OvalData[],MATCH(Table2[[#Headers],[Grille Pattern]],Table2[#Headers],0),0)</f>
        <v>0</v>
      </c>
      <c r="AE192" s="2">
        <f>VLOOKUP([jobnumber],OvalData[],MATCH(Table2[[#Headers],[Grille First Tube]],Table2[#Headers],0),0)</f>
        <v>0</v>
      </c>
      <c r="AF192" s="2">
        <f>VLOOKUP([jobnumber],OvalData[],MATCH(Table2[[#Headers],[Grille Standard Tube]],Table2[#Headers],0),0)</f>
        <v>0</v>
      </c>
      <c r="AG192" s="2">
        <f>VLOOKUP([jobnumber],OvalData[],MATCH(Table2[[#Headers],[Grille Total Links]],Table2[#Headers],0),0)</f>
        <v>0</v>
      </c>
      <c r="AH192" s="2">
        <f>VLOOKUP([jobnumber],OvalData[],MATCH(Table2[[#Headers],[Grille Rods]],Table2[#Headers],0),0)</f>
        <v>0</v>
      </c>
      <c r="AI192" s="2">
        <f>VLOOKUP([jobnumber],OvalData[],MATCH(Table2[[#Headers],[Grille Rod Length]],Table2[#Headers],0),0)</f>
        <v>0</v>
      </c>
      <c r="AJ192" s="2">
        <f>VLOOKUP([jobnumber],OvalData[],MATCH(Table2[[#Headers],[slattype]],Table2[#Headers],0),0)</f>
        <v>2</v>
      </c>
      <c r="AK192" s="2">
        <f>VLOOKUP([jobnumber],OvalData[],MATCH(Table2[[#Headers],[slatgage]],Table2[#Headers],0),0)</f>
        <v>18</v>
      </c>
      <c r="AL192" s="2">
        <f>VLOOKUP([jobnumber],OvalData[],MATCH(Table2[[#Headers],[Numer of Top Slats]],Table2[#Headers],0),0)</f>
        <v>0</v>
      </c>
      <c r="AM192" s="2">
        <f>VLOOKUP([jobnumber],OvalData[],MATCH(Table2[[#Headers],[Number of Bottom Slats]],Table2[#Headers],0),0)</f>
        <v>0</v>
      </c>
      <c r="AN192" s="2">
        <f>VLOOKUP([jobnumber],OvalData[],MATCH(Table2[[#Headers],[Solid Bottom Height]],Table2[#Headers],0),0)</f>
        <v>0</v>
      </c>
      <c r="AO192" s="2" t="str">
        <f>VLOOKUP([jobnumber],OvalData[],MATCH(Table2[[#Headers],[slatlength]],Table2[#Headers],0),0)</f>
        <v xml:space="preserve"> 18 ft.- 5 7/ 8"</v>
      </c>
      <c r="AP192" s="2">
        <f>VLOOKUP([jobnumber],OvalData[],MATCH(Table2[[#Headers],[Bottom Slat Length]],Table2[#Headers],0),0)</f>
        <v>0</v>
      </c>
      <c r="AQ192" s="2">
        <f>VLOOKUP([jobnumber],OvalData[],MATCH(Table2[[#Headers],[Number of Perferated Slats]],Table2[#Headers],0),0)</f>
        <v>0</v>
      </c>
      <c r="AR192" s="2">
        <f>VLOOKUP([jobnumber],OvalData[],MATCH(Table2[[#Headers],[First Preferated Slat From End]],Table2[#Headers],0),0)</f>
        <v>0</v>
      </c>
      <c r="AS192" s="2">
        <f>VLOOKUP([jobnumber],OvalData[],MATCH(Table2[[#Headers],[First Preferated Slat From Bottom]],Table2[#Headers],0),0)</f>
        <v>0</v>
      </c>
      <c r="AT192" s="2">
        <f>VLOOKUP([jobnumber],OvalData[],MATCH(Table2[[#Headers],[Total Number of Slats]],Table2[#Headers],0),0)</f>
        <v>51</v>
      </c>
      <c r="AU192" s="2">
        <f>VLOOKUP([jobnumber],OvalData[],MATCH(Table2[[#Headers],[Bottom Bar Slope]],Table2[#Headers],0),0)</f>
        <v>0</v>
      </c>
      <c r="AV192" s="2">
        <f>VLOOKUP([jobnumber],OvalData[],MATCH(Table2[[#Headers],[Bottom Bar Weight]],Table2[#Headers],0),0)</f>
        <v>80.5</v>
      </c>
      <c r="AW192" s="2" t="str">
        <f>VLOOKUP([jobnumber],OvalData[],MATCH(Table2[[#Headers],[Outer Spring Gage]],Table2[#Headers],0),0)</f>
        <v>Null</v>
      </c>
      <c r="AX192" s="2" t="str">
        <f>VLOOKUP([jobnumber],OvalData[],MATCH(Table2[[#Headers],[Outer Spring OD]],Table2[#Headers],0),0)</f>
        <v>Null</v>
      </c>
      <c r="AY192" s="2" t="str">
        <f>VLOOKUP([jobnumber],OvalData[],MATCH(Table2[[#Headers],[Outer Spring Length]],Table2[#Headers],0),0)</f>
        <v>Null</v>
      </c>
      <c r="AZ192" s="2" t="str">
        <f>VLOOKUP([jobnumber],OvalData[],MATCH(Table2[[#Headers],[Outer Spring Stretch]],Table2[#Headers],0),0)</f>
        <v>Null</v>
      </c>
      <c r="BA192" s="2" t="str">
        <f>VLOOKUP([jobnumber],OvalData[],MATCH(Table2[[#Headers],[Outer Spring Torque]],Table2[#Headers],0),0)</f>
        <v>Null</v>
      </c>
      <c r="BB192" s="2" t="str">
        <f>VLOOKUP([jobnumber],OvalData[],MATCH(Table2[[#Headers],[Outer Spring Max Turns]],Table2[#Headers],0),0)</f>
        <v>Null</v>
      </c>
      <c r="BC192" s="2" t="str">
        <f>VLOOKUP([jobnumber],OvalData[],MATCH(Table2[[#Headers],[Outer Spring Weight]],Table2[#Headers],0),0)</f>
        <v>Null</v>
      </c>
      <c r="BD192" s="2" t="str">
        <f>VLOOKUP([jobnumber],OvalData[],MATCH(Table2[[#Headers],[Inner Spring Gage]],Table2[#Headers],0),0)</f>
        <v>Null</v>
      </c>
      <c r="BE192" s="2" t="str">
        <f>VLOOKUP([jobnumber],OvalData[],MATCH(Table2[[#Headers],[Inner Spring OD]],Table2[#Headers],0),0)</f>
        <v>Null</v>
      </c>
      <c r="BF192" s="2" t="str">
        <f>VLOOKUP([jobnumber],OvalData[],MATCH(Table2[[#Headers],[Inner Spring Length]],Table2[#Headers],0),0)</f>
        <v>Null</v>
      </c>
      <c r="BG192" s="2" t="str">
        <f>VLOOKUP([jobnumber],OvalData[],MATCH(Table2[[#Headers],[Inner Spring Stretch]],Table2[#Headers],0),0)</f>
        <v>Null</v>
      </c>
      <c r="BH192" s="2" t="str">
        <f>VLOOKUP([jobnumber],OvalData[],MATCH(Table2[[#Headers],[Inner Spring Torque]],Table2[#Headers],0),0)</f>
        <v>Null</v>
      </c>
      <c r="BI192" s="2" t="str">
        <f>VLOOKUP([jobnumber],OvalData[],MATCH(Table2[[#Headers],[Inner Spring Max Turns]],Table2[#Headers],0),0)</f>
        <v>Null</v>
      </c>
      <c r="BJ192" s="2" t="str">
        <f>VLOOKUP([jobnumber],OvalData[],MATCH(Table2[[#Headers],[Inner Spring Weight]],Table2[#Headers],0),0)</f>
        <v>Null</v>
      </c>
      <c r="BK192" s="2">
        <f>VLOOKUP([jobnumber],OvalData[],MATCH(Table2[[#Headers],[Cycles]],Table2[#Headers],0),0)</f>
        <v>0</v>
      </c>
      <c r="BL192" s="2">
        <f>VLOOKUP([jobnumber],OvalData[],MATCH(Table2[[#Headers],[Total Spring Torque]],Table2[#Headers],0),0)</f>
        <v>0</v>
      </c>
      <c r="BM192" s="2">
        <f>VLOOKUP([jobnumber],OvalData[],MATCH(Table2[[#Headers],[Total Spring Weight]],Table2[#Headers],0),0)</f>
        <v>0</v>
      </c>
      <c r="BN192" s="2">
        <f>VLOOKUP([jobnumber],OvalData[],MATCH(Table2[[#Headers],[Pipe Weight]],Table2[#Headers],0),0)</f>
        <v>688.24239999999998</v>
      </c>
      <c r="BO192" s="2">
        <f>VLOOKUP([jobnumber],OvalData[],MATCH(Table2[[#Headers],[Max Pipe Deflection]],Table2[#Headers],0),0)</f>
        <v>2309</v>
      </c>
      <c r="BP192" s="2">
        <f>VLOOKUP([jobnumber],OvalData[],MATCH(Table2[[#Headers],[Number Non-Insulated Wrap Slats]],Table2[#Headers],0),0)</f>
        <v>0</v>
      </c>
      <c r="BQ192" s="2">
        <f>VLOOKUP([jobnumber],OvalData[],MATCH(Table2[[#Headers],[Number of Insolated Top Slats]],Table2[#Headers],0),0)</f>
        <v>45</v>
      </c>
      <c r="BR192" s="2">
        <f>VLOOKUP([jobnumber],OvalData[],MATCH(Table2[[#Headers],[Insolated Total Slats]],Table2[#Headers],0),0)</f>
        <v>45</v>
      </c>
      <c r="BS192" s="2">
        <f>VLOOKUP([jobnumber],OvalData[],MATCH(Table2[[#Headers],[Number of Slats]],Table2[#Headers],0),0)</f>
        <v>44.69</v>
      </c>
      <c r="BT192" s="2">
        <f>VLOOKUP([jobnumber],OvalData[],MATCH(Table2[[#Headers],[Wrap]],Table2[#Headers],0),0)</f>
        <v>0</v>
      </c>
      <c r="BU192" s="2">
        <f>VLOOKUP([jobnumber],OvalData[],MATCH(Table2[[#Headers],[Wall Angle Thickness]],Table2[#Headers],0),0)</f>
        <v>0</v>
      </c>
      <c r="BV192" s="2">
        <f>VLOOKUP([jobnumber],OvalData[],MATCH(Table2[[#Headers],[windlocks]],Table2[#Headers],0),0)</f>
        <v>0</v>
      </c>
      <c r="BW192" s="2" t="str">
        <f>VLOOKUP([jobnumber],OvalData[],MATCH(Table2[[#Headers],[bottombartype]],Table2[#Headers],0),0)</f>
        <v>SPECIAL</v>
      </c>
      <c r="BX192" s="2">
        <f>VLOOKUP([jobnumber],OvalData[],MATCH(Table2[[#Headers],[endlockweight]],Table2[#Headers],0),0)</f>
        <v>0.17</v>
      </c>
      <c r="BY192" s="2">
        <f>VLOOKUP([jobnumber],OvalData[],MATCH(Table2[[#Headers],[Endlock Total Weight]],Table2[#Headers],0),0)</f>
        <v>7.5972999999999997</v>
      </c>
      <c r="BZ192" s="2">
        <f>VLOOKUP([jobnumber],OvalData[],MATCH(Table2[[#Headers],[Grille Weight]],Table2[#Headers],0),0)</f>
        <v>0</v>
      </c>
      <c r="CA192" s="2">
        <f>VLOOKUP([jobnumber],OvalData[],MATCH(Table2[[#Headers],[barrelrings]],Table2[#Headers],0),0)</f>
        <v>1</v>
      </c>
    </row>
    <row r="193" spans="2:79">
      <c r="B193" s="2" t="str">
        <f>VLOOKUP([jobnumber],OvalData[],MATCH(Table2[[#Headers],[Hand]],Table2[#Headers],0),0)</f>
        <v>RH</v>
      </c>
      <c r="C193" s="2" t="str">
        <f>VLOOKUP([jobnumber],OvalData[],MATCH(Table2[[#Headers],[Model]],Table2[#Headers],0),0)</f>
        <v>SFMPP</v>
      </c>
      <c r="D193" s="2" t="str">
        <f>VLOOKUP([jobnumber],OvalData[],MATCH(Table2[[#Headers],[width]],Table2[#Headers],0),0)</f>
        <v xml:space="preserve"> 18 ft.- 2"</v>
      </c>
      <c r="E193" s="2" t="str">
        <f>VLOOKUP([jobnumber],OvalData[],MATCH(Table2[[#Headers],[stopheight]],Table2[#Headers],0),0)</f>
        <v xml:space="preserve"> 10 ft.- 0"</v>
      </c>
      <c r="F193" s="2" t="str">
        <f>VLOOKUP([jobnumber],OvalData[],MATCH(Table2[[#Headers],[Between Brackets]],Table2[#Headers],0),0)</f>
        <v xml:space="preserve"> 18 ft.- 7 7/ 8"</v>
      </c>
      <c r="G193" s="2" t="str">
        <f>VLOOKUP([jobnumber],OvalData[],MATCH(Table2[[#Headers],[shell]],Table2[#Headers],0),0)</f>
        <v>6 INCH TUBE</v>
      </c>
      <c r="H193" s="2" t="str">
        <f>VLOOKUP([jobnumber],OvalData[],MATCH(Table2[[#Headers],[pipewidth]],Table2[#Headers],0),0)</f>
        <v xml:space="preserve"> 18 ft.- 1 3/ 8"</v>
      </c>
      <c r="I193" s="2">
        <f>VLOOKUP([jobnumber],OvalData[],MATCH(Table2[[#Headers],[Support Tubes]],Table2[#Headers],0),0)</f>
        <v>0</v>
      </c>
      <c r="J193" s="2">
        <f>VLOOKUP([jobnumber],OvalData[],MATCH(Table2[[#Headers],[Upset]],Table2[#Headers],0),0)</f>
        <v>2</v>
      </c>
      <c r="K193" s="2" t="str">
        <f>VLOOKUP([jobnumber],OvalData[],MATCH(Table2[[#Headers],[Guide Type]],Table2[#Headers],0),0)</f>
        <v>SN2-4 5/8-E</v>
      </c>
      <c r="L193" s="2" t="str">
        <f>VLOOKUP([jobnumber],OvalData[],MATCH(Table2[[#Headers],[Wall Angle]],Table2[#Headers],0),0)</f>
        <v xml:space="preserve"> 11 ft.- 8"</v>
      </c>
      <c r="M193" s="2" t="str">
        <f>VLOOKUP([jobnumber],OvalData[],MATCH(Table2[[#Headers],[Middle Angle]],Table2[#Headers],0),0)</f>
        <v xml:space="preserve"> 10 ft.- 4 1/ 2"</v>
      </c>
      <c r="N193" s="2" t="str">
        <f>VLOOKUP([jobnumber],OvalData[],MATCH(Table2[[#Headers],[Front Angle]],Table2[#Headers],0),0)</f>
        <v xml:space="preserve"> 10 ft.- 3"</v>
      </c>
      <c r="O193" s="2">
        <f>VLOOKUP([jobnumber],OvalData[],MATCH(Table2[[#Headers],[Pipe Center Line]],Table2[#Headers],0),0)</f>
        <v>131</v>
      </c>
      <c r="P193" s="2">
        <f>VLOOKUP([jobnumber],OvalData[],MATCH(Table2[[#Headers],[Heat Expansion Gap]],Table2[#Headers],0),0)</f>
        <v>0</v>
      </c>
      <c r="Q193" s="2">
        <f>VLOOKUP([jobnumber],OvalData[],MATCH(Table2[[#Headers],[Hanging Weight Closed]],Table2[#Headers],0),0)</f>
        <v>795</v>
      </c>
      <c r="R193" s="2">
        <f>VLOOKUP([jobnumber],OvalData[],MATCH(Table2[[#Headers],[Hanging Weight Open]],Table2[#Headers],0),0)</f>
        <v>140</v>
      </c>
      <c r="S193" s="2">
        <f>VLOOKUP([jobnumber],OvalData[],MATCH(Table2[[#Headers],[Initial Lever Arm]],Table2[#Headers],0),0)</f>
        <v>4.25</v>
      </c>
      <c r="T193" s="2">
        <f>VLOOKUP([jobnumber],OvalData[],MATCH(Table2[[#Headers],[Turns to Raise]],Table2[#Headers],0),0)</f>
        <v>3.5859999999999999</v>
      </c>
      <c r="U193" s="2">
        <f>VLOOKUP([jobnumber],OvalData[],MATCH(Table2[[#Headers],[Final Lever Arm]],Table2[#Headers],0),0)</f>
        <v>6.37</v>
      </c>
      <c r="V193" s="2">
        <f>VLOOKUP([jobnumber],OvalData[],MATCH(Table2[[#Headers],[Torque Required Closed]],Table2[#Headers],0),0)</f>
        <v>3377.9</v>
      </c>
      <c r="W193" s="2">
        <f>VLOOKUP([jobnumber],OvalData[],MATCH(Table2[[#Headers],[Torque Required Open]],Table2[#Headers],0),0)</f>
        <v>892</v>
      </c>
      <c r="X193" s="2">
        <f>VLOOKUP([jobnumber],OvalData[],MATCH(Table2[[#Headers],[Pre Turns]],Table2[#Headers],0),0)</f>
        <v>1.3332999999999999</v>
      </c>
      <c r="Y193" s="2">
        <f>VLOOKUP([jobnumber],OvalData[],MATCH(Table2[[#Headers],[Required Torque Per Turn]],Table2[#Headers],0),0)</f>
        <v>688</v>
      </c>
      <c r="Z193" s="2">
        <f>VLOOKUP([jobnumber],OvalData[],MATCH(Table2[[#Headers],[Total Turns]],Table2[#Headers],0),0)</f>
        <v>4.91</v>
      </c>
      <c r="AA193" s="2">
        <f>VLOOKUP([jobnumber],OvalData[],MATCH(Table2[[#Headers],[Grille Vision Section]],Table2[#Headers],0),0)</f>
        <v>0</v>
      </c>
      <c r="AB193" s="2">
        <f>VLOOKUP([jobnumber],OvalData[],MATCH(Table2[[#Headers],[Grille Amount]],Table2[#Headers],0),0)</f>
        <v>0</v>
      </c>
      <c r="AC193" s="2">
        <f>VLOOKUP([jobnumber],OvalData[],MATCH(Table2[[#Headers],[Grille Center]],Table2[#Headers],0),0)</f>
        <v>0</v>
      </c>
      <c r="AD193" s="2">
        <f>VLOOKUP([jobnumber],OvalData[],MATCH(Table2[[#Headers],[Grille Pattern]],Table2[#Headers],0),0)</f>
        <v>0</v>
      </c>
      <c r="AE193" s="2">
        <f>VLOOKUP([jobnumber],OvalData[],MATCH(Table2[[#Headers],[Grille First Tube]],Table2[#Headers],0),0)</f>
        <v>0</v>
      </c>
      <c r="AF193" s="2">
        <f>VLOOKUP([jobnumber],OvalData[],MATCH(Table2[[#Headers],[Grille Standard Tube]],Table2[#Headers],0),0)</f>
        <v>0</v>
      </c>
      <c r="AG193" s="2">
        <f>VLOOKUP([jobnumber],OvalData[],MATCH(Table2[[#Headers],[Grille Total Links]],Table2[#Headers],0),0)</f>
        <v>0</v>
      </c>
      <c r="AH193" s="2">
        <f>VLOOKUP([jobnumber],OvalData[],MATCH(Table2[[#Headers],[Grille Rods]],Table2[#Headers],0),0)</f>
        <v>0</v>
      </c>
      <c r="AI193" s="2">
        <f>VLOOKUP([jobnumber],OvalData[],MATCH(Table2[[#Headers],[Grille Rod Length]],Table2[#Headers],0),0)</f>
        <v>0</v>
      </c>
      <c r="AJ193" s="2">
        <f>VLOOKUP([jobnumber],OvalData[],MATCH(Table2[[#Headers],[slattype]],Table2[#Headers],0),0)</f>
        <v>2</v>
      </c>
      <c r="AK193" s="2">
        <f>VLOOKUP([jobnumber],OvalData[],MATCH(Table2[[#Headers],[slatgage]],Table2[#Headers],0),0)</f>
        <v>18</v>
      </c>
      <c r="AL193" s="2">
        <f>VLOOKUP([jobnumber],OvalData[],MATCH(Table2[[#Headers],[Numer of Top Slats]],Table2[#Headers],0),0)</f>
        <v>0</v>
      </c>
      <c r="AM193" s="2">
        <f>VLOOKUP([jobnumber],OvalData[],MATCH(Table2[[#Headers],[Number of Bottom Slats]],Table2[#Headers],0),0)</f>
        <v>0</v>
      </c>
      <c r="AN193" s="2">
        <f>VLOOKUP([jobnumber],OvalData[],MATCH(Table2[[#Headers],[Solid Bottom Height]],Table2[#Headers],0),0)</f>
        <v>0</v>
      </c>
      <c r="AO193" s="2" t="str">
        <f>VLOOKUP([jobnumber],OvalData[],MATCH(Table2[[#Headers],[slatlength]],Table2[#Headers],0),0)</f>
        <v xml:space="preserve"> 18 ft.- 5 7/ 8"</v>
      </c>
      <c r="AP193" s="2">
        <f>VLOOKUP([jobnumber],OvalData[],MATCH(Table2[[#Headers],[Bottom Slat Length]],Table2[#Headers],0),0)</f>
        <v>0</v>
      </c>
      <c r="AQ193" s="2">
        <f>VLOOKUP([jobnumber],OvalData[],MATCH(Table2[[#Headers],[Number of Perferated Slats]],Table2[#Headers],0),0)</f>
        <v>0</v>
      </c>
      <c r="AR193" s="2">
        <f>VLOOKUP([jobnumber],OvalData[],MATCH(Table2[[#Headers],[First Preferated Slat From End]],Table2[#Headers],0),0)</f>
        <v>0</v>
      </c>
      <c r="AS193" s="2">
        <f>VLOOKUP([jobnumber],OvalData[],MATCH(Table2[[#Headers],[First Preferated Slat From Bottom]],Table2[#Headers],0),0)</f>
        <v>0</v>
      </c>
      <c r="AT193" s="2">
        <f>VLOOKUP([jobnumber],OvalData[],MATCH(Table2[[#Headers],[Total Number of Slats]],Table2[#Headers],0),0)</f>
        <v>51</v>
      </c>
      <c r="AU193" s="2">
        <f>VLOOKUP([jobnumber],OvalData[],MATCH(Table2[[#Headers],[Bottom Bar Slope]],Table2[#Headers],0),0)</f>
        <v>0</v>
      </c>
      <c r="AV193" s="2">
        <f>VLOOKUP([jobnumber],OvalData[],MATCH(Table2[[#Headers],[Bottom Bar Weight]],Table2[#Headers],0),0)</f>
        <v>80.5</v>
      </c>
      <c r="AW193" s="2" t="str">
        <f>VLOOKUP([jobnumber],OvalData[],MATCH(Table2[[#Headers],[Outer Spring Gage]],Table2[#Headers],0),0)</f>
        <v>Null</v>
      </c>
      <c r="AX193" s="2" t="str">
        <f>VLOOKUP([jobnumber],OvalData[],MATCH(Table2[[#Headers],[Outer Spring OD]],Table2[#Headers],0),0)</f>
        <v>Null</v>
      </c>
      <c r="AY193" s="2" t="str">
        <f>VLOOKUP([jobnumber],OvalData[],MATCH(Table2[[#Headers],[Outer Spring Length]],Table2[#Headers],0),0)</f>
        <v>Null</v>
      </c>
      <c r="AZ193" s="2" t="str">
        <f>VLOOKUP([jobnumber],OvalData[],MATCH(Table2[[#Headers],[Outer Spring Stretch]],Table2[#Headers],0),0)</f>
        <v>Null</v>
      </c>
      <c r="BA193" s="2" t="str">
        <f>VLOOKUP([jobnumber],OvalData[],MATCH(Table2[[#Headers],[Outer Spring Torque]],Table2[#Headers],0),0)</f>
        <v>Null</v>
      </c>
      <c r="BB193" s="2" t="str">
        <f>VLOOKUP([jobnumber],OvalData[],MATCH(Table2[[#Headers],[Outer Spring Max Turns]],Table2[#Headers],0),0)</f>
        <v>Null</v>
      </c>
      <c r="BC193" s="2" t="str">
        <f>VLOOKUP([jobnumber],OvalData[],MATCH(Table2[[#Headers],[Outer Spring Weight]],Table2[#Headers],0),0)</f>
        <v>Null</v>
      </c>
      <c r="BD193" s="2" t="str">
        <f>VLOOKUP([jobnumber],OvalData[],MATCH(Table2[[#Headers],[Inner Spring Gage]],Table2[#Headers],0),0)</f>
        <v>Null</v>
      </c>
      <c r="BE193" s="2" t="str">
        <f>VLOOKUP([jobnumber],OvalData[],MATCH(Table2[[#Headers],[Inner Spring OD]],Table2[#Headers],0),0)</f>
        <v>Null</v>
      </c>
      <c r="BF193" s="2" t="str">
        <f>VLOOKUP([jobnumber],OvalData[],MATCH(Table2[[#Headers],[Inner Spring Length]],Table2[#Headers],0),0)</f>
        <v>Null</v>
      </c>
      <c r="BG193" s="2" t="str">
        <f>VLOOKUP([jobnumber],OvalData[],MATCH(Table2[[#Headers],[Inner Spring Stretch]],Table2[#Headers],0),0)</f>
        <v>Null</v>
      </c>
      <c r="BH193" s="2" t="str">
        <f>VLOOKUP([jobnumber],OvalData[],MATCH(Table2[[#Headers],[Inner Spring Torque]],Table2[#Headers],0),0)</f>
        <v>Null</v>
      </c>
      <c r="BI193" s="2" t="str">
        <f>VLOOKUP([jobnumber],OvalData[],MATCH(Table2[[#Headers],[Inner Spring Max Turns]],Table2[#Headers],0),0)</f>
        <v>Null</v>
      </c>
      <c r="BJ193" s="2" t="str">
        <f>VLOOKUP([jobnumber],OvalData[],MATCH(Table2[[#Headers],[Inner Spring Weight]],Table2[#Headers],0),0)</f>
        <v>Null</v>
      </c>
      <c r="BK193" s="2">
        <f>VLOOKUP([jobnumber],OvalData[],MATCH(Table2[[#Headers],[Cycles]],Table2[#Headers],0),0)</f>
        <v>0</v>
      </c>
      <c r="BL193" s="2">
        <f>VLOOKUP([jobnumber],OvalData[],MATCH(Table2[[#Headers],[Total Spring Torque]],Table2[#Headers],0),0)</f>
        <v>0</v>
      </c>
      <c r="BM193" s="2">
        <f>VLOOKUP([jobnumber],OvalData[],MATCH(Table2[[#Headers],[Total Spring Weight]],Table2[#Headers],0),0)</f>
        <v>0</v>
      </c>
      <c r="BN193" s="2">
        <f>VLOOKUP([jobnumber],OvalData[],MATCH(Table2[[#Headers],[Pipe Weight]],Table2[#Headers],0),0)</f>
        <v>688.24239999999998</v>
      </c>
      <c r="BO193" s="2">
        <f>VLOOKUP([jobnumber],OvalData[],MATCH(Table2[[#Headers],[Max Pipe Deflection]],Table2[#Headers],0),0)</f>
        <v>2309</v>
      </c>
      <c r="BP193" s="2">
        <f>VLOOKUP([jobnumber],OvalData[],MATCH(Table2[[#Headers],[Number Non-Insulated Wrap Slats]],Table2[#Headers],0),0)</f>
        <v>0</v>
      </c>
      <c r="BQ193" s="2">
        <f>VLOOKUP([jobnumber],OvalData[],MATCH(Table2[[#Headers],[Number of Insolated Top Slats]],Table2[#Headers],0),0)</f>
        <v>45</v>
      </c>
      <c r="BR193" s="2">
        <f>VLOOKUP([jobnumber],OvalData[],MATCH(Table2[[#Headers],[Insolated Total Slats]],Table2[#Headers],0),0)</f>
        <v>45</v>
      </c>
      <c r="BS193" s="2">
        <f>VLOOKUP([jobnumber],OvalData[],MATCH(Table2[[#Headers],[Number of Slats]],Table2[#Headers],0),0)</f>
        <v>44.69</v>
      </c>
      <c r="BT193" s="2">
        <f>VLOOKUP([jobnumber],OvalData[],MATCH(Table2[[#Headers],[Wrap]],Table2[#Headers],0),0)</f>
        <v>0</v>
      </c>
      <c r="BU193" s="2">
        <f>VLOOKUP([jobnumber],OvalData[],MATCH(Table2[[#Headers],[Wall Angle Thickness]],Table2[#Headers],0),0)</f>
        <v>0</v>
      </c>
      <c r="BV193" s="2">
        <f>VLOOKUP([jobnumber],OvalData[],MATCH(Table2[[#Headers],[windlocks]],Table2[#Headers],0),0)</f>
        <v>0</v>
      </c>
      <c r="BW193" s="2" t="str">
        <f>VLOOKUP([jobnumber],OvalData[],MATCH(Table2[[#Headers],[bottombartype]],Table2[#Headers],0),0)</f>
        <v>SPECIAL</v>
      </c>
      <c r="BX193" s="2">
        <f>VLOOKUP([jobnumber],OvalData[],MATCH(Table2[[#Headers],[endlockweight]],Table2[#Headers],0),0)</f>
        <v>0.17</v>
      </c>
      <c r="BY193" s="2">
        <f>VLOOKUP([jobnumber],OvalData[],MATCH(Table2[[#Headers],[Endlock Total Weight]],Table2[#Headers],0),0)</f>
        <v>7.5972999999999997</v>
      </c>
      <c r="BZ193" s="2">
        <f>VLOOKUP([jobnumber],OvalData[],MATCH(Table2[[#Headers],[Grille Weight]],Table2[#Headers],0),0)</f>
        <v>0</v>
      </c>
      <c r="CA193" s="2">
        <f>VLOOKUP([jobnumber],OvalData[],MATCH(Table2[[#Headers],[barrelrings]],Table2[#Headers],0),0)</f>
        <v>1</v>
      </c>
    </row>
    <row r="194" spans="2:79">
      <c r="B194" s="2" t="str">
        <f>VLOOKUP([jobnumber],OvalData[],MATCH(Table2[[#Headers],[Hand]],Table2[#Headers],0),0)</f>
        <v>RH</v>
      </c>
      <c r="C194" s="2" t="str">
        <f>VLOOKUP([jobnumber],OvalData[],MATCH(Table2[[#Headers],[Model]],Table2[#Headers],0),0)</f>
        <v>SFMPP</v>
      </c>
      <c r="D194" s="2" t="str">
        <f>VLOOKUP([jobnumber],OvalData[],MATCH(Table2[[#Headers],[width]],Table2[#Headers],0),0)</f>
        <v xml:space="preserve"> 18 ft.- 2"</v>
      </c>
      <c r="E194" s="2" t="str">
        <f>VLOOKUP([jobnumber],OvalData[],MATCH(Table2[[#Headers],[stopheight]],Table2[#Headers],0),0)</f>
        <v xml:space="preserve"> 10 ft.- 0"</v>
      </c>
      <c r="F194" s="2" t="str">
        <f>VLOOKUP([jobnumber],OvalData[],MATCH(Table2[[#Headers],[Between Brackets]],Table2[#Headers],0),0)</f>
        <v xml:space="preserve"> 18 ft.- 7 7/ 8"</v>
      </c>
      <c r="G194" s="2" t="str">
        <f>VLOOKUP([jobnumber],OvalData[],MATCH(Table2[[#Headers],[shell]],Table2[#Headers],0),0)</f>
        <v>6 INCH TUBE</v>
      </c>
      <c r="H194" s="2" t="str">
        <f>VLOOKUP([jobnumber],OvalData[],MATCH(Table2[[#Headers],[pipewidth]],Table2[#Headers],0),0)</f>
        <v xml:space="preserve"> 18 ft.- 1 3/ 8"</v>
      </c>
      <c r="I194" s="2">
        <f>VLOOKUP([jobnumber],OvalData[],MATCH(Table2[[#Headers],[Support Tubes]],Table2[#Headers],0),0)</f>
        <v>0</v>
      </c>
      <c r="J194" s="2">
        <f>VLOOKUP([jobnumber],OvalData[],MATCH(Table2[[#Headers],[Upset]],Table2[#Headers],0),0)</f>
        <v>2</v>
      </c>
      <c r="K194" s="2" t="str">
        <f>VLOOKUP([jobnumber],OvalData[],MATCH(Table2[[#Headers],[Guide Type]],Table2[#Headers],0),0)</f>
        <v>SN2-4 5/8-E</v>
      </c>
      <c r="L194" s="2" t="str">
        <f>VLOOKUP([jobnumber],OvalData[],MATCH(Table2[[#Headers],[Wall Angle]],Table2[#Headers],0),0)</f>
        <v xml:space="preserve"> 11 ft.- 8"</v>
      </c>
      <c r="M194" s="2" t="str">
        <f>VLOOKUP([jobnumber],OvalData[],MATCH(Table2[[#Headers],[Middle Angle]],Table2[#Headers],0),0)</f>
        <v xml:space="preserve"> 10 ft.- 4 1/ 2"</v>
      </c>
      <c r="N194" s="2" t="str">
        <f>VLOOKUP([jobnumber],OvalData[],MATCH(Table2[[#Headers],[Front Angle]],Table2[#Headers],0),0)</f>
        <v xml:space="preserve"> 10 ft.- 3"</v>
      </c>
      <c r="O194" s="2">
        <f>VLOOKUP([jobnumber],OvalData[],MATCH(Table2[[#Headers],[Pipe Center Line]],Table2[#Headers],0),0)</f>
        <v>131</v>
      </c>
      <c r="P194" s="2">
        <f>VLOOKUP([jobnumber],OvalData[],MATCH(Table2[[#Headers],[Heat Expansion Gap]],Table2[#Headers],0),0)</f>
        <v>0</v>
      </c>
      <c r="Q194" s="2">
        <f>VLOOKUP([jobnumber],OvalData[],MATCH(Table2[[#Headers],[Hanging Weight Closed]],Table2[#Headers],0),0)</f>
        <v>795</v>
      </c>
      <c r="R194" s="2">
        <f>VLOOKUP([jobnumber],OvalData[],MATCH(Table2[[#Headers],[Hanging Weight Open]],Table2[#Headers],0),0)</f>
        <v>140</v>
      </c>
      <c r="S194" s="2">
        <f>VLOOKUP([jobnumber],OvalData[],MATCH(Table2[[#Headers],[Initial Lever Arm]],Table2[#Headers],0),0)</f>
        <v>4.25</v>
      </c>
      <c r="T194" s="2">
        <f>VLOOKUP([jobnumber],OvalData[],MATCH(Table2[[#Headers],[Turns to Raise]],Table2[#Headers],0),0)</f>
        <v>3.5859999999999999</v>
      </c>
      <c r="U194" s="2">
        <f>VLOOKUP([jobnumber],OvalData[],MATCH(Table2[[#Headers],[Final Lever Arm]],Table2[#Headers],0),0)</f>
        <v>6.37</v>
      </c>
      <c r="V194" s="2">
        <f>VLOOKUP([jobnumber],OvalData[],MATCH(Table2[[#Headers],[Torque Required Closed]],Table2[#Headers],0),0)</f>
        <v>3377.9</v>
      </c>
      <c r="W194" s="2">
        <f>VLOOKUP([jobnumber],OvalData[],MATCH(Table2[[#Headers],[Torque Required Open]],Table2[#Headers],0),0)</f>
        <v>892</v>
      </c>
      <c r="X194" s="2">
        <f>VLOOKUP([jobnumber],OvalData[],MATCH(Table2[[#Headers],[Pre Turns]],Table2[#Headers],0),0)</f>
        <v>1.3332999999999999</v>
      </c>
      <c r="Y194" s="2">
        <f>VLOOKUP([jobnumber],OvalData[],MATCH(Table2[[#Headers],[Required Torque Per Turn]],Table2[#Headers],0),0)</f>
        <v>688</v>
      </c>
      <c r="Z194" s="2">
        <f>VLOOKUP([jobnumber],OvalData[],MATCH(Table2[[#Headers],[Total Turns]],Table2[#Headers],0),0)</f>
        <v>4.91</v>
      </c>
      <c r="AA194" s="2">
        <f>VLOOKUP([jobnumber],OvalData[],MATCH(Table2[[#Headers],[Grille Vision Section]],Table2[#Headers],0),0)</f>
        <v>0</v>
      </c>
      <c r="AB194" s="2">
        <f>VLOOKUP([jobnumber],OvalData[],MATCH(Table2[[#Headers],[Grille Amount]],Table2[#Headers],0),0)</f>
        <v>0</v>
      </c>
      <c r="AC194" s="2">
        <f>VLOOKUP([jobnumber],OvalData[],MATCH(Table2[[#Headers],[Grille Center]],Table2[#Headers],0),0)</f>
        <v>0</v>
      </c>
      <c r="AD194" s="2">
        <f>VLOOKUP([jobnumber],OvalData[],MATCH(Table2[[#Headers],[Grille Pattern]],Table2[#Headers],0),0)</f>
        <v>0</v>
      </c>
      <c r="AE194" s="2">
        <f>VLOOKUP([jobnumber],OvalData[],MATCH(Table2[[#Headers],[Grille First Tube]],Table2[#Headers],0),0)</f>
        <v>0</v>
      </c>
      <c r="AF194" s="2">
        <f>VLOOKUP([jobnumber],OvalData[],MATCH(Table2[[#Headers],[Grille Standard Tube]],Table2[#Headers],0),0)</f>
        <v>0</v>
      </c>
      <c r="AG194" s="2">
        <f>VLOOKUP([jobnumber],OvalData[],MATCH(Table2[[#Headers],[Grille Total Links]],Table2[#Headers],0),0)</f>
        <v>0</v>
      </c>
      <c r="AH194" s="2">
        <f>VLOOKUP([jobnumber],OvalData[],MATCH(Table2[[#Headers],[Grille Rods]],Table2[#Headers],0),0)</f>
        <v>0</v>
      </c>
      <c r="AI194" s="2">
        <f>VLOOKUP([jobnumber],OvalData[],MATCH(Table2[[#Headers],[Grille Rod Length]],Table2[#Headers],0),0)</f>
        <v>0</v>
      </c>
      <c r="AJ194" s="2">
        <f>VLOOKUP([jobnumber],OvalData[],MATCH(Table2[[#Headers],[slattype]],Table2[#Headers],0),0)</f>
        <v>2</v>
      </c>
      <c r="AK194" s="2">
        <f>VLOOKUP([jobnumber],OvalData[],MATCH(Table2[[#Headers],[slatgage]],Table2[#Headers],0),0)</f>
        <v>18</v>
      </c>
      <c r="AL194" s="2">
        <f>VLOOKUP([jobnumber],OvalData[],MATCH(Table2[[#Headers],[Numer of Top Slats]],Table2[#Headers],0),0)</f>
        <v>0</v>
      </c>
      <c r="AM194" s="2">
        <f>VLOOKUP([jobnumber],OvalData[],MATCH(Table2[[#Headers],[Number of Bottom Slats]],Table2[#Headers],0),0)</f>
        <v>0</v>
      </c>
      <c r="AN194" s="2">
        <f>VLOOKUP([jobnumber],OvalData[],MATCH(Table2[[#Headers],[Solid Bottom Height]],Table2[#Headers],0),0)</f>
        <v>0</v>
      </c>
      <c r="AO194" s="2" t="str">
        <f>VLOOKUP([jobnumber],OvalData[],MATCH(Table2[[#Headers],[slatlength]],Table2[#Headers],0),0)</f>
        <v xml:space="preserve"> 18 ft.- 5 7/ 8"</v>
      </c>
      <c r="AP194" s="2">
        <f>VLOOKUP([jobnumber],OvalData[],MATCH(Table2[[#Headers],[Bottom Slat Length]],Table2[#Headers],0),0)</f>
        <v>0</v>
      </c>
      <c r="AQ194" s="2">
        <f>VLOOKUP([jobnumber],OvalData[],MATCH(Table2[[#Headers],[Number of Perferated Slats]],Table2[#Headers],0),0)</f>
        <v>0</v>
      </c>
      <c r="AR194" s="2">
        <f>VLOOKUP([jobnumber],OvalData[],MATCH(Table2[[#Headers],[First Preferated Slat From End]],Table2[#Headers],0),0)</f>
        <v>0</v>
      </c>
      <c r="AS194" s="2">
        <f>VLOOKUP([jobnumber],OvalData[],MATCH(Table2[[#Headers],[First Preferated Slat From Bottom]],Table2[#Headers],0),0)</f>
        <v>0</v>
      </c>
      <c r="AT194" s="2">
        <f>VLOOKUP([jobnumber],OvalData[],MATCH(Table2[[#Headers],[Total Number of Slats]],Table2[#Headers],0),0)</f>
        <v>51</v>
      </c>
      <c r="AU194" s="2">
        <f>VLOOKUP([jobnumber],OvalData[],MATCH(Table2[[#Headers],[Bottom Bar Slope]],Table2[#Headers],0),0)</f>
        <v>0</v>
      </c>
      <c r="AV194" s="2">
        <f>VLOOKUP([jobnumber],OvalData[],MATCH(Table2[[#Headers],[Bottom Bar Weight]],Table2[#Headers],0),0)</f>
        <v>80.5</v>
      </c>
      <c r="AW194" s="2" t="str">
        <f>VLOOKUP([jobnumber],OvalData[],MATCH(Table2[[#Headers],[Outer Spring Gage]],Table2[#Headers],0),0)</f>
        <v>Null</v>
      </c>
      <c r="AX194" s="2" t="str">
        <f>VLOOKUP([jobnumber],OvalData[],MATCH(Table2[[#Headers],[Outer Spring OD]],Table2[#Headers],0),0)</f>
        <v>Null</v>
      </c>
      <c r="AY194" s="2" t="str">
        <f>VLOOKUP([jobnumber],OvalData[],MATCH(Table2[[#Headers],[Outer Spring Length]],Table2[#Headers],0),0)</f>
        <v>Null</v>
      </c>
      <c r="AZ194" s="2" t="str">
        <f>VLOOKUP([jobnumber],OvalData[],MATCH(Table2[[#Headers],[Outer Spring Stretch]],Table2[#Headers],0),0)</f>
        <v>Null</v>
      </c>
      <c r="BA194" s="2" t="str">
        <f>VLOOKUP([jobnumber],OvalData[],MATCH(Table2[[#Headers],[Outer Spring Torque]],Table2[#Headers],0),0)</f>
        <v>Null</v>
      </c>
      <c r="BB194" s="2" t="str">
        <f>VLOOKUP([jobnumber],OvalData[],MATCH(Table2[[#Headers],[Outer Spring Max Turns]],Table2[#Headers],0),0)</f>
        <v>Null</v>
      </c>
      <c r="BC194" s="2" t="str">
        <f>VLOOKUP([jobnumber],OvalData[],MATCH(Table2[[#Headers],[Outer Spring Weight]],Table2[#Headers],0),0)</f>
        <v>Null</v>
      </c>
      <c r="BD194" s="2" t="str">
        <f>VLOOKUP([jobnumber],OvalData[],MATCH(Table2[[#Headers],[Inner Spring Gage]],Table2[#Headers],0),0)</f>
        <v>Null</v>
      </c>
      <c r="BE194" s="2" t="str">
        <f>VLOOKUP([jobnumber],OvalData[],MATCH(Table2[[#Headers],[Inner Spring OD]],Table2[#Headers],0),0)</f>
        <v>Null</v>
      </c>
      <c r="BF194" s="2" t="str">
        <f>VLOOKUP([jobnumber],OvalData[],MATCH(Table2[[#Headers],[Inner Spring Length]],Table2[#Headers],0),0)</f>
        <v>Null</v>
      </c>
      <c r="BG194" s="2" t="str">
        <f>VLOOKUP([jobnumber],OvalData[],MATCH(Table2[[#Headers],[Inner Spring Stretch]],Table2[#Headers],0),0)</f>
        <v>Null</v>
      </c>
      <c r="BH194" s="2" t="str">
        <f>VLOOKUP([jobnumber],OvalData[],MATCH(Table2[[#Headers],[Inner Spring Torque]],Table2[#Headers],0),0)</f>
        <v>Null</v>
      </c>
      <c r="BI194" s="2" t="str">
        <f>VLOOKUP([jobnumber],OvalData[],MATCH(Table2[[#Headers],[Inner Spring Max Turns]],Table2[#Headers],0),0)</f>
        <v>Null</v>
      </c>
      <c r="BJ194" s="2" t="str">
        <f>VLOOKUP([jobnumber],OvalData[],MATCH(Table2[[#Headers],[Inner Spring Weight]],Table2[#Headers],0),0)</f>
        <v>Null</v>
      </c>
      <c r="BK194" s="2">
        <f>VLOOKUP([jobnumber],OvalData[],MATCH(Table2[[#Headers],[Cycles]],Table2[#Headers],0),0)</f>
        <v>0</v>
      </c>
      <c r="BL194" s="2">
        <f>VLOOKUP([jobnumber],OvalData[],MATCH(Table2[[#Headers],[Total Spring Torque]],Table2[#Headers],0),0)</f>
        <v>0</v>
      </c>
      <c r="BM194" s="2">
        <f>VLOOKUP([jobnumber],OvalData[],MATCH(Table2[[#Headers],[Total Spring Weight]],Table2[#Headers],0),0)</f>
        <v>0</v>
      </c>
      <c r="BN194" s="2">
        <f>VLOOKUP([jobnumber],OvalData[],MATCH(Table2[[#Headers],[Pipe Weight]],Table2[#Headers],0),0)</f>
        <v>688.24239999999998</v>
      </c>
      <c r="BO194" s="2">
        <f>VLOOKUP([jobnumber],OvalData[],MATCH(Table2[[#Headers],[Max Pipe Deflection]],Table2[#Headers],0),0)</f>
        <v>2309</v>
      </c>
      <c r="BP194" s="2">
        <f>VLOOKUP([jobnumber],OvalData[],MATCH(Table2[[#Headers],[Number Non-Insulated Wrap Slats]],Table2[#Headers],0),0)</f>
        <v>0</v>
      </c>
      <c r="BQ194" s="2">
        <f>VLOOKUP([jobnumber],OvalData[],MATCH(Table2[[#Headers],[Number of Insolated Top Slats]],Table2[#Headers],0),0)</f>
        <v>45</v>
      </c>
      <c r="BR194" s="2">
        <f>VLOOKUP([jobnumber],OvalData[],MATCH(Table2[[#Headers],[Insolated Total Slats]],Table2[#Headers],0),0)</f>
        <v>45</v>
      </c>
      <c r="BS194" s="2">
        <f>VLOOKUP([jobnumber],OvalData[],MATCH(Table2[[#Headers],[Number of Slats]],Table2[#Headers],0),0)</f>
        <v>44.69</v>
      </c>
      <c r="BT194" s="2">
        <f>VLOOKUP([jobnumber],OvalData[],MATCH(Table2[[#Headers],[Wrap]],Table2[#Headers],0),0)</f>
        <v>0</v>
      </c>
      <c r="BU194" s="2">
        <f>VLOOKUP([jobnumber],OvalData[],MATCH(Table2[[#Headers],[Wall Angle Thickness]],Table2[#Headers],0),0)</f>
        <v>0</v>
      </c>
      <c r="BV194" s="2">
        <f>VLOOKUP([jobnumber],OvalData[],MATCH(Table2[[#Headers],[windlocks]],Table2[#Headers],0),0)</f>
        <v>0</v>
      </c>
      <c r="BW194" s="2" t="str">
        <f>VLOOKUP([jobnumber],OvalData[],MATCH(Table2[[#Headers],[bottombartype]],Table2[#Headers],0),0)</f>
        <v>SPECIAL</v>
      </c>
      <c r="BX194" s="2">
        <f>VLOOKUP([jobnumber],OvalData[],MATCH(Table2[[#Headers],[endlockweight]],Table2[#Headers],0),0)</f>
        <v>0.17</v>
      </c>
      <c r="BY194" s="2">
        <f>VLOOKUP([jobnumber],OvalData[],MATCH(Table2[[#Headers],[Endlock Total Weight]],Table2[#Headers],0),0)</f>
        <v>7.5972999999999997</v>
      </c>
      <c r="BZ194" s="2">
        <f>VLOOKUP([jobnumber],OvalData[],MATCH(Table2[[#Headers],[Grille Weight]],Table2[#Headers],0),0)</f>
        <v>0</v>
      </c>
      <c r="CA194" s="2">
        <f>VLOOKUP([jobnumber],OvalData[],MATCH(Table2[[#Headers],[barrelrings]],Table2[#Headers],0),0)</f>
        <v>1</v>
      </c>
    </row>
    <row r="195" spans="2:79">
      <c r="B195" s="2" t="str">
        <f>VLOOKUP([jobnumber],OvalData[],MATCH(Table2[[#Headers],[Hand]],Table2[#Headers],0),0)</f>
        <v>RH</v>
      </c>
      <c r="C195" s="2" t="str">
        <f>VLOOKUP([jobnumber],OvalData[],MATCH(Table2[[#Headers],[Model]],Table2[#Headers],0),0)</f>
        <v>SFMPP</v>
      </c>
      <c r="D195" s="2" t="str">
        <f>VLOOKUP([jobnumber],OvalData[],MATCH(Table2[[#Headers],[width]],Table2[#Headers],0),0)</f>
        <v xml:space="preserve"> 18 ft.- 2"</v>
      </c>
      <c r="E195" s="2" t="str">
        <f>VLOOKUP([jobnumber],OvalData[],MATCH(Table2[[#Headers],[stopheight]],Table2[#Headers],0),0)</f>
        <v xml:space="preserve"> 10 ft.- 0"</v>
      </c>
      <c r="F195" s="2" t="str">
        <f>VLOOKUP([jobnumber],OvalData[],MATCH(Table2[[#Headers],[Between Brackets]],Table2[#Headers],0),0)</f>
        <v xml:space="preserve"> 18 ft.- 7 7/ 8"</v>
      </c>
      <c r="G195" s="2" t="str">
        <f>VLOOKUP([jobnumber],OvalData[],MATCH(Table2[[#Headers],[shell]],Table2[#Headers],0),0)</f>
        <v>6 INCH TUBE</v>
      </c>
      <c r="H195" s="2" t="str">
        <f>VLOOKUP([jobnumber],OvalData[],MATCH(Table2[[#Headers],[pipewidth]],Table2[#Headers],0),0)</f>
        <v xml:space="preserve"> 18 ft.- 1 3/ 8"</v>
      </c>
      <c r="I195" s="2">
        <f>VLOOKUP([jobnumber],OvalData[],MATCH(Table2[[#Headers],[Support Tubes]],Table2[#Headers],0),0)</f>
        <v>0</v>
      </c>
      <c r="J195" s="2">
        <f>VLOOKUP([jobnumber],OvalData[],MATCH(Table2[[#Headers],[Upset]],Table2[#Headers],0),0)</f>
        <v>2</v>
      </c>
      <c r="K195" s="2" t="str">
        <f>VLOOKUP([jobnumber],OvalData[],MATCH(Table2[[#Headers],[Guide Type]],Table2[#Headers],0),0)</f>
        <v>SN2-4 5/8-E</v>
      </c>
      <c r="L195" s="2" t="str">
        <f>VLOOKUP([jobnumber],OvalData[],MATCH(Table2[[#Headers],[Wall Angle]],Table2[#Headers],0),0)</f>
        <v xml:space="preserve"> 11 ft.- 8"</v>
      </c>
      <c r="M195" s="2" t="str">
        <f>VLOOKUP([jobnumber],OvalData[],MATCH(Table2[[#Headers],[Middle Angle]],Table2[#Headers],0),0)</f>
        <v xml:space="preserve"> 10 ft.- 4 1/ 2"</v>
      </c>
      <c r="N195" s="2" t="str">
        <f>VLOOKUP([jobnumber],OvalData[],MATCH(Table2[[#Headers],[Front Angle]],Table2[#Headers],0),0)</f>
        <v xml:space="preserve"> 10 ft.- 3"</v>
      </c>
      <c r="O195" s="2">
        <f>VLOOKUP([jobnumber],OvalData[],MATCH(Table2[[#Headers],[Pipe Center Line]],Table2[#Headers],0),0)</f>
        <v>131</v>
      </c>
      <c r="P195" s="2">
        <f>VLOOKUP([jobnumber],OvalData[],MATCH(Table2[[#Headers],[Heat Expansion Gap]],Table2[#Headers],0),0)</f>
        <v>0</v>
      </c>
      <c r="Q195" s="2">
        <f>VLOOKUP([jobnumber],OvalData[],MATCH(Table2[[#Headers],[Hanging Weight Closed]],Table2[#Headers],0),0)</f>
        <v>795</v>
      </c>
      <c r="R195" s="2">
        <f>VLOOKUP([jobnumber],OvalData[],MATCH(Table2[[#Headers],[Hanging Weight Open]],Table2[#Headers],0),0)</f>
        <v>140</v>
      </c>
      <c r="S195" s="2">
        <f>VLOOKUP([jobnumber],OvalData[],MATCH(Table2[[#Headers],[Initial Lever Arm]],Table2[#Headers],0),0)</f>
        <v>4.25</v>
      </c>
      <c r="T195" s="2">
        <f>VLOOKUP([jobnumber],OvalData[],MATCH(Table2[[#Headers],[Turns to Raise]],Table2[#Headers],0),0)</f>
        <v>3.5859999999999999</v>
      </c>
      <c r="U195" s="2">
        <f>VLOOKUP([jobnumber],OvalData[],MATCH(Table2[[#Headers],[Final Lever Arm]],Table2[#Headers],0),0)</f>
        <v>6.37</v>
      </c>
      <c r="V195" s="2">
        <f>VLOOKUP([jobnumber],OvalData[],MATCH(Table2[[#Headers],[Torque Required Closed]],Table2[#Headers],0),0)</f>
        <v>3377.9</v>
      </c>
      <c r="W195" s="2">
        <f>VLOOKUP([jobnumber],OvalData[],MATCH(Table2[[#Headers],[Torque Required Open]],Table2[#Headers],0),0)</f>
        <v>892</v>
      </c>
      <c r="X195" s="2">
        <f>VLOOKUP([jobnumber],OvalData[],MATCH(Table2[[#Headers],[Pre Turns]],Table2[#Headers],0),0)</f>
        <v>1.3332999999999999</v>
      </c>
      <c r="Y195" s="2">
        <f>VLOOKUP([jobnumber],OvalData[],MATCH(Table2[[#Headers],[Required Torque Per Turn]],Table2[#Headers],0),0)</f>
        <v>688</v>
      </c>
      <c r="Z195" s="2">
        <f>VLOOKUP([jobnumber],OvalData[],MATCH(Table2[[#Headers],[Total Turns]],Table2[#Headers],0),0)</f>
        <v>4.91</v>
      </c>
      <c r="AA195" s="2">
        <f>VLOOKUP([jobnumber],OvalData[],MATCH(Table2[[#Headers],[Grille Vision Section]],Table2[#Headers],0),0)</f>
        <v>0</v>
      </c>
      <c r="AB195" s="2">
        <f>VLOOKUP([jobnumber],OvalData[],MATCH(Table2[[#Headers],[Grille Amount]],Table2[#Headers],0),0)</f>
        <v>0</v>
      </c>
      <c r="AC195" s="2">
        <f>VLOOKUP([jobnumber],OvalData[],MATCH(Table2[[#Headers],[Grille Center]],Table2[#Headers],0),0)</f>
        <v>0</v>
      </c>
      <c r="AD195" s="2">
        <f>VLOOKUP([jobnumber],OvalData[],MATCH(Table2[[#Headers],[Grille Pattern]],Table2[#Headers],0),0)</f>
        <v>0</v>
      </c>
      <c r="AE195" s="2">
        <f>VLOOKUP([jobnumber],OvalData[],MATCH(Table2[[#Headers],[Grille First Tube]],Table2[#Headers],0),0)</f>
        <v>0</v>
      </c>
      <c r="AF195" s="2">
        <f>VLOOKUP([jobnumber],OvalData[],MATCH(Table2[[#Headers],[Grille Standard Tube]],Table2[#Headers],0),0)</f>
        <v>0</v>
      </c>
      <c r="AG195" s="2">
        <f>VLOOKUP([jobnumber],OvalData[],MATCH(Table2[[#Headers],[Grille Total Links]],Table2[#Headers],0),0)</f>
        <v>0</v>
      </c>
      <c r="AH195" s="2">
        <f>VLOOKUP([jobnumber],OvalData[],MATCH(Table2[[#Headers],[Grille Rods]],Table2[#Headers],0),0)</f>
        <v>0</v>
      </c>
      <c r="AI195" s="2">
        <f>VLOOKUP([jobnumber],OvalData[],MATCH(Table2[[#Headers],[Grille Rod Length]],Table2[#Headers],0),0)</f>
        <v>0</v>
      </c>
      <c r="AJ195" s="2">
        <f>VLOOKUP([jobnumber],OvalData[],MATCH(Table2[[#Headers],[slattype]],Table2[#Headers],0),0)</f>
        <v>2</v>
      </c>
      <c r="AK195" s="2">
        <f>VLOOKUP([jobnumber],OvalData[],MATCH(Table2[[#Headers],[slatgage]],Table2[#Headers],0),0)</f>
        <v>18</v>
      </c>
      <c r="AL195" s="2">
        <f>VLOOKUP([jobnumber],OvalData[],MATCH(Table2[[#Headers],[Numer of Top Slats]],Table2[#Headers],0),0)</f>
        <v>0</v>
      </c>
      <c r="AM195" s="2">
        <f>VLOOKUP([jobnumber],OvalData[],MATCH(Table2[[#Headers],[Number of Bottom Slats]],Table2[#Headers],0),0)</f>
        <v>0</v>
      </c>
      <c r="AN195" s="2">
        <f>VLOOKUP([jobnumber],OvalData[],MATCH(Table2[[#Headers],[Solid Bottom Height]],Table2[#Headers],0),0)</f>
        <v>0</v>
      </c>
      <c r="AO195" s="2" t="str">
        <f>VLOOKUP([jobnumber],OvalData[],MATCH(Table2[[#Headers],[slatlength]],Table2[#Headers],0),0)</f>
        <v xml:space="preserve"> 18 ft.- 5 7/ 8"</v>
      </c>
      <c r="AP195" s="2">
        <f>VLOOKUP([jobnumber],OvalData[],MATCH(Table2[[#Headers],[Bottom Slat Length]],Table2[#Headers],0),0)</f>
        <v>0</v>
      </c>
      <c r="AQ195" s="2">
        <f>VLOOKUP([jobnumber],OvalData[],MATCH(Table2[[#Headers],[Number of Perferated Slats]],Table2[#Headers],0),0)</f>
        <v>0</v>
      </c>
      <c r="AR195" s="2">
        <f>VLOOKUP([jobnumber],OvalData[],MATCH(Table2[[#Headers],[First Preferated Slat From End]],Table2[#Headers],0),0)</f>
        <v>0</v>
      </c>
      <c r="AS195" s="2">
        <f>VLOOKUP([jobnumber],OvalData[],MATCH(Table2[[#Headers],[First Preferated Slat From Bottom]],Table2[#Headers],0),0)</f>
        <v>0</v>
      </c>
      <c r="AT195" s="2">
        <f>VLOOKUP([jobnumber],OvalData[],MATCH(Table2[[#Headers],[Total Number of Slats]],Table2[#Headers],0),0)</f>
        <v>51</v>
      </c>
      <c r="AU195" s="2">
        <f>VLOOKUP([jobnumber],OvalData[],MATCH(Table2[[#Headers],[Bottom Bar Slope]],Table2[#Headers],0),0)</f>
        <v>0</v>
      </c>
      <c r="AV195" s="2">
        <f>VLOOKUP([jobnumber],OvalData[],MATCH(Table2[[#Headers],[Bottom Bar Weight]],Table2[#Headers],0),0)</f>
        <v>80.5</v>
      </c>
      <c r="AW195" s="2" t="str">
        <f>VLOOKUP([jobnumber],OvalData[],MATCH(Table2[[#Headers],[Outer Spring Gage]],Table2[#Headers],0),0)</f>
        <v>Null</v>
      </c>
      <c r="AX195" s="2" t="str">
        <f>VLOOKUP([jobnumber],OvalData[],MATCH(Table2[[#Headers],[Outer Spring OD]],Table2[#Headers],0),0)</f>
        <v>Null</v>
      </c>
      <c r="AY195" s="2" t="str">
        <f>VLOOKUP([jobnumber],OvalData[],MATCH(Table2[[#Headers],[Outer Spring Length]],Table2[#Headers],0),0)</f>
        <v>Null</v>
      </c>
      <c r="AZ195" s="2" t="str">
        <f>VLOOKUP([jobnumber],OvalData[],MATCH(Table2[[#Headers],[Outer Spring Stretch]],Table2[#Headers],0),0)</f>
        <v>Null</v>
      </c>
      <c r="BA195" s="2" t="str">
        <f>VLOOKUP([jobnumber],OvalData[],MATCH(Table2[[#Headers],[Outer Spring Torque]],Table2[#Headers],0),0)</f>
        <v>Null</v>
      </c>
      <c r="BB195" s="2" t="str">
        <f>VLOOKUP([jobnumber],OvalData[],MATCH(Table2[[#Headers],[Outer Spring Max Turns]],Table2[#Headers],0),0)</f>
        <v>Null</v>
      </c>
      <c r="BC195" s="2" t="str">
        <f>VLOOKUP([jobnumber],OvalData[],MATCH(Table2[[#Headers],[Outer Spring Weight]],Table2[#Headers],0),0)</f>
        <v>Null</v>
      </c>
      <c r="BD195" s="2" t="str">
        <f>VLOOKUP([jobnumber],OvalData[],MATCH(Table2[[#Headers],[Inner Spring Gage]],Table2[#Headers],0),0)</f>
        <v>Null</v>
      </c>
      <c r="BE195" s="2" t="str">
        <f>VLOOKUP([jobnumber],OvalData[],MATCH(Table2[[#Headers],[Inner Spring OD]],Table2[#Headers],0),0)</f>
        <v>Null</v>
      </c>
      <c r="BF195" s="2" t="str">
        <f>VLOOKUP([jobnumber],OvalData[],MATCH(Table2[[#Headers],[Inner Spring Length]],Table2[#Headers],0),0)</f>
        <v>Null</v>
      </c>
      <c r="BG195" s="2" t="str">
        <f>VLOOKUP([jobnumber],OvalData[],MATCH(Table2[[#Headers],[Inner Spring Stretch]],Table2[#Headers],0),0)</f>
        <v>Null</v>
      </c>
      <c r="BH195" s="2" t="str">
        <f>VLOOKUP([jobnumber],OvalData[],MATCH(Table2[[#Headers],[Inner Spring Torque]],Table2[#Headers],0),0)</f>
        <v>Null</v>
      </c>
      <c r="BI195" s="2" t="str">
        <f>VLOOKUP([jobnumber],OvalData[],MATCH(Table2[[#Headers],[Inner Spring Max Turns]],Table2[#Headers],0),0)</f>
        <v>Null</v>
      </c>
      <c r="BJ195" s="2" t="str">
        <f>VLOOKUP([jobnumber],OvalData[],MATCH(Table2[[#Headers],[Inner Spring Weight]],Table2[#Headers],0),0)</f>
        <v>Null</v>
      </c>
      <c r="BK195" s="2">
        <f>VLOOKUP([jobnumber],OvalData[],MATCH(Table2[[#Headers],[Cycles]],Table2[#Headers],0),0)</f>
        <v>0</v>
      </c>
      <c r="BL195" s="2">
        <f>VLOOKUP([jobnumber],OvalData[],MATCH(Table2[[#Headers],[Total Spring Torque]],Table2[#Headers],0),0)</f>
        <v>0</v>
      </c>
      <c r="BM195" s="2">
        <f>VLOOKUP([jobnumber],OvalData[],MATCH(Table2[[#Headers],[Total Spring Weight]],Table2[#Headers],0),0)</f>
        <v>0</v>
      </c>
      <c r="BN195" s="2">
        <f>VLOOKUP([jobnumber],OvalData[],MATCH(Table2[[#Headers],[Pipe Weight]],Table2[#Headers],0),0)</f>
        <v>688.24239999999998</v>
      </c>
      <c r="BO195" s="2">
        <f>VLOOKUP([jobnumber],OvalData[],MATCH(Table2[[#Headers],[Max Pipe Deflection]],Table2[#Headers],0),0)</f>
        <v>2309</v>
      </c>
      <c r="BP195" s="2">
        <f>VLOOKUP([jobnumber],OvalData[],MATCH(Table2[[#Headers],[Number Non-Insulated Wrap Slats]],Table2[#Headers],0),0)</f>
        <v>0</v>
      </c>
      <c r="BQ195" s="2">
        <f>VLOOKUP([jobnumber],OvalData[],MATCH(Table2[[#Headers],[Number of Insolated Top Slats]],Table2[#Headers],0),0)</f>
        <v>45</v>
      </c>
      <c r="BR195" s="2">
        <f>VLOOKUP([jobnumber],OvalData[],MATCH(Table2[[#Headers],[Insolated Total Slats]],Table2[#Headers],0),0)</f>
        <v>45</v>
      </c>
      <c r="BS195" s="2">
        <f>VLOOKUP([jobnumber],OvalData[],MATCH(Table2[[#Headers],[Number of Slats]],Table2[#Headers],0),0)</f>
        <v>44.69</v>
      </c>
      <c r="BT195" s="2">
        <f>VLOOKUP([jobnumber],OvalData[],MATCH(Table2[[#Headers],[Wrap]],Table2[#Headers],0),0)</f>
        <v>0</v>
      </c>
      <c r="BU195" s="2">
        <f>VLOOKUP([jobnumber],OvalData[],MATCH(Table2[[#Headers],[Wall Angle Thickness]],Table2[#Headers],0),0)</f>
        <v>0</v>
      </c>
      <c r="BV195" s="2">
        <f>VLOOKUP([jobnumber],OvalData[],MATCH(Table2[[#Headers],[windlocks]],Table2[#Headers],0),0)</f>
        <v>0</v>
      </c>
      <c r="BW195" s="2" t="str">
        <f>VLOOKUP([jobnumber],OvalData[],MATCH(Table2[[#Headers],[bottombartype]],Table2[#Headers],0),0)</f>
        <v>SPECIAL</v>
      </c>
      <c r="BX195" s="2">
        <f>VLOOKUP([jobnumber],OvalData[],MATCH(Table2[[#Headers],[endlockweight]],Table2[#Headers],0),0)</f>
        <v>0.17</v>
      </c>
      <c r="BY195" s="2">
        <f>VLOOKUP([jobnumber],OvalData[],MATCH(Table2[[#Headers],[Endlock Total Weight]],Table2[#Headers],0),0)</f>
        <v>7.5972999999999997</v>
      </c>
      <c r="BZ195" s="2">
        <f>VLOOKUP([jobnumber],OvalData[],MATCH(Table2[[#Headers],[Grille Weight]],Table2[#Headers],0),0)</f>
        <v>0</v>
      </c>
      <c r="CA195" s="2">
        <f>VLOOKUP([jobnumber],OvalData[],MATCH(Table2[[#Headers],[barrelrings]],Table2[#Headers],0),0)</f>
        <v>1</v>
      </c>
    </row>
    <row r="196" spans="2:79">
      <c r="B196" s="2" t="str">
        <f>VLOOKUP([jobnumber],OvalData[],MATCH(Table2[[#Headers],[Hand]],Table2[#Headers],0),0)</f>
        <v>RH</v>
      </c>
      <c r="C196" s="2" t="str">
        <f>VLOOKUP([jobnumber],OvalData[],MATCH(Table2[[#Headers],[Model]],Table2[#Headers],0),0)</f>
        <v>SFMPP</v>
      </c>
      <c r="D196" s="2" t="str">
        <f>VLOOKUP([jobnumber],OvalData[],MATCH(Table2[[#Headers],[width]],Table2[#Headers],0),0)</f>
        <v xml:space="preserve"> 18 ft.- 2"</v>
      </c>
      <c r="E196" s="2" t="str">
        <f>VLOOKUP([jobnumber],OvalData[],MATCH(Table2[[#Headers],[stopheight]],Table2[#Headers],0),0)</f>
        <v xml:space="preserve"> 10 ft.- 0"</v>
      </c>
      <c r="F196" s="2" t="str">
        <f>VLOOKUP([jobnumber],OvalData[],MATCH(Table2[[#Headers],[Between Brackets]],Table2[#Headers],0),0)</f>
        <v xml:space="preserve"> 18 ft.- 7 7/ 8"</v>
      </c>
      <c r="G196" s="2" t="str">
        <f>VLOOKUP([jobnumber],OvalData[],MATCH(Table2[[#Headers],[shell]],Table2[#Headers],0),0)</f>
        <v>6 INCH TUBE</v>
      </c>
      <c r="H196" s="2" t="str">
        <f>VLOOKUP([jobnumber],OvalData[],MATCH(Table2[[#Headers],[pipewidth]],Table2[#Headers],0),0)</f>
        <v xml:space="preserve"> 18 ft.- 1 3/ 8"</v>
      </c>
      <c r="I196" s="2">
        <f>VLOOKUP([jobnumber],OvalData[],MATCH(Table2[[#Headers],[Support Tubes]],Table2[#Headers],0),0)</f>
        <v>0</v>
      </c>
      <c r="J196" s="2">
        <f>VLOOKUP([jobnumber],OvalData[],MATCH(Table2[[#Headers],[Upset]],Table2[#Headers],0),0)</f>
        <v>2</v>
      </c>
      <c r="K196" s="2" t="str">
        <f>VLOOKUP([jobnumber],OvalData[],MATCH(Table2[[#Headers],[Guide Type]],Table2[#Headers],0),0)</f>
        <v>SN2-4 5/8-E</v>
      </c>
      <c r="L196" s="2" t="str">
        <f>VLOOKUP([jobnumber],OvalData[],MATCH(Table2[[#Headers],[Wall Angle]],Table2[#Headers],0),0)</f>
        <v xml:space="preserve"> 11 ft.- 8"</v>
      </c>
      <c r="M196" s="2" t="str">
        <f>VLOOKUP([jobnumber],OvalData[],MATCH(Table2[[#Headers],[Middle Angle]],Table2[#Headers],0),0)</f>
        <v xml:space="preserve"> 10 ft.- 4 1/ 2"</v>
      </c>
      <c r="N196" s="2" t="str">
        <f>VLOOKUP([jobnumber],OvalData[],MATCH(Table2[[#Headers],[Front Angle]],Table2[#Headers],0),0)</f>
        <v xml:space="preserve"> 10 ft.- 3"</v>
      </c>
      <c r="O196" s="2">
        <f>VLOOKUP([jobnumber],OvalData[],MATCH(Table2[[#Headers],[Pipe Center Line]],Table2[#Headers],0),0)</f>
        <v>131</v>
      </c>
      <c r="P196" s="2">
        <f>VLOOKUP([jobnumber],OvalData[],MATCH(Table2[[#Headers],[Heat Expansion Gap]],Table2[#Headers],0),0)</f>
        <v>0</v>
      </c>
      <c r="Q196" s="2">
        <f>VLOOKUP([jobnumber],OvalData[],MATCH(Table2[[#Headers],[Hanging Weight Closed]],Table2[#Headers],0),0)</f>
        <v>795</v>
      </c>
      <c r="R196" s="2">
        <f>VLOOKUP([jobnumber],OvalData[],MATCH(Table2[[#Headers],[Hanging Weight Open]],Table2[#Headers],0),0)</f>
        <v>140</v>
      </c>
      <c r="S196" s="2">
        <f>VLOOKUP([jobnumber],OvalData[],MATCH(Table2[[#Headers],[Initial Lever Arm]],Table2[#Headers],0),0)</f>
        <v>4.25</v>
      </c>
      <c r="T196" s="2">
        <f>VLOOKUP([jobnumber],OvalData[],MATCH(Table2[[#Headers],[Turns to Raise]],Table2[#Headers],0),0)</f>
        <v>3.5859999999999999</v>
      </c>
      <c r="U196" s="2">
        <f>VLOOKUP([jobnumber],OvalData[],MATCH(Table2[[#Headers],[Final Lever Arm]],Table2[#Headers],0),0)</f>
        <v>6.37</v>
      </c>
      <c r="V196" s="2">
        <f>VLOOKUP([jobnumber],OvalData[],MATCH(Table2[[#Headers],[Torque Required Closed]],Table2[#Headers],0),0)</f>
        <v>3377.9</v>
      </c>
      <c r="W196" s="2">
        <f>VLOOKUP([jobnumber],OvalData[],MATCH(Table2[[#Headers],[Torque Required Open]],Table2[#Headers],0),0)</f>
        <v>892</v>
      </c>
      <c r="X196" s="2">
        <f>VLOOKUP([jobnumber],OvalData[],MATCH(Table2[[#Headers],[Pre Turns]],Table2[#Headers],0),0)</f>
        <v>1.3332999999999999</v>
      </c>
      <c r="Y196" s="2">
        <f>VLOOKUP([jobnumber],OvalData[],MATCH(Table2[[#Headers],[Required Torque Per Turn]],Table2[#Headers],0),0)</f>
        <v>688</v>
      </c>
      <c r="Z196" s="2">
        <f>VLOOKUP([jobnumber],OvalData[],MATCH(Table2[[#Headers],[Total Turns]],Table2[#Headers],0),0)</f>
        <v>4.91</v>
      </c>
      <c r="AA196" s="2">
        <f>VLOOKUP([jobnumber],OvalData[],MATCH(Table2[[#Headers],[Grille Vision Section]],Table2[#Headers],0),0)</f>
        <v>0</v>
      </c>
      <c r="AB196" s="2">
        <f>VLOOKUP([jobnumber],OvalData[],MATCH(Table2[[#Headers],[Grille Amount]],Table2[#Headers],0),0)</f>
        <v>0</v>
      </c>
      <c r="AC196" s="2">
        <f>VLOOKUP([jobnumber],OvalData[],MATCH(Table2[[#Headers],[Grille Center]],Table2[#Headers],0),0)</f>
        <v>0</v>
      </c>
      <c r="AD196" s="2">
        <f>VLOOKUP([jobnumber],OvalData[],MATCH(Table2[[#Headers],[Grille Pattern]],Table2[#Headers],0),0)</f>
        <v>0</v>
      </c>
      <c r="AE196" s="2">
        <f>VLOOKUP([jobnumber],OvalData[],MATCH(Table2[[#Headers],[Grille First Tube]],Table2[#Headers],0),0)</f>
        <v>0</v>
      </c>
      <c r="AF196" s="2">
        <f>VLOOKUP([jobnumber],OvalData[],MATCH(Table2[[#Headers],[Grille Standard Tube]],Table2[#Headers],0),0)</f>
        <v>0</v>
      </c>
      <c r="AG196" s="2">
        <f>VLOOKUP([jobnumber],OvalData[],MATCH(Table2[[#Headers],[Grille Total Links]],Table2[#Headers],0),0)</f>
        <v>0</v>
      </c>
      <c r="AH196" s="2">
        <f>VLOOKUP([jobnumber],OvalData[],MATCH(Table2[[#Headers],[Grille Rods]],Table2[#Headers],0),0)</f>
        <v>0</v>
      </c>
      <c r="AI196" s="2">
        <f>VLOOKUP([jobnumber],OvalData[],MATCH(Table2[[#Headers],[Grille Rod Length]],Table2[#Headers],0),0)</f>
        <v>0</v>
      </c>
      <c r="AJ196" s="2">
        <f>VLOOKUP([jobnumber],OvalData[],MATCH(Table2[[#Headers],[slattype]],Table2[#Headers],0),0)</f>
        <v>2</v>
      </c>
      <c r="AK196" s="2">
        <f>VLOOKUP([jobnumber],OvalData[],MATCH(Table2[[#Headers],[slatgage]],Table2[#Headers],0),0)</f>
        <v>18</v>
      </c>
      <c r="AL196" s="2">
        <f>VLOOKUP([jobnumber],OvalData[],MATCH(Table2[[#Headers],[Numer of Top Slats]],Table2[#Headers],0),0)</f>
        <v>0</v>
      </c>
      <c r="AM196" s="2">
        <f>VLOOKUP([jobnumber],OvalData[],MATCH(Table2[[#Headers],[Number of Bottom Slats]],Table2[#Headers],0),0)</f>
        <v>0</v>
      </c>
      <c r="AN196" s="2">
        <f>VLOOKUP([jobnumber],OvalData[],MATCH(Table2[[#Headers],[Solid Bottom Height]],Table2[#Headers],0),0)</f>
        <v>0</v>
      </c>
      <c r="AO196" s="2" t="str">
        <f>VLOOKUP([jobnumber],OvalData[],MATCH(Table2[[#Headers],[slatlength]],Table2[#Headers],0),0)</f>
        <v xml:space="preserve"> 18 ft.- 5 7/ 8"</v>
      </c>
      <c r="AP196" s="2">
        <f>VLOOKUP([jobnumber],OvalData[],MATCH(Table2[[#Headers],[Bottom Slat Length]],Table2[#Headers],0),0)</f>
        <v>0</v>
      </c>
      <c r="AQ196" s="2">
        <f>VLOOKUP([jobnumber],OvalData[],MATCH(Table2[[#Headers],[Number of Perferated Slats]],Table2[#Headers],0),0)</f>
        <v>0</v>
      </c>
      <c r="AR196" s="2">
        <f>VLOOKUP([jobnumber],OvalData[],MATCH(Table2[[#Headers],[First Preferated Slat From End]],Table2[#Headers],0),0)</f>
        <v>0</v>
      </c>
      <c r="AS196" s="2">
        <f>VLOOKUP([jobnumber],OvalData[],MATCH(Table2[[#Headers],[First Preferated Slat From Bottom]],Table2[#Headers],0),0)</f>
        <v>0</v>
      </c>
      <c r="AT196" s="2">
        <f>VLOOKUP([jobnumber],OvalData[],MATCH(Table2[[#Headers],[Total Number of Slats]],Table2[#Headers],0),0)</f>
        <v>51</v>
      </c>
      <c r="AU196" s="2">
        <f>VLOOKUP([jobnumber],OvalData[],MATCH(Table2[[#Headers],[Bottom Bar Slope]],Table2[#Headers],0),0)</f>
        <v>0</v>
      </c>
      <c r="AV196" s="2">
        <f>VLOOKUP([jobnumber],OvalData[],MATCH(Table2[[#Headers],[Bottom Bar Weight]],Table2[#Headers],0),0)</f>
        <v>80.5</v>
      </c>
      <c r="AW196" s="2" t="str">
        <f>VLOOKUP([jobnumber],OvalData[],MATCH(Table2[[#Headers],[Outer Spring Gage]],Table2[#Headers],0),0)</f>
        <v>Null</v>
      </c>
      <c r="AX196" s="2" t="str">
        <f>VLOOKUP([jobnumber],OvalData[],MATCH(Table2[[#Headers],[Outer Spring OD]],Table2[#Headers],0),0)</f>
        <v>Null</v>
      </c>
      <c r="AY196" s="2" t="str">
        <f>VLOOKUP([jobnumber],OvalData[],MATCH(Table2[[#Headers],[Outer Spring Length]],Table2[#Headers],0),0)</f>
        <v>Null</v>
      </c>
      <c r="AZ196" s="2" t="str">
        <f>VLOOKUP([jobnumber],OvalData[],MATCH(Table2[[#Headers],[Outer Spring Stretch]],Table2[#Headers],0),0)</f>
        <v>Null</v>
      </c>
      <c r="BA196" s="2" t="str">
        <f>VLOOKUP([jobnumber],OvalData[],MATCH(Table2[[#Headers],[Outer Spring Torque]],Table2[#Headers],0),0)</f>
        <v>Null</v>
      </c>
      <c r="BB196" s="2" t="str">
        <f>VLOOKUP([jobnumber],OvalData[],MATCH(Table2[[#Headers],[Outer Spring Max Turns]],Table2[#Headers],0),0)</f>
        <v>Null</v>
      </c>
      <c r="BC196" s="2" t="str">
        <f>VLOOKUP([jobnumber],OvalData[],MATCH(Table2[[#Headers],[Outer Spring Weight]],Table2[#Headers],0),0)</f>
        <v>Null</v>
      </c>
      <c r="BD196" s="2" t="str">
        <f>VLOOKUP([jobnumber],OvalData[],MATCH(Table2[[#Headers],[Inner Spring Gage]],Table2[#Headers],0),0)</f>
        <v>Null</v>
      </c>
      <c r="BE196" s="2" t="str">
        <f>VLOOKUP([jobnumber],OvalData[],MATCH(Table2[[#Headers],[Inner Spring OD]],Table2[#Headers],0),0)</f>
        <v>Null</v>
      </c>
      <c r="BF196" s="2" t="str">
        <f>VLOOKUP([jobnumber],OvalData[],MATCH(Table2[[#Headers],[Inner Spring Length]],Table2[#Headers],0),0)</f>
        <v>Null</v>
      </c>
      <c r="BG196" s="2" t="str">
        <f>VLOOKUP([jobnumber],OvalData[],MATCH(Table2[[#Headers],[Inner Spring Stretch]],Table2[#Headers],0),0)</f>
        <v>Null</v>
      </c>
      <c r="BH196" s="2" t="str">
        <f>VLOOKUP([jobnumber],OvalData[],MATCH(Table2[[#Headers],[Inner Spring Torque]],Table2[#Headers],0),0)</f>
        <v>Null</v>
      </c>
      <c r="BI196" s="2" t="str">
        <f>VLOOKUP([jobnumber],OvalData[],MATCH(Table2[[#Headers],[Inner Spring Max Turns]],Table2[#Headers],0),0)</f>
        <v>Null</v>
      </c>
      <c r="BJ196" s="2" t="str">
        <f>VLOOKUP([jobnumber],OvalData[],MATCH(Table2[[#Headers],[Inner Spring Weight]],Table2[#Headers],0),0)</f>
        <v>Null</v>
      </c>
      <c r="BK196" s="2">
        <f>VLOOKUP([jobnumber],OvalData[],MATCH(Table2[[#Headers],[Cycles]],Table2[#Headers],0),0)</f>
        <v>0</v>
      </c>
      <c r="BL196" s="2">
        <f>VLOOKUP([jobnumber],OvalData[],MATCH(Table2[[#Headers],[Total Spring Torque]],Table2[#Headers],0),0)</f>
        <v>0</v>
      </c>
      <c r="BM196" s="2">
        <f>VLOOKUP([jobnumber],OvalData[],MATCH(Table2[[#Headers],[Total Spring Weight]],Table2[#Headers],0),0)</f>
        <v>0</v>
      </c>
      <c r="BN196" s="2">
        <f>VLOOKUP([jobnumber],OvalData[],MATCH(Table2[[#Headers],[Pipe Weight]],Table2[#Headers],0),0)</f>
        <v>688.24239999999998</v>
      </c>
      <c r="BO196" s="2">
        <f>VLOOKUP([jobnumber],OvalData[],MATCH(Table2[[#Headers],[Max Pipe Deflection]],Table2[#Headers],0),0)</f>
        <v>2309</v>
      </c>
      <c r="BP196" s="2">
        <f>VLOOKUP([jobnumber],OvalData[],MATCH(Table2[[#Headers],[Number Non-Insulated Wrap Slats]],Table2[#Headers],0),0)</f>
        <v>0</v>
      </c>
      <c r="BQ196" s="2">
        <f>VLOOKUP([jobnumber],OvalData[],MATCH(Table2[[#Headers],[Number of Insolated Top Slats]],Table2[#Headers],0),0)</f>
        <v>45</v>
      </c>
      <c r="BR196" s="2">
        <f>VLOOKUP([jobnumber],OvalData[],MATCH(Table2[[#Headers],[Insolated Total Slats]],Table2[#Headers],0),0)</f>
        <v>45</v>
      </c>
      <c r="BS196" s="2">
        <f>VLOOKUP([jobnumber],OvalData[],MATCH(Table2[[#Headers],[Number of Slats]],Table2[#Headers],0),0)</f>
        <v>44.69</v>
      </c>
      <c r="BT196" s="2">
        <f>VLOOKUP([jobnumber],OvalData[],MATCH(Table2[[#Headers],[Wrap]],Table2[#Headers],0),0)</f>
        <v>0</v>
      </c>
      <c r="BU196" s="2">
        <f>VLOOKUP([jobnumber],OvalData[],MATCH(Table2[[#Headers],[Wall Angle Thickness]],Table2[#Headers],0),0)</f>
        <v>0</v>
      </c>
      <c r="BV196" s="2">
        <f>VLOOKUP([jobnumber],OvalData[],MATCH(Table2[[#Headers],[windlocks]],Table2[#Headers],0),0)</f>
        <v>0</v>
      </c>
      <c r="BW196" s="2" t="str">
        <f>VLOOKUP([jobnumber],OvalData[],MATCH(Table2[[#Headers],[bottombartype]],Table2[#Headers],0),0)</f>
        <v>SPECIAL</v>
      </c>
      <c r="BX196" s="2">
        <f>VLOOKUP([jobnumber],OvalData[],MATCH(Table2[[#Headers],[endlockweight]],Table2[#Headers],0),0)</f>
        <v>0.17</v>
      </c>
      <c r="BY196" s="2">
        <f>VLOOKUP([jobnumber],OvalData[],MATCH(Table2[[#Headers],[Endlock Total Weight]],Table2[#Headers],0),0)</f>
        <v>7.5972999999999997</v>
      </c>
      <c r="BZ196" s="2">
        <f>VLOOKUP([jobnumber],OvalData[],MATCH(Table2[[#Headers],[Grille Weight]],Table2[#Headers],0),0)</f>
        <v>0</v>
      </c>
      <c r="CA196" s="2">
        <f>VLOOKUP([jobnumber],OvalData[],MATCH(Table2[[#Headers],[barrelrings]],Table2[#Headers],0),0)</f>
        <v>1</v>
      </c>
    </row>
    <row r="197" spans="2:79">
      <c r="B197" s="2" t="str">
        <f>VLOOKUP([jobnumber],OvalData[],MATCH(Table2[[#Headers],[Hand]],Table2[#Headers],0),0)</f>
        <v>RH</v>
      </c>
      <c r="C197" s="2" t="str">
        <f>VLOOKUP([jobnumber],OvalData[],MATCH(Table2[[#Headers],[Model]],Table2[#Headers],0),0)</f>
        <v>SFMPP</v>
      </c>
      <c r="D197" s="2" t="str">
        <f>VLOOKUP([jobnumber],OvalData[],MATCH(Table2[[#Headers],[width]],Table2[#Headers],0),0)</f>
        <v xml:space="preserve"> 18 ft.- 2"</v>
      </c>
      <c r="E197" s="2" t="str">
        <f>VLOOKUP([jobnumber],OvalData[],MATCH(Table2[[#Headers],[stopheight]],Table2[#Headers],0),0)</f>
        <v xml:space="preserve"> 10 ft.- 0"</v>
      </c>
      <c r="F197" s="2" t="str">
        <f>VLOOKUP([jobnumber],OvalData[],MATCH(Table2[[#Headers],[Between Brackets]],Table2[#Headers],0),0)</f>
        <v xml:space="preserve"> 18 ft.- 7 7/ 8"</v>
      </c>
      <c r="G197" s="2" t="str">
        <f>VLOOKUP([jobnumber],OvalData[],MATCH(Table2[[#Headers],[shell]],Table2[#Headers],0),0)</f>
        <v>6 INCH TUBE</v>
      </c>
      <c r="H197" s="2" t="str">
        <f>VLOOKUP([jobnumber],OvalData[],MATCH(Table2[[#Headers],[pipewidth]],Table2[#Headers],0),0)</f>
        <v xml:space="preserve"> 18 ft.- 1 3/ 8"</v>
      </c>
      <c r="I197" s="2">
        <f>VLOOKUP([jobnumber],OvalData[],MATCH(Table2[[#Headers],[Support Tubes]],Table2[#Headers],0),0)</f>
        <v>0</v>
      </c>
      <c r="J197" s="2">
        <f>VLOOKUP([jobnumber],OvalData[],MATCH(Table2[[#Headers],[Upset]],Table2[#Headers],0),0)</f>
        <v>2</v>
      </c>
      <c r="K197" s="2" t="str">
        <f>VLOOKUP([jobnumber],OvalData[],MATCH(Table2[[#Headers],[Guide Type]],Table2[#Headers],0),0)</f>
        <v>SN2-4 5/8-E</v>
      </c>
      <c r="L197" s="2" t="str">
        <f>VLOOKUP([jobnumber],OvalData[],MATCH(Table2[[#Headers],[Wall Angle]],Table2[#Headers],0),0)</f>
        <v xml:space="preserve"> 11 ft.- 8"</v>
      </c>
      <c r="M197" s="2" t="str">
        <f>VLOOKUP([jobnumber],OvalData[],MATCH(Table2[[#Headers],[Middle Angle]],Table2[#Headers],0),0)</f>
        <v xml:space="preserve"> 10 ft.- 4 1/ 2"</v>
      </c>
      <c r="N197" s="2" t="str">
        <f>VLOOKUP([jobnumber],OvalData[],MATCH(Table2[[#Headers],[Front Angle]],Table2[#Headers],0),0)</f>
        <v xml:space="preserve"> 10 ft.- 3"</v>
      </c>
      <c r="O197" s="2">
        <f>VLOOKUP([jobnumber],OvalData[],MATCH(Table2[[#Headers],[Pipe Center Line]],Table2[#Headers],0),0)</f>
        <v>131</v>
      </c>
      <c r="P197" s="2">
        <f>VLOOKUP([jobnumber],OvalData[],MATCH(Table2[[#Headers],[Heat Expansion Gap]],Table2[#Headers],0),0)</f>
        <v>0</v>
      </c>
      <c r="Q197" s="2">
        <f>VLOOKUP([jobnumber],OvalData[],MATCH(Table2[[#Headers],[Hanging Weight Closed]],Table2[#Headers],0),0)</f>
        <v>795</v>
      </c>
      <c r="R197" s="2">
        <f>VLOOKUP([jobnumber],OvalData[],MATCH(Table2[[#Headers],[Hanging Weight Open]],Table2[#Headers],0),0)</f>
        <v>140</v>
      </c>
      <c r="S197" s="2">
        <f>VLOOKUP([jobnumber],OvalData[],MATCH(Table2[[#Headers],[Initial Lever Arm]],Table2[#Headers],0),0)</f>
        <v>4.25</v>
      </c>
      <c r="T197" s="2">
        <f>VLOOKUP([jobnumber],OvalData[],MATCH(Table2[[#Headers],[Turns to Raise]],Table2[#Headers],0),0)</f>
        <v>3.5859999999999999</v>
      </c>
      <c r="U197" s="2">
        <f>VLOOKUP([jobnumber],OvalData[],MATCH(Table2[[#Headers],[Final Lever Arm]],Table2[#Headers],0),0)</f>
        <v>6.37</v>
      </c>
      <c r="V197" s="2">
        <f>VLOOKUP([jobnumber],OvalData[],MATCH(Table2[[#Headers],[Torque Required Closed]],Table2[#Headers],0),0)</f>
        <v>3377.9</v>
      </c>
      <c r="W197" s="2">
        <f>VLOOKUP([jobnumber],OvalData[],MATCH(Table2[[#Headers],[Torque Required Open]],Table2[#Headers],0),0)</f>
        <v>892</v>
      </c>
      <c r="X197" s="2">
        <f>VLOOKUP([jobnumber],OvalData[],MATCH(Table2[[#Headers],[Pre Turns]],Table2[#Headers],0),0)</f>
        <v>1.3332999999999999</v>
      </c>
      <c r="Y197" s="2">
        <f>VLOOKUP([jobnumber],OvalData[],MATCH(Table2[[#Headers],[Required Torque Per Turn]],Table2[#Headers],0),0)</f>
        <v>688</v>
      </c>
      <c r="Z197" s="2">
        <f>VLOOKUP([jobnumber],OvalData[],MATCH(Table2[[#Headers],[Total Turns]],Table2[#Headers],0),0)</f>
        <v>4.91</v>
      </c>
      <c r="AA197" s="2">
        <f>VLOOKUP([jobnumber],OvalData[],MATCH(Table2[[#Headers],[Grille Vision Section]],Table2[#Headers],0),0)</f>
        <v>0</v>
      </c>
      <c r="AB197" s="2">
        <f>VLOOKUP([jobnumber],OvalData[],MATCH(Table2[[#Headers],[Grille Amount]],Table2[#Headers],0),0)</f>
        <v>0</v>
      </c>
      <c r="AC197" s="2">
        <f>VLOOKUP([jobnumber],OvalData[],MATCH(Table2[[#Headers],[Grille Center]],Table2[#Headers],0),0)</f>
        <v>0</v>
      </c>
      <c r="AD197" s="2">
        <f>VLOOKUP([jobnumber],OvalData[],MATCH(Table2[[#Headers],[Grille Pattern]],Table2[#Headers],0),0)</f>
        <v>0</v>
      </c>
      <c r="AE197" s="2">
        <f>VLOOKUP([jobnumber],OvalData[],MATCH(Table2[[#Headers],[Grille First Tube]],Table2[#Headers],0),0)</f>
        <v>0</v>
      </c>
      <c r="AF197" s="2">
        <f>VLOOKUP([jobnumber],OvalData[],MATCH(Table2[[#Headers],[Grille Standard Tube]],Table2[#Headers],0),0)</f>
        <v>0</v>
      </c>
      <c r="AG197" s="2">
        <f>VLOOKUP([jobnumber],OvalData[],MATCH(Table2[[#Headers],[Grille Total Links]],Table2[#Headers],0),0)</f>
        <v>0</v>
      </c>
      <c r="AH197" s="2">
        <f>VLOOKUP([jobnumber],OvalData[],MATCH(Table2[[#Headers],[Grille Rods]],Table2[#Headers],0),0)</f>
        <v>0</v>
      </c>
      <c r="AI197" s="2">
        <f>VLOOKUP([jobnumber],OvalData[],MATCH(Table2[[#Headers],[Grille Rod Length]],Table2[#Headers],0),0)</f>
        <v>0</v>
      </c>
      <c r="AJ197" s="2">
        <f>VLOOKUP([jobnumber],OvalData[],MATCH(Table2[[#Headers],[slattype]],Table2[#Headers],0),0)</f>
        <v>2</v>
      </c>
      <c r="AK197" s="2">
        <f>VLOOKUP([jobnumber],OvalData[],MATCH(Table2[[#Headers],[slatgage]],Table2[#Headers],0),0)</f>
        <v>18</v>
      </c>
      <c r="AL197" s="2">
        <f>VLOOKUP([jobnumber],OvalData[],MATCH(Table2[[#Headers],[Numer of Top Slats]],Table2[#Headers],0),0)</f>
        <v>0</v>
      </c>
      <c r="AM197" s="2">
        <f>VLOOKUP([jobnumber],OvalData[],MATCH(Table2[[#Headers],[Number of Bottom Slats]],Table2[#Headers],0),0)</f>
        <v>0</v>
      </c>
      <c r="AN197" s="2">
        <f>VLOOKUP([jobnumber],OvalData[],MATCH(Table2[[#Headers],[Solid Bottom Height]],Table2[#Headers],0),0)</f>
        <v>0</v>
      </c>
      <c r="AO197" s="2" t="str">
        <f>VLOOKUP([jobnumber],OvalData[],MATCH(Table2[[#Headers],[slatlength]],Table2[#Headers],0),0)</f>
        <v xml:space="preserve"> 18 ft.- 5 7/ 8"</v>
      </c>
      <c r="AP197" s="2">
        <f>VLOOKUP([jobnumber],OvalData[],MATCH(Table2[[#Headers],[Bottom Slat Length]],Table2[#Headers],0),0)</f>
        <v>0</v>
      </c>
      <c r="AQ197" s="2">
        <f>VLOOKUP([jobnumber],OvalData[],MATCH(Table2[[#Headers],[Number of Perferated Slats]],Table2[#Headers],0),0)</f>
        <v>0</v>
      </c>
      <c r="AR197" s="2">
        <f>VLOOKUP([jobnumber],OvalData[],MATCH(Table2[[#Headers],[First Preferated Slat From End]],Table2[#Headers],0),0)</f>
        <v>0</v>
      </c>
      <c r="AS197" s="2">
        <f>VLOOKUP([jobnumber],OvalData[],MATCH(Table2[[#Headers],[First Preferated Slat From Bottom]],Table2[#Headers],0),0)</f>
        <v>0</v>
      </c>
      <c r="AT197" s="2">
        <f>VLOOKUP([jobnumber],OvalData[],MATCH(Table2[[#Headers],[Total Number of Slats]],Table2[#Headers],0),0)</f>
        <v>51</v>
      </c>
      <c r="AU197" s="2">
        <f>VLOOKUP([jobnumber],OvalData[],MATCH(Table2[[#Headers],[Bottom Bar Slope]],Table2[#Headers],0),0)</f>
        <v>0</v>
      </c>
      <c r="AV197" s="2">
        <f>VLOOKUP([jobnumber],OvalData[],MATCH(Table2[[#Headers],[Bottom Bar Weight]],Table2[#Headers],0),0)</f>
        <v>80.5</v>
      </c>
      <c r="AW197" s="2" t="str">
        <f>VLOOKUP([jobnumber],OvalData[],MATCH(Table2[[#Headers],[Outer Spring Gage]],Table2[#Headers],0),0)</f>
        <v>Null</v>
      </c>
      <c r="AX197" s="2" t="str">
        <f>VLOOKUP([jobnumber],OvalData[],MATCH(Table2[[#Headers],[Outer Spring OD]],Table2[#Headers],0),0)</f>
        <v>Null</v>
      </c>
      <c r="AY197" s="2" t="str">
        <f>VLOOKUP([jobnumber],OvalData[],MATCH(Table2[[#Headers],[Outer Spring Length]],Table2[#Headers],0),0)</f>
        <v>Null</v>
      </c>
      <c r="AZ197" s="2" t="str">
        <f>VLOOKUP([jobnumber],OvalData[],MATCH(Table2[[#Headers],[Outer Spring Stretch]],Table2[#Headers],0),0)</f>
        <v>Null</v>
      </c>
      <c r="BA197" s="2" t="str">
        <f>VLOOKUP([jobnumber],OvalData[],MATCH(Table2[[#Headers],[Outer Spring Torque]],Table2[#Headers],0),0)</f>
        <v>Null</v>
      </c>
      <c r="BB197" s="2" t="str">
        <f>VLOOKUP([jobnumber],OvalData[],MATCH(Table2[[#Headers],[Outer Spring Max Turns]],Table2[#Headers],0),0)</f>
        <v>Null</v>
      </c>
      <c r="BC197" s="2" t="str">
        <f>VLOOKUP([jobnumber],OvalData[],MATCH(Table2[[#Headers],[Outer Spring Weight]],Table2[#Headers],0),0)</f>
        <v>Null</v>
      </c>
      <c r="BD197" s="2" t="str">
        <f>VLOOKUP([jobnumber],OvalData[],MATCH(Table2[[#Headers],[Inner Spring Gage]],Table2[#Headers],0),0)</f>
        <v>Null</v>
      </c>
      <c r="BE197" s="2" t="str">
        <f>VLOOKUP([jobnumber],OvalData[],MATCH(Table2[[#Headers],[Inner Spring OD]],Table2[#Headers],0),0)</f>
        <v>Null</v>
      </c>
      <c r="BF197" s="2" t="str">
        <f>VLOOKUP([jobnumber],OvalData[],MATCH(Table2[[#Headers],[Inner Spring Length]],Table2[#Headers],0),0)</f>
        <v>Null</v>
      </c>
      <c r="BG197" s="2" t="str">
        <f>VLOOKUP([jobnumber],OvalData[],MATCH(Table2[[#Headers],[Inner Spring Stretch]],Table2[#Headers],0),0)</f>
        <v>Null</v>
      </c>
      <c r="BH197" s="2" t="str">
        <f>VLOOKUP([jobnumber],OvalData[],MATCH(Table2[[#Headers],[Inner Spring Torque]],Table2[#Headers],0),0)</f>
        <v>Null</v>
      </c>
      <c r="BI197" s="2" t="str">
        <f>VLOOKUP([jobnumber],OvalData[],MATCH(Table2[[#Headers],[Inner Spring Max Turns]],Table2[#Headers],0),0)</f>
        <v>Null</v>
      </c>
      <c r="BJ197" s="2" t="str">
        <f>VLOOKUP([jobnumber],OvalData[],MATCH(Table2[[#Headers],[Inner Spring Weight]],Table2[#Headers],0),0)</f>
        <v>Null</v>
      </c>
      <c r="BK197" s="2">
        <f>VLOOKUP([jobnumber],OvalData[],MATCH(Table2[[#Headers],[Cycles]],Table2[#Headers],0),0)</f>
        <v>0</v>
      </c>
      <c r="BL197" s="2">
        <f>VLOOKUP([jobnumber],OvalData[],MATCH(Table2[[#Headers],[Total Spring Torque]],Table2[#Headers],0),0)</f>
        <v>0</v>
      </c>
      <c r="BM197" s="2">
        <f>VLOOKUP([jobnumber],OvalData[],MATCH(Table2[[#Headers],[Total Spring Weight]],Table2[#Headers],0),0)</f>
        <v>0</v>
      </c>
      <c r="BN197" s="2">
        <f>VLOOKUP([jobnumber],OvalData[],MATCH(Table2[[#Headers],[Pipe Weight]],Table2[#Headers],0),0)</f>
        <v>688.24239999999998</v>
      </c>
      <c r="BO197" s="2">
        <f>VLOOKUP([jobnumber],OvalData[],MATCH(Table2[[#Headers],[Max Pipe Deflection]],Table2[#Headers],0),0)</f>
        <v>2309</v>
      </c>
      <c r="BP197" s="2">
        <f>VLOOKUP([jobnumber],OvalData[],MATCH(Table2[[#Headers],[Number Non-Insulated Wrap Slats]],Table2[#Headers],0),0)</f>
        <v>0</v>
      </c>
      <c r="BQ197" s="2">
        <f>VLOOKUP([jobnumber],OvalData[],MATCH(Table2[[#Headers],[Number of Insolated Top Slats]],Table2[#Headers],0),0)</f>
        <v>45</v>
      </c>
      <c r="BR197" s="2">
        <f>VLOOKUP([jobnumber],OvalData[],MATCH(Table2[[#Headers],[Insolated Total Slats]],Table2[#Headers],0),0)</f>
        <v>45</v>
      </c>
      <c r="BS197" s="2">
        <f>VLOOKUP([jobnumber],OvalData[],MATCH(Table2[[#Headers],[Number of Slats]],Table2[#Headers],0),0)</f>
        <v>44.69</v>
      </c>
      <c r="BT197" s="2">
        <f>VLOOKUP([jobnumber],OvalData[],MATCH(Table2[[#Headers],[Wrap]],Table2[#Headers],0),0)</f>
        <v>0</v>
      </c>
      <c r="BU197" s="2">
        <f>VLOOKUP([jobnumber],OvalData[],MATCH(Table2[[#Headers],[Wall Angle Thickness]],Table2[#Headers],0),0)</f>
        <v>0</v>
      </c>
      <c r="BV197" s="2">
        <f>VLOOKUP([jobnumber],OvalData[],MATCH(Table2[[#Headers],[windlocks]],Table2[#Headers],0),0)</f>
        <v>0</v>
      </c>
      <c r="BW197" s="2" t="str">
        <f>VLOOKUP([jobnumber],OvalData[],MATCH(Table2[[#Headers],[bottombartype]],Table2[#Headers],0),0)</f>
        <v>SPECIAL</v>
      </c>
      <c r="BX197" s="2">
        <f>VLOOKUP([jobnumber],OvalData[],MATCH(Table2[[#Headers],[endlockweight]],Table2[#Headers],0),0)</f>
        <v>0.17</v>
      </c>
      <c r="BY197" s="2">
        <f>VLOOKUP([jobnumber],OvalData[],MATCH(Table2[[#Headers],[Endlock Total Weight]],Table2[#Headers],0),0)</f>
        <v>7.5972999999999997</v>
      </c>
      <c r="BZ197" s="2">
        <f>VLOOKUP([jobnumber],OvalData[],MATCH(Table2[[#Headers],[Grille Weight]],Table2[#Headers],0),0)</f>
        <v>0</v>
      </c>
      <c r="CA197" s="2">
        <f>VLOOKUP([jobnumber],OvalData[],MATCH(Table2[[#Headers],[barrelrings]],Table2[#Headers],0),0)</f>
        <v>1</v>
      </c>
    </row>
    <row r="198" spans="2:79">
      <c r="B198" s="2" t="str">
        <f>VLOOKUP([jobnumber],OvalData[],MATCH(Table2[[#Headers],[Hand]],Table2[#Headers],0),0)</f>
        <v>RH</v>
      </c>
      <c r="C198" s="2" t="str">
        <f>VLOOKUP([jobnumber],OvalData[],MATCH(Table2[[#Headers],[Model]],Table2[#Headers],0),0)</f>
        <v>SFMPP</v>
      </c>
      <c r="D198" s="2" t="str">
        <f>VLOOKUP([jobnumber],OvalData[],MATCH(Table2[[#Headers],[width]],Table2[#Headers],0),0)</f>
        <v xml:space="preserve"> 18 ft.- 2"</v>
      </c>
      <c r="E198" s="2" t="str">
        <f>VLOOKUP([jobnumber],OvalData[],MATCH(Table2[[#Headers],[stopheight]],Table2[#Headers],0),0)</f>
        <v xml:space="preserve"> 10 ft.- 0"</v>
      </c>
      <c r="F198" s="2" t="str">
        <f>VLOOKUP([jobnumber],OvalData[],MATCH(Table2[[#Headers],[Between Brackets]],Table2[#Headers],0),0)</f>
        <v xml:space="preserve"> 18 ft.- 7 7/ 8"</v>
      </c>
      <c r="G198" s="2" t="str">
        <f>VLOOKUP([jobnumber],OvalData[],MATCH(Table2[[#Headers],[shell]],Table2[#Headers],0),0)</f>
        <v>6 INCH TUBE</v>
      </c>
      <c r="H198" s="2" t="str">
        <f>VLOOKUP([jobnumber],OvalData[],MATCH(Table2[[#Headers],[pipewidth]],Table2[#Headers],0),0)</f>
        <v xml:space="preserve"> 18 ft.- 1 3/ 8"</v>
      </c>
      <c r="I198" s="2">
        <f>VLOOKUP([jobnumber],OvalData[],MATCH(Table2[[#Headers],[Support Tubes]],Table2[#Headers],0),0)</f>
        <v>0</v>
      </c>
      <c r="J198" s="2">
        <f>VLOOKUP([jobnumber],OvalData[],MATCH(Table2[[#Headers],[Upset]],Table2[#Headers],0),0)</f>
        <v>2</v>
      </c>
      <c r="K198" s="2" t="str">
        <f>VLOOKUP([jobnumber],OvalData[],MATCH(Table2[[#Headers],[Guide Type]],Table2[#Headers],0),0)</f>
        <v>SN2-4 5/8-E</v>
      </c>
      <c r="L198" s="2" t="str">
        <f>VLOOKUP([jobnumber],OvalData[],MATCH(Table2[[#Headers],[Wall Angle]],Table2[#Headers],0),0)</f>
        <v xml:space="preserve"> 11 ft.- 8"</v>
      </c>
      <c r="M198" s="2" t="str">
        <f>VLOOKUP([jobnumber],OvalData[],MATCH(Table2[[#Headers],[Middle Angle]],Table2[#Headers],0),0)</f>
        <v xml:space="preserve"> 10 ft.- 4 1/ 2"</v>
      </c>
      <c r="N198" s="2" t="str">
        <f>VLOOKUP([jobnumber],OvalData[],MATCH(Table2[[#Headers],[Front Angle]],Table2[#Headers],0),0)</f>
        <v xml:space="preserve"> 10 ft.- 3"</v>
      </c>
      <c r="O198" s="2">
        <f>VLOOKUP([jobnumber],OvalData[],MATCH(Table2[[#Headers],[Pipe Center Line]],Table2[#Headers],0),0)</f>
        <v>131</v>
      </c>
      <c r="P198" s="2">
        <f>VLOOKUP([jobnumber],OvalData[],MATCH(Table2[[#Headers],[Heat Expansion Gap]],Table2[#Headers],0),0)</f>
        <v>0</v>
      </c>
      <c r="Q198" s="2">
        <f>VLOOKUP([jobnumber],OvalData[],MATCH(Table2[[#Headers],[Hanging Weight Closed]],Table2[#Headers],0),0)</f>
        <v>795</v>
      </c>
      <c r="R198" s="2">
        <f>VLOOKUP([jobnumber],OvalData[],MATCH(Table2[[#Headers],[Hanging Weight Open]],Table2[#Headers],0),0)</f>
        <v>140</v>
      </c>
      <c r="S198" s="2">
        <f>VLOOKUP([jobnumber],OvalData[],MATCH(Table2[[#Headers],[Initial Lever Arm]],Table2[#Headers],0),0)</f>
        <v>4.25</v>
      </c>
      <c r="T198" s="2">
        <f>VLOOKUP([jobnumber],OvalData[],MATCH(Table2[[#Headers],[Turns to Raise]],Table2[#Headers],0),0)</f>
        <v>3.5859999999999999</v>
      </c>
      <c r="U198" s="2">
        <f>VLOOKUP([jobnumber],OvalData[],MATCH(Table2[[#Headers],[Final Lever Arm]],Table2[#Headers],0),0)</f>
        <v>6.37</v>
      </c>
      <c r="V198" s="2">
        <f>VLOOKUP([jobnumber],OvalData[],MATCH(Table2[[#Headers],[Torque Required Closed]],Table2[#Headers],0),0)</f>
        <v>3377.9</v>
      </c>
      <c r="W198" s="2">
        <f>VLOOKUP([jobnumber],OvalData[],MATCH(Table2[[#Headers],[Torque Required Open]],Table2[#Headers],0),0)</f>
        <v>892</v>
      </c>
      <c r="X198" s="2">
        <f>VLOOKUP([jobnumber],OvalData[],MATCH(Table2[[#Headers],[Pre Turns]],Table2[#Headers],0),0)</f>
        <v>1.3332999999999999</v>
      </c>
      <c r="Y198" s="2">
        <f>VLOOKUP([jobnumber],OvalData[],MATCH(Table2[[#Headers],[Required Torque Per Turn]],Table2[#Headers],0),0)</f>
        <v>688</v>
      </c>
      <c r="Z198" s="2">
        <f>VLOOKUP([jobnumber],OvalData[],MATCH(Table2[[#Headers],[Total Turns]],Table2[#Headers],0),0)</f>
        <v>4.91</v>
      </c>
      <c r="AA198" s="2">
        <f>VLOOKUP([jobnumber],OvalData[],MATCH(Table2[[#Headers],[Grille Vision Section]],Table2[#Headers],0),0)</f>
        <v>0</v>
      </c>
      <c r="AB198" s="2">
        <f>VLOOKUP([jobnumber],OvalData[],MATCH(Table2[[#Headers],[Grille Amount]],Table2[#Headers],0),0)</f>
        <v>0</v>
      </c>
      <c r="AC198" s="2">
        <f>VLOOKUP([jobnumber],OvalData[],MATCH(Table2[[#Headers],[Grille Center]],Table2[#Headers],0),0)</f>
        <v>0</v>
      </c>
      <c r="AD198" s="2">
        <f>VLOOKUP([jobnumber],OvalData[],MATCH(Table2[[#Headers],[Grille Pattern]],Table2[#Headers],0),0)</f>
        <v>0</v>
      </c>
      <c r="AE198" s="2">
        <f>VLOOKUP([jobnumber],OvalData[],MATCH(Table2[[#Headers],[Grille First Tube]],Table2[#Headers],0),0)</f>
        <v>0</v>
      </c>
      <c r="AF198" s="2">
        <f>VLOOKUP([jobnumber],OvalData[],MATCH(Table2[[#Headers],[Grille Standard Tube]],Table2[#Headers],0),0)</f>
        <v>0</v>
      </c>
      <c r="AG198" s="2">
        <f>VLOOKUP([jobnumber],OvalData[],MATCH(Table2[[#Headers],[Grille Total Links]],Table2[#Headers],0),0)</f>
        <v>0</v>
      </c>
      <c r="AH198" s="2">
        <f>VLOOKUP([jobnumber],OvalData[],MATCH(Table2[[#Headers],[Grille Rods]],Table2[#Headers],0),0)</f>
        <v>0</v>
      </c>
      <c r="AI198" s="2">
        <f>VLOOKUP([jobnumber],OvalData[],MATCH(Table2[[#Headers],[Grille Rod Length]],Table2[#Headers],0),0)</f>
        <v>0</v>
      </c>
      <c r="AJ198" s="2">
        <f>VLOOKUP([jobnumber],OvalData[],MATCH(Table2[[#Headers],[slattype]],Table2[#Headers],0),0)</f>
        <v>2</v>
      </c>
      <c r="AK198" s="2">
        <f>VLOOKUP([jobnumber],OvalData[],MATCH(Table2[[#Headers],[slatgage]],Table2[#Headers],0),0)</f>
        <v>18</v>
      </c>
      <c r="AL198" s="2">
        <f>VLOOKUP([jobnumber],OvalData[],MATCH(Table2[[#Headers],[Numer of Top Slats]],Table2[#Headers],0),0)</f>
        <v>0</v>
      </c>
      <c r="AM198" s="2">
        <f>VLOOKUP([jobnumber],OvalData[],MATCH(Table2[[#Headers],[Number of Bottom Slats]],Table2[#Headers],0),0)</f>
        <v>0</v>
      </c>
      <c r="AN198" s="2">
        <f>VLOOKUP([jobnumber],OvalData[],MATCH(Table2[[#Headers],[Solid Bottom Height]],Table2[#Headers],0),0)</f>
        <v>0</v>
      </c>
      <c r="AO198" s="2" t="str">
        <f>VLOOKUP([jobnumber],OvalData[],MATCH(Table2[[#Headers],[slatlength]],Table2[#Headers],0),0)</f>
        <v xml:space="preserve"> 18 ft.- 5 7/ 8"</v>
      </c>
      <c r="AP198" s="2">
        <f>VLOOKUP([jobnumber],OvalData[],MATCH(Table2[[#Headers],[Bottom Slat Length]],Table2[#Headers],0),0)</f>
        <v>0</v>
      </c>
      <c r="AQ198" s="2">
        <f>VLOOKUP([jobnumber],OvalData[],MATCH(Table2[[#Headers],[Number of Perferated Slats]],Table2[#Headers],0),0)</f>
        <v>0</v>
      </c>
      <c r="AR198" s="2">
        <f>VLOOKUP([jobnumber],OvalData[],MATCH(Table2[[#Headers],[First Preferated Slat From End]],Table2[#Headers],0),0)</f>
        <v>0</v>
      </c>
      <c r="AS198" s="2">
        <f>VLOOKUP([jobnumber],OvalData[],MATCH(Table2[[#Headers],[First Preferated Slat From Bottom]],Table2[#Headers],0),0)</f>
        <v>0</v>
      </c>
      <c r="AT198" s="2">
        <f>VLOOKUP([jobnumber],OvalData[],MATCH(Table2[[#Headers],[Total Number of Slats]],Table2[#Headers],0),0)</f>
        <v>51</v>
      </c>
      <c r="AU198" s="2">
        <f>VLOOKUP([jobnumber],OvalData[],MATCH(Table2[[#Headers],[Bottom Bar Slope]],Table2[#Headers],0),0)</f>
        <v>0</v>
      </c>
      <c r="AV198" s="2">
        <f>VLOOKUP([jobnumber],OvalData[],MATCH(Table2[[#Headers],[Bottom Bar Weight]],Table2[#Headers],0),0)</f>
        <v>80.5</v>
      </c>
      <c r="AW198" s="2" t="str">
        <f>VLOOKUP([jobnumber],OvalData[],MATCH(Table2[[#Headers],[Outer Spring Gage]],Table2[#Headers],0),0)</f>
        <v>Null</v>
      </c>
      <c r="AX198" s="2" t="str">
        <f>VLOOKUP([jobnumber],OvalData[],MATCH(Table2[[#Headers],[Outer Spring OD]],Table2[#Headers],0),0)</f>
        <v>Null</v>
      </c>
      <c r="AY198" s="2" t="str">
        <f>VLOOKUP([jobnumber],OvalData[],MATCH(Table2[[#Headers],[Outer Spring Length]],Table2[#Headers],0),0)</f>
        <v>Null</v>
      </c>
      <c r="AZ198" s="2" t="str">
        <f>VLOOKUP([jobnumber],OvalData[],MATCH(Table2[[#Headers],[Outer Spring Stretch]],Table2[#Headers],0),0)</f>
        <v>Null</v>
      </c>
      <c r="BA198" s="2" t="str">
        <f>VLOOKUP([jobnumber],OvalData[],MATCH(Table2[[#Headers],[Outer Spring Torque]],Table2[#Headers],0),0)</f>
        <v>Null</v>
      </c>
      <c r="BB198" s="2" t="str">
        <f>VLOOKUP([jobnumber],OvalData[],MATCH(Table2[[#Headers],[Outer Spring Max Turns]],Table2[#Headers],0),0)</f>
        <v>Null</v>
      </c>
      <c r="BC198" s="2" t="str">
        <f>VLOOKUP([jobnumber],OvalData[],MATCH(Table2[[#Headers],[Outer Spring Weight]],Table2[#Headers],0),0)</f>
        <v>Null</v>
      </c>
      <c r="BD198" s="2" t="str">
        <f>VLOOKUP([jobnumber],OvalData[],MATCH(Table2[[#Headers],[Inner Spring Gage]],Table2[#Headers],0),0)</f>
        <v>Null</v>
      </c>
      <c r="BE198" s="2" t="str">
        <f>VLOOKUP([jobnumber],OvalData[],MATCH(Table2[[#Headers],[Inner Spring OD]],Table2[#Headers],0),0)</f>
        <v>Null</v>
      </c>
      <c r="BF198" s="2" t="str">
        <f>VLOOKUP([jobnumber],OvalData[],MATCH(Table2[[#Headers],[Inner Spring Length]],Table2[#Headers],0),0)</f>
        <v>Null</v>
      </c>
      <c r="BG198" s="2" t="str">
        <f>VLOOKUP([jobnumber],OvalData[],MATCH(Table2[[#Headers],[Inner Spring Stretch]],Table2[#Headers],0),0)</f>
        <v>Null</v>
      </c>
      <c r="BH198" s="2" t="str">
        <f>VLOOKUP([jobnumber],OvalData[],MATCH(Table2[[#Headers],[Inner Spring Torque]],Table2[#Headers],0),0)</f>
        <v>Null</v>
      </c>
      <c r="BI198" s="2" t="str">
        <f>VLOOKUP([jobnumber],OvalData[],MATCH(Table2[[#Headers],[Inner Spring Max Turns]],Table2[#Headers],0),0)</f>
        <v>Null</v>
      </c>
      <c r="BJ198" s="2" t="str">
        <f>VLOOKUP([jobnumber],OvalData[],MATCH(Table2[[#Headers],[Inner Spring Weight]],Table2[#Headers],0),0)</f>
        <v>Null</v>
      </c>
      <c r="BK198" s="2">
        <f>VLOOKUP([jobnumber],OvalData[],MATCH(Table2[[#Headers],[Cycles]],Table2[#Headers],0),0)</f>
        <v>0</v>
      </c>
      <c r="BL198" s="2">
        <f>VLOOKUP([jobnumber],OvalData[],MATCH(Table2[[#Headers],[Total Spring Torque]],Table2[#Headers],0),0)</f>
        <v>0</v>
      </c>
      <c r="BM198" s="2">
        <f>VLOOKUP([jobnumber],OvalData[],MATCH(Table2[[#Headers],[Total Spring Weight]],Table2[#Headers],0),0)</f>
        <v>0</v>
      </c>
      <c r="BN198" s="2">
        <f>VLOOKUP([jobnumber],OvalData[],MATCH(Table2[[#Headers],[Pipe Weight]],Table2[#Headers],0),0)</f>
        <v>688.24239999999998</v>
      </c>
      <c r="BO198" s="2">
        <f>VLOOKUP([jobnumber],OvalData[],MATCH(Table2[[#Headers],[Max Pipe Deflection]],Table2[#Headers],0),0)</f>
        <v>2309</v>
      </c>
      <c r="BP198" s="2">
        <f>VLOOKUP([jobnumber],OvalData[],MATCH(Table2[[#Headers],[Number Non-Insulated Wrap Slats]],Table2[#Headers],0),0)</f>
        <v>0</v>
      </c>
      <c r="BQ198" s="2">
        <f>VLOOKUP([jobnumber],OvalData[],MATCH(Table2[[#Headers],[Number of Insolated Top Slats]],Table2[#Headers],0),0)</f>
        <v>45</v>
      </c>
      <c r="BR198" s="2">
        <f>VLOOKUP([jobnumber],OvalData[],MATCH(Table2[[#Headers],[Insolated Total Slats]],Table2[#Headers],0),0)</f>
        <v>45</v>
      </c>
      <c r="BS198" s="2">
        <f>VLOOKUP([jobnumber],OvalData[],MATCH(Table2[[#Headers],[Number of Slats]],Table2[#Headers],0),0)</f>
        <v>44.69</v>
      </c>
      <c r="BT198" s="2">
        <f>VLOOKUP([jobnumber],OvalData[],MATCH(Table2[[#Headers],[Wrap]],Table2[#Headers],0),0)</f>
        <v>0</v>
      </c>
      <c r="BU198" s="2">
        <f>VLOOKUP([jobnumber],OvalData[],MATCH(Table2[[#Headers],[Wall Angle Thickness]],Table2[#Headers],0),0)</f>
        <v>0</v>
      </c>
      <c r="BV198" s="2">
        <f>VLOOKUP([jobnumber],OvalData[],MATCH(Table2[[#Headers],[windlocks]],Table2[#Headers],0),0)</f>
        <v>0</v>
      </c>
      <c r="BW198" s="2" t="str">
        <f>VLOOKUP([jobnumber],OvalData[],MATCH(Table2[[#Headers],[bottombartype]],Table2[#Headers],0),0)</f>
        <v>SPECIAL</v>
      </c>
      <c r="BX198" s="2">
        <f>VLOOKUP([jobnumber],OvalData[],MATCH(Table2[[#Headers],[endlockweight]],Table2[#Headers],0),0)</f>
        <v>0.17</v>
      </c>
      <c r="BY198" s="2">
        <f>VLOOKUP([jobnumber],OvalData[],MATCH(Table2[[#Headers],[Endlock Total Weight]],Table2[#Headers],0),0)</f>
        <v>7.5972999999999997</v>
      </c>
      <c r="BZ198" s="2">
        <f>VLOOKUP([jobnumber],OvalData[],MATCH(Table2[[#Headers],[Grille Weight]],Table2[#Headers],0),0)</f>
        <v>0</v>
      </c>
      <c r="CA198" s="2">
        <f>VLOOKUP([jobnumber],OvalData[],MATCH(Table2[[#Headers],[barrelrings]],Table2[#Headers],0),0)</f>
        <v>1</v>
      </c>
    </row>
    <row r="199" spans="2:79">
      <c r="B199" s="2" t="str">
        <f>VLOOKUP([jobnumber],OvalData[],MATCH(Table2[[#Headers],[Hand]],Table2[#Headers],0),0)</f>
        <v>RH</v>
      </c>
      <c r="C199" s="2" t="str">
        <f>VLOOKUP([jobnumber],OvalData[],MATCH(Table2[[#Headers],[Model]],Table2[#Headers],0),0)</f>
        <v>SFMPP</v>
      </c>
      <c r="D199" s="2" t="str">
        <f>VLOOKUP([jobnumber],OvalData[],MATCH(Table2[[#Headers],[width]],Table2[#Headers],0),0)</f>
        <v xml:space="preserve"> 18 ft.- 2"</v>
      </c>
      <c r="E199" s="2" t="str">
        <f>VLOOKUP([jobnumber],OvalData[],MATCH(Table2[[#Headers],[stopheight]],Table2[#Headers],0),0)</f>
        <v xml:space="preserve"> 10 ft.- 0"</v>
      </c>
      <c r="F199" s="2" t="str">
        <f>VLOOKUP([jobnumber],OvalData[],MATCH(Table2[[#Headers],[Between Brackets]],Table2[#Headers],0),0)</f>
        <v xml:space="preserve"> 18 ft.- 7 7/ 8"</v>
      </c>
      <c r="G199" s="2" t="str">
        <f>VLOOKUP([jobnumber],OvalData[],MATCH(Table2[[#Headers],[shell]],Table2[#Headers],0),0)</f>
        <v>6 INCH TUBE</v>
      </c>
      <c r="H199" s="2" t="str">
        <f>VLOOKUP([jobnumber],OvalData[],MATCH(Table2[[#Headers],[pipewidth]],Table2[#Headers],0),0)</f>
        <v xml:space="preserve"> 18 ft.- 1 3/ 8"</v>
      </c>
      <c r="I199" s="2">
        <f>VLOOKUP([jobnumber],OvalData[],MATCH(Table2[[#Headers],[Support Tubes]],Table2[#Headers],0),0)</f>
        <v>0</v>
      </c>
      <c r="J199" s="2">
        <f>VLOOKUP([jobnumber],OvalData[],MATCH(Table2[[#Headers],[Upset]],Table2[#Headers],0),0)</f>
        <v>2</v>
      </c>
      <c r="K199" s="2" t="str">
        <f>VLOOKUP([jobnumber],OvalData[],MATCH(Table2[[#Headers],[Guide Type]],Table2[#Headers],0),0)</f>
        <v>SN2-4 5/8-E</v>
      </c>
      <c r="L199" s="2" t="str">
        <f>VLOOKUP([jobnumber],OvalData[],MATCH(Table2[[#Headers],[Wall Angle]],Table2[#Headers],0),0)</f>
        <v xml:space="preserve"> 11 ft.- 8"</v>
      </c>
      <c r="M199" s="2" t="str">
        <f>VLOOKUP([jobnumber],OvalData[],MATCH(Table2[[#Headers],[Middle Angle]],Table2[#Headers],0),0)</f>
        <v xml:space="preserve"> 10 ft.- 4 1/ 2"</v>
      </c>
      <c r="N199" s="2" t="str">
        <f>VLOOKUP([jobnumber],OvalData[],MATCH(Table2[[#Headers],[Front Angle]],Table2[#Headers],0),0)</f>
        <v xml:space="preserve"> 10 ft.- 3"</v>
      </c>
      <c r="O199" s="2">
        <f>VLOOKUP([jobnumber],OvalData[],MATCH(Table2[[#Headers],[Pipe Center Line]],Table2[#Headers],0),0)</f>
        <v>131</v>
      </c>
      <c r="P199" s="2">
        <f>VLOOKUP([jobnumber],OvalData[],MATCH(Table2[[#Headers],[Heat Expansion Gap]],Table2[#Headers],0),0)</f>
        <v>0</v>
      </c>
      <c r="Q199" s="2">
        <f>VLOOKUP([jobnumber],OvalData[],MATCH(Table2[[#Headers],[Hanging Weight Closed]],Table2[#Headers],0),0)</f>
        <v>795</v>
      </c>
      <c r="R199" s="2">
        <f>VLOOKUP([jobnumber],OvalData[],MATCH(Table2[[#Headers],[Hanging Weight Open]],Table2[#Headers],0),0)</f>
        <v>140</v>
      </c>
      <c r="S199" s="2">
        <f>VLOOKUP([jobnumber],OvalData[],MATCH(Table2[[#Headers],[Initial Lever Arm]],Table2[#Headers],0),0)</f>
        <v>4.25</v>
      </c>
      <c r="T199" s="2">
        <f>VLOOKUP([jobnumber],OvalData[],MATCH(Table2[[#Headers],[Turns to Raise]],Table2[#Headers],0),0)</f>
        <v>3.5859999999999999</v>
      </c>
      <c r="U199" s="2">
        <f>VLOOKUP([jobnumber],OvalData[],MATCH(Table2[[#Headers],[Final Lever Arm]],Table2[#Headers],0),0)</f>
        <v>6.37</v>
      </c>
      <c r="V199" s="2">
        <f>VLOOKUP([jobnumber],OvalData[],MATCH(Table2[[#Headers],[Torque Required Closed]],Table2[#Headers],0),0)</f>
        <v>3377.9</v>
      </c>
      <c r="W199" s="2">
        <f>VLOOKUP([jobnumber],OvalData[],MATCH(Table2[[#Headers],[Torque Required Open]],Table2[#Headers],0),0)</f>
        <v>892</v>
      </c>
      <c r="X199" s="2">
        <f>VLOOKUP([jobnumber],OvalData[],MATCH(Table2[[#Headers],[Pre Turns]],Table2[#Headers],0),0)</f>
        <v>1.3332999999999999</v>
      </c>
      <c r="Y199" s="2">
        <f>VLOOKUP([jobnumber],OvalData[],MATCH(Table2[[#Headers],[Required Torque Per Turn]],Table2[#Headers],0),0)</f>
        <v>688</v>
      </c>
      <c r="Z199" s="2">
        <f>VLOOKUP([jobnumber],OvalData[],MATCH(Table2[[#Headers],[Total Turns]],Table2[#Headers],0),0)</f>
        <v>4.91</v>
      </c>
      <c r="AA199" s="2">
        <f>VLOOKUP([jobnumber],OvalData[],MATCH(Table2[[#Headers],[Grille Vision Section]],Table2[#Headers],0),0)</f>
        <v>0</v>
      </c>
      <c r="AB199" s="2">
        <f>VLOOKUP([jobnumber],OvalData[],MATCH(Table2[[#Headers],[Grille Amount]],Table2[#Headers],0),0)</f>
        <v>0</v>
      </c>
      <c r="AC199" s="2">
        <f>VLOOKUP([jobnumber],OvalData[],MATCH(Table2[[#Headers],[Grille Center]],Table2[#Headers],0),0)</f>
        <v>0</v>
      </c>
      <c r="AD199" s="2">
        <f>VLOOKUP([jobnumber],OvalData[],MATCH(Table2[[#Headers],[Grille Pattern]],Table2[#Headers],0),0)</f>
        <v>0</v>
      </c>
      <c r="AE199" s="2">
        <f>VLOOKUP([jobnumber],OvalData[],MATCH(Table2[[#Headers],[Grille First Tube]],Table2[#Headers],0),0)</f>
        <v>0</v>
      </c>
      <c r="AF199" s="2">
        <f>VLOOKUP([jobnumber],OvalData[],MATCH(Table2[[#Headers],[Grille Standard Tube]],Table2[#Headers],0),0)</f>
        <v>0</v>
      </c>
      <c r="AG199" s="2">
        <f>VLOOKUP([jobnumber],OvalData[],MATCH(Table2[[#Headers],[Grille Total Links]],Table2[#Headers],0),0)</f>
        <v>0</v>
      </c>
      <c r="AH199" s="2">
        <f>VLOOKUP([jobnumber],OvalData[],MATCH(Table2[[#Headers],[Grille Rods]],Table2[#Headers],0),0)</f>
        <v>0</v>
      </c>
      <c r="AI199" s="2">
        <f>VLOOKUP([jobnumber],OvalData[],MATCH(Table2[[#Headers],[Grille Rod Length]],Table2[#Headers],0),0)</f>
        <v>0</v>
      </c>
      <c r="AJ199" s="2">
        <f>VLOOKUP([jobnumber],OvalData[],MATCH(Table2[[#Headers],[slattype]],Table2[#Headers],0),0)</f>
        <v>2</v>
      </c>
      <c r="AK199" s="2">
        <f>VLOOKUP([jobnumber],OvalData[],MATCH(Table2[[#Headers],[slatgage]],Table2[#Headers],0),0)</f>
        <v>18</v>
      </c>
      <c r="AL199" s="2">
        <f>VLOOKUP([jobnumber],OvalData[],MATCH(Table2[[#Headers],[Numer of Top Slats]],Table2[#Headers],0),0)</f>
        <v>0</v>
      </c>
      <c r="AM199" s="2">
        <f>VLOOKUP([jobnumber],OvalData[],MATCH(Table2[[#Headers],[Number of Bottom Slats]],Table2[#Headers],0),0)</f>
        <v>0</v>
      </c>
      <c r="AN199" s="2">
        <f>VLOOKUP([jobnumber],OvalData[],MATCH(Table2[[#Headers],[Solid Bottom Height]],Table2[#Headers],0),0)</f>
        <v>0</v>
      </c>
      <c r="AO199" s="2" t="str">
        <f>VLOOKUP([jobnumber],OvalData[],MATCH(Table2[[#Headers],[slatlength]],Table2[#Headers],0),0)</f>
        <v xml:space="preserve"> 18 ft.- 5 7/ 8"</v>
      </c>
      <c r="AP199" s="2">
        <f>VLOOKUP([jobnumber],OvalData[],MATCH(Table2[[#Headers],[Bottom Slat Length]],Table2[#Headers],0),0)</f>
        <v>0</v>
      </c>
      <c r="AQ199" s="2">
        <f>VLOOKUP([jobnumber],OvalData[],MATCH(Table2[[#Headers],[Number of Perferated Slats]],Table2[#Headers],0),0)</f>
        <v>0</v>
      </c>
      <c r="AR199" s="2">
        <f>VLOOKUP([jobnumber],OvalData[],MATCH(Table2[[#Headers],[First Preferated Slat From End]],Table2[#Headers],0),0)</f>
        <v>0</v>
      </c>
      <c r="AS199" s="2">
        <f>VLOOKUP([jobnumber],OvalData[],MATCH(Table2[[#Headers],[First Preferated Slat From Bottom]],Table2[#Headers],0),0)</f>
        <v>0</v>
      </c>
      <c r="AT199" s="2">
        <f>VLOOKUP([jobnumber],OvalData[],MATCH(Table2[[#Headers],[Total Number of Slats]],Table2[#Headers],0),0)</f>
        <v>51</v>
      </c>
      <c r="AU199" s="2">
        <f>VLOOKUP([jobnumber],OvalData[],MATCH(Table2[[#Headers],[Bottom Bar Slope]],Table2[#Headers],0),0)</f>
        <v>0</v>
      </c>
      <c r="AV199" s="2">
        <f>VLOOKUP([jobnumber],OvalData[],MATCH(Table2[[#Headers],[Bottom Bar Weight]],Table2[#Headers],0),0)</f>
        <v>80.5</v>
      </c>
      <c r="AW199" s="2" t="str">
        <f>VLOOKUP([jobnumber],OvalData[],MATCH(Table2[[#Headers],[Outer Spring Gage]],Table2[#Headers],0),0)</f>
        <v>Null</v>
      </c>
      <c r="AX199" s="2" t="str">
        <f>VLOOKUP([jobnumber],OvalData[],MATCH(Table2[[#Headers],[Outer Spring OD]],Table2[#Headers],0),0)</f>
        <v>Null</v>
      </c>
      <c r="AY199" s="2" t="str">
        <f>VLOOKUP([jobnumber],OvalData[],MATCH(Table2[[#Headers],[Outer Spring Length]],Table2[#Headers],0),0)</f>
        <v>Null</v>
      </c>
      <c r="AZ199" s="2" t="str">
        <f>VLOOKUP([jobnumber],OvalData[],MATCH(Table2[[#Headers],[Outer Spring Stretch]],Table2[#Headers],0),0)</f>
        <v>Null</v>
      </c>
      <c r="BA199" s="2" t="str">
        <f>VLOOKUP([jobnumber],OvalData[],MATCH(Table2[[#Headers],[Outer Spring Torque]],Table2[#Headers],0),0)</f>
        <v>Null</v>
      </c>
      <c r="BB199" s="2" t="str">
        <f>VLOOKUP([jobnumber],OvalData[],MATCH(Table2[[#Headers],[Outer Spring Max Turns]],Table2[#Headers],0),0)</f>
        <v>Null</v>
      </c>
      <c r="BC199" s="2" t="str">
        <f>VLOOKUP([jobnumber],OvalData[],MATCH(Table2[[#Headers],[Outer Spring Weight]],Table2[#Headers],0),0)</f>
        <v>Null</v>
      </c>
      <c r="BD199" s="2" t="str">
        <f>VLOOKUP([jobnumber],OvalData[],MATCH(Table2[[#Headers],[Inner Spring Gage]],Table2[#Headers],0),0)</f>
        <v>Null</v>
      </c>
      <c r="BE199" s="2" t="str">
        <f>VLOOKUP([jobnumber],OvalData[],MATCH(Table2[[#Headers],[Inner Spring OD]],Table2[#Headers],0),0)</f>
        <v>Null</v>
      </c>
      <c r="BF199" s="2" t="str">
        <f>VLOOKUP([jobnumber],OvalData[],MATCH(Table2[[#Headers],[Inner Spring Length]],Table2[#Headers],0),0)</f>
        <v>Null</v>
      </c>
      <c r="BG199" s="2" t="str">
        <f>VLOOKUP([jobnumber],OvalData[],MATCH(Table2[[#Headers],[Inner Spring Stretch]],Table2[#Headers],0),0)</f>
        <v>Null</v>
      </c>
      <c r="BH199" s="2" t="str">
        <f>VLOOKUP([jobnumber],OvalData[],MATCH(Table2[[#Headers],[Inner Spring Torque]],Table2[#Headers],0),0)</f>
        <v>Null</v>
      </c>
      <c r="BI199" s="2" t="str">
        <f>VLOOKUP([jobnumber],OvalData[],MATCH(Table2[[#Headers],[Inner Spring Max Turns]],Table2[#Headers],0),0)</f>
        <v>Null</v>
      </c>
      <c r="BJ199" s="2" t="str">
        <f>VLOOKUP([jobnumber],OvalData[],MATCH(Table2[[#Headers],[Inner Spring Weight]],Table2[#Headers],0),0)</f>
        <v>Null</v>
      </c>
      <c r="BK199" s="2">
        <f>VLOOKUP([jobnumber],OvalData[],MATCH(Table2[[#Headers],[Cycles]],Table2[#Headers],0),0)</f>
        <v>0</v>
      </c>
      <c r="BL199" s="2">
        <f>VLOOKUP([jobnumber],OvalData[],MATCH(Table2[[#Headers],[Total Spring Torque]],Table2[#Headers],0),0)</f>
        <v>0</v>
      </c>
      <c r="BM199" s="2">
        <f>VLOOKUP([jobnumber],OvalData[],MATCH(Table2[[#Headers],[Total Spring Weight]],Table2[#Headers],0),0)</f>
        <v>0</v>
      </c>
      <c r="BN199" s="2">
        <f>VLOOKUP([jobnumber],OvalData[],MATCH(Table2[[#Headers],[Pipe Weight]],Table2[#Headers],0),0)</f>
        <v>688.24239999999998</v>
      </c>
      <c r="BO199" s="2">
        <f>VLOOKUP([jobnumber],OvalData[],MATCH(Table2[[#Headers],[Max Pipe Deflection]],Table2[#Headers],0),0)</f>
        <v>2309</v>
      </c>
      <c r="BP199" s="2">
        <f>VLOOKUP([jobnumber],OvalData[],MATCH(Table2[[#Headers],[Number Non-Insulated Wrap Slats]],Table2[#Headers],0),0)</f>
        <v>0</v>
      </c>
      <c r="BQ199" s="2">
        <f>VLOOKUP([jobnumber],OvalData[],MATCH(Table2[[#Headers],[Number of Insolated Top Slats]],Table2[#Headers],0),0)</f>
        <v>45</v>
      </c>
      <c r="BR199" s="2">
        <f>VLOOKUP([jobnumber],OvalData[],MATCH(Table2[[#Headers],[Insolated Total Slats]],Table2[#Headers],0),0)</f>
        <v>45</v>
      </c>
      <c r="BS199" s="2">
        <f>VLOOKUP([jobnumber],OvalData[],MATCH(Table2[[#Headers],[Number of Slats]],Table2[#Headers],0),0)</f>
        <v>44.69</v>
      </c>
      <c r="BT199" s="2">
        <f>VLOOKUP([jobnumber],OvalData[],MATCH(Table2[[#Headers],[Wrap]],Table2[#Headers],0),0)</f>
        <v>0</v>
      </c>
      <c r="BU199" s="2">
        <f>VLOOKUP([jobnumber],OvalData[],MATCH(Table2[[#Headers],[Wall Angle Thickness]],Table2[#Headers],0),0)</f>
        <v>0</v>
      </c>
      <c r="BV199" s="2">
        <f>VLOOKUP([jobnumber],OvalData[],MATCH(Table2[[#Headers],[windlocks]],Table2[#Headers],0),0)</f>
        <v>0</v>
      </c>
      <c r="BW199" s="2" t="str">
        <f>VLOOKUP([jobnumber],OvalData[],MATCH(Table2[[#Headers],[bottombartype]],Table2[#Headers],0),0)</f>
        <v>SPECIAL</v>
      </c>
      <c r="BX199" s="2">
        <f>VLOOKUP([jobnumber],OvalData[],MATCH(Table2[[#Headers],[endlockweight]],Table2[#Headers],0),0)</f>
        <v>0.17</v>
      </c>
      <c r="BY199" s="2">
        <f>VLOOKUP([jobnumber],OvalData[],MATCH(Table2[[#Headers],[Endlock Total Weight]],Table2[#Headers],0),0)</f>
        <v>7.5972999999999997</v>
      </c>
      <c r="BZ199" s="2">
        <f>VLOOKUP([jobnumber],OvalData[],MATCH(Table2[[#Headers],[Grille Weight]],Table2[#Headers],0),0)</f>
        <v>0</v>
      </c>
      <c r="CA199" s="2">
        <f>VLOOKUP([jobnumber],OvalData[],MATCH(Table2[[#Headers],[barrelrings]],Table2[#Headers],0),0)</f>
        <v>1</v>
      </c>
    </row>
    <row r="200" spans="2:79">
      <c r="B200" s="2" t="str">
        <f>VLOOKUP([jobnumber],OvalData[],MATCH(Table2[[#Headers],[Hand]],Table2[#Headers],0),0)</f>
        <v>RH</v>
      </c>
      <c r="C200" s="2" t="str">
        <f>VLOOKUP([jobnumber],OvalData[],MATCH(Table2[[#Headers],[Model]],Table2[#Headers],0),0)</f>
        <v>SFMPP</v>
      </c>
      <c r="D200" s="2" t="str">
        <f>VLOOKUP([jobnumber],OvalData[],MATCH(Table2[[#Headers],[width]],Table2[#Headers],0),0)</f>
        <v xml:space="preserve"> 18 ft.- 2"</v>
      </c>
      <c r="E200" s="2" t="str">
        <f>VLOOKUP([jobnumber],OvalData[],MATCH(Table2[[#Headers],[stopheight]],Table2[#Headers],0),0)</f>
        <v xml:space="preserve"> 10 ft.- 0"</v>
      </c>
      <c r="F200" s="2" t="str">
        <f>VLOOKUP([jobnumber],OvalData[],MATCH(Table2[[#Headers],[Between Brackets]],Table2[#Headers],0),0)</f>
        <v xml:space="preserve"> 18 ft.- 7 7/ 8"</v>
      </c>
      <c r="G200" s="2" t="str">
        <f>VLOOKUP([jobnumber],OvalData[],MATCH(Table2[[#Headers],[shell]],Table2[#Headers],0),0)</f>
        <v>6 INCH TUBE</v>
      </c>
      <c r="H200" s="2" t="str">
        <f>VLOOKUP([jobnumber],OvalData[],MATCH(Table2[[#Headers],[pipewidth]],Table2[#Headers],0),0)</f>
        <v xml:space="preserve"> 18 ft.- 1 3/ 8"</v>
      </c>
      <c r="I200" s="2">
        <f>VLOOKUP([jobnumber],OvalData[],MATCH(Table2[[#Headers],[Support Tubes]],Table2[#Headers],0),0)</f>
        <v>0</v>
      </c>
      <c r="J200" s="2">
        <f>VLOOKUP([jobnumber],OvalData[],MATCH(Table2[[#Headers],[Upset]],Table2[#Headers],0),0)</f>
        <v>2</v>
      </c>
      <c r="K200" s="2" t="str">
        <f>VLOOKUP([jobnumber],OvalData[],MATCH(Table2[[#Headers],[Guide Type]],Table2[#Headers],0),0)</f>
        <v>SN2-4 5/8-E</v>
      </c>
      <c r="L200" s="2" t="str">
        <f>VLOOKUP([jobnumber],OvalData[],MATCH(Table2[[#Headers],[Wall Angle]],Table2[#Headers],0),0)</f>
        <v xml:space="preserve"> 11 ft.- 8"</v>
      </c>
      <c r="M200" s="2" t="str">
        <f>VLOOKUP([jobnumber],OvalData[],MATCH(Table2[[#Headers],[Middle Angle]],Table2[#Headers],0),0)</f>
        <v xml:space="preserve"> 10 ft.- 4 1/ 2"</v>
      </c>
      <c r="N200" s="2" t="str">
        <f>VLOOKUP([jobnumber],OvalData[],MATCH(Table2[[#Headers],[Front Angle]],Table2[#Headers],0),0)</f>
        <v xml:space="preserve"> 10 ft.- 3"</v>
      </c>
      <c r="O200" s="2">
        <f>VLOOKUP([jobnumber],OvalData[],MATCH(Table2[[#Headers],[Pipe Center Line]],Table2[#Headers],0),0)</f>
        <v>131</v>
      </c>
      <c r="P200" s="2">
        <f>VLOOKUP([jobnumber],OvalData[],MATCH(Table2[[#Headers],[Heat Expansion Gap]],Table2[#Headers],0),0)</f>
        <v>0</v>
      </c>
      <c r="Q200" s="2">
        <f>VLOOKUP([jobnumber],OvalData[],MATCH(Table2[[#Headers],[Hanging Weight Closed]],Table2[#Headers],0),0)</f>
        <v>795</v>
      </c>
      <c r="R200" s="2">
        <f>VLOOKUP([jobnumber],OvalData[],MATCH(Table2[[#Headers],[Hanging Weight Open]],Table2[#Headers],0),0)</f>
        <v>140</v>
      </c>
      <c r="S200" s="2">
        <f>VLOOKUP([jobnumber],OvalData[],MATCH(Table2[[#Headers],[Initial Lever Arm]],Table2[#Headers],0),0)</f>
        <v>4.25</v>
      </c>
      <c r="T200" s="2">
        <f>VLOOKUP([jobnumber],OvalData[],MATCH(Table2[[#Headers],[Turns to Raise]],Table2[#Headers],0),0)</f>
        <v>3.5859999999999999</v>
      </c>
      <c r="U200" s="2">
        <f>VLOOKUP([jobnumber],OvalData[],MATCH(Table2[[#Headers],[Final Lever Arm]],Table2[#Headers],0),0)</f>
        <v>6.37</v>
      </c>
      <c r="V200" s="2">
        <f>VLOOKUP([jobnumber],OvalData[],MATCH(Table2[[#Headers],[Torque Required Closed]],Table2[#Headers],0),0)</f>
        <v>3377.9</v>
      </c>
      <c r="W200" s="2">
        <f>VLOOKUP([jobnumber],OvalData[],MATCH(Table2[[#Headers],[Torque Required Open]],Table2[#Headers],0),0)</f>
        <v>892</v>
      </c>
      <c r="X200" s="2">
        <f>VLOOKUP([jobnumber],OvalData[],MATCH(Table2[[#Headers],[Pre Turns]],Table2[#Headers],0),0)</f>
        <v>1.3332999999999999</v>
      </c>
      <c r="Y200" s="2">
        <f>VLOOKUP([jobnumber],OvalData[],MATCH(Table2[[#Headers],[Required Torque Per Turn]],Table2[#Headers],0),0)</f>
        <v>688</v>
      </c>
      <c r="Z200" s="2">
        <f>VLOOKUP([jobnumber],OvalData[],MATCH(Table2[[#Headers],[Total Turns]],Table2[#Headers],0),0)</f>
        <v>4.91</v>
      </c>
      <c r="AA200" s="2">
        <f>VLOOKUP([jobnumber],OvalData[],MATCH(Table2[[#Headers],[Grille Vision Section]],Table2[#Headers],0),0)</f>
        <v>0</v>
      </c>
      <c r="AB200" s="2">
        <f>VLOOKUP([jobnumber],OvalData[],MATCH(Table2[[#Headers],[Grille Amount]],Table2[#Headers],0),0)</f>
        <v>0</v>
      </c>
      <c r="AC200" s="2">
        <f>VLOOKUP([jobnumber],OvalData[],MATCH(Table2[[#Headers],[Grille Center]],Table2[#Headers],0),0)</f>
        <v>0</v>
      </c>
      <c r="AD200" s="2">
        <f>VLOOKUP([jobnumber],OvalData[],MATCH(Table2[[#Headers],[Grille Pattern]],Table2[#Headers],0),0)</f>
        <v>0</v>
      </c>
      <c r="AE200" s="2">
        <f>VLOOKUP([jobnumber],OvalData[],MATCH(Table2[[#Headers],[Grille First Tube]],Table2[#Headers],0),0)</f>
        <v>0</v>
      </c>
      <c r="AF200" s="2">
        <f>VLOOKUP([jobnumber],OvalData[],MATCH(Table2[[#Headers],[Grille Standard Tube]],Table2[#Headers],0),0)</f>
        <v>0</v>
      </c>
      <c r="AG200" s="2">
        <f>VLOOKUP([jobnumber],OvalData[],MATCH(Table2[[#Headers],[Grille Total Links]],Table2[#Headers],0),0)</f>
        <v>0</v>
      </c>
      <c r="AH200" s="2">
        <f>VLOOKUP([jobnumber],OvalData[],MATCH(Table2[[#Headers],[Grille Rods]],Table2[#Headers],0),0)</f>
        <v>0</v>
      </c>
      <c r="AI200" s="2">
        <f>VLOOKUP([jobnumber],OvalData[],MATCH(Table2[[#Headers],[Grille Rod Length]],Table2[#Headers],0),0)</f>
        <v>0</v>
      </c>
      <c r="AJ200" s="2">
        <f>VLOOKUP([jobnumber],OvalData[],MATCH(Table2[[#Headers],[slattype]],Table2[#Headers],0),0)</f>
        <v>2</v>
      </c>
      <c r="AK200" s="2">
        <f>VLOOKUP([jobnumber],OvalData[],MATCH(Table2[[#Headers],[slatgage]],Table2[#Headers],0),0)</f>
        <v>18</v>
      </c>
      <c r="AL200" s="2">
        <f>VLOOKUP([jobnumber],OvalData[],MATCH(Table2[[#Headers],[Numer of Top Slats]],Table2[#Headers],0),0)</f>
        <v>0</v>
      </c>
      <c r="AM200" s="2">
        <f>VLOOKUP([jobnumber],OvalData[],MATCH(Table2[[#Headers],[Number of Bottom Slats]],Table2[#Headers],0),0)</f>
        <v>0</v>
      </c>
      <c r="AN200" s="2">
        <f>VLOOKUP([jobnumber],OvalData[],MATCH(Table2[[#Headers],[Solid Bottom Height]],Table2[#Headers],0),0)</f>
        <v>0</v>
      </c>
      <c r="AO200" s="2" t="str">
        <f>VLOOKUP([jobnumber],OvalData[],MATCH(Table2[[#Headers],[slatlength]],Table2[#Headers],0),0)</f>
        <v xml:space="preserve"> 18 ft.- 5 7/ 8"</v>
      </c>
      <c r="AP200" s="2">
        <f>VLOOKUP([jobnumber],OvalData[],MATCH(Table2[[#Headers],[Bottom Slat Length]],Table2[#Headers],0),0)</f>
        <v>0</v>
      </c>
      <c r="AQ200" s="2">
        <f>VLOOKUP([jobnumber],OvalData[],MATCH(Table2[[#Headers],[Number of Perferated Slats]],Table2[#Headers],0),0)</f>
        <v>0</v>
      </c>
      <c r="AR200" s="2">
        <f>VLOOKUP([jobnumber],OvalData[],MATCH(Table2[[#Headers],[First Preferated Slat From End]],Table2[#Headers],0),0)</f>
        <v>0</v>
      </c>
      <c r="AS200" s="2">
        <f>VLOOKUP([jobnumber],OvalData[],MATCH(Table2[[#Headers],[First Preferated Slat From Bottom]],Table2[#Headers],0),0)</f>
        <v>0</v>
      </c>
      <c r="AT200" s="2">
        <f>VLOOKUP([jobnumber],OvalData[],MATCH(Table2[[#Headers],[Total Number of Slats]],Table2[#Headers],0),0)</f>
        <v>51</v>
      </c>
      <c r="AU200" s="2">
        <f>VLOOKUP([jobnumber],OvalData[],MATCH(Table2[[#Headers],[Bottom Bar Slope]],Table2[#Headers],0),0)</f>
        <v>0</v>
      </c>
      <c r="AV200" s="2">
        <f>VLOOKUP([jobnumber],OvalData[],MATCH(Table2[[#Headers],[Bottom Bar Weight]],Table2[#Headers],0),0)</f>
        <v>80.5</v>
      </c>
      <c r="AW200" s="2" t="str">
        <f>VLOOKUP([jobnumber],OvalData[],MATCH(Table2[[#Headers],[Outer Spring Gage]],Table2[#Headers],0),0)</f>
        <v>Null</v>
      </c>
      <c r="AX200" s="2" t="str">
        <f>VLOOKUP([jobnumber],OvalData[],MATCH(Table2[[#Headers],[Outer Spring OD]],Table2[#Headers],0),0)</f>
        <v>Null</v>
      </c>
      <c r="AY200" s="2" t="str">
        <f>VLOOKUP([jobnumber],OvalData[],MATCH(Table2[[#Headers],[Outer Spring Length]],Table2[#Headers],0),0)</f>
        <v>Null</v>
      </c>
      <c r="AZ200" s="2" t="str">
        <f>VLOOKUP([jobnumber],OvalData[],MATCH(Table2[[#Headers],[Outer Spring Stretch]],Table2[#Headers],0),0)</f>
        <v>Null</v>
      </c>
      <c r="BA200" s="2" t="str">
        <f>VLOOKUP([jobnumber],OvalData[],MATCH(Table2[[#Headers],[Outer Spring Torque]],Table2[#Headers],0),0)</f>
        <v>Null</v>
      </c>
      <c r="BB200" s="2" t="str">
        <f>VLOOKUP([jobnumber],OvalData[],MATCH(Table2[[#Headers],[Outer Spring Max Turns]],Table2[#Headers],0),0)</f>
        <v>Null</v>
      </c>
      <c r="BC200" s="2" t="str">
        <f>VLOOKUP([jobnumber],OvalData[],MATCH(Table2[[#Headers],[Outer Spring Weight]],Table2[#Headers],0),0)</f>
        <v>Null</v>
      </c>
      <c r="BD200" s="2" t="str">
        <f>VLOOKUP([jobnumber],OvalData[],MATCH(Table2[[#Headers],[Inner Spring Gage]],Table2[#Headers],0),0)</f>
        <v>Null</v>
      </c>
      <c r="BE200" s="2" t="str">
        <f>VLOOKUP([jobnumber],OvalData[],MATCH(Table2[[#Headers],[Inner Spring OD]],Table2[#Headers],0),0)</f>
        <v>Null</v>
      </c>
      <c r="BF200" s="2" t="str">
        <f>VLOOKUP([jobnumber],OvalData[],MATCH(Table2[[#Headers],[Inner Spring Length]],Table2[#Headers],0),0)</f>
        <v>Null</v>
      </c>
      <c r="BG200" s="2" t="str">
        <f>VLOOKUP([jobnumber],OvalData[],MATCH(Table2[[#Headers],[Inner Spring Stretch]],Table2[#Headers],0),0)</f>
        <v>Null</v>
      </c>
      <c r="BH200" s="2" t="str">
        <f>VLOOKUP([jobnumber],OvalData[],MATCH(Table2[[#Headers],[Inner Spring Torque]],Table2[#Headers],0),0)</f>
        <v>Null</v>
      </c>
      <c r="BI200" s="2" t="str">
        <f>VLOOKUP([jobnumber],OvalData[],MATCH(Table2[[#Headers],[Inner Spring Max Turns]],Table2[#Headers],0),0)</f>
        <v>Null</v>
      </c>
      <c r="BJ200" s="2" t="str">
        <f>VLOOKUP([jobnumber],OvalData[],MATCH(Table2[[#Headers],[Inner Spring Weight]],Table2[#Headers],0),0)</f>
        <v>Null</v>
      </c>
      <c r="BK200" s="2">
        <f>VLOOKUP([jobnumber],OvalData[],MATCH(Table2[[#Headers],[Cycles]],Table2[#Headers],0),0)</f>
        <v>0</v>
      </c>
      <c r="BL200" s="2">
        <f>VLOOKUP([jobnumber],OvalData[],MATCH(Table2[[#Headers],[Total Spring Torque]],Table2[#Headers],0),0)</f>
        <v>0</v>
      </c>
      <c r="BM200" s="2">
        <f>VLOOKUP([jobnumber],OvalData[],MATCH(Table2[[#Headers],[Total Spring Weight]],Table2[#Headers],0),0)</f>
        <v>0</v>
      </c>
      <c r="BN200" s="2">
        <f>VLOOKUP([jobnumber],OvalData[],MATCH(Table2[[#Headers],[Pipe Weight]],Table2[#Headers],0),0)</f>
        <v>688.24239999999998</v>
      </c>
      <c r="BO200" s="2">
        <f>VLOOKUP([jobnumber],OvalData[],MATCH(Table2[[#Headers],[Max Pipe Deflection]],Table2[#Headers],0),0)</f>
        <v>2309</v>
      </c>
      <c r="BP200" s="2">
        <f>VLOOKUP([jobnumber],OvalData[],MATCH(Table2[[#Headers],[Number Non-Insulated Wrap Slats]],Table2[#Headers],0),0)</f>
        <v>0</v>
      </c>
      <c r="BQ200" s="2">
        <f>VLOOKUP([jobnumber],OvalData[],MATCH(Table2[[#Headers],[Number of Insolated Top Slats]],Table2[#Headers],0),0)</f>
        <v>45</v>
      </c>
      <c r="BR200" s="2">
        <f>VLOOKUP([jobnumber],OvalData[],MATCH(Table2[[#Headers],[Insolated Total Slats]],Table2[#Headers],0),0)</f>
        <v>45</v>
      </c>
      <c r="BS200" s="2">
        <f>VLOOKUP([jobnumber],OvalData[],MATCH(Table2[[#Headers],[Number of Slats]],Table2[#Headers],0),0)</f>
        <v>44.69</v>
      </c>
      <c r="BT200" s="2">
        <f>VLOOKUP([jobnumber],OvalData[],MATCH(Table2[[#Headers],[Wrap]],Table2[#Headers],0),0)</f>
        <v>0</v>
      </c>
      <c r="BU200" s="2">
        <f>VLOOKUP([jobnumber],OvalData[],MATCH(Table2[[#Headers],[Wall Angle Thickness]],Table2[#Headers],0),0)</f>
        <v>0</v>
      </c>
      <c r="BV200" s="2">
        <f>VLOOKUP([jobnumber],OvalData[],MATCH(Table2[[#Headers],[windlocks]],Table2[#Headers],0),0)</f>
        <v>0</v>
      </c>
      <c r="BW200" s="2" t="str">
        <f>VLOOKUP([jobnumber],OvalData[],MATCH(Table2[[#Headers],[bottombartype]],Table2[#Headers],0),0)</f>
        <v>SPECIAL</v>
      </c>
      <c r="BX200" s="2">
        <f>VLOOKUP([jobnumber],OvalData[],MATCH(Table2[[#Headers],[endlockweight]],Table2[#Headers],0),0)</f>
        <v>0.17</v>
      </c>
      <c r="BY200" s="2">
        <f>VLOOKUP([jobnumber],OvalData[],MATCH(Table2[[#Headers],[Endlock Total Weight]],Table2[#Headers],0),0)</f>
        <v>7.5972999999999997</v>
      </c>
      <c r="BZ200" s="2">
        <f>VLOOKUP([jobnumber],OvalData[],MATCH(Table2[[#Headers],[Grille Weight]],Table2[#Headers],0),0)</f>
        <v>0</v>
      </c>
      <c r="CA200" s="2">
        <f>VLOOKUP([jobnumber],OvalData[],MATCH(Table2[[#Headers],[barrelrings]],Table2[#Headers],0),0)</f>
        <v>1</v>
      </c>
    </row>
    <row r="201" spans="2:79">
      <c r="B201" s="2" t="str">
        <f>VLOOKUP([jobnumber],OvalData[],MATCH(Table2[[#Headers],[Hand]],Table2[#Headers],0),0)</f>
        <v>RH</v>
      </c>
      <c r="C201" s="2" t="str">
        <f>VLOOKUP([jobnumber],OvalData[],MATCH(Table2[[#Headers],[Model]],Table2[#Headers],0),0)</f>
        <v>SFMPP</v>
      </c>
      <c r="D201" s="2" t="str">
        <f>VLOOKUP([jobnumber],OvalData[],MATCH(Table2[[#Headers],[width]],Table2[#Headers],0),0)</f>
        <v xml:space="preserve"> 18 ft.- 2"</v>
      </c>
      <c r="E201" s="2" t="str">
        <f>VLOOKUP([jobnumber],OvalData[],MATCH(Table2[[#Headers],[stopheight]],Table2[#Headers],0),0)</f>
        <v xml:space="preserve"> 10 ft.- 0"</v>
      </c>
      <c r="F201" s="2" t="str">
        <f>VLOOKUP([jobnumber],OvalData[],MATCH(Table2[[#Headers],[Between Brackets]],Table2[#Headers],0),0)</f>
        <v xml:space="preserve"> 18 ft.- 7 7/ 8"</v>
      </c>
      <c r="G201" s="2" t="str">
        <f>VLOOKUP([jobnumber],OvalData[],MATCH(Table2[[#Headers],[shell]],Table2[#Headers],0),0)</f>
        <v>6 INCH TUBE</v>
      </c>
      <c r="H201" s="2" t="str">
        <f>VLOOKUP([jobnumber],OvalData[],MATCH(Table2[[#Headers],[pipewidth]],Table2[#Headers],0),0)</f>
        <v xml:space="preserve"> 18 ft.- 1 3/ 8"</v>
      </c>
      <c r="I201" s="2">
        <f>VLOOKUP([jobnumber],OvalData[],MATCH(Table2[[#Headers],[Support Tubes]],Table2[#Headers],0),0)</f>
        <v>0</v>
      </c>
      <c r="J201" s="2">
        <f>VLOOKUP([jobnumber],OvalData[],MATCH(Table2[[#Headers],[Upset]],Table2[#Headers],0),0)</f>
        <v>2</v>
      </c>
      <c r="K201" s="2" t="str">
        <f>VLOOKUP([jobnumber],OvalData[],MATCH(Table2[[#Headers],[Guide Type]],Table2[#Headers],0),0)</f>
        <v>SN2-4 5/8-E</v>
      </c>
      <c r="L201" s="2" t="str">
        <f>VLOOKUP([jobnumber],OvalData[],MATCH(Table2[[#Headers],[Wall Angle]],Table2[#Headers],0),0)</f>
        <v xml:space="preserve"> 11 ft.- 8"</v>
      </c>
      <c r="M201" s="2" t="str">
        <f>VLOOKUP([jobnumber],OvalData[],MATCH(Table2[[#Headers],[Middle Angle]],Table2[#Headers],0),0)</f>
        <v xml:space="preserve"> 10 ft.- 4 1/ 2"</v>
      </c>
      <c r="N201" s="2" t="str">
        <f>VLOOKUP([jobnumber],OvalData[],MATCH(Table2[[#Headers],[Front Angle]],Table2[#Headers],0),0)</f>
        <v xml:space="preserve"> 10 ft.- 3"</v>
      </c>
      <c r="O201" s="2">
        <f>VLOOKUP([jobnumber],OvalData[],MATCH(Table2[[#Headers],[Pipe Center Line]],Table2[#Headers],0),0)</f>
        <v>131</v>
      </c>
      <c r="P201" s="2">
        <f>VLOOKUP([jobnumber],OvalData[],MATCH(Table2[[#Headers],[Heat Expansion Gap]],Table2[#Headers],0),0)</f>
        <v>0</v>
      </c>
      <c r="Q201" s="2">
        <f>VLOOKUP([jobnumber],OvalData[],MATCH(Table2[[#Headers],[Hanging Weight Closed]],Table2[#Headers],0),0)</f>
        <v>795</v>
      </c>
      <c r="R201" s="2">
        <f>VLOOKUP([jobnumber],OvalData[],MATCH(Table2[[#Headers],[Hanging Weight Open]],Table2[#Headers],0),0)</f>
        <v>140</v>
      </c>
      <c r="S201" s="2">
        <f>VLOOKUP([jobnumber],OvalData[],MATCH(Table2[[#Headers],[Initial Lever Arm]],Table2[#Headers],0),0)</f>
        <v>4.25</v>
      </c>
      <c r="T201" s="2">
        <f>VLOOKUP([jobnumber],OvalData[],MATCH(Table2[[#Headers],[Turns to Raise]],Table2[#Headers],0),0)</f>
        <v>3.5859999999999999</v>
      </c>
      <c r="U201" s="2">
        <f>VLOOKUP([jobnumber],OvalData[],MATCH(Table2[[#Headers],[Final Lever Arm]],Table2[#Headers],0),0)</f>
        <v>6.37</v>
      </c>
      <c r="V201" s="2">
        <f>VLOOKUP([jobnumber],OvalData[],MATCH(Table2[[#Headers],[Torque Required Closed]],Table2[#Headers],0),0)</f>
        <v>3377.9</v>
      </c>
      <c r="W201" s="2">
        <f>VLOOKUP([jobnumber],OvalData[],MATCH(Table2[[#Headers],[Torque Required Open]],Table2[#Headers],0),0)</f>
        <v>892</v>
      </c>
      <c r="X201" s="2">
        <f>VLOOKUP([jobnumber],OvalData[],MATCH(Table2[[#Headers],[Pre Turns]],Table2[#Headers],0),0)</f>
        <v>1.3332999999999999</v>
      </c>
      <c r="Y201" s="2">
        <f>VLOOKUP([jobnumber],OvalData[],MATCH(Table2[[#Headers],[Required Torque Per Turn]],Table2[#Headers],0),0)</f>
        <v>688</v>
      </c>
      <c r="Z201" s="2">
        <f>VLOOKUP([jobnumber],OvalData[],MATCH(Table2[[#Headers],[Total Turns]],Table2[#Headers],0),0)</f>
        <v>4.91</v>
      </c>
      <c r="AA201" s="2">
        <f>VLOOKUP([jobnumber],OvalData[],MATCH(Table2[[#Headers],[Grille Vision Section]],Table2[#Headers],0),0)</f>
        <v>0</v>
      </c>
      <c r="AB201" s="2">
        <f>VLOOKUP([jobnumber],OvalData[],MATCH(Table2[[#Headers],[Grille Amount]],Table2[#Headers],0),0)</f>
        <v>0</v>
      </c>
      <c r="AC201" s="2">
        <f>VLOOKUP([jobnumber],OvalData[],MATCH(Table2[[#Headers],[Grille Center]],Table2[#Headers],0),0)</f>
        <v>0</v>
      </c>
      <c r="AD201" s="2">
        <f>VLOOKUP([jobnumber],OvalData[],MATCH(Table2[[#Headers],[Grille Pattern]],Table2[#Headers],0),0)</f>
        <v>0</v>
      </c>
      <c r="AE201" s="2">
        <f>VLOOKUP([jobnumber],OvalData[],MATCH(Table2[[#Headers],[Grille First Tube]],Table2[#Headers],0),0)</f>
        <v>0</v>
      </c>
      <c r="AF201" s="2">
        <f>VLOOKUP([jobnumber],OvalData[],MATCH(Table2[[#Headers],[Grille Standard Tube]],Table2[#Headers],0),0)</f>
        <v>0</v>
      </c>
      <c r="AG201" s="2">
        <f>VLOOKUP([jobnumber],OvalData[],MATCH(Table2[[#Headers],[Grille Total Links]],Table2[#Headers],0),0)</f>
        <v>0</v>
      </c>
      <c r="AH201" s="2">
        <f>VLOOKUP([jobnumber],OvalData[],MATCH(Table2[[#Headers],[Grille Rods]],Table2[#Headers],0),0)</f>
        <v>0</v>
      </c>
      <c r="AI201" s="2">
        <f>VLOOKUP([jobnumber],OvalData[],MATCH(Table2[[#Headers],[Grille Rod Length]],Table2[#Headers],0),0)</f>
        <v>0</v>
      </c>
      <c r="AJ201" s="2">
        <f>VLOOKUP([jobnumber],OvalData[],MATCH(Table2[[#Headers],[slattype]],Table2[#Headers],0),0)</f>
        <v>2</v>
      </c>
      <c r="AK201" s="2">
        <f>VLOOKUP([jobnumber],OvalData[],MATCH(Table2[[#Headers],[slatgage]],Table2[#Headers],0),0)</f>
        <v>18</v>
      </c>
      <c r="AL201" s="2">
        <f>VLOOKUP([jobnumber],OvalData[],MATCH(Table2[[#Headers],[Numer of Top Slats]],Table2[#Headers],0),0)</f>
        <v>0</v>
      </c>
      <c r="AM201" s="2">
        <f>VLOOKUP([jobnumber],OvalData[],MATCH(Table2[[#Headers],[Number of Bottom Slats]],Table2[#Headers],0),0)</f>
        <v>0</v>
      </c>
      <c r="AN201" s="2">
        <f>VLOOKUP([jobnumber],OvalData[],MATCH(Table2[[#Headers],[Solid Bottom Height]],Table2[#Headers],0),0)</f>
        <v>0</v>
      </c>
      <c r="AO201" s="2" t="str">
        <f>VLOOKUP([jobnumber],OvalData[],MATCH(Table2[[#Headers],[slatlength]],Table2[#Headers],0),0)</f>
        <v xml:space="preserve"> 18 ft.- 5 7/ 8"</v>
      </c>
      <c r="AP201" s="2">
        <f>VLOOKUP([jobnumber],OvalData[],MATCH(Table2[[#Headers],[Bottom Slat Length]],Table2[#Headers],0),0)</f>
        <v>0</v>
      </c>
      <c r="AQ201" s="2">
        <f>VLOOKUP([jobnumber],OvalData[],MATCH(Table2[[#Headers],[Number of Perferated Slats]],Table2[#Headers],0),0)</f>
        <v>0</v>
      </c>
      <c r="AR201" s="2">
        <f>VLOOKUP([jobnumber],OvalData[],MATCH(Table2[[#Headers],[First Preferated Slat From End]],Table2[#Headers],0),0)</f>
        <v>0</v>
      </c>
      <c r="AS201" s="2">
        <f>VLOOKUP([jobnumber],OvalData[],MATCH(Table2[[#Headers],[First Preferated Slat From Bottom]],Table2[#Headers],0),0)</f>
        <v>0</v>
      </c>
      <c r="AT201" s="2">
        <f>VLOOKUP([jobnumber],OvalData[],MATCH(Table2[[#Headers],[Total Number of Slats]],Table2[#Headers],0),0)</f>
        <v>51</v>
      </c>
      <c r="AU201" s="2">
        <f>VLOOKUP([jobnumber],OvalData[],MATCH(Table2[[#Headers],[Bottom Bar Slope]],Table2[#Headers],0),0)</f>
        <v>0</v>
      </c>
      <c r="AV201" s="2">
        <f>VLOOKUP([jobnumber],OvalData[],MATCH(Table2[[#Headers],[Bottom Bar Weight]],Table2[#Headers],0),0)</f>
        <v>80.5</v>
      </c>
      <c r="AW201" s="2" t="str">
        <f>VLOOKUP([jobnumber],OvalData[],MATCH(Table2[[#Headers],[Outer Spring Gage]],Table2[#Headers],0),0)</f>
        <v>Null</v>
      </c>
      <c r="AX201" s="2" t="str">
        <f>VLOOKUP([jobnumber],OvalData[],MATCH(Table2[[#Headers],[Outer Spring OD]],Table2[#Headers],0),0)</f>
        <v>Null</v>
      </c>
      <c r="AY201" s="2" t="str">
        <f>VLOOKUP([jobnumber],OvalData[],MATCH(Table2[[#Headers],[Outer Spring Length]],Table2[#Headers],0),0)</f>
        <v>Null</v>
      </c>
      <c r="AZ201" s="2" t="str">
        <f>VLOOKUP([jobnumber],OvalData[],MATCH(Table2[[#Headers],[Outer Spring Stretch]],Table2[#Headers],0),0)</f>
        <v>Null</v>
      </c>
      <c r="BA201" s="2" t="str">
        <f>VLOOKUP([jobnumber],OvalData[],MATCH(Table2[[#Headers],[Outer Spring Torque]],Table2[#Headers],0),0)</f>
        <v>Null</v>
      </c>
      <c r="BB201" s="2" t="str">
        <f>VLOOKUP([jobnumber],OvalData[],MATCH(Table2[[#Headers],[Outer Spring Max Turns]],Table2[#Headers],0),0)</f>
        <v>Null</v>
      </c>
      <c r="BC201" s="2" t="str">
        <f>VLOOKUP([jobnumber],OvalData[],MATCH(Table2[[#Headers],[Outer Spring Weight]],Table2[#Headers],0),0)</f>
        <v>Null</v>
      </c>
      <c r="BD201" s="2" t="str">
        <f>VLOOKUP([jobnumber],OvalData[],MATCH(Table2[[#Headers],[Inner Spring Gage]],Table2[#Headers],0),0)</f>
        <v>Null</v>
      </c>
      <c r="BE201" s="2" t="str">
        <f>VLOOKUP([jobnumber],OvalData[],MATCH(Table2[[#Headers],[Inner Spring OD]],Table2[#Headers],0),0)</f>
        <v>Null</v>
      </c>
      <c r="BF201" s="2" t="str">
        <f>VLOOKUP([jobnumber],OvalData[],MATCH(Table2[[#Headers],[Inner Spring Length]],Table2[#Headers],0),0)</f>
        <v>Null</v>
      </c>
      <c r="BG201" s="2" t="str">
        <f>VLOOKUP([jobnumber],OvalData[],MATCH(Table2[[#Headers],[Inner Spring Stretch]],Table2[#Headers],0),0)</f>
        <v>Null</v>
      </c>
      <c r="BH201" s="2" t="str">
        <f>VLOOKUP([jobnumber],OvalData[],MATCH(Table2[[#Headers],[Inner Spring Torque]],Table2[#Headers],0),0)</f>
        <v>Null</v>
      </c>
      <c r="BI201" s="2" t="str">
        <f>VLOOKUP([jobnumber],OvalData[],MATCH(Table2[[#Headers],[Inner Spring Max Turns]],Table2[#Headers],0),0)</f>
        <v>Null</v>
      </c>
      <c r="BJ201" s="2" t="str">
        <f>VLOOKUP([jobnumber],OvalData[],MATCH(Table2[[#Headers],[Inner Spring Weight]],Table2[#Headers],0),0)</f>
        <v>Null</v>
      </c>
      <c r="BK201" s="2">
        <f>VLOOKUP([jobnumber],OvalData[],MATCH(Table2[[#Headers],[Cycles]],Table2[#Headers],0),0)</f>
        <v>0</v>
      </c>
      <c r="BL201" s="2">
        <f>VLOOKUP([jobnumber],OvalData[],MATCH(Table2[[#Headers],[Total Spring Torque]],Table2[#Headers],0),0)</f>
        <v>0</v>
      </c>
      <c r="BM201" s="2">
        <f>VLOOKUP([jobnumber],OvalData[],MATCH(Table2[[#Headers],[Total Spring Weight]],Table2[#Headers],0),0)</f>
        <v>0</v>
      </c>
      <c r="BN201" s="2">
        <f>VLOOKUP([jobnumber],OvalData[],MATCH(Table2[[#Headers],[Pipe Weight]],Table2[#Headers],0),0)</f>
        <v>688.24239999999998</v>
      </c>
      <c r="BO201" s="2">
        <f>VLOOKUP([jobnumber],OvalData[],MATCH(Table2[[#Headers],[Max Pipe Deflection]],Table2[#Headers],0),0)</f>
        <v>2309</v>
      </c>
      <c r="BP201" s="2">
        <f>VLOOKUP([jobnumber],OvalData[],MATCH(Table2[[#Headers],[Number Non-Insulated Wrap Slats]],Table2[#Headers],0),0)</f>
        <v>0</v>
      </c>
      <c r="BQ201" s="2">
        <f>VLOOKUP([jobnumber],OvalData[],MATCH(Table2[[#Headers],[Number of Insolated Top Slats]],Table2[#Headers],0),0)</f>
        <v>45</v>
      </c>
      <c r="BR201" s="2">
        <f>VLOOKUP([jobnumber],OvalData[],MATCH(Table2[[#Headers],[Insolated Total Slats]],Table2[#Headers],0),0)</f>
        <v>45</v>
      </c>
      <c r="BS201" s="2">
        <f>VLOOKUP([jobnumber],OvalData[],MATCH(Table2[[#Headers],[Number of Slats]],Table2[#Headers],0),0)</f>
        <v>44.69</v>
      </c>
      <c r="BT201" s="2">
        <f>VLOOKUP([jobnumber],OvalData[],MATCH(Table2[[#Headers],[Wrap]],Table2[#Headers],0),0)</f>
        <v>0</v>
      </c>
      <c r="BU201" s="2">
        <f>VLOOKUP([jobnumber],OvalData[],MATCH(Table2[[#Headers],[Wall Angle Thickness]],Table2[#Headers],0),0)</f>
        <v>0</v>
      </c>
      <c r="BV201" s="2">
        <f>VLOOKUP([jobnumber],OvalData[],MATCH(Table2[[#Headers],[windlocks]],Table2[#Headers],0),0)</f>
        <v>0</v>
      </c>
      <c r="BW201" s="2" t="str">
        <f>VLOOKUP([jobnumber],OvalData[],MATCH(Table2[[#Headers],[bottombartype]],Table2[#Headers],0),0)</f>
        <v>SPECIAL</v>
      </c>
      <c r="BX201" s="2">
        <f>VLOOKUP([jobnumber],OvalData[],MATCH(Table2[[#Headers],[endlockweight]],Table2[#Headers],0),0)</f>
        <v>0.17</v>
      </c>
      <c r="BY201" s="2">
        <f>VLOOKUP([jobnumber],OvalData[],MATCH(Table2[[#Headers],[Endlock Total Weight]],Table2[#Headers],0),0)</f>
        <v>7.5972999999999997</v>
      </c>
      <c r="BZ201" s="2">
        <f>VLOOKUP([jobnumber],OvalData[],MATCH(Table2[[#Headers],[Grille Weight]],Table2[#Headers],0),0)</f>
        <v>0</v>
      </c>
      <c r="CA201" s="2">
        <f>VLOOKUP([jobnumber],OvalData[],MATCH(Table2[[#Headers],[barrelrings]],Table2[#Headers],0),0)</f>
        <v>1</v>
      </c>
    </row>
    <row r="202" spans="2:79">
      <c r="B202" s="2" t="str">
        <f>VLOOKUP([jobnumber],OvalData[],MATCH(Table2[[#Headers],[Hand]],Table2[#Headers],0),0)</f>
        <v>RH</v>
      </c>
      <c r="C202" s="2" t="str">
        <f>VLOOKUP([jobnumber],OvalData[],MATCH(Table2[[#Headers],[Model]],Table2[#Headers],0),0)</f>
        <v>SFMPP</v>
      </c>
      <c r="D202" s="2" t="str">
        <f>VLOOKUP([jobnumber],OvalData[],MATCH(Table2[[#Headers],[width]],Table2[#Headers],0),0)</f>
        <v xml:space="preserve"> 18 ft.- 2"</v>
      </c>
      <c r="E202" s="2" t="str">
        <f>VLOOKUP([jobnumber],OvalData[],MATCH(Table2[[#Headers],[stopheight]],Table2[#Headers],0),0)</f>
        <v xml:space="preserve"> 10 ft.- 0"</v>
      </c>
      <c r="F202" s="2" t="str">
        <f>VLOOKUP([jobnumber],OvalData[],MATCH(Table2[[#Headers],[Between Brackets]],Table2[#Headers],0),0)</f>
        <v xml:space="preserve"> 18 ft.- 7 7/ 8"</v>
      </c>
      <c r="G202" s="2" t="str">
        <f>VLOOKUP([jobnumber],OvalData[],MATCH(Table2[[#Headers],[shell]],Table2[#Headers],0),0)</f>
        <v>6 INCH TUBE</v>
      </c>
      <c r="H202" s="2" t="str">
        <f>VLOOKUP([jobnumber],OvalData[],MATCH(Table2[[#Headers],[pipewidth]],Table2[#Headers],0),0)</f>
        <v xml:space="preserve"> 18 ft.- 1 3/ 8"</v>
      </c>
      <c r="I202" s="2">
        <f>VLOOKUP([jobnumber],OvalData[],MATCH(Table2[[#Headers],[Support Tubes]],Table2[#Headers],0),0)</f>
        <v>0</v>
      </c>
      <c r="J202" s="2">
        <f>VLOOKUP([jobnumber],OvalData[],MATCH(Table2[[#Headers],[Upset]],Table2[#Headers],0),0)</f>
        <v>2</v>
      </c>
      <c r="K202" s="2" t="str">
        <f>VLOOKUP([jobnumber],OvalData[],MATCH(Table2[[#Headers],[Guide Type]],Table2[#Headers],0),0)</f>
        <v>SN2-4 5/8-E</v>
      </c>
      <c r="L202" s="2" t="str">
        <f>VLOOKUP([jobnumber],OvalData[],MATCH(Table2[[#Headers],[Wall Angle]],Table2[#Headers],0),0)</f>
        <v xml:space="preserve"> 11 ft.- 8"</v>
      </c>
      <c r="M202" s="2" t="str">
        <f>VLOOKUP([jobnumber],OvalData[],MATCH(Table2[[#Headers],[Middle Angle]],Table2[#Headers],0),0)</f>
        <v xml:space="preserve"> 10 ft.- 4 1/ 2"</v>
      </c>
      <c r="N202" s="2" t="str">
        <f>VLOOKUP([jobnumber],OvalData[],MATCH(Table2[[#Headers],[Front Angle]],Table2[#Headers],0),0)</f>
        <v xml:space="preserve"> 10 ft.- 3"</v>
      </c>
      <c r="O202" s="2">
        <f>VLOOKUP([jobnumber],OvalData[],MATCH(Table2[[#Headers],[Pipe Center Line]],Table2[#Headers],0),0)</f>
        <v>131</v>
      </c>
      <c r="P202" s="2">
        <f>VLOOKUP([jobnumber],OvalData[],MATCH(Table2[[#Headers],[Heat Expansion Gap]],Table2[#Headers],0),0)</f>
        <v>0</v>
      </c>
      <c r="Q202" s="2">
        <f>VLOOKUP([jobnumber],OvalData[],MATCH(Table2[[#Headers],[Hanging Weight Closed]],Table2[#Headers],0),0)</f>
        <v>795</v>
      </c>
      <c r="R202" s="2">
        <f>VLOOKUP([jobnumber],OvalData[],MATCH(Table2[[#Headers],[Hanging Weight Open]],Table2[#Headers],0),0)</f>
        <v>140</v>
      </c>
      <c r="S202" s="2">
        <f>VLOOKUP([jobnumber],OvalData[],MATCH(Table2[[#Headers],[Initial Lever Arm]],Table2[#Headers],0),0)</f>
        <v>4.25</v>
      </c>
      <c r="T202" s="2">
        <f>VLOOKUP([jobnumber],OvalData[],MATCH(Table2[[#Headers],[Turns to Raise]],Table2[#Headers],0),0)</f>
        <v>3.5859999999999999</v>
      </c>
      <c r="U202" s="2">
        <f>VLOOKUP([jobnumber],OvalData[],MATCH(Table2[[#Headers],[Final Lever Arm]],Table2[#Headers],0),0)</f>
        <v>6.37</v>
      </c>
      <c r="V202" s="2">
        <f>VLOOKUP([jobnumber],OvalData[],MATCH(Table2[[#Headers],[Torque Required Closed]],Table2[#Headers],0),0)</f>
        <v>3377.9</v>
      </c>
      <c r="W202" s="2">
        <f>VLOOKUP([jobnumber],OvalData[],MATCH(Table2[[#Headers],[Torque Required Open]],Table2[#Headers],0),0)</f>
        <v>892</v>
      </c>
      <c r="X202" s="2">
        <f>VLOOKUP([jobnumber],OvalData[],MATCH(Table2[[#Headers],[Pre Turns]],Table2[#Headers],0),0)</f>
        <v>1.3332999999999999</v>
      </c>
      <c r="Y202" s="2">
        <f>VLOOKUP([jobnumber],OvalData[],MATCH(Table2[[#Headers],[Required Torque Per Turn]],Table2[#Headers],0),0)</f>
        <v>688</v>
      </c>
      <c r="Z202" s="2">
        <f>VLOOKUP([jobnumber],OvalData[],MATCH(Table2[[#Headers],[Total Turns]],Table2[#Headers],0),0)</f>
        <v>4.91</v>
      </c>
      <c r="AA202" s="2">
        <f>VLOOKUP([jobnumber],OvalData[],MATCH(Table2[[#Headers],[Grille Vision Section]],Table2[#Headers],0),0)</f>
        <v>0</v>
      </c>
      <c r="AB202" s="2">
        <f>VLOOKUP([jobnumber],OvalData[],MATCH(Table2[[#Headers],[Grille Amount]],Table2[#Headers],0),0)</f>
        <v>0</v>
      </c>
      <c r="AC202" s="2">
        <f>VLOOKUP([jobnumber],OvalData[],MATCH(Table2[[#Headers],[Grille Center]],Table2[#Headers],0),0)</f>
        <v>0</v>
      </c>
      <c r="AD202" s="2">
        <f>VLOOKUP([jobnumber],OvalData[],MATCH(Table2[[#Headers],[Grille Pattern]],Table2[#Headers],0),0)</f>
        <v>0</v>
      </c>
      <c r="AE202" s="2">
        <f>VLOOKUP([jobnumber],OvalData[],MATCH(Table2[[#Headers],[Grille First Tube]],Table2[#Headers],0),0)</f>
        <v>0</v>
      </c>
      <c r="AF202" s="2">
        <f>VLOOKUP([jobnumber],OvalData[],MATCH(Table2[[#Headers],[Grille Standard Tube]],Table2[#Headers],0),0)</f>
        <v>0</v>
      </c>
      <c r="AG202" s="2">
        <f>VLOOKUP([jobnumber],OvalData[],MATCH(Table2[[#Headers],[Grille Total Links]],Table2[#Headers],0),0)</f>
        <v>0</v>
      </c>
      <c r="AH202" s="2">
        <f>VLOOKUP([jobnumber],OvalData[],MATCH(Table2[[#Headers],[Grille Rods]],Table2[#Headers],0),0)</f>
        <v>0</v>
      </c>
      <c r="AI202" s="2">
        <f>VLOOKUP([jobnumber],OvalData[],MATCH(Table2[[#Headers],[Grille Rod Length]],Table2[#Headers],0),0)</f>
        <v>0</v>
      </c>
      <c r="AJ202" s="2">
        <f>VLOOKUP([jobnumber],OvalData[],MATCH(Table2[[#Headers],[slattype]],Table2[#Headers],0),0)</f>
        <v>2</v>
      </c>
      <c r="AK202" s="2">
        <f>VLOOKUP([jobnumber],OvalData[],MATCH(Table2[[#Headers],[slatgage]],Table2[#Headers],0),0)</f>
        <v>18</v>
      </c>
      <c r="AL202" s="2">
        <f>VLOOKUP([jobnumber],OvalData[],MATCH(Table2[[#Headers],[Numer of Top Slats]],Table2[#Headers],0),0)</f>
        <v>0</v>
      </c>
      <c r="AM202" s="2">
        <f>VLOOKUP([jobnumber],OvalData[],MATCH(Table2[[#Headers],[Number of Bottom Slats]],Table2[#Headers],0),0)</f>
        <v>0</v>
      </c>
      <c r="AN202" s="2">
        <f>VLOOKUP([jobnumber],OvalData[],MATCH(Table2[[#Headers],[Solid Bottom Height]],Table2[#Headers],0),0)</f>
        <v>0</v>
      </c>
      <c r="AO202" s="2" t="str">
        <f>VLOOKUP([jobnumber],OvalData[],MATCH(Table2[[#Headers],[slatlength]],Table2[#Headers],0),0)</f>
        <v xml:space="preserve"> 18 ft.- 5 7/ 8"</v>
      </c>
      <c r="AP202" s="2">
        <f>VLOOKUP([jobnumber],OvalData[],MATCH(Table2[[#Headers],[Bottom Slat Length]],Table2[#Headers],0),0)</f>
        <v>0</v>
      </c>
      <c r="AQ202" s="2">
        <f>VLOOKUP([jobnumber],OvalData[],MATCH(Table2[[#Headers],[Number of Perferated Slats]],Table2[#Headers],0),0)</f>
        <v>0</v>
      </c>
      <c r="AR202" s="2">
        <f>VLOOKUP([jobnumber],OvalData[],MATCH(Table2[[#Headers],[First Preferated Slat From End]],Table2[#Headers],0),0)</f>
        <v>0</v>
      </c>
      <c r="AS202" s="2">
        <f>VLOOKUP([jobnumber],OvalData[],MATCH(Table2[[#Headers],[First Preferated Slat From Bottom]],Table2[#Headers],0),0)</f>
        <v>0</v>
      </c>
      <c r="AT202" s="2">
        <f>VLOOKUP([jobnumber],OvalData[],MATCH(Table2[[#Headers],[Total Number of Slats]],Table2[#Headers],0),0)</f>
        <v>51</v>
      </c>
      <c r="AU202" s="2">
        <f>VLOOKUP([jobnumber],OvalData[],MATCH(Table2[[#Headers],[Bottom Bar Slope]],Table2[#Headers],0),0)</f>
        <v>0</v>
      </c>
      <c r="AV202" s="2">
        <f>VLOOKUP([jobnumber],OvalData[],MATCH(Table2[[#Headers],[Bottom Bar Weight]],Table2[#Headers],0),0)</f>
        <v>80.5</v>
      </c>
      <c r="AW202" s="2" t="str">
        <f>VLOOKUP([jobnumber],OvalData[],MATCH(Table2[[#Headers],[Outer Spring Gage]],Table2[#Headers],0),0)</f>
        <v>Null</v>
      </c>
      <c r="AX202" s="2" t="str">
        <f>VLOOKUP([jobnumber],OvalData[],MATCH(Table2[[#Headers],[Outer Spring OD]],Table2[#Headers],0),0)</f>
        <v>Null</v>
      </c>
      <c r="AY202" s="2" t="str">
        <f>VLOOKUP([jobnumber],OvalData[],MATCH(Table2[[#Headers],[Outer Spring Length]],Table2[#Headers],0),0)</f>
        <v>Null</v>
      </c>
      <c r="AZ202" s="2" t="str">
        <f>VLOOKUP([jobnumber],OvalData[],MATCH(Table2[[#Headers],[Outer Spring Stretch]],Table2[#Headers],0),0)</f>
        <v>Null</v>
      </c>
      <c r="BA202" s="2" t="str">
        <f>VLOOKUP([jobnumber],OvalData[],MATCH(Table2[[#Headers],[Outer Spring Torque]],Table2[#Headers],0),0)</f>
        <v>Null</v>
      </c>
      <c r="BB202" s="2" t="str">
        <f>VLOOKUP([jobnumber],OvalData[],MATCH(Table2[[#Headers],[Outer Spring Max Turns]],Table2[#Headers],0),0)</f>
        <v>Null</v>
      </c>
      <c r="BC202" s="2" t="str">
        <f>VLOOKUP([jobnumber],OvalData[],MATCH(Table2[[#Headers],[Outer Spring Weight]],Table2[#Headers],0),0)</f>
        <v>Null</v>
      </c>
      <c r="BD202" s="2" t="str">
        <f>VLOOKUP([jobnumber],OvalData[],MATCH(Table2[[#Headers],[Inner Spring Gage]],Table2[#Headers],0),0)</f>
        <v>Null</v>
      </c>
      <c r="BE202" s="2" t="str">
        <f>VLOOKUP([jobnumber],OvalData[],MATCH(Table2[[#Headers],[Inner Spring OD]],Table2[#Headers],0),0)</f>
        <v>Null</v>
      </c>
      <c r="BF202" s="2" t="str">
        <f>VLOOKUP([jobnumber],OvalData[],MATCH(Table2[[#Headers],[Inner Spring Length]],Table2[#Headers],0),0)</f>
        <v>Null</v>
      </c>
      <c r="BG202" s="2" t="str">
        <f>VLOOKUP([jobnumber],OvalData[],MATCH(Table2[[#Headers],[Inner Spring Stretch]],Table2[#Headers],0),0)</f>
        <v>Null</v>
      </c>
      <c r="BH202" s="2" t="str">
        <f>VLOOKUP([jobnumber],OvalData[],MATCH(Table2[[#Headers],[Inner Spring Torque]],Table2[#Headers],0),0)</f>
        <v>Null</v>
      </c>
      <c r="BI202" s="2" t="str">
        <f>VLOOKUP([jobnumber],OvalData[],MATCH(Table2[[#Headers],[Inner Spring Max Turns]],Table2[#Headers],0),0)</f>
        <v>Null</v>
      </c>
      <c r="BJ202" s="2" t="str">
        <f>VLOOKUP([jobnumber],OvalData[],MATCH(Table2[[#Headers],[Inner Spring Weight]],Table2[#Headers],0),0)</f>
        <v>Null</v>
      </c>
      <c r="BK202" s="2">
        <f>VLOOKUP([jobnumber],OvalData[],MATCH(Table2[[#Headers],[Cycles]],Table2[#Headers],0),0)</f>
        <v>0</v>
      </c>
      <c r="BL202" s="2">
        <f>VLOOKUP([jobnumber],OvalData[],MATCH(Table2[[#Headers],[Total Spring Torque]],Table2[#Headers],0),0)</f>
        <v>0</v>
      </c>
      <c r="BM202" s="2">
        <f>VLOOKUP([jobnumber],OvalData[],MATCH(Table2[[#Headers],[Total Spring Weight]],Table2[#Headers],0),0)</f>
        <v>0</v>
      </c>
      <c r="BN202" s="2">
        <f>VLOOKUP([jobnumber],OvalData[],MATCH(Table2[[#Headers],[Pipe Weight]],Table2[#Headers],0),0)</f>
        <v>688.24239999999998</v>
      </c>
      <c r="BO202" s="2">
        <f>VLOOKUP([jobnumber],OvalData[],MATCH(Table2[[#Headers],[Max Pipe Deflection]],Table2[#Headers],0),0)</f>
        <v>2309</v>
      </c>
      <c r="BP202" s="2">
        <f>VLOOKUP([jobnumber],OvalData[],MATCH(Table2[[#Headers],[Number Non-Insulated Wrap Slats]],Table2[#Headers],0),0)</f>
        <v>0</v>
      </c>
      <c r="BQ202" s="2">
        <f>VLOOKUP([jobnumber],OvalData[],MATCH(Table2[[#Headers],[Number of Insolated Top Slats]],Table2[#Headers],0),0)</f>
        <v>45</v>
      </c>
      <c r="BR202" s="2">
        <f>VLOOKUP([jobnumber],OvalData[],MATCH(Table2[[#Headers],[Insolated Total Slats]],Table2[#Headers],0),0)</f>
        <v>45</v>
      </c>
      <c r="BS202" s="2">
        <f>VLOOKUP([jobnumber],OvalData[],MATCH(Table2[[#Headers],[Number of Slats]],Table2[#Headers],0),0)</f>
        <v>44.69</v>
      </c>
      <c r="BT202" s="2">
        <f>VLOOKUP([jobnumber],OvalData[],MATCH(Table2[[#Headers],[Wrap]],Table2[#Headers],0),0)</f>
        <v>0</v>
      </c>
      <c r="BU202" s="2">
        <f>VLOOKUP([jobnumber],OvalData[],MATCH(Table2[[#Headers],[Wall Angle Thickness]],Table2[#Headers],0),0)</f>
        <v>0</v>
      </c>
      <c r="BV202" s="2">
        <f>VLOOKUP([jobnumber],OvalData[],MATCH(Table2[[#Headers],[windlocks]],Table2[#Headers],0),0)</f>
        <v>0</v>
      </c>
      <c r="BW202" s="2" t="str">
        <f>VLOOKUP([jobnumber],OvalData[],MATCH(Table2[[#Headers],[bottombartype]],Table2[#Headers],0),0)</f>
        <v>SPECIAL</v>
      </c>
      <c r="BX202" s="2">
        <f>VLOOKUP([jobnumber],OvalData[],MATCH(Table2[[#Headers],[endlockweight]],Table2[#Headers],0),0)</f>
        <v>0.17</v>
      </c>
      <c r="BY202" s="2">
        <f>VLOOKUP([jobnumber],OvalData[],MATCH(Table2[[#Headers],[Endlock Total Weight]],Table2[#Headers],0),0)</f>
        <v>7.5972999999999997</v>
      </c>
      <c r="BZ202" s="2">
        <f>VLOOKUP([jobnumber],OvalData[],MATCH(Table2[[#Headers],[Grille Weight]],Table2[#Headers],0),0)</f>
        <v>0</v>
      </c>
      <c r="CA202" s="2">
        <f>VLOOKUP([jobnumber],OvalData[],MATCH(Table2[[#Headers],[barrelrings]],Table2[#Headers],0),0)</f>
        <v>1</v>
      </c>
    </row>
    <row r="203" spans="2:79">
      <c r="B203" s="2" t="str">
        <f>VLOOKUP([jobnumber],OvalData[],MATCH(Table2[[#Headers],[Hand]],Table2[#Headers],0),0)</f>
        <v>RH</v>
      </c>
      <c r="C203" s="2" t="str">
        <f>VLOOKUP([jobnumber],OvalData[],MATCH(Table2[[#Headers],[Model]],Table2[#Headers],0),0)</f>
        <v>SFMPP</v>
      </c>
      <c r="D203" s="2" t="str">
        <f>VLOOKUP([jobnumber],OvalData[],MATCH(Table2[[#Headers],[width]],Table2[#Headers],0),0)</f>
        <v xml:space="preserve"> 18 ft.- 2"</v>
      </c>
      <c r="E203" s="2" t="str">
        <f>VLOOKUP([jobnumber],OvalData[],MATCH(Table2[[#Headers],[stopheight]],Table2[#Headers],0),0)</f>
        <v xml:space="preserve"> 10 ft.- 0"</v>
      </c>
      <c r="F203" s="2" t="str">
        <f>VLOOKUP([jobnumber],OvalData[],MATCH(Table2[[#Headers],[Between Brackets]],Table2[#Headers],0),0)</f>
        <v xml:space="preserve"> 18 ft.- 7 7/ 8"</v>
      </c>
      <c r="G203" s="2" t="str">
        <f>VLOOKUP([jobnumber],OvalData[],MATCH(Table2[[#Headers],[shell]],Table2[#Headers],0),0)</f>
        <v>6 INCH TUBE</v>
      </c>
      <c r="H203" s="2" t="str">
        <f>VLOOKUP([jobnumber],OvalData[],MATCH(Table2[[#Headers],[pipewidth]],Table2[#Headers],0),0)</f>
        <v xml:space="preserve"> 18 ft.- 1 3/ 8"</v>
      </c>
      <c r="I203" s="2">
        <f>VLOOKUP([jobnumber],OvalData[],MATCH(Table2[[#Headers],[Support Tubes]],Table2[#Headers],0),0)</f>
        <v>0</v>
      </c>
      <c r="J203" s="2">
        <f>VLOOKUP([jobnumber],OvalData[],MATCH(Table2[[#Headers],[Upset]],Table2[#Headers],0),0)</f>
        <v>2</v>
      </c>
      <c r="K203" s="2" t="str">
        <f>VLOOKUP([jobnumber],OvalData[],MATCH(Table2[[#Headers],[Guide Type]],Table2[#Headers],0),0)</f>
        <v>SN2-4 5/8-E</v>
      </c>
      <c r="L203" s="2" t="str">
        <f>VLOOKUP([jobnumber],OvalData[],MATCH(Table2[[#Headers],[Wall Angle]],Table2[#Headers],0),0)</f>
        <v xml:space="preserve"> 11 ft.- 8"</v>
      </c>
      <c r="M203" s="2" t="str">
        <f>VLOOKUP([jobnumber],OvalData[],MATCH(Table2[[#Headers],[Middle Angle]],Table2[#Headers],0),0)</f>
        <v xml:space="preserve"> 10 ft.- 4 1/ 2"</v>
      </c>
      <c r="N203" s="2" t="str">
        <f>VLOOKUP([jobnumber],OvalData[],MATCH(Table2[[#Headers],[Front Angle]],Table2[#Headers],0),0)</f>
        <v xml:space="preserve"> 10 ft.- 3"</v>
      </c>
      <c r="O203" s="2">
        <f>VLOOKUP([jobnumber],OvalData[],MATCH(Table2[[#Headers],[Pipe Center Line]],Table2[#Headers],0),0)</f>
        <v>131</v>
      </c>
      <c r="P203" s="2">
        <f>VLOOKUP([jobnumber],OvalData[],MATCH(Table2[[#Headers],[Heat Expansion Gap]],Table2[#Headers],0),0)</f>
        <v>0</v>
      </c>
      <c r="Q203" s="2">
        <f>VLOOKUP([jobnumber],OvalData[],MATCH(Table2[[#Headers],[Hanging Weight Closed]],Table2[#Headers],0),0)</f>
        <v>795</v>
      </c>
      <c r="R203" s="2">
        <f>VLOOKUP([jobnumber],OvalData[],MATCH(Table2[[#Headers],[Hanging Weight Open]],Table2[#Headers],0),0)</f>
        <v>140</v>
      </c>
      <c r="S203" s="2">
        <f>VLOOKUP([jobnumber],OvalData[],MATCH(Table2[[#Headers],[Initial Lever Arm]],Table2[#Headers],0),0)</f>
        <v>4.25</v>
      </c>
      <c r="T203" s="2">
        <f>VLOOKUP([jobnumber],OvalData[],MATCH(Table2[[#Headers],[Turns to Raise]],Table2[#Headers],0),0)</f>
        <v>3.5859999999999999</v>
      </c>
      <c r="U203" s="2">
        <f>VLOOKUP([jobnumber],OvalData[],MATCH(Table2[[#Headers],[Final Lever Arm]],Table2[#Headers],0),0)</f>
        <v>6.37</v>
      </c>
      <c r="V203" s="2">
        <f>VLOOKUP([jobnumber],OvalData[],MATCH(Table2[[#Headers],[Torque Required Closed]],Table2[#Headers],0),0)</f>
        <v>3377.9</v>
      </c>
      <c r="W203" s="2">
        <f>VLOOKUP([jobnumber],OvalData[],MATCH(Table2[[#Headers],[Torque Required Open]],Table2[#Headers],0),0)</f>
        <v>892</v>
      </c>
      <c r="X203" s="2">
        <f>VLOOKUP([jobnumber],OvalData[],MATCH(Table2[[#Headers],[Pre Turns]],Table2[#Headers],0),0)</f>
        <v>1.3332999999999999</v>
      </c>
      <c r="Y203" s="2">
        <f>VLOOKUP([jobnumber],OvalData[],MATCH(Table2[[#Headers],[Required Torque Per Turn]],Table2[#Headers],0),0)</f>
        <v>688</v>
      </c>
      <c r="Z203" s="2">
        <f>VLOOKUP([jobnumber],OvalData[],MATCH(Table2[[#Headers],[Total Turns]],Table2[#Headers],0),0)</f>
        <v>4.91</v>
      </c>
      <c r="AA203" s="2">
        <f>VLOOKUP([jobnumber],OvalData[],MATCH(Table2[[#Headers],[Grille Vision Section]],Table2[#Headers],0),0)</f>
        <v>0</v>
      </c>
      <c r="AB203" s="2">
        <f>VLOOKUP([jobnumber],OvalData[],MATCH(Table2[[#Headers],[Grille Amount]],Table2[#Headers],0),0)</f>
        <v>0</v>
      </c>
      <c r="AC203" s="2">
        <f>VLOOKUP([jobnumber],OvalData[],MATCH(Table2[[#Headers],[Grille Center]],Table2[#Headers],0),0)</f>
        <v>0</v>
      </c>
      <c r="AD203" s="2">
        <f>VLOOKUP([jobnumber],OvalData[],MATCH(Table2[[#Headers],[Grille Pattern]],Table2[#Headers],0),0)</f>
        <v>0</v>
      </c>
      <c r="AE203" s="2">
        <f>VLOOKUP([jobnumber],OvalData[],MATCH(Table2[[#Headers],[Grille First Tube]],Table2[#Headers],0),0)</f>
        <v>0</v>
      </c>
      <c r="AF203" s="2">
        <f>VLOOKUP([jobnumber],OvalData[],MATCH(Table2[[#Headers],[Grille Standard Tube]],Table2[#Headers],0),0)</f>
        <v>0</v>
      </c>
      <c r="AG203" s="2">
        <f>VLOOKUP([jobnumber],OvalData[],MATCH(Table2[[#Headers],[Grille Total Links]],Table2[#Headers],0),0)</f>
        <v>0</v>
      </c>
      <c r="AH203" s="2">
        <f>VLOOKUP([jobnumber],OvalData[],MATCH(Table2[[#Headers],[Grille Rods]],Table2[#Headers],0),0)</f>
        <v>0</v>
      </c>
      <c r="AI203" s="2">
        <f>VLOOKUP([jobnumber],OvalData[],MATCH(Table2[[#Headers],[Grille Rod Length]],Table2[#Headers],0),0)</f>
        <v>0</v>
      </c>
      <c r="AJ203" s="2">
        <f>VLOOKUP([jobnumber],OvalData[],MATCH(Table2[[#Headers],[slattype]],Table2[#Headers],0),0)</f>
        <v>2</v>
      </c>
      <c r="AK203" s="2">
        <f>VLOOKUP([jobnumber],OvalData[],MATCH(Table2[[#Headers],[slatgage]],Table2[#Headers],0),0)</f>
        <v>18</v>
      </c>
      <c r="AL203" s="2">
        <f>VLOOKUP([jobnumber],OvalData[],MATCH(Table2[[#Headers],[Numer of Top Slats]],Table2[#Headers],0),0)</f>
        <v>0</v>
      </c>
      <c r="AM203" s="2">
        <f>VLOOKUP([jobnumber],OvalData[],MATCH(Table2[[#Headers],[Number of Bottom Slats]],Table2[#Headers],0),0)</f>
        <v>0</v>
      </c>
      <c r="AN203" s="2">
        <f>VLOOKUP([jobnumber],OvalData[],MATCH(Table2[[#Headers],[Solid Bottom Height]],Table2[#Headers],0),0)</f>
        <v>0</v>
      </c>
      <c r="AO203" s="2" t="str">
        <f>VLOOKUP([jobnumber],OvalData[],MATCH(Table2[[#Headers],[slatlength]],Table2[#Headers],0),0)</f>
        <v xml:space="preserve"> 18 ft.- 5 7/ 8"</v>
      </c>
      <c r="AP203" s="2">
        <f>VLOOKUP([jobnumber],OvalData[],MATCH(Table2[[#Headers],[Bottom Slat Length]],Table2[#Headers],0),0)</f>
        <v>0</v>
      </c>
      <c r="AQ203" s="2">
        <f>VLOOKUP([jobnumber],OvalData[],MATCH(Table2[[#Headers],[Number of Perferated Slats]],Table2[#Headers],0),0)</f>
        <v>0</v>
      </c>
      <c r="AR203" s="2">
        <f>VLOOKUP([jobnumber],OvalData[],MATCH(Table2[[#Headers],[First Preferated Slat From End]],Table2[#Headers],0),0)</f>
        <v>0</v>
      </c>
      <c r="AS203" s="2">
        <f>VLOOKUP([jobnumber],OvalData[],MATCH(Table2[[#Headers],[First Preferated Slat From Bottom]],Table2[#Headers],0),0)</f>
        <v>0</v>
      </c>
      <c r="AT203" s="2">
        <f>VLOOKUP([jobnumber],OvalData[],MATCH(Table2[[#Headers],[Total Number of Slats]],Table2[#Headers],0),0)</f>
        <v>51</v>
      </c>
      <c r="AU203" s="2">
        <f>VLOOKUP([jobnumber],OvalData[],MATCH(Table2[[#Headers],[Bottom Bar Slope]],Table2[#Headers],0),0)</f>
        <v>0</v>
      </c>
      <c r="AV203" s="2">
        <f>VLOOKUP([jobnumber],OvalData[],MATCH(Table2[[#Headers],[Bottom Bar Weight]],Table2[#Headers],0),0)</f>
        <v>80.5</v>
      </c>
      <c r="AW203" s="2" t="str">
        <f>VLOOKUP([jobnumber],OvalData[],MATCH(Table2[[#Headers],[Outer Spring Gage]],Table2[#Headers],0),0)</f>
        <v>Null</v>
      </c>
      <c r="AX203" s="2" t="str">
        <f>VLOOKUP([jobnumber],OvalData[],MATCH(Table2[[#Headers],[Outer Spring OD]],Table2[#Headers],0),0)</f>
        <v>Null</v>
      </c>
      <c r="AY203" s="2" t="str">
        <f>VLOOKUP([jobnumber],OvalData[],MATCH(Table2[[#Headers],[Outer Spring Length]],Table2[#Headers],0),0)</f>
        <v>Null</v>
      </c>
      <c r="AZ203" s="2" t="str">
        <f>VLOOKUP([jobnumber],OvalData[],MATCH(Table2[[#Headers],[Outer Spring Stretch]],Table2[#Headers],0),0)</f>
        <v>Null</v>
      </c>
      <c r="BA203" s="2" t="str">
        <f>VLOOKUP([jobnumber],OvalData[],MATCH(Table2[[#Headers],[Outer Spring Torque]],Table2[#Headers],0),0)</f>
        <v>Null</v>
      </c>
      <c r="BB203" s="2" t="str">
        <f>VLOOKUP([jobnumber],OvalData[],MATCH(Table2[[#Headers],[Outer Spring Max Turns]],Table2[#Headers],0),0)</f>
        <v>Null</v>
      </c>
      <c r="BC203" s="2" t="str">
        <f>VLOOKUP([jobnumber],OvalData[],MATCH(Table2[[#Headers],[Outer Spring Weight]],Table2[#Headers],0),0)</f>
        <v>Null</v>
      </c>
      <c r="BD203" s="2" t="str">
        <f>VLOOKUP([jobnumber],OvalData[],MATCH(Table2[[#Headers],[Inner Spring Gage]],Table2[#Headers],0),0)</f>
        <v>Null</v>
      </c>
      <c r="BE203" s="2" t="str">
        <f>VLOOKUP([jobnumber],OvalData[],MATCH(Table2[[#Headers],[Inner Spring OD]],Table2[#Headers],0),0)</f>
        <v>Null</v>
      </c>
      <c r="BF203" s="2" t="str">
        <f>VLOOKUP([jobnumber],OvalData[],MATCH(Table2[[#Headers],[Inner Spring Length]],Table2[#Headers],0),0)</f>
        <v>Null</v>
      </c>
      <c r="BG203" s="2" t="str">
        <f>VLOOKUP([jobnumber],OvalData[],MATCH(Table2[[#Headers],[Inner Spring Stretch]],Table2[#Headers],0),0)</f>
        <v>Null</v>
      </c>
      <c r="BH203" s="2" t="str">
        <f>VLOOKUP([jobnumber],OvalData[],MATCH(Table2[[#Headers],[Inner Spring Torque]],Table2[#Headers],0),0)</f>
        <v>Null</v>
      </c>
      <c r="BI203" s="2" t="str">
        <f>VLOOKUP([jobnumber],OvalData[],MATCH(Table2[[#Headers],[Inner Spring Max Turns]],Table2[#Headers],0),0)</f>
        <v>Null</v>
      </c>
      <c r="BJ203" s="2" t="str">
        <f>VLOOKUP([jobnumber],OvalData[],MATCH(Table2[[#Headers],[Inner Spring Weight]],Table2[#Headers],0),0)</f>
        <v>Null</v>
      </c>
      <c r="BK203" s="2">
        <f>VLOOKUP([jobnumber],OvalData[],MATCH(Table2[[#Headers],[Cycles]],Table2[#Headers],0),0)</f>
        <v>0</v>
      </c>
      <c r="BL203" s="2">
        <f>VLOOKUP([jobnumber],OvalData[],MATCH(Table2[[#Headers],[Total Spring Torque]],Table2[#Headers],0),0)</f>
        <v>0</v>
      </c>
      <c r="BM203" s="2">
        <f>VLOOKUP([jobnumber],OvalData[],MATCH(Table2[[#Headers],[Total Spring Weight]],Table2[#Headers],0),0)</f>
        <v>0</v>
      </c>
      <c r="BN203" s="2">
        <f>VLOOKUP([jobnumber],OvalData[],MATCH(Table2[[#Headers],[Pipe Weight]],Table2[#Headers],0),0)</f>
        <v>688.24239999999998</v>
      </c>
      <c r="BO203" s="2">
        <f>VLOOKUP([jobnumber],OvalData[],MATCH(Table2[[#Headers],[Max Pipe Deflection]],Table2[#Headers],0),0)</f>
        <v>2309</v>
      </c>
      <c r="BP203" s="2">
        <f>VLOOKUP([jobnumber],OvalData[],MATCH(Table2[[#Headers],[Number Non-Insulated Wrap Slats]],Table2[#Headers],0),0)</f>
        <v>0</v>
      </c>
      <c r="BQ203" s="2">
        <f>VLOOKUP([jobnumber],OvalData[],MATCH(Table2[[#Headers],[Number of Insolated Top Slats]],Table2[#Headers],0),0)</f>
        <v>45</v>
      </c>
      <c r="BR203" s="2">
        <f>VLOOKUP([jobnumber],OvalData[],MATCH(Table2[[#Headers],[Insolated Total Slats]],Table2[#Headers],0),0)</f>
        <v>45</v>
      </c>
      <c r="BS203" s="2">
        <f>VLOOKUP([jobnumber],OvalData[],MATCH(Table2[[#Headers],[Number of Slats]],Table2[#Headers],0),0)</f>
        <v>44.69</v>
      </c>
      <c r="BT203" s="2">
        <f>VLOOKUP([jobnumber],OvalData[],MATCH(Table2[[#Headers],[Wrap]],Table2[#Headers],0),0)</f>
        <v>0</v>
      </c>
      <c r="BU203" s="2">
        <f>VLOOKUP([jobnumber],OvalData[],MATCH(Table2[[#Headers],[Wall Angle Thickness]],Table2[#Headers],0),0)</f>
        <v>0</v>
      </c>
      <c r="BV203" s="2">
        <f>VLOOKUP([jobnumber],OvalData[],MATCH(Table2[[#Headers],[windlocks]],Table2[#Headers],0),0)</f>
        <v>0</v>
      </c>
      <c r="BW203" s="2" t="str">
        <f>VLOOKUP([jobnumber],OvalData[],MATCH(Table2[[#Headers],[bottombartype]],Table2[#Headers],0),0)</f>
        <v>SPECIAL</v>
      </c>
      <c r="BX203" s="2">
        <f>VLOOKUP([jobnumber],OvalData[],MATCH(Table2[[#Headers],[endlockweight]],Table2[#Headers],0),0)</f>
        <v>0.17</v>
      </c>
      <c r="BY203" s="2">
        <f>VLOOKUP([jobnumber],OvalData[],MATCH(Table2[[#Headers],[Endlock Total Weight]],Table2[#Headers],0),0)</f>
        <v>7.5972999999999997</v>
      </c>
      <c r="BZ203" s="2">
        <f>VLOOKUP([jobnumber],OvalData[],MATCH(Table2[[#Headers],[Grille Weight]],Table2[#Headers],0),0)</f>
        <v>0</v>
      </c>
      <c r="CA203" s="2">
        <f>VLOOKUP([jobnumber],OvalData[],MATCH(Table2[[#Headers],[barrelrings]],Table2[#Headers],0),0)</f>
        <v>1</v>
      </c>
    </row>
    <row r="204" spans="2:79">
      <c r="B204" s="2" t="str">
        <f>VLOOKUP([jobnumber],OvalData[],MATCH(Table2[[#Headers],[Hand]],Table2[#Headers],0),0)</f>
        <v>RH</v>
      </c>
      <c r="C204" s="2" t="str">
        <f>VLOOKUP([jobnumber],OvalData[],MATCH(Table2[[#Headers],[Model]],Table2[#Headers],0),0)</f>
        <v>SFMPP</v>
      </c>
      <c r="D204" s="2" t="str">
        <f>VLOOKUP([jobnumber],OvalData[],MATCH(Table2[[#Headers],[width]],Table2[#Headers],0),0)</f>
        <v xml:space="preserve"> 18 ft.- 2"</v>
      </c>
      <c r="E204" s="2" t="str">
        <f>VLOOKUP([jobnumber],OvalData[],MATCH(Table2[[#Headers],[stopheight]],Table2[#Headers],0),0)</f>
        <v xml:space="preserve"> 10 ft.- 0"</v>
      </c>
      <c r="F204" s="2" t="str">
        <f>VLOOKUP([jobnumber],OvalData[],MATCH(Table2[[#Headers],[Between Brackets]],Table2[#Headers],0),0)</f>
        <v xml:space="preserve"> 18 ft.- 7 7/ 8"</v>
      </c>
      <c r="G204" s="2" t="str">
        <f>VLOOKUP([jobnumber],OvalData[],MATCH(Table2[[#Headers],[shell]],Table2[#Headers],0),0)</f>
        <v>6 INCH TUBE</v>
      </c>
      <c r="H204" s="2" t="str">
        <f>VLOOKUP([jobnumber],OvalData[],MATCH(Table2[[#Headers],[pipewidth]],Table2[#Headers],0),0)</f>
        <v xml:space="preserve"> 18 ft.- 1 3/ 8"</v>
      </c>
      <c r="I204" s="2">
        <f>VLOOKUP([jobnumber],OvalData[],MATCH(Table2[[#Headers],[Support Tubes]],Table2[#Headers],0),0)</f>
        <v>0</v>
      </c>
      <c r="J204" s="2">
        <f>VLOOKUP([jobnumber],OvalData[],MATCH(Table2[[#Headers],[Upset]],Table2[#Headers],0),0)</f>
        <v>2</v>
      </c>
      <c r="K204" s="2" t="str">
        <f>VLOOKUP([jobnumber],OvalData[],MATCH(Table2[[#Headers],[Guide Type]],Table2[#Headers],0),0)</f>
        <v>SN2-4 5/8-E</v>
      </c>
      <c r="L204" s="2" t="str">
        <f>VLOOKUP([jobnumber],OvalData[],MATCH(Table2[[#Headers],[Wall Angle]],Table2[#Headers],0),0)</f>
        <v xml:space="preserve"> 11 ft.- 8"</v>
      </c>
      <c r="M204" s="2" t="str">
        <f>VLOOKUP([jobnumber],OvalData[],MATCH(Table2[[#Headers],[Middle Angle]],Table2[#Headers],0),0)</f>
        <v xml:space="preserve"> 10 ft.- 4 1/ 2"</v>
      </c>
      <c r="N204" s="2" t="str">
        <f>VLOOKUP([jobnumber],OvalData[],MATCH(Table2[[#Headers],[Front Angle]],Table2[#Headers],0),0)</f>
        <v xml:space="preserve"> 10 ft.- 3"</v>
      </c>
      <c r="O204" s="2">
        <f>VLOOKUP([jobnumber],OvalData[],MATCH(Table2[[#Headers],[Pipe Center Line]],Table2[#Headers],0),0)</f>
        <v>131</v>
      </c>
      <c r="P204" s="2">
        <f>VLOOKUP([jobnumber],OvalData[],MATCH(Table2[[#Headers],[Heat Expansion Gap]],Table2[#Headers],0),0)</f>
        <v>0</v>
      </c>
      <c r="Q204" s="2">
        <f>VLOOKUP([jobnumber],OvalData[],MATCH(Table2[[#Headers],[Hanging Weight Closed]],Table2[#Headers],0),0)</f>
        <v>795</v>
      </c>
      <c r="R204" s="2">
        <f>VLOOKUP([jobnumber],OvalData[],MATCH(Table2[[#Headers],[Hanging Weight Open]],Table2[#Headers],0),0)</f>
        <v>140</v>
      </c>
      <c r="S204" s="2">
        <f>VLOOKUP([jobnumber],OvalData[],MATCH(Table2[[#Headers],[Initial Lever Arm]],Table2[#Headers],0),0)</f>
        <v>4.25</v>
      </c>
      <c r="T204" s="2">
        <f>VLOOKUP([jobnumber],OvalData[],MATCH(Table2[[#Headers],[Turns to Raise]],Table2[#Headers],0),0)</f>
        <v>3.5859999999999999</v>
      </c>
      <c r="U204" s="2">
        <f>VLOOKUP([jobnumber],OvalData[],MATCH(Table2[[#Headers],[Final Lever Arm]],Table2[#Headers],0),0)</f>
        <v>6.37</v>
      </c>
      <c r="V204" s="2">
        <f>VLOOKUP([jobnumber],OvalData[],MATCH(Table2[[#Headers],[Torque Required Closed]],Table2[#Headers],0),0)</f>
        <v>3377.9</v>
      </c>
      <c r="W204" s="2">
        <f>VLOOKUP([jobnumber],OvalData[],MATCH(Table2[[#Headers],[Torque Required Open]],Table2[#Headers],0),0)</f>
        <v>892</v>
      </c>
      <c r="X204" s="2">
        <f>VLOOKUP([jobnumber],OvalData[],MATCH(Table2[[#Headers],[Pre Turns]],Table2[#Headers],0),0)</f>
        <v>1.3332999999999999</v>
      </c>
      <c r="Y204" s="2">
        <f>VLOOKUP([jobnumber],OvalData[],MATCH(Table2[[#Headers],[Required Torque Per Turn]],Table2[#Headers],0),0)</f>
        <v>688</v>
      </c>
      <c r="Z204" s="2">
        <f>VLOOKUP([jobnumber],OvalData[],MATCH(Table2[[#Headers],[Total Turns]],Table2[#Headers],0),0)</f>
        <v>4.91</v>
      </c>
      <c r="AA204" s="2">
        <f>VLOOKUP([jobnumber],OvalData[],MATCH(Table2[[#Headers],[Grille Vision Section]],Table2[#Headers],0),0)</f>
        <v>0</v>
      </c>
      <c r="AB204" s="2">
        <f>VLOOKUP([jobnumber],OvalData[],MATCH(Table2[[#Headers],[Grille Amount]],Table2[#Headers],0),0)</f>
        <v>0</v>
      </c>
      <c r="AC204" s="2">
        <f>VLOOKUP([jobnumber],OvalData[],MATCH(Table2[[#Headers],[Grille Center]],Table2[#Headers],0),0)</f>
        <v>0</v>
      </c>
      <c r="AD204" s="2">
        <f>VLOOKUP([jobnumber],OvalData[],MATCH(Table2[[#Headers],[Grille Pattern]],Table2[#Headers],0),0)</f>
        <v>0</v>
      </c>
      <c r="AE204" s="2">
        <f>VLOOKUP([jobnumber],OvalData[],MATCH(Table2[[#Headers],[Grille First Tube]],Table2[#Headers],0),0)</f>
        <v>0</v>
      </c>
      <c r="AF204" s="2">
        <f>VLOOKUP([jobnumber],OvalData[],MATCH(Table2[[#Headers],[Grille Standard Tube]],Table2[#Headers],0),0)</f>
        <v>0</v>
      </c>
      <c r="AG204" s="2">
        <f>VLOOKUP([jobnumber],OvalData[],MATCH(Table2[[#Headers],[Grille Total Links]],Table2[#Headers],0),0)</f>
        <v>0</v>
      </c>
      <c r="AH204" s="2">
        <f>VLOOKUP([jobnumber],OvalData[],MATCH(Table2[[#Headers],[Grille Rods]],Table2[#Headers],0),0)</f>
        <v>0</v>
      </c>
      <c r="AI204" s="2">
        <f>VLOOKUP([jobnumber],OvalData[],MATCH(Table2[[#Headers],[Grille Rod Length]],Table2[#Headers],0),0)</f>
        <v>0</v>
      </c>
      <c r="AJ204" s="2">
        <f>VLOOKUP([jobnumber],OvalData[],MATCH(Table2[[#Headers],[slattype]],Table2[#Headers],0),0)</f>
        <v>2</v>
      </c>
      <c r="AK204" s="2">
        <f>VLOOKUP([jobnumber],OvalData[],MATCH(Table2[[#Headers],[slatgage]],Table2[#Headers],0),0)</f>
        <v>18</v>
      </c>
      <c r="AL204" s="2">
        <f>VLOOKUP([jobnumber],OvalData[],MATCH(Table2[[#Headers],[Numer of Top Slats]],Table2[#Headers],0),0)</f>
        <v>0</v>
      </c>
      <c r="AM204" s="2">
        <f>VLOOKUP([jobnumber],OvalData[],MATCH(Table2[[#Headers],[Number of Bottom Slats]],Table2[#Headers],0),0)</f>
        <v>0</v>
      </c>
      <c r="AN204" s="2">
        <f>VLOOKUP([jobnumber],OvalData[],MATCH(Table2[[#Headers],[Solid Bottom Height]],Table2[#Headers],0),0)</f>
        <v>0</v>
      </c>
      <c r="AO204" s="2" t="str">
        <f>VLOOKUP([jobnumber],OvalData[],MATCH(Table2[[#Headers],[slatlength]],Table2[#Headers],0),0)</f>
        <v xml:space="preserve"> 18 ft.- 5 7/ 8"</v>
      </c>
      <c r="AP204" s="2">
        <f>VLOOKUP([jobnumber],OvalData[],MATCH(Table2[[#Headers],[Bottom Slat Length]],Table2[#Headers],0),0)</f>
        <v>0</v>
      </c>
      <c r="AQ204" s="2">
        <f>VLOOKUP([jobnumber],OvalData[],MATCH(Table2[[#Headers],[Number of Perferated Slats]],Table2[#Headers],0),0)</f>
        <v>0</v>
      </c>
      <c r="AR204" s="2">
        <f>VLOOKUP([jobnumber],OvalData[],MATCH(Table2[[#Headers],[First Preferated Slat From End]],Table2[#Headers],0),0)</f>
        <v>0</v>
      </c>
      <c r="AS204" s="2">
        <f>VLOOKUP([jobnumber],OvalData[],MATCH(Table2[[#Headers],[First Preferated Slat From Bottom]],Table2[#Headers],0),0)</f>
        <v>0</v>
      </c>
      <c r="AT204" s="2">
        <f>VLOOKUP([jobnumber],OvalData[],MATCH(Table2[[#Headers],[Total Number of Slats]],Table2[#Headers],0),0)</f>
        <v>51</v>
      </c>
      <c r="AU204" s="2">
        <f>VLOOKUP([jobnumber],OvalData[],MATCH(Table2[[#Headers],[Bottom Bar Slope]],Table2[#Headers],0),0)</f>
        <v>0</v>
      </c>
      <c r="AV204" s="2">
        <f>VLOOKUP([jobnumber],OvalData[],MATCH(Table2[[#Headers],[Bottom Bar Weight]],Table2[#Headers],0),0)</f>
        <v>80.5</v>
      </c>
      <c r="AW204" s="2" t="str">
        <f>VLOOKUP([jobnumber],OvalData[],MATCH(Table2[[#Headers],[Outer Spring Gage]],Table2[#Headers],0),0)</f>
        <v>Null</v>
      </c>
      <c r="AX204" s="2" t="str">
        <f>VLOOKUP([jobnumber],OvalData[],MATCH(Table2[[#Headers],[Outer Spring OD]],Table2[#Headers],0),0)</f>
        <v>Null</v>
      </c>
      <c r="AY204" s="2" t="str">
        <f>VLOOKUP([jobnumber],OvalData[],MATCH(Table2[[#Headers],[Outer Spring Length]],Table2[#Headers],0),0)</f>
        <v>Null</v>
      </c>
      <c r="AZ204" s="2" t="str">
        <f>VLOOKUP([jobnumber],OvalData[],MATCH(Table2[[#Headers],[Outer Spring Stretch]],Table2[#Headers],0),0)</f>
        <v>Null</v>
      </c>
      <c r="BA204" s="2" t="str">
        <f>VLOOKUP([jobnumber],OvalData[],MATCH(Table2[[#Headers],[Outer Spring Torque]],Table2[#Headers],0),0)</f>
        <v>Null</v>
      </c>
      <c r="BB204" s="2" t="str">
        <f>VLOOKUP([jobnumber],OvalData[],MATCH(Table2[[#Headers],[Outer Spring Max Turns]],Table2[#Headers],0),0)</f>
        <v>Null</v>
      </c>
      <c r="BC204" s="2" t="str">
        <f>VLOOKUP([jobnumber],OvalData[],MATCH(Table2[[#Headers],[Outer Spring Weight]],Table2[#Headers],0),0)</f>
        <v>Null</v>
      </c>
      <c r="BD204" s="2" t="str">
        <f>VLOOKUP([jobnumber],OvalData[],MATCH(Table2[[#Headers],[Inner Spring Gage]],Table2[#Headers],0),0)</f>
        <v>Null</v>
      </c>
      <c r="BE204" s="2" t="str">
        <f>VLOOKUP([jobnumber],OvalData[],MATCH(Table2[[#Headers],[Inner Spring OD]],Table2[#Headers],0),0)</f>
        <v>Null</v>
      </c>
      <c r="BF204" s="2" t="str">
        <f>VLOOKUP([jobnumber],OvalData[],MATCH(Table2[[#Headers],[Inner Spring Length]],Table2[#Headers],0),0)</f>
        <v>Null</v>
      </c>
      <c r="BG204" s="2" t="str">
        <f>VLOOKUP([jobnumber],OvalData[],MATCH(Table2[[#Headers],[Inner Spring Stretch]],Table2[#Headers],0),0)</f>
        <v>Null</v>
      </c>
      <c r="BH204" s="2" t="str">
        <f>VLOOKUP([jobnumber],OvalData[],MATCH(Table2[[#Headers],[Inner Spring Torque]],Table2[#Headers],0),0)</f>
        <v>Null</v>
      </c>
      <c r="BI204" s="2" t="str">
        <f>VLOOKUP([jobnumber],OvalData[],MATCH(Table2[[#Headers],[Inner Spring Max Turns]],Table2[#Headers],0),0)</f>
        <v>Null</v>
      </c>
      <c r="BJ204" s="2" t="str">
        <f>VLOOKUP([jobnumber],OvalData[],MATCH(Table2[[#Headers],[Inner Spring Weight]],Table2[#Headers],0),0)</f>
        <v>Null</v>
      </c>
      <c r="BK204" s="2">
        <f>VLOOKUP([jobnumber],OvalData[],MATCH(Table2[[#Headers],[Cycles]],Table2[#Headers],0),0)</f>
        <v>0</v>
      </c>
      <c r="BL204" s="2">
        <f>VLOOKUP([jobnumber],OvalData[],MATCH(Table2[[#Headers],[Total Spring Torque]],Table2[#Headers],0),0)</f>
        <v>0</v>
      </c>
      <c r="BM204" s="2">
        <f>VLOOKUP([jobnumber],OvalData[],MATCH(Table2[[#Headers],[Total Spring Weight]],Table2[#Headers],0),0)</f>
        <v>0</v>
      </c>
      <c r="BN204" s="2">
        <f>VLOOKUP([jobnumber],OvalData[],MATCH(Table2[[#Headers],[Pipe Weight]],Table2[#Headers],0),0)</f>
        <v>688.24239999999998</v>
      </c>
      <c r="BO204" s="2">
        <f>VLOOKUP([jobnumber],OvalData[],MATCH(Table2[[#Headers],[Max Pipe Deflection]],Table2[#Headers],0),0)</f>
        <v>2309</v>
      </c>
      <c r="BP204" s="2">
        <f>VLOOKUP([jobnumber],OvalData[],MATCH(Table2[[#Headers],[Number Non-Insulated Wrap Slats]],Table2[#Headers],0),0)</f>
        <v>0</v>
      </c>
      <c r="BQ204" s="2">
        <f>VLOOKUP([jobnumber],OvalData[],MATCH(Table2[[#Headers],[Number of Insolated Top Slats]],Table2[#Headers],0),0)</f>
        <v>45</v>
      </c>
      <c r="BR204" s="2">
        <f>VLOOKUP([jobnumber],OvalData[],MATCH(Table2[[#Headers],[Insolated Total Slats]],Table2[#Headers],0),0)</f>
        <v>45</v>
      </c>
      <c r="BS204" s="2">
        <f>VLOOKUP([jobnumber],OvalData[],MATCH(Table2[[#Headers],[Number of Slats]],Table2[#Headers],0),0)</f>
        <v>44.69</v>
      </c>
      <c r="BT204" s="2">
        <f>VLOOKUP([jobnumber],OvalData[],MATCH(Table2[[#Headers],[Wrap]],Table2[#Headers],0),0)</f>
        <v>0</v>
      </c>
      <c r="BU204" s="2">
        <f>VLOOKUP([jobnumber],OvalData[],MATCH(Table2[[#Headers],[Wall Angle Thickness]],Table2[#Headers],0),0)</f>
        <v>0</v>
      </c>
      <c r="BV204" s="2">
        <f>VLOOKUP([jobnumber],OvalData[],MATCH(Table2[[#Headers],[windlocks]],Table2[#Headers],0),0)</f>
        <v>0</v>
      </c>
      <c r="BW204" s="2" t="str">
        <f>VLOOKUP([jobnumber],OvalData[],MATCH(Table2[[#Headers],[bottombartype]],Table2[#Headers],0),0)</f>
        <v>SPECIAL</v>
      </c>
      <c r="BX204" s="2">
        <f>VLOOKUP([jobnumber],OvalData[],MATCH(Table2[[#Headers],[endlockweight]],Table2[#Headers],0),0)</f>
        <v>0.17</v>
      </c>
      <c r="BY204" s="2">
        <f>VLOOKUP([jobnumber],OvalData[],MATCH(Table2[[#Headers],[Endlock Total Weight]],Table2[#Headers],0),0)</f>
        <v>7.5972999999999997</v>
      </c>
      <c r="BZ204" s="2">
        <f>VLOOKUP([jobnumber],OvalData[],MATCH(Table2[[#Headers],[Grille Weight]],Table2[#Headers],0),0)</f>
        <v>0</v>
      </c>
      <c r="CA204" s="2">
        <f>VLOOKUP([jobnumber],OvalData[],MATCH(Table2[[#Headers],[barrelrings]],Table2[#Headers],0),0)</f>
        <v>1</v>
      </c>
    </row>
    <row r="205" spans="2:79">
      <c r="B205" s="2" t="str">
        <f>VLOOKUP([jobnumber],OvalData[],MATCH(Table2[[#Headers],[Hand]],Table2[#Headers],0),0)</f>
        <v>RH</v>
      </c>
      <c r="C205" s="2" t="str">
        <f>VLOOKUP([jobnumber],OvalData[],MATCH(Table2[[#Headers],[Model]],Table2[#Headers],0),0)</f>
        <v>SFMPP</v>
      </c>
      <c r="D205" s="2" t="str">
        <f>VLOOKUP([jobnumber],OvalData[],MATCH(Table2[[#Headers],[width]],Table2[#Headers],0),0)</f>
        <v xml:space="preserve"> 18 ft.- 2"</v>
      </c>
      <c r="E205" s="2" t="str">
        <f>VLOOKUP([jobnumber],OvalData[],MATCH(Table2[[#Headers],[stopheight]],Table2[#Headers],0),0)</f>
        <v xml:space="preserve"> 10 ft.- 0"</v>
      </c>
      <c r="F205" s="2" t="str">
        <f>VLOOKUP([jobnumber],OvalData[],MATCH(Table2[[#Headers],[Between Brackets]],Table2[#Headers],0),0)</f>
        <v xml:space="preserve"> 18 ft.- 7 7/ 8"</v>
      </c>
      <c r="G205" s="2" t="str">
        <f>VLOOKUP([jobnumber],OvalData[],MATCH(Table2[[#Headers],[shell]],Table2[#Headers],0),0)</f>
        <v>6 INCH TUBE</v>
      </c>
      <c r="H205" s="2" t="str">
        <f>VLOOKUP([jobnumber],OvalData[],MATCH(Table2[[#Headers],[pipewidth]],Table2[#Headers],0),0)</f>
        <v xml:space="preserve"> 18 ft.- 1 3/ 8"</v>
      </c>
      <c r="I205" s="2">
        <f>VLOOKUP([jobnumber],OvalData[],MATCH(Table2[[#Headers],[Support Tubes]],Table2[#Headers],0),0)</f>
        <v>0</v>
      </c>
      <c r="J205" s="2">
        <f>VLOOKUP([jobnumber],OvalData[],MATCH(Table2[[#Headers],[Upset]],Table2[#Headers],0),0)</f>
        <v>2</v>
      </c>
      <c r="K205" s="2" t="str">
        <f>VLOOKUP([jobnumber],OvalData[],MATCH(Table2[[#Headers],[Guide Type]],Table2[#Headers],0),0)</f>
        <v>SN2-4 5/8-E</v>
      </c>
      <c r="L205" s="2" t="str">
        <f>VLOOKUP([jobnumber],OvalData[],MATCH(Table2[[#Headers],[Wall Angle]],Table2[#Headers],0),0)</f>
        <v xml:space="preserve"> 11 ft.- 8"</v>
      </c>
      <c r="M205" s="2" t="str">
        <f>VLOOKUP([jobnumber],OvalData[],MATCH(Table2[[#Headers],[Middle Angle]],Table2[#Headers],0),0)</f>
        <v xml:space="preserve"> 10 ft.- 4 1/ 2"</v>
      </c>
      <c r="N205" s="2" t="str">
        <f>VLOOKUP([jobnumber],OvalData[],MATCH(Table2[[#Headers],[Front Angle]],Table2[#Headers],0),0)</f>
        <v xml:space="preserve"> 10 ft.- 3"</v>
      </c>
      <c r="O205" s="2">
        <f>VLOOKUP([jobnumber],OvalData[],MATCH(Table2[[#Headers],[Pipe Center Line]],Table2[#Headers],0),0)</f>
        <v>131</v>
      </c>
      <c r="P205" s="2">
        <f>VLOOKUP([jobnumber],OvalData[],MATCH(Table2[[#Headers],[Heat Expansion Gap]],Table2[#Headers],0),0)</f>
        <v>0</v>
      </c>
      <c r="Q205" s="2">
        <f>VLOOKUP([jobnumber],OvalData[],MATCH(Table2[[#Headers],[Hanging Weight Closed]],Table2[#Headers],0),0)</f>
        <v>795</v>
      </c>
      <c r="R205" s="2">
        <f>VLOOKUP([jobnumber],OvalData[],MATCH(Table2[[#Headers],[Hanging Weight Open]],Table2[#Headers],0),0)</f>
        <v>140</v>
      </c>
      <c r="S205" s="2">
        <f>VLOOKUP([jobnumber],OvalData[],MATCH(Table2[[#Headers],[Initial Lever Arm]],Table2[#Headers],0),0)</f>
        <v>4.25</v>
      </c>
      <c r="T205" s="2">
        <f>VLOOKUP([jobnumber],OvalData[],MATCH(Table2[[#Headers],[Turns to Raise]],Table2[#Headers],0),0)</f>
        <v>3.5859999999999999</v>
      </c>
      <c r="U205" s="2">
        <f>VLOOKUP([jobnumber],OvalData[],MATCH(Table2[[#Headers],[Final Lever Arm]],Table2[#Headers],0),0)</f>
        <v>6.37</v>
      </c>
      <c r="V205" s="2">
        <f>VLOOKUP([jobnumber],OvalData[],MATCH(Table2[[#Headers],[Torque Required Closed]],Table2[#Headers],0),0)</f>
        <v>3377.9</v>
      </c>
      <c r="W205" s="2">
        <f>VLOOKUP([jobnumber],OvalData[],MATCH(Table2[[#Headers],[Torque Required Open]],Table2[#Headers],0),0)</f>
        <v>892</v>
      </c>
      <c r="X205" s="2">
        <f>VLOOKUP([jobnumber],OvalData[],MATCH(Table2[[#Headers],[Pre Turns]],Table2[#Headers],0),0)</f>
        <v>1.3332999999999999</v>
      </c>
      <c r="Y205" s="2">
        <f>VLOOKUP([jobnumber],OvalData[],MATCH(Table2[[#Headers],[Required Torque Per Turn]],Table2[#Headers],0),0)</f>
        <v>688</v>
      </c>
      <c r="Z205" s="2">
        <f>VLOOKUP([jobnumber],OvalData[],MATCH(Table2[[#Headers],[Total Turns]],Table2[#Headers],0),0)</f>
        <v>4.91</v>
      </c>
      <c r="AA205" s="2">
        <f>VLOOKUP([jobnumber],OvalData[],MATCH(Table2[[#Headers],[Grille Vision Section]],Table2[#Headers],0),0)</f>
        <v>0</v>
      </c>
      <c r="AB205" s="2">
        <f>VLOOKUP([jobnumber],OvalData[],MATCH(Table2[[#Headers],[Grille Amount]],Table2[#Headers],0),0)</f>
        <v>0</v>
      </c>
      <c r="AC205" s="2">
        <f>VLOOKUP([jobnumber],OvalData[],MATCH(Table2[[#Headers],[Grille Center]],Table2[#Headers],0),0)</f>
        <v>0</v>
      </c>
      <c r="AD205" s="2">
        <f>VLOOKUP([jobnumber],OvalData[],MATCH(Table2[[#Headers],[Grille Pattern]],Table2[#Headers],0),0)</f>
        <v>0</v>
      </c>
      <c r="AE205" s="2">
        <f>VLOOKUP([jobnumber],OvalData[],MATCH(Table2[[#Headers],[Grille First Tube]],Table2[#Headers],0),0)</f>
        <v>0</v>
      </c>
      <c r="AF205" s="2">
        <f>VLOOKUP([jobnumber],OvalData[],MATCH(Table2[[#Headers],[Grille Standard Tube]],Table2[#Headers],0),0)</f>
        <v>0</v>
      </c>
      <c r="AG205" s="2">
        <f>VLOOKUP([jobnumber],OvalData[],MATCH(Table2[[#Headers],[Grille Total Links]],Table2[#Headers],0),0)</f>
        <v>0</v>
      </c>
      <c r="AH205" s="2">
        <f>VLOOKUP([jobnumber],OvalData[],MATCH(Table2[[#Headers],[Grille Rods]],Table2[#Headers],0),0)</f>
        <v>0</v>
      </c>
      <c r="AI205" s="2">
        <f>VLOOKUP([jobnumber],OvalData[],MATCH(Table2[[#Headers],[Grille Rod Length]],Table2[#Headers],0),0)</f>
        <v>0</v>
      </c>
      <c r="AJ205" s="2">
        <f>VLOOKUP([jobnumber],OvalData[],MATCH(Table2[[#Headers],[slattype]],Table2[#Headers],0),0)</f>
        <v>2</v>
      </c>
      <c r="AK205" s="2">
        <f>VLOOKUP([jobnumber],OvalData[],MATCH(Table2[[#Headers],[slatgage]],Table2[#Headers],0),0)</f>
        <v>18</v>
      </c>
      <c r="AL205" s="2">
        <f>VLOOKUP([jobnumber],OvalData[],MATCH(Table2[[#Headers],[Numer of Top Slats]],Table2[#Headers],0),0)</f>
        <v>0</v>
      </c>
      <c r="AM205" s="2">
        <f>VLOOKUP([jobnumber],OvalData[],MATCH(Table2[[#Headers],[Number of Bottom Slats]],Table2[#Headers],0),0)</f>
        <v>0</v>
      </c>
      <c r="AN205" s="2">
        <f>VLOOKUP([jobnumber],OvalData[],MATCH(Table2[[#Headers],[Solid Bottom Height]],Table2[#Headers],0),0)</f>
        <v>0</v>
      </c>
      <c r="AO205" s="2" t="str">
        <f>VLOOKUP([jobnumber],OvalData[],MATCH(Table2[[#Headers],[slatlength]],Table2[#Headers],0),0)</f>
        <v xml:space="preserve"> 18 ft.- 5 7/ 8"</v>
      </c>
      <c r="AP205" s="2">
        <f>VLOOKUP([jobnumber],OvalData[],MATCH(Table2[[#Headers],[Bottom Slat Length]],Table2[#Headers],0),0)</f>
        <v>0</v>
      </c>
      <c r="AQ205" s="2">
        <f>VLOOKUP([jobnumber],OvalData[],MATCH(Table2[[#Headers],[Number of Perferated Slats]],Table2[#Headers],0),0)</f>
        <v>0</v>
      </c>
      <c r="AR205" s="2">
        <f>VLOOKUP([jobnumber],OvalData[],MATCH(Table2[[#Headers],[First Preferated Slat From End]],Table2[#Headers],0),0)</f>
        <v>0</v>
      </c>
      <c r="AS205" s="2">
        <f>VLOOKUP([jobnumber],OvalData[],MATCH(Table2[[#Headers],[First Preferated Slat From Bottom]],Table2[#Headers],0),0)</f>
        <v>0</v>
      </c>
      <c r="AT205" s="2">
        <f>VLOOKUP([jobnumber],OvalData[],MATCH(Table2[[#Headers],[Total Number of Slats]],Table2[#Headers],0),0)</f>
        <v>51</v>
      </c>
      <c r="AU205" s="2">
        <f>VLOOKUP([jobnumber],OvalData[],MATCH(Table2[[#Headers],[Bottom Bar Slope]],Table2[#Headers],0),0)</f>
        <v>0</v>
      </c>
      <c r="AV205" s="2">
        <f>VLOOKUP([jobnumber],OvalData[],MATCH(Table2[[#Headers],[Bottom Bar Weight]],Table2[#Headers],0),0)</f>
        <v>80.5</v>
      </c>
      <c r="AW205" s="2" t="str">
        <f>VLOOKUP([jobnumber],OvalData[],MATCH(Table2[[#Headers],[Outer Spring Gage]],Table2[#Headers],0),0)</f>
        <v>Null</v>
      </c>
      <c r="AX205" s="2" t="str">
        <f>VLOOKUP([jobnumber],OvalData[],MATCH(Table2[[#Headers],[Outer Spring OD]],Table2[#Headers],0),0)</f>
        <v>Null</v>
      </c>
      <c r="AY205" s="2" t="str">
        <f>VLOOKUP([jobnumber],OvalData[],MATCH(Table2[[#Headers],[Outer Spring Length]],Table2[#Headers],0),0)</f>
        <v>Null</v>
      </c>
      <c r="AZ205" s="2" t="str">
        <f>VLOOKUP([jobnumber],OvalData[],MATCH(Table2[[#Headers],[Outer Spring Stretch]],Table2[#Headers],0),0)</f>
        <v>Null</v>
      </c>
      <c r="BA205" s="2" t="str">
        <f>VLOOKUP([jobnumber],OvalData[],MATCH(Table2[[#Headers],[Outer Spring Torque]],Table2[#Headers],0),0)</f>
        <v>Null</v>
      </c>
      <c r="BB205" s="2" t="str">
        <f>VLOOKUP([jobnumber],OvalData[],MATCH(Table2[[#Headers],[Outer Spring Max Turns]],Table2[#Headers],0),0)</f>
        <v>Null</v>
      </c>
      <c r="BC205" s="2" t="str">
        <f>VLOOKUP([jobnumber],OvalData[],MATCH(Table2[[#Headers],[Outer Spring Weight]],Table2[#Headers],0),0)</f>
        <v>Null</v>
      </c>
      <c r="BD205" s="2" t="str">
        <f>VLOOKUP([jobnumber],OvalData[],MATCH(Table2[[#Headers],[Inner Spring Gage]],Table2[#Headers],0),0)</f>
        <v>Null</v>
      </c>
      <c r="BE205" s="2" t="str">
        <f>VLOOKUP([jobnumber],OvalData[],MATCH(Table2[[#Headers],[Inner Spring OD]],Table2[#Headers],0),0)</f>
        <v>Null</v>
      </c>
      <c r="BF205" s="2" t="str">
        <f>VLOOKUP([jobnumber],OvalData[],MATCH(Table2[[#Headers],[Inner Spring Length]],Table2[#Headers],0),0)</f>
        <v>Null</v>
      </c>
      <c r="BG205" s="2" t="str">
        <f>VLOOKUP([jobnumber],OvalData[],MATCH(Table2[[#Headers],[Inner Spring Stretch]],Table2[#Headers],0),0)</f>
        <v>Null</v>
      </c>
      <c r="BH205" s="2" t="str">
        <f>VLOOKUP([jobnumber],OvalData[],MATCH(Table2[[#Headers],[Inner Spring Torque]],Table2[#Headers],0),0)</f>
        <v>Null</v>
      </c>
      <c r="BI205" s="2" t="str">
        <f>VLOOKUP([jobnumber],OvalData[],MATCH(Table2[[#Headers],[Inner Spring Max Turns]],Table2[#Headers],0),0)</f>
        <v>Null</v>
      </c>
      <c r="BJ205" s="2" t="str">
        <f>VLOOKUP([jobnumber],OvalData[],MATCH(Table2[[#Headers],[Inner Spring Weight]],Table2[#Headers],0),0)</f>
        <v>Null</v>
      </c>
      <c r="BK205" s="2">
        <f>VLOOKUP([jobnumber],OvalData[],MATCH(Table2[[#Headers],[Cycles]],Table2[#Headers],0),0)</f>
        <v>0</v>
      </c>
      <c r="BL205" s="2">
        <f>VLOOKUP([jobnumber],OvalData[],MATCH(Table2[[#Headers],[Total Spring Torque]],Table2[#Headers],0),0)</f>
        <v>0</v>
      </c>
      <c r="BM205" s="2">
        <f>VLOOKUP([jobnumber],OvalData[],MATCH(Table2[[#Headers],[Total Spring Weight]],Table2[#Headers],0),0)</f>
        <v>0</v>
      </c>
      <c r="BN205" s="2">
        <f>VLOOKUP([jobnumber],OvalData[],MATCH(Table2[[#Headers],[Pipe Weight]],Table2[#Headers],0),0)</f>
        <v>688.24239999999998</v>
      </c>
      <c r="BO205" s="2">
        <f>VLOOKUP([jobnumber],OvalData[],MATCH(Table2[[#Headers],[Max Pipe Deflection]],Table2[#Headers],0),0)</f>
        <v>2309</v>
      </c>
      <c r="BP205" s="2">
        <f>VLOOKUP([jobnumber],OvalData[],MATCH(Table2[[#Headers],[Number Non-Insulated Wrap Slats]],Table2[#Headers],0),0)</f>
        <v>0</v>
      </c>
      <c r="BQ205" s="2">
        <f>VLOOKUP([jobnumber],OvalData[],MATCH(Table2[[#Headers],[Number of Insolated Top Slats]],Table2[#Headers],0),0)</f>
        <v>45</v>
      </c>
      <c r="BR205" s="2">
        <f>VLOOKUP([jobnumber],OvalData[],MATCH(Table2[[#Headers],[Insolated Total Slats]],Table2[#Headers],0),0)</f>
        <v>45</v>
      </c>
      <c r="BS205" s="2">
        <f>VLOOKUP([jobnumber],OvalData[],MATCH(Table2[[#Headers],[Number of Slats]],Table2[#Headers],0),0)</f>
        <v>44.69</v>
      </c>
      <c r="BT205" s="2">
        <f>VLOOKUP([jobnumber],OvalData[],MATCH(Table2[[#Headers],[Wrap]],Table2[#Headers],0),0)</f>
        <v>0</v>
      </c>
      <c r="BU205" s="2">
        <f>VLOOKUP([jobnumber],OvalData[],MATCH(Table2[[#Headers],[Wall Angle Thickness]],Table2[#Headers],0),0)</f>
        <v>0</v>
      </c>
      <c r="BV205" s="2">
        <f>VLOOKUP([jobnumber],OvalData[],MATCH(Table2[[#Headers],[windlocks]],Table2[#Headers],0),0)</f>
        <v>0</v>
      </c>
      <c r="BW205" s="2" t="str">
        <f>VLOOKUP([jobnumber],OvalData[],MATCH(Table2[[#Headers],[bottombartype]],Table2[#Headers],0),0)</f>
        <v>SPECIAL</v>
      </c>
      <c r="BX205" s="2">
        <f>VLOOKUP([jobnumber],OvalData[],MATCH(Table2[[#Headers],[endlockweight]],Table2[#Headers],0),0)</f>
        <v>0.17</v>
      </c>
      <c r="BY205" s="2">
        <f>VLOOKUP([jobnumber],OvalData[],MATCH(Table2[[#Headers],[Endlock Total Weight]],Table2[#Headers],0),0)</f>
        <v>7.5972999999999997</v>
      </c>
      <c r="BZ205" s="2">
        <f>VLOOKUP([jobnumber],OvalData[],MATCH(Table2[[#Headers],[Grille Weight]],Table2[#Headers],0),0)</f>
        <v>0</v>
      </c>
      <c r="CA205" s="2">
        <f>VLOOKUP([jobnumber],OvalData[],MATCH(Table2[[#Headers],[barrelrings]],Table2[#Headers],0),0)</f>
        <v>1</v>
      </c>
    </row>
    <row r="206" spans="2:79">
      <c r="B206" s="2" t="str">
        <f>VLOOKUP([jobnumber],OvalData[],MATCH(Table2[[#Headers],[Hand]],Table2[#Headers],0),0)</f>
        <v>RH</v>
      </c>
      <c r="C206" s="2" t="str">
        <f>VLOOKUP([jobnumber],OvalData[],MATCH(Table2[[#Headers],[Model]],Table2[#Headers],0),0)</f>
        <v>SFMPP</v>
      </c>
      <c r="D206" s="2" t="str">
        <f>VLOOKUP([jobnumber],OvalData[],MATCH(Table2[[#Headers],[width]],Table2[#Headers],0),0)</f>
        <v xml:space="preserve"> 18 ft.- 2"</v>
      </c>
      <c r="E206" s="2" t="str">
        <f>VLOOKUP([jobnumber],OvalData[],MATCH(Table2[[#Headers],[stopheight]],Table2[#Headers],0),0)</f>
        <v xml:space="preserve"> 10 ft.- 0"</v>
      </c>
      <c r="F206" s="2" t="str">
        <f>VLOOKUP([jobnumber],OvalData[],MATCH(Table2[[#Headers],[Between Brackets]],Table2[#Headers],0),0)</f>
        <v xml:space="preserve"> 18 ft.- 7 7/ 8"</v>
      </c>
      <c r="G206" s="2" t="str">
        <f>VLOOKUP([jobnumber],OvalData[],MATCH(Table2[[#Headers],[shell]],Table2[#Headers],0),0)</f>
        <v>6 INCH TUBE</v>
      </c>
      <c r="H206" s="2" t="str">
        <f>VLOOKUP([jobnumber],OvalData[],MATCH(Table2[[#Headers],[pipewidth]],Table2[#Headers],0),0)</f>
        <v xml:space="preserve"> 18 ft.- 1 3/ 8"</v>
      </c>
      <c r="I206" s="2">
        <f>VLOOKUP([jobnumber],OvalData[],MATCH(Table2[[#Headers],[Support Tubes]],Table2[#Headers],0),0)</f>
        <v>0</v>
      </c>
      <c r="J206" s="2">
        <f>VLOOKUP([jobnumber],OvalData[],MATCH(Table2[[#Headers],[Upset]],Table2[#Headers],0),0)</f>
        <v>2</v>
      </c>
      <c r="K206" s="2" t="str">
        <f>VLOOKUP([jobnumber],OvalData[],MATCH(Table2[[#Headers],[Guide Type]],Table2[#Headers],0),0)</f>
        <v>SN2-4 5/8-E</v>
      </c>
      <c r="L206" s="2" t="str">
        <f>VLOOKUP([jobnumber],OvalData[],MATCH(Table2[[#Headers],[Wall Angle]],Table2[#Headers],0),0)</f>
        <v xml:space="preserve"> 11 ft.- 8"</v>
      </c>
      <c r="M206" s="2" t="str">
        <f>VLOOKUP([jobnumber],OvalData[],MATCH(Table2[[#Headers],[Middle Angle]],Table2[#Headers],0),0)</f>
        <v xml:space="preserve"> 10 ft.- 4 1/ 2"</v>
      </c>
      <c r="N206" s="2" t="str">
        <f>VLOOKUP([jobnumber],OvalData[],MATCH(Table2[[#Headers],[Front Angle]],Table2[#Headers],0),0)</f>
        <v xml:space="preserve"> 10 ft.- 3"</v>
      </c>
      <c r="O206" s="2">
        <f>VLOOKUP([jobnumber],OvalData[],MATCH(Table2[[#Headers],[Pipe Center Line]],Table2[#Headers],0),0)</f>
        <v>131</v>
      </c>
      <c r="P206" s="2">
        <f>VLOOKUP([jobnumber],OvalData[],MATCH(Table2[[#Headers],[Heat Expansion Gap]],Table2[#Headers],0),0)</f>
        <v>0</v>
      </c>
      <c r="Q206" s="2">
        <f>VLOOKUP([jobnumber],OvalData[],MATCH(Table2[[#Headers],[Hanging Weight Closed]],Table2[#Headers],0),0)</f>
        <v>795</v>
      </c>
      <c r="R206" s="2">
        <f>VLOOKUP([jobnumber],OvalData[],MATCH(Table2[[#Headers],[Hanging Weight Open]],Table2[#Headers],0),0)</f>
        <v>140</v>
      </c>
      <c r="S206" s="2">
        <f>VLOOKUP([jobnumber],OvalData[],MATCH(Table2[[#Headers],[Initial Lever Arm]],Table2[#Headers],0),0)</f>
        <v>4.25</v>
      </c>
      <c r="T206" s="2">
        <f>VLOOKUP([jobnumber],OvalData[],MATCH(Table2[[#Headers],[Turns to Raise]],Table2[#Headers],0),0)</f>
        <v>3.5859999999999999</v>
      </c>
      <c r="U206" s="2">
        <f>VLOOKUP([jobnumber],OvalData[],MATCH(Table2[[#Headers],[Final Lever Arm]],Table2[#Headers],0),0)</f>
        <v>6.37</v>
      </c>
      <c r="V206" s="2">
        <f>VLOOKUP([jobnumber],OvalData[],MATCH(Table2[[#Headers],[Torque Required Closed]],Table2[#Headers],0),0)</f>
        <v>3377.9</v>
      </c>
      <c r="W206" s="2">
        <f>VLOOKUP([jobnumber],OvalData[],MATCH(Table2[[#Headers],[Torque Required Open]],Table2[#Headers],0),0)</f>
        <v>892</v>
      </c>
      <c r="X206" s="2">
        <f>VLOOKUP([jobnumber],OvalData[],MATCH(Table2[[#Headers],[Pre Turns]],Table2[#Headers],0),0)</f>
        <v>1.3332999999999999</v>
      </c>
      <c r="Y206" s="2">
        <f>VLOOKUP([jobnumber],OvalData[],MATCH(Table2[[#Headers],[Required Torque Per Turn]],Table2[#Headers],0),0)</f>
        <v>688</v>
      </c>
      <c r="Z206" s="2">
        <f>VLOOKUP([jobnumber],OvalData[],MATCH(Table2[[#Headers],[Total Turns]],Table2[#Headers],0),0)</f>
        <v>4.91</v>
      </c>
      <c r="AA206" s="2">
        <f>VLOOKUP([jobnumber],OvalData[],MATCH(Table2[[#Headers],[Grille Vision Section]],Table2[#Headers],0),0)</f>
        <v>0</v>
      </c>
      <c r="AB206" s="2">
        <f>VLOOKUP([jobnumber],OvalData[],MATCH(Table2[[#Headers],[Grille Amount]],Table2[#Headers],0),0)</f>
        <v>0</v>
      </c>
      <c r="AC206" s="2">
        <f>VLOOKUP([jobnumber],OvalData[],MATCH(Table2[[#Headers],[Grille Center]],Table2[#Headers],0),0)</f>
        <v>0</v>
      </c>
      <c r="AD206" s="2">
        <f>VLOOKUP([jobnumber],OvalData[],MATCH(Table2[[#Headers],[Grille Pattern]],Table2[#Headers],0),0)</f>
        <v>0</v>
      </c>
      <c r="AE206" s="2">
        <f>VLOOKUP([jobnumber],OvalData[],MATCH(Table2[[#Headers],[Grille First Tube]],Table2[#Headers],0),0)</f>
        <v>0</v>
      </c>
      <c r="AF206" s="2">
        <f>VLOOKUP([jobnumber],OvalData[],MATCH(Table2[[#Headers],[Grille Standard Tube]],Table2[#Headers],0),0)</f>
        <v>0</v>
      </c>
      <c r="AG206" s="2">
        <f>VLOOKUP([jobnumber],OvalData[],MATCH(Table2[[#Headers],[Grille Total Links]],Table2[#Headers],0),0)</f>
        <v>0</v>
      </c>
      <c r="AH206" s="2">
        <f>VLOOKUP([jobnumber],OvalData[],MATCH(Table2[[#Headers],[Grille Rods]],Table2[#Headers],0),0)</f>
        <v>0</v>
      </c>
      <c r="AI206" s="2">
        <f>VLOOKUP([jobnumber],OvalData[],MATCH(Table2[[#Headers],[Grille Rod Length]],Table2[#Headers],0),0)</f>
        <v>0</v>
      </c>
      <c r="AJ206" s="2">
        <f>VLOOKUP([jobnumber],OvalData[],MATCH(Table2[[#Headers],[slattype]],Table2[#Headers],0),0)</f>
        <v>2</v>
      </c>
      <c r="AK206" s="2">
        <f>VLOOKUP([jobnumber],OvalData[],MATCH(Table2[[#Headers],[slatgage]],Table2[#Headers],0),0)</f>
        <v>18</v>
      </c>
      <c r="AL206" s="2">
        <f>VLOOKUP([jobnumber],OvalData[],MATCH(Table2[[#Headers],[Numer of Top Slats]],Table2[#Headers],0),0)</f>
        <v>0</v>
      </c>
      <c r="AM206" s="2">
        <f>VLOOKUP([jobnumber],OvalData[],MATCH(Table2[[#Headers],[Number of Bottom Slats]],Table2[#Headers],0),0)</f>
        <v>0</v>
      </c>
      <c r="AN206" s="2">
        <f>VLOOKUP([jobnumber],OvalData[],MATCH(Table2[[#Headers],[Solid Bottom Height]],Table2[#Headers],0),0)</f>
        <v>0</v>
      </c>
      <c r="AO206" s="2" t="str">
        <f>VLOOKUP([jobnumber],OvalData[],MATCH(Table2[[#Headers],[slatlength]],Table2[#Headers],0),0)</f>
        <v xml:space="preserve"> 18 ft.- 5 7/ 8"</v>
      </c>
      <c r="AP206" s="2">
        <f>VLOOKUP([jobnumber],OvalData[],MATCH(Table2[[#Headers],[Bottom Slat Length]],Table2[#Headers],0),0)</f>
        <v>0</v>
      </c>
      <c r="AQ206" s="2">
        <f>VLOOKUP([jobnumber],OvalData[],MATCH(Table2[[#Headers],[Number of Perferated Slats]],Table2[#Headers],0),0)</f>
        <v>0</v>
      </c>
      <c r="AR206" s="2">
        <f>VLOOKUP([jobnumber],OvalData[],MATCH(Table2[[#Headers],[First Preferated Slat From End]],Table2[#Headers],0),0)</f>
        <v>0</v>
      </c>
      <c r="AS206" s="2">
        <f>VLOOKUP([jobnumber],OvalData[],MATCH(Table2[[#Headers],[First Preferated Slat From Bottom]],Table2[#Headers],0),0)</f>
        <v>0</v>
      </c>
      <c r="AT206" s="2">
        <f>VLOOKUP([jobnumber],OvalData[],MATCH(Table2[[#Headers],[Total Number of Slats]],Table2[#Headers],0),0)</f>
        <v>51</v>
      </c>
      <c r="AU206" s="2">
        <f>VLOOKUP([jobnumber],OvalData[],MATCH(Table2[[#Headers],[Bottom Bar Slope]],Table2[#Headers],0),0)</f>
        <v>0</v>
      </c>
      <c r="AV206" s="2">
        <f>VLOOKUP([jobnumber],OvalData[],MATCH(Table2[[#Headers],[Bottom Bar Weight]],Table2[#Headers],0),0)</f>
        <v>80.5</v>
      </c>
      <c r="AW206" s="2" t="str">
        <f>VLOOKUP([jobnumber],OvalData[],MATCH(Table2[[#Headers],[Outer Spring Gage]],Table2[#Headers],0),0)</f>
        <v>Null</v>
      </c>
      <c r="AX206" s="2" t="str">
        <f>VLOOKUP([jobnumber],OvalData[],MATCH(Table2[[#Headers],[Outer Spring OD]],Table2[#Headers],0),0)</f>
        <v>Null</v>
      </c>
      <c r="AY206" s="2" t="str">
        <f>VLOOKUP([jobnumber],OvalData[],MATCH(Table2[[#Headers],[Outer Spring Length]],Table2[#Headers],0),0)</f>
        <v>Null</v>
      </c>
      <c r="AZ206" s="2" t="str">
        <f>VLOOKUP([jobnumber],OvalData[],MATCH(Table2[[#Headers],[Outer Spring Stretch]],Table2[#Headers],0),0)</f>
        <v>Null</v>
      </c>
      <c r="BA206" s="2" t="str">
        <f>VLOOKUP([jobnumber],OvalData[],MATCH(Table2[[#Headers],[Outer Spring Torque]],Table2[#Headers],0),0)</f>
        <v>Null</v>
      </c>
      <c r="BB206" s="2" t="str">
        <f>VLOOKUP([jobnumber],OvalData[],MATCH(Table2[[#Headers],[Outer Spring Max Turns]],Table2[#Headers],0),0)</f>
        <v>Null</v>
      </c>
      <c r="BC206" s="2" t="str">
        <f>VLOOKUP([jobnumber],OvalData[],MATCH(Table2[[#Headers],[Outer Spring Weight]],Table2[#Headers],0),0)</f>
        <v>Null</v>
      </c>
      <c r="BD206" s="2" t="str">
        <f>VLOOKUP([jobnumber],OvalData[],MATCH(Table2[[#Headers],[Inner Spring Gage]],Table2[#Headers],0),0)</f>
        <v>Null</v>
      </c>
      <c r="BE206" s="2" t="str">
        <f>VLOOKUP([jobnumber],OvalData[],MATCH(Table2[[#Headers],[Inner Spring OD]],Table2[#Headers],0),0)</f>
        <v>Null</v>
      </c>
      <c r="BF206" s="2" t="str">
        <f>VLOOKUP([jobnumber],OvalData[],MATCH(Table2[[#Headers],[Inner Spring Length]],Table2[#Headers],0),0)</f>
        <v>Null</v>
      </c>
      <c r="BG206" s="2" t="str">
        <f>VLOOKUP([jobnumber],OvalData[],MATCH(Table2[[#Headers],[Inner Spring Stretch]],Table2[#Headers],0),0)</f>
        <v>Null</v>
      </c>
      <c r="BH206" s="2" t="str">
        <f>VLOOKUP([jobnumber],OvalData[],MATCH(Table2[[#Headers],[Inner Spring Torque]],Table2[#Headers],0),0)</f>
        <v>Null</v>
      </c>
      <c r="BI206" s="2" t="str">
        <f>VLOOKUP([jobnumber],OvalData[],MATCH(Table2[[#Headers],[Inner Spring Max Turns]],Table2[#Headers],0),0)</f>
        <v>Null</v>
      </c>
      <c r="BJ206" s="2" t="str">
        <f>VLOOKUP([jobnumber],OvalData[],MATCH(Table2[[#Headers],[Inner Spring Weight]],Table2[#Headers],0),0)</f>
        <v>Null</v>
      </c>
      <c r="BK206" s="2">
        <f>VLOOKUP([jobnumber],OvalData[],MATCH(Table2[[#Headers],[Cycles]],Table2[#Headers],0),0)</f>
        <v>0</v>
      </c>
      <c r="BL206" s="2">
        <f>VLOOKUP([jobnumber],OvalData[],MATCH(Table2[[#Headers],[Total Spring Torque]],Table2[#Headers],0),0)</f>
        <v>0</v>
      </c>
      <c r="BM206" s="2">
        <f>VLOOKUP([jobnumber],OvalData[],MATCH(Table2[[#Headers],[Total Spring Weight]],Table2[#Headers],0),0)</f>
        <v>0</v>
      </c>
      <c r="BN206" s="2">
        <f>VLOOKUP([jobnumber],OvalData[],MATCH(Table2[[#Headers],[Pipe Weight]],Table2[#Headers],0),0)</f>
        <v>688.24239999999998</v>
      </c>
      <c r="BO206" s="2">
        <f>VLOOKUP([jobnumber],OvalData[],MATCH(Table2[[#Headers],[Max Pipe Deflection]],Table2[#Headers],0),0)</f>
        <v>2309</v>
      </c>
      <c r="BP206" s="2">
        <f>VLOOKUP([jobnumber],OvalData[],MATCH(Table2[[#Headers],[Number Non-Insulated Wrap Slats]],Table2[#Headers],0),0)</f>
        <v>0</v>
      </c>
      <c r="BQ206" s="2">
        <f>VLOOKUP([jobnumber],OvalData[],MATCH(Table2[[#Headers],[Number of Insolated Top Slats]],Table2[#Headers],0),0)</f>
        <v>45</v>
      </c>
      <c r="BR206" s="2">
        <f>VLOOKUP([jobnumber],OvalData[],MATCH(Table2[[#Headers],[Insolated Total Slats]],Table2[#Headers],0),0)</f>
        <v>45</v>
      </c>
      <c r="BS206" s="2">
        <f>VLOOKUP([jobnumber],OvalData[],MATCH(Table2[[#Headers],[Number of Slats]],Table2[#Headers],0),0)</f>
        <v>44.69</v>
      </c>
      <c r="BT206" s="2">
        <f>VLOOKUP([jobnumber],OvalData[],MATCH(Table2[[#Headers],[Wrap]],Table2[#Headers],0),0)</f>
        <v>0</v>
      </c>
      <c r="BU206" s="2">
        <f>VLOOKUP([jobnumber],OvalData[],MATCH(Table2[[#Headers],[Wall Angle Thickness]],Table2[#Headers],0),0)</f>
        <v>0</v>
      </c>
      <c r="BV206" s="2">
        <f>VLOOKUP([jobnumber],OvalData[],MATCH(Table2[[#Headers],[windlocks]],Table2[#Headers],0),0)</f>
        <v>0</v>
      </c>
      <c r="BW206" s="2" t="str">
        <f>VLOOKUP([jobnumber],OvalData[],MATCH(Table2[[#Headers],[bottombartype]],Table2[#Headers],0),0)</f>
        <v>SPECIAL</v>
      </c>
      <c r="BX206" s="2">
        <f>VLOOKUP([jobnumber],OvalData[],MATCH(Table2[[#Headers],[endlockweight]],Table2[#Headers],0),0)</f>
        <v>0.17</v>
      </c>
      <c r="BY206" s="2">
        <f>VLOOKUP([jobnumber],OvalData[],MATCH(Table2[[#Headers],[Endlock Total Weight]],Table2[#Headers],0),0)</f>
        <v>7.5972999999999997</v>
      </c>
      <c r="BZ206" s="2">
        <f>VLOOKUP([jobnumber],OvalData[],MATCH(Table2[[#Headers],[Grille Weight]],Table2[#Headers],0),0)</f>
        <v>0</v>
      </c>
      <c r="CA206" s="2">
        <f>VLOOKUP([jobnumber],OvalData[],MATCH(Table2[[#Headers],[barrelrings]],Table2[#Headers],0),0)</f>
        <v>1</v>
      </c>
    </row>
    <row r="207" spans="2:79">
      <c r="B207" s="2" t="str">
        <f>VLOOKUP([jobnumber],OvalData[],MATCH(Table2[[#Headers],[Hand]],Table2[#Headers],0),0)</f>
        <v>RH</v>
      </c>
      <c r="C207" s="2" t="str">
        <f>VLOOKUP([jobnumber],OvalData[],MATCH(Table2[[#Headers],[Model]],Table2[#Headers],0),0)</f>
        <v>SFMPP</v>
      </c>
      <c r="D207" s="2" t="str">
        <f>VLOOKUP([jobnumber],OvalData[],MATCH(Table2[[#Headers],[width]],Table2[#Headers],0),0)</f>
        <v xml:space="preserve"> 18 ft.- 2"</v>
      </c>
      <c r="E207" s="2" t="str">
        <f>VLOOKUP([jobnumber],OvalData[],MATCH(Table2[[#Headers],[stopheight]],Table2[#Headers],0),0)</f>
        <v xml:space="preserve"> 10 ft.- 0"</v>
      </c>
      <c r="F207" s="2" t="str">
        <f>VLOOKUP([jobnumber],OvalData[],MATCH(Table2[[#Headers],[Between Brackets]],Table2[#Headers],0),0)</f>
        <v xml:space="preserve"> 18 ft.- 7 7/ 8"</v>
      </c>
      <c r="G207" s="2" t="str">
        <f>VLOOKUP([jobnumber],OvalData[],MATCH(Table2[[#Headers],[shell]],Table2[#Headers],0),0)</f>
        <v>6 INCH TUBE</v>
      </c>
      <c r="H207" s="2" t="str">
        <f>VLOOKUP([jobnumber],OvalData[],MATCH(Table2[[#Headers],[pipewidth]],Table2[#Headers],0),0)</f>
        <v xml:space="preserve"> 18 ft.- 1 3/ 8"</v>
      </c>
      <c r="I207" s="2">
        <f>VLOOKUP([jobnumber],OvalData[],MATCH(Table2[[#Headers],[Support Tubes]],Table2[#Headers],0),0)</f>
        <v>0</v>
      </c>
      <c r="J207" s="2">
        <f>VLOOKUP([jobnumber],OvalData[],MATCH(Table2[[#Headers],[Upset]],Table2[#Headers],0),0)</f>
        <v>2</v>
      </c>
      <c r="K207" s="2" t="str">
        <f>VLOOKUP([jobnumber],OvalData[],MATCH(Table2[[#Headers],[Guide Type]],Table2[#Headers],0),0)</f>
        <v>SN2-4 5/8-E</v>
      </c>
      <c r="L207" s="2" t="str">
        <f>VLOOKUP([jobnumber],OvalData[],MATCH(Table2[[#Headers],[Wall Angle]],Table2[#Headers],0),0)</f>
        <v xml:space="preserve"> 11 ft.- 8"</v>
      </c>
      <c r="M207" s="2" t="str">
        <f>VLOOKUP([jobnumber],OvalData[],MATCH(Table2[[#Headers],[Middle Angle]],Table2[#Headers],0),0)</f>
        <v xml:space="preserve"> 10 ft.- 4 1/ 2"</v>
      </c>
      <c r="N207" s="2" t="str">
        <f>VLOOKUP([jobnumber],OvalData[],MATCH(Table2[[#Headers],[Front Angle]],Table2[#Headers],0),0)</f>
        <v xml:space="preserve"> 10 ft.- 3"</v>
      </c>
      <c r="O207" s="2">
        <f>VLOOKUP([jobnumber],OvalData[],MATCH(Table2[[#Headers],[Pipe Center Line]],Table2[#Headers],0),0)</f>
        <v>131</v>
      </c>
      <c r="P207" s="2">
        <f>VLOOKUP([jobnumber],OvalData[],MATCH(Table2[[#Headers],[Heat Expansion Gap]],Table2[#Headers],0),0)</f>
        <v>0</v>
      </c>
      <c r="Q207" s="2">
        <f>VLOOKUP([jobnumber],OvalData[],MATCH(Table2[[#Headers],[Hanging Weight Closed]],Table2[#Headers],0),0)</f>
        <v>795</v>
      </c>
      <c r="R207" s="2">
        <f>VLOOKUP([jobnumber],OvalData[],MATCH(Table2[[#Headers],[Hanging Weight Open]],Table2[#Headers],0),0)</f>
        <v>140</v>
      </c>
      <c r="S207" s="2">
        <f>VLOOKUP([jobnumber],OvalData[],MATCH(Table2[[#Headers],[Initial Lever Arm]],Table2[#Headers],0),0)</f>
        <v>4.25</v>
      </c>
      <c r="T207" s="2">
        <f>VLOOKUP([jobnumber],OvalData[],MATCH(Table2[[#Headers],[Turns to Raise]],Table2[#Headers],0),0)</f>
        <v>3.5859999999999999</v>
      </c>
      <c r="U207" s="2">
        <f>VLOOKUP([jobnumber],OvalData[],MATCH(Table2[[#Headers],[Final Lever Arm]],Table2[#Headers],0),0)</f>
        <v>6.37</v>
      </c>
      <c r="V207" s="2">
        <f>VLOOKUP([jobnumber],OvalData[],MATCH(Table2[[#Headers],[Torque Required Closed]],Table2[#Headers],0),0)</f>
        <v>3377.9</v>
      </c>
      <c r="W207" s="2">
        <f>VLOOKUP([jobnumber],OvalData[],MATCH(Table2[[#Headers],[Torque Required Open]],Table2[#Headers],0),0)</f>
        <v>892</v>
      </c>
      <c r="X207" s="2">
        <f>VLOOKUP([jobnumber],OvalData[],MATCH(Table2[[#Headers],[Pre Turns]],Table2[#Headers],0),0)</f>
        <v>1.3332999999999999</v>
      </c>
      <c r="Y207" s="2">
        <f>VLOOKUP([jobnumber],OvalData[],MATCH(Table2[[#Headers],[Required Torque Per Turn]],Table2[#Headers],0),0)</f>
        <v>688</v>
      </c>
      <c r="Z207" s="2">
        <f>VLOOKUP([jobnumber],OvalData[],MATCH(Table2[[#Headers],[Total Turns]],Table2[#Headers],0),0)</f>
        <v>4.91</v>
      </c>
      <c r="AA207" s="2">
        <f>VLOOKUP([jobnumber],OvalData[],MATCH(Table2[[#Headers],[Grille Vision Section]],Table2[#Headers],0),0)</f>
        <v>0</v>
      </c>
      <c r="AB207" s="2">
        <f>VLOOKUP([jobnumber],OvalData[],MATCH(Table2[[#Headers],[Grille Amount]],Table2[#Headers],0),0)</f>
        <v>0</v>
      </c>
      <c r="AC207" s="2">
        <f>VLOOKUP([jobnumber],OvalData[],MATCH(Table2[[#Headers],[Grille Center]],Table2[#Headers],0),0)</f>
        <v>0</v>
      </c>
      <c r="AD207" s="2">
        <f>VLOOKUP([jobnumber],OvalData[],MATCH(Table2[[#Headers],[Grille Pattern]],Table2[#Headers],0),0)</f>
        <v>0</v>
      </c>
      <c r="AE207" s="2">
        <f>VLOOKUP([jobnumber],OvalData[],MATCH(Table2[[#Headers],[Grille First Tube]],Table2[#Headers],0),0)</f>
        <v>0</v>
      </c>
      <c r="AF207" s="2">
        <f>VLOOKUP([jobnumber],OvalData[],MATCH(Table2[[#Headers],[Grille Standard Tube]],Table2[#Headers],0),0)</f>
        <v>0</v>
      </c>
      <c r="AG207" s="2">
        <f>VLOOKUP([jobnumber],OvalData[],MATCH(Table2[[#Headers],[Grille Total Links]],Table2[#Headers],0),0)</f>
        <v>0</v>
      </c>
      <c r="AH207" s="2">
        <f>VLOOKUP([jobnumber],OvalData[],MATCH(Table2[[#Headers],[Grille Rods]],Table2[#Headers],0),0)</f>
        <v>0</v>
      </c>
      <c r="AI207" s="2">
        <f>VLOOKUP([jobnumber],OvalData[],MATCH(Table2[[#Headers],[Grille Rod Length]],Table2[#Headers],0),0)</f>
        <v>0</v>
      </c>
      <c r="AJ207" s="2">
        <f>VLOOKUP([jobnumber],OvalData[],MATCH(Table2[[#Headers],[slattype]],Table2[#Headers],0),0)</f>
        <v>2</v>
      </c>
      <c r="AK207" s="2">
        <f>VLOOKUP([jobnumber],OvalData[],MATCH(Table2[[#Headers],[slatgage]],Table2[#Headers],0),0)</f>
        <v>18</v>
      </c>
      <c r="AL207" s="2">
        <f>VLOOKUP([jobnumber],OvalData[],MATCH(Table2[[#Headers],[Numer of Top Slats]],Table2[#Headers],0),0)</f>
        <v>0</v>
      </c>
      <c r="AM207" s="2">
        <f>VLOOKUP([jobnumber],OvalData[],MATCH(Table2[[#Headers],[Number of Bottom Slats]],Table2[#Headers],0),0)</f>
        <v>0</v>
      </c>
      <c r="AN207" s="2">
        <f>VLOOKUP([jobnumber],OvalData[],MATCH(Table2[[#Headers],[Solid Bottom Height]],Table2[#Headers],0),0)</f>
        <v>0</v>
      </c>
      <c r="AO207" s="2" t="str">
        <f>VLOOKUP([jobnumber],OvalData[],MATCH(Table2[[#Headers],[slatlength]],Table2[#Headers],0),0)</f>
        <v xml:space="preserve"> 18 ft.- 5 7/ 8"</v>
      </c>
      <c r="AP207" s="2">
        <f>VLOOKUP([jobnumber],OvalData[],MATCH(Table2[[#Headers],[Bottom Slat Length]],Table2[#Headers],0),0)</f>
        <v>0</v>
      </c>
      <c r="AQ207" s="2">
        <f>VLOOKUP([jobnumber],OvalData[],MATCH(Table2[[#Headers],[Number of Perferated Slats]],Table2[#Headers],0),0)</f>
        <v>0</v>
      </c>
      <c r="AR207" s="2">
        <f>VLOOKUP([jobnumber],OvalData[],MATCH(Table2[[#Headers],[First Preferated Slat From End]],Table2[#Headers],0),0)</f>
        <v>0</v>
      </c>
      <c r="AS207" s="2">
        <f>VLOOKUP([jobnumber],OvalData[],MATCH(Table2[[#Headers],[First Preferated Slat From Bottom]],Table2[#Headers],0),0)</f>
        <v>0</v>
      </c>
      <c r="AT207" s="2">
        <f>VLOOKUP([jobnumber],OvalData[],MATCH(Table2[[#Headers],[Total Number of Slats]],Table2[#Headers],0),0)</f>
        <v>51</v>
      </c>
      <c r="AU207" s="2">
        <f>VLOOKUP([jobnumber],OvalData[],MATCH(Table2[[#Headers],[Bottom Bar Slope]],Table2[#Headers],0),0)</f>
        <v>0</v>
      </c>
      <c r="AV207" s="2">
        <f>VLOOKUP([jobnumber],OvalData[],MATCH(Table2[[#Headers],[Bottom Bar Weight]],Table2[#Headers],0),0)</f>
        <v>80.5</v>
      </c>
      <c r="AW207" s="2" t="str">
        <f>VLOOKUP([jobnumber],OvalData[],MATCH(Table2[[#Headers],[Outer Spring Gage]],Table2[#Headers],0),0)</f>
        <v>Null</v>
      </c>
      <c r="AX207" s="2" t="str">
        <f>VLOOKUP([jobnumber],OvalData[],MATCH(Table2[[#Headers],[Outer Spring OD]],Table2[#Headers],0),0)</f>
        <v>Null</v>
      </c>
      <c r="AY207" s="2" t="str">
        <f>VLOOKUP([jobnumber],OvalData[],MATCH(Table2[[#Headers],[Outer Spring Length]],Table2[#Headers],0),0)</f>
        <v>Null</v>
      </c>
      <c r="AZ207" s="2" t="str">
        <f>VLOOKUP([jobnumber],OvalData[],MATCH(Table2[[#Headers],[Outer Spring Stretch]],Table2[#Headers],0),0)</f>
        <v>Null</v>
      </c>
      <c r="BA207" s="2" t="str">
        <f>VLOOKUP([jobnumber],OvalData[],MATCH(Table2[[#Headers],[Outer Spring Torque]],Table2[#Headers],0),0)</f>
        <v>Null</v>
      </c>
      <c r="BB207" s="2" t="str">
        <f>VLOOKUP([jobnumber],OvalData[],MATCH(Table2[[#Headers],[Outer Spring Max Turns]],Table2[#Headers],0),0)</f>
        <v>Null</v>
      </c>
      <c r="BC207" s="2" t="str">
        <f>VLOOKUP([jobnumber],OvalData[],MATCH(Table2[[#Headers],[Outer Spring Weight]],Table2[#Headers],0),0)</f>
        <v>Null</v>
      </c>
      <c r="BD207" s="2" t="str">
        <f>VLOOKUP([jobnumber],OvalData[],MATCH(Table2[[#Headers],[Inner Spring Gage]],Table2[#Headers],0),0)</f>
        <v>Null</v>
      </c>
      <c r="BE207" s="2" t="str">
        <f>VLOOKUP([jobnumber],OvalData[],MATCH(Table2[[#Headers],[Inner Spring OD]],Table2[#Headers],0),0)</f>
        <v>Null</v>
      </c>
      <c r="BF207" s="2" t="str">
        <f>VLOOKUP([jobnumber],OvalData[],MATCH(Table2[[#Headers],[Inner Spring Length]],Table2[#Headers],0),0)</f>
        <v>Null</v>
      </c>
      <c r="BG207" s="2" t="str">
        <f>VLOOKUP([jobnumber],OvalData[],MATCH(Table2[[#Headers],[Inner Spring Stretch]],Table2[#Headers],0),0)</f>
        <v>Null</v>
      </c>
      <c r="BH207" s="2" t="str">
        <f>VLOOKUP([jobnumber],OvalData[],MATCH(Table2[[#Headers],[Inner Spring Torque]],Table2[#Headers],0),0)</f>
        <v>Null</v>
      </c>
      <c r="BI207" s="2" t="str">
        <f>VLOOKUP([jobnumber],OvalData[],MATCH(Table2[[#Headers],[Inner Spring Max Turns]],Table2[#Headers],0),0)</f>
        <v>Null</v>
      </c>
      <c r="BJ207" s="2" t="str">
        <f>VLOOKUP([jobnumber],OvalData[],MATCH(Table2[[#Headers],[Inner Spring Weight]],Table2[#Headers],0),0)</f>
        <v>Null</v>
      </c>
      <c r="BK207" s="2">
        <f>VLOOKUP([jobnumber],OvalData[],MATCH(Table2[[#Headers],[Cycles]],Table2[#Headers],0),0)</f>
        <v>0</v>
      </c>
      <c r="BL207" s="2">
        <f>VLOOKUP([jobnumber],OvalData[],MATCH(Table2[[#Headers],[Total Spring Torque]],Table2[#Headers],0),0)</f>
        <v>0</v>
      </c>
      <c r="BM207" s="2">
        <f>VLOOKUP([jobnumber],OvalData[],MATCH(Table2[[#Headers],[Total Spring Weight]],Table2[#Headers],0),0)</f>
        <v>0</v>
      </c>
      <c r="BN207" s="2">
        <f>VLOOKUP([jobnumber],OvalData[],MATCH(Table2[[#Headers],[Pipe Weight]],Table2[#Headers],0),0)</f>
        <v>688.24239999999998</v>
      </c>
      <c r="BO207" s="2">
        <f>VLOOKUP([jobnumber],OvalData[],MATCH(Table2[[#Headers],[Max Pipe Deflection]],Table2[#Headers],0),0)</f>
        <v>2309</v>
      </c>
      <c r="BP207" s="2">
        <f>VLOOKUP([jobnumber],OvalData[],MATCH(Table2[[#Headers],[Number Non-Insulated Wrap Slats]],Table2[#Headers],0),0)</f>
        <v>0</v>
      </c>
      <c r="BQ207" s="2">
        <f>VLOOKUP([jobnumber],OvalData[],MATCH(Table2[[#Headers],[Number of Insolated Top Slats]],Table2[#Headers],0),0)</f>
        <v>45</v>
      </c>
      <c r="BR207" s="2">
        <f>VLOOKUP([jobnumber],OvalData[],MATCH(Table2[[#Headers],[Insolated Total Slats]],Table2[#Headers],0),0)</f>
        <v>45</v>
      </c>
      <c r="BS207" s="2">
        <f>VLOOKUP([jobnumber],OvalData[],MATCH(Table2[[#Headers],[Number of Slats]],Table2[#Headers],0),0)</f>
        <v>44.69</v>
      </c>
      <c r="BT207" s="2">
        <f>VLOOKUP([jobnumber],OvalData[],MATCH(Table2[[#Headers],[Wrap]],Table2[#Headers],0),0)</f>
        <v>0</v>
      </c>
      <c r="BU207" s="2">
        <f>VLOOKUP([jobnumber],OvalData[],MATCH(Table2[[#Headers],[Wall Angle Thickness]],Table2[#Headers],0),0)</f>
        <v>0</v>
      </c>
      <c r="BV207" s="2">
        <f>VLOOKUP([jobnumber],OvalData[],MATCH(Table2[[#Headers],[windlocks]],Table2[#Headers],0),0)</f>
        <v>0</v>
      </c>
      <c r="BW207" s="2" t="str">
        <f>VLOOKUP([jobnumber],OvalData[],MATCH(Table2[[#Headers],[bottombartype]],Table2[#Headers],0),0)</f>
        <v>SPECIAL</v>
      </c>
      <c r="BX207" s="2">
        <f>VLOOKUP([jobnumber],OvalData[],MATCH(Table2[[#Headers],[endlockweight]],Table2[#Headers],0),0)</f>
        <v>0.17</v>
      </c>
      <c r="BY207" s="2">
        <f>VLOOKUP([jobnumber],OvalData[],MATCH(Table2[[#Headers],[Endlock Total Weight]],Table2[#Headers],0),0)</f>
        <v>7.5972999999999997</v>
      </c>
      <c r="BZ207" s="2">
        <f>VLOOKUP([jobnumber],OvalData[],MATCH(Table2[[#Headers],[Grille Weight]],Table2[#Headers],0),0)</f>
        <v>0</v>
      </c>
      <c r="CA207" s="2">
        <f>VLOOKUP([jobnumber],OvalData[],MATCH(Table2[[#Headers],[barrelrings]],Table2[#Headers],0),0)</f>
        <v>1</v>
      </c>
    </row>
    <row r="208" spans="2:79">
      <c r="B208" s="2" t="str">
        <f>VLOOKUP([jobnumber],OvalData[],MATCH(Table2[[#Headers],[Hand]],Table2[#Headers],0),0)</f>
        <v>RH</v>
      </c>
      <c r="C208" s="2" t="str">
        <f>VLOOKUP([jobnumber],OvalData[],MATCH(Table2[[#Headers],[Model]],Table2[#Headers],0),0)</f>
        <v>SFMPP</v>
      </c>
      <c r="D208" s="2" t="str">
        <f>VLOOKUP([jobnumber],OvalData[],MATCH(Table2[[#Headers],[width]],Table2[#Headers],0),0)</f>
        <v xml:space="preserve"> 18 ft.- 2"</v>
      </c>
      <c r="E208" s="2" t="str">
        <f>VLOOKUP([jobnumber],OvalData[],MATCH(Table2[[#Headers],[stopheight]],Table2[#Headers],0),0)</f>
        <v xml:space="preserve"> 10 ft.- 0"</v>
      </c>
      <c r="F208" s="2" t="str">
        <f>VLOOKUP([jobnumber],OvalData[],MATCH(Table2[[#Headers],[Between Brackets]],Table2[#Headers],0),0)</f>
        <v xml:space="preserve"> 18 ft.- 7 7/ 8"</v>
      </c>
      <c r="G208" s="2" t="str">
        <f>VLOOKUP([jobnumber],OvalData[],MATCH(Table2[[#Headers],[shell]],Table2[#Headers],0),0)</f>
        <v>6 INCH TUBE</v>
      </c>
      <c r="H208" s="2" t="str">
        <f>VLOOKUP([jobnumber],OvalData[],MATCH(Table2[[#Headers],[pipewidth]],Table2[#Headers],0),0)</f>
        <v xml:space="preserve"> 18 ft.- 1 3/ 8"</v>
      </c>
      <c r="I208" s="2">
        <f>VLOOKUP([jobnumber],OvalData[],MATCH(Table2[[#Headers],[Support Tubes]],Table2[#Headers],0),0)</f>
        <v>0</v>
      </c>
      <c r="J208" s="2">
        <f>VLOOKUP([jobnumber],OvalData[],MATCH(Table2[[#Headers],[Upset]],Table2[#Headers],0),0)</f>
        <v>2</v>
      </c>
      <c r="K208" s="2" t="str">
        <f>VLOOKUP([jobnumber],OvalData[],MATCH(Table2[[#Headers],[Guide Type]],Table2[#Headers],0),0)</f>
        <v>SN2-4 5/8-E</v>
      </c>
      <c r="L208" s="2" t="str">
        <f>VLOOKUP([jobnumber],OvalData[],MATCH(Table2[[#Headers],[Wall Angle]],Table2[#Headers],0),0)</f>
        <v xml:space="preserve"> 11 ft.- 8"</v>
      </c>
      <c r="M208" s="2" t="str">
        <f>VLOOKUP([jobnumber],OvalData[],MATCH(Table2[[#Headers],[Middle Angle]],Table2[#Headers],0),0)</f>
        <v xml:space="preserve"> 10 ft.- 4 1/ 2"</v>
      </c>
      <c r="N208" s="2" t="str">
        <f>VLOOKUP([jobnumber],OvalData[],MATCH(Table2[[#Headers],[Front Angle]],Table2[#Headers],0),0)</f>
        <v xml:space="preserve"> 10 ft.- 3"</v>
      </c>
      <c r="O208" s="2">
        <f>VLOOKUP([jobnumber],OvalData[],MATCH(Table2[[#Headers],[Pipe Center Line]],Table2[#Headers],0),0)</f>
        <v>131</v>
      </c>
      <c r="P208" s="2">
        <f>VLOOKUP([jobnumber],OvalData[],MATCH(Table2[[#Headers],[Heat Expansion Gap]],Table2[#Headers],0),0)</f>
        <v>0</v>
      </c>
      <c r="Q208" s="2">
        <f>VLOOKUP([jobnumber],OvalData[],MATCH(Table2[[#Headers],[Hanging Weight Closed]],Table2[#Headers],0),0)</f>
        <v>795</v>
      </c>
      <c r="R208" s="2">
        <f>VLOOKUP([jobnumber],OvalData[],MATCH(Table2[[#Headers],[Hanging Weight Open]],Table2[#Headers],0),0)</f>
        <v>140</v>
      </c>
      <c r="S208" s="2">
        <f>VLOOKUP([jobnumber],OvalData[],MATCH(Table2[[#Headers],[Initial Lever Arm]],Table2[#Headers],0),0)</f>
        <v>4.25</v>
      </c>
      <c r="T208" s="2">
        <f>VLOOKUP([jobnumber],OvalData[],MATCH(Table2[[#Headers],[Turns to Raise]],Table2[#Headers],0),0)</f>
        <v>3.5859999999999999</v>
      </c>
      <c r="U208" s="2">
        <f>VLOOKUP([jobnumber],OvalData[],MATCH(Table2[[#Headers],[Final Lever Arm]],Table2[#Headers],0),0)</f>
        <v>6.37</v>
      </c>
      <c r="V208" s="2">
        <f>VLOOKUP([jobnumber],OvalData[],MATCH(Table2[[#Headers],[Torque Required Closed]],Table2[#Headers],0),0)</f>
        <v>3377.9</v>
      </c>
      <c r="W208" s="2">
        <f>VLOOKUP([jobnumber],OvalData[],MATCH(Table2[[#Headers],[Torque Required Open]],Table2[#Headers],0),0)</f>
        <v>892</v>
      </c>
      <c r="X208" s="2">
        <f>VLOOKUP([jobnumber],OvalData[],MATCH(Table2[[#Headers],[Pre Turns]],Table2[#Headers],0),0)</f>
        <v>1.3332999999999999</v>
      </c>
      <c r="Y208" s="2">
        <f>VLOOKUP([jobnumber],OvalData[],MATCH(Table2[[#Headers],[Required Torque Per Turn]],Table2[#Headers],0),0)</f>
        <v>688</v>
      </c>
      <c r="Z208" s="2">
        <f>VLOOKUP([jobnumber],OvalData[],MATCH(Table2[[#Headers],[Total Turns]],Table2[#Headers],0),0)</f>
        <v>4.91</v>
      </c>
      <c r="AA208" s="2">
        <f>VLOOKUP([jobnumber],OvalData[],MATCH(Table2[[#Headers],[Grille Vision Section]],Table2[#Headers],0),0)</f>
        <v>0</v>
      </c>
      <c r="AB208" s="2">
        <f>VLOOKUP([jobnumber],OvalData[],MATCH(Table2[[#Headers],[Grille Amount]],Table2[#Headers],0),0)</f>
        <v>0</v>
      </c>
      <c r="AC208" s="2">
        <f>VLOOKUP([jobnumber],OvalData[],MATCH(Table2[[#Headers],[Grille Center]],Table2[#Headers],0),0)</f>
        <v>0</v>
      </c>
      <c r="AD208" s="2">
        <f>VLOOKUP([jobnumber],OvalData[],MATCH(Table2[[#Headers],[Grille Pattern]],Table2[#Headers],0),0)</f>
        <v>0</v>
      </c>
      <c r="AE208" s="2">
        <f>VLOOKUP([jobnumber],OvalData[],MATCH(Table2[[#Headers],[Grille First Tube]],Table2[#Headers],0),0)</f>
        <v>0</v>
      </c>
      <c r="AF208" s="2">
        <f>VLOOKUP([jobnumber],OvalData[],MATCH(Table2[[#Headers],[Grille Standard Tube]],Table2[#Headers],0),0)</f>
        <v>0</v>
      </c>
      <c r="AG208" s="2">
        <f>VLOOKUP([jobnumber],OvalData[],MATCH(Table2[[#Headers],[Grille Total Links]],Table2[#Headers],0),0)</f>
        <v>0</v>
      </c>
      <c r="AH208" s="2">
        <f>VLOOKUP([jobnumber],OvalData[],MATCH(Table2[[#Headers],[Grille Rods]],Table2[#Headers],0),0)</f>
        <v>0</v>
      </c>
      <c r="AI208" s="2">
        <f>VLOOKUP([jobnumber],OvalData[],MATCH(Table2[[#Headers],[Grille Rod Length]],Table2[#Headers],0),0)</f>
        <v>0</v>
      </c>
      <c r="AJ208" s="2">
        <f>VLOOKUP([jobnumber],OvalData[],MATCH(Table2[[#Headers],[slattype]],Table2[#Headers],0),0)</f>
        <v>2</v>
      </c>
      <c r="AK208" s="2">
        <f>VLOOKUP([jobnumber],OvalData[],MATCH(Table2[[#Headers],[slatgage]],Table2[#Headers],0),0)</f>
        <v>18</v>
      </c>
      <c r="AL208" s="2">
        <f>VLOOKUP([jobnumber],OvalData[],MATCH(Table2[[#Headers],[Numer of Top Slats]],Table2[#Headers],0),0)</f>
        <v>0</v>
      </c>
      <c r="AM208" s="2">
        <f>VLOOKUP([jobnumber],OvalData[],MATCH(Table2[[#Headers],[Number of Bottom Slats]],Table2[#Headers],0),0)</f>
        <v>0</v>
      </c>
      <c r="AN208" s="2">
        <f>VLOOKUP([jobnumber],OvalData[],MATCH(Table2[[#Headers],[Solid Bottom Height]],Table2[#Headers],0),0)</f>
        <v>0</v>
      </c>
      <c r="AO208" s="2" t="str">
        <f>VLOOKUP([jobnumber],OvalData[],MATCH(Table2[[#Headers],[slatlength]],Table2[#Headers],0),0)</f>
        <v xml:space="preserve"> 18 ft.- 5 7/ 8"</v>
      </c>
      <c r="AP208" s="2">
        <f>VLOOKUP([jobnumber],OvalData[],MATCH(Table2[[#Headers],[Bottom Slat Length]],Table2[#Headers],0),0)</f>
        <v>0</v>
      </c>
      <c r="AQ208" s="2">
        <f>VLOOKUP([jobnumber],OvalData[],MATCH(Table2[[#Headers],[Number of Perferated Slats]],Table2[#Headers],0),0)</f>
        <v>0</v>
      </c>
      <c r="AR208" s="2">
        <f>VLOOKUP([jobnumber],OvalData[],MATCH(Table2[[#Headers],[First Preferated Slat From End]],Table2[#Headers],0),0)</f>
        <v>0</v>
      </c>
      <c r="AS208" s="2">
        <f>VLOOKUP([jobnumber],OvalData[],MATCH(Table2[[#Headers],[First Preferated Slat From Bottom]],Table2[#Headers],0),0)</f>
        <v>0</v>
      </c>
      <c r="AT208" s="2">
        <f>VLOOKUP([jobnumber],OvalData[],MATCH(Table2[[#Headers],[Total Number of Slats]],Table2[#Headers],0),0)</f>
        <v>51</v>
      </c>
      <c r="AU208" s="2">
        <f>VLOOKUP([jobnumber],OvalData[],MATCH(Table2[[#Headers],[Bottom Bar Slope]],Table2[#Headers],0),0)</f>
        <v>0</v>
      </c>
      <c r="AV208" s="2">
        <f>VLOOKUP([jobnumber],OvalData[],MATCH(Table2[[#Headers],[Bottom Bar Weight]],Table2[#Headers],0),0)</f>
        <v>80.5</v>
      </c>
      <c r="AW208" s="2" t="str">
        <f>VLOOKUP([jobnumber],OvalData[],MATCH(Table2[[#Headers],[Outer Spring Gage]],Table2[#Headers],0),0)</f>
        <v>Null</v>
      </c>
      <c r="AX208" s="2" t="str">
        <f>VLOOKUP([jobnumber],OvalData[],MATCH(Table2[[#Headers],[Outer Spring OD]],Table2[#Headers],0),0)</f>
        <v>Null</v>
      </c>
      <c r="AY208" s="2" t="str">
        <f>VLOOKUP([jobnumber],OvalData[],MATCH(Table2[[#Headers],[Outer Spring Length]],Table2[#Headers],0),0)</f>
        <v>Null</v>
      </c>
      <c r="AZ208" s="2" t="str">
        <f>VLOOKUP([jobnumber],OvalData[],MATCH(Table2[[#Headers],[Outer Spring Stretch]],Table2[#Headers],0),0)</f>
        <v>Null</v>
      </c>
      <c r="BA208" s="2" t="str">
        <f>VLOOKUP([jobnumber],OvalData[],MATCH(Table2[[#Headers],[Outer Spring Torque]],Table2[#Headers],0),0)</f>
        <v>Null</v>
      </c>
      <c r="BB208" s="2" t="str">
        <f>VLOOKUP([jobnumber],OvalData[],MATCH(Table2[[#Headers],[Outer Spring Max Turns]],Table2[#Headers],0),0)</f>
        <v>Null</v>
      </c>
      <c r="BC208" s="2" t="str">
        <f>VLOOKUP([jobnumber],OvalData[],MATCH(Table2[[#Headers],[Outer Spring Weight]],Table2[#Headers],0),0)</f>
        <v>Null</v>
      </c>
      <c r="BD208" s="2" t="str">
        <f>VLOOKUP([jobnumber],OvalData[],MATCH(Table2[[#Headers],[Inner Spring Gage]],Table2[#Headers],0),0)</f>
        <v>Null</v>
      </c>
      <c r="BE208" s="2" t="str">
        <f>VLOOKUP([jobnumber],OvalData[],MATCH(Table2[[#Headers],[Inner Spring OD]],Table2[#Headers],0),0)</f>
        <v>Null</v>
      </c>
      <c r="BF208" s="2" t="str">
        <f>VLOOKUP([jobnumber],OvalData[],MATCH(Table2[[#Headers],[Inner Spring Length]],Table2[#Headers],0),0)</f>
        <v>Null</v>
      </c>
      <c r="BG208" s="2" t="str">
        <f>VLOOKUP([jobnumber],OvalData[],MATCH(Table2[[#Headers],[Inner Spring Stretch]],Table2[#Headers],0),0)</f>
        <v>Null</v>
      </c>
      <c r="BH208" s="2" t="str">
        <f>VLOOKUP([jobnumber],OvalData[],MATCH(Table2[[#Headers],[Inner Spring Torque]],Table2[#Headers],0),0)</f>
        <v>Null</v>
      </c>
      <c r="BI208" s="2" t="str">
        <f>VLOOKUP([jobnumber],OvalData[],MATCH(Table2[[#Headers],[Inner Spring Max Turns]],Table2[#Headers],0),0)</f>
        <v>Null</v>
      </c>
      <c r="BJ208" s="2" t="str">
        <f>VLOOKUP([jobnumber],OvalData[],MATCH(Table2[[#Headers],[Inner Spring Weight]],Table2[#Headers],0),0)</f>
        <v>Null</v>
      </c>
      <c r="BK208" s="2">
        <f>VLOOKUP([jobnumber],OvalData[],MATCH(Table2[[#Headers],[Cycles]],Table2[#Headers],0),0)</f>
        <v>0</v>
      </c>
      <c r="BL208" s="2">
        <f>VLOOKUP([jobnumber],OvalData[],MATCH(Table2[[#Headers],[Total Spring Torque]],Table2[#Headers],0),0)</f>
        <v>0</v>
      </c>
      <c r="BM208" s="2">
        <f>VLOOKUP([jobnumber],OvalData[],MATCH(Table2[[#Headers],[Total Spring Weight]],Table2[#Headers],0),0)</f>
        <v>0</v>
      </c>
      <c r="BN208" s="2">
        <f>VLOOKUP([jobnumber],OvalData[],MATCH(Table2[[#Headers],[Pipe Weight]],Table2[#Headers],0),0)</f>
        <v>688.24239999999998</v>
      </c>
      <c r="BO208" s="2">
        <f>VLOOKUP([jobnumber],OvalData[],MATCH(Table2[[#Headers],[Max Pipe Deflection]],Table2[#Headers],0),0)</f>
        <v>2309</v>
      </c>
      <c r="BP208" s="2">
        <f>VLOOKUP([jobnumber],OvalData[],MATCH(Table2[[#Headers],[Number Non-Insulated Wrap Slats]],Table2[#Headers],0),0)</f>
        <v>0</v>
      </c>
      <c r="BQ208" s="2">
        <f>VLOOKUP([jobnumber],OvalData[],MATCH(Table2[[#Headers],[Number of Insolated Top Slats]],Table2[#Headers],0),0)</f>
        <v>45</v>
      </c>
      <c r="BR208" s="2">
        <f>VLOOKUP([jobnumber],OvalData[],MATCH(Table2[[#Headers],[Insolated Total Slats]],Table2[#Headers],0),0)</f>
        <v>45</v>
      </c>
      <c r="BS208" s="2">
        <f>VLOOKUP([jobnumber],OvalData[],MATCH(Table2[[#Headers],[Number of Slats]],Table2[#Headers],0),0)</f>
        <v>44.69</v>
      </c>
      <c r="BT208" s="2">
        <f>VLOOKUP([jobnumber],OvalData[],MATCH(Table2[[#Headers],[Wrap]],Table2[#Headers],0),0)</f>
        <v>0</v>
      </c>
      <c r="BU208" s="2">
        <f>VLOOKUP([jobnumber],OvalData[],MATCH(Table2[[#Headers],[Wall Angle Thickness]],Table2[#Headers],0),0)</f>
        <v>0</v>
      </c>
      <c r="BV208" s="2">
        <f>VLOOKUP([jobnumber],OvalData[],MATCH(Table2[[#Headers],[windlocks]],Table2[#Headers],0),0)</f>
        <v>0</v>
      </c>
      <c r="BW208" s="2" t="str">
        <f>VLOOKUP([jobnumber],OvalData[],MATCH(Table2[[#Headers],[bottombartype]],Table2[#Headers],0),0)</f>
        <v>SPECIAL</v>
      </c>
      <c r="BX208" s="2">
        <f>VLOOKUP([jobnumber],OvalData[],MATCH(Table2[[#Headers],[endlockweight]],Table2[#Headers],0),0)</f>
        <v>0.17</v>
      </c>
      <c r="BY208" s="2">
        <f>VLOOKUP([jobnumber],OvalData[],MATCH(Table2[[#Headers],[Endlock Total Weight]],Table2[#Headers],0),0)</f>
        <v>7.5972999999999997</v>
      </c>
      <c r="BZ208" s="2">
        <f>VLOOKUP([jobnumber],OvalData[],MATCH(Table2[[#Headers],[Grille Weight]],Table2[#Headers],0),0)</f>
        <v>0</v>
      </c>
      <c r="CA208" s="2">
        <f>VLOOKUP([jobnumber],OvalData[],MATCH(Table2[[#Headers],[barrelrings]],Table2[#Headers],0),0)</f>
        <v>1</v>
      </c>
    </row>
    <row r="209" spans="2:79">
      <c r="B209" s="2" t="str">
        <f>VLOOKUP([jobnumber],OvalData[],MATCH(Table2[[#Headers],[Hand]],Table2[#Headers],0),0)</f>
        <v>RH</v>
      </c>
      <c r="C209" s="2" t="str">
        <f>VLOOKUP([jobnumber],OvalData[],MATCH(Table2[[#Headers],[Model]],Table2[#Headers],0),0)</f>
        <v>SFMPP</v>
      </c>
      <c r="D209" s="2" t="str">
        <f>VLOOKUP([jobnumber],OvalData[],MATCH(Table2[[#Headers],[width]],Table2[#Headers],0),0)</f>
        <v xml:space="preserve"> 18 ft.- 2"</v>
      </c>
      <c r="E209" s="2" t="str">
        <f>VLOOKUP([jobnumber],OvalData[],MATCH(Table2[[#Headers],[stopheight]],Table2[#Headers],0),0)</f>
        <v xml:space="preserve"> 10 ft.- 0"</v>
      </c>
      <c r="F209" s="2" t="str">
        <f>VLOOKUP([jobnumber],OvalData[],MATCH(Table2[[#Headers],[Between Brackets]],Table2[#Headers],0),0)</f>
        <v xml:space="preserve"> 18 ft.- 7 7/ 8"</v>
      </c>
      <c r="G209" s="2" t="str">
        <f>VLOOKUP([jobnumber],OvalData[],MATCH(Table2[[#Headers],[shell]],Table2[#Headers],0),0)</f>
        <v>6 INCH TUBE</v>
      </c>
      <c r="H209" s="2" t="str">
        <f>VLOOKUP([jobnumber],OvalData[],MATCH(Table2[[#Headers],[pipewidth]],Table2[#Headers],0),0)</f>
        <v xml:space="preserve"> 18 ft.- 1 3/ 8"</v>
      </c>
      <c r="I209" s="2">
        <f>VLOOKUP([jobnumber],OvalData[],MATCH(Table2[[#Headers],[Support Tubes]],Table2[#Headers],0),0)</f>
        <v>0</v>
      </c>
      <c r="J209" s="2">
        <f>VLOOKUP([jobnumber],OvalData[],MATCH(Table2[[#Headers],[Upset]],Table2[#Headers],0),0)</f>
        <v>2</v>
      </c>
      <c r="K209" s="2" t="str">
        <f>VLOOKUP([jobnumber],OvalData[],MATCH(Table2[[#Headers],[Guide Type]],Table2[#Headers],0),0)</f>
        <v>SN2-4 5/8-E</v>
      </c>
      <c r="L209" s="2" t="str">
        <f>VLOOKUP([jobnumber],OvalData[],MATCH(Table2[[#Headers],[Wall Angle]],Table2[#Headers],0),0)</f>
        <v xml:space="preserve"> 11 ft.- 8"</v>
      </c>
      <c r="M209" s="2" t="str">
        <f>VLOOKUP([jobnumber],OvalData[],MATCH(Table2[[#Headers],[Middle Angle]],Table2[#Headers],0),0)</f>
        <v xml:space="preserve"> 10 ft.- 4 1/ 2"</v>
      </c>
      <c r="N209" s="2" t="str">
        <f>VLOOKUP([jobnumber],OvalData[],MATCH(Table2[[#Headers],[Front Angle]],Table2[#Headers],0),0)</f>
        <v xml:space="preserve"> 10 ft.- 3"</v>
      </c>
      <c r="O209" s="2">
        <f>VLOOKUP([jobnumber],OvalData[],MATCH(Table2[[#Headers],[Pipe Center Line]],Table2[#Headers],0),0)</f>
        <v>131</v>
      </c>
      <c r="P209" s="2">
        <f>VLOOKUP([jobnumber],OvalData[],MATCH(Table2[[#Headers],[Heat Expansion Gap]],Table2[#Headers],0),0)</f>
        <v>0</v>
      </c>
      <c r="Q209" s="2">
        <f>VLOOKUP([jobnumber],OvalData[],MATCH(Table2[[#Headers],[Hanging Weight Closed]],Table2[#Headers],0),0)</f>
        <v>795</v>
      </c>
      <c r="R209" s="2">
        <f>VLOOKUP([jobnumber],OvalData[],MATCH(Table2[[#Headers],[Hanging Weight Open]],Table2[#Headers],0),0)</f>
        <v>140</v>
      </c>
      <c r="S209" s="2">
        <f>VLOOKUP([jobnumber],OvalData[],MATCH(Table2[[#Headers],[Initial Lever Arm]],Table2[#Headers],0),0)</f>
        <v>4.25</v>
      </c>
      <c r="T209" s="2">
        <f>VLOOKUP([jobnumber],OvalData[],MATCH(Table2[[#Headers],[Turns to Raise]],Table2[#Headers],0),0)</f>
        <v>3.5859999999999999</v>
      </c>
      <c r="U209" s="2">
        <f>VLOOKUP([jobnumber],OvalData[],MATCH(Table2[[#Headers],[Final Lever Arm]],Table2[#Headers],0),0)</f>
        <v>6.37</v>
      </c>
      <c r="V209" s="2">
        <f>VLOOKUP([jobnumber],OvalData[],MATCH(Table2[[#Headers],[Torque Required Closed]],Table2[#Headers],0),0)</f>
        <v>3377.9</v>
      </c>
      <c r="W209" s="2">
        <f>VLOOKUP([jobnumber],OvalData[],MATCH(Table2[[#Headers],[Torque Required Open]],Table2[#Headers],0),0)</f>
        <v>892</v>
      </c>
      <c r="X209" s="2">
        <f>VLOOKUP([jobnumber],OvalData[],MATCH(Table2[[#Headers],[Pre Turns]],Table2[#Headers],0),0)</f>
        <v>1.3332999999999999</v>
      </c>
      <c r="Y209" s="2">
        <f>VLOOKUP([jobnumber],OvalData[],MATCH(Table2[[#Headers],[Required Torque Per Turn]],Table2[#Headers],0),0)</f>
        <v>688</v>
      </c>
      <c r="Z209" s="2">
        <f>VLOOKUP([jobnumber],OvalData[],MATCH(Table2[[#Headers],[Total Turns]],Table2[#Headers],0),0)</f>
        <v>4.91</v>
      </c>
      <c r="AA209" s="2">
        <f>VLOOKUP([jobnumber],OvalData[],MATCH(Table2[[#Headers],[Grille Vision Section]],Table2[#Headers],0),0)</f>
        <v>0</v>
      </c>
      <c r="AB209" s="2">
        <f>VLOOKUP([jobnumber],OvalData[],MATCH(Table2[[#Headers],[Grille Amount]],Table2[#Headers],0),0)</f>
        <v>0</v>
      </c>
      <c r="AC209" s="2">
        <f>VLOOKUP([jobnumber],OvalData[],MATCH(Table2[[#Headers],[Grille Center]],Table2[#Headers],0),0)</f>
        <v>0</v>
      </c>
      <c r="AD209" s="2">
        <f>VLOOKUP([jobnumber],OvalData[],MATCH(Table2[[#Headers],[Grille Pattern]],Table2[#Headers],0),0)</f>
        <v>0</v>
      </c>
      <c r="AE209" s="2">
        <f>VLOOKUP([jobnumber],OvalData[],MATCH(Table2[[#Headers],[Grille First Tube]],Table2[#Headers],0),0)</f>
        <v>0</v>
      </c>
      <c r="AF209" s="2">
        <f>VLOOKUP([jobnumber],OvalData[],MATCH(Table2[[#Headers],[Grille Standard Tube]],Table2[#Headers],0),0)</f>
        <v>0</v>
      </c>
      <c r="AG209" s="2">
        <f>VLOOKUP([jobnumber],OvalData[],MATCH(Table2[[#Headers],[Grille Total Links]],Table2[#Headers],0),0)</f>
        <v>0</v>
      </c>
      <c r="AH209" s="2">
        <f>VLOOKUP([jobnumber],OvalData[],MATCH(Table2[[#Headers],[Grille Rods]],Table2[#Headers],0),0)</f>
        <v>0</v>
      </c>
      <c r="AI209" s="2">
        <f>VLOOKUP([jobnumber],OvalData[],MATCH(Table2[[#Headers],[Grille Rod Length]],Table2[#Headers],0),0)</f>
        <v>0</v>
      </c>
      <c r="AJ209" s="2">
        <f>VLOOKUP([jobnumber],OvalData[],MATCH(Table2[[#Headers],[slattype]],Table2[#Headers],0),0)</f>
        <v>2</v>
      </c>
      <c r="AK209" s="2">
        <f>VLOOKUP([jobnumber],OvalData[],MATCH(Table2[[#Headers],[slatgage]],Table2[#Headers],0),0)</f>
        <v>18</v>
      </c>
      <c r="AL209" s="2">
        <f>VLOOKUP([jobnumber],OvalData[],MATCH(Table2[[#Headers],[Numer of Top Slats]],Table2[#Headers],0),0)</f>
        <v>0</v>
      </c>
      <c r="AM209" s="2">
        <f>VLOOKUP([jobnumber],OvalData[],MATCH(Table2[[#Headers],[Number of Bottom Slats]],Table2[#Headers],0),0)</f>
        <v>0</v>
      </c>
      <c r="AN209" s="2">
        <f>VLOOKUP([jobnumber],OvalData[],MATCH(Table2[[#Headers],[Solid Bottom Height]],Table2[#Headers],0),0)</f>
        <v>0</v>
      </c>
      <c r="AO209" s="2" t="str">
        <f>VLOOKUP([jobnumber],OvalData[],MATCH(Table2[[#Headers],[slatlength]],Table2[#Headers],0),0)</f>
        <v xml:space="preserve"> 18 ft.- 5 7/ 8"</v>
      </c>
      <c r="AP209" s="2">
        <f>VLOOKUP([jobnumber],OvalData[],MATCH(Table2[[#Headers],[Bottom Slat Length]],Table2[#Headers],0),0)</f>
        <v>0</v>
      </c>
      <c r="AQ209" s="2">
        <f>VLOOKUP([jobnumber],OvalData[],MATCH(Table2[[#Headers],[Number of Perferated Slats]],Table2[#Headers],0),0)</f>
        <v>0</v>
      </c>
      <c r="AR209" s="2">
        <f>VLOOKUP([jobnumber],OvalData[],MATCH(Table2[[#Headers],[First Preferated Slat From End]],Table2[#Headers],0),0)</f>
        <v>0</v>
      </c>
      <c r="AS209" s="2">
        <f>VLOOKUP([jobnumber],OvalData[],MATCH(Table2[[#Headers],[First Preferated Slat From Bottom]],Table2[#Headers],0),0)</f>
        <v>0</v>
      </c>
      <c r="AT209" s="2">
        <f>VLOOKUP([jobnumber],OvalData[],MATCH(Table2[[#Headers],[Total Number of Slats]],Table2[#Headers],0),0)</f>
        <v>51</v>
      </c>
      <c r="AU209" s="2">
        <f>VLOOKUP([jobnumber],OvalData[],MATCH(Table2[[#Headers],[Bottom Bar Slope]],Table2[#Headers],0),0)</f>
        <v>0</v>
      </c>
      <c r="AV209" s="2">
        <f>VLOOKUP([jobnumber],OvalData[],MATCH(Table2[[#Headers],[Bottom Bar Weight]],Table2[#Headers],0),0)</f>
        <v>80.5</v>
      </c>
      <c r="AW209" s="2" t="str">
        <f>VLOOKUP([jobnumber],OvalData[],MATCH(Table2[[#Headers],[Outer Spring Gage]],Table2[#Headers],0),0)</f>
        <v>Null</v>
      </c>
      <c r="AX209" s="2" t="str">
        <f>VLOOKUP([jobnumber],OvalData[],MATCH(Table2[[#Headers],[Outer Spring OD]],Table2[#Headers],0),0)</f>
        <v>Null</v>
      </c>
      <c r="AY209" s="2" t="str">
        <f>VLOOKUP([jobnumber],OvalData[],MATCH(Table2[[#Headers],[Outer Spring Length]],Table2[#Headers],0),0)</f>
        <v>Null</v>
      </c>
      <c r="AZ209" s="2" t="str">
        <f>VLOOKUP([jobnumber],OvalData[],MATCH(Table2[[#Headers],[Outer Spring Stretch]],Table2[#Headers],0),0)</f>
        <v>Null</v>
      </c>
      <c r="BA209" s="2" t="str">
        <f>VLOOKUP([jobnumber],OvalData[],MATCH(Table2[[#Headers],[Outer Spring Torque]],Table2[#Headers],0),0)</f>
        <v>Null</v>
      </c>
      <c r="BB209" s="2" t="str">
        <f>VLOOKUP([jobnumber],OvalData[],MATCH(Table2[[#Headers],[Outer Spring Max Turns]],Table2[#Headers],0),0)</f>
        <v>Null</v>
      </c>
      <c r="BC209" s="2" t="str">
        <f>VLOOKUP([jobnumber],OvalData[],MATCH(Table2[[#Headers],[Outer Spring Weight]],Table2[#Headers],0),0)</f>
        <v>Null</v>
      </c>
      <c r="BD209" s="2" t="str">
        <f>VLOOKUP([jobnumber],OvalData[],MATCH(Table2[[#Headers],[Inner Spring Gage]],Table2[#Headers],0),0)</f>
        <v>Null</v>
      </c>
      <c r="BE209" s="2" t="str">
        <f>VLOOKUP([jobnumber],OvalData[],MATCH(Table2[[#Headers],[Inner Spring OD]],Table2[#Headers],0),0)</f>
        <v>Null</v>
      </c>
      <c r="BF209" s="2" t="str">
        <f>VLOOKUP([jobnumber],OvalData[],MATCH(Table2[[#Headers],[Inner Spring Length]],Table2[#Headers],0),0)</f>
        <v>Null</v>
      </c>
      <c r="BG209" s="2" t="str">
        <f>VLOOKUP([jobnumber],OvalData[],MATCH(Table2[[#Headers],[Inner Spring Stretch]],Table2[#Headers],0),0)</f>
        <v>Null</v>
      </c>
      <c r="BH209" s="2" t="str">
        <f>VLOOKUP([jobnumber],OvalData[],MATCH(Table2[[#Headers],[Inner Spring Torque]],Table2[#Headers],0),0)</f>
        <v>Null</v>
      </c>
      <c r="BI209" s="2" t="str">
        <f>VLOOKUP([jobnumber],OvalData[],MATCH(Table2[[#Headers],[Inner Spring Max Turns]],Table2[#Headers],0),0)</f>
        <v>Null</v>
      </c>
      <c r="BJ209" s="2" t="str">
        <f>VLOOKUP([jobnumber],OvalData[],MATCH(Table2[[#Headers],[Inner Spring Weight]],Table2[#Headers],0),0)</f>
        <v>Null</v>
      </c>
      <c r="BK209" s="2">
        <f>VLOOKUP([jobnumber],OvalData[],MATCH(Table2[[#Headers],[Cycles]],Table2[#Headers],0),0)</f>
        <v>0</v>
      </c>
      <c r="BL209" s="2">
        <f>VLOOKUP([jobnumber],OvalData[],MATCH(Table2[[#Headers],[Total Spring Torque]],Table2[#Headers],0),0)</f>
        <v>0</v>
      </c>
      <c r="BM209" s="2">
        <f>VLOOKUP([jobnumber],OvalData[],MATCH(Table2[[#Headers],[Total Spring Weight]],Table2[#Headers],0),0)</f>
        <v>0</v>
      </c>
      <c r="BN209" s="2">
        <f>VLOOKUP([jobnumber],OvalData[],MATCH(Table2[[#Headers],[Pipe Weight]],Table2[#Headers],0),0)</f>
        <v>688.24239999999998</v>
      </c>
      <c r="BO209" s="2">
        <f>VLOOKUP([jobnumber],OvalData[],MATCH(Table2[[#Headers],[Max Pipe Deflection]],Table2[#Headers],0),0)</f>
        <v>2309</v>
      </c>
      <c r="BP209" s="2">
        <f>VLOOKUP([jobnumber],OvalData[],MATCH(Table2[[#Headers],[Number Non-Insulated Wrap Slats]],Table2[#Headers],0),0)</f>
        <v>0</v>
      </c>
      <c r="BQ209" s="2">
        <f>VLOOKUP([jobnumber],OvalData[],MATCH(Table2[[#Headers],[Number of Insolated Top Slats]],Table2[#Headers],0),0)</f>
        <v>45</v>
      </c>
      <c r="BR209" s="2">
        <f>VLOOKUP([jobnumber],OvalData[],MATCH(Table2[[#Headers],[Insolated Total Slats]],Table2[#Headers],0),0)</f>
        <v>45</v>
      </c>
      <c r="BS209" s="2">
        <f>VLOOKUP([jobnumber],OvalData[],MATCH(Table2[[#Headers],[Number of Slats]],Table2[#Headers],0),0)</f>
        <v>44.69</v>
      </c>
      <c r="BT209" s="2">
        <f>VLOOKUP([jobnumber],OvalData[],MATCH(Table2[[#Headers],[Wrap]],Table2[#Headers],0),0)</f>
        <v>0</v>
      </c>
      <c r="BU209" s="2">
        <f>VLOOKUP([jobnumber],OvalData[],MATCH(Table2[[#Headers],[Wall Angle Thickness]],Table2[#Headers],0),0)</f>
        <v>0</v>
      </c>
      <c r="BV209" s="2">
        <f>VLOOKUP([jobnumber],OvalData[],MATCH(Table2[[#Headers],[windlocks]],Table2[#Headers],0),0)</f>
        <v>0</v>
      </c>
      <c r="BW209" s="2" t="str">
        <f>VLOOKUP([jobnumber],OvalData[],MATCH(Table2[[#Headers],[bottombartype]],Table2[#Headers],0),0)</f>
        <v>SPECIAL</v>
      </c>
      <c r="BX209" s="2">
        <f>VLOOKUP([jobnumber],OvalData[],MATCH(Table2[[#Headers],[endlockweight]],Table2[#Headers],0),0)</f>
        <v>0.17</v>
      </c>
      <c r="BY209" s="2">
        <f>VLOOKUP([jobnumber],OvalData[],MATCH(Table2[[#Headers],[Endlock Total Weight]],Table2[#Headers],0),0)</f>
        <v>7.5972999999999997</v>
      </c>
      <c r="BZ209" s="2">
        <f>VLOOKUP([jobnumber],OvalData[],MATCH(Table2[[#Headers],[Grille Weight]],Table2[#Headers],0),0)</f>
        <v>0</v>
      </c>
      <c r="CA209" s="2">
        <f>VLOOKUP([jobnumber],OvalData[],MATCH(Table2[[#Headers],[barrelrings]],Table2[#Headers],0),0)</f>
        <v>1</v>
      </c>
    </row>
    <row r="210" spans="2:79">
      <c r="B210" s="2" t="str">
        <f>VLOOKUP([jobnumber],OvalData[],MATCH(Table2[[#Headers],[Hand]],Table2[#Headers],0),0)</f>
        <v>RH</v>
      </c>
      <c r="C210" s="2" t="str">
        <f>VLOOKUP([jobnumber],OvalData[],MATCH(Table2[[#Headers],[Model]],Table2[#Headers],0),0)</f>
        <v>SFMPP</v>
      </c>
      <c r="D210" s="2" t="str">
        <f>VLOOKUP([jobnumber],OvalData[],MATCH(Table2[[#Headers],[width]],Table2[#Headers],0),0)</f>
        <v xml:space="preserve"> 18 ft.- 2"</v>
      </c>
      <c r="E210" s="2" t="str">
        <f>VLOOKUP([jobnumber],OvalData[],MATCH(Table2[[#Headers],[stopheight]],Table2[#Headers],0),0)</f>
        <v xml:space="preserve"> 10 ft.- 0"</v>
      </c>
      <c r="F210" s="2" t="str">
        <f>VLOOKUP([jobnumber],OvalData[],MATCH(Table2[[#Headers],[Between Brackets]],Table2[#Headers],0),0)</f>
        <v xml:space="preserve"> 18 ft.- 7 7/ 8"</v>
      </c>
      <c r="G210" s="2" t="str">
        <f>VLOOKUP([jobnumber],OvalData[],MATCH(Table2[[#Headers],[shell]],Table2[#Headers],0),0)</f>
        <v>6 INCH TUBE</v>
      </c>
      <c r="H210" s="2" t="str">
        <f>VLOOKUP([jobnumber],OvalData[],MATCH(Table2[[#Headers],[pipewidth]],Table2[#Headers],0),0)</f>
        <v xml:space="preserve"> 18 ft.- 1 3/ 8"</v>
      </c>
      <c r="I210" s="2">
        <f>VLOOKUP([jobnumber],OvalData[],MATCH(Table2[[#Headers],[Support Tubes]],Table2[#Headers],0),0)</f>
        <v>0</v>
      </c>
      <c r="J210" s="2">
        <f>VLOOKUP([jobnumber],OvalData[],MATCH(Table2[[#Headers],[Upset]],Table2[#Headers],0),0)</f>
        <v>2</v>
      </c>
      <c r="K210" s="2" t="str">
        <f>VLOOKUP([jobnumber],OvalData[],MATCH(Table2[[#Headers],[Guide Type]],Table2[#Headers],0),0)</f>
        <v>SN2-4 5/8-E</v>
      </c>
      <c r="L210" s="2" t="str">
        <f>VLOOKUP([jobnumber],OvalData[],MATCH(Table2[[#Headers],[Wall Angle]],Table2[#Headers],0),0)</f>
        <v xml:space="preserve"> 11 ft.- 8"</v>
      </c>
      <c r="M210" s="2" t="str">
        <f>VLOOKUP([jobnumber],OvalData[],MATCH(Table2[[#Headers],[Middle Angle]],Table2[#Headers],0),0)</f>
        <v xml:space="preserve"> 10 ft.- 4 1/ 2"</v>
      </c>
      <c r="N210" s="2" t="str">
        <f>VLOOKUP([jobnumber],OvalData[],MATCH(Table2[[#Headers],[Front Angle]],Table2[#Headers],0),0)</f>
        <v xml:space="preserve"> 10 ft.- 3"</v>
      </c>
      <c r="O210" s="2">
        <f>VLOOKUP([jobnumber],OvalData[],MATCH(Table2[[#Headers],[Pipe Center Line]],Table2[#Headers],0),0)</f>
        <v>131</v>
      </c>
      <c r="P210" s="2">
        <f>VLOOKUP([jobnumber],OvalData[],MATCH(Table2[[#Headers],[Heat Expansion Gap]],Table2[#Headers],0),0)</f>
        <v>0</v>
      </c>
      <c r="Q210" s="2">
        <f>VLOOKUP([jobnumber],OvalData[],MATCH(Table2[[#Headers],[Hanging Weight Closed]],Table2[#Headers],0),0)</f>
        <v>795</v>
      </c>
      <c r="R210" s="2">
        <f>VLOOKUP([jobnumber],OvalData[],MATCH(Table2[[#Headers],[Hanging Weight Open]],Table2[#Headers],0),0)</f>
        <v>140</v>
      </c>
      <c r="S210" s="2">
        <f>VLOOKUP([jobnumber],OvalData[],MATCH(Table2[[#Headers],[Initial Lever Arm]],Table2[#Headers],0),0)</f>
        <v>4.25</v>
      </c>
      <c r="T210" s="2">
        <f>VLOOKUP([jobnumber],OvalData[],MATCH(Table2[[#Headers],[Turns to Raise]],Table2[#Headers],0),0)</f>
        <v>3.5859999999999999</v>
      </c>
      <c r="U210" s="2">
        <f>VLOOKUP([jobnumber],OvalData[],MATCH(Table2[[#Headers],[Final Lever Arm]],Table2[#Headers],0),0)</f>
        <v>6.37</v>
      </c>
      <c r="V210" s="2">
        <f>VLOOKUP([jobnumber],OvalData[],MATCH(Table2[[#Headers],[Torque Required Closed]],Table2[#Headers],0),0)</f>
        <v>3377.9</v>
      </c>
      <c r="W210" s="2">
        <f>VLOOKUP([jobnumber],OvalData[],MATCH(Table2[[#Headers],[Torque Required Open]],Table2[#Headers],0),0)</f>
        <v>892</v>
      </c>
      <c r="X210" s="2">
        <f>VLOOKUP([jobnumber],OvalData[],MATCH(Table2[[#Headers],[Pre Turns]],Table2[#Headers],0),0)</f>
        <v>1.3332999999999999</v>
      </c>
      <c r="Y210" s="2">
        <f>VLOOKUP([jobnumber],OvalData[],MATCH(Table2[[#Headers],[Required Torque Per Turn]],Table2[#Headers],0),0)</f>
        <v>688</v>
      </c>
      <c r="Z210" s="2">
        <f>VLOOKUP([jobnumber],OvalData[],MATCH(Table2[[#Headers],[Total Turns]],Table2[#Headers],0),0)</f>
        <v>4.91</v>
      </c>
      <c r="AA210" s="2">
        <f>VLOOKUP([jobnumber],OvalData[],MATCH(Table2[[#Headers],[Grille Vision Section]],Table2[#Headers],0),0)</f>
        <v>0</v>
      </c>
      <c r="AB210" s="2">
        <f>VLOOKUP([jobnumber],OvalData[],MATCH(Table2[[#Headers],[Grille Amount]],Table2[#Headers],0),0)</f>
        <v>0</v>
      </c>
      <c r="AC210" s="2">
        <f>VLOOKUP([jobnumber],OvalData[],MATCH(Table2[[#Headers],[Grille Center]],Table2[#Headers],0),0)</f>
        <v>0</v>
      </c>
      <c r="AD210" s="2">
        <f>VLOOKUP([jobnumber],OvalData[],MATCH(Table2[[#Headers],[Grille Pattern]],Table2[#Headers],0),0)</f>
        <v>0</v>
      </c>
      <c r="AE210" s="2">
        <f>VLOOKUP([jobnumber],OvalData[],MATCH(Table2[[#Headers],[Grille First Tube]],Table2[#Headers],0),0)</f>
        <v>0</v>
      </c>
      <c r="AF210" s="2">
        <f>VLOOKUP([jobnumber],OvalData[],MATCH(Table2[[#Headers],[Grille Standard Tube]],Table2[#Headers],0),0)</f>
        <v>0</v>
      </c>
      <c r="AG210" s="2">
        <f>VLOOKUP([jobnumber],OvalData[],MATCH(Table2[[#Headers],[Grille Total Links]],Table2[#Headers],0),0)</f>
        <v>0</v>
      </c>
      <c r="AH210" s="2">
        <f>VLOOKUP([jobnumber],OvalData[],MATCH(Table2[[#Headers],[Grille Rods]],Table2[#Headers],0),0)</f>
        <v>0</v>
      </c>
      <c r="AI210" s="2">
        <f>VLOOKUP([jobnumber],OvalData[],MATCH(Table2[[#Headers],[Grille Rod Length]],Table2[#Headers],0),0)</f>
        <v>0</v>
      </c>
      <c r="AJ210" s="2">
        <f>VLOOKUP([jobnumber],OvalData[],MATCH(Table2[[#Headers],[slattype]],Table2[#Headers],0),0)</f>
        <v>2</v>
      </c>
      <c r="AK210" s="2">
        <f>VLOOKUP([jobnumber],OvalData[],MATCH(Table2[[#Headers],[slatgage]],Table2[#Headers],0),0)</f>
        <v>18</v>
      </c>
      <c r="AL210" s="2">
        <f>VLOOKUP([jobnumber],OvalData[],MATCH(Table2[[#Headers],[Numer of Top Slats]],Table2[#Headers],0),0)</f>
        <v>0</v>
      </c>
      <c r="AM210" s="2">
        <f>VLOOKUP([jobnumber],OvalData[],MATCH(Table2[[#Headers],[Number of Bottom Slats]],Table2[#Headers],0),0)</f>
        <v>0</v>
      </c>
      <c r="AN210" s="2">
        <f>VLOOKUP([jobnumber],OvalData[],MATCH(Table2[[#Headers],[Solid Bottom Height]],Table2[#Headers],0),0)</f>
        <v>0</v>
      </c>
      <c r="AO210" s="2" t="str">
        <f>VLOOKUP([jobnumber],OvalData[],MATCH(Table2[[#Headers],[slatlength]],Table2[#Headers],0),0)</f>
        <v xml:space="preserve"> 18 ft.- 5 7/ 8"</v>
      </c>
      <c r="AP210" s="2">
        <f>VLOOKUP([jobnumber],OvalData[],MATCH(Table2[[#Headers],[Bottom Slat Length]],Table2[#Headers],0),0)</f>
        <v>0</v>
      </c>
      <c r="AQ210" s="2">
        <f>VLOOKUP([jobnumber],OvalData[],MATCH(Table2[[#Headers],[Number of Perferated Slats]],Table2[#Headers],0),0)</f>
        <v>0</v>
      </c>
      <c r="AR210" s="2">
        <f>VLOOKUP([jobnumber],OvalData[],MATCH(Table2[[#Headers],[First Preferated Slat From End]],Table2[#Headers],0),0)</f>
        <v>0</v>
      </c>
      <c r="AS210" s="2">
        <f>VLOOKUP([jobnumber],OvalData[],MATCH(Table2[[#Headers],[First Preferated Slat From Bottom]],Table2[#Headers],0),0)</f>
        <v>0</v>
      </c>
      <c r="AT210" s="2">
        <f>VLOOKUP([jobnumber],OvalData[],MATCH(Table2[[#Headers],[Total Number of Slats]],Table2[#Headers],0),0)</f>
        <v>51</v>
      </c>
      <c r="AU210" s="2">
        <f>VLOOKUP([jobnumber],OvalData[],MATCH(Table2[[#Headers],[Bottom Bar Slope]],Table2[#Headers],0),0)</f>
        <v>0</v>
      </c>
      <c r="AV210" s="2">
        <f>VLOOKUP([jobnumber],OvalData[],MATCH(Table2[[#Headers],[Bottom Bar Weight]],Table2[#Headers],0),0)</f>
        <v>80.5</v>
      </c>
      <c r="AW210" s="2" t="str">
        <f>VLOOKUP([jobnumber],OvalData[],MATCH(Table2[[#Headers],[Outer Spring Gage]],Table2[#Headers],0),0)</f>
        <v>Null</v>
      </c>
      <c r="AX210" s="2" t="str">
        <f>VLOOKUP([jobnumber],OvalData[],MATCH(Table2[[#Headers],[Outer Spring OD]],Table2[#Headers],0),0)</f>
        <v>Null</v>
      </c>
      <c r="AY210" s="2" t="str">
        <f>VLOOKUP([jobnumber],OvalData[],MATCH(Table2[[#Headers],[Outer Spring Length]],Table2[#Headers],0),0)</f>
        <v>Null</v>
      </c>
      <c r="AZ210" s="2" t="str">
        <f>VLOOKUP([jobnumber],OvalData[],MATCH(Table2[[#Headers],[Outer Spring Stretch]],Table2[#Headers],0),0)</f>
        <v>Null</v>
      </c>
      <c r="BA210" s="2" t="str">
        <f>VLOOKUP([jobnumber],OvalData[],MATCH(Table2[[#Headers],[Outer Spring Torque]],Table2[#Headers],0),0)</f>
        <v>Null</v>
      </c>
      <c r="BB210" s="2" t="str">
        <f>VLOOKUP([jobnumber],OvalData[],MATCH(Table2[[#Headers],[Outer Spring Max Turns]],Table2[#Headers],0),0)</f>
        <v>Null</v>
      </c>
      <c r="BC210" s="2" t="str">
        <f>VLOOKUP([jobnumber],OvalData[],MATCH(Table2[[#Headers],[Outer Spring Weight]],Table2[#Headers],0),0)</f>
        <v>Null</v>
      </c>
      <c r="BD210" s="2" t="str">
        <f>VLOOKUP([jobnumber],OvalData[],MATCH(Table2[[#Headers],[Inner Spring Gage]],Table2[#Headers],0),0)</f>
        <v>Null</v>
      </c>
      <c r="BE210" s="2" t="str">
        <f>VLOOKUP([jobnumber],OvalData[],MATCH(Table2[[#Headers],[Inner Spring OD]],Table2[#Headers],0),0)</f>
        <v>Null</v>
      </c>
      <c r="BF210" s="2" t="str">
        <f>VLOOKUP([jobnumber],OvalData[],MATCH(Table2[[#Headers],[Inner Spring Length]],Table2[#Headers],0),0)</f>
        <v>Null</v>
      </c>
      <c r="BG210" s="2" t="str">
        <f>VLOOKUP([jobnumber],OvalData[],MATCH(Table2[[#Headers],[Inner Spring Stretch]],Table2[#Headers],0),0)</f>
        <v>Null</v>
      </c>
      <c r="BH210" s="2" t="str">
        <f>VLOOKUP([jobnumber],OvalData[],MATCH(Table2[[#Headers],[Inner Spring Torque]],Table2[#Headers],0),0)</f>
        <v>Null</v>
      </c>
      <c r="BI210" s="2" t="str">
        <f>VLOOKUP([jobnumber],OvalData[],MATCH(Table2[[#Headers],[Inner Spring Max Turns]],Table2[#Headers],0),0)</f>
        <v>Null</v>
      </c>
      <c r="BJ210" s="2" t="str">
        <f>VLOOKUP([jobnumber],OvalData[],MATCH(Table2[[#Headers],[Inner Spring Weight]],Table2[#Headers],0),0)</f>
        <v>Null</v>
      </c>
      <c r="BK210" s="2">
        <f>VLOOKUP([jobnumber],OvalData[],MATCH(Table2[[#Headers],[Cycles]],Table2[#Headers],0),0)</f>
        <v>0</v>
      </c>
      <c r="BL210" s="2">
        <f>VLOOKUP([jobnumber],OvalData[],MATCH(Table2[[#Headers],[Total Spring Torque]],Table2[#Headers],0),0)</f>
        <v>0</v>
      </c>
      <c r="BM210" s="2">
        <f>VLOOKUP([jobnumber],OvalData[],MATCH(Table2[[#Headers],[Total Spring Weight]],Table2[#Headers],0),0)</f>
        <v>0</v>
      </c>
      <c r="BN210" s="2">
        <f>VLOOKUP([jobnumber],OvalData[],MATCH(Table2[[#Headers],[Pipe Weight]],Table2[#Headers],0),0)</f>
        <v>688.24239999999998</v>
      </c>
      <c r="BO210" s="2">
        <f>VLOOKUP([jobnumber],OvalData[],MATCH(Table2[[#Headers],[Max Pipe Deflection]],Table2[#Headers],0),0)</f>
        <v>2309</v>
      </c>
      <c r="BP210" s="2">
        <f>VLOOKUP([jobnumber],OvalData[],MATCH(Table2[[#Headers],[Number Non-Insulated Wrap Slats]],Table2[#Headers],0),0)</f>
        <v>0</v>
      </c>
      <c r="BQ210" s="2">
        <f>VLOOKUP([jobnumber],OvalData[],MATCH(Table2[[#Headers],[Number of Insolated Top Slats]],Table2[#Headers],0),0)</f>
        <v>45</v>
      </c>
      <c r="BR210" s="2">
        <f>VLOOKUP([jobnumber],OvalData[],MATCH(Table2[[#Headers],[Insolated Total Slats]],Table2[#Headers],0),0)</f>
        <v>45</v>
      </c>
      <c r="BS210" s="2">
        <f>VLOOKUP([jobnumber],OvalData[],MATCH(Table2[[#Headers],[Number of Slats]],Table2[#Headers],0),0)</f>
        <v>44.69</v>
      </c>
      <c r="BT210" s="2">
        <f>VLOOKUP([jobnumber],OvalData[],MATCH(Table2[[#Headers],[Wrap]],Table2[#Headers],0),0)</f>
        <v>0</v>
      </c>
      <c r="BU210" s="2">
        <f>VLOOKUP([jobnumber],OvalData[],MATCH(Table2[[#Headers],[Wall Angle Thickness]],Table2[#Headers],0),0)</f>
        <v>0</v>
      </c>
      <c r="BV210" s="2">
        <f>VLOOKUP([jobnumber],OvalData[],MATCH(Table2[[#Headers],[windlocks]],Table2[#Headers],0),0)</f>
        <v>0</v>
      </c>
      <c r="BW210" s="2" t="str">
        <f>VLOOKUP([jobnumber],OvalData[],MATCH(Table2[[#Headers],[bottombartype]],Table2[#Headers],0),0)</f>
        <v>SPECIAL</v>
      </c>
      <c r="BX210" s="2">
        <f>VLOOKUP([jobnumber],OvalData[],MATCH(Table2[[#Headers],[endlockweight]],Table2[#Headers],0),0)</f>
        <v>0.17</v>
      </c>
      <c r="BY210" s="2">
        <f>VLOOKUP([jobnumber],OvalData[],MATCH(Table2[[#Headers],[Endlock Total Weight]],Table2[#Headers],0),0)</f>
        <v>7.5972999999999997</v>
      </c>
      <c r="BZ210" s="2">
        <f>VLOOKUP([jobnumber],OvalData[],MATCH(Table2[[#Headers],[Grille Weight]],Table2[#Headers],0),0)</f>
        <v>0</v>
      </c>
      <c r="CA210" s="2">
        <f>VLOOKUP([jobnumber],OvalData[],MATCH(Table2[[#Headers],[barrelrings]],Table2[#Headers],0),0)</f>
        <v>1</v>
      </c>
    </row>
    <row r="211" spans="2:79">
      <c r="B211" s="2" t="str">
        <f>VLOOKUP([jobnumber],OvalData[],MATCH(Table2[[#Headers],[Hand]],Table2[#Headers],0),0)</f>
        <v>RH</v>
      </c>
      <c r="C211" s="2" t="str">
        <f>VLOOKUP([jobnumber],OvalData[],MATCH(Table2[[#Headers],[Model]],Table2[#Headers],0),0)</f>
        <v>SFMPP</v>
      </c>
      <c r="D211" s="2" t="str">
        <f>VLOOKUP([jobnumber],OvalData[],MATCH(Table2[[#Headers],[width]],Table2[#Headers],0),0)</f>
        <v xml:space="preserve"> 18 ft.- 2"</v>
      </c>
      <c r="E211" s="2" t="str">
        <f>VLOOKUP([jobnumber],OvalData[],MATCH(Table2[[#Headers],[stopheight]],Table2[#Headers],0),0)</f>
        <v xml:space="preserve"> 10 ft.- 0"</v>
      </c>
      <c r="F211" s="2" t="str">
        <f>VLOOKUP([jobnumber],OvalData[],MATCH(Table2[[#Headers],[Between Brackets]],Table2[#Headers],0),0)</f>
        <v xml:space="preserve"> 18 ft.- 7 7/ 8"</v>
      </c>
      <c r="G211" s="2" t="str">
        <f>VLOOKUP([jobnumber],OvalData[],MATCH(Table2[[#Headers],[shell]],Table2[#Headers],0),0)</f>
        <v>6 INCH TUBE</v>
      </c>
      <c r="H211" s="2" t="str">
        <f>VLOOKUP([jobnumber],OvalData[],MATCH(Table2[[#Headers],[pipewidth]],Table2[#Headers],0),0)</f>
        <v xml:space="preserve"> 18 ft.- 1 3/ 8"</v>
      </c>
      <c r="I211" s="2">
        <f>VLOOKUP([jobnumber],OvalData[],MATCH(Table2[[#Headers],[Support Tubes]],Table2[#Headers],0),0)</f>
        <v>0</v>
      </c>
      <c r="J211" s="2">
        <f>VLOOKUP([jobnumber],OvalData[],MATCH(Table2[[#Headers],[Upset]],Table2[#Headers],0),0)</f>
        <v>2</v>
      </c>
      <c r="K211" s="2" t="str">
        <f>VLOOKUP([jobnumber],OvalData[],MATCH(Table2[[#Headers],[Guide Type]],Table2[#Headers],0),0)</f>
        <v>SN2-4 5/8-E</v>
      </c>
      <c r="L211" s="2" t="str">
        <f>VLOOKUP([jobnumber],OvalData[],MATCH(Table2[[#Headers],[Wall Angle]],Table2[#Headers],0),0)</f>
        <v xml:space="preserve"> 11 ft.- 8"</v>
      </c>
      <c r="M211" s="2" t="str">
        <f>VLOOKUP([jobnumber],OvalData[],MATCH(Table2[[#Headers],[Middle Angle]],Table2[#Headers],0),0)</f>
        <v xml:space="preserve"> 10 ft.- 4 1/ 2"</v>
      </c>
      <c r="N211" s="2" t="str">
        <f>VLOOKUP([jobnumber],OvalData[],MATCH(Table2[[#Headers],[Front Angle]],Table2[#Headers],0),0)</f>
        <v xml:space="preserve"> 10 ft.- 3"</v>
      </c>
      <c r="O211" s="2">
        <f>VLOOKUP([jobnumber],OvalData[],MATCH(Table2[[#Headers],[Pipe Center Line]],Table2[#Headers],0),0)</f>
        <v>131</v>
      </c>
      <c r="P211" s="2">
        <f>VLOOKUP([jobnumber],OvalData[],MATCH(Table2[[#Headers],[Heat Expansion Gap]],Table2[#Headers],0),0)</f>
        <v>0</v>
      </c>
      <c r="Q211" s="2">
        <f>VLOOKUP([jobnumber],OvalData[],MATCH(Table2[[#Headers],[Hanging Weight Closed]],Table2[#Headers],0),0)</f>
        <v>795</v>
      </c>
      <c r="R211" s="2">
        <f>VLOOKUP([jobnumber],OvalData[],MATCH(Table2[[#Headers],[Hanging Weight Open]],Table2[#Headers],0),0)</f>
        <v>140</v>
      </c>
      <c r="S211" s="2">
        <f>VLOOKUP([jobnumber],OvalData[],MATCH(Table2[[#Headers],[Initial Lever Arm]],Table2[#Headers],0),0)</f>
        <v>4.25</v>
      </c>
      <c r="T211" s="2">
        <f>VLOOKUP([jobnumber],OvalData[],MATCH(Table2[[#Headers],[Turns to Raise]],Table2[#Headers],0),0)</f>
        <v>3.5859999999999999</v>
      </c>
      <c r="U211" s="2">
        <f>VLOOKUP([jobnumber],OvalData[],MATCH(Table2[[#Headers],[Final Lever Arm]],Table2[#Headers],0),0)</f>
        <v>6.37</v>
      </c>
      <c r="V211" s="2">
        <f>VLOOKUP([jobnumber],OvalData[],MATCH(Table2[[#Headers],[Torque Required Closed]],Table2[#Headers],0),0)</f>
        <v>3377.9</v>
      </c>
      <c r="W211" s="2">
        <f>VLOOKUP([jobnumber],OvalData[],MATCH(Table2[[#Headers],[Torque Required Open]],Table2[#Headers],0),0)</f>
        <v>892</v>
      </c>
      <c r="X211" s="2">
        <f>VLOOKUP([jobnumber],OvalData[],MATCH(Table2[[#Headers],[Pre Turns]],Table2[#Headers],0),0)</f>
        <v>1.3332999999999999</v>
      </c>
      <c r="Y211" s="2">
        <f>VLOOKUP([jobnumber],OvalData[],MATCH(Table2[[#Headers],[Required Torque Per Turn]],Table2[#Headers],0),0)</f>
        <v>688</v>
      </c>
      <c r="Z211" s="2">
        <f>VLOOKUP([jobnumber],OvalData[],MATCH(Table2[[#Headers],[Total Turns]],Table2[#Headers],0),0)</f>
        <v>4.91</v>
      </c>
      <c r="AA211" s="2">
        <f>VLOOKUP([jobnumber],OvalData[],MATCH(Table2[[#Headers],[Grille Vision Section]],Table2[#Headers],0),0)</f>
        <v>0</v>
      </c>
      <c r="AB211" s="2">
        <f>VLOOKUP([jobnumber],OvalData[],MATCH(Table2[[#Headers],[Grille Amount]],Table2[#Headers],0),0)</f>
        <v>0</v>
      </c>
      <c r="AC211" s="2">
        <f>VLOOKUP([jobnumber],OvalData[],MATCH(Table2[[#Headers],[Grille Center]],Table2[#Headers],0),0)</f>
        <v>0</v>
      </c>
      <c r="AD211" s="2">
        <f>VLOOKUP([jobnumber],OvalData[],MATCH(Table2[[#Headers],[Grille Pattern]],Table2[#Headers],0),0)</f>
        <v>0</v>
      </c>
      <c r="AE211" s="2">
        <f>VLOOKUP([jobnumber],OvalData[],MATCH(Table2[[#Headers],[Grille First Tube]],Table2[#Headers],0),0)</f>
        <v>0</v>
      </c>
      <c r="AF211" s="2">
        <f>VLOOKUP([jobnumber],OvalData[],MATCH(Table2[[#Headers],[Grille Standard Tube]],Table2[#Headers],0),0)</f>
        <v>0</v>
      </c>
      <c r="AG211" s="2">
        <f>VLOOKUP([jobnumber],OvalData[],MATCH(Table2[[#Headers],[Grille Total Links]],Table2[#Headers],0),0)</f>
        <v>0</v>
      </c>
      <c r="AH211" s="2">
        <f>VLOOKUP([jobnumber],OvalData[],MATCH(Table2[[#Headers],[Grille Rods]],Table2[#Headers],0),0)</f>
        <v>0</v>
      </c>
      <c r="AI211" s="2">
        <f>VLOOKUP([jobnumber],OvalData[],MATCH(Table2[[#Headers],[Grille Rod Length]],Table2[#Headers],0),0)</f>
        <v>0</v>
      </c>
      <c r="AJ211" s="2">
        <f>VLOOKUP([jobnumber],OvalData[],MATCH(Table2[[#Headers],[slattype]],Table2[#Headers],0),0)</f>
        <v>2</v>
      </c>
      <c r="AK211" s="2">
        <f>VLOOKUP([jobnumber],OvalData[],MATCH(Table2[[#Headers],[slatgage]],Table2[#Headers],0),0)</f>
        <v>18</v>
      </c>
      <c r="AL211" s="2">
        <f>VLOOKUP([jobnumber],OvalData[],MATCH(Table2[[#Headers],[Numer of Top Slats]],Table2[#Headers],0),0)</f>
        <v>0</v>
      </c>
      <c r="AM211" s="2">
        <f>VLOOKUP([jobnumber],OvalData[],MATCH(Table2[[#Headers],[Number of Bottom Slats]],Table2[#Headers],0),0)</f>
        <v>0</v>
      </c>
      <c r="AN211" s="2">
        <f>VLOOKUP([jobnumber],OvalData[],MATCH(Table2[[#Headers],[Solid Bottom Height]],Table2[#Headers],0),0)</f>
        <v>0</v>
      </c>
      <c r="AO211" s="2" t="str">
        <f>VLOOKUP([jobnumber],OvalData[],MATCH(Table2[[#Headers],[slatlength]],Table2[#Headers],0),0)</f>
        <v xml:space="preserve"> 18 ft.- 5 7/ 8"</v>
      </c>
      <c r="AP211" s="2">
        <f>VLOOKUP([jobnumber],OvalData[],MATCH(Table2[[#Headers],[Bottom Slat Length]],Table2[#Headers],0),0)</f>
        <v>0</v>
      </c>
      <c r="AQ211" s="2">
        <f>VLOOKUP([jobnumber],OvalData[],MATCH(Table2[[#Headers],[Number of Perferated Slats]],Table2[#Headers],0),0)</f>
        <v>0</v>
      </c>
      <c r="AR211" s="2">
        <f>VLOOKUP([jobnumber],OvalData[],MATCH(Table2[[#Headers],[First Preferated Slat From End]],Table2[#Headers],0),0)</f>
        <v>0</v>
      </c>
      <c r="AS211" s="2">
        <f>VLOOKUP([jobnumber],OvalData[],MATCH(Table2[[#Headers],[First Preferated Slat From Bottom]],Table2[#Headers],0),0)</f>
        <v>0</v>
      </c>
      <c r="AT211" s="2">
        <f>VLOOKUP([jobnumber],OvalData[],MATCH(Table2[[#Headers],[Total Number of Slats]],Table2[#Headers],0),0)</f>
        <v>51</v>
      </c>
      <c r="AU211" s="2">
        <f>VLOOKUP([jobnumber],OvalData[],MATCH(Table2[[#Headers],[Bottom Bar Slope]],Table2[#Headers],0),0)</f>
        <v>0</v>
      </c>
      <c r="AV211" s="2">
        <f>VLOOKUP([jobnumber],OvalData[],MATCH(Table2[[#Headers],[Bottom Bar Weight]],Table2[#Headers],0),0)</f>
        <v>80.5</v>
      </c>
      <c r="AW211" s="2" t="str">
        <f>VLOOKUP([jobnumber],OvalData[],MATCH(Table2[[#Headers],[Outer Spring Gage]],Table2[#Headers],0),0)</f>
        <v>Null</v>
      </c>
      <c r="AX211" s="2" t="str">
        <f>VLOOKUP([jobnumber],OvalData[],MATCH(Table2[[#Headers],[Outer Spring OD]],Table2[#Headers],0),0)</f>
        <v>Null</v>
      </c>
      <c r="AY211" s="2" t="str">
        <f>VLOOKUP([jobnumber],OvalData[],MATCH(Table2[[#Headers],[Outer Spring Length]],Table2[#Headers],0),0)</f>
        <v>Null</v>
      </c>
      <c r="AZ211" s="2" t="str">
        <f>VLOOKUP([jobnumber],OvalData[],MATCH(Table2[[#Headers],[Outer Spring Stretch]],Table2[#Headers],0),0)</f>
        <v>Null</v>
      </c>
      <c r="BA211" s="2" t="str">
        <f>VLOOKUP([jobnumber],OvalData[],MATCH(Table2[[#Headers],[Outer Spring Torque]],Table2[#Headers],0),0)</f>
        <v>Null</v>
      </c>
      <c r="BB211" s="2" t="str">
        <f>VLOOKUP([jobnumber],OvalData[],MATCH(Table2[[#Headers],[Outer Spring Max Turns]],Table2[#Headers],0),0)</f>
        <v>Null</v>
      </c>
      <c r="BC211" s="2" t="str">
        <f>VLOOKUP([jobnumber],OvalData[],MATCH(Table2[[#Headers],[Outer Spring Weight]],Table2[#Headers],0),0)</f>
        <v>Null</v>
      </c>
      <c r="BD211" s="2" t="str">
        <f>VLOOKUP([jobnumber],OvalData[],MATCH(Table2[[#Headers],[Inner Spring Gage]],Table2[#Headers],0),0)</f>
        <v>Null</v>
      </c>
      <c r="BE211" s="2" t="str">
        <f>VLOOKUP([jobnumber],OvalData[],MATCH(Table2[[#Headers],[Inner Spring OD]],Table2[#Headers],0),0)</f>
        <v>Null</v>
      </c>
      <c r="BF211" s="2" t="str">
        <f>VLOOKUP([jobnumber],OvalData[],MATCH(Table2[[#Headers],[Inner Spring Length]],Table2[#Headers],0),0)</f>
        <v>Null</v>
      </c>
      <c r="BG211" s="2" t="str">
        <f>VLOOKUP([jobnumber],OvalData[],MATCH(Table2[[#Headers],[Inner Spring Stretch]],Table2[#Headers],0),0)</f>
        <v>Null</v>
      </c>
      <c r="BH211" s="2" t="str">
        <f>VLOOKUP([jobnumber],OvalData[],MATCH(Table2[[#Headers],[Inner Spring Torque]],Table2[#Headers],0),0)</f>
        <v>Null</v>
      </c>
      <c r="BI211" s="2" t="str">
        <f>VLOOKUP([jobnumber],OvalData[],MATCH(Table2[[#Headers],[Inner Spring Max Turns]],Table2[#Headers],0),0)</f>
        <v>Null</v>
      </c>
      <c r="BJ211" s="2" t="str">
        <f>VLOOKUP([jobnumber],OvalData[],MATCH(Table2[[#Headers],[Inner Spring Weight]],Table2[#Headers],0),0)</f>
        <v>Null</v>
      </c>
      <c r="BK211" s="2">
        <f>VLOOKUP([jobnumber],OvalData[],MATCH(Table2[[#Headers],[Cycles]],Table2[#Headers],0),0)</f>
        <v>0</v>
      </c>
      <c r="BL211" s="2">
        <f>VLOOKUP([jobnumber],OvalData[],MATCH(Table2[[#Headers],[Total Spring Torque]],Table2[#Headers],0),0)</f>
        <v>0</v>
      </c>
      <c r="BM211" s="2">
        <f>VLOOKUP([jobnumber],OvalData[],MATCH(Table2[[#Headers],[Total Spring Weight]],Table2[#Headers],0),0)</f>
        <v>0</v>
      </c>
      <c r="BN211" s="2">
        <f>VLOOKUP([jobnumber],OvalData[],MATCH(Table2[[#Headers],[Pipe Weight]],Table2[#Headers],0),0)</f>
        <v>688.24239999999998</v>
      </c>
      <c r="BO211" s="2">
        <f>VLOOKUP([jobnumber],OvalData[],MATCH(Table2[[#Headers],[Max Pipe Deflection]],Table2[#Headers],0),0)</f>
        <v>2309</v>
      </c>
      <c r="BP211" s="2">
        <f>VLOOKUP([jobnumber],OvalData[],MATCH(Table2[[#Headers],[Number Non-Insulated Wrap Slats]],Table2[#Headers],0),0)</f>
        <v>0</v>
      </c>
      <c r="BQ211" s="2">
        <f>VLOOKUP([jobnumber],OvalData[],MATCH(Table2[[#Headers],[Number of Insolated Top Slats]],Table2[#Headers],0),0)</f>
        <v>45</v>
      </c>
      <c r="BR211" s="2">
        <f>VLOOKUP([jobnumber],OvalData[],MATCH(Table2[[#Headers],[Insolated Total Slats]],Table2[#Headers],0),0)</f>
        <v>45</v>
      </c>
      <c r="BS211" s="2">
        <f>VLOOKUP([jobnumber],OvalData[],MATCH(Table2[[#Headers],[Number of Slats]],Table2[#Headers],0),0)</f>
        <v>44.69</v>
      </c>
      <c r="BT211" s="2">
        <f>VLOOKUP([jobnumber],OvalData[],MATCH(Table2[[#Headers],[Wrap]],Table2[#Headers],0),0)</f>
        <v>0</v>
      </c>
      <c r="BU211" s="2">
        <f>VLOOKUP([jobnumber],OvalData[],MATCH(Table2[[#Headers],[Wall Angle Thickness]],Table2[#Headers],0),0)</f>
        <v>0</v>
      </c>
      <c r="BV211" s="2">
        <f>VLOOKUP([jobnumber],OvalData[],MATCH(Table2[[#Headers],[windlocks]],Table2[#Headers],0),0)</f>
        <v>0</v>
      </c>
      <c r="BW211" s="2" t="str">
        <f>VLOOKUP([jobnumber],OvalData[],MATCH(Table2[[#Headers],[bottombartype]],Table2[#Headers],0),0)</f>
        <v>SPECIAL</v>
      </c>
      <c r="BX211" s="2">
        <f>VLOOKUP([jobnumber],OvalData[],MATCH(Table2[[#Headers],[endlockweight]],Table2[#Headers],0),0)</f>
        <v>0.17</v>
      </c>
      <c r="BY211" s="2">
        <f>VLOOKUP([jobnumber],OvalData[],MATCH(Table2[[#Headers],[Endlock Total Weight]],Table2[#Headers],0),0)</f>
        <v>7.5972999999999997</v>
      </c>
      <c r="BZ211" s="2">
        <f>VLOOKUP([jobnumber],OvalData[],MATCH(Table2[[#Headers],[Grille Weight]],Table2[#Headers],0),0)</f>
        <v>0</v>
      </c>
      <c r="CA211" s="2">
        <f>VLOOKUP([jobnumber],OvalData[],MATCH(Table2[[#Headers],[barrelrings]],Table2[#Headers],0),0)</f>
        <v>1</v>
      </c>
    </row>
    <row r="212" spans="2:79">
      <c r="B212" s="2" t="str">
        <f>VLOOKUP([jobnumber],OvalData[],MATCH(Table2[[#Headers],[Hand]],Table2[#Headers],0),0)</f>
        <v>RH</v>
      </c>
      <c r="C212" s="2" t="str">
        <f>VLOOKUP([jobnumber],OvalData[],MATCH(Table2[[#Headers],[Model]],Table2[#Headers],0),0)</f>
        <v>SFMPP</v>
      </c>
      <c r="D212" s="2" t="str">
        <f>VLOOKUP([jobnumber],OvalData[],MATCH(Table2[[#Headers],[width]],Table2[#Headers],0),0)</f>
        <v xml:space="preserve"> 18 ft.- 2"</v>
      </c>
      <c r="E212" s="2" t="str">
        <f>VLOOKUP([jobnumber],OvalData[],MATCH(Table2[[#Headers],[stopheight]],Table2[#Headers],0),0)</f>
        <v xml:space="preserve"> 10 ft.- 0"</v>
      </c>
      <c r="F212" s="2" t="str">
        <f>VLOOKUP([jobnumber],OvalData[],MATCH(Table2[[#Headers],[Between Brackets]],Table2[#Headers],0),0)</f>
        <v xml:space="preserve"> 18 ft.- 7 7/ 8"</v>
      </c>
      <c r="G212" s="2" t="str">
        <f>VLOOKUP([jobnumber],OvalData[],MATCH(Table2[[#Headers],[shell]],Table2[#Headers],0),0)</f>
        <v>6 INCH TUBE</v>
      </c>
      <c r="H212" s="2" t="str">
        <f>VLOOKUP([jobnumber],OvalData[],MATCH(Table2[[#Headers],[pipewidth]],Table2[#Headers],0),0)</f>
        <v xml:space="preserve"> 18 ft.- 1 3/ 8"</v>
      </c>
      <c r="I212" s="2">
        <f>VLOOKUP([jobnumber],OvalData[],MATCH(Table2[[#Headers],[Support Tubes]],Table2[#Headers],0),0)</f>
        <v>0</v>
      </c>
      <c r="J212" s="2">
        <f>VLOOKUP([jobnumber],OvalData[],MATCH(Table2[[#Headers],[Upset]],Table2[#Headers],0),0)</f>
        <v>2</v>
      </c>
      <c r="K212" s="2" t="str">
        <f>VLOOKUP([jobnumber],OvalData[],MATCH(Table2[[#Headers],[Guide Type]],Table2[#Headers],0),0)</f>
        <v>SN2-4 5/8-E</v>
      </c>
      <c r="L212" s="2" t="str">
        <f>VLOOKUP([jobnumber],OvalData[],MATCH(Table2[[#Headers],[Wall Angle]],Table2[#Headers],0),0)</f>
        <v xml:space="preserve"> 11 ft.- 8"</v>
      </c>
      <c r="M212" s="2" t="str">
        <f>VLOOKUP([jobnumber],OvalData[],MATCH(Table2[[#Headers],[Middle Angle]],Table2[#Headers],0),0)</f>
        <v xml:space="preserve"> 10 ft.- 4 1/ 2"</v>
      </c>
      <c r="N212" s="2" t="str">
        <f>VLOOKUP([jobnumber],OvalData[],MATCH(Table2[[#Headers],[Front Angle]],Table2[#Headers],0),0)</f>
        <v xml:space="preserve"> 10 ft.- 3"</v>
      </c>
      <c r="O212" s="2">
        <f>VLOOKUP([jobnumber],OvalData[],MATCH(Table2[[#Headers],[Pipe Center Line]],Table2[#Headers],0),0)</f>
        <v>131</v>
      </c>
      <c r="P212" s="2">
        <f>VLOOKUP([jobnumber],OvalData[],MATCH(Table2[[#Headers],[Heat Expansion Gap]],Table2[#Headers],0),0)</f>
        <v>0</v>
      </c>
      <c r="Q212" s="2">
        <f>VLOOKUP([jobnumber],OvalData[],MATCH(Table2[[#Headers],[Hanging Weight Closed]],Table2[#Headers],0),0)</f>
        <v>795</v>
      </c>
      <c r="R212" s="2">
        <f>VLOOKUP([jobnumber],OvalData[],MATCH(Table2[[#Headers],[Hanging Weight Open]],Table2[#Headers],0),0)</f>
        <v>140</v>
      </c>
      <c r="S212" s="2">
        <f>VLOOKUP([jobnumber],OvalData[],MATCH(Table2[[#Headers],[Initial Lever Arm]],Table2[#Headers],0),0)</f>
        <v>4.25</v>
      </c>
      <c r="T212" s="2">
        <f>VLOOKUP([jobnumber],OvalData[],MATCH(Table2[[#Headers],[Turns to Raise]],Table2[#Headers],0),0)</f>
        <v>3.5859999999999999</v>
      </c>
      <c r="U212" s="2">
        <f>VLOOKUP([jobnumber],OvalData[],MATCH(Table2[[#Headers],[Final Lever Arm]],Table2[#Headers],0),0)</f>
        <v>6.37</v>
      </c>
      <c r="V212" s="2">
        <f>VLOOKUP([jobnumber],OvalData[],MATCH(Table2[[#Headers],[Torque Required Closed]],Table2[#Headers],0),0)</f>
        <v>3377.9</v>
      </c>
      <c r="W212" s="2">
        <f>VLOOKUP([jobnumber],OvalData[],MATCH(Table2[[#Headers],[Torque Required Open]],Table2[#Headers],0),0)</f>
        <v>892</v>
      </c>
      <c r="X212" s="2">
        <f>VLOOKUP([jobnumber],OvalData[],MATCH(Table2[[#Headers],[Pre Turns]],Table2[#Headers],0),0)</f>
        <v>1.3332999999999999</v>
      </c>
      <c r="Y212" s="2">
        <f>VLOOKUP([jobnumber],OvalData[],MATCH(Table2[[#Headers],[Required Torque Per Turn]],Table2[#Headers],0),0)</f>
        <v>688</v>
      </c>
      <c r="Z212" s="2">
        <f>VLOOKUP([jobnumber],OvalData[],MATCH(Table2[[#Headers],[Total Turns]],Table2[#Headers],0),0)</f>
        <v>4.91</v>
      </c>
      <c r="AA212" s="2">
        <f>VLOOKUP([jobnumber],OvalData[],MATCH(Table2[[#Headers],[Grille Vision Section]],Table2[#Headers],0),0)</f>
        <v>0</v>
      </c>
      <c r="AB212" s="2">
        <f>VLOOKUP([jobnumber],OvalData[],MATCH(Table2[[#Headers],[Grille Amount]],Table2[#Headers],0),0)</f>
        <v>0</v>
      </c>
      <c r="AC212" s="2">
        <f>VLOOKUP([jobnumber],OvalData[],MATCH(Table2[[#Headers],[Grille Center]],Table2[#Headers],0),0)</f>
        <v>0</v>
      </c>
      <c r="AD212" s="2">
        <f>VLOOKUP([jobnumber],OvalData[],MATCH(Table2[[#Headers],[Grille Pattern]],Table2[#Headers],0),0)</f>
        <v>0</v>
      </c>
      <c r="AE212" s="2">
        <f>VLOOKUP([jobnumber],OvalData[],MATCH(Table2[[#Headers],[Grille First Tube]],Table2[#Headers],0),0)</f>
        <v>0</v>
      </c>
      <c r="AF212" s="2">
        <f>VLOOKUP([jobnumber],OvalData[],MATCH(Table2[[#Headers],[Grille Standard Tube]],Table2[#Headers],0),0)</f>
        <v>0</v>
      </c>
      <c r="AG212" s="2">
        <f>VLOOKUP([jobnumber],OvalData[],MATCH(Table2[[#Headers],[Grille Total Links]],Table2[#Headers],0),0)</f>
        <v>0</v>
      </c>
      <c r="AH212" s="2">
        <f>VLOOKUP([jobnumber],OvalData[],MATCH(Table2[[#Headers],[Grille Rods]],Table2[#Headers],0),0)</f>
        <v>0</v>
      </c>
      <c r="AI212" s="2">
        <f>VLOOKUP([jobnumber],OvalData[],MATCH(Table2[[#Headers],[Grille Rod Length]],Table2[#Headers],0),0)</f>
        <v>0</v>
      </c>
      <c r="AJ212" s="2">
        <f>VLOOKUP([jobnumber],OvalData[],MATCH(Table2[[#Headers],[slattype]],Table2[#Headers],0),0)</f>
        <v>2</v>
      </c>
      <c r="AK212" s="2">
        <f>VLOOKUP([jobnumber],OvalData[],MATCH(Table2[[#Headers],[slatgage]],Table2[#Headers],0),0)</f>
        <v>18</v>
      </c>
      <c r="AL212" s="2">
        <f>VLOOKUP([jobnumber],OvalData[],MATCH(Table2[[#Headers],[Numer of Top Slats]],Table2[#Headers],0),0)</f>
        <v>0</v>
      </c>
      <c r="AM212" s="2">
        <f>VLOOKUP([jobnumber],OvalData[],MATCH(Table2[[#Headers],[Number of Bottom Slats]],Table2[#Headers],0),0)</f>
        <v>0</v>
      </c>
      <c r="AN212" s="2">
        <f>VLOOKUP([jobnumber],OvalData[],MATCH(Table2[[#Headers],[Solid Bottom Height]],Table2[#Headers],0),0)</f>
        <v>0</v>
      </c>
      <c r="AO212" s="2" t="str">
        <f>VLOOKUP([jobnumber],OvalData[],MATCH(Table2[[#Headers],[slatlength]],Table2[#Headers],0),0)</f>
        <v xml:space="preserve"> 18 ft.- 5 7/ 8"</v>
      </c>
      <c r="AP212" s="2">
        <f>VLOOKUP([jobnumber],OvalData[],MATCH(Table2[[#Headers],[Bottom Slat Length]],Table2[#Headers],0),0)</f>
        <v>0</v>
      </c>
      <c r="AQ212" s="2">
        <f>VLOOKUP([jobnumber],OvalData[],MATCH(Table2[[#Headers],[Number of Perferated Slats]],Table2[#Headers],0),0)</f>
        <v>0</v>
      </c>
      <c r="AR212" s="2">
        <f>VLOOKUP([jobnumber],OvalData[],MATCH(Table2[[#Headers],[First Preferated Slat From End]],Table2[#Headers],0),0)</f>
        <v>0</v>
      </c>
      <c r="AS212" s="2">
        <f>VLOOKUP([jobnumber],OvalData[],MATCH(Table2[[#Headers],[First Preferated Slat From Bottom]],Table2[#Headers],0),0)</f>
        <v>0</v>
      </c>
      <c r="AT212" s="2">
        <f>VLOOKUP([jobnumber],OvalData[],MATCH(Table2[[#Headers],[Total Number of Slats]],Table2[#Headers],0),0)</f>
        <v>51</v>
      </c>
      <c r="AU212" s="2">
        <f>VLOOKUP([jobnumber],OvalData[],MATCH(Table2[[#Headers],[Bottom Bar Slope]],Table2[#Headers],0),0)</f>
        <v>0</v>
      </c>
      <c r="AV212" s="2">
        <f>VLOOKUP([jobnumber],OvalData[],MATCH(Table2[[#Headers],[Bottom Bar Weight]],Table2[#Headers],0),0)</f>
        <v>80.5</v>
      </c>
      <c r="AW212" s="2" t="str">
        <f>VLOOKUP([jobnumber],OvalData[],MATCH(Table2[[#Headers],[Outer Spring Gage]],Table2[#Headers],0),0)</f>
        <v>Null</v>
      </c>
      <c r="AX212" s="2" t="str">
        <f>VLOOKUP([jobnumber],OvalData[],MATCH(Table2[[#Headers],[Outer Spring OD]],Table2[#Headers],0),0)</f>
        <v>Null</v>
      </c>
      <c r="AY212" s="2" t="str">
        <f>VLOOKUP([jobnumber],OvalData[],MATCH(Table2[[#Headers],[Outer Spring Length]],Table2[#Headers],0),0)</f>
        <v>Null</v>
      </c>
      <c r="AZ212" s="2" t="str">
        <f>VLOOKUP([jobnumber],OvalData[],MATCH(Table2[[#Headers],[Outer Spring Stretch]],Table2[#Headers],0),0)</f>
        <v>Null</v>
      </c>
      <c r="BA212" s="2" t="str">
        <f>VLOOKUP([jobnumber],OvalData[],MATCH(Table2[[#Headers],[Outer Spring Torque]],Table2[#Headers],0),0)</f>
        <v>Null</v>
      </c>
      <c r="BB212" s="2" t="str">
        <f>VLOOKUP([jobnumber],OvalData[],MATCH(Table2[[#Headers],[Outer Spring Max Turns]],Table2[#Headers],0),0)</f>
        <v>Null</v>
      </c>
      <c r="BC212" s="2" t="str">
        <f>VLOOKUP([jobnumber],OvalData[],MATCH(Table2[[#Headers],[Outer Spring Weight]],Table2[#Headers],0),0)</f>
        <v>Null</v>
      </c>
      <c r="BD212" s="2" t="str">
        <f>VLOOKUP([jobnumber],OvalData[],MATCH(Table2[[#Headers],[Inner Spring Gage]],Table2[#Headers],0),0)</f>
        <v>Null</v>
      </c>
      <c r="BE212" s="2" t="str">
        <f>VLOOKUP([jobnumber],OvalData[],MATCH(Table2[[#Headers],[Inner Spring OD]],Table2[#Headers],0),0)</f>
        <v>Null</v>
      </c>
      <c r="BF212" s="2" t="str">
        <f>VLOOKUP([jobnumber],OvalData[],MATCH(Table2[[#Headers],[Inner Spring Length]],Table2[#Headers],0),0)</f>
        <v>Null</v>
      </c>
      <c r="BG212" s="2" t="str">
        <f>VLOOKUP([jobnumber],OvalData[],MATCH(Table2[[#Headers],[Inner Spring Stretch]],Table2[#Headers],0),0)</f>
        <v>Null</v>
      </c>
      <c r="BH212" s="2" t="str">
        <f>VLOOKUP([jobnumber],OvalData[],MATCH(Table2[[#Headers],[Inner Spring Torque]],Table2[#Headers],0),0)</f>
        <v>Null</v>
      </c>
      <c r="BI212" s="2" t="str">
        <f>VLOOKUP([jobnumber],OvalData[],MATCH(Table2[[#Headers],[Inner Spring Max Turns]],Table2[#Headers],0),0)</f>
        <v>Null</v>
      </c>
      <c r="BJ212" s="2" t="str">
        <f>VLOOKUP([jobnumber],OvalData[],MATCH(Table2[[#Headers],[Inner Spring Weight]],Table2[#Headers],0),0)</f>
        <v>Null</v>
      </c>
      <c r="BK212" s="2">
        <f>VLOOKUP([jobnumber],OvalData[],MATCH(Table2[[#Headers],[Cycles]],Table2[#Headers],0),0)</f>
        <v>0</v>
      </c>
      <c r="BL212" s="2">
        <f>VLOOKUP([jobnumber],OvalData[],MATCH(Table2[[#Headers],[Total Spring Torque]],Table2[#Headers],0),0)</f>
        <v>0</v>
      </c>
      <c r="BM212" s="2">
        <f>VLOOKUP([jobnumber],OvalData[],MATCH(Table2[[#Headers],[Total Spring Weight]],Table2[#Headers],0),0)</f>
        <v>0</v>
      </c>
      <c r="BN212" s="2">
        <f>VLOOKUP([jobnumber],OvalData[],MATCH(Table2[[#Headers],[Pipe Weight]],Table2[#Headers],0),0)</f>
        <v>688.24239999999998</v>
      </c>
      <c r="BO212" s="2">
        <f>VLOOKUP([jobnumber],OvalData[],MATCH(Table2[[#Headers],[Max Pipe Deflection]],Table2[#Headers],0),0)</f>
        <v>2309</v>
      </c>
      <c r="BP212" s="2">
        <f>VLOOKUP([jobnumber],OvalData[],MATCH(Table2[[#Headers],[Number Non-Insulated Wrap Slats]],Table2[#Headers],0),0)</f>
        <v>0</v>
      </c>
      <c r="BQ212" s="2">
        <f>VLOOKUP([jobnumber],OvalData[],MATCH(Table2[[#Headers],[Number of Insolated Top Slats]],Table2[#Headers],0),0)</f>
        <v>45</v>
      </c>
      <c r="BR212" s="2">
        <f>VLOOKUP([jobnumber],OvalData[],MATCH(Table2[[#Headers],[Insolated Total Slats]],Table2[#Headers],0),0)</f>
        <v>45</v>
      </c>
      <c r="BS212" s="2">
        <f>VLOOKUP([jobnumber],OvalData[],MATCH(Table2[[#Headers],[Number of Slats]],Table2[#Headers],0),0)</f>
        <v>44.69</v>
      </c>
      <c r="BT212" s="2">
        <f>VLOOKUP([jobnumber],OvalData[],MATCH(Table2[[#Headers],[Wrap]],Table2[#Headers],0),0)</f>
        <v>0</v>
      </c>
      <c r="BU212" s="2">
        <f>VLOOKUP([jobnumber],OvalData[],MATCH(Table2[[#Headers],[Wall Angle Thickness]],Table2[#Headers],0),0)</f>
        <v>0</v>
      </c>
      <c r="BV212" s="2">
        <f>VLOOKUP([jobnumber],OvalData[],MATCH(Table2[[#Headers],[windlocks]],Table2[#Headers],0),0)</f>
        <v>0</v>
      </c>
      <c r="BW212" s="2" t="str">
        <f>VLOOKUP([jobnumber],OvalData[],MATCH(Table2[[#Headers],[bottombartype]],Table2[#Headers],0),0)</f>
        <v>SPECIAL</v>
      </c>
      <c r="BX212" s="2">
        <f>VLOOKUP([jobnumber],OvalData[],MATCH(Table2[[#Headers],[endlockweight]],Table2[#Headers],0),0)</f>
        <v>0.17</v>
      </c>
      <c r="BY212" s="2">
        <f>VLOOKUP([jobnumber],OvalData[],MATCH(Table2[[#Headers],[Endlock Total Weight]],Table2[#Headers],0),0)</f>
        <v>7.5972999999999997</v>
      </c>
      <c r="BZ212" s="2">
        <f>VLOOKUP([jobnumber],OvalData[],MATCH(Table2[[#Headers],[Grille Weight]],Table2[#Headers],0),0)</f>
        <v>0</v>
      </c>
      <c r="CA212" s="2">
        <f>VLOOKUP([jobnumber],OvalData[],MATCH(Table2[[#Headers],[barrelrings]],Table2[#Headers],0),0)</f>
        <v>1</v>
      </c>
    </row>
    <row r="213" spans="2:79">
      <c r="B213" s="2" t="str">
        <f>VLOOKUP([jobnumber],OvalData[],MATCH(Table2[[#Headers],[Hand]],Table2[#Headers],0),0)</f>
        <v>RH</v>
      </c>
      <c r="C213" s="2" t="str">
        <f>VLOOKUP([jobnumber],OvalData[],MATCH(Table2[[#Headers],[Model]],Table2[#Headers],0),0)</f>
        <v>SFMPP</v>
      </c>
      <c r="D213" s="2" t="str">
        <f>VLOOKUP([jobnumber],OvalData[],MATCH(Table2[[#Headers],[width]],Table2[#Headers],0),0)</f>
        <v xml:space="preserve"> 18 ft.- 2"</v>
      </c>
      <c r="E213" s="2" t="str">
        <f>VLOOKUP([jobnumber],OvalData[],MATCH(Table2[[#Headers],[stopheight]],Table2[#Headers],0),0)</f>
        <v xml:space="preserve"> 10 ft.- 0"</v>
      </c>
      <c r="F213" s="2" t="str">
        <f>VLOOKUP([jobnumber],OvalData[],MATCH(Table2[[#Headers],[Between Brackets]],Table2[#Headers],0),0)</f>
        <v xml:space="preserve"> 18 ft.- 7 7/ 8"</v>
      </c>
      <c r="G213" s="2" t="str">
        <f>VLOOKUP([jobnumber],OvalData[],MATCH(Table2[[#Headers],[shell]],Table2[#Headers],0),0)</f>
        <v>6 INCH TUBE</v>
      </c>
      <c r="H213" s="2" t="str">
        <f>VLOOKUP([jobnumber],OvalData[],MATCH(Table2[[#Headers],[pipewidth]],Table2[#Headers],0),0)</f>
        <v xml:space="preserve"> 18 ft.- 1 3/ 8"</v>
      </c>
      <c r="I213" s="2">
        <f>VLOOKUP([jobnumber],OvalData[],MATCH(Table2[[#Headers],[Support Tubes]],Table2[#Headers],0),0)</f>
        <v>0</v>
      </c>
      <c r="J213" s="2">
        <f>VLOOKUP([jobnumber],OvalData[],MATCH(Table2[[#Headers],[Upset]],Table2[#Headers],0),0)</f>
        <v>2</v>
      </c>
      <c r="K213" s="2" t="str">
        <f>VLOOKUP([jobnumber],OvalData[],MATCH(Table2[[#Headers],[Guide Type]],Table2[#Headers],0),0)</f>
        <v>SN2-4 5/8-E</v>
      </c>
      <c r="L213" s="2" t="str">
        <f>VLOOKUP([jobnumber],OvalData[],MATCH(Table2[[#Headers],[Wall Angle]],Table2[#Headers],0),0)</f>
        <v xml:space="preserve"> 11 ft.- 8"</v>
      </c>
      <c r="M213" s="2" t="str">
        <f>VLOOKUP([jobnumber],OvalData[],MATCH(Table2[[#Headers],[Middle Angle]],Table2[#Headers],0),0)</f>
        <v xml:space="preserve"> 10 ft.- 4 1/ 2"</v>
      </c>
      <c r="N213" s="2" t="str">
        <f>VLOOKUP([jobnumber],OvalData[],MATCH(Table2[[#Headers],[Front Angle]],Table2[#Headers],0),0)</f>
        <v xml:space="preserve"> 10 ft.- 3"</v>
      </c>
      <c r="O213" s="2">
        <f>VLOOKUP([jobnumber],OvalData[],MATCH(Table2[[#Headers],[Pipe Center Line]],Table2[#Headers],0),0)</f>
        <v>131</v>
      </c>
      <c r="P213" s="2">
        <f>VLOOKUP([jobnumber],OvalData[],MATCH(Table2[[#Headers],[Heat Expansion Gap]],Table2[#Headers],0),0)</f>
        <v>0</v>
      </c>
      <c r="Q213" s="2">
        <f>VLOOKUP([jobnumber],OvalData[],MATCH(Table2[[#Headers],[Hanging Weight Closed]],Table2[#Headers],0),0)</f>
        <v>795</v>
      </c>
      <c r="R213" s="2">
        <f>VLOOKUP([jobnumber],OvalData[],MATCH(Table2[[#Headers],[Hanging Weight Open]],Table2[#Headers],0),0)</f>
        <v>140</v>
      </c>
      <c r="S213" s="2">
        <f>VLOOKUP([jobnumber],OvalData[],MATCH(Table2[[#Headers],[Initial Lever Arm]],Table2[#Headers],0),0)</f>
        <v>4.25</v>
      </c>
      <c r="T213" s="2">
        <f>VLOOKUP([jobnumber],OvalData[],MATCH(Table2[[#Headers],[Turns to Raise]],Table2[#Headers],0),0)</f>
        <v>3.5859999999999999</v>
      </c>
      <c r="U213" s="2">
        <f>VLOOKUP([jobnumber],OvalData[],MATCH(Table2[[#Headers],[Final Lever Arm]],Table2[#Headers],0),0)</f>
        <v>6.37</v>
      </c>
      <c r="V213" s="2">
        <f>VLOOKUP([jobnumber],OvalData[],MATCH(Table2[[#Headers],[Torque Required Closed]],Table2[#Headers],0),0)</f>
        <v>3377.9</v>
      </c>
      <c r="W213" s="2">
        <f>VLOOKUP([jobnumber],OvalData[],MATCH(Table2[[#Headers],[Torque Required Open]],Table2[#Headers],0),0)</f>
        <v>892</v>
      </c>
      <c r="X213" s="2">
        <f>VLOOKUP([jobnumber],OvalData[],MATCH(Table2[[#Headers],[Pre Turns]],Table2[#Headers],0),0)</f>
        <v>1.3332999999999999</v>
      </c>
      <c r="Y213" s="2">
        <f>VLOOKUP([jobnumber],OvalData[],MATCH(Table2[[#Headers],[Required Torque Per Turn]],Table2[#Headers],0),0)</f>
        <v>688</v>
      </c>
      <c r="Z213" s="2">
        <f>VLOOKUP([jobnumber],OvalData[],MATCH(Table2[[#Headers],[Total Turns]],Table2[#Headers],0),0)</f>
        <v>4.91</v>
      </c>
      <c r="AA213" s="2">
        <f>VLOOKUP([jobnumber],OvalData[],MATCH(Table2[[#Headers],[Grille Vision Section]],Table2[#Headers],0),0)</f>
        <v>0</v>
      </c>
      <c r="AB213" s="2">
        <f>VLOOKUP([jobnumber],OvalData[],MATCH(Table2[[#Headers],[Grille Amount]],Table2[#Headers],0),0)</f>
        <v>0</v>
      </c>
      <c r="AC213" s="2">
        <f>VLOOKUP([jobnumber],OvalData[],MATCH(Table2[[#Headers],[Grille Center]],Table2[#Headers],0),0)</f>
        <v>0</v>
      </c>
      <c r="AD213" s="2">
        <f>VLOOKUP([jobnumber],OvalData[],MATCH(Table2[[#Headers],[Grille Pattern]],Table2[#Headers],0),0)</f>
        <v>0</v>
      </c>
      <c r="AE213" s="2">
        <f>VLOOKUP([jobnumber],OvalData[],MATCH(Table2[[#Headers],[Grille First Tube]],Table2[#Headers],0),0)</f>
        <v>0</v>
      </c>
      <c r="AF213" s="2">
        <f>VLOOKUP([jobnumber],OvalData[],MATCH(Table2[[#Headers],[Grille Standard Tube]],Table2[#Headers],0),0)</f>
        <v>0</v>
      </c>
      <c r="AG213" s="2">
        <f>VLOOKUP([jobnumber],OvalData[],MATCH(Table2[[#Headers],[Grille Total Links]],Table2[#Headers],0),0)</f>
        <v>0</v>
      </c>
      <c r="AH213" s="2">
        <f>VLOOKUP([jobnumber],OvalData[],MATCH(Table2[[#Headers],[Grille Rods]],Table2[#Headers],0),0)</f>
        <v>0</v>
      </c>
      <c r="AI213" s="2">
        <f>VLOOKUP([jobnumber],OvalData[],MATCH(Table2[[#Headers],[Grille Rod Length]],Table2[#Headers],0),0)</f>
        <v>0</v>
      </c>
      <c r="AJ213" s="2">
        <f>VLOOKUP([jobnumber],OvalData[],MATCH(Table2[[#Headers],[slattype]],Table2[#Headers],0),0)</f>
        <v>2</v>
      </c>
      <c r="AK213" s="2">
        <f>VLOOKUP([jobnumber],OvalData[],MATCH(Table2[[#Headers],[slatgage]],Table2[#Headers],0),0)</f>
        <v>18</v>
      </c>
      <c r="AL213" s="2">
        <f>VLOOKUP([jobnumber],OvalData[],MATCH(Table2[[#Headers],[Numer of Top Slats]],Table2[#Headers],0),0)</f>
        <v>0</v>
      </c>
      <c r="AM213" s="2">
        <f>VLOOKUP([jobnumber],OvalData[],MATCH(Table2[[#Headers],[Number of Bottom Slats]],Table2[#Headers],0),0)</f>
        <v>0</v>
      </c>
      <c r="AN213" s="2">
        <f>VLOOKUP([jobnumber],OvalData[],MATCH(Table2[[#Headers],[Solid Bottom Height]],Table2[#Headers],0),0)</f>
        <v>0</v>
      </c>
      <c r="AO213" s="2" t="str">
        <f>VLOOKUP([jobnumber],OvalData[],MATCH(Table2[[#Headers],[slatlength]],Table2[#Headers],0),0)</f>
        <v xml:space="preserve"> 18 ft.- 5 7/ 8"</v>
      </c>
      <c r="AP213" s="2">
        <f>VLOOKUP([jobnumber],OvalData[],MATCH(Table2[[#Headers],[Bottom Slat Length]],Table2[#Headers],0),0)</f>
        <v>0</v>
      </c>
      <c r="AQ213" s="2">
        <f>VLOOKUP([jobnumber],OvalData[],MATCH(Table2[[#Headers],[Number of Perferated Slats]],Table2[#Headers],0),0)</f>
        <v>0</v>
      </c>
      <c r="AR213" s="2">
        <f>VLOOKUP([jobnumber],OvalData[],MATCH(Table2[[#Headers],[First Preferated Slat From End]],Table2[#Headers],0),0)</f>
        <v>0</v>
      </c>
      <c r="AS213" s="2">
        <f>VLOOKUP([jobnumber],OvalData[],MATCH(Table2[[#Headers],[First Preferated Slat From Bottom]],Table2[#Headers],0),0)</f>
        <v>0</v>
      </c>
      <c r="AT213" s="2">
        <f>VLOOKUP([jobnumber],OvalData[],MATCH(Table2[[#Headers],[Total Number of Slats]],Table2[#Headers],0),0)</f>
        <v>51</v>
      </c>
      <c r="AU213" s="2">
        <f>VLOOKUP([jobnumber],OvalData[],MATCH(Table2[[#Headers],[Bottom Bar Slope]],Table2[#Headers],0),0)</f>
        <v>0</v>
      </c>
      <c r="AV213" s="2">
        <f>VLOOKUP([jobnumber],OvalData[],MATCH(Table2[[#Headers],[Bottom Bar Weight]],Table2[#Headers],0),0)</f>
        <v>80.5</v>
      </c>
      <c r="AW213" s="2" t="str">
        <f>VLOOKUP([jobnumber],OvalData[],MATCH(Table2[[#Headers],[Outer Spring Gage]],Table2[#Headers],0),0)</f>
        <v>Null</v>
      </c>
      <c r="AX213" s="2" t="str">
        <f>VLOOKUP([jobnumber],OvalData[],MATCH(Table2[[#Headers],[Outer Spring OD]],Table2[#Headers],0),0)</f>
        <v>Null</v>
      </c>
      <c r="AY213" s="2" t="str">
        <f>VLOOKUP([jobnumber],OvalData[],MATCH(Table2[[#Headers],[Outer Spring Length]],Table2[#Headers],0),0)</f>
        <v>Null</v>
      </c>
      <c r="AZ213" s="2" t="str">
        <f>VLOOKUP([jobnumber],OvalData[],MATCH(Table2[[#Headers],[Outer Spring Stretch]],Table2[#Headers],0),0)</f>
        <v>Null</v>
      </c>
      <c r="BA213" s="2" t="str">
        <f>VLOOKUP([jobnumber],OvalData[],MATCH(Table2[[#Headers],[Outer Spring Torque]],Table2[#Headers],0),0)</f>
        <v>Null</v>
      </c>
      <c r="BB213" s="2" t="str">
        <f>VLOOKUP([jobnumber],OvalData[],MATCH(Table2[[#Headers],[Outer Spring Max Turns]],Table2[#Headers],0),0)</f>
        <v>Null</v>
      </c>
      <c r="BC213" s="2" t="str">
        <f>VLOOKUP([jobnumber],OvalData[],MATCH(Table2[[#Headers],[Outer Spring Weight]],Table2[#Headers],0),0)</f>
        <v>Null</v>
      </c>
      <c r="BD213" s="2" t="str">
        <f>VLOOKUP([jobnumber],OvalData[],MATCH(Table2[[#Headers],[Inner Spring Gage]],Table2[#Headers],0),0)</f>
        <v>Null</v>
      </c>
      <c r="BE213" s="2" t="str">
        <f>VLOOKUP([jobnumber],OvalData[],MATCH(Table2[[#Headers],[Inner Spring OD]],Table2[#Headers],0),0)</f>
        <v>Null</v>
      </c>
      <c r="BF213" s="2" t="str">
        <f>VLOOKUP([jobnumber],OvalData[],MATCH(Table2[[#Headers],[Inner Spring Length]],Table2[#Headers],0),0)</f>
        <v>Null</v>
      </c>
      <c r="BG213" s="2" t="str">
        <f>VLOOKUP([jobnumber],OvalData[],MATCH(Table2[[#Headers],[Inner Spring Stretch]],Table2[#Headers],0),0)</f>
        <v>Null</v>
      </c>
      <c r="BH213" s="2" t="str">
        <f>VLOOKUP([jobnumber],OvalData[],MATCH(Table2[[#Headers],[Inner Spring Torque]],Table2[#Headers],0),0)</f>
        <v>Null</v>
      </c>
      <c r="BI213" s="2" t="str">
        <f>VLOOKUP([jobnumber],OvalData[],MATCH(Table2[[#Headers],[Inner Spring Max Turns]],Table2[#Headers],0),0)</f>
        <v>Null</v>
      </c>
      <c r="BJ213" s="2" t="str">
        <f>VLOOKUP([jobnumber],OvalData[],MATCH(Table2[[#Headers],[Inner Spring Weight]],Table2[#Headers],0),0)</f>
        <v>Null</v>
      </c>
      <c r="BK213" s="2">
        <f>VLOOKUP([jobnumber],OvalData[],MATCH(Table2[[#Headers],[Cycles]],Table2[#Headers],0),0)</f>
        <v>0</v>
      </c>
      <c r="BL213" s="2">
        <f>VLOOKUP([jobnumber],OvalData[],MATCH(Table2[[#Headers],[Total Spring Torque]],Table2[#Headers],0),0)</f>
        <v>0</v>
      </c>
      <c r="BM213" s="2">
        <f>VLOOKUP([jobnumber],OvalData[],MATCH(Table2[[#Headers],[Total Spring Weight]],Table2[#Headers],0),0)</f>
        <v>0</v>
      </c>
      <c r="BN213" s="2">
        <f>VLOOKUP([jobnumber],OvalData[],MATCH(Table2[[#Headers],[Pipe Weight]],Table2[#Headers],0),0)</f>
        <v>688.24239999999998</v>
      </c>
      <c r="BO213" s="2">
        <f>VLOOKUP([jobnumber],OvalData[],MATCH(Table2[[#Headers],[Max Pipe Deflection]],Table2[#Headers],0),0)</f>
        <v>2309</v>
      </c>
      <c r="BP213" s="2">
        <f>VLOOKUP([jobnumber],OvalData[],MATCH(Table2[[#Headers],[Number Non-Insulated Wrap Slats]],Table2[#Headers],0),0)</f>
        <v>0</v>
      </c>
      <c r="BQ213" s="2">
        <f>VLOOKUP([jobnumber],OvalData[],MATCH(Table2[[#Headers],[Number of Insolated Top Slats]],Table2[#Headers],0),0)</f>
        <v>45</v>
      </c>
      <c r="BR213" s="2">
        <f>VLOOKUP([jobnumber],OvalData[],MATCH(Table2[[#Headers],[Insolated Total Slats]],Table2[#Headers],0),0)</f>
        <v>45</v>
      </c>
      <c r="BS213" s="2">
        <f>VLOOKUP([jobnumber],OvalData[],MATCH(Table2[[#Headers],[Number of Slats]],Table2[#Headers],0),0)</f>
        <v>44.69</v>
      </c>
      <c r="BT213" s="2">
        <f>VLOOKUP([jobnumber],OvalData[],MATCH(Table2[[#Headers],[Wrap]],Table2[#Headers],0),0)</f>
        <v>0</v>
      </c>
      <c r="BU213" s="2">
        <f>VLOOKUP([jobnumber],OvalData[],MATCH(Table2[[#Headers],[Wall Angle Thickness]],Table2[#Headers],0),0)</f>
        <v>0</v>
      </c>
      <c r="BV213" s="2">
        <f>VLOOKUP([jobnumber],OvalData[],MATCH(Table2[[#Headers],[windlocks]],Table2[#Headers],0),0)</f>
        <v>0</v>
      </c>
      <c r="BW213" s="2" t="str">
        <f>VLOOKUP([jobnumber],OvalData[],MATCH(Table2[[#Headers],[bottombartype]],Table2[#Headers],0),0)</f>
        <v>SPECIAL</v>
      </c>
      <c r="BX213" s="2">
        <f>VLOOKUP([jobnumber],OvalData[],MATCH(Table2[[#Headers],[endlockweight]],Table2[#Headers],0),0)</f>
        <v>0.17</v>
      </c>
      <c r="BY213" s="2">
        <f>VLOOKUP([jobnumber],OvalData[],MATCH(Table2[[#Headers],[Endlock Total Weight]],Table2[#Headers],0),0)</f>
        <v>7.5972999999999997</v>
      </c>
      <c r="BZ213" s="2">
        <f>VLOOKUP([jobnumber],OvalData[],MATCH(Table2[[#Headers],[Grille Weight]],Table2[#Headers],0),0)</f>
        <v>0</v>
      </c>
      <c r="CA213" s="2">
        <f>VLOOKUP([jobnumber],OvalData[],MATCH(Table2[[#Headers],[barrelrings]],Table2[#Headers],0),0)</f>
        <v>1</v>
      </c>
    </row>
    <row r="214" spans="2:79">
      <c r="B214" s="2" t="str">
        <f>VLOOKUP([jobnumber],OvalData[],MATCH(Table2[[#Headers],[Hand]],Table2[#Headers],0),0)</f>
        <v>RH</v>
      </c>
      <c r="C214" s="2" t="str">
        <f>VLOOKUP([jobnumber],OvalData[],MATCH(Table2[[#Headers],[Model]],Table2[#Headers],0),0)</f>
        <v>SFMPP</v>
      </c>
      <c r="D214" s="2" t="str">
        <f>VLOOKUP([jobnumber],OvalData[],MATCH(Table2[[#Headers],[width]],Table2[#Headers],0),0)</f>
        <v xml:space="preserve"> 18 ft.- 2"</v>
      </c>
      <c r="E214" s="2" t="str">
        <f>VLOOKUP([jobnumber],OvalData[],MATCH(Table2[[#Headers],[stopheight]],Table2[#Headers],0),0)</f>
        <v xml:space="preserve"> 10 ft.- 0"</v>
      </c>
      <c r="F214" s="2" t="str">
        <f>VLOOKUP([jobnumber],OvalData[],MATCH(Table2[[#Headers],[Between Brackets]],Table2[#Headers],0),0)</f>
        <v xml:space="preserve"> 18 ft.- 7 7/ 8"</v>
      </c>
      <c r="G214" s="2" t="str">
        <f>VLOOKUP([jobnumber],OvalData[],MATCH(Table2[[#Headers],[shell]],Table2[#Headers],0),0)</f>
        <v>6 INCH TUBE</v>
      </c>
      <c r="H214" s="2" t="str">
        <f>VLOOKUP([jobnumber],OvalData[],MATCH(Table2[[#Headers],[pipewidth]],Table2[#Headers],0),0)</f>
        <v xml:space="preserve"> 18 ft.- 1 3/ 8"</v>
      </c>
      <c r="I214" s="2">
        <f>VLOOKUP([jobnumber],OvalData[],MATCH(Table2[[#Headers],[Support Tubes]],Table2[#Headers],0),0)</f>
        <v>0</v>
      </c>
      <c r="J214" s="2">
        <f>VLOOKUP([jobnumber],OvalData[],MATCH(Table2[[#Headers],[Upset]],Table2[#Headers],0),0)</f>
        <v>2</v>
      </c>
      <c r="K214" s="2" t="str">
        <f>VLOOKUP([jobnumber],OvalData[],MATCH(Table2[[#Headers],[Guide Type]],Table2[#Headers],0),0)</f>
        <v>SN2-4 5/8-E</v>
      </c>
      <c r="L214" s="2" t="str">
        <f>VLOOKUP([jobnumber],OvalData[],MATCH(Table2[[#Headers],[Wall Angle]],Table2[#Headers],0),0)</f>
        <v xml:space="preserve"> 11 ft.- 8"</v>
      </c>
      <c r="M214" s="2" t="str">
        <f>VLOOKUP([jobnumber],OvalData[],MATCH(Table2[[#Headers],[Middle Angle]],Table2[#Headers],0),0)</f>
        <v xml:space="preserve"> 10 ft.- 4 1/ 2"</v>
      </c>
      <c r="N214" s="2" t="str">
        <f>VLOOKUP([jobnumber],OvalData[],MATCH(Table2[[#Headers],[Front Angle]],Table2[#Headers],0),0)</f>
        <v xml:space="preserve"> 10 ft.- 3"</v>
      </c>
      <c r="O214" s="2">
        <f>VLOOKUP([jobnumber],OvalData[],MATCH(Table2[[#Headers],[Pipe Center Line]],Table2[#Headers],0),0)</f>
        <v>131</v>
      </c>
      <c r="P214" s="2">
        <f>VLOOKUP([jobnumber],OvalData[],MATCH(Table2[[#Headers],[Heat Expansion Gap]],Table2[#Headers],0),0)</f>
        <v>0</v>
      </c>
      <c r="Q214" s="2">
        <f>VLOOKUP([jobnumber],OvalData[],MATCH(Table2[[#Headers],[Hanging Weight Closed]],Table2[#Headers],0),0)</f>
        <v>795</v>
      </c>
      <c r="R214" s="2">
        <f>VLOOKUP([jobnumber],OvalData[],MATCH(Table2[[#Headers],[Hanging Weight Open]],Table2[#Headers],0),0)</f>
        <v>140</v>
      </c>
      <c r="S214" s="2">
        <f>VLOOKUP([jobnumber],OvalData[],MATCH(Table2[[#Headers],[Initial Lever Arm]],Table2[#Headers],0),0)</f>
        <v>4.25</v>
      </c>
      <c r="T214" s="2">
        <f>VLOOKUP([jobnumber],OvalData[],MATCH(Table2[[#Headers],[Turns to Raise]],Table2[#Headers],0),0)</f>
        <v>3.5859999999999999</v>
      </c>
      <c r="U214" s="2">
        <f>VLOOKUP([jobnumber],OvalData[],MATCH(Table2[[#Headers],[Final Lever Arm]],Table2[#Headers],0),0)</f>
        <v>6.37</v>
      </c>
      <c r="V214" s="2">
        <f>VLOOKUP([jobnumber],OvalData[],MATCH(Table2[[#Headers],[Torque Required Closed]],Table2[#Headers],0),0)</f>
        <v>3377.9</v>
      </c>
      <c r="W214" s="2">
        <f>VLOOKUP([jobnumber],OvalData[],MATCH(Table2[[#Headers],[Torque Required Open]],Table2[#Headers],0),0)</f>
        <v>892</v>
      </c>
      <c r="X214" s="2">
        <f>VLOOKUP([jobnumber],OvalData[],MATCH(Table2[[#Headers],[Pre Turns]],Table2[#Headers],0),0)</f>
        <v>1.3332999999999999</v>
      </c>
      <c r="Y214" s="2">
        <f>VLOOKUP([jobnumber],OvalData[],MATCH(Table2[[#Headers],[Required Torque Per Turn]],Table2[#Headers],0),0)</f>
        <v>688</v>
      </c>
      <c r="Z214" s="2">
        <f>VLOOKUP([jobnumber],OvalData[],MATCH(Table2[[#Headers],[Total Turns]],Table2[#Headers],0),0)</f>
        <v>4.91</v>
      </c>
      <c r="AA214" s="2">
        <f>VLOOKUP([jobnumber],OvalData[],MATCH(Table2[[#Headers],[Grille Vision Section]],Table2[#Headers],0),0)</f>
        <v>0</v>
      </c>
      <c r="AB214" s="2">
        <f>VLOOKUP([jobnumber],OvalData[],MATCH(Table2[[#Headers],[Grille Amount]],Table2[#Headers],0),0)</f>
        <v>0</v>
      </c>
      <c r="AC214" s="2">
        <f>VLOOKUP([jobnumber],OvalData[],MATCH(Table2[[#Headers],[Grille Center]],Table2[#Headers],0),0)</f>
        <v>0</v>
      </c>
      <c r="AD214" s="2">
        <f>VLOOKUP([jobnumber],OvalData[],MATCH(Table2[[#Headers],[Grille Pattern]],Table2[#Headers],0),0)</f>
        <v>0</v>
      </c>
      <c r="AE214" s="2">
        <f>VLOOKUP([jobnumber],OvalData[],MATCH(Table2[[#Headers],[Grille First Tube]],Table2[#Headers],0),0)</f>
        <v>0</v>
      </c>
      <c r="AF214" s="2">
        <f>VLOOKUP([jobnumber],OvalData[],MATCH(Table2[[#Headers],[Grille Standard Tube]],Table2[#Headers],0),0)</f>
        <v>0</v>
      </c>
      <c r="AG214" s="2">
        <f>VLOOKUP([jobnumber],OvalData[],MATCH(Table2[[#Headers],[Grille Total Links]],Table2[#Headers],0),0)</f>
        <v>0</v>
      </c>
      <c r="AH214" s="2">
        <f>VLOOKUP([jobnumber],OvalData[],MATCH(Table2[[#Headers],[Grille Rods]],Table2[#Headers],0),0)</f>
        <v>0</v>
      </c>
      <c r="AI214" s="2">
        <f>VLOOKUP([jobnumber],OvalData[],MATCH(Table2[[#Headers],[Grille Rod Length]],Table2[#Headers],0),0)</f>
        <v>0</v>
      </c>
      <c r="AJ214" s="2">
        <f>VLOOKUP([jobnumber],OvalData[],MATCH(Table2[[#Headers],[slattype]],Table2[#Headers],0),0)</f>
        <v>2</v>
      </c>
      <c r="AK214" s="2">
        <f>VLOOKUP([jobnumber],OvalData[],MATCH(Table2[[#Headers],[slatgage]],Table2[#Headers],0),0)</f>
        <v>18</v>
      </c>
      <c r="AL214" s="2">
        <f>VLOOKUP([jobnumber],OvalData[],MATCH(Table2[[#Headers],[Numer of Top Slats]],Table2[#Headers],0),0)</f>
        <v>0</v>
      </c>
      <c r="AM214" s="2">
        <f>VLOOKUP([jobnumber],OvalData[],MATCH(Table2[[#Headers],[Number of Bottom Slats]],Table2[#Headers],0),0)</f>
        <v>0</v>
      </c>
      <c r="AN214" s="2">
        <f>VLOOKUP([jobnumber],OvalData[],MATCH(Table2[[#Headers],[Solid Bottom Height]],Table2[#Headers],0),0)</f>
        <v>0</v>
      </c>
      <c r="AO214" s="2" t="str">
        <f>VLOOKUP([jobnumber],OvalData[],MATCH(Table2[[#Headers],[slatlength]],Table2[#Headers],0),0)</f>
        <v xml:space="preserve"> 18 ft.- 5 7/ 8"</v>
      </c>
      <c r="AP214" s="2">
        <f>VLOOKUP([jobnumber],OvalData[],MATCH(Table2[[#Headers],[Bottom Slat Length]],Table2[#Headers],0),0)</f>
        <v>0</v>
      </c>
      <c r="AQ214" s="2">
        <f>VLOOKUP([jobnumber],OvalData[],MATCH(Table2[[#Headers],[Number of Perferated Slats]],Table2[#Headers],0),0)</f>
        <v>0</v>
      </c>
      <c r="AR214" s="2">
        <f>VLOOKUP([jobnumber],OvalData[],MATCH(Table2[[#Headers],[First Preferated Slat From End]],Table2[#Headers],0),0)</f>
        <v>0</v>
      </c>
      <c r="AS214" s="2">
        <f>VLOOKUP([jobnumber],OvalData[],MATCH(Table2[[#Headers],[First Preferated Slat From Bottom]],Table2[#Headers],0),0)</f>
        <v>0</v>
      </c>
      <c r="AT214" s="2">
        <f>VLOOKUP([jobnumber],OvalData[],MATCH(Table2[[#Headers],[Total Number of Slats]],Table2[#Headers],0),0)</f>
        <v>51</v>
      </c>
      <c r="AU214" s="2">
        <f>VLOOKUP([jobnumber],OvalData[],MATCH(Table2[[#Headers],[Bottom Bar Slope]],Table2[#Headers],0),0)</f>
        <v>0</v>
      </c>
      <c r="AV214" s="2">
        <f>VLOOKUP([jobnumber],OvalData[],MATCH(Table2[[#Headers],[Bottom Bar Weight]],Table2[#Headers],0),0)</f>
        <v>80.5</v>
      </c>
      <c r="AW214" s="2" t="str">
        <f>VLOOKUP([jobnumber],OvalData[],MATCH(Table2[[#Headers],[Outer Spring Gage]],Table2[#Headers],0),0)</f>
        <v>Null</v>
      </c>
      <c r="AX214" s="2" t="str">
        <f>VLOOKUP([jobnumber],OvalData[],MATCH(Table2[[#Headers],[Outer Spring OD]],Table2[#Headers],0),0)</f>
        <v>Null</v>
      </c>
      <c r="AY214" s="2" t="str">
        <f>VLOOKUP([jobnumber],OvalData[],MATCH(Table2[[#Headers],[Outer Spring Length]],Table2[#Headers],0),0)</f>
        <v>Null</v>
      </c>
      <c r="AZ214" s="2" t="str">
        <f>VLOOKUP([jobnumber],OvalData[],MATCH(Table2[[#Headers],[Outer Spring Stretch]],Table2[#Headers],0),0)</f>
        <v>Null</v>
      </c>
      <c r="BA214" s="2" t="str">
        <f>VLOOKUP([jobnumber],OvalData[],MATCH(Table2[[#Headers],[Outer Spring Torque]],Table2[#Headers],0),0)</f>
        <v>Null</v>
      </c>
      <c r="BB214" s="2" t="str">
        <f>VLOOKUP([jobnumber],OvalData[],MATCH(Table2[[#Headers],[Outer Spring Max Turns]],Table2[#Headers],0),0)</f>
        <v>Null</v>
      </c>
      <c r="BC214" s="2" t="str">
        <f>VLOOKUP([jobnumber],OvalData[],MATCH(Table2[[#Headers],[Outer Spring Weight]],Table2[#Headers],0),0)</f>
        <v>Null</v>
      </c>
      <c r="BD214" s="2" t="str">
        <f>VLOOKUP([jobnumber],OvalData[],MATCH(Table2[[#Headers],[Inner Spring Gage]],Table2[#Headers],0),0)</f>
        <v>Null</v>
      </c>
      <c r="BE214" s="2" t="str">
        <f>VLOOKUP([jobnumber],OvalData[],MATCH(Table2[[#Headers],[Inner Spring OD]],Table2[#Headers],0),0)</f>
        <v>Null</v>
      </c>
      <c r="BF214" s="2" t="str">
        <f>VLOOKUP([jobnumber],OvalData[],MATCH(Table2[[#Headers],[Inner Spring Length]],Table2[#Headers],0),0)</f>
        <v>Null</v>
      </c>
      <c r="BG214" s="2" t="str">
        <f>VLOOKUP([jobnumber],OvalData[],MATCH(Table2[[#Headers],[Inner Spring Stretch]],Table2[#Headers],0),0)</f>
        <v>Null</v>
      </c>
      <c r="BH214" s="2" t="str">
        <f>VLOOKUP([jobnumber],OvalData[],MATCH(Table2[[#Headers],[Inner Spring Torque]],Table2[#Headers],0),0)</f>
        <v>Null</v>
      </c>
      <c r="BI214" s="2" t="str">
        <f>VLOOKUP([jobnumber],OvalData[],MATCH(Table2[[#Headers],[Inner Spring Max Turns]],Table2[#Headers],0),0)</f>
        <v>Null</v>
      </c>
      <c r="BJ214" s="2" t="str">
        <f>VLOOKUP([jobnumber],OvalData[],MATCH(Table2[[#Headers],[Inner Spring Weight]],Table2[#Headers],0),0)</f>
        <v>Null</v>
      </c>
      <c r="BK214" s="2">
        <f>VLOOKUP([jobnumber],OvalData[],MATCH(Table2[[#Headers],[Cycles]],Table2[#Headers],0),0)</f>
        <v>0</v>
      </c>
      <c r="BL214" s="2">
        <f>VLOOKUP([jobnumber],OvalData[],MATCH(Table2[[#Headers],[Total Spring Torque]],Table2[#Headers],0),0)</f>
        <v>0</v>
      </c>
      <c r="BM214" s="2">
        <f>VLOOKUP([jobnumber],OvalData[],MATCH(Table2[[#Headers],[Total Spring Weight]],Table2[#Headers],0),0)</f>
        <v>0</v>
      </c>
      <c r="BN214" s="2">
        <f>VLOOKUP([jobnumber],OvalData[],MATCH(Table2[[#Headers],[Pipe Weight]],Table2[#Headers],0),0)</f>
        <v>688.24239999999998</v>
      </c>
      <c r="BO214" s="2">
        <f>VLOOKUP([jobnumber],OvalData[],MATCH(Table2[[#Headers],[Max Pipe Deflection]],Table2[#Headers],0),0)</f>
        <v>2309</v>
      </c>
      <c r="BP214" s="2">
        <f>VLOOKUP([jobnumber],OvalData[],MATCH(Table2[[#Headers],[Number Non-Insulated Wrap Slats]],Table2[#Headers],0),0)</f>
        <v>0</v>
      </c>
      <c r="BQ214" s="2">
        <f>VLOOKUP([jobnumber],OvalData[],MATCH(Table2[[#Headers],[Number of Insolated Top Slats]],Table2[#Headers],0),0)</f>
        <v>45</v>
      </c>
      <c r="BR214" s="2">
        <f>VLOOKUP([jobnumber],OvalData[],MATCH(Table2[[#Headers],[Insolated Total Slats]],Table2[#Headers],0),0)</f>
        <v>45</v>
      </c>
      <c r="BS214" s="2">
        <f>VLOOKUP([jobnumber],OvalData[],MATCH(Table2[[#Headers],[Number of Slats]],Table2[#Headers],0),0)</f>
        <v>44.69</v>
      </c>
      <c r="BT214" s="2">
        <f>VLOOKUP([jobnumber],OvalData[],MATCH(Table2[[#Headers],[Wrap]],Table2[#Headers],0),0)</f>
        <v>0</v>
      </c>
      <c r="BU214" s="2">
        <f>VLOOKUP([jobnumber],OvalData[],MATCH(Table2[[#Headers],[Wall Angle Thickness]],Table2[#Headers],0),0)</f>
        <v>0</v>
      </c>
      <c r="BV214" s="2">
        <f>VLOOKUP([jobnumber],OvalData[],MATCH(Table2[[#Headers],[windlocks]],Table2[#Headers],0),0)</f>
        <v>0</v>
      </c>
      <c r="BW214" s="2" t="str">
        <f>VLOOKUP([jobnumber],OvalData[],MATCH(Table2[[#Headers],[bottombartype]],Table2[#Headers],0),0)</f>
        <v>SPECIAL</v>
      </c>
      <c r="BX214" s="2">
        <f>VLOOKUP([jobnumber],OvalData[],MATCH(Table2[[#Headers],[endlockweight]],Table2[#Headers],0),0)</f>
        <v>0.17</v>
      </c>
      <c r="BY214" s="2">
        <f>VLOOKUP([jobnumber],OvalData[],MATCH(Table2[[#Headers],[Endlock Total Weight]],Table2[#Headers],0),0)</f>
        <v>7.5972999999999997</v>
      </c>
      <c r="BZ214" s="2">
        <f>VLOOKUP([jobnumber],OvalData[],MATCH(Table2[[#Headers],[Grille Weight]],Table2[#Headers],0),0)</f>
        <v>0</v>
      </c>
      <c r="CA214" s="2">
        <f>VLOOKUP([jobnumber],OvalData[],MATCH(Table2[[#Headers],[barrelrings]],Table2[#Headers],0),0)</f>
        <v>1</v>
      </c>
    </row>
    <row r="215" spans="2:79">
      <c r="B215" s="2" t="str">
        <f>VLOOKUP([jobnumber],OvalData[],MATCH(Table2[[#Headers],[Hand]],Table2[#Headers],0),0)</f>
        <v>RH</v>
      </c>
      <c r="C215" s="2" t="str">
        <f>VLOOKUP([jobnumber],OvalData[],MATCH(Table2[[#Headers],[Model]],Table2[#Headers],0),0)</f>
        <v>SFMPP</v>
      </c>
      <c r="D215" s="2" t="str">
        <f>VLOOKUP([jobnumber],OvalData[],MATCH(Table2[[#Headers],[width]],Table2[#Headers],0),0)</f>
        <v xml:space="preserve"> 18 ft.- 2"</v>
      </c>
      <c r="E215" s="2" t="str">
        <f>VLOOKUP([jobnumber],OvalData[],MATCH(Table2[[#Headers],[stopheight]],Table2[#Headers],0),0)</f>
        <v xml:space="preserve"> 10 ft.- 0"</v>
      </c>
      <c r="F215" s="2" t="str">
        <f>VLOOKUP([jobnumber],OvalData[],MATCH(Table2[[#Headers],[Between Brackets]],Table2[#Headers],0),0)</f>
        <v xml:space="preserve"> 18 ft.- 7 7/ 8"</v>
      </c>
      <c r="G215" s="2" t="str">
        <f>VLOOKUP([jobnumber],OvalData[],MATCH(Table2[[#Headers],[shell]],Table2[#Headers],0),0)</f>
        <v>6 INCH TUBE</v>
      </c>
      <c r="H215" s="2" t="str">
        <f>VLOOKUP([jobnumber],OvalData[],MATCH(Table2[[#Headers],[pipewidth]],Table2[#Headers],0),0)</f>
        <v xml:space="preserve"> 18 ft.- 1 3/ 8"</v>
      </c>
      <c r="I215" s="2">
        <f>VLOOKUP([jobnumber],OvalData[],MATCH(Table2[[#Headers],[Support Tubes]],Table2[#Headers],0),0)</f>
        <v>0</v>
      </c>
      <c r="J215" s="2">
        <f>VLOOKUP([jobnumber],OvalData[],MATCH(Table2[[#Headers],[Upset]],Table2[#Headers],0),0)</f>
        <v>2</v>
      </c>
      <c r="K215" s="2" t="str">
        <f>VLOOKUP([jobnumber],OvalData[],MATCH(Table2[[#Headers],[Guide Type]],Table2[#Headers],0),0)</f>
        <v>SN2-4 5/8-E</v>
      </c>
      <c r="L215" s="2" t="str">
        <f>VLOOKUP([jobnumber],OvalData[],MATCH(Table2[[#Headers],[Wall Angle]],Table2[#Headers],0),0)</f>
        <v xml:space="preserve"> 11 ft.- 8"</v>
      </c>
      <c r="M215" s="2" t="str">
        <f>VLOOKUP([jobnumber],OvalData[],MATCH(Table2[[#Headers],[Middle Angle]],Table2[#Headers],0),0)</f>
        <v xml:space="preserve"> 10 ft.- 4 1/ 2"</v>
      </c>
      <c r="N215" s="2" t="str">
        <f>VLOOKUP([jobnumber],OvalData[],MATCH(Table2[[#Headers],[Front Angle]],Table2[#Headers],0),0)</f>
        <v xml:space="preserve"> 10 ft.- 3"</v>
      </c>
      <c r="O215" s="2">
        <f>VLOOKUP([jobnumber],OvalData[],MATCH(Table2[[#Headers],[Pipe Center Line]],Table2[#Headers],0),0)</f>
        <v>131</v>
      </c>
      <c r="P215" s="2">
        <f>VLOOKUP([jobnumber],OvalData[],MATCH(Table2[[#Headers],[Heat Expansion Gap]],Table2[#Headers],0),0)</f>
        <v>0</v>
      </c>
      <c r="Q215" s="2">
        <f>VLOOKUP([jobnumber],OvalData[],MATCH(Table2[[#Headers],[Hanging Weight Closed]],Table2[#Headers],0),0)</f>
        <v>795</v>
      </c>
      <c r="R215" s="2">
        <f>VLOOKUP([jobnumber],OvalData[],MATCH(Table2[[#Headers],[Hanging Weight Open]],Table2[#Headers],0),0)</f>
        <v>140</v>
      </c>
      <c r="S215" s="2">
        <f>VLOOKUP([jobnumber],OvalData[],MATCH(Table2[[#Headers],[Initial Lever Arm]],Table2[#Headers],0),0)</f>
        <v>4.25</v>
      </c>
      <c r="T215" s="2">
        <f>VLOOKUP([jobnumber],OvalData[],MATCH(Table2[[#Headers],[Turns to Raise]],Table2[#Headers],0),0)</f>
        <v>3.5859999999999999</v>
      </c>
      <c r="U215" s="2">
        <f>VLOOKUP([jobnumber],OvalData[],MATCH(Table2[[#Headers],[Final Lever Arm]],Table2[#Headers],0),0)</f>
        <v>6.37</v>
      </c>
      <c r="V215" s="2">
        <f>VLOOKUP([jobnumber],OvalData[],MATCH(Table2[[#Headers],[Torque Required Closed]],Table2[#Headers],0),0)</f>
        <v>3377.9</v>
      </c>
      <c r="W215" s="2">
        <f>VLOOKUP([jobnumber],OvalData[],MATCH(Table2[[#Headers],[Torque Required Open]],Table2[#Headers],0),0)</f>
        <v>892</v>
      </c>
      <c r="X215" s="2">
        <f>VLOOKUP([jobnumber],OvalData[],MATCH(Table2[[#Headers],[Pre Turns]],Table2[#Headers],0),0)</f>
        <v>1.3332999999999999</v>
      </c>
      <c r="Y215" s="2">
        <f>VLOOKUP([jobnumber],OvalData[],MATCH(Table2[[#Headers],[Required Torque Per Turn]],Table2[#Headers],0),0)</f>
        <v>688</v>
      </c>
      <c r="Z215" s="2">
        <f>VLOOKUP([jobnumber],OvalData[],MATCH(Table2[[#Headers],[Total Turns]],Table2[#Headers],0),0)</f>
        <v>4.91</v>
      </c>
      <c r="AA215" s="2">
        <f>VLOOKUP([jobnumber],OvalData[],MATCH(Table2[[#Headers],[Grille Vision Section]],Table2[#Headers],0),0)</f>
        <v>0</v>
      </c>
      <c r="AB215" s="2">
        <f>VLOOKUP([jobnumber],OvalData[],MATCH(Table2[[#Headers],[Grille Amount]],Table2[#Headers],0),0)</f>
        <v>0</v>
      </c>
      <c r="AC215" s="2">
        <f>VLOOKUP([jobnumber],OvalData[],MATCH(Table2[[#Headers],[Grille Center]],Table2[#Headers],0),0)</f>
        <v>0</v>
      </c>
      <c r="AD215" s="2">
        <f>VLOOKUP([jobnumber],OvalData[],MATCH(Table2[[#Headers],[Grille Pattern]],Table2[#Headers],0),0)</f>
        <v>0</v>
      </c>
      <c r="AE215" s="2">
        <f>VLOOKUP([jobnumber],OvalData[],MATCH(Table2[[#Headers],[Grille First Tube]],Table2[#Headers],0),0)</f>
        <v>0</v>
      </c>
      <c r="AF215" s="2">
        <f>VLOOKUP([jobnumber],OvalData[],MATCH(Table2[[#Headers],[Grille Standard Tube]],Table2[#Headers],0),0)</f>
        <v>0</v>
      </c>
      <c r="AG215" s="2">
        <f>VLOOKUP([jobnumber],OvalData[],MATCH(Table2[[#Headers],[Grille Total Links]],Table2[#Headers],0),0)</f>
        <v>0</v>
      </c>
      <c r="AH215" s="2">
        <f>VLOOKUP([jobnumber],OvalData[],MATCH(Table2[[#Headers],[Grille Rods]],Table2[#Headers],0),0)</f>
        <v>0</v>
      </c>
      <c r="AI215" s="2">
        <f>VLOOKUP([jobnumber],OvalData[],MATCH(Table2[[#Headers],[Grille Rod Length]],Table2[#Headers],0),0)</f>
        <v>0</v>
      </c>
      <c r="AJ215" s="2">
        <f>VLOOKUP([jobnumber],OvalData[],MATCH(Table2[[#Headers],[slattype]],Table2[#Headers],0),0)</f>
        <v>2</v>
      </c>
      <c r="AK215" s="2">
        <f>VLOOKUP([jobnumber],OvalData[],MATCH(Table2[[#Headers],[slatgage]],Table2[#Headers],0),0)</f>
        <v>18</v>
      </c>
      <c r="AL215" s="2">
        <f>VLOOKUP([jobnumber],OvalData[],MATCH(Table2[[#Headers],[Numer of Top Slats]],Table2[#Headers],0),0)</f>
        <v>0</v>
      </c>
      <c r="AM215" s="2">
        <f>VLOOKUP([jobnumber],OvalData[],MATCH(Table2[[#Headers],[Number of Bottom Slats]],Table2[#Headers],0),0)</f>
        <v>0</v>
      </c>
      <c r="AN215" s="2">
        <f>VLOOKUP([jobnumber],OvalData[],MATCH(Table2[[#Headers],[Solid Bottom Height]],Table2[#Headers],0),0)</f>
        <v>0</v>
      </c>
      <c r="AO215" s="2" t="str">
        <f>VLOOKUP([jobnumber],OvalData[],MATCH(Table2[[#Headers],[slatlength]],Table2[#Headers],0),0)</f>
        <v xml:space="preserve"> 18 ft.- 5 7/ 8"</v>
      </c>
      <c r="AP215" s="2">
        <f>VLOOKUP([jobnumber],OvalData[],MATCH(Table2[[#Headers],[Bottom Slat Length]],Table2[#Headers],0),0)</f>
        <v>0</v>
      </c>
      <c r="AQ215" s="2">
        <f>VLOOKUP([jobnumber],OvalData[],MATCH(Table2[[#Headers],[Number of Perferated Slats]],Table2[#Headers],0),0)</f>
        <v>0</v>
      </c>
      <c r="AR215" s="2">
        <f>VLOOKUP([jobnumber],OvalData[],MATCH(Table2[[#Headers],[First Preferated Slat From End]],Table2[#Headers],0),0)</f>
        <v>0</v>
      </c>
      <c r="AS215" s="2">
        <f>VLOOKUP([jobnumber],OvalData[],MATCH(Table2[[#Headers],[First Preferated Slat From Bottom]],Table2[#Headers],0),0)</f>
        <v>0</v>
      </c>
      <c r="AT215" s="2">
        <f>VLOOKUP([jobnumber],OvalData[],MATCH(Table2[[#Headers],[Total Number of Slats]],Table2[#Headers],0),0)</f>
        <v>51</v>
      </c>
      <c r="AU215" s="2">
        <f>VLOOKUP([jobnumber],OvalData[],MATCH(Table2[[#Headers],[Bottom Bar Slope]],Table2[#Headers],0),0)</f>
        <v>0</v>
      </c>
      <c r="AV215" s="2">
        <f>VLOOKUP([jobnumber],OvalData[],MATCH(Table2[[#Headers],[Bottom Bar Weight]],Table2[#Headers],0),0)</f>
        <v>80.5</v>
      </c>
      <c r="AW215" s="2" t="str">
        <f>VLOOKUP([jobnumber],OvalData[],MATCH(Table2[[#Headers],[Outer Spring Gage]],Table2[#Headers],0),0)</f>
        <v>Null</v>
      </c>
      <c r="AX215" s="2" t="str">
        <f>VLOOKUP([jobnumber],OvalData[],MATCH(Table2[[#Headers],[Outer Spring OD]],Table2[#Headers],0),0)</f>
        <v>Null</v>
      </c>
      <c r="AY215" s="2" t="str">
        <f>VLOOKUP([jobnumber],OvalData[],MATCH(Table2[[#Headers],[Outer Spring Length]],Table2[#Headers],0),0)</f>
        <v>Null</v>
      </c>
      <c r="AZ215" s="2" t="str">
        <f>VLOOKUP([jobnumber],OvalData[],MATCH(Table2[[#Headers],[Outer Spring Stretch]],Table2[#Headers],0),0)</f>
        <v>Null</v>
      </c>
      <c r="BA215" s="2" t="str">
        <f>VLOOKUP([jobnumber],OvalData[],MATCH(Table2[[#Headers],[Outer Spring Torque]],Table2[#Headers],0),0)</f>
        <v>Null</v>
      </c>
      <c r="BB215" s="2" t="str">
        <f>VLOOKUP([jobnumber],OvalData[],MATCH(Table2[[#Headers],[Outer Spring Max Turns]],Table2[#Headers],0),0)</f>
        <v>Null</v>
      </c>
      <c r="BC215" s="2" t="str">
        <f>VLOOKUP([jobnumber],OvalData[],MATCH(Table2[[#Headers],[Outer Spring Weight]],Table2[#Headers],0),0)</f>
        <v>Null</v>
      </c>
      <c r="BD215" s="2" t="str">
        <f>VLOOKUP([jobnumber],OvalData[],MATCH(Table2[[#Headers],[Inner Spring Gage]],Table2[#Headers],0),0)</f>
        <v>Null</v>
      </c>
      <c r="BE215" s="2" t="str">
        <f>VLOOKUP([jobnumber],OvalData[],MATCH(Table2[[#Headers],[Inner Spring OD]],Table2[#Headers],0),0)</f>
        <v>Null</v>
      </c>
      <c r="BF215" s="2" t="str">
        <f>VLOOKUP([jobnumber],OvalData[],MATCH(Table2[[#Headers],[Inner Spring Length]],Table2[#Headers],0),0)</f>
        <v>Null</v>
      </c>
      <c r="BG215" s="2" t="str">
        <f>VLOOKUP([jobnumber],OvalData[],MATCH(Table2[[#Headers],[Inner Spring Stretch]],Table2[#Headers],0),0)</f>
        <v>Null</v>
      </c>
      <c r="BH215" s="2" t="str">
        <f>VLOOKUP([jobnumber],OvalData[],MATCH(Table2[[#Headers],[Inner Spring Torque]],Table2[#Headers],0),0)</f>
        <v>Null</v>
      </c>
      <c r="BI215" s="2" t="str">
        <f>VLOOKUP([jobnumber],OvalData[],MATCH(Table2[[#Headers],[Inner Spring Max Turns]],Table2[#Headers],0),0)</f>
        <v>Null</v>
      </c>
      <c r="BJ215" s="2" t="str">
        <f>VLOOKUP([jobnumber],OvalData[],MATCH(Table2[[#Headers],[Inner Spring Weight]],Table2[#Headers],0),0)</f>
        <v>Null</v>
      </c>
      <c r="BK215" s="2">
        <f>VLOOKUP([jobnumber],OvalData[],MATCH(Table2[[#Headers],[Cycles]],Table2[#Headers],0),0)</f>
        <v>0</v>
      </c>
      <c r="BL215" s="2">
        <f>VLOOKUP([jobnumber],OvalData[],MATCH(Table2[[#Headers],[Total Spring Torque]],Table2[#Headers],0),0)</f>
        <v>0</v>
      </c>
      <c r="BM215" s="2">
        <f>VLOOKUP([jobnumber],OvalData[],MATCH(Table2[[#Headers],[Total Spring Weight]],Table2[#Headers],0),0)</f>
        <v>0</v>
      </c>
      <c r="BN215" s="2">
        <f>VLOOKUP([jobnumber],OvalData[],MATCH(Table2[[#Headers],[Pipe Weight]],Table2[#Headers],0),0)</f>
        <v>688.24239999999998</v>
      </c>
      <c r="BO215" s="2">
        <f>VLOOKUP([jobnumber],OvalData[],MATCH(Table2[[#Headers],[Max Pipe Deflection]],Table2[#Headers],0),0)</f>
        <v>2309</v>
      </c>
      <c r="BP215" s="2">
        <f>VLOOKUP([jobnumber],OvalData[],MATCH(Table2[[#Headers],[Number Non-Insulated Wrap Slats]],Table2[#Headers],0),0)</f>
        <v>0</v>
      </c>
      <c r="BQ215" s="2">
        <f>VLOOKUP([jobnumber],OvalData[],MATCH(Table2[[#Headers],[Number of Insolated Top Slats]],Table2[#Headers],0),0)</f>
        <v>45</v>
      </c>
      <c r="BR215" s="2">
        <f>VLOOKUP([jobnumber],OvalData[],MATCH(Table2[[#Headers],[Insolated Total Slats]],Table2[#Headers],0),0)</f>
        <v>45</v>
      </c>
      <c r="BS215" s="2">
        <f>VLOOKUP([jobnumber],OvalData[],MATCH(Table2[[#Headers],[Number of Slats]],Table2[#Headers],0),0)</f>
        <v>44.69</v>
      </c>
      <c r="BT215" s="2">
        <f>VLOOKUP([jobnumber],OvalData[],MATCH(Table2[[#Headers],[Wrap]],Table2[#Headers],0),0)</f>
        <v>0</v>
      </c>
      <c r="BU215" s="2">
        <f>VLOOKUP([jobnumber],OvalData[],MATCH(Table2[[#Headers],[Wall Angle Thickness]],Table2[#Headers],0),0)</f>
        <v>0</v>
      </c>
      <c r="BV215" s="2">
        <f>VLOOKUP([jobnumber],OvalData[],MATCH(Table2[[#Headers],[windlocks]],Table2[#Headers],0),0)</f>
        <v>0</v>
      </c>
      <c r="BW215" s="2" t="str">
        <f>VLOOKUP([jobnumber],OvalData[],MATCH(Table2[[#Headers],[bottombartype]],Table2[#Headers],0),0)</f>
        <v>SPECIAL</v>
      </c>
      <c r="BX215" s="2">
        <f>VLOOKUP([jobnumber],OvalData[],MATCH(Table2[[#Headers],[endlockweight]],Table2[#Headers],0),0)</f>
        <v>0.17</v>
      </c>
      <c r="BY215" s="2">
        <f>VLOOKUP([jobnumber],OvalData[],MATCH(Table2[[#Headers],[Endlock Total Weight]],Table2[#Headers],0),0)</f>
        <v>7.5972999999999997</v>
      </c>
      <c r="BZ215" s="2">
        <f>VLOOKUP([jobnumber],OvalData[],MATCH(Table2[[#Headers],[Grille Weight]],Table2[#Headers],0),0)</f>
        <v>0</v>
      </c>
      <c r="CA215" s="2">
        <f>VLOOKUP([jobnumber],OvalData[],MATCH(Table2[[#Headers],[barrelrings]],Table2[#Headers],0),0)</f>
        <v>1</v>
      </c>
    </row>
    <row r="216" spans="2:79">
      <c r="B216" s="2" t="str">
        <f>VLOOKUP([jobnumber],OvalData[],MATCH(Table2[[#Headers],[Hand]],Table2[#Headers],0),0)</f>
        <v>RH</v>
      </c>
      <c r="C216" s="2" t="str">
        <f>VLOOKUP([jobnumber],OvalData[],MATCH(Table2[[#Headers],[Model]],Table2[#Headers],0),0)</f>
        <v>SFMPP</v>
      </c>
      <c r="D216" s="2" t="str">
        <f>VLOOKUP([jobnumber],OvalData[],MATCH(Table2[[#Headers],[width]],Table2[#Headers],0),0)</f>
        <v xml:space="preserve"> 18 ft.- 2"</v>
      </c>
      <c r="E216" s="2" t="str">
        <f>VLOOKUP([jobnumber],OvalData[],MATCH(Table2[[#Headers],[stopheight]],Table2[#Headers],0),0)</f>
        <v xml:space="preserve"> 10 ft.- 0"</v>
      </c>
      <c r="F216" s="2" t="str">
        <f>VLOOKUP([jobnumber],OvalData[],MATCH(Table2[[#Headers],[Between Brackets]],Table2[#Headers],0),0)</f>
        <v xml:space="preserve"> 18 ft.- 7 7/ 8"</v>
      </c>
      <c r="G216" s="2" t="str">
        <f>VLOOKUP([jobnumber],OvalData[],MATCH(Table2[[#Headers],[shell]],Table2[#Headers],0),0)</f>
        <v>6 INCH TUBE</v>
      </c>
      <c r="H216" s="2" t="str">
        <f>VLOOKUP([jobnumber],OvalData[],MATCH(Table2[[#Headers],[pipewidth]],Table2[#Headers],0),0)</f>
        <v xml:space="preserve"> 18 ft.- 1 3/ 8"</v>
      </c>
      <c r="I216" s="2">
        <f>VLOOKUP([jobnumber],OvalData[],MATCH(Table2[[#Headers],[Support Tubes]],Table2[#Headers],0),0)</f>
        <v>0</v>
      </c>
      <c r="J216" s="2">
        <f>VLOOKUP([jobnumber],OvalData[],MATCH(Table2[[#Headers],[Upset]],Table2[#Headers],0),0)</f>
        <v>2</v>
      </c>
      <c r="K216" s="2" t="str">
        <f>VLOOKUP([jobnumber],OvalData[],MATCH(Table2[[#Headers],[Guide Type]],Table2[#Headers],0),0)</f>
        <v>SN2-4 5/8-E</v>
      </c>
      <c r="L216" s="2" t="str">
        <f>VLOOKUP([jobnumber],OvalData[],MATCH(Table2[[#Headers],[Wall Angle]],Table2[#Headers],0),0)</f>
        <v xml:space="preserve"> 11 ft.- 8"</v>
      </c>
      <c r="M216" s="2" t="str">
        <f>VLOOKUP([jobnumber],OvalData[],MATCH(Table2[[#Headers],[Middle Angle]],Table2[#Headers],0),0)</f>
        <v xml:space="preserve"> 10 ft.- 4 1/ 2"</v>
      </c>
      <c r="N216" s="2" t="str">
        <f>VLOOKUP([jobnumber],OvalData[],MATCH(Table2[[#Headers],[Front Angle]],Table2[#Headers],0),0)</f>
        <v xml:space="preserve"> 10 ft.- 3"</v>
      </c>
      <c r="O216" s="2">
        <f>VLOOKUP([jobnumber],OvalData[],MATCH(Table2[[#Headers],[Pipe Center Line]],Table2[#Headers],0),0)</f>
        <v>131</v>
      </c>
      <c r="P216" s="2">
        <f>VLOOKUP([jobnumber],OvalData[],MATCH(Table2[[#Headers],[Heat Expansion Gap]],Table2[#Headers],0),0)</f>
        <v>0</v>
      </c>
      <c r="Q216" s="2">
        <f>VLOOKUP([jobnumber],OvalData[],MATCH(Table2[[#Headers],[Hanging Weight Closed]],Table2[#Headers],0),0)</f>
        <v>795</v>
      </c>
      <c r="R216" s="2">
        <f>VLOOKUP([jobnumber],OvalData[],MATCH(Table2[[#Headers],[Hanging Weight Open]],Table2[#Headers],0),0)</f>
        <v>140</v>
      </c>
      <c r="S216" s="2">
        <f>VLOOKUP([jobnumber],OvalData[],MATCH(Table2[[#Headers],[Initial Lever Arm]],Table2[#Headers],0),0)</f>
        <v>4.25</v>
      </c>
      <c r="T216" s="2">
        <f>VLOOKUP([jobnumber],OvalData[],MATCH(Table2[[#Headers],[Turns to Raise]],Table2[#Headers],0),0)</f>
        <v>3.5859999999999999</v>
      </c>
      <c r="U216" s="2">
        <f>VLOOKUP([jobnumber],OvalData[],MATCH(Table2[[#Headers],[Final Lever Arm]],Table2[#Headers],0),0)</f>
        <v>6.37</v>
      </c>
      <c r="V216" s="2">
        <f>VLOOKUP([jobnumber],OvalData[],MATCH(Table2[[#Headers],[Torque Required Closed]],Table2[#Headers],0),0)</f>
        <v>3377.9</v>
      </c>
      <c r="W216" s="2">
        <f>VLOOKUP([jobnumber],OvalData[],MATCH(Table2[[#Headers],[Torque Required Open]],Table2[#Headers],0),0)</f>
        <v>892</v>
      </c>
      <c r="X216" s="2">
        <f>VLOOKUP([jobnumber],OvalData[],MATCH(Table2[[#Headers],[Pre Turns]],Table2[#Headers],0),0)</f>
        <v>1.3332999999999999</v>
      </c>
      <c r="Y216" s="2">
        <f>VLOOKUP([jobnumber],OvalData[],MATCH(Table2[[#Headers],[Required Torque Per Turn]],Table2[#Headers],0),0)</f>
        <v>688</v>
      </c>
      <c r="Z216" s="2">
        <f>VLOOKUP([jobnumber],OvalData[],MATCH(Table2[[#Headers],[Total Turns]],Table2[#Headers],0),0)</f>
        <v>4.91</v>
      </c>
      <c r="AA216" s="2">
        <f>VLOOKUP([jobnumber],OvalData[],MATCH(Table2[[#Headers],[Grille Vision Section]],Table2[#Headers],0),0)</f>
        <v>0</v>
      </c>
      <c r="AB216" s="2">
        <f>VLOOKUP([jobnumber],OvalData[],MATCH(Table2[[#Headers],[Grille Amount]],Table2[#Headers],0),0)</f>
        <v>0</v>
      </c>
      <c r="AC216" s="2">
        <f>VLOOKUP([jobnumber],OvalData[],MATCH(Table2[[#Headers],[Grille Center]],Table2[#Headers],0),0)</f>
        <v>0</v>
      </c>
      <c r="AD216" s="2">
        <f>VLOOKUP([jobnumber],OvalData[],MATCH(Table2[[#Headers],[Grille Pattern]],Table2[#Headers],0),0)</f>
        <v>0</v>
      </c>
      <c r="AE216" s="2">
        <f>VLOOKUP([jobnumber],OvalData[],MATCH(Table2[[#Headers],[Grille First Tube]],Table2[#Headers],0),0)</f>
        <v>0</v>
      </c>
      <c r="AF216" s="2">
        <f>VLOOKUP([jobnumber],OvalData[],MATCH(Table2[[#Headers],[Grille Standard Tube]],Table2[#Headers],0),0)</f>
        <v>0</v>
      </c>
      <c r="AG216" s="2">
        <f>VLOOKUP([jobnumber],OvalData[],MATCH(Table2[[#Headers],[Grille Total Links]],Table2[#Headers],0),0)</f>
        <v>0</v>
      </c>
      <c r="AH216" s="2">
        <f>VLOOKUP([jobnumber],OvalData[],MATCH(Table2[[#Headers],[Grille Rods]],Table2[#Headers],0),0)</f>
        <v>0</v>
      </c>
      <c r="AI216" s="2">
        <f>VLOOKUP([jobnumber],OvalData[],MATCH(Table2[[#Headers],[Grille Rod Length]],Table2[#Headers],0),0)</f>
        <v>0</v>
      </c>
      <c r="AJ216" s="2">
        <f>VLOOKUP([jobnumber],OvalData[],MATCH(Table2[[#Headers],[slattype]],Table2[#Headers],0),0)</f>
        <v>2</v>
      </c>
      <c r="AK216" s="2">
        <f>VLOOKUP([jobnumber],OvalData[],MATCH(Table2[[#Headers],[slatgage]],Table2[#Headers],0),0)</f>
        <v>18</v>
      </c>
      <c r="AL216" s="2">
        <f>VLOOKUP([jobnumber],OvalData[],MATCH(Table2[[#Headers],[Numer of Top Slats]],Table2[#Headers],0),0)</f>
        <v>0</v>
      </c>
      <c r="AM216" s="2">
        <f>VLOOKUP([jobnumber],OvalData[],MATCH(Table2[[#Headers],[Number of Bottom Slats]],Table2[#Headers],0),0)</f>
        <v>0</v>
      </c>
      <c r="AN216" s="2">
        <f>VLOOKUP([jobnumber],OvalData[],MATCH(Table2[[#Headers],[Solid Bottom Height]],Table2[#Headers],0),0)</f>
        <v>0</v>
      </c>
      <c r="AO216" s="2" t="str">
        <f>VLOOKUP([jobnumber],OvalData[],MATCH(Table2[[#Headers],[slatlength]],Table2[#Headers],0),0)</f>
        <v xml:space="preserve"> 18 ft.- 5 7/ 8"</v>
      </c>
      <c r="AP216" s="2">
        <f>VLOOKUP([jobnumber],OvalData[],MATCH(Table2[[#Headers],[Bottom Slat Length]],Table2[#Headers],0),0)</f>
        <v>0</v>
      </c>
      <c r="AQ216" s="2">
        <f>VLOOKUP([jobnumber],OvalData[],MATCH(Table2[[#Headers],[Number of Perferated Slats]],Table2[#Headers],0),0)</f>
        <v>0</v>
      </c>
      <c r="AR216" s="2">
        <f>VLOOKUP([jobnumber],OvalData[],MATCH(Table2[[#Headers],[First Preferated Slat From End]],Table2[#Headers],0),0)</f>
        <v>0</v>
      </c>
      <c r="AS216" s="2">
        <f>VLOOKUP([jobnumber],OvalData[],MATCH(Table2[[#Headers],[First Preferated Slat From Bottom]],Table2[#Headers],0),0)</f>
        <v>0</v>
      </c>
      <c r="AT216" s="2">
        <f>VLOOKUP([jobnumber],OvalData[],MATCH(Table2[[#Headers],[Total Number of Slats]],Table2[#Headers],0),0)</f>
        <v>51</v>
      </c>
      <c r="AU216" s="2">
        <f>VLOOKUP([jobnumber],OvalData[],MATCH(Table2[[#Headers],[Bottom Bar Slope]],Table2[#Headers],0),0)</f>
        <v>0</v>
      </c>
      <c r="AV216" s="2">
        <f>VLOOKUP([jobnumber],OvalData[],MATCH(Table2[[#Headers],[Bottom Bar Weight]],Table2[#Headers],0),0)</f>
        <v>80.5</v>
      </c>
      <c r="AW216" s="2" t="str">
        <f>VLOOKUP([jobnumber],OvalData[],MATCH(Table2[[#Headers],[Outer Spring Gage]],Table2[#Headers],0),0)</f>
        <v>Null</v>
      </c>
      <c r="AX216" s="2" t="str">
        <f>VLOOKUP([jobnumber],OvalData[],MATCH(Table2[[#Headers],[Outer Spring OD]],Table2[#Headers],0),0)</f>
        <v>Null</v>
      </c>
      <c r="AY216" s="2" t="str">
        <f>VLOOKUP([jobnumber],OvalData[],MATCH(Table2[[#Headers],[Outer Spring Length]],Table2[#Headers],0),0)</f>
        <v>Null</v>
      </c>
      <c r="AZ216" s="2" t="str">
        <f>VLOOKUP([jobnumber],OvalData[],MATCH(Table2[[#Headers],[Outer Spring Stretch]],Table2[#Headers],0),0)</f>
        <v>Null</v>
      </c>
      <c r="BA216" s="2" t="str">
        <f>VLOOKUP([jobnumber],OvalData[],MATCH(Table2[[#Headers],[Outer Spring Torque]],Table2[#Headers],0),0)</f>
        <v>Null</v>
      </c>
      <c r="BB216" s="2" t="str">
        <f>VLOOKUP([jobnumber],OvalData[],MATCH(Table2[[#Headers],[Outer Spring Max Turns]],Table2[#Headers],0),0)</f>
        <v>Null</v>
      </c>
      <c r="BC216" s="2" t="str">
        <f>VLOOKUP([jobnumber],OvalData[],MATCH(Table2[[#Headers],[Outer Spring Weight]],Table2[#Headers],0),0)</f>
        <v>Null</v>
      </c>
      <c r="BD216" s="2" t="str">
        <f>VLOOKUP([jobnumber],OvalData[],MATCH(Table2[[#Headers],[Inner Spring Gage]],Table2[#Headers],0),0)</f>
        <v>Null</v>
      </c>
      <c r="BE216" s="2" t="str">
        <f>VLOOKUP([jobnumber],OvalData[],MATCH(Table2[[#Headers],[Inner Spring OD]],Table2[#Headers],0),0)</f>
        <v>Null</v>
      </c>
      <c r="BF216" s="2" t="str">
        <f>VLOOKUP([jobnumber],OvalData[],MATCH(Table2[[#Headers],[Inner Spring Length]],Table2[#Headers],0),0)</f>
        <v>Null</v>
      </c>
      <c r="BG216" s="2" t="str">
        <f>VLOOKUP([jobnumber],OvalData[],MATCH(Table2[[#Headers],[Inner Spring Stretch]],Table2[#Headers],0),0)</f>
        <v>Null</v>
      </c>
      <c r="BH216" s="2" t="str">
        <f>VLOOKUP([jobnumber],OvalData[],MATCH(Table2[[#Headers],[Inner Spring Torque]],Table2[#Headers],0),0)</f>
        <v>Null</v>
      </c>
      <c r="BI216" s="2" t="str">
        <f>VLOOKUP([jobnumber],OvalData[],MATCH(Table2[[#Headers],[Inner Spring Max Turns]],Table2[#Headers],0),0)</f>
        <v>Null</v>
      </c>
      <c r="BJ216" s="2" t="str">
        <f>VLOOKUP([jobnumber],OvalData[],MATCH(Table2[[#Headers],[Inner Spring Weight]],Table2[#Headers],0),0)</f>
        <v>Null</v>
      </c>
      <c r="BK216" s="2">
        <f>VLOOKUP([jobnumber],OvalData[],MATCH(Table2[[#Headers],[Cycles]],Table2[#Headers],0),0)</f>
        <v>0</v>
      </c>
      <c r="BL216" s="2">
        <f>VLOOKUP([jobnumber],OvalData[],MATCH(Table2[[#Headers],[Total Spring Torque]],Table2[#Headers],0),0)</f>
        <v>0</v>
      </c>
      <c r="BM216" s="2">
        <f>VLOOKUP([jobnumber],OvalData[],MATCH(Table2[[#Headers],[Total Spring Weight]],Table2[#Headers],0),0)</f>
        <v>0</v>
      </c>
      <c r="BN216" s="2">
        <f>VLOOKUP([jobnumber],OvalData[],MATCH(Table2[[#Headers],[Pipe Weight]],Table2[#Headers],0),0)</f>
        <v>688.24239999999998</v>
      </c>
      <c r="BO216" s="2">
        <f>VLOOKUP([jobnumber],OvalData[],MATCH(Table2[[#Headers],[Max Pipe Deflection]],Table2[#Headers],0),0)</f>
        <v>2309</v>
      </c>
      <c r="BP216" s="2">
        <f>VLOOKUP([jobnumber],OvalData[],MATCH(Table2[[#Headers],[Number Non-Insulated Wrap Slats]],Table2[#Headers],0),0)</f>
        <v>0</v>
      </c>
      <c r="BQ216" s="2">
        <f>VLOOKUP([jobnumber],OvalData[],MATCH(Table2[[#Headers],[Number of Insolated Top Slats]],Table2[#Headers],0),0)</f>
        <v>45</v>
      </c>
      <c r="BR216" s="2">
        <f>VLOOKUP([jobnumber],OvalData[],MATCH(Table2[[#Headers],[Insolated Total Slats]],Table2[#Headers],0),0)</f>
        <v>45</v>
      </c>
      <c r="BS216" s="2">
        <f>VLOOKUP([jobnumber],OvalData[],MATCH(Table2[[#Headers],[Number of Slats]],Table2[#Headers],0),0)</f>
        <v>44.69</v>
      </c>
      <c r="BT216" s="2">
        <f>VLOOKUP([jobnumber],OvalData[],MATCH(Table2[[#Headers],[Wrap]],Table2[#Headers],0),0)</f>
        <v>0</v>
      </c>
      <c r="BU216" s="2">
        <f>VLOOKUP([jobnumber],OvalData[],MATCH(Table2[[#Headers],[Wall Angle Thickness]],Table2[#Headers],0),0)</f>
        <v>0</v>
      </c>
      <c r="BV216" s="2">
        <f>VLOOKUP([jobnumber],OvalData[],MATCH(Table2[[#Headers],[windlocks]],Table2[#Headers],0),0)</f>
        <v>0</v>
      </c>
      <c r="BW216" s="2" t="str">
        <f>VLOOKUP([jobnumber],OvalData[],MATCH(Table2[[#Headers],[bottombartype]],Table2[#Headers],0),0)</f>
        <v>SPECIAL</v>
      </c>
      <c r="BX216" s="2">
        <f>VLOOKUP([jobnumber],OvalData[],MATCH(Table2[[#Headers],[endlockweight]],Table2[#Headers],0),0)</f>
        <v>0.17</v>
      </c>
      <c r="BY216" s="2">
        <f>VLOOKUP([jobnumber],OvalData[],MATCH(Table2[[#Headers],[Endlock Total Weight]],Table2[#Headers],0),0)</f>
        <v>7.5972999999999997</v>
      </c>
      <c r="BZ216" s="2">
        <f>VLOOKUP([jobnumber],OvalData[],MATCH(Table2[[#Headers],[Grille Weight]],Table2[#Headers],0),0)</f>
        <v>0</v>
      </c>
      <c r="CA216" s="2">
        <f>VLOOKUP([jobnumber],OvalData[],MATCH(Table2[[#Headers],[barrelrings]],Table2[#Headers],0),0)</f>
        <v>1</v>
      </c>
    </row>
    <row r="217" spans="2:79">
      <c r="B217" s="2" t="str">
        <f>VLOOKUP([jobnumber],OvalData[],MATCH(Table2[[#Headers],[Hand]],Table2[#Headers],0),0)</f>
        <v>RH</v>
      </c>
      <c r="C217" s="2" t="str">
        <f>VLOOKUP([jobnumber],OvalData[],MATCH(Table2[[#Headers],[Model]],Table2[#Headers],0),0)</f>
        <v>SFMPP</v>
      </c>
      <c r="D217" s="2" t="str">
        <f>VLOOKUP([jobnumber],OvalData[],MATCH(Table2[[#Headers],[width]],Table2[#Headers],0),0)</f>
        <v xml:space="preserve"> 18 ft.- 2"</v>
      </c>
      <c r="E217" s="2" t="str">
        <f>VLOOKUP([jobnumber],OvalData[],MATCH(Table2[[#Headers],[stopheight]],Table2[#Headers],0),0)</f>
        <v xml:space="preserve"> 10 ft.- 0"</v>
      </c>
      <c r="F217" s="2" t="str">
        <f>VLOOKUP([jobnumber],OvalData[],MATCH(Table2[[#Headers],[Between Brackets]],Table2[#Headers],0),0)</f>
        <v xml:space="preserve"> 18 ft.- 7 7/ 8"</v>
      </c>
      <c r="G217" s="2" t="str">
        <f>VLOOKUP([jobnumber],OvalData[],MATCH(Table2[[#Headers],[shell]],Table2[#Headers],0),0)</f>
        <v>6 INCH TUBE</v>
      </c>
      <c r="H217" s="2" t="str">
        <f>VLOOKUP([jobnumber],OvalData[],MATCH(Table2[[#Headers],[pipewidth]],Table2[#Headers],0),0)</f>
        <v xml:space="preserve"> 18 ft.- 1 3/ 8"</v>
      </c>
      <c r="I217" s="2">
        <f>VLOOKUP([jobnumber],OvalData[],MATCH(Table2[[#Headers],[Support Tubes]],Table2[#Headers],0),0)</f>
        <v>0</v>
      </c>
      <c r="J217" s="2">
        <f>VLOOKUP([jobnumber],OvalData[],MATCH(Table2[[#Headers],[Upset]],Table2[#Headers],0),0)</f>
        <v>2</v>
      </c>
      <c r="K217" s="2" t="str">
        <f>VLOOKUP([jobnumber],OvalData[],MATCH(Table2[[#Headers],[Guide Type]],Table2[#Headers],0),0)</f>
        <v>SN2-4 5/8-E</v>
      </c>
      <c r="L217" s="2" t="str">
        <f>VLOOKUP([jobnumber],OvalData[],MATCH(Table2[[#Headers],[Wall Angle]],Table2[#Headers],0),0)</f>
        <v xml:space="preserve"> 11 ft.- 8"</v>
      </c>
      <c r="M217" s="2" t="str">
        <f>VLOOKUP([jobnumber],OvalData[],MATCH(Table2[[#Headers],[Middle Angle]],Table2[#Headers],0),0)</f>
        <v xml:space="preserve"> 10 ft.- 4 1/ 2"</v>
      </c>
      <c r="N217" s="2" t="str">
        <f>VLOOKUP([jobnumber],OvalData[],MATCH(Table2[[#Headers],[Front Angle]],Table2[#Headers],0),0)</f>
        <v xml:space="preserve"> 10 ft.- 3"</v>
      </c>
      <c r="O217" s="2">
        <f>VLOOKUP([jobnumber],OvalData[],MATCH(Table2[[#Headers],[Pipe Center Line]],Table2[#Headers],0),0)</f>
        <v>131</v>
      </c>
      <c r="P217" s="2">
        <f>VLOOKUP([jobnumber],OvalData[],MATCH(Table2[[#Headers],[Heat Expansion Gap]],Table2[#Headers],0),0)</f>
        <v>0</v>
      </c>
      <c r="Q217" s="2">
        <f>VLOOKUP([jobnumber],OvalData[],MATCH(Table2[[#Headers],[Hanging Weight Closed]],Table2[#Headers],0),0)</f>
        <v>795</v>
      </c>
      <c r="R217" s="2">
        <f>VLOOKUP([jobnumber],OvalData[],MATCH(Table2[[#Headers],[Hanging Weight Open]],Table2[#Headers],0),0)</f>
        <v>140</v>
      </c>
      <c r="S217" s="2">
        <f>VLOOKUP([jobnumber],OvalData[],MATCH(Table2[[#Headers],[Initial Lever Arm]],Table2[#Headers],0),0)</f>
        <v>4.25</v>
      </c>
      <c r="T217" s="2">
        <f>VLOOKUP([jobnumber],OvalData[],MATCH(Table2[[#Headers],[Turns to Raise]],Table2[#Headers],0),0)</f>
        <v>3.5859999999999999</v>
      </c>
      <c r="U217" s="2">
        <f>VLOOKUP([jobnumber],OvalData[],MATCH(Table2[[#Headers],[Final Lever Arm]],Table2[#Headers],0),0)</f>
        <v>6.37</v>
      </c>
      <c r="V217" s="2">
        <f>VLOOKUP([jobnumber],OvalData[],MATCH(Table2[[#Headers],[Torque Required Closed]],Table2[#Headers],0),0)</f>
        <v>3377.9</v>
      </c>
      <c r="W217" s="2">
        <f>VLOOKUP([jobnumber],OvalData[],MATCH(Table2[[#Headers],[Torque Required Open]],Table2[#Headers],0),0)</f>
        <v>892</v>
      </c>
      <c r="X217" s="2">
        <f>VLOOKUP([jobnumber],OvalData[],MATCH(Table2[[#Headers],[Pre Turns]],Table2[#Headers],0),0)</f>
        <v>1.3332999999999999</v>
      </c>
      <c r="Y217" s="2">
        <f>VLOOKUP([jobnumber],OvalData[],MATCH(Table2[[#Headers],[Required Torque Per Turn]],Table2[#Headers],0),0)</f>
        <v>688</v>
      </c>
      <c r="Z217" s="2">
        <f>VLOOKUP([jobnumber],OvalData[],MATCH(Table2[[#Headers],[Total Turns]],Table2[#Headers],0),0)</f>
        <v>4.91</v>
      </c>
      <c r="AA217" s="2">
        <f>VLOOKUP([jobnumber],OvalData[],MATCH(Table2[[#Headers],[Grille Vision Section]],Table2[#Headers],0),0)</f>
        <v>0</v>
      </c>
      <c r="AB217" s="2">
        <f>VLOOKUP([jobnumber],OvalData[],MATCH(Table2[[#Headers],[Grille Amount]],Table2[#Headers],0),0)</f>
        <v>0</v>
      </c>
      <c r="AC217" s="2">
        <f>VLOOKUP([jobnumber],OvalData[],MATCH(Table2[[#Headers],[Grille Center]],Table2[#Headers],0),0)</f>
        <v>0</v>
      </c>
      <c r="AD217" s="2">
        <f>VLOOKUP([jobnumber],OvalData[],MATCH(Table2[[#Headers],[Grille Pattern]],Table2[#Headers],0),0)</f>
        <v>0</v>
      </c>
      <c r="AE217" s="2">
        <f>VLOOKUP([jobnumber],OvalData[],MATCH(Table2[[#Headers],[Grille First Tube]],Table2[#Headers],0),0)</f>
        <v>0</v>
      </c>
      <c r="AF217" s="2">
        <f>VLOOKUP([jobnumber],OvalData[],MATCH(Table2[[#Headers],[Grille Standard Tube]],Table2[#Headers],0),0)</f>
        <v>0</v>
      </c>
      <c r="AG217" s="2">
        <f>VLOOKUP([jobnumber],OvalData[],MATCH(Table2[[#Headers],[Grille Total Links]],Table2[#Headers],0),0)</f>
        <v>0</v>
      </c>
      <c r="AH217" s="2">
        <f>VLOOKUP([jobnumber],OvalData[],MATCH(Table2[[#Headers],[Grille Rods]],Table2[#Headers],0),0)</f>
        <v>0</v>
      </c>
      <c r="AI217" s="2">
        <f>VLOOKUP([jobnumber],OvalData[],MATCH(Table2[[#Headers],[Grille Rod Length]],Table2[#Headers],0),0)</f>
        <v>0</v>
      </c>
      <c r="AJ217" s="2">
        <f>VLOOKUP([jobnumber],OvalData[],MATCH(Table2[[#Headers],[slattype]],Table2[#Headers],0),0)</f>
        <v>2</v>
      </c>
      <c r="AK217" s="2">
        <f>VLOOKUP([jobnumber],OvalData[],MATCH(Table2[[#Headers],[slatgage]],Table2[#Headers],0),0)</f>
        <v>18</v>
      </c>
      <c r="AL217" s="2">
        <f>VLOOKUP([jobnumber],OvalData[],MATCH(Table2[[#Headers],[Numer of Top Slats]],Table2[#Headers],0),0)</f>
        <v>0</v>
      </c>
      <c r="AM217" s="2">
        <f>VLOOKUP([jobnumber],OvalData[],MATCH(Table2[[#Headers],[Number of Bottom Slats]],Table2[#Headers],0),0)</f>
        <v>0</v>
      </c>
      <c r="AN217" s="2">
        <f>VLOOKUP([jobnumber],OvalData[],MATCH(Table2[[#Headers],[Solid Bottom Height]],Table2[#Headers],0),0)</f>
        <v>0</v>
      </c>
      <c r="AO217" s="2" t="str">
        <f>VLOOKUP([jobnumber],OvalData[],MATCH(Table2[[#Headers],[slatlength]],Table2[#Headers],0),0)</f>
        <v xml:space="preserve"> 18 ft.- 5 7/ 8"</v>
      </c>
      <c r="AP217" s="2">
        <f>VLOOKUP([jobnumber],OvalData[],MATCH(Table2[[#Headers],[Bottom Slat Length]],Table2[#Headers],0),0)</f>
        <v>0</v>
      </c>
      <c r="AQ217" s="2">
        <f>VLOOKUP([jobnumber],OvalData[],MATCH(Table2[[#Headers],[Number of Perferated Slats]],Table2[#Headers],0),0)</f>
        <v>0</v>
      </c>
      <c r="AR217" s="2">
        <f>VLOOKUP([jobnumber],OvalData[],MATCH(Table2[[#Headers],[First Preferated Slat From End]],Table2[#Headers],0),0)</f>
        <v>0</v>
      </c>
      <c r="AS217" s="2">
        <f>VLOOKUP([jobnumber],OvalData[],MATCH(Table2[[#Headers],[First Preferated Slat From Bottom]],Table2[#Headers],0),0)</f>
        <v>0</v>
      </c>
      <c r="AT217" s="2">
        <f>VLOOKUP([jobnumber],OvalData[],MATCH(Table2[[#Headers],[Total Number of Slats]],Table2[#Headers],0),0)</f>
        <v>51</v>
      </c>
      <c r="AU217" s="2">
        <f>VLOOKUP([jobnumber],OvalData[],MATCH(Table2[[#Headers],[Bottom Bar Slope]],Table2[#Headers],0),0)</f>
        <v>0</v>
      </c>
      <c r="AV217" s="2">
        <f>VLOOKUP([jobnumber],OvalData[],MATCH(Table2[[#Headers],[Bottom Bar Weight]],Table2[#Headers],0),0)</f>
        <v>80.5</v>
      </c>
      <c r="AW217" s="2" t="str">
        <f>VLOOKUP([jobnumber],OvalData[],MATCH(Table2[[#Headers],[Outer Spring Gage]],Table2[#Headers],0),0)</f>
        <v>Null</v>
      </c>
      <c r="AX217" s="2" t="str">
        <f>VLOOKUP([jobnumber],OvalData[],MATCH(Table2[[#Headers],[Outer Spring OD]],Table2[#Headers],0),0)</f>
        <v>Null</v>
      </c>
      <c r="AY217" s="2" t="str">
        <f>VLOOKUP([jobnumber],OvalData[],MATCH(Table2[[#Headers],[Outer Spring Length]],Table2[#Headers],0),0)</f>
        <v>Null</v>
      </c>
      <c r="AZ217" s="2" t="str">
        <f>VLOOKUP([jobnumber],OvalData[],MATCH(Table2[[#Headers],[Outer Spring Stretch]],Table2[#Headers],0),0)</f>
        <v>Null</v>
      </c>
      <c r="BA217" s="2" t="str">
        <f>VLOOKUP([jobnumber],OvalData[],MATCH(Table2[[#Headers],[Outer Spring Torque]],Table2[#Headers],0),0)</f>
        <v>Null</v>
      </c>
      <c r="BB217" s="2" t="str">
        <f>VLOOKUP([jobnumber],OvalData[],MATCH(Table2[[#Headers],[Outer Spring Max Turns]],Table2[#Headers],0),0)</f>
        <v>Null</v>
      </c>
      <c r="BC217" s="2" t="str">
        <f>VLOOKUP([jobnumber],OvalData[],MATCH(Table2[[#Headers],[Outer Spring Weight]],Table2[#Headers],0),0)</f>
        <v>Null</v>
      </c>
      <c r="BD217" s="2" t="str">
        <f>VLOOKUP([jobnumber],OvalData[],MATCH(Table2[[#Headers],[Inner Spring Gage]],Table2[#Headers],0),0)</f>
        <v>Null</v>
      </c>
      <c r="BE217" s="2" t="str">
        <f>VLOOKUP([jobnumber],OvalData[],MATCH(Table2[[#Headers],[Inner Spring OD]],Table2[#Headers],0),0)</f>
        <v>Null</v>
      </c>
      <c r="BF217" s="2" t="str">
        <f>VLOOKUP([jobnumber],OvalData[],MATCH(Table2[[#Headers],[Inner Spring Length]],Table2[#Headers],0),0)</f>
        <v>Null</v>
      </c>
      <c r="BG217" s="2" t="str">
        <f>VLOOKUP([jobnumber],OvalData[],MATCH(Table2[[#Headers],[Inner Spring Stretch]],Table2[#Headers],0),0)</f>
        <v>Null</v>
      </c>
      <c r="BH217" s="2" t="str">
        <f>VLOOKUP([jobnumber],OvalData[],MATCH(Table2[[#Headers],[Inner Spring Torque]],Table2[#Headers],0),0)</f>
        <v>Null</v>
      </c>
      <c r="BI217" s="2" t="str">
        <f>VLOOKUP([jobnumber],OvalData[],MATCH(Table2[[#Headers],[Inner Spring Max Turns]],Table2[#Headers],0),0)</f>
        <v>Null</v>
      </c>
      <c r="BJ217" s="2" t="str">
        <f>VLOOKUP([jobnumber],OvalData[],MATCH(Table2[[#Headers],[Inner Spring Weight]],Table2[#Headers],0),0)</f>
        <v>Null</v>
      </c>
      <c r="BK217" s="2">
        <f>VLOOKUP([jobnumber],OvalData[],MATCH(Table2[[#Headers],[Cycles]],Table2[#Headers],0),0)</f>
        <v>0</v>
      </c>
      <c r="BL217" s="2">
        <f>VLOOKUP([jobnumber],OvalData[],MATCH(Table2[[#Headers],[Total Spring Torque]],Table2[#Headers],0),0)</f>
        <v>0</v>
      </c>
      <c r="BM217" s="2">
        <f>VLOOKUP([jobnumber],OvalData[],MATCH(Table2[[#Headers],[Total Spring Weight]],Table2[#Headers],0),0)</f>
        <v>0</v>
      </c>
      <c r="BN217" s="2">
        <f>VLOOKUP([jobnumber],OvalData[],MATCH(Table2[[#Headers],[Pipe Weight]],Table2[#Headers],0),0)</f>
        <v>688.24239999999998</v>
      </c>
      <c r="BO217" s="2">
        <f>VLOOKUP([jobnumber],OvalData[],MATCH(Table2[[#Headers],[Max Pipe Deflection]],Table2[#Headers],0),0)</f>
        <v>2309</v>
      </c>
      <c r="BP217" s="2">
        <f>VLOOKUP([jobnumber],OvalData[],MATCH(Table2[[#Headers],[Number Non-Insulated Wrap Slats]],Table2[#Headers],0),0)</f>
        <v>0</v>
      </c>
      <c r="BQ217" s="2">
        <f>VLOOKUP([jobnumber],OvalData[],MATCH(Table2[[#Headers],[Number of Insolated Top Slats]],Table2[#Headers],0),0)</f>
        <v>45</v>
      </c>
      <c r="BR217" s="2">
        <f>VLOOKUP([jobnumber],OvalData[],MATCH(Table2[[#Headers],[Insolated Total Slats]],Table2[#Headers],0),0)</f>
        <v>45</v>
      </c>
      <c r="BS217" s="2">
        <f>VLOOKUP([jobnumber],OvalData[],MATCH(Table2[[#Headers],[Number of Slats]],Table2[#Headers],0),0)</f>
        <v>44.69</v>
      </c>
      <c r="BT217" s="2">
        <f>VLOOKUP([jobnumber],OvalData[],MATCH(Table2[[#Headers],[Wrap]],Table2[#Headers],0),0)</f>
        <v>0</v>
      </c>
      <c r="BU217" s="2">
        <f>VLOOKUP([jobnumber],OvalData[],MATCH(Table2[[#Headers],[Wall Angle Thickness]],Table2[#Headers],0),0)</f>
        <v>0</v>
      </c>
      <c r="BV217" s="2">
        <f>VLOOKUP([jobnumber],OvalData[],MATCH(Table2[[#Headers],[windlocks]],Table2[#Headers],0),0)</f>
        <v>0</v>
      </c>
      <c r="BW217" s="2" t="str">
        <f>VLOOKUP([jobnumber],OvalData[],MATCH(Table2[[#Headers],[bottombartype]],Table2[#Headers],0),0)</f>
        <v>SPECIAL</v>
      </c>
      <c r="BX217" s="2">
        <f>VLOOKUP([jobnumber],OvalData[],MATCH(Table2[[#Headers],[endlockweight]],Table2[#Headers],0),0)</f>
        <v>0.17</v>
      </c>
      <c r="BY217" s="2">
        <f>VLOOKUP([jobnumber],OvalData[],MATCH(Table2[[#Headers],[Endlock Total Weight]],Table2[#Headers],0),0)</f>
        <v>7.5972999999999997</v>
      </c>
      <c r="BZ217" s="2">
        <f>VLOOKUP([jobnumber],OvalData[],MATCH(Table2[[#Headers],[Grille Weight]],Table2[#Headers],0),0)</f>
        <v>0</v>
      </c>
      <c r="CA217" s="2">
        <f>VLOOKUP([jobnumber],OvalData[],MATCH(Table2[[#Headers],[barrelrings]],Table2[#Headers],0),0)</f>
        <v>1</v>
      </c>
    </row>
    <row r="218" spans="2:79">
      <c r="B218" s="2" t="str">
        <f>VLOOKUP([jobnumber],OvalData[],MATCH(Table2[[#Headers],[Hand]],Table2[#Headers],0),0)</f>
        <v>RH</v>
      </c>
      <c r="C218" s="2" t="str">
        <f>VLOOKUP([jobnumber],OvalData[],MATCH(Table2[[#Headers],[Model]],Table2[#Headers],0),0)</f>
        <v>SFMPP</v>
      </c>
      <c r="D218" s="2" t="str">
        <f>VLOOKUP([jobnumber],OvalData[],MATCH(Table2[[#Headers],[width]],Table2[#Headers],0),0)</f>
        <v xml:space="preserve"> 18 ft.- 2"</v>
      </c>
      <c r="E218" s="2" t="str">
        <f>VLOOKUP([jobnumber],OvalData[],MATCH(Table2[[#Headers],[stopheight]],Table2[#Headers],0),0)</f>
        <v xml:space="preserve"> 10 ft.- 0"</v>
      </c>
      <c r="F218" s="2" t="str">
        <f>VLOOKUP([jobnumber],OvalData[],MATCH(Table2[[#Headers],[Between Brackets]],Table2[#Headers],0),0)</f>
        <v xml:space="preserve"> 18 ft.- 7 7/ 8"</v>
      </c>
      <c r="G218" s="2" t="str">
        <f>VLOOKUP([jobnumber],OvalData[],MATCH(Table2[[#Headers],[shell]],Table2[#Headers],0),0)</f>
        <v>6 INCH TUBE</v>
      </c>
      <c r="H218" s="2" t="str">
        <f>VLOOKUP([jobnumber],OvalData[],MATCH(Table2[[#Headers],[pipewidth]],Table2[#Headers],0),0)</f>
        <v xml:space="preserve"> 18 ft.- 1 3/ 8"</v>
      </c>
      <c r="I218" s="2">
        <f>VLOOKUP([jobnumber],OvalData[],MATCH(Table2[[#Headers],[Support Tubes]],Table2[#Headers],0),0)</f>
        <v>0</v>
      </c>
      <c r="J218" s="2">
        <f>VLOOKUP([jobnumber],OvalData[],MATCH(Table2[[#Headers],[Upset]],Table2[#Headers],0),0)</f>
        <v>2</v>
      </c>
      <c r="K218" s="2" t="str">
        <f>VLOOKUP([jobnumber],OvalData[],MATCH(Table2[[#Headers],[Guide Type]],Table2[#Headers],0),0)</f>
        <v>SN2-4 5/8-E</v>
      </c>
      <c r="L218" s="2" t="str">
        <f>VLOOKUP([jobnumber],OvalData[],MATCH(Table2[[#Headers],[Wall Angle]],Table2[#Headers],0),0)</f>
        <v xml:space="preserve"> 11 ft.- 8"</v>
      </c>
      <c r="M218" s="2" t="str">
        <f>VLOOKUP([jobnumber],OvalData[],MATCH(Table2[[#Headers],[Middle Angle]],Table2[#Headers],0),0)</f>
        <v xml:space="preserve"> 10 ft.- 4 1/ 2"</v>
      </c>
      <c r="N218" s="2" t="str">
        <f>VLOOKUP([jobnumber],OvalData[],MATCH(Table2[[#Headers],[Front Angle]],Table2[#Headers],0),0)</f>
        <v xml:space="preserve"> 10 ft.- 3"</v>
      </c>
      <c r="O218" s="2">
        <f>VLOOKUP([jobnumber],OvalData[],MATCH(Table2[[#Headers],[Pipe Center Line]],Table2[#Headers],0),0)</f>
        <v>131</v>
      </c>
      <c r="P218" s="2">
        <f>VLOOKUP([jobnumber],OvalData[],MATCH(Table2[[#Headers],[Heat Expansion Gap]],Table2[#Headers],0),0)</f>
        <v>0</v>
      </c>
      <c r="Q218" s="2">
        <f>VLOOKUP([jobnumber],OvalData[],MATCH(Table2[[#Headers],[Hanging Weight Closed]],Table2[#Headers],0),0)</f>
        <v>795</v>
      </c>
      <c r="R218" s="2">
        <f>VLOOKUP([jobnumber],OvalData[],MATCH(Table2[[#Headers],[Hanging Weight Open]],Table2[#Headers],0),0)</f>
        <v>140</v>
      </c>
      <c r="S218" s="2">
        <f>VLOOKUP([jobnumber],OvalData[],MATCH(Table2[[#Headers],[Initial Lever Arm]],Table2[#Headers],0),0)</f>
        <v>4.25</v>
      </c>
      <c r="T218" s="2">
        <f>VLOOKUP([jobnumber],OvalData[],MATCH(Table2[[#Headers],[Turns to Raise]],Table2[#Headers],0),0)</f>
        <v>3.5859999999999999</v>
      </c>
      <c r="U218" s="2">
        <f>VLOOKUP([jobnumber],OvalData[],MATCH(Table2[[#Headers],[Final Lever Arm]],Table2[#Headers],0),0)</f>
        <v>6.37</v>
      </c>
      <c r="V218" s="2">
        <f>VLOOKUP([jobnumber],OvalData[],MATCH(Table2[[#Headers],[Torque Required Closed]],Table2[#Headers],0),0)</f>
        <v>3377.9</v>
      </c>
      <c r="W218" s="2">
        <f>VLOOKUP([jobnumber],OvalData[],MATCH(Table2[[#Headers],[Torque Required Open]],Table2[#Headers],0),0)</f>
        <v>892</v>
      </c>
      <c r="X218" s="2">
        <f>VLOOKUP([jobnumber],OvalData[],MATCH(Table2[[#Headers],[Pre Turns]],Table2[#Headers],0),0)</f>
        <v>1.3332999999999999</v>
      </c>
      <c r="Y218" s="2">
        <f>VLOOKUP([jobnumber],OvalData[],MATCH(Table2[[#Headers],[Required Torque Per Turn]],Table2[#Headers],0),0)</f>
        <v>688</v>
      </c>
      <c r="Z218" s="2">
        <f>VLOOKUP([jobnumber],OvalData[],MATCH(Table2[[#Headers],[Total Turns]],Table2[#Headers],0),0)</f>
        <v>4.91</v>
      </c>
      <c r="AA218" s="2">
        <f>VLOOKUP([jobnumber],OvalData[],MATCH(Table2[[#Headers],[Grille Vision Section]],Table2[#Headers],0),0)</f>
        <v>0</v>
      </c>
      <c r="AB218" s="2">
        <f>VLOOKUP([jobnumber],OvalData[],MATCH(Table2[[#Headers],[Grille Amount]],Table2[#Headers],0),0)</f>
        <v>0</v>
      </c>
      <c r="AC218" s="2">
        <f>VLOOKUP([jobnumber],OvalData[],MATCH(Table2[[#Headers],[Grille Center]],Table2[#Headers],0),0)</f>
        <v>0</v>
      </c>
      <c r="AD218" s="2">
        <f>VLOOKUP([jobnumber],OvalData[],MATCH(Table2[[#Headers],[Grille Pattern]],Table2[#Headers],0),0)</f>
        <v>0</v>
      </c>
      <c r="AE218" s="2">
        <f>VLOOKUP([jobnumber],OvalData[],MATCH(Table2[[#Headers],[Grille First Tube]],Table2[#Headers],0),0)</f>
        <v>0</v>
      </c>
      <c r="AF218" s="2">
        <f>VLOOKUP([jobnumber],OvalData[],MATCH(Table2[[#Headers],[Grille Standard Tube]],Table2[#Headers],0),0)</f>
        <v>0</v>
      </c>
      <c r="AG218" s="2">
        <f>VLOOKUP([jobnumber],OvalData[],MATCH(Table2[[#Headers],[Grille Total Links]],Table2[#Headers],0),0)</f>
        <v>0</v>
      </c>
      <c r="AH218" s="2">
        <f>VLOOKUP([jobnumber],OvalData[],MATCH(Table2[[#Headers],[Grille Rods]],Table2[#Headers],0),0)</f>
        <v>0</v>
      </c>
      <c r="AI218" s="2">
        <f>VLOOKUP([jobnumber],OvalData[],MATCH(Table2[[#Headers],[Grille Rod Length]],Table2[#Headers],0),0)</f>
        <v>0</v>
      </c>
      <c r="AJ218" s="2">
        <f>VLOOKUP([jobnumber],OvalData[],MATCH(Table2[[#Headers],[slattype]],Table2[#Headers],0),0)</f>
        <v>2</v>
      </c>
      <c r="AK218" s="2">
        <f>VLOOKUP([jobnumber],OvalData[],MATCH(Table2[[#Headers],[slatgage]],Table2[#Headers],0),0)</f>
        <v>18</v>
      </c>
      <c r="AL218" s="2">
        <f>VLOOKUP([jobnumber],OvalData[],MATCH(Table2[[#Headers],[Numer of Top Slats]],Table2[#Headers],0),0)</f>
        <v>0</v>
      </c>
      <c r="AM218" s="2">
        <f>VLOOKUP([jobnumber],OvalData[],MATCH(Table2[[#Headers],[Number of Bottom Slats]],Table2[#Headers],0),0)</f>
        <v>0</v>
      </c>
      <c r="AN218" s="2">
        <f>VLOOKUP([jobnumber],OvalData[],MATCH(Table2[[#Headers],[Solid Bottom Height]],Table2[#Headers],0),0)</f>
        <v>0</v>
      </c>
      <c r="AO218" s="2" t="str">
        <f>VLOOKUP([jobnumber],OvalData[],MATCH(Table2[[#Headers],[slatlength]],Table2[#Headers],0),0)</f>
        <v xml:space="preserve"> 18 ft.- 5 7/ 8"</v>
      </c>
      <c r="AP218" s="2">
        <f>VLOOKUP([jobnumber],OvalData[],MATCH(Table2[[#Headers],[Bottom Slat Length]],Table2[#Headers],0),0)</f>
        <v>0</v>
      </c>
      <c r="AQ218" s="2">
        <f>VLOOKUP([jobnumber],OvalData[],MATCH(Table2[[#Headers],[Number of Perferated Slats]],Table2[#Headers],0),0)</f>
        <v>0</v>
      </c>
      <c r="AR218" s="2">
        <f>VLOOKUP([jobnumber],OvalData[],MATCH(Table2[[#Headers],[First Preferated Slat From End]],Table2[#Headers],0),0)</f>
        <v>0</v>
      </c>
      <c r="AS218" s="2">
        <f>VLOOKUP([jobnumber],OvalData[],MATCH(Table2[[#Headers],[First Preferated Slat From Bottom]],Table2[#Headers],0),0)</f>
        <v>0</v>
      </c>
      <c r="AT218" s="2">
        <f>VLOOKUP([jobnumber],OvalData[],MATCH(Table2[[#Headers],[Total Number of Slats]],Table2[#Headers],0),0)</f>
        <v>51</v>
      </c>
      <c r="AU218" s="2">
        <f>VLOOKUP([jobnumber],OvalData[],MATCH(Table2[[#Headers],[Bottom Bar Slope]],Table2[#Headers],0),0)</f>
        <v>0</v>
      </c>
      <c r="AV218" s="2">
        <f>VLOOKUP([jobnumber],OvalData[],MATCH(Table2[[#Headers],[Bottom Bar Weight]],Table2[#Headers],0),0)</f>
        <v>80.5</v>
      </c>
      <c r="AW218" s="2" t="str">
        <f>VLOOKUP([jobnumber],OvalData[],MATCH(Table2[[#Headers],[Outer Spring Gage]],Table2[#Headers],0),0)</f>
        <v>Null</v>
      </c>
      <c r="AX218" s="2" t="str">
        <f>VLOOKUP([jobnumber],OvalData[],MATCH(Table2[[#Headers],[Outer Spring OD]],Table2[#Headers],0),0)</f>
        <v>Null</v>
      </c>
      <c r="AY218" s="2" t="str">
        <f>VLOOKUP([jobnumber],OvalData[],MATCH(Table2[[#Headers],[Outer Spring Length]],Table2[#Headers],0),0)</f>
        <v>Null</v>
      </c>
      <c r="AZ218" s="2" t="str">
        <f>VLOOKUP([jobnumber],OvalData[],MATCH(Table2[[#Headers],[Outer Spring Stretch]],Table2[#Headers],0),0)</f>
        <v>Null</v>
      </c>
      <c r="BA218" s="2" t="str">
        <f>VLOOKUP([jobnumber],OvalData[],MATCH(Table2[[#Headers],[Outer Spring Torque]],Table2[#Headers],0),0)</f>
        <v>Null</v>
      </c>
      <c r="BB218" s="2" t="str">
        <f>VLOOKUP([jobnumber],OvalData[],MATCH(Table2[[#Headers],[Outer Spring Max Turns]],Table2[#Headers],0),0)</f>
        <v>Null</v>
      </c>
      <c r="BC218" s="2" t="str">
        <f>VLOOKUP([jobnumber],OvalData[],MATCH(Table2[[#Headers],[Outer Spring Weight]],Table2[#Headers],0),0)</f>
        <v>Null</v>
      </c>
      <c r="BD218" s="2" t="str">
        <f>VLOOKUP([jobnumber],OvalData[],MATCH(Table2[[#Headers],[Inner Spring Gage]],Table2[#Headers],0),0)</f>
        <v>Null</v>
      </c>
      <c r="BE218" s="2" t="str">
        <f>VLOOKUP([jobnumber],OvalData[],MATCH(Table2[[#Headers],[Inner Spring OD]],Table2[#Headers],0),0)</f>
        <v>Null</v>
      </c>
      <c r="BF218" s="2" t="str">
        <f>VLOOKUP([jobnumber],OvalData[],MATCH(Table2[[#Headers],[Inner Spring Length]],Table2[#Headers],0),0)</f>
        <v>Null</v>
      </c>
      <c r="BG218" s="2" t="str">
        <f>VLOOKUP([jobnumber],OvalData[],MATCH(Table2[[#Headers],[Inner Spring Stretch]],Table2[#Headers],0),0)</f>
        <v>Null</v>
      </c>
      <c r="BH218" s="2" t="str">
        <f>VLOOKUP([jobnumber],OvalData[],MATCH(Table2[[#Headers],[Inner Spring Torque]],Table2[#Headers],0),0)</f>
        <v>Null</v>
      </c>
      <c r="BI218" s="2" t="str">
        <f>VLOOKUP([jobnumber],OvalData[],MATCH(Table2[[#Headers],[Inner Spring Max Turns]],Table2[#Headers],0),0)</f>
        <v>Null</v>
      </c>
      <c r="BJ218" s="2" t="str">
        <f>VLOOKUP([jobnumber],OvalData[],MATCH(Table2[[#Headers],[Inner Spring Weight]],Table2[#Headers],0),0)</f>
        <v>Null</v>
      </c>
      <c r="BK218" s="2">
        <f>VLOOKUP([jobnumber],OvalData[],MATCH(Table2[[#Headers],[Cycles]],Table2[#Headers],0),0)</f>
        <v>0</v>
      </c>
      <c r="BL218" s="2">
        <f>VLOOKUP([jobnumber],OvalData[],MATCH(Table2[[#Headers],[Total Spring Torque]],Table2[#Headers],0),0)</f>
        <v>0</v>
      </c>
      <c r="BM218" s="2">
        <f>VLOOKUP([jobnumber],OvalData[],MATCH(Table2[[#Headers],[Total Spring Weight]],Table2[#Headers],0),0)</f>
        <v>0</v>
      </c>
      <c r="BN218" s="2">
        <f>VLOOKUP([jobnumber],OvalData[],MATCH(Table2[[#Headers],[Pipe Weight]],Table2[#Headers],0),0)</f>
        <v>688.24239999999998</v>
      </c>
      <c r="BO218" s="2">
        <f>VLOOKUP([jobnumber],OvalData[],MATCH(Table2[[#Headers],[Max Pipe Deflection]],Table2[#Headers],0),0)</f>
        <v>2309</v>
      </c>
      <c r="BP218" s="2">
        <f>VLOOKUP([jobnumber],OvalData[],MATCH(Table2[[#Headers],[Number Non-Insulated Wrap Slats]],Table2[#Headers],0),0)</f>
        <v>0</v>
      </c>
      <c r="BQ218" s="2">
        <f>VLOOKUP([jobnumber],OvalData[],MATCH(Table2[[#Headers],[Number of Insolated Top Slats]],Table2[#Headers],0),0)</f>
        <v>45</v>
      </c>
      <c r="BR218" s="2">
        <f>VLOOKUP([jobnumber],OvalData[],MATCH(Table2[[#Headers],[Insolated Total Slats]],Table2[#Headers],0),0)</f>
        <v>45</v>
      </c>
      <c r="BS218" s="2">
        <f>VLOOKUP([jobnumber],OvalData[],MATCH(Table2[[#Headers],[Number of Slats]],Table2[#Headers],0),0)</f>
        <v>44.69</v>
      </c>
      <c r="BT218" s="2">
        <f>VLOOKUP([jobnumber],OvalData[],MATCH(Table2[[#Headers],[Wrap]],Table2[#Headers],0),0)</f>
        <v>0</v>
      </c>
      <c r="BU218" s="2">
        <f>VLOOKUP([jobnumber],OvalData[],MATCH(Table2[[#Headers],[Wall Angle Thickness]],Table2[#Headers],0),0)</f>
        <v>0</v>
      </c>
      <c r="BV218" s="2">
        <f>VLOOKUP([jobnumber],OvalData[],MATCH(Table2[[#Headers],[windlocks]],Table2[#Headers],0),0)</f>
        <v>0</v>
      </c>
      <c r="BW218" s="2" t="str">
        <f>VLOOKUP([jobnumber],OvalData[],MATCH(Table2[[#Headers],[bottombartype]],Table2[#Headers],0),0)</f>
        <v>SPECIAL</v>
      </c>
      <c r="BX218" s="2">
        <f>VLOOKUP([jobnumber],OvalData[],MATCH(Table2[[#Headers],[endlockweight]],Table2[#Headers],0),0)</f>
        <v>0.17</v>
      </c>
      <c r="BY218" s="2">
        <f>VLOOKUP([jobnumber],OvalData[],MATCH(Table2[[#Headers],[Endlock Total Weight]],Table2[#Headers],0),0)</f>
        <v>7.5972999999999997</v>
      </c>
      <c r="BZ218" s="2">
        <f>VLOOKUP([jobnumber],OvalData[],MATCH(Table2[[#Headers],[Grille Weight]],Table2[#Headers],0),0)</f>
        <v>0</v>
      </c>
      <c r="CA218" s="2">
        <f>VLOOKUP([jobnumber],OvalData[],MATCH(Table2[[#Headers],[barrelrings]],Table2[#Headers],0),0)</f>
        <v>1</v>
      </c>
    </row>
    <row r="219" spans="2:79">
      <c r="B219" s="2" t="str">
        <f>VLOOKUP([jobnumber],OvalData[],MATCH(Table2[[#Headers],[Hand]],Table2[#Headers],0),0)</f>
        <v>RH</v>
      </c>
      <c r="C219" s="2" t="str">
        <f>VLOOKUP([jobnumber],OvalData[],MATCH(Table2[[#Headers],[Model]],Table2[#Headers],0),0)</f>
        <v>SFMPP</v>
      </c>
      <c r="D219" s="2" t="str">
        <f>VLOOKUP([jobnumber],OvalData[],MATCH(Table2[[#Headers],[width]],Table2[#Headers],0),0)</f>
        <v xml:space="preserve"> 18 ft.- 2"</v>
      </c>
      <c r="E219" s="2" t="str">
        <f>VLOOKUP([jobnumber],OvalData[],MATCH(Table2[[#Headers],[stopheight]],Table2[#Headers],0),0)</f>
        <v xml:space="preserve"> 10 ft.- 0"</v>
      </c>
      <c r="F219" s="2" t="str">
        <f>VLOOKUP([jobnumber],OvalData[],MATCH(Table2[[#Headers],[Between Brackets]],Table2[#Headers],0),0)</f>
        <v xml:space="preserve"> 18 ft.- 7 7/ 8"</v>
      </c>
      <c r="G219" s="2" t="str">
        <f>VLOOKUP([jobnumber],OvalData[],MATCH(Table2[[#Headers],[shell]],Table2[#Headers],0),0)</f>
        <v>6 INCH TUBE</v>
      </c>
      <c r="H219" s="2" t="str">
        <f>VLOOKUP([jobnumber],OvalData[],MATCH(Table2[[#Headers],[pipewidth]],Table2[#Headers],0),0)</f>
        <v xml:space="preserve"> 18 ft.- 1 3/ 8"</v>
      </c>
      <c r="I219" s="2">
        <f>VLOOKUP([jobnumber],OvalData[],MATCH(Table2[[#Headers],[Support Tubes]],Table2[#Headers],0),0)</f>
        <v>0</v>
      </c>
      <c r="J219" s="2">
        <f>VLOOKUP([jobnumber],OvalData[],MATCH(Table2[[#Headers],[Upset]],Table2[#Headers],0),0)</f>
        <v>2</v>
      </c>
      <c r="K219" s="2" t="str">
        <f>VLOOKUP([jobnumber],OvalData[],MATCH(Table2[[#Headers],[Guide Type]],Table2[#Headers],0),0)</f>
        <v>SN2-4 5/8-E</v>
      </c>
      <c r="L219" s="2" t="str">
        <f>VLOOKUP([jobnumber],OvalData[],MATCH(Table2[[#Headers],[Wall Angle]],Table2[#Headers],0),0)</f>
        <v xml:space="preserve"> 11 ft.- 8"</v>
      </c>
      <c r="M219" s="2" t="str">
        <f>VLOOKUP([jobnumber],OvalData[],MATCH(Table2[[#Headers],[Middle Angle]],Table2[#Headers],0),0)</f>
        <v xml:space="preserve"> 10 ft.- 4 1/ 2"</v>
      </c>
      <c r="N219" s="2" t="str">
        <f>VLOOKUP([jobnumber],OvalData[],MATCH(Table2[[#Headers],[Front Angle]],Table2[#Headers],0),0)</f>
        <v xml:space="preserve"> 10 ft.- 3"</v>
      </c>
      <c r="O219" s="2">
        <f>VLOOKUP([jobnumber],OvalData[],MATCH(Table2[[#Headers],[Pipe Center Line]],Table2[#Headers],0),0)</f>
        <v>131</v>
      </c>
      <c r="P219" s="2">
        <f>VLOOKUP([jobnumber],OvalData[],MATCH(Table2[[#Headers],[Heat Expansion Gap]],Table2[#Headers],0),0)</f>
        <v>0</v>
      </c>
      <c r="Q219" s="2">
        <f>VLOOKUP([jobnumber],OvalData[],MATCH(Table2[[#Headers],[Hanging Weight Closed]],Table2[#Headers],0),0)</f>
        <v>795</v>
      </c>
      <c r="R219" s="2">
        <f>VLOOKUP([jobnumber],OvalData[],MATCH(Table2[[#Headers],[Hanging Weight Open]],Table2[#Headers],0),0)</f>
        <v>140</v>
      </c>
      <c r="S219" s="2">
        <f>VLOOKUP([jobnumber],OvalData[],MATCH(Table2[[#Headers],[Initial Lever Arm]],Table2[#Headers],0),0)</f>
        <v>4.25</v>
      </c>
      <c r="T219" s="2">
        <f>VLOOKUP([jobnumber],OvalData[],MATCH(Table2[[#Headers],[Turns to Raise]],Table2[#Headers],0),0)</f>
        <v>3.5859999999999999</v>
      </c>
      <c r="U219" s="2">
        <f>VLOOKUP([jobnumber],OvalData[],MATCH(Table2[[#Headers],[Final Lever Arm]],Table2[#Headers],0),0)</f>
        <v>6.37</v>
      </c>
      <c r="V219" s="2">
        <f>VLOOKUP([jobnumber],OvalData[],MATCH(Table2[[#Headers],[Torque Required Closed]],Table2[#Headers],0),0)</f>
        <v>3377.9</v>
      </c>
      <c r="W219" s="2">
        <f>VLOOKUP([jobnumber],OvalData[],MATCH(Table2[[#Headers],[Torque Required Open]],Table2[#Headers],0),0)</f>
        <v>892</v>
      </c>
      <c r="X219" s="2">
        <f>VLOOKUP([jobnumber],OvalData[],MATCH(Table2[[#Headers],[Pre Turns]],Table2[#Headers],0),0)</f>
        <v>1.3332999999999999</v>
      </c>
      <c r="Y219" s="2">
        <f>VLOOKUP([jobnumber],OvalData[],MATCH(Table2[[#Headers],[Required Torque Per Turn]],Table2[#Headers],0),0)</f>
        <v>688</v>
      </c>
      <c r="Z219" s="2">
        <f>VLOOKUP([jobnumber],OvalData[],MATCH(Table2[[#Headers],[Total Turns]],Table2[#Headers],0),0)</f>
        <v>4.91</v>
      </c>
      <c r="AA219" s="2">
        <f>VLOOKUP([jobnumber],OvalData[],MATCH(Table2[[#Headers],[Grille Vision Section]],Table2[#Headers],0),0)</f>
        <v>0</v>
      </c>
      <c r="AB219" s="2">
        <f>VLOOKUP([jobnumber],OvalData[],MATCH(Table2[[#Headers],[Grille Amount]],Table2[#Headers],0),0)</f>
        <v>0</v>
      </c>
      <c r="AC219" s="2">
        <f>VLOOKUP([jobnumber],OvalData[],MATCH(Table2[[#Headers],[Grille Center]],Table2[#Headers],0),0)</f>
        <v>0</v>
      </c>
      <c r="AD219" s="2">
        <f>VLOOKUP([jobnumber],OvalData[],MATCH(Table2[[#Headers],[Grille Pattern]],Table2[#Headers],0),0)</f>
        <v>0</v>
      </c>
      <c r="AE219" s="2">
        <f>VLOOKUP([jobnumber],OvalData[],MATCH(Table2[[#Headers],[Grille First Tube]],Table2[#Headers],0),0)</f>
        <v>0</v>
      </c>
      <c r="AF219" s="2">
        <f>VLOOKUP([jobnumber],OvalData[],MATCH(Table2[[#Headers],[Grille Standard Tube]],Table2[#Headers],0),0)</f>
        <v>0</v>
      </c>
      <c r="AG219" s="2">
        <f>VLOOKUP([jobnumber],OvalData[],MATCH(Table2[[#Headers],[Grille Total Links]],Table2[#Headers],0),0)</f>
        <v>0</v>
      </c>
      <c r="AH219" s="2">
        <f>VLOOKUP([jobnumber],OvalData[],MATCH(Table2[[#Headers],[Grille Rods]],Table2[#Headers],0),0)</f>
        <v>0</v>
      </c>
      <c r="AI219" s="2">
        <f>VLOOKUP([jobnumber],OvalData[],MATCH(Table2[[#Headers],[Grille Rod Length]],Table2[#Headers],0),0)</f>
        <v>0</v>
      </c>
      <c r="AJ219" s="2">
        <f>VLOOKUP([jobnumber],OvalData[],MATCH(Table2[[#Headers],[slattype]],Table2[#Headers],0),0)</f>
        <v>2</v>
      </c>
      <c r="AK219" s="2">
        <f>VLOOKUP([jobnumber],OvalData[],MATCH(Table2[[#Headers],[slatgage]],Table2[#Headers],0),0)</f>
        <v>18</v>
      </c>
      <c r="AL219" s="2">
        <f>VLOOKUP([jobnumber],OvalData[],MATCH(Table2[[#Headers],[Numer of Top Slats]],Table2[#Headers],0),0)</f>
        <v>0</v>
      </c>
      <c r="AM219" s="2">
        <f>VLOOKUP([jobnumber],OvalData[],MATCH(Table2[[#Headers],[Number of Bottom Slats]],Table2[#Headers],0),0)</f>
        <v>0</v>
      </c>
      <c r="AN219" s="2">
        <f>VLOOKUP([jobnumber],OvalData[],MATCH(Table2[[#Headers],[Solid Bottom Height]],Table2[#Headers],0),0)</f>
        <v>0</v>
      </c>
      <c r="AO219" s="2" t="str">
        <f>VLOOKUP([jobnumber],OvalData[],MATCH(Table2[[#Headers],[slatlength]],Table2[#Headers],0),0)</f>
        <v xml:space="preserve"> 18 ft.- 5 7/ 8"</v>
      </c>
      <c r="AP219" s="2">
        <f>VLOOKUP([jobnumber],OvalData[],MATCH(Table2[[#Headers],[Bottom Slat Length]],Table2[#Headers],0),0)</f>
        <v>0</v>
      </c>
      <c r="AQ219" s="2">
        <f>VLOOKUP([jobnumber],OvalData[],MATCH(Table2[[#Headers],[Number of Perferated Slats]],Table2[#Headers],0),0)</f>
        <v>0</v>
      </c>
      <c r="AR219" s="2">
        <f>VLOOKUP([jobnumber],OvalData[],MATCH(Table2[[#Headers],[First Preferated Slat From End]],Table2[#Headers],0),0)</f>
        <v>0</v>
      </c>
      <c r="AS219" s="2">
        <f>VLOOKUP([jobnumber],OvalData[],MATCH(Table2[[#Headers],[First Preferated Slat From Bottom]],Table2[#Headers],0),0)</f>
        <v>0</v>
      </c>
      <c r="AT219" s="2">
        <f>VLOOKUP([jobnumber],OvalData[],MATCH(Table2[[#Headers],[Total Number of Slats]],Table2[#Headers],0),0)</f>
        <v>51</v>
      </c>
      <c r="AU219" s="2">
        <f>VLOOKUP([jobnumber],OvalData[],MATCH(Table2[[#Headers],[Bottom Bar Slope]],Table2[#Headers],0),0)</f>
        <v>0</v>
      </c>
      <c r="AV219" s="2">
        <f>VLOOKUP([jobnumber],OvalData[],MATCH(Table2[[#Headers],[Bottom Bar Weight]],Table2[#Headers],0),0)</f>
        <v>80.5</v>
      </c>
      <c r="AW219" s="2" t="str">
        <f>VLOOKUP([jobnumber],OvalData[],MATCH(Table2[[#Headers],[Outer Spring Gage]],Table2[#Headers],0),0)</f>
        <v>Null</v>
      </c>
      <c r="AX219" s="2" t="str">
        <f>VLOOKUP([jobnumber],OvalData[],MATCH(Table2[[#Headers],[Outer Spring OD]],Table2[#Headers],0),0)</f>
        <v>Null</v>
      </c>
      <c r="AY219" s="2" t="str">
        <f>VLOOKUP([jobnumber],OvalData[],MATCH(Table2[[#Headers],[Outer Spring Length]],Table2[#Headers],0),0)</f>
        <v>Null</v>
      </c>
      <c r="AZ219" s="2" t="str">
        <f>VLOOKUP([jobnumber],OvalData[],MATCH(Table2[[#Headers],[Outer Spring Stretch]],Table2[#Headers],0),0)</f>
        <v>Null</v>
      </c>
      <c r="BA219" s="2" t="str">
        <f>VLOOKUP([jobnumber],OvalData[],MATCH(Table2[[#Headers],[Outer Spring Torque]],Table2[#Headers],0),0)</f>
        <v>Null</v>
      </c>
      <c r="BB219" s="2" t="str">
        <f>VLOOKUP([jobnumber],OvalData[],MATCH(Table2[[#Headers],[Outer Spring Max Turns]],Table2[#Headers],0),0)</f>
        <v>Null</v>
      </c>
      <c r="BC219" s="2" t="str">
        <f>VLOOKUP([jobnumber],OvalData[],MATCH(Table2[[#Headers],[Outer Spring Weight]],Table2[#Headers],0),0)</f>
        <v>Null</v>
      </c>
      <c r="BD219" s="2" t="str">
        <f>VLOOKUP([jobnumber],OvalData[],MATCH(Table2[[#Headers],[Inner Spring Gage]],Table2[#Headers],0),0)</f>
        <v>Null</v>
      </c>
      <c r="BE219" s="2" t="str">
        <f>VLOOKUP([jobnumber],OvalData[],MATCH(Table2[[#Headers],[Inner Spring OD]],Table2[#Headers],0),0)</f>
        <v>Null</v>
      </c>
      <c r="BF219" s="2" t="str">
        <f>VLOOKUP([jobnumber],OvalData[],MATCH(Table2[[#Headers],[Inner Spring Length]],Table2[#Headers],0),0)</f>
        <v>Null</v>
      </c>
      <c r="BG219" s="2" t="str">
        <f>VLOOKUP([jobnumber],OvalData[],MATCH(Table2[[#Headers],[Inner Spring Stretch]],Table2[#Headers],0),0)</f>
        <v>Null</v>
      </c>
      <c r="BH219" s="2" t="str">
        <f>VLOOKUP([jobnumber],OvalData[],MATCH(Table2[[#Headers],[Inner Spring Torque]],Table2[#Headers],0),0)</f>
        <v>Null</v>
      </c>
      <c r="BI219" s="2" t="str">
        <f>VLOOKUP([jobnumber],OvalData[],MATCH(Table2[[#Headers],[Inner Spring Max Turns]],Table2[#Headers],0),0)</f>
        <v>Null</v>
      </c>
      <c r="BJ219" s="2" t="str">
        <f>VLOOKUP([jobnumber],OvalData[],MATCH(Table2[[#Headers],[Inner Spring Weight]],Table2[#Headers],0),0)</f>
        <v>Null</v>
      </c>
      <c r="BK219" s="2">
        <f>VLOOKUP([jobnumber],OvalData[],MATCH(Table2[[#Headers],[Cycles]],Table2[#Headers],0),0)</f>
        <v>0</v>
      </c>
      <c r="BL219" s="2">
        <f>VLOOKUP([jobnumber],OvalData[],MATCH(Table2[[#Headers],[Total Spring Torque]],Table2[#Headers],0),0)</f>
        <v>0</v>
      </c>
      <c r="BM219" s="2">
        <f>VLOOKUP([jobnumber],OvalData[],MATCH(Table2[[#Headers],[Total Spring Weight]],Table2[#Headers],0),0)</f>
        <v>0</v>
      </c>
      <c r="BN219" s="2">
        <f>VLOOKUP([jobnumber],OvalData[],MATCH(Table2[[#Headers],[Pipe Weight]],Table2[#Headers],0),0)</f>
        <v>688.24239999999998</v>
      </c>
      <c r="BO219" s="2">
        <f>VLOOKUP([jobnumber],OvalData[],MATCH(Table2[[#Headers],[Max Pipe Deflection]],Table2[#Headers],0),0)</f>
        <v>2309</v>
      </c>
      <c r="BP219" s="2">
        <f>VLOOKUP([jobnumber],OvalData[],MATCH(Table2[[#Headers],[Number Non-Insulated Wrap Slats]],Table2[#Headers],0),0)</f>
        <v>0</v>
      </c>
      <c r="BQ219" s="2">
        <f>VLOOKUP([jobnumber],OvalData[],MATCH(Table2[[#Headers],[Number of Insolated Top Slats]],Table2[#Headers],0),0)</f>
        <v>45</v>
      </c>
      <c r="BR219" s="2">
        <f>VLOOKUP([jobnumber],OvalData[],MATCH(Table2[[#Headers],[Insolated Total Slats]],Table2[#Headers],0),0)</f>
        <v>45</v>
      </c>
      <c r="BS219" s="2">
        <f>VLOOKUP([jobnumber],OvalData[],MATCH(Table2[[#Headers],[Number of Slats]],Table2[#Headers],0),0)</f>
        <v>44.69</v>
      </c>
      <c r="BT219" s="2">
        <f>VLOOKUP([jobnumber],OvalData[],MATCH(Table2[[#Headers],[Wrap]],Table2[#Headers],0),0)</f>
        <v>0</v>
      </c>
      <c r="BU219" s="2">
        <f>VLOOKUP([jobnumber],OvalData[],MATCH(Table2[[#Headers],[Wall Angle Thickness]],Table2[#Headers],0),0)</f>
        <v>0</v>
      </c>
      <c r="BV219" s="2">
        <f>VLOOKUP([jobnumber],OvalData[],MATCH(Table2[[#Headers],[windlocks]],Table2[#Headers],0),0)</f>
        <v>0</v>
      </c>
      <c r="BW219" s="2" t="str">
        <f>VLOOKUP([jobnumber],OvalData[],MATCH(Table2[[#Headers],[bottombartype]],Table2[#Headers],0),0)</f>
        <v>SPECIAL</v>
      </c>
      <c r="BX219" s="2">
        <f>VLOOKUP([jobnumber],OvalData[],MATCH(Table2[[#Headers],[endlockweight]],Table2[#Headers],0),0)</f>
        <v>0.17</v>
      </c>
      <c r="BY219" s="2">
        <f>VLOOKUP([jobnumber],OvalData[],MATCH(Table2[[#Headers],[Endlock Total Weight]],Table2[#Headers],0),0)</f>
        <v>7.5972999999999997</v>
      </c>
      <c r="BZ219" s="2">
        <f>VLOOKUP([jobnumber],OvalData[],MATCH(Table2[[#Headers],[Grille Weight]],Table2[#Headers],0),0)</f>
        <v>0</v>
      </c>
      <c r="CA219" s="2">
        <f>VLOOKUP([jobnumber],OvalData[],MATCH(Table2[[#Headers],[barrelrings]],Table2[#Headers],0),0)</f>
        <v>1</v>
      </c>
    </row>
    <row r="220" spans="2:79">
      <c r="B220" s="2" t="str">
        <f>VLOOKUP([jobnumber],OvalData[],MATCH(Table2[[#Headers],[Hand]],Table2[#Headers],0),0)</f>
        <v>RH</v>
      </c>
      <c r="C220" s="2" t="str">
        <f>VLOOKUP([jobnumber],OvalData[],MATCH(Table2[[#Headers],[Model]],Table2[#Headers],0),0)</f>
        <v>SFMPP</v>
      </c>
      <c r="D220" s="2" t="str">
        <f>VLOOKUP([jobnumber],OvalData[],MATCH(Table2[[#Headers],[width]],Table2[#Headers],0),0)</f>
        <v xml:space="preserve"> 18 ft.- 2"</v>
      </c>
      <c r="E220" s="2" t="str">
        <f>VLOOKUP([jobnumber],OvalData[],MATCH(Table2[[#Headers],[stopheight]],Table2[#Headers],0),0)</f>
        <v xml:space="preserve"> 10 ft.- 0"</v>
      </c>
      <c r="F220" s="2" t="str">
        <f>VLOOKUP([jobnumber],OvalData[],MATCH(Table2[[#Headers],[Between Brackets]],Table2[#Headers],0),0)</f>
        <v xml:space="preserve"> 18 ft.- 7 7/ 8"</v>
      </c>
      <c r="G220" s="2" t="str">
        <f>VLOOKUP([jobnumber],OvalData[],MATCH(Table2[[#Headers],[shell]],Table2[#Headers],0),0)</f>
        <v>6 INCH TUBE</v>
      </c>
      <c r="H220" s="2" t="str">
        <f>VLOOKUP([jobnumber],OvalData[],MATCH(Table2[[#Headers],[pipewidth]],Table2[#Headers],0),0)</f>
        <v xml:space="preserve"> 18 ft.- 1 3/ 8"</v>
      </c>
      <c r="I220" s="2">
        <f>VLOOKUP([jobnumber],OvalData[],MATCH(Table2[[#Headers],[Support Tubes]],Table2[#Headers],0),0)</f>
        <v>0</v>
      </c>
      <c r="J220" s="2">
        <f>VLOOKUP([jobnumber],OvalData[],MATCH(Table2[[#Headers],[Upset]],Table2[#Headers],0),0)</f>
        <v>2</v>
      </c>
      <c r="K220" s="2" t="str">
        <f>VLOOKUP([jobnumber],OvalData[],MATCH(Table2[[#Headers],[Guide Type]],Table2[#Headers],0),0)</f>
        <v>SN2-4 5/8-E</v>
      </c>
      <c r="L220" s="2" t="str">
        <f>VLOOKUP([jobnumber],OvalData[],MATCH(Table2[[#Headers],[Wall Angle]],Table2[#Headers],0),0)</f>
        <v xml:space="preserve"> 11 ft.- 8"</v>
      </c>
      <c r="M220" s="2" t="str">
        <f>VLOOKUP([jobnumber],OvalData[],MATCH(Table2[[#Headers],[Middle Angle]],Table2[#Headers],0),0)</f>
        <v xml:space="preserve"> 10 ft.- 4 1/ 2"</v>
      </c>
      <c r="N220" s="2" t="str">
        <f>VLOOKUP([jobnumber],OvalData[],MATCH(Table2[[#Headers],[Front Angle]],Table2[#Headers],0),0)</f>
        <v xml:space="preserve"> 10 ft.- 3"</v>
      </c>
      <c r="O220" s="2">
        <f>VLOOKUP([jobnumber],OvalData[],MATCH(Table2[[#Headers],[Pipe Center Line]],Table2[#Headers],0),0)</f>
        <v>131</v>
      </c>
      <c r="P220" s="2">
        <f>VLOOKUP([jobnumber],OvalData[],MATCH(Table2[[#Headers],[Heat Expansion Gap]],Table2[#Headers],0),0)</f>
        <v>0</v>
      </c>
      <c r="Q220" s="2">
        <f>VLOOKUP([jobnumber],OvalData[],MATCH(Table2[[#Headers],[Hanging Weight Closed]],Table2[#Headers],0),0)</f>
        <v>795</v>
      </c>
      <c r="R220" s="2">
        <f>VLOOKUP([jobnumber],OvalData[],MATCH(Table2[[#Headers],[Hanging Weight Open]],Table2[#Headers],0),0)</f>
        <v>140</v>
      </c>
      <c r="S220" s="2">
        <f>VLOOKUP([jobnumber],OvalData[],MATCH(Table2[[#Headers],[Initial Lever Arm]],Table2[#Headers],0),0)</f>
        <v>4.25</v>
      </c>
      <c r="T220" s="2">
        <f>VLOOKUP([jobnumber],OvalData[],MATCH(Table2[[#Headers],[Turns to Raise]],Table2[#Headers],0),0)</f>
        <v>3.5859999999999999</v>
      </c>
      <c r="U220" s="2">
        <f>VLOOKUP([jobnumber],OvalData[],MATCH(Table2[[#Headers],[Final Lever Arm]],Table2[#Headers],0),0)</f>
        <v>6.37</v>
      </c>
      <c r="V220" s="2">
        <f>VLOOKUP([jobnumber],OvalData[],MATCH(Table2[[#Headers],[Torque Required Closed]],Table2[#Headers],0),0)</f>
        <v>3377.9</v>
      </c>
      <c r="W220" s="2">
        <f>VLOOKUP([jobnumber],OvalData[],MATCH(Table2[[#Headers],[Torque Required Open]],Table2[#Headers],0),0)</f>
        <v>892</v>
      </c>
      <c r="X220" s="2">
        <f>VLOOKUP([jobnumber],OvalData[],MATCH(Table2[[#Headers],[Pre Turns]],Table2[#Headers],0),0)</f>
        <v>1.3332999999999999</v>
      </c>
      <c r="Y220" s="2">
        <f>VLOOKUP([jobnumber],OvalData[],MATCH(Table2[[#Headers],[Required Torque Per Turn]],Table2[#Headers],0),0)</f>
        <v>688</v>
      </c>
      <c r="Z220" s="2">
        <f>VLOOKUP([jobnumber],OvalData[],MATCH(Table2[[#Headers],[Total Turns]],Table2[#Headers],0),0)</f>
        <v>4.91</v>
      </c>
      <c r="AA220" s="2">
        <f>VLOOKUP([jobnumber],OvalData[],MATCH(Table2[[#Headers],[Grille Vision Section]],Table2[#Headers],0),0)</f>
        <v>0</v>
      </c>
      <c r="AB220" s="2">
        <f>VLOOKUP([jobnumber],OvalData[],MATCH(Table2[[#Headers],[Grille Amount]],Table2[#Headers],0),0)</f>
        <v>0</v>
      </c>
      <c r="AC220" s="2">
        <f>VLOOKUP([jobnumber],OvalData[],MATCH(Table2[[#Headers],[Grille Center]],Table2[#Headers],0),0)</f>
        <v>0</v>
      </c>
      <c r="AD220" s="2">
        <f>VLOOKUP([jobnumber],OvalData[],MATCH(Table2[[#Headers],[Grille Pattern]],Table2[#Headers],0),0)</f>
        <v>0</v>
      </c>
      <c r="AE220" s="2">
        <f>VLOOKUP([jobnumber],OvalData[],MATCH(Table2[[#Headers],[Grille First Tube]],Table2[#Headers],0),0)</f>
        <v>0</v>
      </c>
      <c r="AF220" s="2">
        <f>VLOOKUP([jobnumber],OvalData[],MATCH(Table2[[#Headers],[Grille Standard Tube]],Table2[#Headers],0),0)</f>
        <v>0</v>
      </c>
      <c r="AG220" s="2">
        <f>VLOOKUP([jobnumber],OvalData[],MATCH(Table2[[#Headers],[Grille Total Links]],Table2[#Headers],0),0)</f>
        <v>0</v>
      </c>
      <c r="AH220" s="2">
        <f>VLOOKUP([jobnumber],OvalData[],MATCH(Table2[[#Headers],[Grille Rods]],Table2[#Headers],0),0)</f>
        <v>0</v>
      </c>
      <c r="AI220" s="2">
        <f>VLOOKUP([jobnumber],OvalData[],MATCH(Table2[[#Headers],[Grille Rod Length]],Table2[#Headers],0),0)</f>
        <v>0</v>
      </c>
      <c r="AJ220" s="2">
        <f>VLOOKUP([jobnumber],OvalData[],MATCH(Table2[[#Headers],[slattype]],Table2[#Headers],0),0)</f>
        <v>2</v>
      </c>
      <c r="AK220" s="2">
        <f>VLOOKUP([jobnumber],OvalData[],MATCH(Table2[[#Headers],[slatgage]],Table2[#Headers],0),0)</f>
        <v>18</v>
      </c>
      <c r="AL220" s="2">
        <f>VLOOKUP([jobnumber],OvalData[],MATCH(Table2[[#Headers],[Numer of Top Slats]],Table2[#Headers],0),0)</f>
        <v>0</v>
      </c>
      <c r="AM220" s="2">
        <f>VLOOKUP([jobnumber],OvalData[],MATCH(Table2[[#Headers],[Number of Bottom Slats]],Table2[#Headers],0),0)</f>
        <v>0</v>
      </c>
      <c r="AN220" s="2">
        <f>VLOOKUP([jobnumber],OvalData[],MATCH(Table2[[#Headers],[Solid Bottom Height]],Table2[#Headers],0),0)</f>
        <v>0</v>
      </c>
      <c r="AO220" s="2" t="str">
        <f>VLOOKUP([jobnumber],OvalData[],MATCH(Table2[[#Headers],[slatlength]],Table2[#Headers],0),0)</f>
        <v xml:space="preserve"> 18 ft.- 5 7/ 8"</v>
      </c>
      <c r="AP220" s="2">
        <f>VLOOKUP([jobnumber],OvalData[],MATCH(Table2[[#Headers],[Bottom Slat Length]],Table2[#Headers],0),0)</f>
        <v>0</v>
      </c>
      <c r="AQ220" s="2">
        <f>VLOOKUP([jobnumber],OvalData[],MATCH(Table2[[#Headers],[Number of Perferated Slats]],Table2[#Headers],0),0)</f>
        <v>0</v>
      </c>
      <c r="AR220" s="2">
        <f>VLOOKUP([jobnumber],OvalData[],MATCH(Table2[[#Headers],[First Preferated Slat From End]],Table2[#Headers],0),0)</f>
        <v>0</v>
      </c>
      <c r="AS220" s="2">
        <f>VLOOKUP([jobnumber],OvalData[],MATCH(Table2[[#Headers],[First Preferated Slat From Bottom]],Table2[#Headers],0),0)</f>
        <v>0</v>
      </c>
      <c r="AT220" s="2">
        <f>VLOOKUP([jobnumber],OvalData[],MATCH(Table2[[#Headers],[Total Number of Slats]],Table2[#Headers],0),0)</f>
        <v>51</v>
      </c>
      <c r="AU220" s="2">
        <f>VLOOKUP([jobnumber],OvalData[],MATCH(Table2[[#Headers],[Bottom Bar Slope]],Table2[#Headers],0),0)</f>
        <v>0</v>
      </c>
      <c r="AV220" s="2">
        <f>VLOOKUP([jobnumber],OvalData[],MATCH(Table2[[#Headers],[Bottom Bar Weight]],Table2[#Headers],0),0)</f>
        <v>80.5</v>
      </c>
      <c r="AW220" s="2" t="str">
        <f>VLOOKUP([jobnumber],OvalData[],MATCH(Table2[[#Headers],[Outer Spring Gage]],Table2[#Headers],0),0)</f>
        <v>Null</v>
      </c>
      <c r="AX220" s="2" t="str">
        <f>VLOOKUP([jobnumber],OvalData[],MATCH(Table2[[#Headers],[Outer Spring OD]],Table2[#Headers],0),0)</f>
        <v>Null</v>
      </c>
      <c r="AY220" s="2" t="str">
        <f>VLOOKUP([jobnumber],OvalData[],MATCH(Table2[[#Headers],[Outer Spring Length]],Table2[#Headers],0),0)</f>
        <v>Null</v>
      </c>
      <c r="AZ220" s="2" t="str">
        <f>VLOOKUP([jobnumber],OvalData[],MATCH(Table2[[#Headers],[Outer Spring Stretch]],Table2[#Headers],0),0)</f>
        <v>Null</v>
      </c>
      <c r="BA220" s="2" t="str">
        <f>VLOOKUP([jobnumber],OvalData[],MATCH(Table2[[#Headers],[Outer Spring Torque]],Table2[#Headers],0),0)</f>
        <v>Null</v>
      </c>
      <c r="BB220" s="2" t="str">
        <f>VLOOKUP([jobnumber],OvalData[],MATCH(Table2[[#Headers],[Outer Spring Max Turns]],Table2[#Headers],0),0)</f>
        <v>Null</v>
      </c>
      <c r="BC220" s="2" t="str">
        <f>VLOOKUP([jobnumber],OvalData[],MATCH(Table2[[#Headers],[Outer Spring Weight]],Table2[#Headers],0),0)</f>
        <v>Null</v>
      </c>
      <c r="BD220" s="2" t="str">
        <f>VLOOKUP([jobnumber],OvalData[],MATCH(Table2[[#Headers],[Inner Spring Gage]],Table2[#Headers],0),0)</f>
        <v>Null</v>
      </c>
      <c r="BE220" s="2" t="str">
        <f>VLOOKUP([jobnumber],OvalData[],MATCH(Table2[[#Headers],[Inner Spring OD]],Table2[#Headers],0),0)</f>
        <v>Null</v>
      </c>
      <c r="BF220" s="2" t="str">
        <f>VLOOKUP([jobnumber],OvalData[],MATCH(Table2[[#Headers],[Inner Spring Length]],Table2[#Headers],0),0)</f>
        <v>Null</v>
      </c>
      <c r="BG220" s="2" t="str">
        <f>VLOOKUP([jobnumber],OvalData[],MATCH(Table2[[#Headers],[Inner Spring Stretch]],Table2[#Headers],0),0)</f>
        <v>Null</v>
      </c>
      <c r="BH220" s="2" t="str">
        <f>VLOOKUP([jobnumber],OvalData[],MATCH(Table2[[#Headers],[Inner Spring Torque]],Table2[#Headers],0),0)</f>
        <v>Null</v>
      </c>
      <c r="BI220" s="2" t="str">
        <f>VLOOKUP([jobnumber],OvalData[],MATCH(Table2[[#Headers],[Inner Spring Max Turns]],Table2[#Headers],0),0)</f>
        <v>Null</v>
      </c>
      <c r="BJ220" s="2" t="str">
        <f>VLOOKUP([jobnumber],OvalData[],MATCH(Table2[[#Headers],[Inner Spring Weight]],Table2[#Headers],0),0)</f>
        <v>Null</v>
      </c>
      <c r="BK220" s="2">
        <f>VLOOKUP([jobnumber],OvalData[],MATCH(Table2[[#Headers],[Cycles]],Table2[#Headers],0),0)</f>
        <v>0</v>
      </c>
      <c r="BL220" s="2">
        <f>VLOOKUP([jobnumber],OvalData[],MATCH(Table2[[#Headers],[Total Spring Torque]],Table2[#Headers],0),0)</f>
        <v>0</v>
      </c>
      <c r="BM220" s="2">
        <f>VLOOKUP([jobnumber],OvalData[],MATCH(Table2[[#Headers],[Total Spring Weight]],Table2[#Headers],0),0)</f>
        <v>0</v>
      </c>
      <c r="BN220" s="2">
        <f>VLOOKUP([jobnumber],OvalData[],MATCH(Table2[[#Headers],[Pipe Weight]],Table2[#Headers],0),0)</f>
        <v>688.24239999999998</v>
      </c>
      <c r="BO220" s="2">
        <f>VLOOKUP([jobnumber],OvalData[],MATCH(Table2[[#Headers],[Max Pipe Deflection]],Table2[#Headers],0),0)</f>
        <v>2309</v>
      </c>
      <c r="BP220" s="2">
        <f>VLOOKUP([jobnumber],OvalData[],MATCH(Table2[[#Headers],[Number Non-Insulated Wrap Slats]],Table2[#Headers],0),0)</f>
        <v>0</v>
      </c>
      <c r="BQ220" s="2">
        <f>VLOOKUP([jobnumber],OvalData[],MATCH(Table2[[#Headers],[Number of Insolated Top Slats]],Table2[#Headers],0),0)</f>
        <v>45</v>
      </c>
      <c r="BR220" s="2">
        <f>VLOOKUP([jobnumber],OvalData[],MATCH(Table2[[#Headers],[Insolated Total Slats]],Table2[#Headers],0),0)</f>
        <v>45</v>
      </c>
      <c r="BS220" s="2">
        <f>VLOOKUP([jobnumber],OvalData[],MATCH(Table2[[#Headers],[Number of Slats]],Table2[#Headers],0),0)</f>
        <v>44.69</v>
      </c>
      <c r="BT220" s="2">
        <f>VLOOKUP([jobnumber],OvalData[],MATCH(Table2[[#Headers],[Wrap]],Table2[#Headers],0),0)</f>
        <v>0</v>
      </c>
      <c r="BU220" s="2">
        <f>VLOOKUP([jobnumber],OvalData[],MATCH(Table2[[#Headers],[Wall Angle Thickness]],Table2[#Headers],0),0)</f>
        <v>0</v>
      </c>
      <c r="BV220" s="2">
        <f>VLOOKUP([jobnumber],OvalData[],MATCH(Table2[[#Headers],[windlocks]],Table2[#Headers],0),0)</f>
        <v>0</v>
      </c>
      <c r="BW220" s="2" t="str">
        <f>VLOOKUP([jobnumber],OvalData[],MATCH(Table2[[#Headers],[bottombartype]],Table2[#Headers],0),0)</f>
        <v>SPECIAL</v>
      </c>
      <c r="BX220" s="2">
        <f>VLOOKUP([jobnumber],OvalData[],MATCH(Table2[[#Headers],[endlockweight]],Table2[#Headers],0),0)</f>
        <v>0.17</v>
      </c>
      <c r="BY220" s="2">
        <f>VLOOKUP([jobnumber],OvalData[],MATCH(Table2[[#Headers],[Endlock Total Weight]],Table2[#Headers],0),0)</f>
        <v>7.5972999999999997</v>
      </c>
      <c r="BZ220" s="2">
        <f>VLOOKUP([jobnumber],OvalData[],MATCH(Table2[[#Headers],[Grille Weight]],Table2[#Headers],0),0)</f>
        <v>0</v>
      </c>
      <c r="CA220" s="2">
        <f>VLOOKUP([jobnumber],OvalData[],MATCH(Table2[[#Headers],[barrelrings]],Table2[#Headers],0),0)</f>
        <v>1</v>
      </c>
    </row>
    <row r="221" spans="2:79">
      <c r="B221" s="2" t="str">
        <f>VLOOKUP([jobnumber],OvalData[],MATCH(Table2[[#Headers],[Hand]],Table2[#Headers],0),0)</f>
        <v>RH</v>
      </c>
      <c r="C221" s="2" t="str">
        <f>VLOOKUP([jobnumber],OvalData[],MATCH(Table2[[#Headers],[Model]],Table2[#Headers],0),0)</f>
        <v>SFMPP</v>
      </c>
      <c r="D221" s="2" t="str">
        <f>VLOOKUP([jobnumber],OvalData[],MATCH(Table2[[#Headers],[width]],Table2[#Headers],0),0)</f>
        <v xml:space="preserve"> 18 ft.- 2"</v>
      </c>
      <c r="E221" s="2" t="str">
        <f>VLOOKUP([jobnumber],OvalData[],MATCH(Table2[[#Headers],[stopheight]],Table2[#Headers],0),0)</f>
        <v xml:space="preserve"> 10 ft.- 0"</v>
      </c>
      <c r="F221" s="2" t="str">
        <f>VLOOKUP([jobnumber],OvalData[],MATCH(Table2[[#Headers],[Between Brackets]],Table2[#Headers],0),0)</f>
        <v xml:space="preserve"> 18 ft.- 7 7/ 8"</v>
      </c>
      <c r="G221" s="2" t="str">
        <f>VLOOKUP([jobnumber],OvalData[],MATCH(Table2[[#Headers],[shell]],Table2[#Headers],0),0)</f>
        <v>6 INCH TUBE</v>
      </c>
      <c r="H221" s="2" t="str">
        <f>VLOOKUP([jobnumber],OvalData[],MATCH(Table2[[#Headers],[pipewidth]],Table2[#Headers],0),0)</f>
        <v xml:space="preserve"> 18 ft.- 1 3/ 8"</v>
      </c>
      <c r="I221" s="2">
        <f>VLOOKUP([jobnumber],OvalData[],MATCH(Table2[[#Headers],[Support Tubes]],Table2[#Headers],0),0)</f>
        <v>0</v>
      </c>
      <c r="J221" s="2">
        <f>VLOOKUP([jobnumber],OvalData[],MATCH(Table2[[#Headers],[Upset]],Table2[#Headers],0),0)</f>
        <v>2</v>
      </c>
      <c r="K221" s="2" t="str">
        <f>VLOOKUP([jobnumber],OvalData[],MATCH(Table2[[#Headers],[Guide Type]],Table2[#Headers],0),0)</f>
        <v>SN2-4 5/8-E</v>
      </c>
      <c r="L221" s="2" t="str">
        <f>VLOOKUP([jobnumber],OvalData[],MATCH(Table2[[#Headers],[Wall Angle]],Table2[#Headers],0),0)</f>
        <v xml:space="preserve"> 11 ft.- 8"</v>
      </c>
      <c r="M221" s="2" t="str">
        <f>VLOOKUP([jobnumber],OvalData[],MATCH(Table2[[#Headers],[Middle Angle]],Table2[#Headers],0),0)</f>
        <v xml:space="preserve"> 10 ft.- 4 1/ 2"</v>
      </c>
      <c r="N221" s="2" t="str">
        <f>VLOOKUP([jobnumber],OvalData[],MATCH(Table2[[#Headers],[Front Angle]],Table2[#Headers],0),0)</f>
        <v xml:space="preserve"> 10 ft.- 3"</v>
      </c>
      <c r="O221" s="2">
        <f>VLOOKUP([jobnumber],OvalData[],MATCH(Table2[[#Headers],[Pipe Center Line]],Table2[#Headers],0),0)</f>
        <v>131</v>
      </c>
      <c r="P221" s="2">
        <f>VLOOKUP([jobnumber],OvalData[],MATCH(Table2[[#Headers],[Heat Expansion Gap]],Table2[#Headers],0),0)</f>
        <v>0</v>
      </c>
      <c r="Q221" s="2">
        <f>VLOOKUP([jobnumber],OvalData[],MATCH(Table2[[#Headers],[Hanging Weight Closed]],Table2[#Headers],0),0)</f>
        <v>795</v>
      </c>
      <c r="R221" s="2">
        <f>VLOOKUP([jobnumber],OvalData[],MATCH(Table2[[#Headers],[Hanging Weight Open]],Table2[#Headers],0),0)</f>
        <v>140</v>
      </c>
      <c r="S221" s="2">
        <f>VLOOKUP([jobnumber],OvalData[],MATCH(Table2[[#Headers],[Initial Lever Arm]],Table2[#Headers],0),0)</f>
        <v>4.25</v>
      </c>
      <c r="T221" s="2">
        <f>VLOOKUP([jobnumber],OvalData[],MATCH(Table2[[#Headers],[Turns to Raise]],Table2[#Headers],0),0)</f>
        <v>3.5859999999999999</v>
      </c>
      <c r="U221" s="2">
        <f>VLOOKUP([jobnumber],OvalData[],MATCH(Table2[[#Headers],[Final Lever Arm]],Table2[#Headers],0),0)</f>
        <v>6.37</v>
      </c>
      <c r="V221" s="2">
        <f>VLOOKUP([jobnumber],OvalData[],MATCH(Table2[[#Headers],[Torque Required Closed]],Table2[#Headers],0),0)</f>
        <v>3377.9</v>
      </c>
      <c r="W221" s="2">
        <f>VLOOKUP([jobnumber],OvalData[],MATCH(Table2[[#Headers],[Torque Required Open]],Table2[#Headers],0),0)</f>
        <v>892</v>
      </c>
      <c r="X221" s="2">
        <f>VLOOKUP([jobnumber],OvalData[],MATCH(Table2[[#Headers],[Pre Turns]],Table2[#Headers],0),0)</f>
        <v>1.3332999999999999</v>
      </c>
      <c r="Y221" s="2">
        <f>VLOOKUP([jobnumber],OvalData[],MATCH(Table2[[#Headers],[Required Torque Per Turn]],Table2[#Headers],0),0)</f>
        <v>688</v>
      </c>
      <c r="Z221" s="2">
        <f>VLOOKUP([jobnumber],OvalData[],MATCH(Table2[[#Headers],[Total Turns]],Table2[#Headers],0),0)</f>
        <v>4.91</v>
      </c>
      <c r="AA221" s="2">
        <f>VLOOKUP([jobnumber],OvalData[],MATCH(Table2[[#Headers],[Grille Vision Section]],Table2[#Headers],0),0)</f>
        <v>0</v>
      </c>
      <c r="AB221" s="2">
        <f>VLOOKUP([jobnumber],OvalData[],MATCH(Table2[[#Headers],[Grille Amount]],Table2[#Headers],0),0)</f>
        <v>0</v>
      </c>
      <c r="AC221" s="2">
        <f>VLOOKUP([jobnumber],OvalData[],MATCH(Table2[[#Headers],[Grille Center]],Table2[#Headers],0),0)</f>
        <v>0</v>
      </c>
      <c r="AD221" s="2">
        <f>VLOOKUP([jobnumber],OvalData[],MATCH(Table2[[#Headers],[Grille Pattern]],Table2[#Headers],0),0)</f>
        <v>0</v>
      </c>
      <c r="AE221" s="2">
        <f>VLOOKUP([jobnumber],OvalData[],MATCH(Table2[[#Headers],[Grille First Tube]],Table2[#Headers],0),0)</f>
        <v>0</v>
      </c>
      <c r="AF221" s="2">
        <f>VLOOKUP([jobnumber],OvalData[],MATCH(Table2[[#Headers],[Grille Standard Tube]],Table2[#Headers],0),0)</f>
        <v>0</v>
      </c>
      <c r="AG221" s="2">
        <f>VLOOKUP([jobnumber],OvalData[],MATCH(Table2[[#Headers],[Grille Total Links]],Table2[#Headers],0),0)</f>
        <v>0</v>
      </c>
      <c r="AH221" s="2">
        <f>VLOOKUP([jobnumber],OvalData[],MATCH(Table2[[#Headers],[Grille Rods]],Table2[#Headers],0),0)</f>
        <v>0</v>
      </c>
      <c r="AI221" s="2">
        <f>VLOOKUP([jobnumber],OvalData[],MATCH(Table2[[#Headers],[Grille Rod Length]],Table2[#Headers],0),0)</f>
        <v>0</v>
      </c>
      <c r="AJ221" s="2">
        <f>VLOOKUP([jobnumber],OvalData[],MATCH(Table2[[#Headers],[slattype]],Table2[#Headers],0),0)</f>
        <v>2</v>
      </c>
      <c r="AK221" s="2">
        <f>VLOOKUP([jobnumber],OvalData[],MATCH(Table2[[#Headers],[slatgage]],Table2[#Headers],0),0)</f>
        <v>18</v>
      </c>
      <c r="AL221" s="2">
        <f>VLOOKUP([jobnumber],OvalData[],MATCH(Table2[[#Headers],[Numer of Top Slats]],Table2[#Headers],0),0)</f>
        <v>0</v>
      </c>
      <c r="AM221" s="2">
        <f>VLOOKUP([jobnumber],OvalData[],MATCH(Table2[[#Headers],[Number of Bottom Slats]],Table2[#Headers],0),0)</f>
        <v>0</v>
      </c>
      <c r="AN221" s="2">
        <f>VLOOKUP([jobnumber],OvalData[],MATCH(Table2[[#Headers],[Solid Bottom Height]],Table2[#Headers],0),0)</f>
        <v>0</v>
      </c>
      <c r="AO221" s="2" t="str">
        <f>VLOOKUP([jobnumber],OvalData[],MATCH(Table2[[#Headers],[slatlength]],Table2[#Headers],0),0)</f>
        <v xml:space="preserve"> 18 ft.- 5 7/ 8"</v>
      </c>
      <c r="AP221" s="2">
        <f>VLOOKUP([jobnumber],OvalData[],MATCH(Table2[[#Headers],[Bottom Slat Length]],Table2[#Headers],0),0)</f>
        <v>0</v>
      </c>
      <c r="AQ221" s="2">
        <f>VLOOKUP([jobnumber],OvalData[],MATCH(Table2[[#Headers],[Number of Perferated Slats]],Table2[#Headers],0),0)</f>
        <v>0</v>
      </c>
      <c r="AR221" s="2">
        <f>VLOOKUP([jobnumber],OvalData[],MATCH(Table2[[#Headers],[First Preferated Slat From End]],Table2[#Headers],0),0)</f>
        <v>0</v>
      </c>
      <c r="AS221" s="2">
        <f>VLOOKUP([jobnumber],OvalData[],MATCH(Table2[[#Headers],[First Preferated Slat From Bottom]],Table2[#Headers],0),0)</f>
        <v>0</v>
      </c>
      <c r="AT221" s="2">
        <f>VLOOKUP([jobnumber],OvalData[],MATCH(Table2[[#Headers],[Total Number of Slats]],Table2[#Headers],0),0)</f>
        <v>51</v>
      </c>
      <c r="AU221" s="2">
        <f>VLOOKUP([jobnumber],OvalData[],MATCH(Table2[[#Headers],[Bottom Bar Slope]],Table2[#Headers],0),0)</f>
        <v>0</v>
      </c>
      <c r="AV221" s="2">
        <f>VLOOKUP([jobnumber],OvalData[],MATCH(Table2[[#Headers],[Bottom Bar Weight]],Table2[#Headers],0),0)</f>
        <v>80.5</v>
      </c>
      <c r="AW221" s="2" t="str">
        <f>VLOOKUP([jobnumber],OvalData[],MATCH(Table2[[#Headers],[Outer Spring Gage]],Table2[#Headers],0),0)</f>
        <v>Null</v>
      </c>
      <c r="AX221" s="2" t="str">
        <f>VLOOKUP([jobnumber],OvalData[],MATCH(Table2[[#Headers],[Outer Spring OD]],Table2[#Headers],0),0)</f>
        <v>Null</v>
      </c>
      <c r="AY221" s="2" t="str">
        <f>VLOOKUP([jobnumber],OvalData[],MATCH(Table2[[#Headers],[Outer Spring Length]],Table2[#Headers],0),0)</f>
        <v>Null</v>
      </c>
      <c r="AZ221" s="2" t="str">
        <f>VLOOKUP([jobnumber],OvalData[],MATCH(Table2[[#Headers],[Outer Spring Stretch]],Table2[#Headers],0),0)</f>
        <v>Null</v>
      </c>
      <c r="BA221" s="2" t="str">
        <f>VLOOKUP([jobnumber],OvalData[],MATCH(Table2[[#Headers],[Outer Spring Torque]],Table2[#Headers],0),0)</f>
        <v>Null</v>
      </c>
      <c r="BB221" s="2" t="str">
        <f>VLOOKUP([jobnumber],OvalData[],MATCH(Table2[[#Headers],[Outer Spring Max Turns]],Table2[#Headers],0),0)</f>
        <v>Null</v>
      </c>
      <c r="BC221" s="2" t="str">
        <f>VLOOKUP([jobnumber],OvalData[],MATCH(Table2[[#Headers],[Outer Spring Weight]],Table2[#Headers],0),0)</f>
        <v>Null</v>
      </c>
      <c r="BD221" s="2" t="str">
        <f>VLOOKUP([jobnumber],OvalData[],MATCH(Table2[[#Headers],[Inner Spring Gage]],Table2[#Headers],0),0)</f>
        <v>Null</v>
      </c>
      <c r="BE221" s="2" t="str">
        <f>VLOOKUP([jobnumber],OvalData[],MATCH(Table2[[#Headers],[Inner Spring OD]],Table2[#Headers],0),0)</f>
        <v>Null</v>
      </c>
      <c r="BF221" s="2" t="str">
        <f>VLOOKUP([jobnumber],OvalData[],MATCH(Table2[[#Headers],[Inner Spring Length]],Table2[#Headers],0),0)</f>
        <v>Null</v>
      </c>
      <c r="BG221" s="2" t="str">
        <f>VLOOKUP([jobnumber],OvalData[],MATCH(Table2[[#Headers],[Inner Spring Stretch]],Table2[#Headers],0),0)</f>
        <v>Null</v>
      </c>
      <c r="BH221" s="2" t="str">
        <f>VLOOKUP([jobnumber],OvalData[],MATCH(Table2[[#Headers],[Inner Spring Torque]],Table2[#Headers],0),0)</f>
        <v>Null</v>
      </c>
      <c r="BI221" s="2" t="str">
        <f>VLOOKUP([jobnumber],OvalData[],MATCH(Table2[[#Headers],[Inner Spring Max Turns]],Table2[#Headers],0),0)</f>
        <v>Null</v>
      </c>
      <c r="BJ221" s="2" t="str">
        <f>VLOOKUP([jobnumber],OvalData[],MATCH(Table2[[#Headers],[Inner Spring Weight]],Table2[#Headers],0),0)</f>
        <v>Null</v>
      </c>
      <c r="BK221" s="2">
        <f>VLOOKUP([jobnumber],OvalData[],MATCH(Table2[[#Headers],[Cycles]],Table2[#Headers],0),0)</f>
        <v>0</v>
      </c>
      <c r="BL221" s="2">
        <f>VLOOKUP([jobnumber],OvalData[],MATCH(Table2[[#Headers],[Total Spring Torque]],Table2[#Headers],0),0)</f>
        <v>0</v>
      </c>
      <c r="BM221" s="2">
        <f>VLOOKUP([jobnumber],OvalData[],MATCH(Table2[[#Headers],[Total Spring Weight]],Table2[#Headers],0),0)</f>
        <v>0</v>
      </c>
      <c r="BN221" s="2">
        <f>VLOOKUP([jobnumber],OvalData[],MATCH(Table2[[#Headers],[Pipe Weight]],Table2[#Headers],0),0)</f>
        <v>688.24239999999998</v>
      </c>
      <c r="BO221" s="2">
        <f>VLOOKUP([jobnumber],OvalData[],MATCH(Table2[[#Headers],[Max Pipe Deflection]],Table2[#Headers],0),0)</f>
        <v>2309</v>
      </c>
      <c r="BP221" s="2">
        <f>VLOOKUP([jobnumber],OvalData[],MATCH(Table2[[#Headers],[Number Non-Insulated Wrap Slats]],Table2[#Headers],0),0)</f>
        <v>0</v>
      </c>
      <c r="BQ221" s="2">
        <f>VLOOKUP([jobnumber],OvalData[],MATCH(Table2[[#Headers],[Number of Insolated Top Slats]],Table2[#Headers],0),0)</f>
        <v>45</v>
      </c>
      <c r="BR221" s="2">
        <f>VLOOKUP([jobnumber],OvalData[],MATCH(Table2[[#Headers],[Insolated Total Slats]],Table2[#Headers],0),0)</f>
        <v>45</v>
      </c>
      <c r="BS221" s="2">
        <f>VLOOKUP([jobnumber],OvalData[],MATCH(Table2[[#Headers],[Number of Slats]],Table2[#Headers],0),0)</f>
        <v>44.69</v>
      </c>
      <c r="BT221" s="2">
        <f>VLOOKUP([jobnumber],OvalData[],MATCH(Table2[[#Headers],[Wrap]],Table2[#Headers],0),0)</f>
        <v>0</v>
      </c>
      <c r="BU221" s="2">
        <f>VLOOKUP([jobnumber],OvalData[],MATCH(Table2[[#Headers],[Wall Angle Thickness]],Table2[#Headers],0),0)</f>
        <v>0</v>
      </c>
      <c r="BV221" s="2">
        <f>VLOOKUP([jobnumber],OvalData[],MATCH(Table2[[#Headers],[windlocks]],Table2[#Headers],0),0)</f>
        <v>0</v>
      </c>
      <c r="BW221" s="2" t="str">
        <f>VLOOKUP([jobnumber],OvalData[],MATCH(Table2[[#Headers],[bottombartype]],Table2[#Headers],0),0)</f>
        <v>SPECIAL</v>
      </c>
      <c r="BX221" s="2">
        <f>VLOOKUP([jobnumber],OvalData[],MATCH(Table2[[#Headers],[endlockweight]],Table2[#Headers],0),0)</f>
        <v>0.17</v>
      </c>
      <c r="BY221" s="2">
        <f>VLOOKUP([jobnumber],OvalData[],MATCH(Table2[[#Headers],[Endlock Total Weight]],Table2[#Headers],0),0)</f>
        <v>7.5972999999999997</v>
      </c>
      <c r="BZ221" s="2">
        <f>VLOOKUP([jobnumber],OvalData[],MATCH(Table2[[#Headers],[Grille Weight]],Table2[#Headers],0),0)</f>
        <v>0</v>
      </c>
      <c r="CA221" s="2">
        <f>VLOOKUP([jobnumber],OvalData[],MATCH(Table2[[#Headers],[barrelrings]],Table2[#Headers],0),0)</f>
        <v>1</v>
      </c>
    </row>
    <row r="222" spans="2:79">
      <c r="B222" s="2" t="str">
        <f>VLOOKUP([jobnumber],OvalData[],MATCH(Table2[[#Headers],[Hand]],Table2[#Headers],0),0)</f>
        <v>RH</v>
      </c>
      <c r="C222" s="2" t="str">
        <f>VLOOKUP([jobnumber],OvalData[],MATCH(Table2[[#Headers],[Model]],Table2[#Headers],0),0)</f>
        <v>SFMPP</v>
      </c>
      <c r="D222" s="2" t="str">
        <f>VLOOKUP([jobnumber],OvalData[],MATCH(Table2[[#Headers],[width]],Table2[#Headers],0),0)</f>
        <v xml:space="preserve"> 18 ft.- 2"</v>
      </c>
      <c r="E222" s="2" t="str">
        <f>VLOOKUP([jobnumber],OvalData[],MATCH(Table2[[#Headers],[stopheight]],Table2[#Headers],0),0)</f>
        <v xml:space="preserve"> 10 ft.- 0"</v>
      </c>
      <c r="F222" s="2" t="str">
        <f>VLOOKUP([jobnumber],OvalData[],MATCH(Table2[[#Headers],[Between Brackets]],Table2[#Headers],0),0)</f>
        <v xml:space="preserve"> 18 ft.- 7 7/ 8"</v>
      </c>
      <c r="G222" s="2" t="str">
        <f>VLOOKUP([jobnumber],OvalData[],MATCH(Table2[[#Headers],[shell]],Table2[#Headers],0),0)</f>
        <v>6 INCH TUBE</v>
      </c>
      <c r="H222" s="2" t="str">
        <f>VLOOKUP([jobnumber],OvalData[],MATCH(Table2[[#Headers],[pipewidth]],Table2[#Headers],0),0)</f>
        <v xml:space="preserve"> 18 ft.- 1 3/ 8"</v>
      </c>
      <c r="I222" s="2">
        <f>VLOOKUP([jobnumber],OvalData[],MATCH(Table2[[#Headers],[Support Tubes]],Table2[#Headers],0),0)</f>
        <v>0</v>
      </c>
      <c r="J222" s="2">
        <f>VLOOKUP([jobnumber],OvalData[],MATCH(Table2[[#Headers],[Upset]],Table2[#Headers],0),0)</f>
        <v>2</v>
      </c>
      <c r="K222" s="2" t="str">
        <f>VLOOKUP([jobnumber],OvalData[],MATCH(Table2[[#Headers],[Guide Type]],Table2[#Headers],0),0)</f>
        <v>SN2-4 5/8-E</v>
      </c>
      <c r="L222" s="2" t="str">
        <f>VLOOKUP([jobnumber],OvalData[],MATCH(Table2[[#Headers],[Wall Angle]],Table2[#Headers],0),0)</f>
        <v xml:space="preserve"> 11 ft.- 8"</v>
      </c>
      <c r="M222" s="2" t="str">
        <f>VLOOKUP([jobnumber],OvalData[],MATCH(Table2[[#Headers],[Middle Angle]],Table2[#Headers],0),0)</f>
        <v xml:space="preserve"> 10 ft.- 4 1/ 2"</v>
      </c>
      <c r="N222" s="2" t="str">
        <f>VLOOKUP([jobnumber],OvalData[],MATCH(Table2[[#Headers],[Front Angle]],Table2[#Headers],0),0)</f>
        <v xml:space="preserve"> 10 ft.- 3"</v>
      </c>
      <c r="O222" s="2">
        <f>VLOOKUP([jobnumber],OvalData[],MATCH(Table2[[#Headers],[Pipe Center Line]],Table2[#Headers],0),0)</f>
        <v>131</v>
      </c>
      <c r="P222" s="2">
        <f>VLOOKUP([jobnumber],OvalData[],MATCH(Table2[[#Headers],[Heat Expansion Gap]],Table2[#Headers],0),0)</f>
        <v>0</v>
      </c>
      <c r="Q222" s="2">
        <f>VLOOKUP([jobnumber],OvalData[],MATCH(Table2[[#Headers],[Hanging Weight Closed]],Table2[#Headers],0),0)</f>
        <v>795</v>
      </c>
      <c r="R222" s="2">
        <f>VLOOKUP([jobnumber],OvalData[],MATCH(Table2[[#Headers],[Hanging Weight Open]],Table2[#Headers],0),0)</f>
        <v>140</v>
      </c>
      <c r="S222" s="2">
        <f>VLOOKUP([jobnumber],OvalData[],MATCH(Table2[[#Headers],[Initial Lever Arm]],Table2[#Headers],0),0)</f>
        <v>4.25</v>
      </c>
      <c r="T222" s="2">
        <f>VLOOKUP([jobnumber],OvalData[],MATCH(Table2[[#Headers],[Turns to Raise]],Table2[#Headers],0),0)</f>
        <v>3.5859999999999999</v>
      </c>
      <c r="U222" s="2">
        <f>VLOOKUP([jobnumber],OvalData[],MATCH(Table2[[#Headers],[Final Lever Arm]],Table2[#Headers],0),0)</f>
        <v>6.37</v>
      </c>
      <c r="V222" s="2">
        <f>VLOOKUP([jobnumber],OvalData[],MATCH(Table2[[#Headers],[Torque Required Closed]],Table2[#Headers],0),0)</f>
        <v>3377.9</v>
      </c>
      <c r="W222" s="2">
        <f>VLOOKUP([jobnumber],OvalData[],MATCH(Table2[[#Headers],[Torque Required Open]],Table2[#Headers],0),0)</f>
        <v>892</v>
      </c>
      <c r="X222" s="2">
        <f>VLOOKUP([jobnumber],OvalData[],MATCH(Table2[[#Headers],[Pre Turns]],Table2[#Headers],0),0)</f>
        <v>1.3332999999999999</v>
      </c>
      <c r="Y222" s="2">
        <f>VLOOKUP([jobnumber],OvalData[],MATCH(Table2[[#Headers],[Required Torque Per Turn]],Table2[#Headers],0),0)</f>
        <v>688</v>
      </c>
      <c r="Z222" s="2">
        <f>VLOOKUP([jobnumber],OvalData[],MATCH(Table2[[#Headers],[Total Turns]],Table2[#Headers],0),0)</f>
        <v>4.91</v>
      </c>
      <c r="AA222" s="2">
        <f>VLOOKUP([jobnumber],OvalData[],MATCH(Table2[[#Headers],[Grille Vision Section]],Table2[#Headers],0),0)</f>
        <v>0</v>
      </c>
      <c r="AB222" s="2">
        <f>VLOOKUP([jobnumber],OvalData[],MATCH(Table2[[#Headers],[Grille Amount]],Table2[#Headers],0),0)</f>
        <v>0</v>
      </c>
      <c r="AC222" s="2">
        <f>VLOOKUP([jobnumber],OvalData[],MATCH(Table2[[#Headers],[Grille Center]],Table2[#Headers],0),0)</f>
        <v>0</v>
      </c>
      <c r="AD222" s="2">
        <f>VLOOKUP([jobnumber],OvalData[],MATCH(Table2[[#Headers],[Grille Pattern]],Table2[#Headers],0),0)</f>
        <v>0</v>
      </c>
      <c r="AE222" s="2">
        <f>VLOOKUP([jobnumber],OvalData[],MATCH(Table2[[#Headers],[Grille First Tube]],Table2[#Headers],0),0)</f>
        <v>0</v>
      </c>
      <c r="AF222" s="2">
        <f>VLOOKUP([jobnumber],OvalData[],MATCH(Table2[[#Headers],[Grille Standard Tube]],Table2[#Headers],0),0)</f>
        <v>0</v>
      </c>
      <c r="AG222" s="2">
        <f>VLOOKUP([jobnumber],OvalData[],MATCH(Table2[[#Headers],[Grille Total Links]],Table2[#Headers],0),0)</f>
        <v>0</v>
      </c>
      <c r="AH222" s="2">
        <f>VLOOKUP([jobnumber],OvalData[],MATCH(Table2[[#Headers],[Grille Rods]],Table2[#Headers],0),0)</f>
        <v>0</v>
      </c>
      <c r="AI222" s="2">
        <f>VLOOKUP([jobnumber],OvalData[],MATCH(Table2[[#Headers],[Grille Rod Length]],Table2[#Headers],0),0)</f>
        <v>0</v>
      </c>
      <c r="AJ222" s="2">
        <f>VLOOKUP([jobnumber],OvalData[],MATCH(Table2[[#Headers],[slattype]],Table2[#Headers],0),0)</f>
        <v>2</v>
      </c>
      <c r="AK222" s="2">
        <f>VLOOKUP([jobnumber],OvalData[],MATCH(Table2[[#Headers],[slatgage]],Table2[#Headers],0),0)</f>
        <v>18</v>
      </c>
      <c r="AL222" s="2">
        <f>VLOOKUP([jobnumber],OvalData[],MATCH(Table2[[#Headers],[Numer of Top Slats]],Table2[#Headers],0),0)</f>
        <v>0</v>
      </c>
      <c r="AM222" s="2">
        <f>VLOOKUP([jobnumber],OvalData[],MATCH(Table2[[#Headers],[Number of Bottom Slats]],Table2[#Headers],0),0)</f>
        <v>0</v>
      </c>
      <c r="AN222" s="2">
        <f>VLOOKUP([jobnumber],OvalData[],MATCH(Table2[[#Headers],[Solid Bottom Height]],Table2[#Headers],0),0)</f>
        <v>0</v>
      </c>
      <c r="AO222" s="2" t="str">
        <f>VLOOKUP([jobnumber],OvalData[],MATCH(Table2[[#Headers],[slatlength]],Table2[#Headers],0),0)</f>
        <v xml:space="preserve"> 18 ft.- 5 7/ 8"</v>
      </c>
      <c r="AP222" s="2">
        <f>VLOOKUP([jobnumber],OvalData[],MATCH(Table2[[#Headers],[Bottom Slat Length]],Table2[#Headers],0),0)</f>
        <v>0</v>
      </c>
      <c r="AQ222" s="2">
        <f>VLOOKUP([jobnumber],OvalData[],MATCH(Table2[[#Headers],[Number of Perferated Slats]],Table2[#Headers],0),0)</f>
        <v>0</v>
      </c>
      <c r="AR222" s="2">
        <f>VLOOKUP([jobnumber],OvalData[],MATCH(Table2[[#Headers],[First Preferated Slat From End]],Table2[#Headers],0),0)</f>
        <v>0</v>
      </c>
      <c r="AS222" s="2">
        <f>VLOOKUP([jobnumber],OvalData[],MATCH(Table2[[#Headers],[First Preferated Slat From Bottom]],Table2[#Headers],0),0)</f>
        <v>0</v>
      </c>
      <c r="AT222" s="2">
        <f>VLOOKUP([jobnumber],OvalData[],MATCH(Table2[[#Headers],[Total Number of Slats]],Table2[#Headers],0),0)</f>
        <v>51</v>
      </c>
      <c r="AU222" s="2">
        <f>VLOOKUP([jobnumber],OvalData[],MATCH(Table2[[#Headers],[Bottom Bar Slope]],Table2[#Headers],0),0)</f>
        <v>0</v>
      </c>
      <c r="AV222" s="2">
        <f>VLOOKUP([jobnumber],OvalData[],MATCH(Table2[[#Headers],[Bottom Bar Weight]],Table2[#Headers],0),0)</f>
        <v>80.5</v>
      </c>
      <c r="AW222" s="2" t="str">
        <f>VLOOKUP([jobnumber],OvalData[],MATCH(Table2[[#Headers],[Outer Spring Gage]],Table2[#Headers],0),0)</f>
        <v>Null</v>
      </c>
      <c r="AX222" s="2" t="str">
        <f>VLOOKUP([jobnumber],OvalData[],MATCH(Table2[[#Headers],[Outer Spring OD]],Table2[#Headers],0),0)</f>
        <v>Null</v>
      </c>
      <c r="AY222" s="2" t="str">
        <f>VLOOKUP([jobnumber],OvalData[],MATCH(Table2[[#Headers],[Outer Spring Length]],Table2[#Headers],0),0)</f>
        <v>Null</v>
      </c>
      <c r="AZ222" s="2" t="str">
        <f>VLOOKUP([jobnumber],OvalData[],MATCH(Table2[[#Headers],[Outer Spring Stretch]],Table2[#Headers],0),0)</f>
        <v>Null</v>
      </c>
      <c r="BA222" s="2" t="str">
        <f>VLOOKUP([jobnumber],OvalData[],MATCH(Table2[[#Headers],[Outer Spring Torque]],Table2[#Headers],0),0)</f>
        <v>Null</v>
      </c>
      <c r="BB222" s="2" t="str">
        <f>VLOOKUP([jobnumber],OvalData[],MATCH(Table2[[#Headers],[Outer Spring Max Turns]],Table2[#Headers],0),0)</f>
        <v>Null</v>
      </c>
      <c r="BC222" s="2" t="str">
        <f>VLOOKUP([jobnumber],OvalData[],MATCH(Table2[[#Headers],[Outer Spring Weight]],Table2[#Headers],0),0)</f>
        <v>Null</v>
      </c>
      <c r="BD222" s="2" t="str">
        <f>VLOOKUP([jobnumber],OvalData[],MATCH(Table2[[#Headers],[Inner Spring Gage]],Table2[#Headers],0),0)</f>
        <v>Null</v>
      </c>
      <c r="BE222" s="2" t="str">
        <f>VLOOKUP([jobnumber],OvalData[],MATCH(Table2[[#Headers],[Inner Spring OD]],Table2[#Headers],0),0)</f>
        <v>Null</v>
      </c>
      <c r="BF222" s="2" t="str">
        <f>VLOOKUP([jobnumber],OvalData[],MATCH(Table2[[#Headers],[Inner Spring Length]],Table2[#Headers],0),0)</f>
        <v>Null</v>
      </c>
      <c r="BG222" s="2" t="str">
        <f>VLOOKUP([jobnumber],OvalData[],MATCH(Table2[[#Headers],[Inner Spring Stretch]],Table2[#Headers],0),0)</f>
        <v>Null</v>
      </c>
      <c r="BH222" s="2" t="str">
        <f>VLOOKUP([jobnumber],OvalData[],MATCH(Table2[[#Headers],[Inner Spring Torque]],Table2[#Headers],0),0)</f>
        <v>Null</v>
      </c>
      <c r="BI222" s="2" t="str">
        <f>VLOOKUP([jobnumber],OvalData[],MATCH(Table2[[#Headers],[Inner Spring Max Turns]],Table2[#Headers],0),0)</f>
        <v>Null</v>
      </c>
      <c r="BJ222" s="2" t="str">
        <f>VLOOKUP([jobnumber],OvalData[],MATCH(Table2[[#Headers],[Inner Spring Weight]],Table2[#Headers],0),0)</f>
        <v>Null</v>
      </c>
      <c r="BK222" s="2">
        <f>VLOOKUP([jobnumber],OvalData[],MATCH(Table2[[#Headers],[Cycles]],Table2[#Headers],0),0)</f>
        <v>0</v>
      </c>
      <c r="BL222" s="2">
        <f>VLOOKUP([jobnumber],OvalData[],MATCH(Table2[[#Headers],[Total Spring Torque]],Table2[#Headers],0),0)</f>
        <v>0</v>
      </c>
      <c r="BM222" s="2">
        <f>VLOOKUP([jobnumber],OvalData[],MATCH(Table2[[#Headers],[Total Spring Weight]],Table2[#Headers],0),0)</f>
        <v>0</v>
      </c>
      <c r="BN222" s="2">
        <f>VLOOKUP([jobnumber],OvalData[],MATCH(Table2[[#Headers],[Pipe Weight]],Table2[#Headers],0),0)</f>
        <v>688.24239999999998</v>
      </c>
      <c r="BO222" s="2">
        <f>VLOOKUP([jobnumber],OvalData[],MATCH(Table2[[#Headers],[Max Pipe Deflection]],Table2[#Headers],0),0)</f>
        <v>2309</v>
      </c>
      <c r="BP222" s="2">
        <f>VLOOKUP([jobnumber],OvalData[],MATCH(Table2[[#Headers],[Number Non-Insulated Wrap Slats]],Table2[#Headers],0),0)</f>
        <v>0</v>
      </c>
      <c r="BQ222" s="2">
        <f>VLOOKUP([jobnumber],OvalData[],MATCH(Table2[[#Headers],[Number of Insolated Top Slats]],Table2[#Headers],0),0)</f>
        <v>45</v>
      </c>
      <c r="BR222" s="2">
        <f>VLOOKUP([jobnumber],OvalData[],MATCH(Table2[[#Headers],[Insolated Total Slats]],Table2[#Headers],0),0)</f>
        <v>45</v>
      </c>
      <c r="BS222" s="2">
        <f>VLOOKUP([jobnumber],OvalData[],MATCH(Table2[[#Headers],[Number of Slats]],Table2[#Headers],0),0)</f>
        <v>44.69</v>
      </c>
      <c r="BT222" s="2">
        <f>VLOOKUP([jobnumber],OvalData[],MATCH(Table2[[#Headers],[Wrap]],Table2[#Headers],0),0)</f>
        <v>0</v>
      </c>
      <c r="BU222" s="2">
        <f>VLOOKUP([jobnumber],OvalData[],MATCH(Table2[[#Headers],[Wall Angle Thickness]],Table2[#Headers],0),0)</f>
        <v>0</v>
      </c>
      <c r="BV222" s="2">
        <f>VLOOKUP([jobnumber],OvalData[],MATCH(Table2[[#Headers],[windlocks]],Table2[#Headers],0),0)</f>
        <v>0</v>
      </c>
      <c r="BW222" s="2" t="str">
        <f>VLOOKUP([jobnumber],OvalData[],MATCH(Table2[[#Headers],[bottombartype]],Table2[#Headers],0),0)</f>
        <v>SPECIAL</v>
      </c>
      <c r="BX222" s="2">
        <f>VLOOKUP([jobnumber],OvalData[],MATCH(Table2[[#Headers],[endlockweight]],Table2[#Headers],0),0)</f>
        <v>0.17</v>
      </c>
      <c r="BY222" s="2">
        <f>VLOOKUP([jobnumber],OvalData[],MATCH(Table2[[#Headers],[Endlock Total Weight]],Table2[#Headers],0),0)</f>
        <v>7.5972999999999997</v>
      </c>
      <c r="BZ222" s="2">
        <f>VLOOKUP([jobnumber],OvalData[],MATCH(Table2[[#Headers],[Grille Weight]],Table2[#Headers],0),0)</f>
        <v>0</v>
      </c>
      <c r="CA222" s="2">
        <f>VLOOKUP([jobnumber],OvalData[],MATCH(Table2[[#Headers],[barrelrings]],Table2[#Headers],0),0)</f>
        <v>1</v>
      </c>
    </row>
    <row r="223" spans="2:79">
      <c r="B223" s="2" t="str">
        <f>VLOOKUP([jobnumber],OvalData[],MATCH(Table2[[#Headers],[Hand]],Table2[#Headers],0),0)</f>
        <v>RH</v>
      </c>
      <c r="C223" s="2" t="str">
        <f>VLOOKUP([jobnumber],OvalData[],MATCH(Table2[[#Headers],[Model]],Table2[#Headers],0),0)</f>
        <v>SFMPP</v>
      </c>
      <c r="D223" s="2" t="str">
        <f>VLOOKUP([jobnumber],OvalData[],MATCH(Table2[[#Headers],[width]],Table2[#Headers],0),0)</f>
        <v xml:space="preserve"> 18 ft.- 2"</v>
      </c>
      <c r="E223" s="2" t="str">
        <f>VLOOKUP([jobnumber],OvalData[],MATCH(Table2[[#Headers],[stopheight]],Table2[#Headers],0),0)</f>
        <v xml:space="preserve"> 10 ft.- 0"</v>
      </c>
      <c r="F223" s="2" t="str">
        <f>VLOOKUP([jobnumber],OvalData[],MATCH(Table2[[#Headers],[Between Brackets]],Table2[#Headers],0),0)</f>
        <v xml:space="preserve"> 18 ft.- 7 7/ 8"</v>
      </c>
      <c r="G223" s="2" t="str">
        <f>VLOOKUP([jobnumber],OvalData[],MATCH(Table2[[#Headers],[shell]],Table2[#Headers],0),0)</f>
        <v>6 INCH TUBE</v>
      </c>
      <c r="H223" s="2" t="str">
        <f>VLOOKUP([jobnumber],OvalData[],MATCH(Table2[[#Headers],[pipewidth]],Table2[#Headers],0),0)</f>
        <v xml:space="preserve"> 18 ft.- 1 3/ 8"</v>
      </c>
      <c r="I223" s="2">
        <f>VLOOKUP([jobnumber],OvalData[],MATCH(Table2[[#Headers],[Support Tubes]],Table2[#Headers],0),0)</f>
        <v>0</v>
      </c>
      <c r="J223" s="2">
        <f>VLOOKUP([jobnumber],OvalData[],MATCH(Table2[[#Headers],[Upset]],Table2[#Headers],0),0)</f>
        <v>2</v>
      </c>
      <c r="K223" s="2" t="str">
        <f>VLOOKUP([jobnumber],OvalData[],MATCH(Table2[[#Headers],[Guide Type]],Table2[#Headers],0),0)</f>
        <v>SN2-4 5/8-E</v>
      </c>
      <c r="L223" s="2" t="str">
        <f>VLOOKUP([jobnumber],OvalData[],MATCH(Table2[[#Headers],[Wall Angle]],Table2[#Headers],0),0)</f>
        <v xml:space="preserve"> 11 ft.- 8"</v>
      </c>
      <c r="M223" s="2" t="str">
        <f>VLOOKUP([jobnumber],OvalData[],MATCH(Table2[[#Headers],[Middle Angle]],Table2[#Headers],0),0)</f>
        <v xml:space="preserve"> 10 ft.- 4 1/ 2"</v>
      </c>
      <c r="N223" s="2" t="str">
        <f>VLOOKUP([jobnumber],OvalData[],MATCH(Table2[[#Headers],[Front Angle]],Table2[#Headers],0),0)</f>
        <v xml:space="preserve"> 10 ft.- 3"</v>
      </c>
      <c r="O223" s="2">
        <f>VLOOKUP([jobnumber],OvalData[],MATCH(Table2[[#Headers],[Pipe Center Line]],Table2[#Headers],0),0)</f>
        <v>131</v>
      </c>
      <c r="P223" s="2">
        <f>VLOOKUP([jobnumber],OvalData[],MATCH(Table2[[#Headers],[Heat Expansion Gap]],Table2[#Headers],0),0)</f>
        <v>0</v>
      </c>
      <c r="Q223" s="2">
        <f>VLOOKUP([jobnumber],OvalData[],MATCH(Table2[[#Headers],[Hanging Weight Closed]],Table2[#Headers],0),0)</f>
        <v>795</v>
      </c>
      <c r="R223" s="2">
        <f>VLOOKUP([jobnumber],OvalData[],MATCH(Table2[[#Headers],[Hanging Weight Open]],Table2[#Headers],0),0)</f>
        <v>140</v>
      </c>
      <c r="S223" s="2">
        <f>VLOOKUP([jobnumber],OvalData[],MATCH(Table2[[#Headers],[Initial Lever Arm]],Table2[#Headers],0),0)</f>
        <v>4.25</v>
      </c>
      <c r="T223" s="2">
        <f>VLOOKUP([jobnumber],OvalData[],MATCH(Table2[[#Headers],[Turns to Raise]],Table2[#Headers],0),0)</f>
        <v>3.5859999999999999</v>
      </c>
      <c r="U223" s="2">
        <f>VLOOKUP([jobnumber],OvalData[],MATCH(Table2[[#Headers],[Final Lever Arm]],Table2[#Headers],0),0)</f>
        <v>6.37</v>
      </c>
      <c r="V223" s="2">
        <f>VLOOKUP([jobnumber],OvalData[],MATCH(Table2[[#Headers],[Torque Required Closed]],Table2[#Headers],0),0)</f>
        <v>3377.9</v>
      </c>
      <c r="W223" s="2">
        <f>VLOOKUP([jobnumber],OvalData[],MATCH(Table2[[#Headers],[Torque Required Open]],Table2[#Headers],0),0)</f>
        <v>892</v>
      </c>
      <c r="X223" s="2">
        <f>VLOOKUP([jobnumber],OvalData[],MATCH(Table2[[#Headers],[Pre Turns]],Table2[#Headers],0),0)</f>
        <v>1.3332999999999999</v>
      </c>
      <c r="Y223" s="2">
        <f>VLOOKUP([jobnumber],OvalData[],MATCH(Table2[[#Headers],[Required Torque Per Turn]],Table2[#Headers],0),0)</f>
        <v>688</v>
      </c>
      <c r="Z223" s="2">
        <f>VLOOKUP([jobnumber],OvalData[],MATCH(Table2[[#Headers],[Total Turns]],Table2[#Headers],0),0)</f>
        <v>4.91</v>
      </c>
      <c r="AA223" s="2">
        <f>VLOOKUP([jobnumber],OvalData[],MATCH(Table2[[#Headers],[Grille Vision Section]],Table2[#Headers],0),0)</f>
        <v>0</v>
      </c>
      <c r="AB223" s="2">
        <f>VLOOKUP([jobnumber],OvalData[],MATCH(Table2[[#Headers],[Grille Amount]],Table2[#Headers],0),0)</f>
        <v>0</v>
      </c>
      <c r="AC223" s="2">
        <f>VLOOKUP([jobnumber],OvalData[],MATCH(Table2[[#Headers],[Grille Center]],Table2[#Headers],0),0)</f>
        <v>0</v>
      </c>
      <c r="AD223" s="2">
        <f>VLOOKUP([jobnumber],OvalData[],MATCH(Table2[[#Headers],[Grille Pattern]],Table2[#Headers],0),0)</f>
        <v>0</v>
      </c>
      <c r="AE223" s="2">
        <f>VLOOKUP([jobnumber],OvalData[],MATCH(Table2[[#Headers],[Grille First Tube]],Table2[#Headers],0),0)</f>
        <v>0</v>
      </c>
      <c r="AF223" s="2">
        <f>VLOOKUP([jobnumber],OvalData[],MATCH(Table2[[#Headers],[Grille Standard Tube]],Table2[#Headers],0),0)</f>
        <v>0</v>
      </c>
      <c r="AG223" s="2">
        <f>VLOOKUP([jobnumber],OvalData[],MATCH(Table2[[#Headers],[Grille Total Links]],Table2[#Headers],0),0)</f>
        <v>0</v>
      </c>
      <c r="AH223" s="2">
        <f>VLOOKUP([jobnumber],OvalData[],MATCH(Table2[[#Headers],[Grille Rods]],Table2[#Headers],0),0)</f>
        <v>0</v>
      </c>
      <c r="AI223" s="2">
        <f>VLOOKUP([jobnumber],OvalData[],MATCH(Table2[[#Headers],[Grille Rod Length]],Table2[#Headers],0),0)</f>
        <v>0</v>
      </c>
      <c r="AJ223" s="2">
        <f>VLOOKUP([jobnumber],OvalData[],MATCH(Table2[[#Headers],[slattype]],Table2[#Headers],0),0)</f>
        <v>2</v>
      </c>
      <c r="AK223" s="2">
        <f>VLOOKUP([jobnumber],OvalData[],MATCH(Table2[[#Headers],[slatgage]],Table2[#Headers],0),0)</f>
        <v>18</v>
      </c>
      <c r="AL223" s="2">
        <f>VLOOKUP([jobnumber],OvalData[],MATCH(Table2[[#Headers],[Numer of Top Slats]],Table2[#Headers],0),0)</f>
        <v>0</v>
      </c>
      <c r="AM223" s="2">
        <f>VLOOKUP([jobnumber],OvalData[],MATCH(Table2[[#Headers],[Number of Bottom Slats]],Table2[#Headers],0),0)</f>
        <v>0</v>
      </c>
      <c r="AN223" s="2">
        <f>VLOOKUP([jobnumber],OvalData[],MATCH(Table2[[#Headers],[Solid Bottom Height]],Table2[#Headers],0),0)</f>
        <v>0</v>
      </c>
      <c r="AO223" s="2" t="str">
        <f>VLOOKUP([jobnumber],OvalData[],MATCH(Table2[[#Headers],[slatlength]],Table2[#Headers],0),0)</f>
        <v xml:space="preserve"> 18 ft.- 5 7/ 8"</v>
      </c>
      <c r="AP223" s="2">
        <f>VLOOKUP([jobnumber],OvalData[],MATCH(Table2[[#Headers],[Bottom Slat Length]],Table2[#Headers],0),0)</f>
        <v>0</v>
      </c>
      <c r="AQ223" s="2">
        <f>VLOOKUP([jobnumber],OvalData[],MATCH(Table2[[#Headers],[Number of Perferated Slats]],Table2[#Headers],0),0)</f>
        <v>0</v>
      </c>
      <c r="AR223" s="2">
        <f>VLOOKUP([jobnumber],OvalData[],MATCH(Table2[[#Headers],[First Preferated Slat From End]],Table2[#Headers],0),0)</f>
        <v>0</v>
      </c>
      <c r="AS223" s="2">
        <f>VLOOKUP([jobnumber],OvalData[],MATCH(Table2[[#Headers],[First Preferated Slat From Bottom]],Table2[#Headers],0),0)</f>
        <v>0</v>
      </c>
      <c r="AT223" s="2">
        <f>VLOOKUP([jobnumber],OvalData[],MATCH(Table2[[#Headers],[Total Number of Slats]],Table2[#Headers],0),0)</f>
        <v>51</v>
      </c>
      <c r="AU223" s="2">
        <f>VLOOKUP([jobnumber],OvalData[],MATCH(Table2[[#Headers],[Bottom Bar Slope]],Table2[#Headers],0),0)</f>
        <v>0</v>
      </c>
      <c r="AV223" s="2">
        <f>VLOOKUP([jobnumber],OvalData[],MATCH(Table2[[#Headers],[Bottom Bar Weight]],Table2[#Headers],0),0)</f>
        <v>80.5</v>
      </c>
      <c r="AW223" s="2" t="str">
        <f>VLOOKUP([jobnumber],OvalData[],MATCH(Table2[[#Headers],[Outer Spring Gage]],Table2[#Headers],0),0)</f>
        <v>Null</v>
      </c>
      <c r="AX223" s="2" t="str">
        <f>VLOOKUP([jobnumber],OvalData[],MATCH(Table2[[#Headers],[Outer Spring OD]],Table2[#Headers],0),0)</f>
        <v>Null</v>
      </c>
      <c r="AY223" s="2" t="str">
        <f>VLOOKUP([jobnumber],OvalData[],MATCH(Table2[[#Headers],[Outer Spring Length]],Table2[#Headers],0),0)</f>
        <v>Null</v>
      </c>
      <c r="AZ223" s="2" t="str">
        <f>VLOOKUP([jobnumber],OvalData[],MATCH(Table2[[#Headers],[Outer Spring Stretch]],Table2[#Headers],0),0)</f>
        <v>Null</v>
      </c>
      <c r="BA223" s="2" t="str">
        <f>VLOOKUP([jobnumber],OvalData[],MATCH(Table2[[#Headers],[Outer Spring Torque]],Table2[#Headers],0),0)</f>
        <v>Null</v>
      </c>
      <c r="BB223" s="2" t="str">
        <f>VLOOKUP([jobnumber],OvalData[],MATCH(Table2[[#Headers],[Outer Spring Max Turns]],Table2[#Headers],0),0)</f>
        <v>Null</v>
      </c>
      <c r="BC223" s="2" t="str">
        <f>VLOOKUP([jobnumber],OvalData[],MATCH(Table2[[#Headers],[Outer Spring Weight]],Table2[#Headers],0),0)</f>
        <v>Null</v>
      </c>
      <c r="BD223" s="2" t="str">
        <f>VLOOKUP([jobnumber],OvalData[],MATCH(Table2[[#Headers],[Inner Spring Gage]],Table2[#Headers],0),0)</f>
        <v>Null</v>
      </c>
      <c r="BE223" s="2" t="str">
        <f>VLOOKUP([jobnumber],OvalData[],MATCH(Table2[[#Headers],[Inner Spring OD]],Table2[#Headers],0),0)</f>
        <v>Null</v>
      </c>
      <c r="BF223" s="2" t="str">
        <f>VLOOKUP([jobnumber],OvalData[],MATCH(Table2[[#Headers],[Inner Spring Length]],Table2[#Headers],0),0)</f>
        <v>Null</v>
      </c>
      <c r="BG223" s="2" t="str">
        <f>VLOOKUP([jobnumber],OvalData[],MATCH(Table2[[#Headers],[Inner Spring Stretch]],Table2[#Headers],0),0)</f>
        <v>Null</v>
      </c>
      <c r="BH223" s="2" t="str">
        <f>VLOOKUP([jobnumber],OvalData[],MATCH(Table2[[#Headers],[Inner Spring Torque]],Table2[#Headers],0),0)</f>
        <v>Null</v>
      </c>
      <c r="BI223" s="2" t="str">
        <f>VLOOKUP([jobnumber],OvalData[],MATCH(Table2[[#Headers],[Inner Spring Max Turns]],Table2[#Headers],0),0)</f>
        <v>Null</v>
      </c>
      <c r="BJ223" s="2" t="str">
        <f>VLOOKUP([jobnumber],OvalData[],MATCH(Table2[[#Headers],[Inner Spring Weight]],Table2[#Headers],0),0)</f>
        <v>Null</v>
      </c>
      <c r="BK223" s="2">
        <f>VLOOKUP([jobnumber],OvalData[],MATCH(Table2[[#Headers],[Cycles]],Table2[#Headers],0),0)</f>
        <v>0</v>
      </c>
      <c r="BL223" s="2">
        <f>VLOOKUP([jobnumber],OvalData[],MATCH(Table2[[#Headers],[Total Spring Torque]],Table2[#Headers],0),0)</f>
        <v>0</v>
      </c>
      <c r="BM223" s="2">
        <f>VLOOKUP([jobnumber],OvalData[],MATCH(Table2[[#Headers],[Total Spring Weight]],Table2[#Headers],0),0)</f>
        <v>0</v>
      </c>
      <c r="BN223" s="2">
        <f>VLOOKUP([jobnumber],OvalData[],MATCH(Table2[[#Headers],[Pipe Weight]],Table2[#Headers],0),0)</f>
        <v>688.24239999999998</v>
      </c>
      <c r="BO223" s="2">
        <f>VLOOKUP([jobnumber],OvalData[],MATCH(Table2[[#Headers],[Max Pipe Deflection]],Table2[#Headers],0),0)</f>
        <v>2309</v>
      </c>
      <c r="BP223" s="2">
        <f>VLOOKUP([jobnumber],OvalData[],MATCH(Table2[[#Headers],[Number Non-Insulated Wrap Slats]],Table2[#Headers],0),0)</f>
        <v>0</v>
      </c>
      <c r="BQ223" s="2">
        <f>VLOOKUP([jobnumber],OvalData[],MATCH(Table2[[#Headers],[Number of Insolated Top Slats]],Table2[#Headers],0),0)</f>
        <v>45</v>
      </c>
      <c r="BR223" s="2">
        <f>VLOOKUP([jobnumber],OvalData[],MATCH(Table2[[#Headers],[Insolated Total Slats]],Table2[#Headers],0),0)</f>
        <v>45</v>
      </c>
      <c r="BS223" s="2">
        <f>VLOOKUP([jobnumber],OvalData[],MATCH(Table2[[#Headers],[Number of Slats]],Table2[#Headers],0),0)</f>
        <v>44.69</v>
      </c>
      <c r="BT223" s="2">
        <f>VLOOKUP([jobnumber],OvalData[],MATCH(Table2[[#Headers],[Wrap]],Table2[#Headers],0),0)</f>
        <v>0</v>
      </c>
      <c r="BU223" s="2">
        <f>VLOOKUP([jobnumber],OvalData[],MATCH(Table2[[#Headers],[Wall Angle Thickness]],Table2[#Headers],0),0)</f>
        <v>0</v>
      </c>
      <c r="BV223" s="2">
        <f>VLOOKUP([jobnumber],OvalData[],MATCH(Table2[[#Headers],[windlocks]],Table2[#Headers],0),0)</f>
        <v>0</v>
      </c>
      <c r="BW223" s="2" t="str">
        <f>VLOOKUP([jobnumber],OvalData[],MATCH(Table2[[#Headers],[bottombartype]],Table2[#Headers],0),0)</f>
        <v>SPECIAL</v>
      </c>
      <c r="BX223" s="2">
        <f>VLOOKUP([jobnumber],OvalData[],MATCH(Table2[[#Headers],[endlockweight]],Table2[#Headers],0),0)</f>
        <v>0.17</v>
      </c>
      <c r="BY223" s="2">
        <f>VLOOKUP([jobnumber],OvalData[],MATCH(Table2[[#Headers],[Endlock Total Weight]],Table2[#Headers],0),0)</f>
        <v>7.5972999999999997</v>
      </c>
      <c r="BZ223" s="2">
        <f>VLOOKUP([jobnumber],OvalData[],MATCH(Table2[[#Headers],[Grille Weight]],Table2[#Headers],0),0)</f>
        <v>0</v>
      </c>
      <c r="CA223" s="2">
        <f>VLOOKUP([jobnumber],OvalData[],MATCH(Table2[[#Headers],[barrelrings]],Table2[#Headers],0),0)</f>
        <v>1</v>
      </c>
    </row>
    <row r="224" spans="2:79">
      <c r="B224" s="2" t="str">
        <f>VLOOKUP([jobnumber],OvalData[],MATCH(Table2[[#Headers],[Hand]],Table2[#Headers],0),0)</f>
        <v>RH</v>
      </c>
      <c r="C224" s="2" t="str">
        <f>VLOOKUP([jobnumber],OvalData[],MATCH(Table2[[#Headers],[Model]],Table2[#Headers],0),0)</f>
        <v>SFMPP</v>
      </c>
      <c r="D224" s="2" t="str">
        <f>VLOOKUP([jobnumber],OvalData[],MATCH(Table2[[#Headers],[width]],Table2[#Headers],0),0)</f>
        <v xml:space="preserve"> 18 ft.- 2"</v>
      </c>
      <c r="E224" s="2" t="str">
        <f>VLOOKUP([jobnumber],OvalData[],MATCH(Table2[[#Headers],[stopheight]],Table2[#Headers],0),0)</f>
        <v xml:space="preserve"> 10 ft.- 0"</v>
      </c>
      <c r="F224" s="2" t="str">
        <f>VLOOKUP([jobnumber],OvalData[],MATCH(Table2[[#Headers],[Between Brackets]],Table2[#Headers],0),0)</f>
        <v xml:space="preserve"> 18 ft.- 7 7/ 8"</v>
      </c>
      <c r="G224" s="2" t="str">
        <f>VLOOKUP([jobnumber],OvalData[],MATCH(Table2[[#Headers],[shell]],Table2[#Headers],0),0)</f>
        <v>6 INCH TUBE</v>
      </c>
      <c r="H224" s="2" t="str">
        <f>VLOOKUP([jobnumber],OvalData[],MATCH(Table2[[#Headers],[pipewidth]],Table2[#Headers],0),0)</f>
        <v xml:space="preserve"> 18 ft.- 1 3/ 8"</v>
      </c>
      <c r="I224" s="2">
        <f>VLOOKUP([jobnumber],OvalData[],MATCH(Table2[[#Headers],[Support Tubes]],Table2[#Headers],0),0)</f>
        <v>0</v>
      </c>
      <c r="J224" s="2">
        <f>VLOOKUP([jobnumber],OvalData[],MATCH(Table2[[#Headers],[Upset]],Table2[#Headers],0),0)</f>
        <v>2</v>
      </c>
      <c r="K224" s="2" t="str">
        <f>VLOOKUP([jobnumber],OvalData[],MATCH(Table2[[#Headers],[Guide Type]],Table2[#Headers],0),0)</f>
        <v>SN2-4 5/8-E</v>
      </c>
      <c r="L224" s="2" t="str">
        <f>VLOOKUP([jobnumber],OvalData[],MATCH(Table2[[#Headers],[Wall Angle]],Table2[#Headers],0),0)</f>
        <v xml:space="preserve"> 11 ft.- 8"</v>
      </c>
      <c r="M224" s="2" t="str">
        <f>VLOOKUP([jobnumber],OvalData[],MATCH(Table2[[#Headers],[Middle Angle]],Table2[#Headers],0),0)</f>
        <v xml:space="preserve"> 10 ft.- 4 1/ 2"</v>
      </c>
      <c r="N224" s="2" t="str">
        <f>VLOOKUP([jobnumber],OvalData[],MATCH(Table2[[#Headers],[Front Angle]],Table2[#Headers],0),0)</f>
        <v xml:space="preserve"> 10 ft.- 3"</v>
      </c>
      <c r="O224" s="2">
        <f>VLOOKUP([jobnumber],OvalData[],MATCH(Table2[[#Headers],[Pipe Center Line]],Table2[#Headers],0),0)</f>
        <v>131</v>
      </c>
      <c r="P224" s="2">
        <f>VLOOKUP([jobnumber],OvalData[],MATCH(Table2[[#Headers],[Heat Expansion Gap]],Table2[#Headers],0),0)</f>
        <v>0</v>
      </c>
      <c r="Q224" s="2">
        <f>VLOOKUP([jobnumber],OvalData[],MATCH(Table2[[#Headers],[Hanging Weight Closed]],Table2[#Headers],0),0)</f>
        <v>795</v>
      </c>
      <c r="R224" s="2">
        <f>VLOOKUP([jobnumber],OvalData[],MATCH(Table2[[#Headers],[Hanging Weight Open]],Table2[#Headers],0),0)</f>
        <v>140</v>
      </c>
      <c r="S224" s="2">
        <f>VLOOKUP([jobnumber],OvalData[],MATCH(Table2[[#Headers],[Initial Lever Arm]],Table2[#Headers],0),0)</f>
        <v>4.25</v>
      </c>
      <c r="T224" s="2">
        <f>VLOOKUP([jobnumber],OvalData[],MATCH(Table2[[#Headers],[Turns to Raise]],Table2[#Headers],0),0)</f>
        <v>3.5859999999999999</v>
      </c>
      <c r="U224" s="2">
        <f>VLOOKUP([jobnumber],OvalData[],MATCH(Table2[[#Headers],[Final Lever Arm]],Table2[#Headers],0),0)</f>
        <v>6.37</v>
      </c>
      <c r="V224" s="2">
        <f>VLOOKUP([jobnumber],OvalData[],MATCH(Table2[[#Headers],[Torque Required Closed]],Table2[#Headers],0),0)</f>
        <v>3377.9</v>
      </c>
      <c r="W224" s="2">
        <f>VLOOKUP([jobnumber],OvalData[],MATCH(Table2[[#Headers],[Torque Required Open]],Table2[#Headers],0),0)</f>
        <v>892</v>
      </c>
      <c r="X224" s="2">
        <f>VLOOKUP([jobnumber],OvalData[],MATCH(Table2[[#Headers],[Pre Turns]],Table2[#Headers],0),0)</f>
        <v>1.3332999999999999</v>
      </c>
      <c r="Y224" s="2">
        <f>VLOOKUP([jobnumber],OvalData[],MATCH(Table2[[#Headers],[Required Torque Per Turn]],Table2[#Headers],0),0)</f>
        <v>688</v>
      </c>
      <c r="Z224" s="2">
        <f>VLOOKUP([jobnumber],OvalData[],MATCH(Table2[[#Headers],[Total Turns]],Table2[#Headers],0),0)</f>
        <v>4.91</v>
      </c>
      <c r="AA224" s="2">
        <f>VLOOKUP([jobnumber],OvalData[],MATCH(Table2[[#Headers],[Grille Vision Section]],Table2[#Headers],0),0)</f>
        <v>0</v>
      </c>
      <c r="AB224" s="2">
        <f>VLOOKUP([jobnumber],OvalData[],MATCH(Table2[[#Headers],[Grille Amount]],Table2[#Headers],0),0)</f>
        <v>0</v>
      </c>
      <c r="AC224" s="2">
        <f>VLOOKUP([jobnumber],OvalData[],MATCH(Table2[[#Headers],[Grille Center]],Table2[#Headers],0),0)</f>
        <v>0</v>
      </c>
      <c r="AD224" s="2">
        <f>VLOOKUP([jobnumber],OvalData[],MATCH(Table2[[#Headers],[Grille Pattern]],Table2[#Headers],0),0)</f>
        <v>0</v>
      </c>
      <c r="AE224" s="2">
        <f>VLOOKUP([jobnumber],OvalData[],MATCH(Table2[[#Headers],[Grille First Tube]],Table2[#Headers],0),0)</f>
        <v>0</v>
      </c>
      <c r="AF224" s="2">
        <f>VLOOKUP([jobnumber],OvalData[],MATCH(Table2[[#Headers],[Grille Standard Tube]],Table2[#Headers],0),0)</f>
        <v>0</v>
      </c>
      <c r="AG224" s="2">
        <f>VLOOKUP([jobnumber],OvalData[],MATCH(Table2[[#Headers],[Grille Total Links]],Table2[#Headers],0),0)</f>
        <v>0</v>
      </c>
      <c r="AH224" s="2">
        <f>VLOOKUP([jobnumber],OvalData[],MATCH(Table2[[#Headers],[Grille Rods]],Table2[#Headers],0),0)</f>
        <v>0</v>
      </c>
      <c r="AI224" s="2">
        <f>VLOOKUP([jobnumber],OvalData[],MATCH(Table2[[#Headers],[Grille Rod Length]],Table2[#Headers],0),0)</f>
        <v>0</v>
      </c>
      <c r="AJ224" s="2">
        <f>VLOOKUP([jobnumber],OvalData[],MATCH(Table2[[#Headers],[slattype]],Table2[#Headers],0),0)</f>
        <v>2</v>
      </c>
      <c r="AK224" s="2">
        <f>VLOOKUP([jobnumber],OvalData[],MATCH(Table2[[#Headers],[slatgage]],Table2[#Headers],0),0)</f>
        <v>18</v>
      </c>
      <c r="AL224" s="2">
        <f>VLOOKUP([jobnumber],OvalData[],MATCH(Table2[[#Headers],[Numer of Top Slats]],Table2[#Headers],0),0)</f>
        <v>0</v>
      </c>
      <c r="AM224" s="2">
        <f>VLOOKUP([jobnumber],OvalData[],MATCH(Table2[[#Headers],[Number of Bottom Slats]],Table2[#Headers],0),0)</f>
        <v>0</v>
      </c>
      <c r="AN224" s="2">
        <f>VLOOKUP([jobnumber],OvalData[],MATCH(Table2[[#Headers],[Solid Bottom Height]],Table2[#Headers],0),0)</f>
        <v>0</v>
      </c>
      <c r="AO224" s="2" t="str">
        <f>VLOOKUP([jobnumber],OvalData[],MATCH(Table2[[#Headers],[slatlength]],Table2[#Headers],0),0)</f>
        <v xml:space="preserve"> 18 ft.- 5 7/ 8"</v>
      </c>
      <c r="AP224" s="2">
        <f>VLOOKUP([jobnumber],OvalData[],MATCH(Table2[[#Headers],[Bottom Slat Length]],Table2[#Headers],0),0)</f>
        <v>0</v>
      </c>
      <c r="AQ224" s="2">
        <f>VLOOKUP([jobnumber],OvalData[],MATCH(Table2[[#Headers],[Number of Perferated Slats]],Table2[#Headers],0),0)</f>
        <v>0</v>
      </c>
      <c r="AR224" s="2">
        <f>VLOOKUP([jobnumber],OvalData[],MATCH(Table2[[#Headers],[First Preferated Slat From End]],Table2[#Headers],0),0)</f>
        <v>0</v>
      </c>
      <c r="AS224" s="2">
        <f>VLOOKUP([jobnumber],OvalData[],MATCH(Table2[[#Headers],[First Preferated Slat From Bottom]],Table2[#Headers],0),0)</f>
        <v>0</v>
      </c>
      <c r="AT224" s="2">
        <f>VLOOKUP([jobnumber],OvalData[],MATCH(Table2[[#Headers],[Total Number of Slats]],Table2[#Headers],0),0)</f>
        <v>51</v>
      </c>
      <c r="AU224" s="2">
        <f>VLOOKUP([jobnumber],OvalData[],MATCH(Table2[[#Headers],[Bottom Bar Slope]],Table2[#Headers],0),0)</f>
        <v>0</v>
      </c>
      <c r="AV224" s="2">
        <f>VLOOKUP([jobnumber],OvalData[],MATCH(Table2[[#Headers],[Bottom Bar Weight]],Table2[#Headers],0),0)</f>
        <v>80.5</v>
      </c>
      <c r="AW224" s="2" t="str">
        <f>VLOOKUP([jobnumber],OvalData[],MATCH(Table2[[#Headers],[Outer Spring Gage]],Table2[#Headers],0),0)</f>
        <v>Null</v>
      </c>
      <c r="AX224" s="2" t="str">
        <f>VLOOKUP([jobnumber],OvalData[],MATCH(Table2[[#Headers],[Outer Spring OD]],Table2[#Headers],0),0)</f>
        <v>Null</v>
      </c>
      <c r="AY224" s="2" t="str">
        <f>VLOOKUP([jobnumber],OvalData[],MATCH(Table2[[#Headers],[Outer Spring Length]],Table2[#Headers],0),0)</f>
        <v>Null</v>
      </c>
      <c r="AZ224" s="2" t="str">
        <f>VLOOKUP([jobnumber],OvalData[],MATCH(Table2[[#Headers],[Outer Spring Stretch]],Table2[#Headers],0),0)</f>
        <v>Null</v>
      </c>
      <c r="BA224" s="2" t="str">
        <f>VLOOKUP([jobnumber],OvalData[],MATCH(Table2[[#Headers],[Outer Spring Torque]],Table2[#Headers],0),0)</f>
        <v>Null</v>
      </c>
      <c r="BB224" s="2" t="str">
        <f>VLOOKUP([jobnumber],OvalData[],MATCH(Table2[[#Headers],[Outer Spring Max Turns]],Table2[#Headers],0),0)</f>
        <v>Null</v>
      </c>
      <c r="BC224" s="2" t="str">
        <f>VLOOKUP([jobnumber],OvalData[],MATCH(Table2[[#Headers],[Outer Spring Weight]],Table2[#Headers],0),0)</f>
        <v>Null</v>
      </c>
      <c r="BD224" s="2" t="str">
        <f>VLOOKUP([jobnumber],OvalData[],MATCH(Table2[[#Headers],[Inner Spring Gage]],Table2[#Headers],0),0)</f>
        <v>Null</v>
      </c>
      <c r="BE224" s="2" t="str">
        <f>VLOOKUP([jobnumber],OvalData[],MATCH(Table2[[#Headers],[Inner Spring OD]],Table2[#Headers],0),0)</f>
        <v>Null</v>
      </c>
      <c r="BF224" s="2" t="str">
        <f>VLOOKUP([jobnumber],OvalData[],MATCH(Table2[[#Headers],[Inner Spring Length]],Table2[#Headers],0),0)</f>
        <v>Null</v>
      </c>
      <c r="BG224" s="2" t="str">
        <f>VLOOKUP([jobnumber],OvalData[],MATCH(Table2[[#Headers],[Inner Spring Stretch]],Table2[#Headers],0),0)</f>
        <v>Null</v>
      </c>
      <c r="BH224" s="2" t="str">
        <f>VLOOKUP([jobnumber],OvalData[],MATCH(Table2[[#Headers],[Inner Spring Torque]],Table2[#Headers],0),0)</f>
        <v>Null</v>
      </c>
      <c r="BI224" s="2" t="str">
        <f>VLOOKUP([jobnumber],OvalData[],MATCH(Table2[[#Headers],[Inner Spring Max Turns]],Table2[#Headers],0),0)</f>
        <v>Null</v>
      </c>
      <c r="BJ224" s="2" t="str">
        <f>VLOOKUP([jobnumber],OvalData[],MATCH(Table2[[#Headers],[Inner Spring Weight]],Table2[#Headers],0),0)</f>
        <v>Null</v>
      </c>
      <c r="BK224" s="2">
        <f>VLOOKUP([jobnumber],OvalData[],MATCH(Table2[[#Headers],[Cycles]],Table2[#Headers],0),0)</f>
        <v>0</v>
      </c>
      <c r="BL224" s="2">
        <f>VLOOKUP([jobnumber],OvalData[],MATCH(Table2[[#Headers],[Total Spring Torque]],Table2[#Headers],0),0)</f>
        <v>0</v>
      </c>
      <c r="BM224" s="2">
        <f>VLOOKUP([jobnumber],OvalData[],MATCH(Table2[[#Headers],[Total Spring Weight]],Table2[#Headers],0),0)</f>
        <v>0</v>
      </c>
      <c r="BN224" s="2">
        <f>VLOOKUP([jobnumber],OvalData[],MATCH(Table2[[#Headers],[Pipe Weight]],Table2[#Headers],0),0)</f>
        <v>688.24239999999998</v>
      </c>
      <c r="BO224" s="2">
        <f>VLOOKUP([jobnumber],OvalData[],MATCH(Table2[[#Headers],[Max Pipe Deflection]],Table2[#Headers],0),0)</f>
        <v>2309</v>
      </c>
      <c r="BP224" s="2">
        <f>VLOOKUP([jobnumber],OvalData[],MATCH(Table2[[#Headers],[Number Non-Insulated Wrap Slats]],Table2[#Headers],0),0)</f>
        <v>0</v>
      </c>
      <c r="BQ224" s="2">
        <f>VLOOKUP([jobnumber],OvalData[],MATCH(Table2[[#Headers],[Number of Insolated Top Slats]],Table2[#Headers],0),0)</f>
        <v>45</v>
      </c>
      <c r="BR224" s="2">
        <f>VLOOKUP([jobnumber],OvalData[],MATCH(Table2[[#Headers],[Insolated Total Slats]],Table2[#Headers],0),0)</f>
        <v>45</v>
      </c>
      <c r="BS224" s="2">
        <f>VLOOKUP([jobnumber],OvalData[],MATCH(Table2[[#Headers],[Number of Slats]],Table2[#Headers],0),0)</f>
        <v>44.69</v>
      </c>
      <c r="BT224" s="2">
        <f>VLOOKUP([jobnumber],OvalData[],MATCH(Table2[[#Headers],[Wrap]],Table2[#Headers],0),0)</f>
        <v>0</v>
      </c>
      <c r="BU224" s="2">
        <f>VLOOKUP([jobnumber],OvalData[],MATCH(Table2[[#Headers],[Wall Angle Thickness]],Table2[#Headers],0),0)</f>
        <v>0</v>
      </c>
      <c r="BV224" s="2">
        <f>VLOOKUP([jobnumber],OvalData[],MATCH(Table2[[#Headers],[windlocks]],Table2[#Headers],0),0)</f>
        <v>0</v>
      </c>
      <c r="BW224" s="2" t="str">
        <f>VLOOKUP([jobnumber],OvalData[],MATCH(Table2[[#Headers],[bottombartype]],Table2[#Headers],0),0)</f>
        <v>SPECIAL</v>
      </c>
      <c r="BX224" s="2">
        <f>VLOOKUP([jobnumber],OvalData[],MATCH(Table2[[#Headers],[endlockweight]],Table2[#Headers],0),0)</f>
        <v>0.17</v>
      </c>
      <c r="BY224" s="2">
        <f>VLOOKUP([jobnumber],OvalData[],MATCH(Table2[[#Headers],[Endlock Total Weight]],Table2[#Headers],0),0)</f>
        <v>7.5972999999999997</v>
      </c>
      <c r="BZ224" s="2">
        <f>VLOOKUP([jobnumber],OvalData[],MATCH(Table2[[#Headers],[Grille Weight]],Table2[#Headers],0),0)</f>
        <v>0</v>
      </c>
      <c r="CA224" s="2">
        <f>VLOOKUP([jobnumber],OvalData[],MATCH(Table2[[#Headers],[barrelrings]],Table2[#Headers],0),0)</f>
        <v>1</v>
      </c>
    </row>
    <row r="225" spans="2:79">
      <c r="B225" s="2" t="str">
        <f>VLOOKUP([jobnumber],OvalData[],MATCH(Table2[[#Headers],[Hand]],Table2[#Headers],0),0)</f>
        <v>RH</v>
      </c>
      <c r="C225" s="2" t="str">
        <f>VLOOKUP([jobnumber],OvalData[],MATCH(Table2[[#Headers],[Model]],Table2[#Headers],0),0)</f>
        <v>SFMPP</v>
      </c>
      <c r="D225" s="2" t="str">
        <f>VLOOKUP([jobnumber],OvalData[],MATCH(Table2[[#Headers],[width]],Table2[#Headers],0),0)</f>
        <v xml:space="preserve"> 18 ft.- 2"</v>
      </c>
      <c r="E225" s="2" t="str">
        <f>VLOOKUP([jobnumber],OvalData[],MATCH(Table2[[#Headers],[stopheight]],Table2[#Headers],0),0)</f>
        <v xml:space="preserve"> 10 ft.- 0"</v>
      </c>
      <c r="F225" s="2" t="str">
        <f>VLOOKUP([jobnumber],OvalData[],MATCH(Table2[[#Headers],[Between Brackets]],Table2[#Headers],0),0)</f>
        <v xml:space="preserve"> 18 ft.- 7 7/ 8"</v>
      </c>
      <c r="G225" s="2" t="str">
        <f>VLOOKUP([jobnumber],OvalData[],MATCH(Table2[[#Headers],[shell]],Table2[#Headers],0),0)</f>
        <v>6 INCH TUBE</v>
      </c>
      <c r="H225" s="2" t="str">
        <f>VLOOKUP([jobnumber],OvalData[],MATCH(Table2[[#Headers],[pipewidth]],Table2[#Headers],0),0)</f>
        <v xml:space="preserve"> 18 ft.- 1 3/ 8"</v>
      </c>
      <c r="I225" s="2">
        <f>VLOOKUP([jobnumber],OvalData[],MATCH(Table2[[#Headers],[Support Tubes]],Table2[#Headers],0),0)</f>
        <v>0</v>
      </c>
      <c r="J225" s="2">
        <f>VLOOKUP([jobnumber],OvalData[],MATCH(Table2[[#Headers],[Upset]],Table2[#Headers],0),0)</f>
        <v>2</v>
      </c>
      <c r="K225" s="2" t="str">
        <f>VLOOKUP([jobnumber],OvalData[],MATCH(Table2[[#Headers],[Guide Type]],Table2[#Headers],0),0)</f>
        <v>SN2-4 5/8-E</v>
      </c>
      <c r="L225" s="2" t="str">
        <f>VLOOKUP([jobnumber],OvalData[],MATCH(Table2[[#Headers],[Wall Angle]],Table2[#Headers],0),0)</f>
        <v xml:space="preserve"> 11 ft.- 8"</v>
      </c>
      <c r="M225" s="2" t="str">
        <f>VLOOKUP([jobnumber],OvalData[],MATCH(Table2[[#Headers],[Middle Angle]],Table2[#Headers],0),0)</f>
        <v xml:space="preserve"> 10 ft.- 4 1/ 2"</v>
      </c>
      <c r="N225" s="2" t="str">
        <f>VLOOKUP([jobnumber],OvalData[],MATCH(Table2[[#Headers],[Front Angle]],Table2[#Headers],0),0)</f>
        <v xml:space="preserve"> 10 ft.- 3"</v>
      </c>
      <c r="O225" s="2">
        <f>VLOOKUP([jobnumber],OvalData[],MATCH(Table2[[#Headers],[Pipe Center Line]],Table2[#Headers],0),0)</f>
        <v>131</v>
      </c>
      <c r="P225" s="2">
        <f>VLOOKUP([jobnumber],OvalData[],MATCH(Table2[[#Headers],[Heat Expansion Gap]],Table2[#Headers],0),0)</f>
        <v>0</v>
      </c>
      <c r="Q225" s="2">
        <f>VLOOKUP([jobnumber],OvalData[],MATCH(Table2[[#Headers],[Hanging Weight Closed]],Table2[#Headers],0),0)</f>
        <v>795</v>
      </c>
      <c r="R225" s="2">
        <f>VLOOKUP([jobnumber],OvalData[],MATCH(Table2[[#Headers],[Hanging Weight Open]],Table2[#Headers],0),0)</f>
        <v>140</v>
      </c>
      <c r="S225" s="2">
        <f>VLOOKUP([jobnumber],OvalData[],MATCH(Table2[[#Headers],[Initial Lever Arm]],Table2[#Headers],0),0)</f>
        <v>4.25</v>
      </c>
      <c r="T225" s="2">
        <f>VLOOKUP([jobnumber],OvalData[],MATCH(Table2[[#Headers],[Turns to Raise]],Table2[#Headers],0),0)</f>
        <v>3.5859999999999999</v>
      </c>
      <c r="U225" s="2">
        <f>VLOOKUP([jobnumber],OvalData[],MATCH(Table2[[#Headers],[Final Lever Arm]],Table2[#Headers],0),0)</f>
        <v>6.37</v>
      </c>
      <c r="V225" s="2">
        <f>VLOOKUP([jobnumber],OvalData[],MATCH(Table2[[#Headers],[Torque Required Closed]],Table2[#Headers],0),0)</f>
        <v>3377.9</v>
      </c>
      <c r="W225" s="2">
        <f>VLOOKUP([jobnumber],OvalData[],MATCH(Table2[[#Headers],[Torque Required Open]],Table2[#Headers],0),0)</f>
        <v>892</v>
      </c>
      <c r="X225" s="2">
        <f>VLOOKUP([jobnumber],OvalData[],MATCH(Table2[[#Headers],[Pre Turns]],Table2[#Headers],0),0)</f>
        <v>1.3332999999999999</v>
      </c>
      <c r="Y225" s="2">
        <f>VLOOKUP([jobnumber],OvalData[],MATCH(Table2[[#Headers],[Required Torque Per Turn]],Table2[#Headers],0),0)</f>
        <v>688</v>
      </c>
      <c r="Z225" s="2">
        <f>VLOOKUP([jobnumber],OvalData[],MATCH(Table2[[#Headers],[Total Turns]],Table2[#Headers],0),0)</f>
        <v>4.91</v>
      </c>
      <c r="AA225" s="2">
        <f>VLOOKUP([jobnumber],OvalData[],MATCH(Table2[[#Headers],[Grille Vision Section]],Table2[#Headers],0),0)</f>
        <v>0</v>
      </c>
      <c r="AB225" s="2">
        <f>VLOOKUP([jobnumber],OvalData[],MATCH(Table2[[#Headers],[Grille Amount]],Table2[#Headers],0),0)</f>
        <v>0</v>
      </c>
      <c r="AC225" s="2">
        <f>VLOOKUP([jobnumber],OvalData[],MATCH(Table2[[#Headers],[Grille Center]],Table2[#Headers],0),0)</f>
        <v>0</v>
      </c>
      <c r="AD225" s="2">
        <f>VLOOKUP([jobnumber],OvalData[],MATCH(Table2[[#Headers],[Grille Pattern]],Table2[#Headers],0),0)</f>
        <v>0</v>
      </c>
      <c r="AE225" s="2">
        <f>VLOOKUP([jobnumber],OvalData[],MATCH(Table2[[#Headers],[Grille First Tube]],Table2[#Headers],0),0)</f>
        <v>0</v>
      </c>
      <c r="AF225" s="2">
        <f>VLOOKUP([jobnumber],OvalData[],MATCH(Table2[[#Headers],[Grille Standard Tube]],Table2[#Headers],0),0)</f>
        <v>0</v>
      </c>
      <c r="AG225" s="2">
        <f>VLOOKUP([jobnumber],OvalData[],MATCH(Table2[[#Headers],[Grille Total Links]],Table2[#Headers],0),0)</f>
        <v>0</v>
      </c>
      <c r="AH225" s="2">
        <f>VLOOKUP([jobnumber],OvalData[],MATCH(Table2[[#Headers],[Grille Rods]],Table2[#Headers],0),0)</f>
        <v>0</v>
      </c>
      <c r="AI225" s="2">
        <f>VLOOKUP([jobnumber],OvalData[],MATCH(Table2[[#Headers],[Grille Rod Length]],Table2[#Headers],0),0)</f>
        <v>0</v>
      </c>
      <c r="AJ225" s="2">
        <f>VLOOKUP([jobnumber],OvalData[],MATCH(Table2[[#Headers],[slattype]],Table2[#Headers],0),0)</f>
        <v>2</v>
      </c>
      <c r="AK225" s="2">
        <f>VLOOKUP([jobnumber],OvalData[],MATCH(Table2[[#Headers],[slatgage]],Table2[#Headers],0),0)</f>
        <v>18</v>
      </c>
      <c r="AL225" s="2">
        <f>VLOOKUP([jobnumber],OvalData[],MATCH(Table2[[#Headers],[Numer of Top Slats]],Table2[#Headers],0),0)</f>
        <v>0</v>
      </c>
      <c r="AM225" s="2">
        <f>VLOOKUP([jobnumber],OvalData[],MATCH(Table2[[#Headers],[Number of Bottom Slats]],Table2[#Headers],0),0)</f>
        <v>0</v>
      </c>
      <c r="AN225" s="2">
        <f>VLOOKUP([jobnumber],OvalData[],MATCH(Table2[[#Headers],[Solid Bottom Height]],Table2[#Headers],0),0)</f>
        <v>0</v>
      </c>
      <c r="AO225" s="2" t="str">
        <f>VLOOKUP([jobnumber],OvalData[],MATCH(Table2[[#Headers],[slatlength]],Table2[#Headers],0),0)</f>
        <v xml:space="preserve"> 18 ft.- 5 7/ 8"</v>
      </c>
      <c r="AP225" s="2">
        <f>VLOOKUP([jobnumber],OvalData[],MATCH(Table2[[#Headers],[Bottom Slat Length]],Table2[#Headers],0),0)</f>
        <v>0</v>
      </c>
      <c r="AQ225" s="2">
        <f>VLOOKUP([jobnumber],OvalData[],MATCH(Table2[[#Headers],[Number of Perferated Slats]],Table2[#Headers],0),0)</f>
        <v>0</v>
      </c>
      <c r="AR225" s="2">
        <f>VLOOKUP([jobnumber],OvalData[],MATCH(Table2[[#Headers],[First Preferated Slat From End]],Table2[#Headers],0),0)</f>
        <v>0</v>
      </c>
      <c r="AS225" s="2">
        <f>VLOOKUP([jobnumber],OvalData[],MATCH(Table2[[#Headers],[First Preferated Slat From Bottom]],Table2[#Headers],0),0)</f>
        <v>0</v>
      </c>
      <c r="AT225" s="2">
        <f>VLOOKUP([jobnumber],OvalData[],MATCH(Table2[[#Headers],[Total Number of Slats]],Table2[#Headers],0),0)</f>
        <v>51</v>
      </c>
      <c r="AU225" s="2">
        <f>VLOOKUP([jobnumber],OvalData[],MATCH(Table2[[#Headers],[Bottom Bar Slope]],Table2[#Headers],0),0)</f>
        <v>0</v>
      </c>
      <c r="AV225" s="2">
        <f>VLOOKUP([jobnumber],OvalData[],MATCH(Table2[[#Headers],[Bottom Bar Weight]],Table2[#Headers],0),0)</f>
        <v>80.5</v>
      </c>
      <c r="AW225" s="2" t="str">
        <f>VLOOKUP([jobnumber],OvalData[],MATCH(Table2[[#Headers],[Outer Spring Gage]],Table2[#Headers],0),0)</f>
        <v>Null</v>
      </c>
      <c r="AX225" s="2" t="str">
        <f>VLOOKUP([jobnumber],OvalData[],MATCH(Table2[[#Headers],[Outer Spring OD]],Table2[#Headers],0),0)</f>
        <v>Null</v>
      </c>
      <c r="AY225" s="2" t="str">
        <f>VLOOKUP([jobnumber],OvalData[],MATCH(Table2[[#Headers],[Outer Spring Length]],Table2[#Headers],0),0)</f>
        <v>Null</v>
      </c>
      <c r="AZ225" s="2" t="str">
        <f>VLOOKUP([jobnumber],OvalData[],MATCH(Table2[[#Headers],[Outer Spring Stretch]],Table2[#Headers],0),0)</f>
        <v>Null</v>
      </c>
      <c r="BA225" s="2" t="str">
        <f>VLOOKUP([jobnumber],OvalData[],MATCH(Table2[[#Headers],[Outer Spring Torque]],Table2[#Headers],0),0)</f>
        <v>Null</v>
      </c>
      <c r="BB225" s="2" t="str">
        <f>VLOOKUP([jobnumber],OvalData[],MATCH(Table2[[#Headers],[Outer Spring Max Turns]],Table2[#Headers],0),0)</f>
        <v>Null</v>
      </c>
      <c r="BC225" s="2" t="str">
        <f>VLOOKUP([jobnumber],OvalData[],MATCH(Table2[[#Headers],[Outer Spring Weight]],Table2[#Headers],0),0)</f>
        <v>Null</v>
      </c>
      <c r="BD225" s="2" t="str">
        <f>VLOOKUP([jobnumber],OvalData[],MATCH(Table2[[#Headers],[Inner Spring Gage]],Table2[#Headers],0),0)</f>
        <v>Null</v>
      </c>
      <c r="BE225" s="2" t="str">
        <f>VLOOKUP([jobnumber],OvalData[],MATCH(Table2[[#Headers],[Inner Spring OD]],Table2[#Headers],0),0)</f>
        <v>Null</v>
      </c>
      <c r="BF225" s="2" t="str">
        <f>VLOOKUP([jobnumber],OvalData[],MATCH(Table2[[#Headers],[Inner Spring Length]],Table2[#Headers],0),0)</f>
        <v>Null</v>
      </c>
      <c r="BG225" s="2" t="str">
        <f>VLOOKUP([jobnumber],OvalData[],MATCH(Table2[[#Headers],[Inner Spring Stretch]],Table2[#Headers],0),0)</f>
        <v>Null</v>
      </c>
      <c r="BH225" s="2" t="str">
        <f>VLOOKUP([jobnumber],OvalData[],MATCH(Table2[[#Headers],[Inner Spring Torque]],Table2[#Headers],0),0)</f>
        <v>Null</v>
      </c>
      <c r="BI225" s="2" t="str">
        <f>VLOOKUP([jobnumber],OvalData[],MATCH(Table2[[#Headers],[Inner Spring Max Turns]],Table2[#Headers],0),0)</f>
        <v>Null</v>
      </c>
      <c r="BJ225" s="2" t="str">
        <f>VLOOKUP([jobnumber],OvalData[],MATCH(Table2[[#Headers],[Inner Spring Weight]],Table2[#Headers],0),0)</f>
        <v>Null</v>
      </c>
      <c r="BK225" s="2">
        <f>VLOOKUP([jobnumber],OvalData[],MATCH(Table2[[#Headers],[Cycles]],Table2[#Headers],0),0)</f>
        <v>0</v>
      </c>
      <c r="BL225" s="2">
        <f>VLOOKUP([jobnumber],OvalData[],MATCH(Table2[[#Headers],[Total Spring Torque]],Table2[#Headers],0),0)</f>
        <v>0</v>
      </c>
      <c r="BM225" s="2">
        <f>VLOOKUP([jobnumber],OvalData[],MATCH(Table2[[#Headers],[Total Spring Weight]],Table2[#Headers],0),0)</f>
        <v>0</v>
      </c>
      <c r="BN225" s="2">
        <f>VLOOKUP([jobnumber],OvalData[],MATCH(Table2[[#Headers],[Pipe Weight]],Table2[#Headers],0),0)</f>
        <v>688.24239999999998</v>
      </c>
      <c r="BO225" s="2">
        <f>VLOOKUP([jobnumber],OvalData[],MATCH(Table2[[#Headers],[Max Pipe Deflection]],Table2[#Headers],0),0)</f>
        <v>2309</v>
      </c>
      <c r="BP225" s="2">
        <f>VLOOKUP([jobnumber],OvalData[],MATCH(Table2[[#Headers],[Number Non-Insulated Wrap Slats]],Table2[#Headers],0),0)</f>
        <v>0</v>
      </c>
      <c r="BQ225" s="2">
        <f>VLOOKUP([jobnumber],OvalData[],MATCH(Table2[[#Headers],[Number of Insolated Top Slats]],Table2[#Headers],0),0)</f>
        <v>45</v>
      </c>
      <c r="BR225" s="2">
        <f>VLOOKUP([jobnumber],OvalData[],MATCH(Table2[[#Headers],[Insolated Total Slats]],Table2[#Headers],0),0)</f>
        <v>45</v>
      </c>
      <c r="BS225" s="2">
        <f>VLOOKUP([jobnumber],OvalData[],MATCH(Table2[[#Headers],[Number of Slats]],Table2[#Headers],0),0)</f>
        <v>44.69</v>
      </c>
      <c r="BT225" s="2">
        <f>VLOOKUP([jobnumber],OvalData[],MATCH(Table2[[#Headers],[Wrap]],Table2[#Headers],0),0)</f>
        <v>0</v>
      </c>
      <c r="BU225" s="2">
        <f>VLOOKUP([jobnumber],OvalData[],MATCH(Table2[[#Headers],[Wall Angle Thickness]],Table2[#Headers],0),0)</f>
        <v>0</v>
      </c>
      <c r="BV225" s="2">
        <f>VLOOKUP([jobnumber],OvalData[],MATCH(Table2[[#Headers],[windlocks]],Table2[#Headers],0),0)</f>
        <v>0</v>
      </c>
      <c r="BW225" s="2" t="str">
        <f>VLOOKUP([jobnumber],OvalData[],MATCH(Table2[[#Headers],[bottombartype]],Table2[#Headers],0),0)</f>
        <v>SPECIAL</v>
      </c>
      <c r="BX225" s="2">
        <f>VLOOKUP([jobnumber],OvalData[],MATCH(Table2[[#Headers],[endlockweight]],Table2[#Headers],0),0)</f>
        <v>0.17</v>
      </c>
      <c r="BY225" s="2">
        <f>VLOOKUP([jobnumber],OvalData[],MATCH(Table2[[#Headers],[Endlock Total Weight]],Table2[#Headers],0),0)</f>
        <v>7.5972999999999997</v>
      </c>
      <c r="BZ225" s="2">
        <f>VLOOKUP([jobnumber],OvalData[],MATCH(Table2[[#Headers],[Grille Weight]],Table2[#Headers],0),0)</f>
        <v>0</v>
      </c>
      <c r="CA225" s="2">
        <f>VLOOKUP([jobnumber],OvalData[],MATCH(Table2[[#Headers],[barrelrings]],Table2[#Headers],0),0)</f>
        <v>1</v>
      </c>
    </row>
    <row r="226" spans="2:79">
      <c r="B226" s="2" t="str">
        <f>VLOOKUP([jobnumber],OvalData[],MATCH(Table2[[#Headers],[Hand]],Table2[#Headers],0),0)</f>
        <v>RH</v>
      </c>
      <c r="C226" s="2" t="str">
        <f>VLOOKUP([jobnumber],OvalData[],MATCH(Table2[[#Headers],[Model]],Table2[#Headers],0),0)</f>
        <v>SFMPP</v>
      </c>
      <c r="D226" s="2" t="str">
        <f>VLOOKUP([jobnumber],OvalData[],MATCH(Table2[[#Headers],[width]],Table2[#Headers],0),0)</f>
        <v xml:space="preserve"> 18 ft.- 2"</v>
      </c>
      <c r="E226" s="2" t="str">
        <f>VLOOKUP([jobnumber],OvalData[],MATCH(Table2[[#Headers],[stopheight]],Table2[#Headers],0),0)</f>
        <v xml:space="preserve"> 10 ft.- 0"</v>
      </c>
      <c r="F226" s="2" t="str">
        <f>VLOOKUP([jobnumber],OvalData[],MATCH(Table2[[#Headers],[Between Brackets]],Table2[#Headers],0),0)</f>
        <v xml:space="preserve"> 18 ft.- 7 7/ 8"</v>
      </c>
      <c r="G226" s="2" t="str">
        <f>VLOOKUP([jobnumber],OvalData[],MATCH(Table2[[#Headers],[shell]],Table2[#Headers],0),0)</f>
        <v>6 INCH TUBE</v>
      </c>
      <c r="H226" s="2" t="str">
        <f>VLOOKUP([jobnumber],OvalData[],MATCH(Table2[[#Headers],[pipewidth]],Table2[#Headers],0),0)</f>
        <v xml:space="preserve"> 18 ft.- 1 3/ 8"</v>
      </c>
      <c r="I226" s="2">
        <f>VLOOKUP([jobnumber],OvalData[],MATCH(Table2[[#Headers],[Support Tubes]],Table2[#Headers],0),0)</f>
        <v>0</v>
      </c>
      <c r="J226" s="2">
        <f>VLOOKUP([jobnumber],OvalData[],MATCH(Table2[[#Headers],[Upset]],Table2[#Headers],0),0)</f>
        <v>2</v>
      </c>
      <c r="K226" s="2" t="str">
        <f>VLOOKUP([jobnumber],OvalData[],MATCH(Table2[[#Headers],[Guide Type]],Table2[#Headers],0),0)</f>
        <v>SN2-4 5/8-E</v>
      </c>
      <c r="L226" s="2" t="str">
        <f>VLOOKUP([jobnumber],OvalData[],MATCH(Table2[[#Headers],[Wall Angle]],Table2[#Headers],0),0)</f>
        <v xml:space="preserve"> 11 ft.- 8"</v>
      </c>
      <c r="M226" s="2" t="str">
        <f>VLOOKUP([jobnumber],OvalData[],MATCH(Table2[[#Headers],[Middle Angle]],Table2[#Headers],0),0)</f>
        <v xml:space="preserve"> 10 ft.- 4 1/ 2"</v>
      </c>
      <c r="N226" s="2" t="str">
        <f>VLOOKUP([jobnumber],OvalData[],MATCH(Table2[[#Headers],[Front Angle]],Table2[#Headers],0),0)</f>
        <v xml:space="preserve"> 10 ft.- 3"</v>
      </c>
      <c r="O226" s="2">
        <f>VLOOKUP([jobnumber],OvalData[],MATCH(Table2[[#Headers],[Pipe Center Line]],Table2[#Headers],0),0)</f>
        <v>131</v>
      </c>
      <c r="P226" s="2">
        <f>VLOOKUP([jobnumber],OvalData[],MATCH(Table2[[#Headers],[Heat Expansion Gap]],Table2[#Headers],0),0)</f>
        <v>0</v>
      </c>
      <c r="Q226" s="2">
        <f>VLOOKUP([jobnumber],OvalData[],MATCH(Table2[[#Headers],[Hanging Weight Closed]],Table2[#Headers],0),0)</f>
        <v>795</v>
      </c>
      <c r="R226" s="2">
        <f>VLOOKUP([jobnumber],OvalData[],MATCH(Table2[[#Headers],[Hanging Weight Open]],Table2[#Headers],0),0)</f>
        <v>140</v>
      </c>
      <c r="S226" s="2">
        <f>VLOOKUP([jobnumber],OvalData[],MATCH(Table2[[#Headers],[Initial Lever Arm]],Table2[#Headers],0),0)</f>
        <v>4.25</v>
      </c>
      <c r="T226" s="2">
        <f>VLOOKUP([jobnumber],OvalData[],MATCH(Table2[[#Headers],[Turns to Raise]],Table2[#Headers],0),0)</f>
        <v>3.5859999999999999</v>
      </c>
      <c r="U226" s="2">
        <f>VLOOKUP([jobnumber],OvalData[],MATCH(Table2[[#Headers],[Final Lever Arm]],Table2[#Headers],0),0)</f>
        <v>6.37</v>
      </c>
      <c r="V226" s="2">
        <f>VLOOKUP([jobnumber],OvalData[],MATCH(Table2[[#Headers],[Torque Required Closed]],Table2[#Headers],0),0)</f>
        <v>3377.9</v>
      </c>
      <c r="W226" s="2">
        <f>VLOOKUP([jobnumber],OvalData[],MATCH(Table2[[#Headers],[Torque Required Open]],Table2[#Headers],0),0)</f>
        <v>892</v>
      </c>
      <c r="X226" s="2">
        <f>VLOOKUP([jobnumber],OvalData[],MATCH(Table2[[#Headers],[Pre Turns]],Table2[#Headers],0),0)</f>
        <v>1.3332999999999999</v>
      </c>
      <c r="Y226" s="2">
        <f>VLOOKUP([jobnumber],OvalData[],MATCH(Table2[[#Headers],[Required Torque Per Turn]],Table2[#Headers],0),0)</f>
        <v>688</v>
      </c>
      <c r="Z226" s="2">
        <f>VLOOKUP([jobnumber],OvalData[],MATCH(Table2[[#Headers],[Total Turns]],Table2[#Headers],0),0)</f>
        <v>4.91</v>
      </c>
      <c r="AA226" s="2">
        <f>VLOOKUP([jobnumber],OvalData[],MATCH(Table2[[#Headers],[Grille Vision Section]],Table2[#Headers],0),0)</f>
        <v>0</v>
      </c>
      <c r="AB226" s="2">
        <f>VLOOKUP([jobnumber],OvalData[],MATCH(Table2[[#Headers],[Grille Amount]],Table2[#Headers],0),0)</f>
        <v>0</v>
      </c>
      <c r="AC226" s="2">
        <f>VLOOKUP([jobnumber],OvalData[],MATCH(Table2[[#Headers],[Grille Center]],Table2[#Headers],0),0)</f>
        <v>0</v>
      </c>
      <c r="AD226" s="2">
        <f>VLOOKUP([jobnumber],OvalData[],MATCH(Table2[[#Headers],[Grille Pattern]],Table2[#Headers],0),0)</f>
        <v>0</v>
      </c>
      <c r="AE226" s="2">
        <f>VLOOKUP([jobnumber],OvalData[],MATCH(Table2[[#Headers],[Grille First Tube]],Table2[#Headers],0),0)</f>
        <v>0</v>
      </c>
      <c r="AF226" s="2">
        <f>VLOOKUP([jobnumber],OvalData[],MATCH(Table2[[#Headers],[Grille Standard Tube]],Table2[#Headers],0),0)</f>
        <v>0</v>
      </c>
      <c r="AG226" s="2">
        <f>VLOOKUP([jobnumber],OvalData[],MATCH(Table2[[#Headers],[Grille Total Links]],Table2[#Headers],0),0)</f>
        <v>0</v>
      </c>
      <c r="AH226" s="2">
        <f>VLOOKUP([jobnumber],OvalData[],MATCH(Table2[[#Headers],[Grille Rods]],Table2[#Headers],0),0)</f>
        <v>0</v>
      </c>
      <c r="AI226" s="2">
        <f>VLOOKUP([jobnumber],OvalData[],MATCH(Table2[[#Headers],[Grille Rod Length]],Table2[#Headers],0),0)</f>
        <v>0</v>
      </c>
      <c r="AJ226" s="2">
        <f>VLOOKUP([jobnumber],OvalData[],MATCH(Table2[[#Headers],[slattype]],Table2[#Headers],0),0)</f>
        <v>2</v>
      </c>
      <c r="AK226" s="2">
        <f>VLOOKUP([jobnumber],OvalData[],MATCH(Table2[[#Headers],[slatgage]],Table2[#Headers],0),0)</f>
        <v>18</v>
      </c>
      <c r="AL226" s="2">
        <f>VLOOKUP([jobnumber],OvalData[],MATCH(Table2[[#Headers],[Numer of Top Slats]],Table2[#Headers],0),0)</f>
        <v>0</v>
      </c>
      <c r="AM226" s="2">
        <f>VLOOKUP([jobnumber],OvalData[],MATCH(Table2[[#Headers],[Number of Bottom Slats]],Table2[#Headers],0),0)</f>
        <v>0</v>
      </c>
      <c r="AN226" s="2">
        <f>VLOOKUP([jobnumber],OvalData[],MATCH(Table2[[#Headers],[Solid Bottom Height]],Table2[#Headers],0),0)</f>
        <v>0</v>
      </c>
      <c r="AO226" s="2" t="str">
        <f>VLOOKUP([jobnumber],OvalData[],MATCH(Table2[[#Headers],[slatlength]],Table2[#Headers],0),0)</f>
        <v xml:space="preserve"> 18 ft.- 5 7/ 8"</v>
      </c>
      <c r="AP226" s="2">
        <f>VLOOKUP([jobnumber],OvalData[],MATCH(Table2[[#Headers],[Bottom Slat Length]],Table2[#Headers],0),0)</f>
        <v>0</v>
      </c>
      <c r="AQ226" s="2">
        <f>VLOOKUP([jobnumber],OvalData[],MATCH(Table2[[#Headers],[Number of Perferated Slats]],Table2[#Headers],0),0)</f>
        <v>0</v>
      </c>
      <c r="AR226" s="2">
        <f>VLOOKUP([jobnumber],OvalData[],MATCH(Table2[[#Headers],[First Preferated Slat From End]],Table2[#Headers],0),0)</f>
        <v>0</v>
      </c>
      <c r="AS226" s="2">
        <f>VLOOKUP([jobnumber],OvalData[],MATCH(Table2[[#Headers],[First Preferated Slat From Bottom]],Table2[#Headers],0),0)</f>
        <v>0</v>
      </c>
      <c r="AT226" s="2">
        <f>VLOOKUP([jobnumber],OvalData[],MATCH(Table2[[#Headers],[Total Number of Slats]],Table2[#Headers],0),0)</f>
        <v>51</v>
      </c>
      <c r="AU226" s="2">
        <f>VLOOKUP([jobnumber],OvalData[],MATCH(Table2[[#Headers],[Bottom Bar Slope]],Table2[#Headers],0),0)</f>
        <v>0</v>
      </c>
      <c r="AV226" s="2">
        <f>VLOOKUP([jobnumber],OvalData[],MATCH(Table2[[#Headers],[Bottom Bar Weight]],Table2[#Headers],0),0)</f>
        <v>80.5</v>
      </c>
      <c r="AW226" s="2" t="str">
        <f>VLOOKUP([jobnumber],OvalData[],MATCH(Table2[[#Headers],[Outer Spring Gage]],Table2[#Headers],0),0)</f>
        <v>Null</v>
      </c>
      <c r="AX226" s="2" t="str">
        <f>VLOOKUP([jobnumber],OvalData[],MATCH(Table2[[#Headers],[Outer Spring OD]],Table2[#Headers],0),0)</f>
        <v>Null</v>
      </c>
      <c r="AY226" s="2" t="str">
        <f>VLOOKUP([jobnumber],OvalData[],MATCH(Table2[[#Headers],[Outer Spring Length]],Table2[#Headers],0),0)</f>
        <v>Null</v>
      </c>
      <c r="AZ226" s="2" t="str">
        <f>VLOOKUP([jobnumber],OvalData[],MATCH(Table2[[#Headers],[Outer Spring Stretch]],Table2[#Headers],0),0)</f>
        <v>Null</v>
      </c>
      <c r="BA226" s="2" t="str">
        <f>VLOOKUP([jobnumber],OvalData[],MATCH(Table2[[#Headers],[Outer Spring Torque]],Table2[#Headers],0),0)</f>
        <v>Null</v>
      </c>
      <c r="BB226" s="2" t="str">
        <f>VLOOKUP([jobnumber],OvalData[],MATCH(Table2[[#Headers],[Outer Spring Max Turns]],Table2[#Headers],0),0)</f>
        <v>Null</v>
      </c>
      <c r="BC226" s="2" t="str">
        <f>VLOOKUP([jobnumber],OvalData[],MATCH(Table2[[#Headers],[Outer Spring Weight]],Table2[#Headers],0),0)</f>
        <v>Null</v>
      </c>
      <c r="BD226" s="2" t="str">
        <f>VLOOKUP([jobnumber],OvalData[],MATCH(Table2[[#Headers],[Inner Spring Gage]],Table2[#Headers],0),0)</f>
        <v>Null</v>
      </c>
      <c r="BE226" s="2" t="str">
        <f>VLOOKUP([jobnumber],OvalData[],MATCH(Table2[[#Headers],[Inner Spring OD]],Table2[#Headers],0),0)</f>
        <v>Null</v>
      </c>
      <c r="BF226" s="2" t="str">
        <f>VLOOKUP([jobnumber],OvalData[],MATCH(Table2[[#Headers],[Inner Spring Length]],Table2[#Headers],0),0)</f>
        <v>Null</v>
      </c>
      <c r="BG226" s="2" t="str">
        <f>VLOOKUP([jobnumber],OvalData[],MATCH(Table2[[#Headers],[Inner Spring Stretch]],Table2[#Headers],0),0)</f>
        <v>Null</v>
      </c>
      <c r="BH226" s="2" t="str">
        <f>VLOOKUP([jobnumber],OvalData[],MATCH(Table2[[#Headers],[Inner Spring Torque]],Table2[#Headers],0),0)</f>
        <v>Null</v>
      </c>
      <c r="BI226" s="2" t="str">
        <f>VLOOKUP([jobnumber],OvalData[],MATCH(Table2[[#Headers],[Inner Spring Max Turns]],Table2[#Headers],0),0)</f>
        <v>Null</v>
      </c>
      <c r="BJ226" s="2" t="str">
        <f>VLOOKUP([jobnumber],OvalData[],MATCH(Table2[[#Headers],[Inner Spring Weight]],Table2[#Headers],0),0)</f>
        <v>Null</v>
      </c>
      <c r="BK226" s="2">
        <f>VLOOKUP([jobnumber],OvalData[],MATCH(Table2[[#Headers],[Cycles]],Table2[#Headers],0),0)</f>
        <v>0</v>
      </c>
      <c r="BL226" s="2">
        <f>VLOOKUP([jobnumber],OvalData[],MATCH(Table2[[#Headers],[Total Spring Torque]],Table2[#Headers],0),0)</f>
        <v>0</v>
      </c>
      <c r="BM226" s="2">
        <f>VLOOKUP([jobnumber],OvalData[],MATCH(Table2[[#Headers],[Total Spring Weight]],Table2[#Headers],0),0)</f>
        <v>0</v>
      </c>
      <c r="BN226" s="2">
        <f>VLOOKUP([jobnumber],OvalData[],MATCH(Table2[[#Headers],[Pipe Weight]],Table2[#Headers],0),0)</f>
        <v>688.24239999999998</v>
      </c>
      <c r="BO226" s="2">
        <f>VLOOKUP([jobnumber],OvalData[],MATCH(Table2[[#Headers],[Max Pipe Deflection]],Table2[#Headers],0),0)</f>
        <v>2309</v>
      </c>
      <c r="BP226" s="2">
        <f>VLOOKUP([jobnumber],OvalData[],MATCH(Table2[[#Headers],[Number Non-Insulated Wrap Slats]],Table2[#Headers],0),0)</f>
        <v>0</v>
      </c>
      <c r="BQ226" s="2">
        <f>VLOOKUP([jobnumber],OvalData[],MATCH(Table2[[#Headers],[Number of Insolated Top Slats]],Table2[#Headers],0),0)</f>
        <v>45</v>
      </c>
      <c r="BR226" s="2">
        <f>VLOOKUP([jobnumber],OvalData[],MATCH(Table2[[#Headers],[Insolated Total Slats]],Table2[#Headers],0),0)</f>
        <v>45</v>
      </c>
      <c r="BS226" s="2">
        <f>VLOOKUP([jobnumber],OvalData[],MATCH(Table2[[#Headers],[Number of Slats]],Table2[#Headers],0),0)</f>
        <v>44.69</v>
      </c>
      <c r="BT226" s="2">
        <f>VLOOKUP([jobnumber],OvalData[],MATCH(Table2[[#Headers],[Wrap]],Table2[#Headers],0),0)</f>
        <v>0</v>
      </c>
      <c r="BU226" s="2">
        <f>VLOOKUP([jobnumber],OvalData[],MATCH(Table2[[#Headers],[Wall Angle Thickness]],Table2[#Headers],0),0)</f>
        <v>0</v>
      </c>
      <c r="BV226" s="2">
        <f>VLOOKUP([jobnumber],OvalData[],MATCH(Table2[[#Headers],[windlocks]],Table2[#Headers],0),0)</f>
        <v>0</v>
      </c>
      <c r="BW226" s="2" t="str">
        <f>VLOOKUP([jobnumber],OvalData[],MATCH(Table2[[#Headers],[bottombartype]],Table2[#Headers],0),0)</f>
        <v>SPECIAL</v>
      </c>
      <c r="BX226" s="2">
        <f>VLOOKUP([jobnumber],OvalData[],MATCH(Table2[[#Headers],[endlockweight]],Table2[#Headers],0),0)</f>
        <v>0.17</v>
      </c>
      <c r="BY226" s="2">
        <f>VLOOKUP([jobnumber],OvalData[],MATCH(Table2[[#Headers],[Endlock Total Weight]],Table2[#Headers],0),0)</f>
        <v>7.5972999999999997</v>
      </c>
      <c r="BZ226" s="2">
        <f>VLOOKUP([jobnumber],OvalData[],MATCH(Table2[[#Headers],[Grille Weight]],Table2[#Headers],0),0)</f>
        <v>0</v>
      </c>
      <c r="CA226" s="2">
        <f>VLOOKUP([jobnumber],OvalData[],MATCH(Table2[[#Headers],[barrelrings]],Table2[#Headers],0),0)</f>
        <v>1</v>
      </c>
    </row>
    <row r="227" spans="2:79">
      <c r="B227" s="2" t="str">
        <f>VLOOKUP([jobnumber],OvalData[],MATCH(Table2[[#Headers],[Hand]],Table2[#Headers],0),0)</f>
        <v>RH</v>
      </c>
      <c r="C227" s="2" t="str">
        <f>VLOOKUP([jobnumber],OvalData[],MATCH(Table2[[#Headers],[Model]],Table2[#Headers],0),0)</f>
        <v>SFMPP</v>
      </c>
      <c r="D227" s="2" t="str">
        <f>VLOOKUP([jobnumber],OvalData[],MATCH(Table2[[#Headers],[width]],Table2[#Headers],0),0)</f>
        <v xml:space="preserve"> 18 ft.- 2"</v>
      </c>
      <c r="E227" s="2" t="str">
        <f>VLOOKUP([jobnumber],OvalData[],MATCH(Table2[[#Headers],[stopheight]],Table2[#Headers],0),0)</f>
        <v xml:space="preserve"> 10 ft.- 0"</v>
      </c>
      <c r="F227" s="2" t="str">
        <f>VLOOKUP([jobnumber],OvalData[],MATCH(Table2[[#Headers],[Between Brackets]],Table2[#Headers],0),0)</f>
        <v xml:space="preserve"> 18 ft.- 7 7/ 8"</v>
      </c>
      <c r="G227" s="2" t="str">
        <f>VLOOKUP([jobnumber],OvalData[],MATCH(Table2[[#Headers],[shell]],Table2[#Headers],0),0)</f>
        <v>6 INCH TUBE</v>
      </c>
      <c r="H227" s="2" t="str">
        <f>VLOOKUP([jobnumber],OvalData[],MATCH(Table2[[#Headers],[pipewidth]],Table2[#Headers],0),0)</f>
        <v xml:space="preserve"> 18 ft.- 1 3/ 8"</v>
      </c>
      <c r="I227" s="2">
        <f>VLOOKUP([jobnumber],OvalData[],MATCH(Table2[[#Headers],[Support Tubes]],Table2[#Headers],0),0)</f>
        <v>0</v>
      </c>
      <c r="J227" s="2">
        <f>VLOOKUP([jobnumber],OvalData[],MATCH(Table2[[#Headers],[Upset]],Table2[#Headers],0),0)</f>
        <v>2</v>
      </c>
      <c r="K227" s="2" t="str">
        <f>VLOOKUP([jobnumber],OvalData[],MATCH(Table2[[#Headers],[Guide Type]],Table2[#Headers],0),0)</f>
        <v>SN2-4 5/8-E</v>
      </c>
      <c r="L227" s="2" t="str">
        <f>VLOOKUP([jobnumber],OvalData[],MATCH(Table2[[#Headers],[Wall Angle]],Table2[#Headers],0),0)</f>
        <v xml:space="preserve"> 11 ft.- 8"</v>
      </c>
      <c r="M227" s="2" t="str">
        <f>VLOOKUP([jobnumber],OvalData[],MATCH(Table2[[#Headers],[Middle Angle]],Table2[#Headers],0),0)</f>
        <v xml:space="preserve"> 10 ft.- 4 1/ 2"</v>
      </c>
      <c r="N227" s="2" t="str">
        <f>VLOOKUP([jobnumber],OvalData[],MATCH(Table2[[#Headers],[Front Angle]],Table2[#Headers],0),0)</f>
        <v xml:space="preserve"> 10 ft.- 3"</v>
      </c>
      <c r="O227" s="2">
        <f>VLOOKUP([jobnumber],OvalData[],MATCH(Table2[[#Headers],[Pipe Center Line]],Table2[#Headers],0),0)</f>
        <v>131</v>
      </c>
      <c r="P227" s="2">
        <f>VLOOKUP([jobnumber],OvalData[],MATCH(Table2[[#Headers],[Heat Expansion Gap]],Table2[#Headers],0),0)</f>
        <v>0</v>
      </c>
      <c r="Q227" s="2">
        <f>VLOOKUP([jobnumber],OvalData[],MATCH(Table2[[#Headers],[Hanging Weight Closed]],Table2[#Headers],0),0)</f>
        <v>795</v>
      </c>
      <c r="R227" s="2">
        <f>VLOOKUP([jobnumber],OvalData[],MATCH(Table2[[#Headers],[Hanging Weight Open]],Table2[#Headers],0),0)</f>
        <v>140</v>
      </c>
      <c r="S227" s="2">
        <f>VLOOKUP([jobnumber],OvalData[],MATCH(Table2[[#Headers],[Initial Lever Arm]],Table2[#Headers],0),0)</f>
        <v>4.25</v>
      </c>
      <c r="T227" s="2">
        <f>VLOOKUP([jobnumber],OvalData[],MATCH(Table2[[#Headers],[Turns to Raise]],Table2[#Headers],0),0)</f>
        <v>3.5859999999999999</v>
      </c>
      <c r="U227" s="2">
        <f>VLOOKUP([jobnumber],OvalData[],MATCH(Table2[[#Headers],[Final Lever Arm]],Table2[#Headers],0),0)</f>
        <v>6.37</v>
      </c>
      <c r="V227" s="2">
        <f>VLOOKUP([jobnumber],OvalData[],MATCH(Table2[[#Headers],[Torque Required Closed]],Table2[#Headers],0),0)</f>
        <v>3377.9</v>
      </c>
      <c r="W227" s="2">
        <f>VLOOKUP([jobnumber],OvalData[],MATCH(Table2[[#Headers],[Torque Required Open]],Table2[#Headers],0),0)</f>
        <v>892</v>
      </c>
      <c r="X227" s="2">
        <f>VLOOKUP([jobnumber],OvalData[],MATCH(Table2[[#Headers],[Pre Turns]],Table2[#Headers],0),0)</f>
        <v>1.3332999999999999</v>
      </c>
      <c r="Y227" s="2">
        <f>VLOOKUP([jobnumber],OvalData[],MATCH(Table2[[#Headers],[Required Torque Per Turn]],Table2[#Headers],0),0)</f>
        <v>688</v>
      </c>
      <c r="Z227" s="2">
        <f>VLOOKUP([jobnumber],OvalData[],MATCH(Table2[[#Headers],[Total Turns]],Table2[#Headers],0),0)</f>
        <v>4.91</v>
      </c>
      <c r="AA227" s="2">
        <f>VLOOKUP([jobnumber],OvalData[],MATCH(Table2[[#Headers],[Grille Vision Section]],Table2[#Headers],0),0)</f>
        <v>0</v>
      </c>
      <c r="AB227" s="2">
        <f>VLOOKUP([jobnumber],OvalData[],MATCH(Table2[[#Headers],[Grille Amount]],Table2[#Headers],0),0)</f>
        <v>0</v>
      </c>
      <c r="AC227" s="2">
        <f>VLOOKUP([jobnumber],OvalData[],MATCH(Table2[[#Headers],[Grille Center]],Table2[#Headers],0),0)</f>
        <v>0</v>
      </c>
      <c r="AD227" s="2">
        <f>VLOOKUP([jobnumber],OvalData[],MATCH(Table2[[#Headers],[Grille Pattern]],Table2[#Headers],0),0)</f>
        <v>0</v>
      </c>
      <c r="AE227" s="2">
        <f>VLOOKUP([jobnumber],OvalData[],MATCH(Table2[[#Headers],[Grille First Tube]],Table2[#Headers],0),0)</f>
        <v>0</v>
      </c>
      <c r="AF227" s="2">
        <f>VLOOKUP([jobnumber],OvalData[],MATCH(Table2[[#Headers],[Grille Standard Tube]],Table2[#Headers],0),0)</f>
        <v>0</v>
      </c>
      <c r="AG227" s="2">
        <f>VLOOKUP([jobnumber],OvalData[],MATCH(Table2[[#Headers],[Grille Total Links]],Table2[#Headers],0),0)</f>
        <v>0</v>
      </c>
      <c r="AH227" s="2">
        <f>VLOOKUP([jobnumber],OvalData[],MATCH(Table2[[#Headers],[Grille Rods]],Table2[#Headers],0),0)</f>
        <v>0</v>
      </c>
      <c r="AI227" s="2">
        <f>VLOOKUP([jobnumber],OvalData[],MATCH(Table2[[#Headers],[Grille Rod Length]],Table2[#Headers],0),0)</f>
        <v>0</v>
      </c>
      <c r="AJ227" s="2">
        <f>VLOOKUP([jobnumber],OvalData[],MATCH(Table2[[#Headers],[slattype]],Table2[#Headers],0),0)</f>
        <v>2</v>
      </c>
      <c r="AK227" s="2">
        <f>VLOOKUP([jobnumber],OvalData[],MATCH(Table2[[#Headers],[slatgage]],Table2[#Headers],0),0)</f>
        <v>18</v>
      </c>
      <c r="AL227" s="2">
        <f>VLOOKUP([jobnumber],OvalData[],MATCH(Table2[[#Headers],[Numer of Top Slats]],Table2[#Headers],0),0)</f>
        <v>0</v>
      </c>
      <c r="AM227" s="2">
        <f>VLOOKUP([jobnumber],OvalData[],MATCH(Table2[[#Headers],[Number of Bottom Slats]],Table2[#Headers],0),0)</f>
        <v>0</v>
      </c>
      <c r="AN227" s="2">
        <f>VLOOKUP([jobnumber],OvalData[],MATCH(Table2[[#Headers],[Solid Bottom Height]],Table2[#Headers],0),0)</f>
        <v>0</v>
      </c>
      <c r="AO227" s="2" t="str">
        <f>VLOOKUP([jobnumber],OvalData[],MATCH(Table2[[#Headers],[slatlength]],Table2[#Headers],0),0)</f>
        <v xml:space="preserve"> 18 ft.- 5 7/ 8"</v>
      </c>
      <c r="AP227" s="2">
        <f>VLOOKUP([jobnumber],OvalData[],MATCH(Table2[[#Headers],[Bottom Slat Length]],Table2[#Headers],0),0)</f>
        <v>0</v>
      </c>
      <c r="AQ227" s="2">
        <f>VLOOKUP([jobnumber],OvalData[],MATCH(Table2[[#Headers],[Number of Perferated Slats]],Table2[#Headers],0),0)</f>
        <v>0</v>
      </c>
      <c r="AR227" s="2">
        <f>VLOOKUP([jobnumber],OvalData[],MATCH(Table2[[#Headers],[First Preferated Slat From End]],Table2[#Headers],0),0)</f>
        <v>0</v>
      </c>
      <c r="AS227" s="2">
        <f>VLOOKUP([jobnumber],OvalData[],MATCH(Table2[[#Headers],[First Preferated Slat From Bottom]],Table2[#Headers],0),0)</f>
        <v>0</v>
      </c>
      <c r="AT227" s="2">
        <f>VLOOKUP([jobnumber],OvalData[],MATCH(Table2[[#Headers],[Total Number of Slats]],Table2[#Headers],0),0)</f>
        <v>51</v>
      </c>
      <c r="AU227" s="2">
        <f>VLOOKUP([jobnumber],OvalData[],MATCH(Table2[[#Headers],[Bottom Bar Slope]],Table2[#Headers],0),0)</f>
        <v>0</v>
      </c>
      <c r="AV227" s="2">
        <f>VLOOKUP([jobnumber],OvalData[],MATCH(Table2[[#Headers],[Bottom Bar Weight]],Table2[#Headers],0),0)</f>
        <v>80.5</v>
      </c>
      <c r="AW227" s="2" t="str">
        <f>VLOOKUP([jobnumber],OvalData[],MATCH(Table2[[#Headers],[Outer Spring Gage]],Table2[#Headers],0),0)</f>
        <v>Null</v>
      </c>
      <c r="AX227" s="2" t="str">
        <f>VLOOKUP([jobnumber],OvalData[],MATCH(Table2[[#Headers],[Outer Spring OD]],Table2[#Headers],0),0)</f>
        <v>Null</v>
      </c>
      <c r="AY227" s="2" t="str">
        <f>VLOOKUP([jobnumber],OvalData[],MATCH(Table2[[#Headers],[Outer Spring Length]],Table2[#Headers],0),0)</f>
        <v>Null</v>
      </c>
      <c r="AZ227" s="2" t="str">
        <f>VLOOKUP([jobnumber],OvalData[],MATCH(Table2[[#Headers],[Outer Spring Stretch]],Table2[#Headers],0),0)</f>
        <v>Null</v>
      </c>
      <c r="BA227" s="2" t="str">
        <f>VLOOKUP([jobnumber],OvalData[],MATCH(Table2[[#Headers],[Outer Spring Torque]],Table2[#Headers],0),0)</f>
        <v>Null</v>
      </c>
      <c r="BB227" s="2" t="str">
        <f>VLOOKUP([jobnumber],OvalData[],MATCH(Table2[[#Headers],[Outer Spring Max Turns]],Table2[#Headers],0),0)</f>
        <v>Null</v>
      </c>
      <c r="BC227" s="2" t="str">
        <f>VLOOKUP([jobnumber],OvalData[],MATCH(Table2[[#Headers],[Outer Spring Weight]],Table2[#Headers],0),0)</f>
        <v>Null</v>
      </c>
      <c r="BD227" s="2" t="str">
        <f>VLOOKUP([jobnumber],OvalData[],MATCH(Table2[[#Headers],[Inner Spring Gage]],Table2[#Headers],0),0)</f>
        <v>Null</v>
      </c>
      <c r="BE227" s="2" t="str">
        <f>VLOOKUP([jobnumber],OvalData[],MATCH(Table2[[#Headers],[Inner Spring OD]],Table2[#Headers],0),0)</f>
        <v>Null</v>
      </c>
      <c r="BF227" s="2" t="str">
        <f>VLOOKUP([jobnumber],OvalData[],MATCH(Table2[[#Headers],[Inner Spring Length]],Table2[#Headers],0),0)</f>
        <v>Null</v>
      </c>
      <c r="BG227" s="2" t="str">
        <f>VLOOKUP([jobnumber],OvalData[],MATCH(Table2[[#Headers],[Inner Spring Stretch]],Table2[#Headers],0),0)</f>
        <v>Null</v>
      </c>
      <c r="BH227" s="2" t="str">
        <f>VLOOKUP([jobnumber],OvalData[],MATCH(Table2[[#Headers],[Inner Spring Torque]],Table2[#Headers],0),0)</f>
        <v>Null</v>
      </c>
      <c r="BI227" s="2" t="str">
        <f>VLOOKUP([jobnumber],OvalData[],MATCH(Table2[[#Headers],[Inner Spring Max Turns]],Table2[#Headers],0),0)</f>
        <v>Null</v>
      </c>
      <c r="BJ227" s="2" t="str">
        <f>VLOOKUP([jobnumber],OvalData[],MATCH(Table2[[#Headers],[Inner Spring Weight]],Table2[#Headers],0),0)</f>
        <v>Null</v>
      </c>
      <c r="BK227" s="2">
        <f>VLOOKUP([jobnumber],OvalData[],MATCH(Table2[[#Headers],[Cycles]],Table2[#Headers],0),0)</f>
        <v>0</v>
      </c>
      <c r="BL227" s="2">
        <f>VLOOKUP([jobnumber],OvalData[],MATCH(Table2[[#Headers],[Total Spring Torque]],Table2[#Headers],0),0)</f>
        <v>0</v>
      </c>
      <c r="BM227" s="2">
        <f>VLOOKUP([jobnumber],OvalData[],MATCH(Table2[[#Headers],[Total Spring Weight]],Table2[#Headers],0),0)</f>
        <v>0</v>
      </c>
      <c r="BN227" s="2">
        <f>VLOOKUP([jobnumber],OvalData[],MATCH(Table2[[#Headers],[Pipe Weight]],Table2[#Headers],0),0)</f>
        <v>688.24239999999998</v>
      </c>
      <c r="BO227" s="2">
        <f>VLOOKUP([jobnumber],OvalData[],MATCH(Table2[[#Headers],[Max Pipe Deflection]],Table2[#Headers],0),0)</f>
        <v>2309</v>
      </c>
      <c r="BP227" s="2">
        <f>VLOOKUP([jobnumber],OvalData[],MATCH(Table2[[#Headers],[Number Non-Insulated Wrap Slats]],Table2[#Headers],0),0)</f>
        <v>0</v>
      </c>
      <c r="BQ227" s="2">
        <f>VLOOKUP([jobnumber],OvalData[],MATCH(Table2[[#Headers],[Number of Insolated Top Slats]],Table2[#Headers],0),0)</f>
        <v>45</v>
      </c>
      <c r="BR227" s="2">
        <f>VLOOKUP([jobnumber],OvalData[],MATCH(Table2[[#Headers],[Insolated Total Slats]],Table2[#Headers],0),0)</f>
        <v>45</v>
      </c>
      <c r="BS227" s="2">
        <f>VLOOKUP([jobnumber],OvalData[],MATCH(Table2[[#Headers],[Number of Slats]],Table2[#Headers],0),0)</f>
        <v>44.69</v>
      </c>
      <c r="BT227" s="2">
        <f>VLOOKUP([jobnumber],OvalData[],MATCH(Table2[[#Headers],[Wrap]],Table2[#Headers],0),0)</f>
        <v>0</v>
      </c>
      <c r="BU227" s="2">
        <f>VLOOKUP([jobnumber],OvalData[],MATCH(Table2[[#Headers],[Wall Angle Thickness]],Table2[#Headers],0),0)</f>
        <v>0</v>
      </c>
      <c r="BV227" s="2">
        <f>VLOOKUP([jobnumber],OvalData[],MATCH(Table2[[#Headers],[windlocks]],Table2[#Headers],0),0)</f>
        <v>0</v>
      </c>
      <c r="BW227" s="2" t="str">
        <f>VLOOKUP([jobnumber],OvalData[],MATCH(Table2[[#Headers],[bottombartype]],Table2[#Headers],0),0)</f>
        <v>SPECIAL</v>
      </c>
      <c r="BX227" s="2">
        <f>VLOOKUP([jobnumber],OvalData[],MATCH(Table2[[#Headers],[endlockweight]],Table2[#Headers],0),0)</f>
        <v>0.17</v>
      </c>
      <c r="BY227" s="2">
        <f>VLOOKUP([jobnumber],OvalData[],MATCH(Table2[[#Headers],[Endlock Total Weight]],Table2[#Headers],0),0)</f>
        <v>7.5972999999999997</v>
      </c>
      <c r="BZ227" s="2">
        <f>VLOOKUP([jobnumber],OvalData[],MATCH(Table2[[#Headers],[Grille Weight]],Table2[#Headers],0),0)</f>
        <v>0</v>
      </c>
      <c r="CA227" s="2">
        <f>VLOOKUP([jobnumber],OvalData[],MATCH(Table2[[#Headers],[barrelrings]],Table2[#Headers],0),0)</f>
        <v>1</v>
      </c>
    </row>
    <row r="228" spans="2:79">
      <c r="B228" s="2" t="str">
        <f>VLOOKUP([jobnumber],OvalData[],MATCH(Table2[[#Headers],[Hand]],Table2[#Headers],0),0)</f>
        <v>RH</v>
      </c>
      <c r="C228" s="2" t="str">
        <f>VLOOKUP([jobnumber],OvalData[],MATCH(Table2[[#Headers],[Model]],Table2[#Headers],0),0)</f>
        <v>SFMPP</v>
      </c>
      <c r="D228" s="2" t="str">
        <f>VLOOKUP([jobnumber],OvalData[],MATCH(Table2[[#Headers],[width]],Table2[#Headers],0),0)</f>
        <v xml:space="preserve"> 18 ft.- 2"</v>
      </c>
      <c r="E228" s="2" t="str">
        <f>VLOOKUP([jobnumber],OvalData[],MATCH(Table2[[#Headers],[stopheight]],Table2[#Headers],0),0)</f>
        <v xml:space="preserve"> 10 ft.- 0"</v>
      </c>
      <c r="F228" s="2" t="str">
        <f>VLOOKUP([jobnumber],OvalData[],MATCH(Table2[[#Headers],[Between Brackets]],Table2[#Headers],0),0)</f>
        <v xml:space="preserve"> 18 ft.- 7 7/ 8"</v>
      </c>
      <c r="G228" s="2" t="str">
        <f>VLOOKUP([jobnumber],OvalData[],MATCH(Table2[[#Headers],[shell]],Table2[#Headers],0),0)</f>
        <v>6 INCH TUBE</v>
      </c>
      <c r="H228" s="2" t="str">
        <f>VLOOKUP([jobnumber],OvalData[],MATCH(Table2[[#Headers],[pipewidth]],Table2[#Headers],0),0)</f>
        <v xml:space="preserve"> 18 ft.- 1 3/ 8"</v>
      </c>
      <c r="I228" s="2">
        <f>VLOOKUP([jobnumber],OvalData[],MATCH(Table2[[#Headers],[Support Tubes]],Table2[#Headers],0),0)</f>
        <v>0</v>
      </c>
      <c r="J228" s="2">
        <f>VLOOKUP([jobnumber],OvalData[],MATCH(Table2[[#Headers],[Upset]],Table2[#Headers],0),0)</f>
        <v>2</v>
      </c>
      <c r="K228" s="2" t="str">
        <f>VLOOKUP([jobnumber],OvalData[],MATCH(Table2[[#Headers],[Guide Type]],Table2[#Headers],0),0)</f>
        <v>SN2-4 5/8-E</v>
      </c>
      <c r="L228" s="2" t="str">
        <f>VLOOKUP([jobnumber],OvalData[],MATCH(Table2[[#Headers],[Wall Angle]],Table2[#Headers],0),0)</f>
        <v xml:space="preserve"> 11 ft.- 8"</v>
      </c>
      <c r="M228" s="2" t="str">
        <f>VLOOKUP([jobnumber],OvalData[],MATCH(Table2[[#Headers],[Middle Angle]],Table2[#Headers],0),0)</f>
        <v xml:space="preserve"> 10 ft.- 4 1/ 2"</v>
      </c>
      <c r="N228" s="2" t="str">
        <f>VLOOKUP([jobnumber],OvalData[],MATCH(Table2[[#Headers],[Front Angle]],Table2[#Headers],0),0)</f>
        <v xml:space="preserve"> 10 ft.- 3"</v>
      </c>
      <c r="O228" s="2">
        <f>VLOOKUP([jobnumber],OvalData[],MATCH(Table2[[#Headers],[Pipe Center Line]],Table2[#Headers],0),0)</f>
        <v>131</v>
      </c>
      <c r="P228" s="2">
        <f>VLOOKUP([jobnumber],OvalData[],MATCH(Table2[[#Headers],[Heat Expansion Gap]],Table2[#Headers],0),0)</f>
        <v>0</v>
      </c>
      <c r="Q228" s="2">
        <f>VLOOKUP([jobnumber],OvalData[],MATCH(Table2[[#Headers],[Hanging Weight Closed]],Table2[#Headers],0),0)</f>
        <v>795</v>
      </c>
      <c r="R228" s="2">
        <f>VLOOKUP([jobnumber],OvalData[],MATCH(Table2[[#Headers],[Hanging Weight Open]],Table2[#Headers],0),0)</f>
        <v>140</v>
      </c>
      <c r="S228" s="2">
        <f>VLOOKUP([jobnumber],OvalData[],MATCH(Table2[[#Headers],[Initial Lever Arm]],Table2[#Headers],0),0)</f>
        <v>4.25</v>
      </c>
      <c r="T228" s="2">
        <f>VLOOKUP([jobnumber],OvalData[],MATCH(Table2[[#Headers],[Turns to Raise]],Table2[#Headers],0),0)</f>
        <v>3.5859999999999999</v>
      </c>
      <c r="U228" s="2">
        <f>VLOOKUP([jobnumber],OvalData[],MATCH(Table2[[#Headers],[Final Lever Arm]],Table2[#Headers],0),0)</f>
        <v>6.37</v>
      </c>
      <c r="V228" s="2">
        <f>VLOOKUP([jobnumber],OvalData[],MATCH(Table2[[#Headers],[Torque Required Closed]],Table2[#Headers],0),0)</f>
        <v>3377.9</v>
      </c>
      <c r="W228" s="2">
        <f>VLOOKUP([jobnumber],OvalData[],MATCH(Table2[[#Headers],[Torque Required Open]],Table2[#Headers],0),0)</f>
        <v>892</v>
      </c>
      <c r="X228" s="2">
        <f>VLOOKUP([jobnumber],OvalData[],MATCH(Table2[[#Headers],[Pre Turns]],Table2[#Headers],0),0)</f>
        <v>1.3332999999999999</v>
      </c>
      <c r="Y228" s="2">
        <f>VLOOKUP([jobnumber],OvalData[],MATCH(Table2[[#Headers],[Required Torque Per Turn]],Table2[#Headers],0),0)</f>
        <v>688</v>
      </c>
      <c r="Z228" s="2">
        <f>VLOOKUP([jobnumber],OvalData[],MATCH(Table2[[#Headers],[Total Turns]],Table2[#Headers],0),0)</f>
        <v>4.91</v>
      </c>
      <c r="AA228" s="2">
        <f>VLOOKUP([jobnumber],OvalData[],MATCH(Table2[[#Headers],[Grille Vision Section]],Table2[#Headers],0),0)</f>
        <v>0</v>
      </c>
      <c r="AB228" s="2">
        <f>VLOOKUP([jobnumber],OvalData[],MATCH(Table2[[#Headers],[Grille Amount]],Table2[#Headers],0),0)</f>
        <v>0</v>
      </c>
      <c r="AC228" s="2">
        <f>VLOOKUP([jobnumber],OvalData[],MATCH(Table2[[#Headers],[Grille Center]],Table2[#Headers],0),0)</f>
        <v>0</v>
      </c>
      <c r="AD228" s="2">
        <f>VLOOKUP([jobnumber],OvalData[],MATCH(Table2[[#Headers],[Grille Pattern]],Table2[#Headers],0),0)</f>
        <v>0</v>
      </c>
      <c r="AE228" s="2">
        <f>VLOOKUP([jobnumber],OvalData[],MATCH(Table2[[#Headers],[Grille First Tube]],Table2[#Headers],0),0)</f>
        <v>0</v>
      </c>
      <c r="AF228" s="2">
        <f>VLOOKUP([jobnumber],OvalData[],MATCH(Table2[[#Headers],[Grille Standard Tube]],Table2[#Headers],0),0)</f>
        <v>0</v>
      </c>
      <c r="AG228" s="2">
        <f>VLOOKUP([jobnumber],OvalData[],MATCH(Table2[[#Headers],[Grille Total Links]],Table2[#Headers],0),0)</f>
        <v>0</v>
      </c>
      <c r="AH228" s="2">
        <f>VLOOKUP([jobnumber],OvalData[],MATCH(Table2[[#Headers],[Grille Rods]],Table2[#Headers],0),0)</f>
        <v>0</v>
      </c>
      <c r="AI228" s="2">
        <f>VLOOKUP([jobnumber],OvalData[],MATCH(Table2[[#Headers],[Grille Rod Length]],Table2[#Headers],0),0)</f>
        <v>0</v>
      </c>
      <c r="AJ228" s="2">
        <f>VLOOKUP([jobnumber],OvalData[],MATCH(Table2[[#Headers],[slattype]],Table2[#Headers],0),0)</f>
        <v>2</v>
      </c>
      <c r="AK228" s="2">
        <f>VLOOKUP([jobnumber],OvalData[],MATCH(Table2[[#Headers],[slatgage]],Table2[#Headers],0),0)</f>
        <v>18</v>
      </c>
      <c r="AL228" s="2">
        <f>VLOOKUP([jobnumber],OvalData[],MATCH(Table2[[#Headers],[Numer of Top Slats]],Table2[#Headers],0),0)</f>
        <v>0</v>
      </c>
      <c r="AM228" s="2">
        <f>VLOOKUP([jobnumber],OvalData[],MATCH(Table2[[#Headers],[Number of Bottom Slats]],Table2[#Headers],0),0)</f>
        <v>0</v>
      </c>
      <c r="AN228" s="2">
        <f>VLOOKUP([jobnumber],OvalData[],MATCH(Table2[[#Headers],[Solid Bottom Height]],Table2[#Headers],0),0)</f>
        <v>0</v>
      </c>
      <c r="AO228" s="2" t="str">
        <f>VLOOKUP([jobnumber],OvalData[],MATCH(Table2[[#Headers],[slatlength]],Table2[#Headers],0),0)</f>
        <v xml:space="preserve"> 18 ft.- 5 7/ 8"</v>
      </c>
      <c r="AP228" s="2">
        <f>VLOOKUP([jobnumber],OvalData[],MATCH(Table2[[#Headers],[Bottom Slat Length]],Table2[#Headers],0),0)</f>
        <v>0</v>
      </c>
      <c r="AQ228" s="2">
        <f>VLOOKUP([jobnumber],OvalData[],MATCH(Table2[[#Headers],[Number of Perferated Slats]],Table2[#Headers],0),0)</f>
        <v>0</v>
      </c>
      <c r="AR228" s="2">
        <f>VLOOKUP([jobnumber],OvalData[],MATCH(Table2[[#Headers],[First Preferated Slat From End]],Table2[#Headers],0),0)</f>
        <v>0</v>
      </c>
      <c r="AS228" s="2">
        <f>VLOOKUP([jobnumber],OvalData[],MATCH(Table2[[#Headers],[First Preferated Slat From Bottom]],Table2[#Headers],0),0)</f>
        <v>0</v>
      </c>
      <c r="AT228" s="2">
        <f>VLOOKUP([jobnumber],OvalData[],MATCH(Table2[[#Headers],[Total Number of Slats]],Table2[#Headers],0),0)</f>
        <v>51</v>
      </c>
      <c r="AU228" s="2">
        <f>VLOOKUP([jobnumber],OvalData[],MATCH(Table2[[#Headers],[Bottom Bar Slope]],Table2[#Headers],0),0)</f>
        <v>0</v>
      </c>
      <c r="AV228" s="2">
        <f>VLOOKUP([jobnumber],OvalData[],MATCH(Table2[[#Headers],[Bottom Bar Weight]],Table2[#Headers],0),0)</f>
        <v>80.5</v>
      </c>
      <c r="AW228" s="2" t="str">
        <f>VLOOKUP([jobnumber],OvalData[],MATCH(Table2[[#Headers],[Outer Spring Gage]],Table2[#Headers],0),0)</f>
        <v>Null</v>
      </c>
      <c r="AX228" s="2" t="str">
        <f>VLOOKUP([jobnumber],OvalData[],MATCH(Table2[[#Headers],[Outer Spring OD]],Table2[#Headers],0),0)</f>
        <v>Null</v>
      </c>
      <c r="AY228" s="2" t="str">
        <f>VLOOKUP([jobnumber],OvalData[],MATCH(Table2[[#Headers],[Outer Spring Length]],Table2[#Headers],0),0)</f>
        <v>Null</v>
      </c>
      <c r="AZ228" s="2" t="str">
        <f>VLOOKUP([jobnumber],OvalData[],MATCH(Table2[[#Headers],[Outer Spring Stretch]],Table2[#Headers],0),0)</f>
        <v>Null</v>
      </c>
      <c r="BA228" s="2" t="str">
        <f>VLOOKUP([jobnumber],OvalData[],MATCH(Table2[[#Headers],[Outer Spring Torque]],Table2[#Headers],0),0)</f>
        <v>Null</v>
      </c>
      <c r="BB228" s="2" t="str">
        <f>VLOOKUP([jobnumber],OvalData[],MATCH(Table2[[#Headers],[Outer Spring Max Turns]],Table2[#Headers],0),0)</f>
        <v>Null</v>
      </c>
      <c r="BC228" s="2" t="str">
        <f>VLOOKUP([jobnumber],OvalData[],MATCH(Table2[[#Headers],[Outer Spring Weight]],Table2[#Headers],0),0)</f>
        <v>Null</v>
      </c>
      <c r="BD228" s="2" t="str">
        <f>VLOOKUP([jobnumber],OvalData[],MATCH(Table2[[#Headers],[Inner Spring Gage]],Table2[#Headers],0),0)</f>
        <v>Null</v>
      </c>
      <c r="BE228" s="2" t="str">
        <f>VLOOKUP([jobnumber],OvalData[],MATCH(Table2[[#Headers],[Inner Spring OD]],Table2[#Headers],0),0)</f>
        <v>Null</v>
      </c>
      <c r="BF228" s="2" t="str">
        <f>VLOOKUP([jobnumber],OvalData[],MATCH(Table2[[#Headers],[Inner Spring Length]],Table2[#Headers],0),0)</f>
        <v>Null</v>
      </c>
      <c r="BG228" s="2" t="str">
        <f>VLOOKUP([jobnumber],OvalData[],MATCH(Table2[[#Headers],[Inner Spring Stretch]],Table2[#Headers],0),0)</f>
        <v>Null</v>
      </c>
      <c r="BH228" s="2" t="str">
        <f>VLOOKUP([jobnumber],OvalData[],MATCH(Table2[[#Headers],[Inner Spring Torque]],Table2[#Headers],0),0)</f>
        <v>Null</v>
      </c>
      <c r="BI228" s="2" t="str">
        <f>VLOOKUP([jobnumber],OvalData[],MATCH(Table2[[#Headers],[Inner Spring Max Turns]],Table2[#Headers],0),0)</f>
        <v>Null</v>
      </c>
      <c r="BJ228" s="2" t="str">
        <f>VLOOKUP([jobnumber],OvalData[],MATCH(Table2[[#Headers],[Inner Spring Weight]],Table2[#Headers],0),0)</f>
        <v>Null</v>
      </c>
      <c r="BK228" s="2">
        <f>VLOOKUP([jobnumber],OvalData[],MATCH(Table2[[#Headers],[Cycles]],Table2[#Headers],0),0)</f>
        <v>0</v>
      </c>
      <c r="BL228" s="2">
        <f>VLOOKUP([jobnumber],OvalData[],MATCH(Table2[[#Headers],[Total Spring Torque]],Table2[#Headers],0),0)</f>
        <v>0</v>
      </c>
      <c r="BM228" s="2">
        <f>VLOOKUP([jobnumber],OvalData[],MATCH(Table2[[#Headers],[Total Spring Weight]],Table2[#Headers],0),0)</f>
        <v>0</v>
      </c>
      <c r="BN228" s="2">
        <f>VLOOKUP([jobnumber],OvalData[],MATCH(Table2[[#Headers],[Pipe Weight]],Table2[#Headers],0),0)</f>
        <v>688.24239999999998</v>
      </c>
      <c r="BO228" s="2">
        <f>VLOOKUP([jobnumber],OvalData[],MATCH(Table2[[#Headers],[Max Pipe Deflection]],Table2[#Headers],0),0)</f>
        <v>2309</v>
      </c>
      <c r="BP228" s="2">
        <f>VLOOKUP([jobnumber],OvalData[],MATCH(Table2[[#Headers],[Number Non-Insulated Wrap Slats]],Table2[#Headers],0),0)</f>
        <v>0</v>
      </c>
      <c r="BQ228" s="2">
        <f>VLOOKUP([jobnumber],OvalData[],MATCH(Table2[[#Headers],[Number of Insolated Top Slats]],Table2[#Headers],0),0)</f>
        <v>45</v>
      </c>
      <c r="BR228" s="2">
        <f>VLOOKUP([jobnumber],OvalData[],MATCH(Table2[[#Headers],[Insolated Total Slats]],Table2[#Headers],0),0)</f>
        <v>45</v>
      </c>
      <c r="BS228" s="2">
        <f>VLOOKUP([jobnumber],OvalData[],MATCH(Table2[[#Headers],[Number of Slats]],Table2[#Headers],0),0)</f>
        <v>44.69</v>
      </c>
      <c r="BT228" s="2">
        <f>VLOOKUP([jobnumber],OvalData[],MATCH(Table2[[#Headers],[Wrap]],Table2[#Headers],0),0)</f>
        <v>0</v>
      </c>
      <c r="BU228" s="2">
        <f>VLOOKUP([jobnumber],OvalData[],MATCH(Table2[[#Headers],[Wall Angle Thickness]],Table2[#Headers],0),0)</f>
        <v>0</v>
      </c>
      <c r="BV228" s="2">
        <f>VLOOKUP([jobnumber],OvalData[],MATCH(Table2[[#Headers],[windlocks]],Table2[#Headers],0),0)</f>
        <v>0</v>
      </c>
      <c r="BW228" s="2" t="str">
        <f>VLOOKUP([jobnumber],OvalData[],MATCH(Table2[[#Headers],[bottombartype]],Table2[#Headers],0),0)</f>
        <v>SPECIAL</v>
      </c>
      <c r="BX228" s="2">
        <f>VLOOKUP([jobnumber],OvalData[],MATCH(Table2[[#Headers],[endlockweight]],Table2[#Headers],0),0)</f>
        <v>0.17</v>
      </c>
      <c r="BY228" s="2">
        <f>VLOOKUP([jobnumber],OvalData[],MATCH(Table2[[#Headers],[Endlock Total Weight]],Table2[#Headers],0),0)</f>
        <v>7.5972999999999997</v>
      </c>
      <c r="BZ228" s="2">
        <f>VLOOKUP([jobnumber],OvalData[],MATCH(Table2[[#Headers],[Grille Weight]],Table2[#Headers],0),0)</f>
        <v>0</v>
      </c>
      <c r="CA228" s="2">
        <f>VLOOKUP([jobnumber],OvalData[],MATCH(Table2[[#Headers],[barrelrings]],Table2[#Headers],0),0)</f>
        <v>1</v>
      </c>
    </row>
    <row r="229" spans="2:79">
      <c r="B229" s="2" t="str">
        <f>VLOOKUP([jobnumber],OvalData[],MATCH(Table2[[#Headers],[Hand]],Table2[#Headers],0),0)</f>
        <v>RH</v>
      </c>
      <c r="C229" s="2" t="str">
        <f>VLOOKUP([jobnumber],OvalData[],MATCH(Table2[[#Headers],[Model]],Table2[#Headers],0),0)</f>
        <v>SFMPP</v>
      </c>
      <c r="D229" s="2" t="str">
        <f>VLOOKUP([jobnumber],OvalData[],MATCH(Table2[[#Headers],[width]],Table2[#Headers],0),0)</f>
        <v xml:space="preserve"> 18 ft.- 2"</v>
      </c>
      <c r="E229" s="2" t="str">
        <f>VLOOKUP([jobnumber],OvalData[],MATCH(Table2[[#Headers],[stopheight]],Table2[#Headers],0),0)</f>
        <v xml:space="preserve"> 10 ft.- 0"</v>
      </c>
      <c r="F229" s="2" t="str">
        <f>VLOOKUP([jobnumber],OvalData[],MATCH(Table2[[#Headers],[Between Brackets]],Table2[#Headers],0),0)</f>
        <v xml:space="preserve"> 18 ft.- 7 7/ 8"</v>
      </c>
      <c r="G229" s="2" t="str">
        <f>VLOOKUP([jobnumber],OvalData[],MATCH(Table2[[#Headers],[shell]],Table2[#Headers],0),0)</f>
        <v>6 INCH TUBE</v>
      </c>
      <c r="H229" s="2" t="str">
        <f>VLOOKUP([jobnumber],OvalData[],MATCH(Table2[[#Headers],[pipewidth]],Table2[#Headers],0),0)</f>
        <v xml:space="preserve"> 18 ft.- 1 3/ 8"</v>
      </c>
      <c r="I229" s="2">
        <f>VLOOKUP([jobnumber],OvalData[],MATCH(Table2[[#Headers],[Support Tubes]],Table2[#Headers],0),0)</f>
        <v>0</v>
      </c>
      <c r="J229" s="2">
        <f>VLOOKUP([jobnumber],OvalData[],MATCH(Table2[[#Headers],[Upset]],Table2[#Headers],0),0)</f>
        <v>2</v>
      </c>
      <c r="K229" s="2" t="str">
        <f>VLOOKUP([jobnumber],OvalData[],MATCH(Table2[[#Headers],[Guide Type]],Table2[#Headers],0),0)</f>
        <v>SN2-4 5/8-E</v>
      </c>
      <c r="L229" s="2" t="str">
        <f>VLOOKUP([jobnumber],OvalData[],MATCH(Table2[[#Headers],[Wall Angle]],Table2[#Headers],0),0)</f>
        <v xml:space="preserve"> 11 ft.- 8"</v>
      </c>
      <c r="M229" s="2" t="str">
        <f>VLOOKUP([jobnumber],OvalData[],MATCH(Table2[[#Headers],[Middle Angle]],Table2[#Headers],0),0)</f>
        <v xml:space="preserve"> 10 ft.- 4 1/ 2"</v>
      </c>
      <c r="N229" s="2" t="str">
        <f>VLOOKUP([jobnumber],OvalData[],MATCH(Table2[[#Headers],[Front Angle]],Table2[#Headers],0),0)</f>
        <v xml:space="preserve"> 10 ft.- 3"</v>
      </c>
      <c r="O229" s="2">
        <f>VLOOKUP([jobnumber],OvalData[],MATCH(Table2[[#Headers],[Pipe Center Line]],Table2[#Headers],0),0)</f>
        <v>131</v>
      </c>
      <c r="P229" s="2">
        <f>VLOOKUP([jobnumber],OvalData[],MATCH(Table2[[#Headers],[Heat Expansion Gap]],Table2[#Headers],0),0)</f>
        <v>0</v>
      </c>
      <c r="Q229" s="2">
        <f>VLOOKUP([jobnumber],OvalData[],MATCH(Table2[[#Headers],[Hanging Weight Closed]],Table2[#Headers],0),0)</f>
        <v>795</v>
      </c>
      <c r="R229" s="2">
        <f>VLOOKUP([jobnumber],OvalData[],MATCH(Table2[[#Headers],[Hanging Weight Open]],Table2[#Headers],0),0)</f>
        <v>140</v>
      </c>
      <c r="S229" s="2">
        <f>VLOOKUP([jobnumber],OvalData[],MATCH(Table2[[#Headers],[Initial Lever Arm]],Table2[#Headers],0),0)</f>
        <v>4.25</v>
      </c>
      <c r="T229" s="2">
        <f>VLOOKUP([jobnumber],OvalData[],MATCH(Table2[[#Headers],[Turns to Raise]],Table2[#Headers],0),0)</f>
        <v>3.5859999999999999</v>
      </c>
      <c r="U229" s="2">
        <f>VLOOKUP([jobnumber],OvalData[],MATCH(Table2[[#Headers],[Final Lever Arm]],Table2[#Headers],0),0)</f>
        <v>6.37</v>
      </c>
      <c r="V229" s="2">
        <f>VLOOKUP([jobnumber],OvalData[],MATCH(Table2[[#Headers],[Torque Required Closed]],Table2[#Headers],0),0)</f>
        <v>3377.9</v>
      </c>
      <c r="W229" s="2">
        <f>VLOOKUP([jobnumber],OvalData[],MATCH(Table2[[#Headers],[Torque Required Open]],Table2[#Headers],0),0)</f>
        <v>892</v>
      </c>
      <c r="X229" s="2">
        <f>VLOOKUP([jobnumber],OvalData[],MATCH(Table2[[#Headers],[Pre Turns]],Table2[#Headers],0),0)</f>
        <v>1.3332999999999999</v>
      </c>
      <c r="Y229" s="2">
        <f>VLOOKUP([jobnumber],OvalData[],MATCH(Table2[[#Headers],[Required Torque Per Turn]],Table2[#Headers],0),0)</f>
        <v>688</v>
      </c>
      <c r="Z229" s="2">
        <f>VLOOKUP([jobnumber],OvalData[],MATCH(Table2[[#Headers],[Total Turns]],Table2[#Headers],0),0)</f>
        <v>4.91</v>
      </c>
      <c r="AA229" s="2">
        <f>VLOOKUP([jobnumber],OvalData[],MATCH(Table2[[#Headers],[Grille Vision Section]],Table2[#Headers],0),0)</f>
        <v>0</v>
      </c>
      <c r="AB229" s="2">
        <f>VLOOKUP([jobnumber],OvalData[],MATCH(Table2[[#Headers],[Grille Amount]],Table2[#Headers],0),0)</f>
        <v>0</v>
      </c>
      <c r="AC229" s="2">
        <f>VLOOKUP([jobnumber],OvalData[],MATCH(Table2[[#Headers],[Grille Center]],Table2[#Headers],0),0)</f>
        <v>0</v>
      </c>
      <c r="AD229" s="2">
        <f>VLOOKUP([jobnumber],OvalData[],MATCH(Table2[[#Headers],[Grille Pattern]],Table2[#Headers],0),0)</f>
        <v>0</v>
      </c>
      <c r="AE229" s="2">
        <f>VLOOKUP([jobnumber],OvalData[],MATCH(Table2[[#Headers],[Grille First Tube]],Table2[#Headers],0),0)</f>
        <v>0</v>
      </c>
      <c r="AF229" s="2">
        <f>VLOOKUP([jobnumber],OvalData[],MATCH(Table2[[#Headers],[Grille Standard Tube]],Table2[#Headers],0),0)</f>
        <v>0</v>
      </c>
      <c r="AG229" s="2">
        <f>VLOOKUP([jobnumber],OvalData[],MATCH(Table2[[#Headers],[Grille Total Links]],Table2[#Headers],0),0)</f>
        <v>0</v>
      </c>
      <c r="AH229" s="2">
        <f>VLOOKUP([jobnumber],OvalData[],MATCH(Table2[[#Headers],[Grille Rods]],Table2[#Headers],0),0)</f>
        <v>0</v>
      </c>
      <c r="AI229" s="2">
        <f>VLOOKUP([jobnumber],OvalData[],MATCH(Table2[[#Headers],[Grille Rod Length]],Table2[#Headers],0),0)</f>
        <v>0</v>
      </c>
      <c r="AJ229" s="2">
        <f>VLOOKUP([jobnumber],OvalData[],MATCH(Table2[[#Headers],[slattype]],Table2[#Headers],0),0)</f>
        <v>2</v>
      </c>
      <c r="AK229" s="2">
        <f>VLOOKUP([jobnumber],OvalData[],MATCH(Table2[[#Headers],[slatgage]],Table2[#Headers],0),0)</f>
        <v>18</v>
      </c>
      <c r="AL229" s="2">
        <f>VLOOKUP([jobnumber],OvalData[],MATCH(Table2[[#Headers],[Numer of Top Slats]],Table2[#Headers],0),0)</f>
        <v>0</v>
      </c>
      <c r="AM229" s="2">
        <f>VLOOKUP([jobnumber],OvalData[],MATCH(Table2[[#Headers],[Number of Bottom Slats]],Table2[#Headers],0),0)</f>
        <v>0</v>
      </c>
      <c r="AN229" s="2">
        <f>VLOOKUP([jobnumber],OvalData[],MATCH(Table2[[#Headers],[Solid Bottom Height]],Table2[#Headers],0),0)</f>
        <v>0</v>
      </c>
      <c r="AO229" s="2" t="str">
        <f>VLOOKUP([jobnumber],OvalData[],MATCH(Table2[[#Headers],[slatlength]],Table2[#Headers],0),0)</f>
        <v xml:space="preserve"> 18 ft.- 5 7/ 8"</v>
      </c>
      <c r="AP229" s="2">
        <f>VLOOKUP([jobnumber],OvalData[],MATCH(Table2[[#Headers],[Bottom Slat Length]],Table2[#Headers],0),0)</f>
        <v>0</v>
      </c>
      <c r="AQ229" s="2">
        <f>VLOOKUP([jobnumber],OvalData[],MATCH(Table2[[#Headers],[Number of Perferated Slats]],Table2[#Headers],0),0)</f>
        <v>0</v>
      </c>
      <c r="AR229" s="2">
        <f>VLOOKUP([jobnumber],OvalData[],MATCH(Table2[[#Headers],[First Preferated Slat From End]],Table2[#Headers],0),0)</f>
        <v>0</v>
      </c>
      <c r="AS229" s="2">
        <f>VLOOKUP([jobnumber],OvalData[],MATCH(Table2[[#Headers],[First Preferated Slat From Bottom]],Table2[#Headers],0),0)</f>
        <v>0</v>
      </c>
      <c r="AT229" s="2">
        <f>VLOOKUP([jobnumber],OvalData[],MATCH(Table2[[#Headers],[Total Number of Slats]],Table2[#Headers],0),0)</f>
        <v>51</v>
      </c>
      <c r="AU229" s="2">
        <f>VLOOKUP([jobnumber],OvalData[],MATCH(Table2[[#Headers],[Bottom Bar Slope]],Table2[#Headers],0),0)</f>
        <v>0</v>
      </c>
      <c r="AV229" s="2">
        <f>VLOOKUP([jobnumber],OvalData[],MATCH(Table2[[#Headers],[Bottom Bar Weight]],Table2[#Headers],0),0)</f>
        <v>80.5</v>
      </c>
      <c r="AW229" s="2" t="str">
        <f>VLOOKUP([jobnumber],OvalData[],MATCH(Table2[[#Headers],[Outer Spring Gage]],Table2[#Headers],0),0)</f>
        <v>Null</v>
      </c>
      <c r="AX229" s="2" t="str">
        <f>VLOOKUP([jobnumber],OvalData[],MATCH(Table2[[#Headers],[Outer Spring OD]],Table2[#Headers],0),0)</f>
        <v>Null</v>
      </c>
      <c r="AY229" s="2" t="str">
        <f>VLOOKUP([jobnumber],OvalData[],MATCH(Table2[[#Headers],[Outer Spring Length]],Table2[#Headers],0),0)</f>
        <v>Null</v>
      </c>
      <c r="AZ229" s="2" t="str">
        <f>VLOOKUP([jobnumber],OvalData[],MATCH(Table2[[#Headers],[Outer Spring Stretch]],Table2[#Headers],0),0)</f>
        <v>Null</v>
      </c>
      <c r="BA229" s="2" t="str">
        <f>VLOOKUP([jobnumber],OvalData[],MATCH(Table2[[#Headers],[Outer Spring Torque]],Table2[#Headers],0),0)</f>
        <v>Null</v>
      </c>
      <c r="BB229" s="2" t="str">
        <f>VLOOKUP([jobnumber],OvalData[],MATCH(Table2[[#Headers],[Outer Spring Max Turns]],Table2[#Headers],0),0)</f>
        <v>Null</v>
      </c>
      <c r="BC229" s="2" t="str">
        <f>VLOOKUP([jobnumber],OvalData[],MATCH(Table2[[#Headers],[Outer Spring Weight]],Table2[#Headers],0),0)</f>
        <v>Null</v>
      </c>
      <c r="BD229" s="2" t="str">
        <f>VLOOKUP([jobnumber],OvalData[],MATCH(Table2[[#Headers],[Inner Spring Gage]],Table2[#Headers],0),0)</f>
        <v>Null</v>
      </c>
      <c r="BE229" s="2" t="str">
        <f>VLOOKUP([jobnumber],OvalData[],MATCH(Table2[[#Headers],[Inner Spring OD]],Table2[#Headers],0),0)</f>
        <v>Null</v>
      </c>
      <c r="BF229" s="2" t="str">
        <f>VLOOKUP([jobnumber],OvalData[],MATCH(Table2[[#Headers],[Inner Spring Length]],Table2[#Headers],0),0)</f>
        <v>Null</v>
      </c>
      <c r="BG229" s="2" t="str">
        <f>VLOOKUP([jobnumber],OvalData[],MATCH(Table2[[#Headers],[Inner Spring Stretch]],Table2[#Headers],0),0)</f>
        <v>Null</v>
      </c>
      <c r="BH229" s="2" t="str">
        <f>VLOOKUP([jobnumber],OvalData[],MATCH(Table2[[#Headers],[Inner Spring Torque]],Table2[#Headers],0),0)</f>
        <v>Null</v>
      </c>
      <c r="BI229" s="2" t="str">
        <f>VLOOKUP([jobnumber],OvalData[],MATCH(Table2[[#Headers],[Inner Spring Max Turns]],Table2[#Headers],0),0)</f>
        <v>Null</v>
      </c>
      <c r="BJ229" s="2" t="str">
        <f>VLOOKUP([jobnumber],OvalData[],MATCH(Table2[[#Headers],[Inner Spring Weight]],Table2[#Headers],0),0)</f>
        <v>Null</v>
      </c>
      <c r="BK229" s="2">
        <f>VLOOKUP([jobnumber],OvalData[],MATCH(Table2[[#Headers],[Cycles]],Table2[#Headers],0),0)</f>
        <v>0</v>
      </c>
      <c r="BL229" s="2">
        <f>VLOOKUP([jobnumber],OvalData[],MATCH(Table2[[#Headers],[Total Spring Torque]],Table2[#Headers],0),0)</f>
        <v>0</v>
      </c>
      <c r="BM229" s="2">
        <f>VLOOKUP([jobnumber],OvalData[],MATCH(Table2[[#Headers],[Total Spring Weight]],Table2[#Headers],0),0)</f>
        <v>0</v>
      </c>
      <c r="BN229" s="2">
        <f>VLOOKUP([jobnumber],OvalData[],MATCH(Table2[[#Headers],[Pipe Weight]],Table2[#Headers],0),0)</f>
        <v>688.24239999999998</v>
      </c>
      <c r="BO229" s="2">
        <f>VLOOKUP([jobnumber],OvalData[],MATCH(Table2[[#Headers],[Max Pipe Deflection]],Table2[#Headers],0),0)</f>
        <v>2309</v>
      </c>
      <c r="BP229" s="2">
        <f>VLOOKUP([jobnumber],OvalData[],MATCH(Table2[[#Headers],[Number Non-Insulated Wrap Slats]],Table2[#Headers],0),0)</f>
        <v>0</v>
      </c>
      <c r="BQ229" s="2">
        <f>VLOOKUP([jobnumber],OvalData[],MATCH(Table2[[#Headers],[Number of Insolated Top Slats]],Table2[#Headers],0),0)</f>
        <v>45</v>
      </c>
      <c r="BR229" s="2">
        <f>VLOOKUP([jobnumber],OvalData[],MATCH(Table2[[#Headers],[Insolated Total Slats]],Table2[#Headers],0),0)</f>
        <v>45</v>
      </c>
      <c r="BS229" s="2">
        <f>VLOOKUP([jobnumber],OvalData[],MATCH(Table2[[#Headers],[Number of Slats]],Table2[#Headers],0),0)</f>
        <v>44.69</v>
      </c>
      <c r="BT229" s="2">
        <f>VLOOKUP([jobnumber],OvalData[],MATCH(Table2[[#Headers],[Wrap]],Table2[#Headers],0),0)</f>
        <v>0</v>
      </c>
      <c r="BU229" s="2">
        <f>VLOOKUP([jobnumber],OvalData[],MATCH(Table2[[#Headers],[Wall Angle Thickness]],Table2[#Headers],0),0)</f>
        <v>0</v>
      </c>
      <c r="BV229" s="2">
        <f>VLOOKUP([jobnumber],OvalData[],MATCH(Table2[[#Headers],[windlocks]],Table2[#Headers],0),0)</f>
        <v>0</v>
      </c>
      <c r="BW229" s="2" t="str">
        <f>VLOOKUP([jobnumber],OvalData[],MATCH(Table2[[#Headers],[bottombartype]],Table2[#Headers],0),0)</f>
        <v>SPECIAL</v>
      </c>
      <c r="BX229" s="2">
        <f>VLOOKUP([jobnumber],OvalData[],MATCH(Table2[[#Headers],[endlockweight]],Table2[#Headers],0),0)</f>
        <v>0.17</v>
      </c>
      <c r="BY229" s="2">
        <f>VLOOKUP([jobnumber],OvalData[],MATCH(Table2[[#Headers],[Endlock Total Weight]],Table2[#Headers],0),0)</f>
        <v>7.5972999999999997</v>
      </c>
      <c r="BZ229" s="2">
        <f>VLOOKUP([jobnumber],OvalData[],MATCH(Table2[[#Headers],[Grille Weight]],Table2[#Headers],0),0)</f>
        <v>0</v>
      </c>
      <c r="CA229" s="2">
        <f>VLOOKUP([jobnumber],OvalData[],MATCH(Table2[[#Headers],[barrelrings]],Table2[#Headers],0),0)</f>
        <v>1</v>
      </c>
    </row>
    <row r="230" spans="2:79">
      <c r="B230" s="2" t="str">
        <f>VLOOKUP([jobnumber],OvalData[],MATCH(Table2[[#Headers],[Hand]],Table2[#Headers],0),0)</f>
        <v>RH</v>
      </c>
      <c r="C230" s="2" t="str">
        <f>VLOOKUP([jobnumber],OvalData[],MATCH(Table2[[#Headers],[Model]],Table2[#Headers],0),0)</f>
        <v>SFMPP</v>
      </c>
      <c r="D230" s="2" t="str">
        <f>VLOOKUP([jobnumber],OvalData[],MATCH(Table2[[#Headers],[width]],Table2[#Headers],0),0)</f>
        <v xml:space="preserve"> 18 ft.- 2"</v>
      </c>
      <c r="E230" s="2" t="str">
        <f>VLOOKUP([jobnumber],OvalData[],MATCH(Table2[[#Headers],[stopheight]],Table2[#Headers],0),0)</f>
        <v xml:space="preserve"> 10 ft.- 0"</v>
      </c>
      <c r="F230" s="2" t="str">
        <f>VLOOKUP([jobnumber],OvalData[],MATCH(Table2[[#Headers],[Between Brackets]],Table2[#Headers],0),0)</f>
        <v xml:space="preserve"> 18 ft.- 7 7/ 8"</v>
      </c>
      <c r="G230" s="2" t="str">
        <f>VLOOKUP([jobnumber],OvalData[],MATCH(Table2[[#Headers],[shell]],Table2[#Headers],0),0)</f>
        <v>6 INCH TUBE</v>
      </c>
      <c r="H230" s="2" t="str">
        <f>VLOOKUP([jobnumber],OvalData[],MATCH(Table2[[#Headers],[pipewidth]],Table2[#Headers],0),0)</f>
        <v xml:space="preserve"> 18 ft.- 1 3/ 8"</v>
      </c>
      <c r="I230" s="2">
        <f>VLOOKUP([jobnumber],OvalData[],MATCH(Table2[[#Headers],[Support Tubes]],Table2[#Headers],0),0)</f>
        <v>0</v>
      </c>
      <c r="J230" s="2">
        <f>VLOOKUP([jobnumber],OvalData[],MATCH(Table2[[#Headers],[Upset]],Table2[#Headers],0),0)</f>
        <v>2</v>
      </c>
      <c r="K230" s="2" t="str">
        <f>VLOOKUP([jobnumber],OvalData[],MATCH(Table2[[#Headers],[Guide Type]],Table2[#Headers],0),0)</f>
        <v>SN2-4 5/8-E</v>
      </c>
      <c r="L230" s="2" t="str">
        <f>VLOOKUP([jobnumber],OvalData[],MATCH(Table2[[#Headers],[Wall Angle]],Table2[#Headers],0),0)</f>
        <v xml:space="preserve"> 11 ft.- 8"</v>
      </c>
      <c r="M230" s="2" t="str">
        <f>VLOOKUP([jobnumber],OvalData[],MATCH(Table2[[#Headers],[Middle Angle]],Table2[#Headers],0),0)</f>
        <v xml:space="preserve"> 10 ft.- 4 1/ 2"</v>
      </c>
      <c r="N230" s="2" t="str">
        <f>VLOOKUP([jobnumber],OvalData[],MATCH(Table2[[#Headers],[Front Angle]],Table2[#Headers],0),0)</f>
        <v xml:space="preserve"> 10 ft.- 3"</v>
      </c>
      <c r="O230" s="2">
        <f>VLOOKUP([jobnumber],OvalData[],MATCH(Table2[[#Headers],[Pipe Center Line]],Table2[#Headers],0),0)</f>
        <v>131</v>
      </c>
      <c r="P230" s="2">
        <f>VLOOKUP([jobnumber],OvalData[],MATCH(Table2[[#Headers],[Heat Expansion Gap]],Table2[#Headers],0),0)</f>
        <v>0</v>
      </c>
      <c r="Q230" s="2">
        <f>VLOOKUP([jobnumber],OvalData[],MATCH(Table2[[#Headers],[Hanging Weight Closed]],Table2[#Headers],0),0)</f>
        <v>795</v>
      </c>
      <c r="R230" s="2">
        <f>VLOOKUP([jobnumber],OvalData[],MATCH(Table2[[#Headers],[Hanging Weight Open]],Table2[#Headers],0),0)</f>
        <v>140</v>
      </c>
      <c r="S230" s="2">
        <f>VLOOKUP([jobnumber],OvalData[],MATCH(Table2[[#Headers],[Initial Lever Arm]],Table2[#Headers],0),0)</f>
        <v>4.25</v>
      </c>
      <c r="T230" s="2">
        <f>VLOOKUP([jobnumber],OvalData[],MATCH(Table2[[#Headers],[Turns to Raise]],Table2[#Headers],0),0)</f>
        <v>3.5859999999999999</v>
      </c>
      <c r="U230" s="2">
        <f>VLOOKUP([jobnumber],OvalData[],MATCH(Table2[[#Headers],[Final Lever Arm]],Table2[#Headers],0),0)</f>
        <v>6.37</v>
      </c>
      <c r="V230" s="2">
        <f>VLOOKUP([jobnumber],OvalData[],MATCH(Table2[[#Headers],[Torque Required Closed]],Table2[#Headers],0),0)</f>
        <v>3377.9</v>
      </c>
      <c r="W230" s="2">
        <f>VLOOKUP([jobnumber],OvalData[],MATCH(Table2[[#Headers],[Torque Required Open]],Table2[#Headers],0),0)</f>
        <v>892</v>
      </c>
      <c r="X230" s="2">
        <f>VLOOKUP([jobnumber],OvalData[],MATCH(Table2[[#Headers],[Pre Turns]],Table2[#Headers],0),0)</f>
        <v>1.3332999999999999</v>
      </c>
      <c r="Y230" s="2">
        <f>VLOOKUP([jobnumber],OvalData[],MATCH(Table2[[#Headers],[Required Torque Per Turn]],Table2[#Headers],0),0)</f>
        <v>688</v>
      </c>
      <c r="Z230" s="2">
        <f>VLOOKUP([jobnumber],OvalData[],MATCH(Table2[[#Headers],[Total Turns]],Table2[#Headers],0),0)</f>
        <v>4.91</v>
      </c>
      <c r="AA230" s="2">
        <f>VLOOKUP([jobnumber],OvalData[],MATCH(Table2[[#Headers],[Grille Vision Section]],Table2[#Headers],0),0)</f>
        <v>0</v>
      </c>
      <c r="AB230" s="2">
        <f>VLOOKUP([jobnumber],OvalData[],MATCH(Table2[[#Headers],[Grille Amount]],Table2[#Headers],0),0)</f>
        <v>0</v>
      </c>
      <c r="AC230" s="2">
        <f>VLOOKUP([jobnumber],OvalData[],MATCH(Table2[[#Headers],[Grille Center]],Table2[#Headers],0),0)</f>
        <v>0</v>
      </c>
      <c r="AD230" s="2">
        <f>VLOOKUP([jobnumber],OvalData[],MATCH(Table2[[#Headers],[Grille Pattern]],Table2[#Headers],0),0)</f>
        <v>0</v>
      </c>
      <c r="AE230" s="2">
        <f>VLOOKUP([jobnumber],OvalData[],MATCH(Table2[[#Headers],[Grille First Tube]],Table2[#Headers],0),0)</f>
        <v>0</v>
      </c>
      <c r="AF230" s="2">
        <f>VLOOKUP([jobnumber],OvalData[],MATCH(Table2[[#Headers],[Grille Standard Tube]],Table2[#Headers],0),0)</f>
        <v>0</v>
      </c>
      <c r="AG230" s="2">
        <f>VLOOKUP([jobnumber],OvalData[],MATCH(Table2[[#Headers],[Grille Total Links]],Table2[#Headers],0),0)</f>
        <v>0</v>
      </c>
      <c r="AH230" s="2">
        <f>VLOOKUP([jobnumber],OvalData[],MATCH(Table2[[#Headers],[Grille Rods]],Table2[#Headers],0),0)</f>
        <v>0</v>
      </c>
      <c r="AI230" s="2">
        <f>VLOOKUP([jobnumber],OvalData[],MATCH(Table2[[#Headers],[Grille Rod Length]],Table2[#Headers],0),0)</f>
        <v>0</v>
      </c>
      <c r="AJ230" s="2">
        <f>VLOOKUP([jobnumber],OvalData[],MATCH(Table2[[#Headers],[slattype]],Table2[#Headers],0),0)</f>
        <v>2</v>
      </c>
      <c r="AK230" s="2">
        <f>VLOOKUP([jobnumber],OvalData[],MATCH(Table2[[#Headers],[slatgage]],Table2[#Headers],0),0)</f>
        <v>18</v>
      </c>
      <c r="AL230" s="2">
        <f>VLOOKUP([jobnumber],OvalData[],MATCH(Table2[[#Headers],[Numer of Top Slats]],Table2[#Headers],0),0)</f>
        <v>0</v>
      </c>
      <c r="AM230" s="2">
        <f>VLOOKUP([jobnumber],OvalData[],MATCH(Table2[[#Headers],[Number of Bottom Slats]],Table2[#Headers],0),0)</f>
        <v>0</v>
      </c>
      <c r="AN230" s="2">
        <f>VLOOKUP([jobnumber],OvalData[],MATCH(Table2[[#Headers],[Solid Bottom Height]],Table2[#Headers],0),0)</f>
        <v>0</v>
      </c>
      <c r="AO230" s="2" t="str">
        <f>VLOOKUP([jobnumber],OvalData[],MATCH(Table2[[#Headers],[slatlength]],Table2[#Headers],0),0)</f>
        <v xml:space="preserve"> 18 ft.- 5 7/ 8"</v>
      </c>
      <c r="AP230" s="2">
        <f>VLOOKUP([jobnumber],OvalData[],MATCH(Table2[[#Headers],[Bottom Slat Length]],Table2[#Headers],0),0)</f>
        <v>0</v>
      </c>
      <c r="AQ230" s="2">
        <f>VLOOKUP([jobnumber],OvalData[],MATCH(Table2[[#Headers],[Number of Perferated Slats]],Table2[#Headers],0),0)</f>
        <v>0</v>
      </c>
      <c r="AR230" s="2">
        <f>VLOOKUP([jobnumber],OvalData[],MATCH(Table2[[#Headers],[First Preferated Slat From End]],Table2[#Headers],0),0)</f>
        <v>0</v>
      </c>
      <c r="AS230" s="2">
        <f>VLOOKUP([jobnumber],OvalData[],MATCH(Table2[[#Headers],[First Preferated Slat From Bottom]],Table2[#Headers],0),0)</f>
        <v>0</v>
      </c>
      <c r="AT230" s="2">
        <f>VLOOKUP([jobnumber],OvalData[],MATCH(Table2[[#Headers],[Total Number of Slats]],Table2[#Headers],0),0)</f>
        <v>51</v>
      </c>
      <c r="AU230" s="2">
        <f>VLOOKUP([jobnumber],OvalData[],MATCH(Table2[[#Headers],[Bottom Bar Slope]],Table2[#Headers],0),0)</f>
        <v>0</v>
      </c>
      <c r="AV230" s="2">
        <f>VLOOKUP([jobnumber],OvalData[],MATCH(Table2[[#Headers],[Bottom Bar Weight]],Table2[#Headers],0),0)</f>
        <v>80.5</v>
      </c>
      <c r="AW230" s="2" t="str">
        <f>VLOOKUP([jobnumber],OvalData[],MATCH(Table2[[#Headers],[Outer Spring Gage]],Table2[#Headers],0),0)</f>
        <v>Null</v>
      </c>
      <c r="AX230" s="2" t="str">
        <f>VLOOKUP([jobnumber],OvalData[],MATCH(Table2[[#Headers],[Outer Spring OD]],Table2[#Headers],0),0)</f>
        <v>Null</v>
      </c>
      <c r="AY230" s="2" t="str">
        <f>VLOOKUP([jobnumber],OvalData[],MATCH(Table2[[#Headers],[Outer Spring Length]],Table2[#Headers],0),0)</f>
        <v>Null</v>
      </c>
      <c r="AZ230" s="2" t="str">
        <f>VLOOKUP([jobnumber],OvalData[],MATCH(Table2[[#Headers],[Outer Spring Stretch]],Table2[#Headers],0),0)</f>
        <v>Null</v>
      </c>
      <c r="BA230" s="2" t="str">
        <f>VLOOKUP([jobnumber],OvalData[],MATCH(Table2[[#Headers],[Outer Spring Torque]],Table2[#Headers],0),0)</f>
        <v>Null</v>
      </c>
      <c r="BB230" s="2" t="str">
        <f>VLOOKUP([jobnumber],OvalData[],MATCH(Table2[[#Headers],[Outer Spring Max Turns]],Table2[#Headers],0),0)</f>
        <v>Null</v>
      </c>
      <c r="BC230" s="2" t="str">
        <f>VLOOKUP([jobnumber],OvalData[],MATCH(Table2[[#Headers],[Outer Spring Weight]],Table2[#Headers],0),0)</f>
        <v>Null</v>
      </c>
      <c r="BD230" s="2" t="str">
        <f>VLOOKUP([jobnumber],OvalData[],MATCH(Table2[[#Headers],[Inner Spring Gage]],Table2[#Headers],0),0)</f>
        <v>Null</v>
      </c>
      <c r="BE230" s="2" t="str">
        <f>VLOOKUP([jobnumber],OvalData[],MATCH(Table2[[#Headers],[Inner Spring OD]],Table2[#Headers],0),0)</f>
        <v>Null</v>
      </c>
      <c r="BF230" s="2" t="str">
        <f>VLOOKUP([jobnumber],OvalData[],MATCH(Table2[[#Headers],[Inner Spring Length]],Table2[#Headers],0),0)</f>
        <v>Null</v>
      </c>
      <c r="BG230" s="2" t="str">
        <f>VLOOKUP([jobnumber],OvalData[],MATCH(Table2[[#Headers],[Inner Spring Stretch]],Table2[#Headers],0),0)</f>
        <v>Null</v>
      </c>
      <c r="BH230" s="2" t="str">
        <f>VLOOKUP([jobnumber],OvalData[],MATCH(Table2[[#Headers],[Inner Spring Torque]],Table2[#Headers],0),0)</f>
        <v>Null</v>
      </c>
      <c r="BI230" s="2" t="str">
        <f>VLOOKUP([jobnumber],OvalData[],MATCH(Table2[[#Headers],[Inner Spring Max Turns]],Table2[#Headers],0),0)</f>
        <v>Null</v>
      </c>
      <c r="BJ230" s="2" t="str">
        <f>VLOOKUP([jobnumber],OvalData[],MATCH(Table2[[#Headers],[Inner Spring Weight]],Table2[#Headers],0),0)</f>
        <v>Null</v>
      </c>
      <c r="BK230" s="2">
        <f>VLOOKUP([jobnumber],OvalData[],MATCH(Table2[[#Headers],[Cycles]],Table2[#Headers],0),0)</f>
        <v>0</v>
      </c>
      <c r="BL230" s="2">
        <f>VLOOKUP([jobnumber],OvalData[],MATCH(Table2[[#Headers],[Total Spring Torque]],Table2[#Headers],0),0)</f>
        <v>0</v>
      </c>
      <c r="BM230" s="2">
        <f>VLOOKUP([jobnumber],OvalData[],MATCH(Table2[[#Headers],[Total Spring Weight]],Table2[#Headers],0),0)</f>
        <v>0</v>
      </c>
      <c r="BN230" s="2">
        <f>VLOOKUP([jobnumber],OvalData[],MATCH(Table2[[#Headers],[Pipe Weight]],Table2[#Headers],0),0)</f>
        <v>688.24239999999998</v>
      </c>
      <c r="BO230" s="2">
        <f>VLOOKUP([jobnumber],OvalData[],MATCH(Table2[[#Headers],[Max Pipe Deflection]],Table2[#Headers],0),0)</f>
        <v>2309</v>
      </c>
      <c r="BP230" s="2">
        <f>VLOOKUP([jobnumber],OvalData[],MATCH(Table2[[#Headers],[Number Non-Insulated Wrap Slats]],Table2[#Headers],0),0)</f>
        <v>0</v>
      </c>
      <c r="BQ230" s="2">
        <f>VLOOKUP([jobnumber],OvalData[],MATCH(Table2[[#Headers],[Number of Insolated Top Slats]],Table2[#Headers],0),0)</f>
        <v>45</v>
      </c>
      <c r="BR230" s="2">
        <f>VLOOKUP([jobnumber],OvalData[],MATCH(Table2[[#Headers],[Insolated Total Slats]],Table2[#Headers],0),0)</f>
        <v>45</v>
      </c>
      <c r="BS230" s="2">
        <f>VLOOKUP([jobnumber],OvalData[],MATCH(Table2[[#Headers],[Number of Slats]],Table2[#Headers],0),0)</f>
        <v>44.69</v>
      </c>
      <c r="BT230" s="2">
        <f>VLOOKUP([jobnumber],OvalData[],MATCH(Table2[[#Headers],[Wrap]],Table2[#Headers],0),0)</f>
        <v>0</v>
      </c>
      <c r="BU230" s="2">
        <f>VLOOKUP([jobnumber],OvalData[],MATCH(Table2[[#Headers],[Wall Angle Thickness]],Table2[#Headers],0),0)</f>
        <v>0</v>
      </c>
      <c r="BV230" s="2">
        <f>VLOOKUP([jobnumber],OvalData[],MATCH(Table2[[#Headers],[windlocks]],Table2[#Headers],0),0)</f>
        <v>0</v>
      </c>
      <c r="BW230" s="2" t="str">
        <f>VLOOKUP([jobnumber],OvalData[],MATCH(Table2[[#Headers],[bottombartype]],Table2[#Headers],0),0)</f>
        <v>SPECIAL</v>
      </c>
      <c r="BX230" s="2">
        <f>VLOOKUP([jobnumber],OvalData[],MATCH(Table2[[#Headers],[endlockweight]],Table2[#Headers],0),0)</f>
        <v>0.17</v>
      </c>
      <c r="BY230" s="2">
        <f>VLOOKUP([jobnumber],OvalData[],MATCH(Table2[[#Headers],[Endlock Total Weight]],Table2[#Headers],0),0)</f>
        <v>7.5972999999999997</v>
      </c>
      <c r="BZ230" s="2">
        <f>VLOOKUP([jobnumber],OvalData[],MATCH(Table2[[#Headers],[Grille Weight]],Table2[#Headers],0),0)</f>
        <v>0</v>
      </c>
      <c r="CA230" s="2">
        <f>VLOOKUP([jobnumber],OvalData[],MATCH(Table2[[#Headers],[barrelrings]],Table2[#Headers],0),0)</f>
        <v>1</v>
      </c>
    </row>
    <row r="231" spans="2:79">
      <c r="B231" s="2" t="str">
        <f>VLOOKUP([jobnumber],OvalData[],MATCH(Table2[[#Headers],[Hand]],Table2[#Headers],0),0)</f>
        <v>RH</v>
      </c>
      <c r="C231" s="2" t="str">
        <f>VLOOKUP([jobnumber],OvalData[],MATCH(Table2[[#Headers],[Model]],Table2[#Headers],0),0)</f>
        <v>SFMPP</v>
      </c>
      <c r="D231" s="2" t="str">
        <f>VLOOKUP([jobnumber],OvalData[],MATCH(Table2[[#Headers],[width]],Table2[#Headers],0),0)</f>
        <v xml:space="preserve"> 18 ft.- 2"</v>
      </c>
      <c r="E231" s="2" t="str">
        <f>VLOOKUP([jobnumber],OvalData[],MATCH(Table2[[#Headers],[stopheight]],Table2[#Headers],0),0)</f>
        <v xml:space="preserve"> 10 ft.- 0"</v>
      </c>
      <c r="F231" s="2" t="str">
        <f>VLOOKUP([jobnumber],OvalData[],MATCH(Table2[[#Headers],[Between Brackets]],Table2[#Headers],0),0)</f>
        <v xml:space="preserve"> 18 ft.- 7 7/ 8"</v>
      </c>
      <c r="G231" s="2" t="str">
        <f>VLOOKUP([jobnumber],OvalData[],MATCH(Table2[[#Headers],[shell]],Table2[#Headers],0),0)</f>
        <v>6 INCH TUBE</v>
      </c>
      <c r="H231" s="2" t="str">
        <f>VLOOKUP([jobnumber],OvalData[],MATCH(Table2[[#Headers],[pipewidth]],Table2[#Headers],0),0)</f>
        <v xml:space="preserve"> 18 ft.- 1 3/ 8"</v>
      </c>
      <c r="I231" s="2">
        <f>VLOOKUP([jobnumber],OvalData[],MATCH(Table2[[#Headers],[Support Tubes]],Table2[#Headers],0),0)</f>
        <v>0</v>
      </c>
      <c r="J231" s="2">
        <f>VLOOKUP([jobnumber],OvalData[],MATCH(Table2[[#Headers],[Upset]],Table2[#Headers],0),0)</f>
        <v>2</v>
      </c>
      <c r="K231" s="2" t="str">
        <f>VLOOKUP([jobnumber],OvalData[],MATCH(Table2[[#Headers],[Guide Type]],Table2[#Headers],0),0)</f>
        <v>SN2-4 5/8-E</v>
      </c>
      <c r="L231" s="2" t="str">
        <f>VLOOKUP([jobnumber],OvalData[],MATCH(Table2[[#Headers],[Wall Angle]],Table2[#Headers],0),0)</f>
        <v xml:space="preserve"> 11 ft.- 8"</v>
      </c>
      <c r="M231" s="2" t="str">
        <f>VLOOKUP([jobnumber],OvalData[],MATCH(Table2[[#Headers],[Middle Angle]],Table2[#Headers],0),0)</f>
        <v xml:space="preserve"> 10 ft.- 4 1/ 2"</v>
      </c>
      <c r="N231" s="2" t="str">
        <f>VLOOKUP([jobnumber],OvalData[],MATCH(Table2[[#Headers],[Front Angle]],Table2[#Headers],0),0)</f>
        <v xml:space="preserve"> 10 ft.- 3"</v>
      </c>
      <c r="O231" s="2">
        <f>VLOOKUP([jobnumber],OvalData[],MATCH(Table2[[#Headers],[Pipe Center Line]],Table2[#Headers],0),0)</f>
        <v>131</v>
      </c>
      <c r="P231" s="2">
        <f>VLOOKUP([jobnumber],OvalData[],MATCH(Table2[[#Headers],[Heat Expansion Gap]],Table2[#Headers],0),0)</f>
        <v>0</v>
      </c>
      <c r="Q231" s="2">
        <f>VLOOKUP([jobnumber],OvalData[],MATCH(Table2[[#Headers],[Hanging Weight Closed]],Table2[#Headers],0),0)</f>
        <v>795</v>
      </c>
      <c r="R231" s="2">
        <f>VLOOKUP([jobnumber],OvalData[],MATCH(Table2[[#Headers],[Hanging Weight Open]],Table2[#Headers],0),0)</f>
        <v>140</v>
      </c>
      <c r="S231" s="2">
        <f>VLOOKUP([jobnumber],OvalData[],MATCH(Table2[[#Headers],[Initial Lever Arm]],Table2[#Headers],0),0)</f>
        <v>4.25</v>
      </c>
      <c r="T231" s="2">
        <f>VLOOKUP([jobnumber],OvalData[],MATCH(Table2[[#Headers],[Turns to Raise]],Table2[#Headers],0),0)</f>
        <v>3.5859999999999999</v>
      </c>
      <c r="U231" s="2">
        <f>VLOOKUP([jobnumber],OvalData[],MATCH(Table2[[#Headers],[Final Lever Arm]],Table2[#Headers],0),0)</f>
        <v>6.37</v>
      </c>
      <c r="V231" s="2">
        <f>VLOOKUP([jobnumber],OvalData[],MATCH(Table2[[#Headers],[Torque Required Closed]],Table2[#Headers],0),0)</f>
        <v>3377.9</v>
      </c>
      <c r="W231" s="2">
        <f>VLOOKUP([jobnumber],OvalData[],MATCH(Table2[[#Headers],[Torque Required Open]],Table2[#Headers],0),0)</f>
        <v>892</v>
      </c>
      <c r="X231" s="2">
        <f>VLOOKUP([jobnumber],OvalData[],MATCH(Table2[[#Headers],[Pre Turns]],Table2[#Headers],0),0)</f>
        <v>1.3332999999999999</v>
      </c>
      <c r="Y231" s="2">
        <f>VLOOKUP([jobnumber],OvalData[],MATCH(Table2[[#Headers],[Required Torque Per Turn]],Table2[#Headers],0),0)</f>
        <v>688</v>
      </c>
      <c r="Z231" s="2">
        <f>VLOOKUP([jobnumber],OvalData[],MATCH(Table2[[#Headers],[Total Turns]],Table2[#Headers],0),0)</f>
        <v>4.91</v>
      </c>
      <c r="AA231" s="2">
        <f>VLOOKUP([jobnumber],OvalData[],MATCH(Table2[[#Headers],[Grille Vision Section]],Table2[#Headers],0),0)</f>
        <v>0</v>
      </c>
      <c r="AB231" s="2">
        <f>VLOOKUP([jobnumber],OvalData[],MATCH(Table2[[#Headers],[Grille Amount]],Table2[#Headers],0),0)</f>
        <v>0</v>
      </c>
      <c r="AC231" s="2">
        <f>VLOOKUP([jobnumber],OvalData[],MATCH(Table2[[#Headers],[Grille Center]],Table2[#Headers],0),0)</f>
        <v>0</v>
      </c>
      <c r="AD231" s="2">
        <f>VLOOKUP([jobnumber],OvalData[],MATCH(Table2[[#Headers],[Grille Pattern]],Table2[#Headers],0),0)</f>
        <v>0</v>
      </c>
      <c r="AE231" s="2">
        <f>VLOOKUP([jobnumber],OvalData[],MATCH(Table2[[#Headers],[Grille First Tube]],Table2[#Headers],0),0)</f>
        <v>0</v>
      </c>
      <c r="AF231" s="2">
        <f>VLOOKUP([jobnumber],OvalData[],MATCH(Table2[[#Headers],[Grille Standard Tube]],Table2[#Headers],0),0)</f>
        <v>0</v>
      </c>
      <c r="AG231" s="2">
        <f>VLOOKUP([jobnumber],OvalData[],MATCH(Table2[[#Headers],[Grille Total Links]],Table2[#Headers],0),0)</f>
        <v>0</v>
      </c>
      <c r="AH231" s="2">
        <f>VLOOKUP([jobnumber],OvalData[],MATCH(Table2[[#Headers],[Grille Rods]],Table2[#Headers],0),0)</f>
        <v>0</v>
      </c>
      <c r="AI231" s="2">
        <f>VLOOKUP([jobnumber],OvalData[],MATCH(Table2[[#Headers],[Grille Rod Length]],Table2[#Headers],0),0)</f>
        <v>0</v>
      </c>
      <c r="AJ231" s="2">
        <f>VLOOKUP([jobnumber],OvalData[],MATCH(Table2[[#Headers],[slattype]],Table2[#Headers],0),0)</f>
        <v>2</v>
      </c>
      <c r="AK231" s="2">
        <f>VLOOKUP([jobnumber],OvalData[],MATCH(Table2[[#Headers],[slatgage]],Table2[#Headers],0),0)</f>
        <v>18</v>
      </c>
      <c r="AL231" s="2">
        <f>VLOOKUP([jobnumber],OvalData[],MATCH(Table2[[#Headers],[Numer of Top Slats]],Table2[#Headers],0),0)</f>
        <v>0</v>
      </c>
      <c r="AM231" s="2">
        <f>VLOOKUP([jobnumber],OvalData[],MATCH(Table2[[#Headers],[Number of Bottom Slats]],Table2[#Headers],0),0)</f>
        <v>0</v>
      </c>
      <c r="AN231" s="2">
        <f>VLOOKUP([jobnumber],OvalData[],MATCH(Table2[[#Headers],[Solid Bottom Height]],Table2[#Headers],0),0)</f>
        <v>0</v>
      </c>
      <c r="AO231" s="2" t="str">
        <f>VLOOKUP([jobnumber],OvalData[],MATCH(Table2[[#Headers],[slatlength]],Table2[#Headers],0),0)</f>
        <v xml:space="preserve"> 18 ft.- 5 7/ 8"</v>
      </c>
      <c r="AP231" s="2">
        <f>VLOOKUP([jobnumber],OvalData[],MATCH(Table2[[#Headers],[Bottom Slat Length]],Table2[#Headers],0),0)</f>
        <v>0</v>
      </c>
      <c r="AQ231" s="2">
        <f>VLOOKUP([jobnumber],OvalData[],MATCH(Table2[[#Headers],[Number of Perferated Slats]],Table2[#Headers],0),0)</f>
        <v>0</v>
      </c>
      <c r="AR231" s="2">
        <f>VLOOKUP([jobnumber],OvalData[],MATCH(Table2[[#Headers],[First Preferated Slat From End]],Table2[#Headers],0),0)</f>
        <v>0</v>
      </c>
      <c r="AS231" s="2">
        <f>VLOOKUP([jobnumber],OvalData[],MATCH(Table2[[#Headers],[First Preferated Slat From Bottom]],Table2[#Headers],0),0)</f>
        <v>0</v>
      </c>
      <c r="AT231" s="2">
        <f>VLOOKUP([jobnumber],OvalData[],MATCH(Table2[[#Headers],[Total Number of Slats]],Table2[#Headers],0),0)</f>
        <v>51</v>
      </c>
      <c r="AU231" s="2">
        <f>VLOOKUP([jobnumber],OvalData[],MATCH(Table2[[#Headers],[Bottom Bar Slope]],Table2[#Headers],0),0)</f>
        <v>0</v>
      </c>
      <c r="AV231" s="2">
        <f>VLOOKUP([jobnumber],OvalData[],MATCH(Table2[[#Headers],[Bottom Bar Weight]],Table2[#Headers],0),0)</f>
        <v>80.5</v>
      </c>
      <c r="AW231" s="2" t="str">
        <f>VLOOKUP([jobnumber],OvalData[],MATCH(Table2[[#Headers],[Outer Spring Gage]],Table2[#Headers],0),0)</f>
        <v>Null</v>
      </c>
      <c r="AX231" s="2" t="str">
        <f>VLOOKUP([jobnumber],OvalData[],MATCH(Table2[[#Headers],[Outer Spring OD]],Table2[#Headers],0),0)</f>
        <v>Null</v>
      </c>
      <c r="AY231" s="2" t="str">
        <f>VLOOKUP([jobnumber],OvalData[],MATCH(Table2[[#Headers],[Outer Spring Length]],Table2[#Headers],0),0)</f>
        <v>Null</v>
      </c>
      <c r="AZ231" s="2" t="str">
        <f>VLOOKUP([jobnumber],OvalData[],MATCH(Table2[[#Headers],[Outer Spring Stretch]],Table2[#Headers],0),0)</f>
        <v>Null</v>
      </c>
      <c r="BA231" s="2" t="str">
        <f>VLOOKUP([jobnumber],OvalData[],MATCH(Table2[[#Headers],[Outer Spring Torque]],Table2[#Headers],0),0)</f>
        <v>Null</v>
      </c>
      <c r="BB231" s="2" t="str">
        <f>VLOOKUP([jobnumber],OvalData[],MATCH(Table2[[#Headers],[Outer Spring Max Turns]],Table2[#Headers],0),0)</f>
        <v>Null</v>
      </c>
      <c r="BC231" s="2" t="str">
        <f>VLOOKUP([jobnumber],OvalData[],MATCH(Table2[[#Headers],[Outer Spring Weight]],Table2[#Headers],0),0)</f>
        <v>Null</v>
      </c>
      <c r="BD231" s="2" t="str">
        <f>VLOOKUP([jobnumber],OvalData[],MATCH(Table2[[#Headers],[Inner Spring Gage]],Table2[#Headers],0),0)</f>
        <v>Null</v>
      </c>
      <c r="BE231" s="2" t="str">
        <f>VLOOKUP([jobnumber],OvalData[],MATCH(Table2[[#Headers],[Inner Spring OD]],Table2[#Headers],0),0)</f>
        <v>Null</v>
      </c>
      <c r="BF231" s="2" t="str">
        <f>VLOOKUP([jobnumber],OvalData[],MATCH(Table2[[#Headers],[Inner Spring Length]],Table2[#Headers],0),0)</f>
        <v>Null</v>
      </c>
      <c r="BG231" s="2" t="str">
        <f>VLOOKUP([jobnumber],OvalData[],MATCH(Table2[[#Headers],[Inner Spring Stretch]],Table2[#Headers],0),0)</f>
        <v>Null</v>
      </c>
      <c r="BH231" s="2" t="str">
        <f>VLOOKUP([jobnumber],OvalData[],MATCH(Table2[[#Headers],[Inner Spring Torque]],Table2[#Headers],0),0)</f>
        <v>Null</v>
      </c>
      <c r="BI231" s="2" t="str">
        <f>VLOOKUP([jobnumber],OvalData[],MATCH(Table2[[#Headers],[Inner Spring Max Turns]],Table2[#Headers],0),0)</f>
        <v>Null</v>
      </c>
      <c r="BJ231" s="2" t="str">
        <f>VLOOKUP([jobnumber],OvalData[],MATCH(Table2[[#Headers],[Inner Spring Weight]],Table2[#Headers],0),0)</f>
        <v>Null</v>
      </c>
      <c r="BK231" s="2">
        <f>VLOOKUP([jobnumber],OvalData[],MATCH(Table2[[#Headers],[Cycles]],Table2[#Headers],0),0)</f>
        <v>0</v>
      </c>
      <c r="BL231" s="2">
        <f>VLOOKUP([jobnumber],OvalData[],MATCH(Table2[[#Headers],[Total Spring Torque]],Table2[#Headers],0),0)</f>
        <v>0</v>
      </c>
      <c r="BM231" s="2">
        <f>VLOOKUP([jobnumber],OvalData[],MATCH(Table2[[#Headers],[Total Spring Weight]],Table2[#Headers],0),0)</f>
        <v>0</v>
      </c>
      <c r="BN231" s="2">
        <f>VLOOKUP([jobnumber],OvalData[],MATCH(Table2[[#Headers],[Pipe Weight]],Table2[#Headers],0),0)</f>
        <v>688.24239999999998</v>
      </c>
      <c r="BO231" s="2">
        <f>VLOOKUP([jobnumber],OvalData[],MATCH(Table2[[#Headers],[Max Pipe Deflection]],Table2[#Headers],0),0)</f>
        <v>2309</v>
      </c>
      <c r="BP231" s="2">
        <f>VLOOKUP([jobnumber],OvalData[],MATCH(Table2[[#Headers],[Number Non-Insulated Wrap Slats]],Table2[#Headers],0),0)</f>
        <v>0</v>
      </c>
      <c r="BQ231" s="2">
        <f>VLOOKUP([jobnumber],OvalData[],MATCH(Table2[[#Headers],[Number of Insolated Top Slats]],Table2[#Headers],0),0)</f>
        <v>45</v>
      </c>
      <c r="BR231" s="2">
        <f>VLOOKUP([jobnumber],OvalData[],MATCH(Table2[[#Headers],[Insolated Total Slats]],Table2[#Headers],0),0)</f>
        <v>45</v>
      </c>
      <c r="BS231" s="2">
        <f>VLOOKUP([jobnumber],OvalData[],MATCH(Table2[[#Headers],[Number of Slats]],Table2[#Headers],0),0)</f>
        <v>44.69</v>
      </c>
      <c r="BT231" s="2">
        <f>VLOOKUP([jobnumber],OvalData[],MATCH(Table2[[#Headers],[Wrap]],Table2[#Headers],0),0)</f>
        <v>0</v>
      </c>
      <c r="BU231" s="2">
        <f>VLOOKUP([jobnumber],OvalData[],MATCH(Table2[[#Headers],[Wall Angle Thickness]],Table2[#Headers],0),0)</f>
        <v>0</v>
      </c>
      <c r="BV231" s="2">
        <f>VLOOKUP([jobnumber],OvalData[],MATCH(Table2[[#Headers],[windlocks]],Table2[#Headers],0),0)</f>
        <v>0</v>
      </c>
      <c r="BW231" s="2" t="str">
        <f>VLOOKUP([jobnumber],OvalData[],MATCH(Table2[[#Headers],[bottombartype]],Table2[#Headers],0),0)</f>
        <v>SPECIAL</v>
      </c>
      <c r="BX231" s="2">
        <f>VLOOKUP([jobnumber],OvalData[],MATCH(Table2[[#Headers],[endlockweight]],Table2[#Headers],0),0)</f>
        <v>0.17</v>
      </c>
      <c r="BY231" s="2">
        <f>VLOOKUP([jobnumber],OvalData[],MATCH(Table2[[#Headers],[Endlock Total Weight]],Table2[#Headers],0),0)</f>
        <v>7.5972999999999997</v>
      </c>
      <c r="BZ231" s="2">
        <f>VLOOKUP([jobnumber],OvalData[],MATCH(Table2[[#Headers],[Grille Weight]],Table2[#Headers],0),0)</f>
        <v>0</v>
      </c>
      <c r="CA231" s="2">
        <f>VLOOKUP([jobnumber],OvalData[],MATCH(Table2[[#Headers],[barrelrings]],Table2[#Headers],0),0)</f>
        <v>1</v>
      </c>
    </row>
    <row r="232" spans="2:79">
      <c r="B232" s="2" t="str">
        <f>VLOOKUP([jobnumber],OvalData[],MATCH(Table2[[#Headers],[Hand]],Table2[#Headers],0),0)</f>
        <v>RH</v>
      </c>
      <c r="C232" s="2" t="str">
        <f>VLOOKUP([jobnumber],OvalData[],MATCH(Table2[[#Headers],[Model]],Table2[#Headers],0),0)</f>
        <v>SFMPP</v>
      </c>
      <c r="D232" s="2" t="str">
        <f>VLOOKUP([jobnumber],OvalData[],MATCH(Table2[[#Headers],[width]],Table2[#Headers],0),0)</f>
        <v xml:space="preserve"> 18 ft.- 2"</v>
      </c>
      <c r="E232" s="2" t="str">
        <f>VLOOKUP([jobnumber],OvalData[],MATCH(Table2[[#Headers],[stopheight]],Table2[#Headers],0),0)</f>
        <v xml:space="preserve"> 10 ft.- 0"</v>
      </c>
      <c r="F232" s="2" t="str">
        <f>VLOOKUP([jobnumber],OvalData[],MATCH(Table2[[#Headers],[Between Brackets]],Table2[#Headers],0),0)</f>
        <v xml:space="preserve"> 18 ft.- 7 7/ 8"</v>
      </c>
      <c r="G232" s="2" t="str">
        <f>VLOOKUP([jobnumber],OvalData[],MATCH(Table2[[#Headers],[shell]],Table2[#Headers],0),0)</f>
        <v>6 INCH TUBE</v>
      </c>
      <c r="H232" s="2" t="str">
        <f>VLOOKUP([jobnumber],OvalData[],MATCH(Table2[[#Headers],[pipewidth]],Table2[#Headers],0),0)</f>
        <v xml:space="preserve"> 18 ft.- 1 3/ 8"</v>
      </c>
      <c r="I232" s="2">
        <f>VLOOKUP([jobnumber],OvalData[],MATCH(Table2[[#Headers],[Support Tubes]],Table2[#Headers],0),0)</f>
        <v>0</v>
      </c>
      <c r="J232" s="2">
        <f>VLOOKUP([jobnumber],OvalData[],MATCH(Table2[[#Headers],[Upset]],Table2[#Headers],0),0)</f>
        <v>2</v>
      </c>
      <c r="K232" s="2" t="str">
        <f>VLOOKUP([jobnumber],OvalData[],MATCH(Table2[[#Headers],[Guide Type]],Table2[#Headers],0),0)</f>
        <v>SN2-4 5/8-E</v>
      </c>
      <c r="L232" s="2" t="str">
        <f>VLOOKUP([jobnumber],OvalData[],MATCH(Table2[[#Headers],[Wall Angle]],Table2[#Headers],0),0)</f>
        <v xml:space="preserve"> 11 ft.- 8"</v>
      </c>
      <c r="M232" s="2" t="str">
        <f>VLOOKUP([jobnumber],OvalData[],MATCH(Table2[[#Headers],[Middle Angle]],Table2[#Headers],0),0)</f>
        <v xml:space="preserve"> 10 ft.- 4 1/ 2"</v>
      </c>
      <c r="N232" s="2" t="str">
        <f>VLOOKUP([jobnumber],OvalData[],MATCH(Table2[[#Headers],[Front Angle]],Table2[#Headers],0),0)</f>
        <v xml:space="preserve"> 10 ft.- 3"</v>
      </c>
      <c r="O232" s="2">
        <f>VLOOKUP([jobnumber],OvalData[],MATCH(Table2[[#Headers],[Pipe Center Line]],Table2[#Headers],0),0)</f>
        <v>131</v>
      </c>
      <c r="P232" s="2">
        <f>VLOOKUP([jobnumber],OvalData[],MATCH(Table2[[#Headers],[Heat Expansion Gap]],Table2[#Headers],0),0)</f>
        <v>0</v>
      </c>
      <c r="Q232" s="2">
        <f>VLOOKUP([jobnumber],OvalData[],MATCH(Table2[[#Headers],[Hanging Weight Closed]],Table2[#Headers],0),0)</f>
        <v>795</v>
      </c>
      <c r="R232" s="2">
        <f>VLOOKUP([jobnumber],OvalData[],MATCH(Table2[[#Headers],[Hanging Weight Open]],Table2[#Headers],0),0)</f>
        <v>140</v>
      </c>
      <c r="S232" s="2">
        <f>VLOOKUP([jobnumber],OvalData[],MATCH(Table2[[#Headers],[Initial Lever Arm]],Table2[#Headers],0),0)</f>
        <v>4.25</v>
      </c>
      <c r="T232" s="2">
        <f>VLOOKUP([jobnumber],OvalData[],MATCH(Table2[[#Headers],[Turns to Raise]],Table2[#Headers],0),0)</f>
        <v>3.5859999999999999</v>
      </c>
      <c r="U232" s="2">
        <f>VLOOKUP([jobnumber],OvalData[],MATCH(Table2[[#Headers],[Final Lever Arm]],Table2[#Headers],0),0)</f>
        <v>6.37</v>
      </c>
      <c r="V232" s="2">
        <f>VLOOKUP([jobnumber],OvalData[],MATCH(Table2[[#Headers],[Torque Required Closed]],Table2[#Headers],0),0)</f>
        <v>3377.9</v>
      </c>
      <c r="W232" s="2">
        <f>VLOOKUP([jobnumber],OvalData[],MATCH(Table2[[#Headers],[Torque Required Open]],Table2[#Headers],0),0)</f>
        <v>892</v>
      </c>
      <c r="X232" s="2">
        <f>VLOOKUP([jobnumber],OvalData[],MATCH(Table2[[#Headers],[Pre Turns]],Table2[#Headers],0),0)</f>
        <v>1.3332999999999999</v>
      </c>
      <c r="Y232" s="2">
        <f>VLOOKUP([jobnumber],OvalData[],MATCH(Table2[[#Headers],[Required Torque Per Turn]],Table2[#Headers],0),0)</f>
        <v>688</v>
      </c>
      <c r="Z232" s="2">
        <f>VLOOKUP([jobnumber],OvalData[],MATCH(Table2[[#Headers],[Total Turns]],Table2[#Headers],0),0)</f>
        <v>4.91</v>
      </c>
      <c r="AA232" s="2">
        <f>VLOOKUP([jobnumber],OvalData[],MATCH(Table2[[#Headers],[Grille Vision Section]],Table2[#Headers],0),0)</f>
        <v>0</v>
      </c>
      <c r="AB232" s="2">
        <f>VLOOKUP([jobnumber],OvalData[],MATCH(Table2[[#Headers],[Grille Amount]],Table2[#Headers],0),0)</f>
        <v>0</v>
      </c>
      <c r="AC232" s="2">
        <f>VLOOKUP([jobnumber],OvalData[],MATCH(Table2[[#Headers],[Grille Center]],Table2[#Headers],0),0)</f>
        <v>0</v>
      </c>
      <c r="AD232" s="2">
        <f>VLOOKUP([jobnumber],OvalData[],MATCH(Table2[[#Headers],[Grille Pattern]],Table2[#Headers],0),0)</f>
        <v>0</v>
      </c>
      <c r="AE232" s="2">
        <f>VLOOKUP([jobnumber],OvalData[],MATCH(Table2[[#Headers],[Grille First Tube]],Table2[#Headers],0),0)</f>
        <v>0</v>
      </c>
      <c r="AF232" s="2">
        <f>VLOOKUP([jobnumber],OvalData[],MATCH(Table2[[#Headers],[Grille Standard Tube]],Table2[#Headers],0),0)</f>
        <v>0</v>
      </c>
      <c r="AG232" s="2">
        <f>VLOOKUP([jobnumber],OvalData[],MATCH(Table2[[#Headers],[Grille Total Links]],Table2[#Headers],0),0)</f>
        <v>0</v>
      </c>
      <c r="AH232" s="2">
        <f>VLOOKUP([jobnumber],OvalData[],MATCH(Table2[[#Headers],[Grille Rods]],Table2[#Headers],0),0)</f>
        <v>0</v>
      </c>
      <c r="AI232" s="2">
        <f>VLOOKUP([jobnumber],OvalData[],MATCH(Table2[[#Headers],[Grille Rod Length]],Table2[#Headers],0),0)</f>
        <v>0</v>
      </c>
      <c r="AJ232" s="2">
        <f>VLOOKUP([jobnumber],OvalData[],MATCH(Table2[[#Headers],[slattype]],Table2[#Headers],0),0)</f>
        <v>2</v>
      </c>
      <c r="AK232" s="2">
        <f>VLOOKUP([jobnumber],OvalData[],MATCH(Table2[[#Headers],[slatgage]],Table2[#Headers],0),0)</f>
        <v>18</v>
      </c>
      <c r="AL232" s="2">
        <f>VLOOKUP([jobnumber],OvalData[],MATCH(Table2[[#Headers],[Numer of Top Slats]],Table2[#Headers],0),0)</f>
        <v>0</v>
      </c>
      <c r="AM232" s="2">
        <f>VLOOKUP([jobnumber],OvalData[],MATCH(Table2[[#Headers],[Number of Bottom Slats]],Table2[#Headers],0),0)</f>
        <v>0</v>
      </c>
      <c r="AN232" s="2">
        <f>VLOOKUP([jobnumber],OvalData[],MATCH(Table2[[#Headers],[Solid Bottom Height]],Table2[#Headers],0),0)</f>
        <v>0</v>
      </c>
      <c r="AO232" s="2" t="str">
        <f>VLOOKUP([jobnumber],OvalData[],MATCH(Table2[[#Headers],[slatlength]],Table2[#Headers],0),0)</f>
        <v xml:space="preserve"> 18 ft.- 5 7/ 8"</v>
      </c>
      <c r="AP232" s="2">
        <f>VLOOKUP([jobnumber],OvalData[],MATCH(Table2[[#Headers],[Bottom Slat Length]],Table2[#Headers],0),0)</f>
        <v>0</v>
      </c>
      <c r="AQ232" s="2">
        <f>VLOOKUP([jobnumber],OvalData[],MATCH(Table2[[#Headers],[Number of Perferated Slats]],Table2[#Headers],0),0)</f>
        <v>0</v>
      </c>
      <c r="AR232" s="2">
        <f>VLOOKUP([jobnumber],OvalData[],MATCH(Table2[[#Headers],[First Preferated Slat From End]],Table2[#Headers],0),0)</f>
        <v>0</v>
      </c>
      <c r="AS232" s="2">
        <f>VLOOKUP([jobnumber],OvalData[],MATCH(Table2[[#Headers],[First Preferated Slat From Bottom]],Table2[#Headers],0),0)</f>
        <v>0</v>
      </c>
      <c r="AT232" s="2">
        <f>VLOOKUP([jobnumber],OvalData[],MATCH(Table2[[#Headers],[Total Number of Slats]],Table2[#Headers],0),0)</f>
        <v>51</v>
      </c>
      <c r="AU232" s="2">
        <f>VLOOKUP([jobnumber],OvalData[],MATCH(Table2[[#Headers],[Bottom Bar Slope]],Table2[#Headers],0),0)</f>
        <v>0</v>
      </c>
      <c r="AV232" s="2">
        <f>VLOOKUP([jobnumber],OvalData[],MATCH(Table2[[#Headers],[Bottom Bar Weight]],Table2[#Headers],0),0)</f>
        <v>80.5</v>
      </c>
      <c r="AW232" s="2" t="str">
        <f>VLOOKUP([jobnumber],OvalData[],MATCH(Table2[[#Headers],[Outer Spring Gage]],Table2[#Headers],0),0)</f>
        <v>Null</v>
      </c>
      <c r="AX232" s="2" t="str">
        <f>VLOOKUP([jobnumber],OvalData[],MATCH(Table2[[#Headers],[Outer Spring OD]],Table2[#Headers],0),0)</f>
        <v>Null</v>
      </c>
      <c r="AY232" s="2" t="str">
        <f>VLOOKUP([jobnumber],OvalData[],MATCH(Table2[[#Headers],[Outer Spring Length]],Table2[#Headers],0),0)</f>
        <v>Null</v>
      </c>
      <c r="AZ232" s="2" t="str">
        <f>VLOOKUP([jobnumber],OvalData[],MATCH(Table2[[#Headers],[Outer Spring Stretch]],Table2[#Headers],0),0)</f>
        <v>Null</v>
      </c>
      <c r="BA232" s="2" t="str">
        <f>VLOOKUP([jobnumber],OvalData[],MATCH(Table2[[#Headers],[Outer Spring Torque]],Table2[#Headers],0),0)</f>
        <v>Null</v>
      </c>
      <c r="BB232" s="2" t="str">
        <f>VLOOKUP([jobnumber],OvalData[],MATCH(Table2[[#Headers],[Outer Spring Max Turns]],Table2[#Headers],0),0)</f>
        <v>Null</v>
      </c>
      <c r="BC232" s="2" t="str">
        <f>VLOOKUP([jobnumber],OvalData[],MATCH(Table2[[#Headers],[Outer Spring Weight]],Table2[#Headers],0),0)</f>
        <v>Null</v>
      </c>
      <c r="BD232" s="2" t="str">
        <f>VLOOKUP([jobnumber],OvalData[],MATCH(Table2[[#Headers],[Inner Spring Gage]],Table2[#Headers],0),0)</f>
        <v>Null</v>
      </c>
      <c r="BE232" s="2" t="str">
        <f>VLOOKUP([jobnumber],OvalData[],MATCH(Table2[[#Headers],[Inner Spring OD]],Table2[#Headers],0),0)</f>
        <v>Null</v>
      </c>
      <c r="BF232" s="2" t="str">
        <f>VLOOKUP([jobnumber],OvalData[],MATCH(Table2[[#Headers],[Inner Spring Length]],Table2[#Headers],0),0)</f>
        <v>Null</v>
      </c>
      <c r="BG232" s="2" t="str">
        <f>VLOOKUP([jobnumber],OvalData[],MATCH(Table2[[#Headers],[Inner Spring Stretch]],Table2[#Headers],0),0)</f>
        <v>Null</v>
      </c>
      <c r="BH232" s="2" t="str">
        <f>VLOOKUP([jobnumber],OvalData[],MATCH(Table2[[#Headers],[Inner Spring Torque]],Table2[#Headers],0),0)</f>
        <v>Null</v>
      </c>
      <c r="BI232" s="2" t="str">
        <f>VLOOKUP([jobnumber],OvalData[],MATCH(Table2[[#Headers],[Inner Spring Max Turns]],Table2[#Headers],0),0)</f>
        <v>Null</v>
      </c>
      <c r="BJ232" s="2" t="str">
        <f>VLOOKUP([jobnumber],OvalData[],MATCH(Table2[[#Headers],[Inner Spring Weight]],Table2[#Headers],0),0)</f>
        <v>Null</v>
      </c>
      <c r="BK232" s="2">
        <f>VLOOKUP([jobnumber],OvalData[],MATCH(Table2[[#Headers],[Cycles]],Table2[#Headers],0),0)</f>
        <v>0</v>
      </c>
      <c r="BL232" s="2">
        <f>VLOOKUP([jobnumber],OvalData[],MATCH(Table2[[#Headers],[Total Spring Torque]],Table2[#Headers],0),0)</f>
        <v>0</v>
      </c>
      <c r="BM232" s="2">
        <f>VLOOKUP([jobnumber],OvalData[],MATCH(Table2[[#Headers],[Total Spring Weight]],Table2[#Headers],0),0)</f>
        <v>0</v>
      </c>
      <c r="BN232" s="2">
        <f>VLOOKUP([jobnumber],OvalData[],MATCH(Table2[[#Headers],[Pipe Weight]],Table2[#Headers],0),0)</f>
        <v>688.24239999999998</v>
      </c>
      <c r="BO232" s="2">
        <f>VLOOKUP([jobnumber],OvalData[],MATCH(Table2[[#Headers],[Max Pipe Deflection]],Table2[#Headers],0),0)</f>
        <v>2309</v>
      </c>
      <c r="BP232" s="2">
        <f>VLOOKUP([jobnumber],OvalData[],MATCH(Table2[[#Headers],[Number Non-Insulated Wrap Slats]],Table2[#Headers],0),0)</f>
        <v>0</v>
      </c>
      <c r="BQ232" s="2">
        <f>VLOOKUP([jobnumber],OvalData[],MATCH(Table2[[#Headers],[Number of Insolated Top Slats]],Table2[#Headers],0),0)</f>
        <v>45</v>
      </c>
      <c r="BR232" s="2">
        <f>VLOOKUP([jobnumber],OvalData[],MATCH(Table2[[#Headers],[Insolated Total Slats]],Table2[#Headers],0),0)</f>
        <v>45</v>
      </c>
      <c r="BS232" s="2">
        <f>VLOOKUP([jobnumber],OvalData[],MATCH(Table2[[#Headers],[Number of Slats]],Table2[#Headers],0),0)</f>
        <v>44.69</v>
      </c>
      <c r="BT232" s="2">
        <f>VLOOKUP([jobnumber],OvalData[],MATCH(Table2[[#Headers],[Wrap]],Table2[#Headers],0),0)</f>
        <v>0</v>
      </c>
      <c r="BU232" s="2">
        <f>VLOOKUP([jobnumber],OvalData[],MATCH(Table2[[#Headers],[Wall Angle Thickness]],Table2[#Headers],0),0)</f>
        <v>0</v>
      </c>
      <c r="BV232" s="2">
        <f>VLOOKUP([jobnumber],OvalData[],MATCH(Table2[[#Headers],[windlocks]],Table2[#Headers],0),0)</f>
        <v>0</v>
      </c>
      <c r="BW232" s="2" t="str">
        <f>VLOOKUP([jobnumber],OvalData[],MATCH(Table2[[#Headers],[bottombartype]],Table2[#Headers],0),0)</f>
        <v>SPECIAL</v>
      </c>
      <c r="BX232" s="2">
        <f>VLOOKUP([jobnumber],OvalData[],MATCH(Table2[[#Headers],[endlockweight]],Table2[#Headers],0),0)</f>
        <v>0.17</v>
      </c>
      <c r="BY232" s="2">
        <f>VLOOKUP([jobnumber],OvalData[],MATCH(Table2[[#Headers],[Endlock Total Weight]],Table2[#Headers],0),0)</f>
        <v>7.5972999999999997</v>
      </c>
      <c r="BZ232" s="2">
        <f>VLOOKUP([jobnumber],OvalData[],MATCH(Table2[[#Headers],[Grille Weight]],Table2[#Headers],0),0)</f>
        <v>0</v>
      </c>
      <c r="CA232" s="2">
        <f>VLOOKUP([jobnumber],OvalData[],MATCH(Table2[[#Headers],[barrelrings]],Table2[#Headers],0),0)</f>
        <v>1</v>
      </c>
    </row>
    <row r="233" spans="2:79">
      <c r="B233" s="2" t="str">
        <f>VLOOKUP([jobnumber],OvalData[],MATCH(Table2[[#Headers],[Hand]],Table2[#Headers],0),0)</f>
        <v>RH</v>
      </c>
      <c r="C233" s="2" t="str">
        <f>VLOOKUP([jobnumber],OvalData[],MATCH(Table2[[#Headers],[Model]],Table2[#Headers],0),0)</f>
        <v>SFMPP</v>
      </c>
      <c r="D233" s="2" t="str">
        <f>VLOOKUP([jobnumber],OvalData[],MATCH(Table2[[#Headers],[width]],Table2[#Headers],0),0)</f>
        <v xml:space="preserve"> 18 ft.- 2"</v>
      </c>
      <c r="E233" s="2" t="str">
        <f>VLOOKUP([jobnumber],OvalData[],MATCH(Table2[[#Headers],[stopheight]],Table2[#Headers],0),0)</f>
        <v xml:space="preserve"> 10 ft.- 0"</v>
      </c>
      <c r="F233" s="2" t="str">
        <f>VLOOKUP([jobnumber],OvalData[],MATCH(Table2[[#Headers],[Between Brackets]],Table2[#Headers],0),0)</f>
        <v xml:space="preserve"> 18 ft.- 7 7/ 8"</v>
      </c>
      <c r="G233" s="2" t="str">
        <f>VLOOKUP([jobnumber],OvalData[],MATCH(Table2[[#Headers],[shell]],Table2[#Headers],0),0)</f>
        <v>6 INCH TUBE</v>
      </c>
      <c r="H233" s="2" t="str">
        <f>VLOOKUP([jobnumber],OvalData[],MATCH(Table2[[#Headers],[pipewidth]],Table2[#Headers],0),0)</f>
        <v xml:space="preserve"> 18 ft.- 1 3/ 8"</v>
      </c>
      <c r="I233" s="2">
        <f>VLOOKUP([jobnumber],OvalData[],MATCH(Table2[[#Headers],[Support Tubes]],Table2[#Headers],0),0)</f>
        <v>0</v>
      </c>
      <c r="J233" s="2">
        <f>VLOOKUP([jobnumber],OvalData[],MATCH(Table2[[#Headers],[Upset]],Table2[#Headers],0),0)</f>
        <v>2</v>
      </c>
      <c r="K233" s="2" t="str">
        <f>VLOOKUP([jobnumber],OvalData[],MATCH(Table2[[#Headers],[Guide Type]],Table2[#Headers],0),0)</f>
        <v>SN2-4 5/8-E</v>
      </c>
      <c r="L233" s="2" t="str">
        <f>VLOOKUP([jobnumber],OvalData[],MATCH(Table2[[#Headers],[Wall Angle]],Table2[#Headers],0),0)</f>
        <v xml:space="preserve"> 11 ft.- 8"</v>
      </c>
      <c r="M233" s="2" t="str">
        <f>VLOOKUP([jobnumber],OvalData[],MATCH(Table2[[#Headers],[Middle Angle]],Table2[#Headers],0),0)</f>
        <v xml:space="preserve"> 10 ft.- 4 1/ 2"</v>
      </c>
      <c r="N233" s="2" t="str">
        <f>VLOOKUP([jobnumber],OvalData[],MATCH(Table2[[#Headers],[Front Angle]],Table2[#Headers],0),0)</f>
        <v xml:space="preserve"> 10 ft.- 3"</v>
      </c>
      <c r="O233" s="2">
        <f>VLOOKUP([jobnumber],OvalData[],MATCH(Table2[[#Headers],[Pipe Center Line]],Table2[#Headers],0),0)</f>
        <v>131</v>
      </c>
      <c r="P233" s="2">
        <f>VLOOKUP([jobnumber],OvalData[],MATCH(Table2[[#Headers],[Heat Expansion Gap]],Table2[#Headers],0),0)</f>
        <v>0</v>
      </c>
      <c r="Q233" s="2">
        <f>VLOOKUP([jobnumber],OvalData[],MATCH(Table2[[#Headers],[Hanging Weight Closed]],Table2[#Headers],0),0)</f>
        <v>795</v>
      </c>
      <c r="R233" s="2">
        <f>VLOOKUP([jobnumber],OvalData[],MATCH(Table2[[#Headers],[Hanging Weight Open]],Table2[#Headers],0),0)</f>
        <v>140</v>
      </c>
      <c r="S233" s="2">
        <f>VLOOKUP([jobnumber],OvalData[],MATCH(Table2[[#Headers],[Initial Lever Arm]],Table2[#Headers],0),0)</f>
        <v>4.25</v>
      </c>
      <c r="T233" s="2">
        <f>VLOOKUP([jobnumber],OvalData[],MATCH(Table2[[#Headers],[Turns to Raise]],Table2[#Headers],0),0)</f>
        <v>3.5859999999999999</v>
      </c>
      <c r="U233" s="2">
        <f>VLOOKUP([jobnumber],OvalData[],MATCH(Table2[[#Headers],[Final Lever Arm]],Table2[#Headers],0),0)</f>
        <v>6.37</v>
      </c>
      <c r="V233" s="2">
        <f>VLOOKUP([jobnumber],OvalData[],MATCH(Table2[[#Headers],[Torque Required Closed]],Table2[#Headers],0),0)</f>
        <v>3377.9</v>
      </c>
      <c r="W233" s="2">
        <f>VLOOKUP([jobnumber],OvalData[],MATCH(Table2[[#Headers],[Torque Required Open]],Table2[#Headers],0),0)</f>
        <v>892</v>
      </c>
      <c r="X233" s="2">
        <f>VLOOKUP([jobnumber],OvalData[],MATCH(Table2[[#Headers],[Pre Turns]],Table2[#Headers],0),0)</f>
        <v>1.3332999999999999</v>
      </c>
      <c r="Y233" s="2">
        <f>VLOOKUP([jobnumber],OvalData[],MATCH(Table2[[#Headers],[Required Torque Per Turn]],Table2[#Headers],0),0)</f>
        <v>688</v>
      </c>
      <c r="Z233" s="2">
        <f>VLOOKUP([jobnumber],OvalData[],MATCH(Table2[[#Headers],[Total Turns]],Table2[#Headers],0),0)</f>
        <v>4.91</v>
      </c>
      <c r="AA233" s="2">
        <f>VLOOKUP([jobnumber],OvalData[],MATCH(Table2[[#Headers],[Grille Vision Section]],Table2[#Headers],0),0)</f>
        <v>0</v>
      </c>
      <c r="AB233" s="2">
        <f>VLOOKUP([jobnumber],OvalData[],MATCH(Table2[[#Headers],[Grille Amount]],Table2[#Headers],0),0)</f>
        <v>0</v>
      </c>
      <c r="AC233" s="2">
        <f>VLOOKUP([jobnumber],OvalData[],MATCH(Table2[[#Headers],[Grille Center]],Table2[#Headers],0),0)</f>
        <v>0</v>
      </c>
      <c r="AD233" s="2">
        <f>VLOOKUP([jobnumber],OvalData[],MATCH(Table2[[#Headers],[Grille Pattern]],Table2[#Headers],0),0)</f>
        <v>0</v>
      </c>
      <c r="AE233" s="2">
        <f>VLOOKUP([jobnumber],OvalData[],MATCH(Table2[[#Headers],[Grille First Tube]],Table2[#Headers],0),0)</f>
        <v>0</v>
      </c>
      <c r="AF233" s="2">
        <f>VLOOKUP([jobnumber],OvalData[],MATCH(Table2[[#Headers],[Grille Standard Tube]],Table2[#Headers],0),0)</f>
        <v>0</v>
      </c>
      <c r="AG233" s="2">
        <f>VLOOKUP([jobnumber],OvalData[],MATCH(Table2[[#Headers],[Grille Total Links]],Table2[#Headers],0),0)</f>
        <v>0</v>
      </c>
      <c r="AH233" s="2">
        <f>VLOOKUP([jobnumber],OvalData[],MATCH(Table2[[#Headers],[Grille Rods]],Table2[#Headers],0),0)</f>
        <v>0</v>
      </c>
      <c r="AI233" s="2">
        <f>VLOOKUP([jobnumber],OvalData[],MATCH(Table2[[#Headers],[Grille Rod Length]],Table2[#Headers],0),0)</f>
        <v>0</v>
      </c>
      <c r="AJ233" s="2">
        <f>VLOOKUP([jobnumber],OvalData[],MATCH(Table2[[#Headers],[slattype]],Table2[#Headers],0),0)</f>
        <v>2</v>
      </c>
      <c r="AK233" s="2">
        <f>VLOOKUP([jobnumber],OvalData[],MATCH(Table2[[#Headers],[slatgage]],Table2[#Headers],0),0)</f>
        <v>18</v>
      </c>
      <c r="AL233" s="2">
        <f>VLOOKUP([jobnumber],OvalData[],MATCH(Table2[[#Headers],[Numer of Top Slats]],Table2[#Headers],0),0)</f>
        <v>0</v>
      </c>
      <c r="AM233" s="2">
        <f>VLOOKUP([jobnumber],OvalData[],MATCH(Table2[[#Headers],[Number of Bottom Slats]],Table2[#Headers],0),0)</f>
        <v>0</v>
      </c>
      <c r="AN233" s="2">
        <f>VLOOKUP([jobnumber],OvalData[],MATCH(Table2[[#Headers],[Solid Bottom Height]],Table2[#Headers],0),0)</f>
        <v>0</v>
      </c>
      <c r="AO233" s="2" t="str">
        <f>VLOOKUP([jobnumber],OvalData[],MATCH(Table2[[#Headers],[slatlength]],Table2[#Headers],0),0)</f>
        <v xml:space="preserve"> 18 ft.- 5 7/ 8"</v>
      </c>
      <c r="AP233" s="2">
        <f>VLOOKUP([jobnumber],OvalData[],MATCH(Table2[[#Headers],[Bottom Slat Length]],Table2[#Headers],0),0)</f>
        <v>0</v>
      </c>
      <c r="AQ233" s="2">
        <f>VLOOKUP([jobnumber],OvalData[],MATCH(Table2[[#Headers],[Number of Perferated Slats]],Table2[#Headers],0),0)</f>
        <v>0</v>
      </c>
      <c r="AR233" s="2">
        <f>VLOOKUP([jobnumber],OvalData[],MATCH(Table2[[#Headers],[First Preferated Slat From End]],Table2[#Headers],0),0)</f>
        <v>0</v>
      </c>
      <c r="AS233" s="2">
        <f>VLOOKUP([jobnumber],OvalData[],MATCH(Table2[[#Headers],[First Preferated Slat From Bottom]],Table2[#Headers],0),0)</f>
        <v>0</v>
      </c>
      <c r="AT233" s="2">
        <f>VLOOKUP([jobnumber],OvalData[],MATCH(Table2[[#Headers],[Total Number of Slats]],Table2[#Headers],0),0)</f>
        <v>51</v>
      </c>
      <c r="AU233" s="2">
        <f>VLOOKUP([jobnumber],OvalData[],MATCH(Table2[[#Headers],[Bottom Bar Slope]],Table2[#Headers],0),0)</f>
        <v>0</v>
      </c>
      <c r="AV233" s="2">
        <f>VLOOKUP([jobnumber],OvalData[],MATCH(Table2[[#Headers],[Bottom Bar Weight]],Table2[#Headers],0),0)</f>
        <v>80.5</v>
      </c>
      <c r="AW233" s="2" t="str">
        <f>VLOOKUP([jobnumber],OvalData[],MATCH(Table2[[#Headers],[Outer Spring Gage]],Table2[#Headers],0),0)</f>
        <v>Null</v>
      </c>
      <c r="AX233" s="2" t="str">
        <f>VLOOKUP([jobnumber],OvalData[],MATCH(Table2[[#Headers],[Outer Spring OD]],Table2[#Headers],0),0)</f>
        <v>Null</v>
      </c>
      <c r="AY233" s="2" t="str">
        <f>VLOOKUP([jobnumber],OvalData[],MATCH(Table2[[#Headers],[Outer Spring Length]],Table2[#Headers],0),0)</f>
        <v>Null</v>
      </c>
      <c r="AZ233" s="2" t="str">
        <f>VLOOKUP([jobnumber],OvalData[],MATCH(Table2[[#Headers],[Outer Spring Stretch]],Table2[#Headers],0),0)</f>
        <v>Null</v>
      </c>
      <c r="BA233" s="2" t="str">
        <f>VLOOKUP([jobnumber],OvalData[],MATCH(Table2[[#Headers],[Outer Spring Torque]],Table2[#Headers],0),0)</f>
        <v>Null</v>
      </c>
      <c r="BB233" s="2" t="str">
        <f>VLOOKUP([jobnumber],OvalData[],MATCH(Table2[[#Headers],[Outer Spring Max Turns]],Table2[#Headers],0),0)</f>
        <v>Null</v>
      </c>
      <c r="BC233" s="2" t="str">
        <f>VLOOKUP([jobnumber],OvalData[],MATCH(Table2[[#Headers],[Outer Spring Weight]],Table2[#Headers],0),0)</f>
        <v>Null</v>
      </c>
      <c r="BD233" s="2" t="str">
        <f>VLOOKUP([jobnumber],OvalData[],MATCH(Table2[[#Headers],[Inner Spring Gage]],Table2[#Headers],0),0)</f>
        <v>Null</v>
      </c>
      <c r="BE233" s="2" t="str">
        <f>VLOOKUP([jobnumber],OvalData[],MATCH(Table2[[#Headers],[Inner Spring OD]],Table2[#Headers],0),0)</f>
        <v>Null</v>
      </c>
      <c r="BF233" s="2" t="str">
        <f>VLOOKUP([jobnumber],OvalData[],MATCH(Table2[[#Headers],[Inner Spring Length]],Table2[#Headers],0),0)</f>
        <v>Null</v>
      </c>
      <c r="BG233" s="2" t="str">
        <f>VLOOKUP([jobnumber],OvalData[],MATCH(Table2[[#Headers],[Inner Spring Stretch]],Table2[#Headers],0),0)</f>
        <v>Null</v>
      </c>
      <c r="BH233" s="2" t="str">
        <f>VLOOKUP([jobnumber],OvalData[],MATCH(Table2[[#Headers],[Inner Spring Torque]],Table2[#Headers],0),0)</f>
        <v>Null</v>
      </c>
      <c r="BI233" s="2" t="str">
        <f>VLOOKUP([jobnumber],OvalData[],MATCH(Table2[[#Headers],[Inner Spring Max Turns]],Table2[#Headers],0),0)</f>
        <v>Null</v>
      </c>
      <c r="BJ233" s="2" t="str">
        <f>VLOOKUP([jobnumber],OvalData[],MATCH(Table2[[#Headers],[Inner Spring Weight]],Table2[#Headers],0),0)</f>
        <v>Null</v>
      </c>
      <c r="BK233" s="2">
        <f>VLOOKUP([jobnumber],OvalData[],MATCH(Table2[[#Headers],[Cycles]],Table2[#Headers],0),0)</f>
        <v>0</v>
      </c>
      <c r="BL233" s="2">
        <f>VLOOKUP([jobnumber],OvalData[],MATCH(Table2[[#Headers],[Total Spring Torque]],Table2[#Headers],0),0)</f>
        <v>0</v>
      </c>
      <c r="BM233" s="2">
        <f>VLOOKUP([jobnumber],OvalData[],MATCH(Table2[[#Headers],[Total Spring Weight]],Table2[#Headers],0),0)</f>
        <v>0</v>
      </c>
      <c r="BN233" s="2">
        <f>VLOOKUP([jobnumber],OvalData[],MATCH(Table2[[#Headers],[Pipe Weight]],Table2[#Headers],0),0)</f>
        <v>688.24239999999998</v>
      </c>
      <c r="BO233" s="2">
        <f>VLOOKUP([jobnumber],OvalData[],MATCH(Table2[[#Headers],[Max Pipe Deflection]],Table2[#Headers],0),0)</f>
        <v>2309</v>
      </c>
      <c r="BP233" s="2">
        <f>VLOOKUP([jobnumber],OvalData[],MATCH(Table2[[#Headers],[Number Non-Insulated Wrap Slats]],Table2[#Headers],0),0)</f>
        <v>0</v>
      </c>
      <c r="BQ233" s="2">
        <f>VLOOKUP([jobnumber],OvalData[],MATCH(Table2[[#Headers],[Number of Insolated Top Slats]],Table2[#Headers],0),0)</f>
        <v>45</v>
      </c>
      <c r="BR233" s="2">
        <f>VLOOKUP([jobnumber],OvalData[],MATCH(Table2[[#Headers],[Insolated Total Slats]],Table2[#Headers],0),0)</f>
        <v>45</v>
      </c>
      <c r="BS233" s="2">
        <f>VLOOKUP([jobnumber],OvalData[],MATCH(Table2[[#Headers],[Number of Slats]],Table2[#Headers],0),0)</f>
        <v>44.69</v>
      </c>
      <c r="BT233" s="2">
        <f>VLOOKUP([jobnumber],OvalData[],MATCH(Table2[[#Headers],[Wrap]],Table2[#Headers],0),0)</f>
        <v>0</v>
      </c>
      <c r="BU233" s="2">
        <f>VLOOKUP([jobnumber],OvalData[],MATCH(Table2[[#Headers],[Wall Angle Thickness]],Table2[#Headers],0),0)</f>
        <v>0</v>
      </c>
      <c r="BV233" s="2">
        <f>VLOOKUP([jobnumber],OvalData[],MATCH(Table2[[#Headers],[windlocks]],Table2[#Headers],0),0)</f>
        <v>0</v>
      </c>
      <c r="BW233" s="2" t="str">
        <f>VLOOKUP([jobnumber],OvalData[],MATCH(Table2[[#Headers],[bottombartype]],Table2[#Headers],0),0)</f>
        <v>SPECIAL</v>
      </c>
      <c r="BX233" s="2">
        <f>VLOOKUP([jobnumber],OvalData[],MATCH(Table2[[#Headers],[endlockweight]],Table2[#Headers],0),0)</f>
        <v>0.17</v>
      </c>
      <c r="BY233" s="2">
        <f>VLOOKUP([jobnumber],OvalData[],MATCH(Table2[[#Headers],[Endlock Total Weight]],Table2[#Headers],0),0)</f>
        <v>7.5972999999999997</v>
      </c>
      <c r="BZ233" s="2">
        <f>VLOOKUP([jobnumber],OvalData[],MATCH(Table2[[#Headers],[Grille Weight]],Table2[#Headers],0),0)</f>
        <v>0</v>
      </c>
      <c r="CA233" s="2">
        <f>VLOOKUP([jobnumber],OvalData[],MATCH(Table2[[#Headers],[barrelrings]],Table2[#Headers],0),0)</f>
        <v>1</v>
      </c>
    </row>
    <row r="234" spans="2:79">
      <c r="B234" s="2" t="str">
        <f>VLOOKUP([jobnumber],OvalData[],MATCH(Table2[[#Headers],[Hand]],Table2[#Headers],0),0)</f>
        <v>RH</v>
      </c>
      <c r="C234" s="2" t="str">
        <f>VLOOKUP([jobnumber],OvalData[],MATCH(Table2[[#Headers],[Model]],Table2[#Headers],0),0)</f>
        <v>SFMPP</v>
      </c>
      <c r="D234" s="2" t="str">
        <f>VLOOKUP([jobnumber],OvalData[],MATCH(Table2[[#Headers],[width]],Table2[#Headers],0),0)</f>
        <v xml:space="preserve"> 18 ft.- 2"</v>
      </c>
      <c r="E234" s="2" t="str">
        <f>VLOOKUP([jobnumber],OvalData[],MATCH(Table2[[#Headers],[stopheight]],Table2[#Headers],0),0)</f>
        <v xml:space="preserve"> 10 ft.- 0"</v>
      </c>
      <c r="F234" s="2" t="str">
        <f>VLOOKUP([jobnumber],OvalData[],MATCH(Table2[[#Headers],[Between Brackets]],Table2[#Headers],0),0)</f>
        <v xml:space="preserve"> 18 ft.- 7 7/ 8"</v>
      </c>
      <c r="G234" s="2" t="str">
        <f>VLOOKUP([jobnumber],OvalData[],MATCH(Table2[[#Headers],[shell]],Table2[#Headers],0),0)</f>
        <v>6 INCH TUBE</v>
      </c>
      <c r="H234" s="2" t="str">
        <f>VLOOKUP([jobnumber],OvalData[],MATCH(Table2[[#Headers],[pipewidth]],Table2[#Headers],0),0)</f>
        <v xml:space="preserve"> 18 ft.- 1 3/ 8"</v>
      </c>
      <c r="I234" s="2">
        <f>VLOOKUP([jobnumber],OvalData[],MATCH(Table2[[#Headers],[Support Tubes]],Table2[#Headers],0),0)</f>
        <v>0</v>
      </c>
      <c r="J234" s="2">
        <f>VLOOKUP([jobnumber],OvalData[],MATCH(Table2[[#Headers],[Upset]],Table2[#Headers],0),0)</f>
        <v>2</v>
      </c>
      <c r="K234" s="2" t="str">
        <f>VLOOKUP([jobnumber],OvalData[],MATCH(Table2[[#Headers],[Guide Type]],Table2[#Headers],0),0)</f>
        <v>SN2-4 5/8-E</v>
      </c>
      <c r="L234" s="2" t="str">
        <f>VLOOKUP([jobnumber],OvalData[],MATCH(Table2[[#Headers],[Wall Angle]],Table2[#Headers],0),0)</f>
        <v xml:space="preserve"> 11 ft.- 8"</v>
      </c>
      <c r="M234" s="2" t="str">
        <f>VLOOKUP([jobnumber],OvalData[],MATCH(Table2[[#Headers],[Middle Angle]],Table2[#Headers],0),0)</f>
        <v xml:space="preserve"> 10 ft.- 4 1/ 2"</v>
      </c>
      <c r="N234" s="2" t="str">
        <f>VLOOKUP([jobnumber],OvalData[],MATCH(Table2[[#Headers],[Front Angle]],Table2[#Headers],0),0)</f>
        <v xml:space="preserve"> 10 ft.- 3"</v>
      </c>
      <c r="O234" s="2">
        <f>VLOOKUP([jobnumber],OvalData[],MATCH(Table2[[#Headers],[Pipe Center Line]],Table2[#Headers],0),0)</f>
        <v>131</v>
      </c>
      <c r="P234" s="2">
        <f>VLOOKUP([jobnumber],OvalData[],MATCH(Table2[[#Headers],[Heat Expansion Gap]],Table2[#Headers],0),0)</f>
        <v>0</v>
      </c>
      <c r="Q234" s="2">
        <f>VLOOKUP([jobnumber],OvalData[],MATCH(Table2[[#Headers],[Hanging Weight Closed]],Table2[#Headers],0),0)</f>
        <v>795</v>
      </c>
      <c r="R234" s="2">
        <f>VLOOKUP([jobnumber],OvalData[],MATCH(Table2[[#Headers],[Hanging Weight Open]],Table2[#Headers],0),0)</f>
        <v>140</v>
      </c>
      <c r="S234" s="2">
        <f>VLOOKUP([jobnumber],OvalData[],MATCH(Table2[[#Headers],[Initial Lever Arm]],Table2[#Headers],0),0)</f>
        <v>4.25</v>
      </c>
      <c r="T234" s="2">
        <f>VLOOKUP([jobnumber],OvalData[],MATCH(Table2[[#Headers],[Turns to Raise]],Table2[#Headers],0),0)</f>
        <v>3.5859999999999999</v>
      </c>
      <c r="U234" s="2">
        <f>VLOOKUP([jobnumber],OvalData[],MATCH(Table2[[#Headers],[Final Lever Arm]],Table2[#Headers],0),0)</f>
        <v>6.37</v>
      </c>
      <c r="V234" s="2">
        <f>VLOOKUP([jobnumber],OvalData[],MATCH(Table2[[#Headers],[Torque Required Closed]],Table2[#Headers],0),0)</f>
        <v>3377.9</v>
      </c>
      <c r="W234" s="2">
        <f>VLOOKUP([jobnumber],OvalData[],MATCH(Table2[[#Headers],[Torque Required Open]],Table2[#Headers],0),0)</f>
        <v>892</v>
      </c>
      <c r="X234" s="2">
        <f>VLOOKUP([jobnumber],OvalData[],MATCH(Table2[[#Headers],[Pre Turns]],Table2[#Headers],0),0)</f>
        <v>1.3332999999999999</v>
      </c>
      <c r="Y234" s="2">
        <f>VLOOKUP([jobnumber],OvalData[],MATCH(Table2[[#Headers],[Required Torque Per Turn]],Table2[#Headers],0),0)</f>
        <v>688</v>
      </c>
      <c r="Z234" s="2">
        <f>VLOOKUP([jobnumber],OvalData[],MATCH(Table2[[#Headers],[Total Turns]],Table2[#Headers],0),0)</f>
        <v>4.91</v>
      </c>
      <c r="AA234" s="2">
        <f>VLOOKUP([jobnumber],OvalData[],MATCH(Table2[[#Headers],[Grille Vision Section]],Table2[#Headers],0),0)</f>
        <v>0</v>
      </c>
      <c r="AB234" s="2">
        <f>VLOOKUP([jobnumber],OvalData[],MATCH(Table2[[#Headers],[Grille Amount]],Table2[#Headers],0),0)</f>
        <v>0</v>
      </c>
      <c r="AC234" s="2">
        <f>VLOOKUP([jobnumber],OvalData[],MATCH(Table2[[#Headers],[Grille Center]],Table2[#Headers],0),0)</f>
        <v>0</v>
      </c>
      <c r="AD234" s="2">
        <f>VLOOKUP([jobnumber],OvalData[],MATCH(Table2[[#Headers],[Grille Pattern]],Table2[#Headers],0),0)</f>
        <v>0</v>
      </c>
      <c r="AE234" s="2">
        <f>VLOOKUP([jobnumber],OvalData[],MATCH(Table2[[#Headers],[Grille First Tube]],Table2[#Headers],0),0)</f>
        <v>0</v>
      </c>
      <c r="AF234" s="2">
        <f>VLOOKUP([jobnumber],OvalData[],MATCH(Table2[[#Headers],[Grille Standard Tube]],Table2[#Headers],0),0)</f>
        <v>0</v>
      </c>
      <c r="AG234" s="2">
        <f>VLOOKUP([jobnumber],OvalData[],MATCH(Table2[[#Headers],[Grille Total Links]],Table2[#Headers],0),0)</f>
        <v>0</v>
      </c>
      <c r="AH234" s="2">
        <f>VLOOKUP([jobnumber],OvalData[],MATCH(Table2[[#Headers],[Grille Rods]],Table2[#Headers],0),0)</f>
        <v>0</v>
      </c>
      <c r="AI234" s="2">
        <f>VLOOKUP([jobnumber],OvalData[],MATCH(Table2[[#Headers],[Grille Rod Length]],Table2[#Headers],0),0)</f>
        <v>0</v>
      </c>
      <c r="AJ234" s="2">
        <f>VLOOKUP([jobnumber],OvalData[],MATCH(Table2[[#Headers],[slattype]],Table2[#Headers],0),0)</f>
        <v>2</v>
      </c>
      <c r="AK234" s="2">
        <f>VLOOKUP([jobnumber],OvalData[],MATCH(Table2[[#Headers],[slatgage]],Table2[#Headers],0),0)</f>
        <v>18</v>
      </c>
      <c r="AL234" s="2">
        <f>VLOOKUP([jobnumber],OvalData[],MATCH(Table2[[#Headers],[Numer of Top Slats]],Table2[#Headers],0),0)</f>
        <v>0</v>
      </c>
      <c r="AM234" s="2">
        <f>VLOOKUP([jobnumber],OvalData[],MATCH(Table2[[#Headers],[Number of Bottom Slats]],Table2[#Headers],0),0)</f>
        <v>0</v>
      </c>
      <c r="AN234" s="2">
        <f>VLOOKUP([jobnumber],OvalData[],MATCH(Table2[[#Headers],[Solid Bottom Height]],Table2[#Headers],0),0)</f>
        <v>0</v>
      </c>
      <c r="AO234" s="2" t="str">
        <f>VLOOKUP([jobnumber],OvalData[],MATCH(Table2[[#Headers],[slatlength]],Table2[#Headers],0),0)</f>
        <v xml:space="preserve"> 18 ft.- 5 7/ 8"</v>
      </c>
      <c r="AP234" s="2">
        <f>VLOOKUP([jobnumber],OvalData[],MATCH(Table2[[#Headers],[Bottom Slat Length]],Table2[#Headers],0),0)</f>
        <v>0</v>
      </c>
      <c r="AQ234" s="2">
        <f>VLOOKUP([jobnumber],OvalData[],MATCH(Table2[[#Headers],[Number of Perferated Slats]],Table2[#Headers],0),0)</f>
        <v>0</v>
      </c>
      <c r="AR234" s="2">
        <f>VLOOKUP([jobnumber],OvalData[],MATCH(Table2[[#Headers],[First Preferated Slat From End]],Table2[#Headers],0),0)</f>
        <v>0</v>
      </c>
      <c r="AS234" s="2">
        <f>VLOOKUP([jobnumber],OvalData[],MATCH(Table2[[#Headers],[First Preferated Slat From Bottom]],Table2[#Headers],0),0)</f>
        <v>0</v>
      </c>
      <c r="AT234" s="2">
        <f>VLOOKUP([jobnumber],OvalData[],MATCH(Table2[[#Headers],[Total Number of Slats]],Table2[#Headers],0),0)</f>
        <v>51</v>
      </c>
      <c r="AU234" s="2">
        <f>VLOOKUP([jobnumber],OvalData[],MATCH(Table2[[#Headers],[Bottom Bar Slope]],Table2[#Headers],0),0)</f>
        <v>0</v>
      </c>
      <c r="AV234" s="2">
        <f>VLOOKUP([jobnumber],OvalData[],MATCH(Table2[[#Headers],[Bottom Bar Weight]],Table2[#Headers],0),0)</f>
        <v>80.5</v>
      </c>
      <c r="AW234" s="2" t="str">
        <f>VLOOKUP([jobnumber],OvalData[],MATCH(Table2[[#Headers],[Outer Spring Gage]],Table2[#Headers],0),0)</f>
        <v>Null</v>
      </c>
      <c r="AX234" s="2" t="str">
        <f>VLOOKUP([jobnumber],OvalData[],MATCH(Table2[[#Headers],[Outer Spring OD]],Table2[#Headers],0),0)</f>
        <v>Null</v>
      </c>
      <c r="AY234" s="2" t="str">
        <f>VLOOKUP([jobnumber],OvalData[],MATCH(Table2[[#Headers],[Outer Spring Length]],Table2[#Headers],0),0)</f>
        <v>Null</v>
      </c>
      <c r="AZ234" s="2" t="str">
        <f>VLOOKUP([jobnumber],OvalData[],MATCH(Table2[[#Headers],[Outer Spring Stretch]],Table2[#Headers],0),0)</f>
        <v>Null</v>
      </c>
      <c r="BA234" s="2" t="str">
        <f>VLOOKUP([jobnumber],OvalData[],MATCH(Table2[[#Headers],[Outer Spring Torque]],Table2[#Headers],0),0)</f>
        <v>Null</v>
      </c>
      <c r="BB234" s="2" t="str">
        <f>VLOOKUP([jobnumber],OvalData[],MATCH(Table2[[#Headers],[Outer Spring Max Turns]],Table2[#Headers],0),0)</f>
        <v>Null</v>
      </c>
      <c r="BC234" s="2" t="str">
        <f>VLOOKUP([jobnumber],OvalData[],MATCH(Table2[[#Headers],[Outer Spring Weight]],Table2[#Headers],0),0)</f>
        <v>Null</v>
      </c>
      <c r="BD234" s="2" t="str">
        <f>VLOOKUP([jobnumber],OvalData[],MATCH(Table2[[#Headers],[Inner Spring Gage]],Table2[#Headers],0),0)</f>
        <v>Null</v>
      </c>
      <c r="BE234" s="2" t="str">
        <f>VLOOKUP([jobnumber],OvalData[],MATCH(Table2[[#Headers],[Inner Spring OD]],Table2[#Headers],0),0)</f>
        <v>Null</v>
      </c>
      <c r="BF234" s="2" t="str">
        <f>VLOOKUP([jobnumber],OvalData[],MATCH(Table2[[#Headers],[Inner Spring Length]],Table2[#Headers],0),0)</f>
        <v>Null</v>
      </c>
      <c r="BG234" s="2" t="str">
        <f>VLOOKUP([jobnumber],OvalData[],MATCH(Table2[[#Headers],[Inner Spring Stretch]],Table2[#Headers],0),0)</f>
        <v>Null</v>
      </c>
      <c r="BH234" s="2" t="str">
        <f>VLOOKUP([jobnumber],OvalData[],MATCH(Table2[[#Headers],[Inner Spring Torque]],Table2[#Headers],0),0)</f>
        <v>Null</v>
      </c>
      <c r="BI234" s="2" t="str">
        <f>VLOOKUP([jobnumber],OvalData[],MATCH(Table2[[#Headers],[Inner Spring Max Turns]],Table2[#Headers],0),0)</f>
        <v>Null</v>
      </c>
      <c r="BJ234" s="2" t="str">
        <f>VLOOKUP([jobnumber],OvalData[],MATCH(Table2[[#Headers],[Inner Spring Weight]],Table2[#Headers],0),0)</f>
        <v>Null</v>
      </c>
      <c r="BK234" s="2">
        <f>VLOOKUP([jobnumber],OvalData[],MATCH(Table2[[#Headers],[Cycles]],Table2[#Headers],0),0)</f>
        <v>0</v>
      </c>
      <c r="BL234" s="2">
        <f>VLOOKUP([jobnumber],OvalData[],MATCH(Table2[[#Headers],[Total Spring Torque]],Table2[#Headers],0),0)</f>
        <v>0</v>
      </c>
      <c r="BM234" s="2">
        <f>VLOOKUP([jobnumber],OvalData[],MATCH(Table2[[#Headers],[Total Spring Weight]],Table2[#Headers],0),0)</f>
        <v>0</v>
      </c>
      <c r="BN234" s="2">
        <f>VLOOKUP([jobnumber],OvalData[],MATCH(Table2[[#Headers],[Pipe Weight]],Table2[#Headers],0),0)</f>
        <v>688.24239999999998</v>
      </c>
      <c r="BO234" s="2">
        <f>VLOOKUP([jobnumber],OvalData[],MATCH(Table2[[#Headers],[Max Pipe Deflection]],Table2[#Headers],0),0)</f>
        <v>2309</v>
      </c>
      <c r="BP234" s="2">
        <f>VLOOKUP([jobnumber],OvalData[],MATCH(Table2[[#Headers],[Number Non-Insulated Wrap Slats]],Table2[#Headers],0),0)</f>
        <v>0</v>
      </c>
      <c r="BQ234" s="2">
        <f>VLOOKUP([jobnumber],OvalData[],MATCH(Table2[[#Headers],[Number of Insolated Top Slats]],Table2[#Headers],0),0)</f>
        <v>45</v>
      </c>
      <c r="BR234" s="2">
        <f>VLOOKUP([jobnumber],OvalData[],MATCH(Table2[[#Headers],[Insolated Total Slats]],Table2[#Headers],0),0)</f>
        <v>45</v>
      </c>
      <c r="BS234" s="2">
        <f>VLOOKUP([jobnumber],OvalData[],MATCH(Table2[[#Headers],[Number of Slats]],Table2[#Headers],0),0)</f>
        <v>44.69</v>
      </c>
      <c r="BT234" s="2">
        <f>VLOOKUP([jobnumber],OvalData[],MATCH(Table2[[#Headers],[Wrap]],Table2[#Headers],0),0)</f>
        <v>0</v>
      </c>
      <c r="BU234" s="2">
        <f>VLOOKUP([jobnumber],OvalData[],MATCH(Table2[[#Headers],[Wall Angle Thickness]],Table2[#Headers],0),0)</f>
        <v>0</v>
      </c>
      <c r="BV234" s="2">
        <f>VLOOKUP([jobnumber],OvalData[],MATCH(Table2[[#Headers],[windlocks]],Table2[#Headers],0),0)</f>
        <v>0</v>
      </c>
      <c r="BW234" s="2" t="str">
        <f>VLOOKUP([jobnumber],OvalData[],MATCH(Table2[[#Headers],[bottombartype]],Table2[#Headers],0),0)</f>
        <v>SPECIAL</v>
      </c>
      <c r="BX234" s="2">
        <f>VLOOKUP([jobnumber],OvalData[],MATCH(Table2[[#Headers],[endlockweight]],Table2[#Headers],0),0)</f>
        <v>0.17</v>
      </c>
      <c r="BY234" s="2">
        <f>VLOOKUP([jobnumber],OvalData[],MATCH(Table2[[#Headers],[Endlock Total Weight]],Table2[#Headers],0),0)</f>
        <v>7.5972999999999997</v>
      </c>
      <c r="BZ234" s="2">
        <f>VLOOKUP([jobnumber],OvalData[],MATCH(Table2[[#Headers],[Grille Weight]],Table2[#Headers],0),0)</f>
        <v>0</v>
      </c>
      <c r="CA234" s="2">
        <f>VLOOKUP([jobnumber],OvalData[],MATCH(Table2[[#Headers],[barrelrings]],Table2[#Headers],0),0)</f>
        <v>1</v>
      </c>
    </row>
    <row r="235" spans="2:79">
      <c r="B235" s="2" t="str">
        <f>VLOOKUP([jobnumber],OvalData[],MATCH(Table2[[#Headers],[Hand]],Table2[#Headers],0),0)</f>
        <v>RH</v>
      </c>
      <c r="C235" s="2" t="str">
        <f>VLOOKUP([jobnumber],OvalData[],MATCH(Table2[[#Headers],[Model]],Table2[#Headers],0),0)</f>
        <v>SFMPP</v>
      </c>
      <c r="D235" s="2" t="str">
        <f>VLOOKUP([jobnumber],OvalData[],MATCH(Table2[[#Headers],[width]],Table2[#Headers],0),0)</f>
        <v xml:space="preserve"> 18 ft.- 2"</v>
      </c>
      <c r="E235" s="2" t="str">
        <f>VLOOKUP([jobnumber],OvalData[],MATCH(Table2[[#Headers],[stopheight]],Table2[#Headers],0),0)</f>
        <v xml:space="preserve"> 10 ft.- 0"</v>
      </c>
      <c r="F235" s="2" t="str">
        <f>VLOOKUP([jobnumber],OvalData[],MATCH(Table2[[#Headers],[Between Brackets]],Table2[#Headers],0),0)</f>
        <v xml:space="preserve"> 18 ft.- 7 7/ 8"</v>
      </c>
      <c r="G235" s="2" t="str">
        <f>VLOOKUP([jobnumber],OvalData[],MATCH(Table2[[#Headers],[shell]],Table2[#Headers],0),0)</f>
        <v>6 INCH TUBE</v>
      </c>
      <c r="H235" s="2" t="str">
        <f>VLOOKUP([jobnumber],OvalData[],MATCH(Table2[[#Headers],[pipewidth]],Table2[#Headers],0),0)</f>
        <v xml:space="preserve"> 18 ft.- 1 3/ 8"</v>
      </c>
      <c r="I235" s="2">
        <f>VLOOKUP([jobnumber],OvalData[],MATCH(Table2[[#Headers],[Support Tubes]],Table2[#Headers],0),0)</f>
        <v>0</v>
      </c>
      <c r="J235" s="2">
        <f>VLOOKUP([jobnumber],OvalData[],MATCH(Table2[[#Headers],[Upset]],Table2[#Headers],0),0)</f>
        <v>2</v>
      </c>
      <c r="K235" s="2" t="str">
        <f>VLOOKUP([jobnumber],OvalData[],MATCH(Table2[[#Headers],[Guide Type]],Table2[#Headers],0),0)</f>
        <v>SN2-4 5/8-E</v>
      </c>
      <c r="L235" s="2" t="str">
        <f>VLOOKUP([jobnumber],OvalData[],MATCH(Table2[[#Headers],[Wall Angle]],Table2[#Headers],0),0)</f>
        <v xml:space="preserve"> 11 ft.- 8"</v>
      </c>
      <c r="M235" s="2" t="str">
        <f>VLOOKUP([jobnumber],OvalData[],MATCH(Table2[[#Headers],[Middle Angle]],Table2[#Headers],0),0)</f>
        <v xml:space="preserve"> 10 ft.- 4 1/ 2"</v>
      </c>
      <c r="N235" s="2" t="str">
        <f>VLOOKUP([jobnumber],OvalData[],MATCH(Table2[[#Headers],[Front Angle]],Table2[#Headers],0),0)</f>
        <v xml:space="preserve"> 10 ft.- 3"</v>
      </c>
      <c r="O235" s="2">
        <f>VLOOKUP([jobnumber],OvalData[],MATCH(Table2[[#Headers],[Pipe Center Line]],Table2[#Headers],0),0)</f>
        <v>131</v>
      </c>
      <c r="P235" s="2">
        <f>VLOOKUP([jobnumber],OvalData[],MATCH(Table2[[#Headers],[Heat Expansion Gap]],Table2[#Headers],0),0)</f>
        <v>0</v>
      </c>
      <c r="Q235" s="2">
        <f>VLOOKUP([jobnumber],OvalData[],MATCH(Table2[[#Headers],[Hanging Weight Closed]],Table2[#Headers],0),0)</f>
        <v>795</v>
      </c>
      <c r="R235" s="2">
        <f>VLOOKUP([jobnumber],OvalData[],MATCH(Table2[[#Headers],[Hanging Weight Open]],Table2[#Headers],0),0)</f>
        <v>140</v>
      </c>
      <c r="S235" s="2">
        <f>VLOOKUP([jobnumber],OvalData[],MATCH(Table2[[#Headers],[Initial Lever Arm]],Table2[#Headers],0),0)</f>
        <v>4.25</v>
      </c>
      <c r="T235" s="2">
        <f>VLOOKUP([jobnumber],OvalData[],MATCH(Table2[[#Headers],[Turns to Raise]],Table2[#Headers],0),0)</f>
        <v>3.5859999999999999</v>
      </c>
      <c r="U235" s="2">
        <f>VLOOKUP([jobnumber],OvalData[],MATCH(Table2[[#Headers],[Final Lever Arm]],Table2[#Headers],0),0)</f>
        <v>6.37</v>
      </c>
      <c r="V235" s="2">
        <f>VLOOKUP([jobnumber],OvalData[],MATCH(Table2[[#Headers],[Torque Required Closed]],Table2[#Headers],0),0)</f>
        <v>3377.9</v>
      </c>
      <c r="W235" s="2">
        <f>VLOOKUP([jobnumber],OvalData[],MATCH(Table2[[#Headers],[Torque Required Open]],Table2[#Headers],0),0)</f>
        <v>892</v>
      </c>
      <c r="X235" s="2">
        <f>VLOOKUP([jobnumber],OvalData[],MATCH(Table2[[#Headers],[Pre Turns]],Table2[#Headers],0),0)</f>
        <v>1.3332999999999999</v>
      </c>
      <c r="Y235" s="2">
        <f>VLOOKUP([jobnumber],OvalData[],MATCH(Table2[[#Headers],[Required Torque Per Turn]],Table2[#Headers],0),0)</f>
        <v>688</v>
      </c>
      <c r="Z235" s="2">
        <f>VLOOKUP([jobnumber],OvalData[],MATCH(Table2[[#Headers],[Total Turns]],Table2[#Headers],0),0)</f>
        <v>4.91</v>
      </c>
      <c r="AA235" s="2">
        <f>VLOOKUP([jobnumber],OvalData[],MATCH(Table2[[#Headers],[Grille Vision Section]],Table2[#Headers],0),0)</f>
        <v>0</v>
      </c>
      <c r="AB235" s="2">
        <f>VLOOKUP([jobnumber],OvalData[],MATCH(Table2[[#Headers],[Grille Amount]],Table2[#Headers],0),0)</f>
        <v>0</v>
      </c>
      <c r="AC235" s="2">
        <f>VLOOKUP([jobnumber],OvalData[],MATCH(Table2[[#Headers],[Grille Center]],Table2[#Headers],0),0)</f>
        <v>0</v>
      </c>
      <c r="AD235" s="2">
        <f>VLOOKUP([jobnumber],OvalData[],MATCH(Table2[[#Headers],[Grille Pattern]],Table2[#Headers],0),0)</f>
        <v>0</v>
      </c>
      <c r="AE235" s="2">
        <f>VLOOKUP([jobnumber],OvalData[],MATCH(Table2[[#Headers],[Grille First Tube]],Table2[#Headers],0),0)</f>
        <v>0</v>
      </c>
      <c r="AF235" s="2">
        <f>VLOOKUP([jobnumber],OvalData[],MATCH(Table2[[#Headers],[Grille Standard Tube]],Table2[#Headers],0),0)</f>
        <v>0</v>
      </c>
      <c r="AG235" s="2">
        <f>VLOOKUP([jobnumber],OvalData[],MATCH(Table2[[#Headers],[Grille Total Links]],Table2[#Headers],0),0)</f>
        <v>0</v>
      </c>
      <c r="AH235" s="2">
        <f>VLOOKUP([jobnumber],OvalData[],MATCH(Table2[[#Headers],[Grille Rods]],Table2[#Headers],0),0)</f>
        <v>0</v>
      </c>
      <c r="AI235" s="2">
        <f>VLOOKUP([jobnumber],OvalData[],MATCH(Table2[[#Headers],[Grille Rod Length]],Table2[#Headers],0),0)</f>
        <v>0</v>
      </c>
      <c r="AJ235" s="2">
        <f>VLOOKUP([jobnumber],OvalData[],MATCH(Table2[[#Headers],[slattype]],Table2[#Headers],0),0)</f>
        <v>2</v>
      </c>
      <c r="AK235" s="2">
        <f>VLOOKUP([jobnumber],OvalData[],MATCH(Table2[[#Headers],[slatgage]],Table2[#Headers],0),0)</f>
        <v>18</v>
      </c>
      <c r="AL235" s="2">
        <f>VLOOKUP([jobnumber],OvalData[],MATCH(Table2[[#Headers],[Numer of Top Slats]],Table2[#Headers],0),0)</f>
        <v>0</v>
      </c>
      <c r="AM235" s="2">
        <f>VLOOKUP([jobnumber],OvalData[],MATCH(Table2[[#Headers],[Number of Bottom Slats]],Table2[#Headers],0),0)</f>
        <v>0</v>
      </c>
      <c r="AN235" s="2">
        <f>VLOOKUP([jobnumber],OvalData[],MATCH(Table2[[#Headers],[Solid Bottom Height]],Table2[#Headers],0),0)</f>
        <v>0</v>
      </c>
      <c r="AO235" s="2" t="str">
        <f>VLOOKUP([jobnumber],OvalData[],MATCH(Table2[[#Headers],[slatlength]],Table2[#Headers],0),0)</f>
        <v xml:space="preserve"> 18 ft.- 5 7/ 8"</v>
      </c>
      <c r="AP235" s="2">
        <f>VLOOKUP([jobnumber],OvalData[],MATCH(Table2[[#Headers],[Bottom Slat Length]],Table2[#Headers],0),0)</f>
        <v>0</v>
      </c>
      <c r="AQ235" s="2">
        <f>VLOOKUP([jobnumber],OvalData[],MATCH(Table2[[#Headers],[Number of Perferated Slats]],Table2[#Headers],0),0)</f>
        <v>0</v>
      </c>
      <c r="AR235" s="2">
        <f>VLOOKUP([jobnumber],OvalData[],MATCH(Table2[[#Headers],[First Preferated Slat From End]],Table2[#Headers],0),0)</f>
        <v>0</v>
      </c>
      <c r="AS235" s="2">
        <f>VLOOKUP([jobnumber],OvalData[],MATCH(Table2[[#Headers],[First Preferated Slat From Bottom]],Table2[#Headers],0),0)</f>
        <v>0</v>
      </c>
      <c r="AT235" s="2">
        <f>VLOOKUP([jobnumber],OvalData[],MATCH(Table2[[#Headers],[Total Number of Slats]],Table2[#Headers],0),0)</f>
        <v>51</v>
      </c>
      <c r="AU235" s="2">
        <f>VLOOKUP([jobnumber],OvalData[],MATCH(Table2[[#Headers],[Bottom Bar Slope]],Table2[#Headers],0),0)</f>
        <v>0</v>
      </c>
      <c r="AV235" s="2">
        <f>VLOOKUP([jobnumber],OvalData[],MATCH(Table2[[#Headers],[Bottom Bar Weight]],Table2[#Headers],0),0)</f>
        <v>80.5</v>
      </c>
      <c r="AW235" s="2" t="str">
        <f>VLOOKUP([jobnumber],OvalData[],MATCH(Table2[[#Headers],[Outer Spring Gage]],Table2[#Headers],0),0)</f>
        <v>Null</v>
      </c>
      <c r="AX235" s="2" t="str">
        <f>VLOOKUP([jobnumber],OvalData[],MATCH(Table2[[#Headers],[Outer Spring OD]],Table2[#Headers],0),0)</f>
        <v>Null</v>
      </c>
      <c r="AY235" s="2" t="str">
        <f>VLOOKUP([jobnumber],OvalData[],MATCH(Table2[[#Headers],[Outer Spring Length]],Table2[#Headers],0),0)</f>
        <v>Null</v>
      </c>
      <c r="AZ235" s="2" t="str">
        <f>VLOOKUP([jobnumber],OvalData[],MATCH(Table2[[#Headers],[Outer Spring Stretch]],Table2[#Headers],0),0)</f>
        <v>Null</v>
      </c>
      <c r="BA235" s="2" t="str">
        <f>VLOOKUP([jobnumber],OvalData[],MATCH(Table2[[#Headers],[Outer Spring Torque]],Table2[#Headers],0),0)</f>
        <v>Null</v>
      </c>
      <c r="BB235" s="2" t="str">
        <f>VLOOKUP([jobnumber],OvalData[],MATCH(Table2[[#Headers],[Outer Spring Max Turns]],Table2[#Headers],0),0)</f>
        <v>Null</v>
      </c>
      <c r="BC235" s="2" t="str">
        <f>VLOOKUP([jobnumber],OvalData[],MATCH(Table2[[#Headers],[Outer Spring Weight]],Table2[#Headers],0),0)</f>
        <v>Null</v>
      </c>
      <c r="BD235" s="2" t="str">
        <f>VLOOKUP([jobnumber],OvalData[],MATCH(Table2[[#Headers],[Inner Spring Gage]],Table2[#Headers],0),0)</f>
        <v>Null</v>
      </c>
      <c r="BE235" s="2" t="str">
        <f>VLOOKUP([jobnumber],OvalData[],MATCH(Table2[[#Headers],[Inner Spring OD]],Table2[#Headers],0),0)</f>
        <v>Null</v>
      </c>
      <c r="BF235" s="2" t="str">
        <f>VLOOKUP([jobnumber],OvalData[],MATCH(Table2[[#Headers],[Inner Spring Length]],Table2[#Headers],0),0)</f>
        <v>Null</v>
      </c>
      <c r="BG235" s="2" t="str">
        <f>VLOOKUP([jobnumber],OvalData[],MATCH(Table2[[#Headers],[Inner Spring Stretch]],Table2[#Headers],0),0)</f>
        <v>Null</v>
      </c>
      <c r="BH235" s="2" t="str">
        <f>VLOOKUP([jobnumber],OvalData[],MATCH(Table2[[#Headers],[Inner Spring Torque]],Table2[#Headers],0),0)</f>
        <v>Null</v>
      </c>
      <c r="BI235" s="2" t="str">
        <f>VLOOKUP([jobnumber],OvalData[],MATCH(Table2[[#Headers],[Inner Spring Max Turns]],Table2[#Headers],0),0)</f>
        <v>Null</v>
      </c>
      <c r="BJ235" s="2" t="str">
        <f>VLOOKUP([jobnumber],OvalData[],MATCH(Table2[[#Headers],[Inner Spring Weight]],Table2[#Headers],0),0)</f>
        <v>Null</v>
      </c>
      <c r="BK235" s="2">
        <f>VLOOKUP([jobnumber],OvalData[],MATCH(Table2[[#Headers],[Cycles]],Table2[#Headers],0),0)</f>
        <v>0</v>
      </c>
      <c r="BL235" s="2">
        <f>VLOOKUP([jobnumber],OvalData[],MATCH(Table2[[#Headers],[Total Spring Torque]],Table2[#Headers],0),0)</f>
        <v>0</v>
      </c>
      <c r="BM235" s="2">
        <f>VLOOKUP([jobnumber],OvalData[],MATCH(Table2[[#Headers],[Total Spring Weight]],Table2[#Headers],0),0)</f>
        <v>0</v>
      </c>
      <c r="BN235" s="2">
        <f>VLOOKUP([jobnumber],OvalData[],MATCH(Table2[[#Headers],[Pipe Weight]],Table2[#Headers],0),0)</f>
        <v>688.24239999999998</v>
      </c>
      <c r="BO235" s="2">
        <f>VLOOKUP([jobnumber],OvalData[],MATCH(Table2[[#Headers],[Max Pipe Deflection]],Table2[#Headers],0),0)</f>
        <v>2309</v>
      </c>
      <c r="BP235" s="2">
        <f>VLOOKUP([jobnumber],OvalData[],MATCH(Table2[[#Headers],[Number Non-Insulated Wrap Slats]],Table2[#Headers],0),0)</f>
        <v>0</v>
      </c>
      <c r="BQ235" s="2">
        <f>VLOOKUP([jobnumber],OvalData[],MATCH(Table2[[#Headers],[Number of Insolated Top Slats]],Table2[#Headers],0),0)</f>
        <v>45</v>
      </c>
      <c r="BR235" s="2">
        <f>VLOOKUP([jobnumber],OvalData[],MATCH(Table2[[#Headers],[Insolated Total Slats]],Table2[#Headers],0),0)</f>
        <v>45</v>
      </c>
      <c r="BS235" s="2">
        <f>VLOOKUP([jobnumber],OvalData[],MATCH(Table2[[#Headers],[Number of Slats]],Table2[#Headers],0),0)</f>
        <v>44.69</v>
      </c>
      <c r="BT235" s="2">
        <f>VLOOKUP([jobnumber],OvalData[],MATCH(Table2[[#Headers],[Wrap]],Table2[#Headers],0),0)</f>
        <v>0</v>
      </c>
      <c r="BU235" s="2">
        <f>VLOOKUP([jobnumber],OvalData[],MATCH(Table2[[#Headers],[Wall Angle Thickness]],Table2[#Headers],0),0)</f>
        <v>0</v>
      </c>
      <c r="BV235" s="2">
        <f>VLOOKUP([jobnumber],OvalData[],MATCH(Table2[[#Headers],[windlocks]],Table2[#Headers],0),0)</f>
        <v>0</v>
      </c>
      <c r="BW235" s="2" t="str">
        <f>VLOOKUP([jobnumber],OvalData[],MATCH(Table2[[#Headers],[bottombartype]],Table2[#Headers],0),0)</f>
        <v>SPECIAL</v>
      </c>
      <c r="BX235" s="2">
        <f>VLOOKUP([jobnumber],OvalData[],MATCH(Table2[[#Headers],[endlockweight]],Table2[#Headers],0),0)</f>
        <v>0.17</v>
      </c>
      <c r="BY235" s="2">
        <f>VLOOKUP([jobnumber],OvalData[],MATCH(Table2[[#Headers],[Endlock Total Weight]],Table2[#Headers],0),0)</f>
        <v>7.5972999999999997</v>
      </c>
      <c r="BZ235" s="2">
        <f>VLOOKUP([jobnumber],OvalData[],MATCH(Table2[[#Headers],[Grille Weight]],Table2[#Headers],0),0)</f>
        <v>0</v>
      </c>
      <c r="CA235" s="2">
        <f>VLOOKUP([jobnumber],OvalData[],MATCH(Table2[[#Headers],[barrelrings]],Table2[#Headers],0),0)</f>
        <v>1</v>
      </c>
    </row>
    <row r="236" spans="2:79">
      <c r="B236" s="2" t="str">
        <f>VLOOKUP([jobnumber],OvalData[],MATCH(Table2[[#Headers],[Hand]],Table2[#Headers],0),0)</f>
        <v>RH</v>
      </c>
      <c r="C236" s="2" t="str">
        <f>VLOOKUP([jobnumber],OvalData[],MATCH(Table2[[#Headers],[Model]],Table2[#Headers],0),0)</f>
        <v>SFMPP</v>
      </c>
      <c r="D236" s="2" t="str">
        <f>VLOOKUP([jobnumber],OvalData[],MATCH(Table2[[#Headers],[width]],Table2[#Headers],0),0)</f>
        <v xml:space="preserve"> 18 ft.- 2"</v>
      </c>
      <c r="E236" s="2" t="str">
        <f>VLOOKUP([jobnumber],OvalData[],MATCH(Table2[[#Headers],[stopheight]],Table2[#Headers],0),0)</f>
        <v xml:space="preserve"> 10 ft.- 0"</v>
      </c>
      <c r="F236" s="2" t="str">
        <f>VLOOKUP([jobnumber],OvalData[],MATCH(Table2[[#Headers],[Between Brackets]],Table2[#Headers],0),0)</f>
        <v xml:space="preserve"> 18 ft.- 7 7/ 8"</v>
      </c>
      <c r="G236" s="2" t="str">
        <f>VLOOKUP([jobnumber],OvalData[],MATCH(Table2[[#Headers],[shell]],Table2[#Headers],0),0)</f>
        <v>6 INCH TUBE</v>
      </c>
      <c r="H236" s="2" t="str">
        <f>VLOOKUP([jobnumber],OvalData[],MATCH(Table2[[#Headers],[pipewidth]],Table2[#Headers],0),0)</f>
        <v xml:space="preserve"> 18 ft.- 1 3/ 8"</v>
      </c>
      <c r="I236" s="2">
        <f>VLOOKUP([jobnumber],OvalData[],MATCH(Table2[[#Headers],[Support Tubes]],Table2[#Headers],0),0)</f>
        <v>0</v>
      </c>
      <c r="J236" s="2">
        <f>VLOOKUP([jobnumber],OvalData[],MATCH(Table2[[#Headers],[Upset]],Table2[#Headers],0),0)</f>
        <v>2</v>
      </c>
      <c r="K236" s="2" t="str">
        <f>VLOOKUP([jobnumber],OvalData[],MATCH(Table2[[#Headers],[Guide Type]],Table2[#Headers],0),0)</f>
        <v>SN2-4 5/8-E</v>
      </c>
      <c r="L236" s="2" t="str">
        <f>VLOOKUP([jobnumber],OvalData[],MATCH(Table2[[#Headers],[Wall Angle]],Table2[#Headers],0),0)</f>
        <v xml:space="preserve"> 11 ft.- 8"</v>
      </c>
      <c r="M236" s="2" t="str">
        <f>VLOOKUP([jobnumber],OvalData[],MATCH(Table2[[#Headers],[Middle Angle]],Table2[#Headers],0),0)</f>
        <v xml:space="preserve"> 10 ft.- 4 1/ 2"</v>
      </c>
      <c r="N236" s="2" t="str">
        <f>VLOOKUP([jobnumber],OvalData[],MATCH(Table2[[#Headers],[Front Angle]],Table2[#Headers],0),0)</f>
        <v xml:space="preserve"> 10 ft.- 3"</v>
      </c>
      <c r="O236" s="2">
        <f>VLOOKUP([jobnumber],OvalData[],MATCH(Table2[[#Headers],[Pipe Center Line]],Table2[#Headers],0),0)</f>
        <v>131</v>
      </c>
      <c r="P236" s="2">
        <f>VLOOKUP([jobnumber],OvalData[],MATCH(Table2[[#Headers],[Heat Expansion Gap]],Table2[#Headers],0),0)</f>
        <v>0</v>
      </c>
      <c r="Q236" s="2">
        <f>VLOOKUP([jobnumber],OvalData[],MATCH(Table2[[#Headers],[Hanging Weight Closed]],Table2[#Headers],0),0)</f>
        <v>795</v>
      </c>
      <c r="R236" s="2">
        <f>VLOOKUP([jobnumber],OvalData[],MATCH(Table2[[#Headers],[Hanging Weight Open]],Table2[#Headers],0),0)</f>
        <v>140</v>
      </c>
      <c r="S236" s="2">
        <f>VLOOKUP([jobnumber],OvalData[],MATCH(Table2[[#Headers],[Initial Lever Arm]],Table2[#Headers],0),0)</f>
        <v>4.25</v>
      </c>
      <c r="T236" s="2">
        <f>VLOOKUP([jobnumber],OvalData[],MATCH(Table2[[#Headers],[Turns to Raise]],Table2[#Headers],0),0)</f>
        <v>3.5859999999999999</v>
      </c>
      <c r="U236" s="2">
        <f>VLOOKUP([jobnumber],OvalData[],MATCH(Table2[[#Headers],[Final Lever Arm]],Table2[#Headers],0),0)</f>
        <v>6.37</v>
      </c>
      <c r="V236" s="2">
        <f>VLOOKUP([jobnumber],OvalData[],MATCH(Table2[[#Headers],[Torque Required Closed]],Table2[#Headers],0),0)</f>
        <v>3377.9</v>
      </c>
      <c r="W236" s="2">
        <f>VLOOKUP([jobnumber],OvalData[],MATCH(Table2[[#Headers],[Torque Required Open]],Table2[#Headers],0),0)</f>
        <v>892</v>
      </c>
      <c r="X236" s="2">
        <f>VLOOKUP([jobnumber],OvalData[],MATCH(Table2[[#Headers],[Pre Turns]],Table2[#Headers],0),0)</f>
        <v>1.3332999999999999</v>
      </c>
      <c r="Y236" s="2">
        <f>VLOOKUP([jobnumber],OvalData[],MATCH(Table2[[#Headers],[Required Torque Per Turn]],Table2[#Headers],0),0)</f>
        <v>688</v>
      </c>
      <c r="Z236" s="2">
        <f>VLOOKUP([jobnumber],OvalData[],MATCH(Table2[[#Headers],[Total Turns]],Table2[#Headers],0),0)</f>
        <v>4.91</v>
      </c>
      <c r="AA236" s="2">
        <f>VLOOKUP([jobnumber],OvalData[],MATCH(Table2[[#Headers],[Grille Vision Section]],Table2[#Headers],0),0)</f>
        <v>0</v>
      </c>
      <c r="AB236" s="2">
        <f>VLOOKUP([jobnumber],OvalData[],MATCH(Table2[[#Headers],[Grille Amount]],Table2[#Headers],0),0)</f>
        <v>0</v>
      </c>
      <c r="AC236" s="2">
        <f>VLOOKUP([jobnumber],OvalData[],MATCH(Table2[[#Headers],[Grille Center]],Table2[#Headers],0),0)</f>
        <v>0</v>
      </c>
      <c r="AD236" s="2">
        <f>VLOOKUP([jobnumber],OvalData[],MATCH(Table2[[#Headers],[Grille Pattern]],Table2[#Headers],0),0)</f>
        <v>0</v>
      </c>
      <c r="AE236" s="2">
        <f>VLOOKUP([jobnumber],OvalData[],MATCH(Table2[[#Headers],[Grille First Tube]],Table2[#Headers],0),0)</f>
        <v>0</v>
      </c>
      <c r="AF236" s="2">
        <f>VLOOKUP([jobnumber],OvalData[],MATCH(Table2[[#Headers],[Grille Standard Tube]],Table2[#Headers],0),0)</f>
        <v>0</v>
      </c>
      <c r="AG236" s="2">
        <f>VLOOKUP([jobnumber],OvalData[],MATCH(Table2[[#Headers],[Grille Total Links]],Table2[#Headers],0),0)</f>
        <v>0</v>
      </c>
      <c r="AH236" s="2">
        <f>VLOOKUP([jobnumber],OvalData[],MATCH(Table2[[#Headers],[Grille Rods]],Table2[#Headers],0),0)</f>
        <v>0</v>
      </c>
      <c r="AI236" s="2">
        <f>VLOOKUP([jobnumber],OvalData[],MATCH(Table2[[#Headers],[Grille Rod Length]],Table2[#Headers],0),0)</f>
        <v>0</v>
      </c>
      <c r="AJ236" s="2">
        <f>VLOOKUP([jobnumber],OvalData[],MATCH(Table2[[#Headers],[slattype]],Table2[#Headers],0),0)</f>
        <v>2</v>
      </c>
      <c r="AK236" s="2">
        <f>VLOOKUP([jobnumber],OvalData[],MATCH(Table2[[#Headers],[slatgage]],Table2[#Headers],0),0)</f>
        <v>18</v>
      </c>
      <c r="AL236" s="2">
        <f>VLOOKUP([jobnumber],OvalData[],MATCH(Table2[[#Headers],[Numer of Top Slats]],Table2[#Headers],0),0)</f>
        <v>0</v>
      </c>
      <c r="AM236" s="2">
        <f>VLOOKUP([jobnumber],OvalData[],MATCH(Table2[[#Headers],[Number of Bottom Slats]],Table2[#Headers],0),0)</f>
        <v>0</v>
      </c>
      <c r="AN236" s="2">
        <f>VLOOKUP([jobnumber],OvalData[],MATCH(Table2[[#Headers],[Solid Bottom Height]],Table2[#Headers],0),0)</f>
        <v>0</v>
      </c>
      <c r="AO236" s="2" t="str">
        <f>VLOOKUP([jobnumber],OvalData[],MATCH(Table2[[#Headers],[slatlength]],Table2[#Headers],0),0)</f>
        <v xml:space="preserve"> 18 ft.- 5 7/ 8"</v>
      </c>
      <c r="AP236" s="2">
        <f>VLOOKUP([jobnumber],OvalData[],MATCH(Table2[[#Headers],[Bottom Slat Length]],Table2[#Headers],0),0)</f>
        <v>0</v>
      </c>
      <c r="AQ236" s="2">
        <f>VLOOKUP([jobnumber],OvalData[],MATCH(Table2[[#Headers],[Number of Perferated Slats]],Table2[#Headers],0),0)</f>
        <v>0</v>
      </c>
      <c r="AR236" s="2">
        <f>VLOOKUP([jobnumber],OvalData[],MATCH(Table2[[#Headers],[First Preferated Slat From End]],Table2[#Headers],0),0)</f>
        <v>0</v>
      </c>
      <c r="AS236" s="2">
        <f>VLOOKUP([jobnumber],OvalData[],MATCH(Table2[[#Headers],[First Preferated Slat From Bottom]],Table2[#Headers],0),0)</f>
        <v>0</v>
      </c>
      <c r="AT236" s="2">
        <f>VLOOKUP([jobnumber],OvalData[],MATCH(Table2[[#Headers],[Total Number of Slats]],Table2[#Headers],0),0)</f>
        <v>51</v>
      </c>
      <c r="AU236" s="2">
        <f>VLOOKUP([jobnumber],OvalData[],MATCH(Table2[[#Headers],[Bottom Bar Slope]],Table2[#Headers],0),0)</f>
        <v>0</v>
      </c>
      <c r="AV236" s="2">
        <f>VLOOKUP([jobnumber],OvalData[],MATCH(Table2[[#Headers],[Bottom Bar Weight]],Table2[#Headers],0),0)</f>
        <v>80.5</v>
      </c>
      <c r="AW236" s="2" t="str">
        <f>VLOOKUP([jobnumber],OvalData[],MATCH(Table2[[#Headers],[Outer Spring Gage]],Table2[#Headers],0),0)</f>
        <v>Null</v>
      </c>
      <c r="AX236" s="2" t="str">
        <f>VLOOKUP([jobnumber],OvalData[],MATCH(Table2[[#Headers],[Outer Spring OD]],Table2[#Headers],0),0)</f>
        <v>Null</v>
      </c>
      <c r="AY236" s="2" t="str">
        <f>VLOOKUP([jobnumber],OvalData[],MATCH(Table2[[#Headers],[Outer Spring Length]],Table2[#Headers],0),0)</f>
        <v>Null</v>
      </c>
      <c r="AZ236" s="2" t="str">
        <f>VLOOKUP([jobnumber],OvalData[],MATCH(Table2[[#Headers],[Outer Spring Stretch]],Table2[#Headers],0),0)</f>
        <v>Null</v>
      </c>
      <c r="BA236" s="2" t="str">
        <f>VLOOKUP([jobnumber],OvalData[],MATCH(Table2[[#Headers],[Outer Spring Torque]],Table2[#Headers],0),0)</f>
        <v>Null</v>
      </c>
      <c r="BB236" s="2" t="str">
        <f>VLOOKUP([jobnumber],OvalData[],MATCH(Table2[[#Headers],[Outer Spring Max Turns]],Table2[#Headers],0),0)</f>
        <v>Null</v>
      </c>
      <c r="BC236" s="2" t="str">
        <f>VLOOKUP([jobnumber],OvalData[],MATCH(Table2[[#Headers],[Outer Spring Weight]],Table2[#Headers],0),0)</f>
        <v>Null</v>
      </c>
      <c r="BD236" s="2" t="str">
        <f>VLOOKUP([jobnumber],OvalData[],MATCH(Table2[[#Headers],[Inner Spring Gage]],Table2[#Headers],0),0)</f>
        <v>Null</v>
      </c>
      <c r="BE236" s="2" t="str">
        <f>VLOOKUP([jobnumber],OvalData[],MATCH(Table2[[#Headers],[Inner Spring OD]],Table2[#Headers],0),0)</f>
        <v>Null</v>
      </c>
      <c r="BF236" s="2" t="str">
        <f>VLOOKUP([jobnumber],OvalData[],MATCH(Table2[[#Headers],[Inner Spring Length]],Table2[#Headers],0),0)</f>
        <v>Null</v>
      </c>
      <c r="BG236" s="2" t="str">
        <f>VLOOKUP([jobnumber],OvalData[],MATCH(Table2[[#Headers],[Inner Spring Stretch]],Table2[#Headers],0),0)</f>
        <v>Null</v>
      </c>
      <c r="BH236" s="2" t="str">
        <f>VLOOKUP([jobnumber],OvalData[],MATCH(Table2[[#Headers],[Inner Spring Torque]],Table2[#Headers],0),0)</f>
        <v>Null</v>
      </c>
      <c r="BI236" s="2" t="str">
        <f>VLOOKUP([jobnumber],OvalData[],MATCH(Table2[[#Headers],[Inner Spring Max Turns]],Table2[#Headers],0),0)</f>
        <v>Null</v>
      </c>
      <c r="BJ236" s="2" t="str">
        <f>VLOOKUP([jobnumber],OvalData[],MATCH(Table2[[#Headers],[Inner Spring Weight]],Table2[#Headers],0),0)</f>
        <v>Null</v>
      </c>
      <c r="BK236" s="2">
        <f>VLOOKUP([jobnumber],OvalData[],MATCH(Table2[[#Headers],[Cycles]],Table2[#Headers],0),0)</f>
        <v>0</v>
      </c>
      <c r="BL236" s="2">
        <f>VLOOKUP([jobnumber],OvalData[],MATCH(Table2[[#Headers],[Total Spring Torque]],Table2[#Headers],0),0)</f>
        <v>0</v>
      </c>
      <c r="BM236" s="2">
        <f>VLOOKUP([jobnumber],OvalData[],MATCH(Table2[[#Headers],[Total Spring Weight]],Table2[#Headers],0),0)</f>
        <v>0</v>
      </c>
      <c r="BN236" s="2">
        <f>VLOOKUP([jobnumber],OvalData[],MATCH(Table2[[#Headers],[Pipe Weight]],Table2[#Headers],0),0)</f>
        <v>688.24239999999998</v>
      </c>
      <c r="BO236" s="2">
        <f>VLOOKUP([jobnumber],OvalData[],MATCH(Table2[[#Headers],[Max Pipe Deflection]],Table2[#Headers],0),0)</f>
        <v>2309</v>
      </c>
      <c r="BP236" s="2">
        <f>VLOOKUP([jobnumber],OvalData[],MATCH(Table2[[#Headers],[Number Non-Insulated Wrap Slats]],Table2[#Headers],0),0)</f>
        <v>0</v>
      </c>
      <c r="BQ236" s="2">
        <f>VLOOKUP([jobnumber],OvalData[],MATCH(Table2[[#Headers],[Number of Insolated Top Slats]],Table2[#Headers],0),0)</f>
        <v>45</v>
      </c>
      <c r="BR236" s="2">
        <f>VLOOKUP([jobnumber],OvalData[],MATCH(Table2[[#Headers],[Insolated Total Slats]],Table2[#Headers],0),0)</f>
        <v>45</v>
      </c>
      <c r="BS236" s="2">
        <f>VLOOKUP([jobnumber],OvalData[],MATCH(Table2[[#Headers],[Number of Slats]],Table2[#Headers],0),0)</f>
        <v>44.69</v>
      </c>
      <c r="BT236" s="2">
        <f>VLOOKUP([jobnumber],OvalData[],MATCH(Table2[[#Headers],[Wrap]],Table2[#Headers],0),0)</f>
        <v>0</v>
      </c>
      <c r="BU236" s="2">
        <f>VLOOKUP([jobnumber],OvalData[],MATCH(Table2[[#Headers],[Wall Angle Thickness]],Table2[#Headers],0),0)</f>
        <v>0</v>
      </c>
      <c r="BV236" s="2">
        <f>VLOOKUP([jobnumber],OvalData[],MATCH(Table2[[#Headers],[windlocks]],Table2[#Headers],0),0)</f>
        <v>0</v>
      </c>
      <c r="BW236" s="2" t="str">
        <f>VLOOKUP([jobnumber],OvalData[],MATCH(Table2[[#Headers],[bottombartype]],Table2[#Headers],0),0)</f>
        <v>SPECIAL</v>
      </c>
      <c r="BX236" s="2">
        <f>VLOOKUP([jobnumber],OvalData[],MATCH(Table2[[#Headers],[endlockweight]],Table2[#Headers],0),0)</f>
        <v>0.17</v>
      </c>
      <c r="BY236" s="2">
        <f>VLOOKUP([jobnumber],OvalData[],MATCH(Table2[[#Headers],[Endlock Total Weight]],Table2[#Headers],0),0)</f>
        <v>7.5972999999999997</v>
      </c>
      <c r="BZ236" s="2">
        <f>VLOOKUP([jobnumber],OvalData[],MATCH(Table2[[#Headers],[Grille Weight]],Table2[#Headers],0),0)</f>
        <v>0</v>
      </c>
      <c r="CA236" s="2">
        <f>VLOOKUP([jobnumber],OvalData[],MATCH(Table2[[#Headers],[barrelrings]],Table2[#Headers],0),0)</f>
        <v>1</v>
      </c>
    </row>
    <row r="237" spans="2:79">
      <c r="B237" s="2" t="str">
        <f>VLOOKUP([jobnumber],OvalData[],MATCH(Table2[[#Headers],[Hand]],Table2[#Headers],0),0)</f>
        <v>RH</v>
      </c>
      <c r="C237" s="2" t="str">
        <f>VLOOKUP([jobnumber],OvalData[],MATCH(Table2[[#Headers],[Model]],Table2[#Headers],0),0)</f>
        <v>SFMPP</v>
      </c>
      <c r="D237" s="2" t="str">
        <f>VLOOKUP([jobnumber],OvalData[],MATCH(Table2[[#Headers],[width]],Table2[#Headers],0),0)</f>
        <v xml:space="preserve"> 18 ft.- 2"</v>
      </c>
      <c r="E237" s="2" t="str">
        <f>VLOOKUP([jobnumber],OvalData[],MATCH(Table2[[#Headers],[stopheight]],Table2[#Headers],0),0)</f>
        <v xml:space="preserve"> 10 ft.- 0"</v>
      </c>
      <c r="F237" s="2" t="str">
        <f>VLOOKUP([jobnumber],OvalData[],MATCH(Table2[[#Headers],[Between Brackets]],Table2[#Headers],0),0)</f>
        <v xml:space="preserve"> 18 ft.- 7 7/ 8"</v>
      </c>
      <c r="G237" s="2" t="str">
        <f>VLOOKUP([jobnumber],OvalData[],MATCH(Table2[[#Headers],[shell]],Table2[#Headers],0),0)</f>
        <v>6 INCH TUBE</v>
      </c>
      <c r="H237" s="2" t="str">
        <f>VLOOKUP([jobnumber],OvalData[],MATCH(Table2[[#Headers],[pipewidth]],Table2[#Headers],0),0)</f>
        <v xml:space="preserve"> 18 ft.- 1 3/ 8"</v>
      </c>
      <c r="I237" s="2">
        <f>VLOOKUP([jobnumber],OvalData[],MATCH(Table2[[#Headers],[Support Tubes]],Table2[#Headers],0),0)</f>
        <v>0</v>
      </c>
      <c r="J237" s="2">
        <f>VLOOKUP([jobnumber],OvalData[],MATCH(Table2[[#Headers],[Upset]],Table2[#Headers],0),0)</f>
        <v>2</v>
      </c>
      <c r="K237" s="2" t="str">
        <f>VLOOKUP([jobnumber],OvalData[],MATCH(Table2[[#Headers],[Guide Type]],Table2[#Headers],0),0)</f>
        <v>SN2-4 5/8-E</v>
      </c>
      <c r="L237" s="2" t="str">
        <f>VLOOKUP([jobnumber],OvalData[],MATCH(Table2[[#Headers],[Wall Angle]],Table2[#Headers],0),0)</f>
        <v xml:space="preserve"> 11 ft.- 8"</v>
      </c>
      <c r="M237" s="2" t="str">
        <f>VLOOKUP([jobnumber],OvalData[],MATCH(Table2[[#Headers],[Middle Angle]],Table2[#Headers],0),0)</f>
        <v xml:space="preserve"> 10 ft.- 4 1/ 2"</v>
      </c>
      <c r="N237" s="2" t="str">
        <f>VLOOKUP([jobnumber],OvalData[],MATCH(Table2[[#Headers],[Front Angle]],Table2[#Headers],0),0)</f>
        <v xml:space="preserve"> 10 ft.- 3"</v>
      </c>
      <c r="O237" s="2">
        <f>VLOOKUP([jobnumber],OvalData[],MATCH(Table2[[#Headers],[Pipe Center Line]],Table2[#Headers],0),0)</f>
        <v>131</v>
      </c>
      <c r="P237" s="2">
        <f>VLOOKUP([jobnumber],OvalData[],MATCH(Table2[[#Headers],[Heat Expansion Gap]],Table2[#Headers],0),0)</f>
        <v>0</v>
      </c>
      <c r="Q237" s="2">
        <f>VLOOKUP([jobnumber],OvalData[],MATCH(Table2[[#Headers],[Hanging Weight Closed]],Table2[#Headers],0),0)</f>
        <v>795</v>
      </c>
      <c r="R237" s="2">
        <f>VLOOKUP([jobnumber],OvalData[],MATCH(Table2[[#Headers],[Hanging Weight Open]],Table2[#Headers],0),0)</f>
        <v>140</v>
      </c>
      <c r="S237" s="2">
        <f>VLOOKUP([jobnumber],OvalData[],MATCH(Table2[[#Headers],[Initial Lever Arm]],Table2[#Headers],0),0)</f>
        <v>4.25</v>
      </c>
      <c r="T237" s="2">
        <f>VLOOKUP([jobnumber],OvalData[],MATCH(Table2[[#Headers],[Turns to Raise]],Table2[#Headers],0),0)</f>
        <v>3.5859999999999999</v>
      </c>
      <c r="U237" s="2">
        <f>VLOOKUP([jobnumber],OvalData[],MATCH(Table2[[#Headers],[Final Lever Arm]],Table2[#Headers],0),0)</f>
        <v>6.37</v>
      </c>
      <c r="V237" s="2">
        <f>VLOOKUP([jobnumber],OvalData[],MATCH(Table2[[#Headers],[Torque Required Closed]],Table2[#Headers],0),0)</f>
        <v>3377.9</v>
      </c>
      <c r="W237" s="2">
        <f>VLOOKUP([jobnumber],OvalData[],MATCH(Table2[[#Headers],[Torque Required Open]],Table2[#Headers],0),0)</f>
        <v>892</v>
      </c>
      <c r="X237" s="2">
        <f>VLOOKUP([jobnumber],OvalData[],MATCH(Table2[[#Headers],[Pre Turns]],Table2[#Headers],0),0)</f>
        <v>1.3332999999999999</v>
      </c>
      <c r="Y237" s="2">
        <f>VLOOKUP([jobnumber],OvalData[],MATCH(Table2[[#Headers],[Required Torque Per Turn]],Table2[#Headers],0),0)</f>
        <v>688</v>
      </c>
      <c r="Z237" s="2">
        <f>VLOOKUP([jobnumber],OvalData[],MATCH(Table2[[#Headers],[Total Turns]],Table2[#Headers],0),0)</f>
        <v>4.91</v>
      </c>
      <c r="AA237" s="2">
        <f>VLOOKUP([jobnumber],OvalData[],MATCH(Table2[[#Headers],[Grille Vision Section]],Table2[#Headers],0),0)</f>
        <v>0</v>
      </c>
      <c r="AB237" s="2">
        <f>VLOOKUP([jobnumber],OvalData[],MATCH(Table2[[#Headers],[Grille Amount]],Table2[#Headers],0),0)</f>
        <v>0</v>
      </c>
      <c r="AC237" s="2">
        <f>VLOOKUP([jobnumber],OvalData[],MATCH(Table2[[#Headers],[Grille Center]],Table2[#Headers],0),0)</f>
        <v>0</v>
      </c>
      <c r="AD237" s="2">
        <f>VLOOKUP([jobnumber],OvalData[],MATCH(Table2[[#Headers],[Grille Pattern]],Table2[#Headers],0),0)</f>
        <v>0</v>
      </c>
      <c r="AE237" s="2">
        <f>VLOOKUP([jobnumber],OvalData[],MATCH(Table2[[#Headers],[Grille First Tube]],Table2[#Headers],0),0)</f>
        <v>0</v>
      </c>
      <c r="AF237" s="2">
        <f>VLOOKUP([jobnumber],OvalData[],MATCH(Table2[[#Headers],[Grille Standard Tube]],Table2[#Headers],0),0)</f>
        <v>0</v>
      </c>
      <c r="AG237" s="2">
        <f>VLOOKUP([jobnumber],OvalData[],MATCH(Table2[[#Headers],[Grille Total Links]],Table2[#Headers],0),0)</f>
        <v>0</v>
      </c>
      <c r="AH237" s="2">
        <f>VLOOKUP([jobnumber],OvalData[],MATCH(Table2[[#Headers],[Grille Rods]],Table2[#Headers],0),0)</f>
        <v>0</v>
      </c>
      <c r="AI237" s="2">
        <f>VLOOKUP([jobnumber],OvalData[],MATCH(Table2[[#Headers],[Grille Rod Length]],Table2[#Headers],0),0)</f>
        <v>0</v>
      </c>
      <c r="AJ237" s="2">
        <f>VLOOKUP([jobnumber],OvalData[],MATCH(Table2[[#Headers],[slattype]],Table2[#Headers],0),0)</f>
        <v>2</v>
      </c>
      <c r="AK237" s="2">
        <f>VLOOKUP([jobnumber],OvalData[],MATCH(Table2[[#Headers],[slatgage]],Table2[#Headers],0),0)</f>
        <v>18</v>
      </c>
      <c r="AL237" s="2">
        <f>VLOOKUP([jobnumber],OvalData[],MATCH(Table2[[#Headers],[Numer of Top Slats]],Table2[#Headers],0),0)</f>
        <v>0</v>
      </c>
      <c r="AM237" s="2">
        <f>VLOOKUP([jobnumber],OvalData[],MATCH(Table2[[#Headers],[Number of Bottom Slats]],Table2[#Headers],0),0)</f>
        <v>0</v>
      </c>
      <c r="AN237" s="2">
        <f>VLOOKUP([jobnumber],OvalData[],MATCH(Table2[[#Headers],[Solid Bottom Height]],Table2[#Headers],0),0)</f>
        <v>0</v>
      </c>
      <c r="AO237" s="2" t="str">
        <f>VLOOKUP([jobnumber],OvalData[],MATCH(Table2[[#Headers],[slatlength]],Table2[#Headers],0),0)</f>
        <v xml:space="preserve"> 18 ft.- 5 7/ 8"</v>
      </c>
      <c r="AP237" s="2">
        <f>VLOOKUP([jobnumber],OvalData[],MATCH(Table2[[#Headers],[Bottom Slat Length]],Table2[#Headers],0),0)</f>
        <v>0</v>
      </c>
      <c r="AQ237" s="2">
        <f>VLOOKUP([jobnumber],OvalData[],MATCH(Table2[[#Headers],[Number of Perferated Slats]],Table2[#Headers],0),0)</f>
        <v>0</v>
      </c>
      <c r="AR237" s="2">
        <f>VLOOKUP([jobnumber],OvalData[],MATCH(Table2[[#Headers],[First Preferated Slat From End]],Table2[#Headers],0),0)</f>
        <v>0</v>
      </c>
      <c r="AS237" s="2">
        <f>VLOOKUP([jobnumber],OvalData[],MATCH(Table2[[#Headers],[First Preferated Slat From Bottom]],Table2[#Headers],0),0)</f>
        <v>0</v>
      </c>
      <c r="AT237" s="2">
        <f>VLOOKUP([jobnumber],OvalData[],MATCH(Table2[[#Headers],[Total Number of Slats]],Table2[#Headers],0),0)</f>
        <v>51</v>
      </c>
      <c r="AU237" s="2">
        <f>VLOOKUP([jobnumber],OvalData[],MATCH(Table2[[#Headers],[Bottom Bar Slope]],Table2[#Headers],0),0)</f>
        <v>0</v>
      </c>
      <c r="AV237" s="2">
        <f>VLOOKUP([jobnumber],OvalData[],MATCH(Table2[[#Headers],[Bottom Bar Weight]],Table2[#Headers],0),0)</f>
        <v>80.5</v>
      </c>
      <c r="AW237" s="2" t="str">
        <f>VLOOKUP([jobnumber],OvalData[],MATCH(Table2[[#Headers],[Outer Spring Gage]],Table2[#Headers],0),0)</f>
        <v>Null</v>
      </c>
      <c r="AX237" s="2" t="str">
        <f>VLOOKUP([jobnumber],OvalData[],MATCH(Table2[[#Headers],[Outer Spring OD]],Table2[#Headers],0),0)</f>
        <v>Null</v>
      </c>
      <c r="AY237" s="2" t="str">
        <f>VLOOKUP([jobnumber],OvalData[],MATCH(Table2[[#Headers],[Outer Spring Length]],Table2[#Headers],0),0)</f>
        <v>Null</v>
      </c>
      <c r="AZ237" s="2" t="str">
        <f>VLOOKUP([jobnumber],OvalData[],MATCH(Table2[[#Headers],[Outer Spring Stretch]],Table2[#Headers],0),0)</f>
        <v>Null</v>
      </c>
      <c r="BA237" s="2" t="str">
        <f>VLOOKUP([jobnumber],OvalData[],MATCH(Table2[[#Headers],[Outer Spring Torque]],Table2[#Headers],0),0)</f>
        <v>Null</v>
      </c>
      <c r="BB237" s="2" t="str">
        <f>VLOOKUP([jobnumber],OvalData[],MATCH(Table2[[#Headers],[Outer Spring Max Turns]],Table2[#Headers],0),0)</f>
        <v>Null</v>
      </c>
      <c r="BC237" s="2" t="str">
        <f>VLOOKUP([jobnumber],OvalData[],MATCH(Table2[[#Headers],[Outer Spring Weight]],Table2[#Headers],0),0)</f>
        <v>Null</v>
      </c>
      <c r="BD237" s="2" t="str">
        <f>VLOOKUP([jobnumber],OvalData[],MATCH(Table2[[#Headers],[Inner Spring Gage]],Table2[#Headers],0),0)</f>
        <v>Null</v>
      </c>
      <c r="BE237" s="2" t="str">
        <f>VLOOKUP([jobnumber],OvalData[],MATCH(Table2[[#Headers],[Inner Spring OD]],Table2[#Headers],0),0)</f>
        <v>Null</v>
      </c>
      <c r="BF237" s="2" t="str">
        <f>VLOOKUP([jobnumber],OvalData[],MATCH(Table2[[#Headers],[Inner Spring Length]],Table2[#Headers],0),0)</f>
        <v>Null</v>
      </c>
      <c r="BG237" s="2" t="str">
        <f>VLOOKUP([jobnumber],OvalData[],MATCH(Table2[[#Headers],[Inner Spring Stretch]],Table2[#Headers],0),0)</f>
        <v>Null</v>
      </c>
      <c r="BH237" s="2" t="str">
        <f>VLOOKUP([jobnumber],OvalData[],MATCH(Table2[[#Headers],[Inner Spring Torque]],Table2[#Headers],0),0)</f>
        <v>Null</v>
      </c>
      <c r="BI237" s="2" t="str">
        <f>VLOOKUP([jobnumber],OvalData[],MATCH(Table2[[#Headers],[Inner Spring Max Turns]],Table2[#Headers],0),0)</f>
        <v>Null</v>
      </c>
      <c r="BJ237" s="2" t="str">
        <f>VLOOKUP([jobnumber],OvalData[],MATCH(Table2[[#Headers],[Inner Spring Weight]],Table2[#Headers],0),0)</f>
        <v>Null</v>
      </c>
      <c r="BK237" s="2">
        <f>VLOOKUP([jobnumber],OvalData[],MATCH(Table2[[#Headers],[Cycles]],Table2[#Headers],0),0)</f>
        <v>0</v>
      </c>
      <c r="BL237" s="2">
        <f>VLOOKUP([jobnumber],OvalData[],MATCH(Table2[[#Headers],[Total Spring Torque]],Table2[#Headers],0),0)</f>
        <v>0</v>
      </c>
      <c r="BM237" s="2">
        <f>VLOOKUP([jobnumber],OvalData[],MATCH(Table2[[#Headers],[Total Spring Weight]],Table2[#Headers],0),0)</f>
        <v>0</v>
      </c>
      <c r="BN237" s="2">
        <f>VLOOKUP([jobnumber],OvalData[],MATCH(Table2[[#Headers],[Pipe Weight]],Table2[#Headers],0),0)</f>
        <v>688.24239999999998</v>
      </c>
      <c r="BO237" s="2">
        <f>VLOOKUP([jobnumber],OvalData[],MATCH(Table2[[#Headers],[Max Pipe Deflection]],Table2[#Headers],0),0)</f>
        <v>2309</v>
      </c>
      <c r="BP237" s="2">
        <f>VLOOKUP([jobnumber],OvalData[],MATCH(Table2[[#Headers],[Number Non-Insulated Wrap Slats]],Table2[#Headers],0),0)</f>
        <v>0</v>
      </c>
      <c r="BQ237" s="2">
        <f>VLOOKUP([jobnumber],OvalData[],MATCH(Table2[[#Headers],[Number of Insolated Top Slats]],Table2[#Headers],0),0)</f>
        <v>45</v>
      </c>
      <c r="BR237" s="2">
        <f>VLOOKUP([jobnumber],OvalData[],MATCH(Table2[[#Headers],[Insolated Total Slats]],Table2[#Headers],0),0)</f>
        <v>45</v>
      </c>
      <c r="BS237" s="2">
        <f>VLOOKUP([jobnumber],OvalData[],MATCH(Table2[[#Headers],[Number of Slats]],Table2[#Headers],0),0)</f>
        <v>44.69</v>
      </c>
      <c r="BT237" s="2">
        <f>VLOOKUP([jobnumber],OvalData[],MATCH(Table2[[#Headers],[Wrap]],Table2[#Headers],0),0)</f>
        <v>0</v>
      </c>
      <c r="BU237" s="2">
        <f>VLOOKUP([jobnumber],OvalData[],MATCH(Table2[[#Headers],[Wall Angle Thickness]],Table2[#Headers],0),0)</f>
        <v>0</v>
      </c>
      <c r="BV237" s="2">
        <f>VLOOKUP([jobnumber],OvalData[],MATCH(Table2[[#Headers],[windlocks]],Table2[#Headers],0),0)</f>
        <v>0</v>
      </c>
      <c r="BW237" s="2" t="str">
        <f>VLOOKUP([jobnumber],OvalData[],MATCH(Table2[[#Headers],[bottombartype]],Table2[#Headers],0),0)</f>
        <v>SPECIAL</v>
      </c>
      <c r="BX237" s="2">
        <f>VLOOKUP([jobnumber],OvalData[],MATCH(Table2[[#Headers],[endlockweight]],Table2[#Headers],0),0)</f>
        <v>0.17</v>
      </c>
      <c r="BY237" s="2">
        <f>VLOOKUP([jobnumber],OvalData[],MATCH(Table2[[#Headers],[Endlock Total Weight]],Table2[#Headers],0),0)</f>
        <v>7.5972999999999997</v>
      </c>
      <c r="BZ237" s="2">
        <f>VLOOKUP([jobnumber],OvalData[],MATCH(Table2[[#Headers],[Grille Weight]],Table2[#Headers],0),0)</f>
        <v>0</v>
      </c>
      <c r="CA237" s="2">
        <f>VLOOKUP([jobnumber],OvalData[],MATCH(Table2[[#Headers],[barrelrings]],Table2[#Headers],0),0)</f>
        <v>1</v>
      </c>
    </row>
    <row r="238" spans="2:79">
      <c r="B238" s="2" t="str">
        <f>VLOOKUP([jobnumber],OvalData[],MATCH(Table2[[#Headers],[Hand]],Table2[#Headers],0),0)</f>
        <v>RH</v>
      </c>
      <c r="C238" s="2" t="str">
        <f>VLOOKUP([jobnumber],OvalData[],MATCH(Table2[[#Headers],[Model]],Table2[#Headers],0),0)</f>
        <v>SFMPP</v>
      </c>
      <c r="D238" s="2" t="str">
        <f>VLOOKUP([jobnumber],OvalData[],MATCH(Table2[[#Headers],[width]],Table2[#Headers],0),0)</f>
        <v xml:space="preserve"> 18 ft.- 2"</v>
      </c>
      <c r="E238" s="2" t="str">
        <f>VLOOKUP([jobnumber],OvalData[],MATCH(Table2[[#Headers],[stopheight]],Table2[#Headers],0),0)</f>
        <v xml:space="preserve"> 10 ft.- 0"</v>
      </c>
      <c r="F238" s="2" t="str">
        <f>VLOOKUP([jobnumber],OvalData[],MATCH(Table2[[#Headers],[Between Brackets]],Table2[#Headers],0),0)</f>
        <v xml:space="preserve"> 18 ft.- 7 7/ 8"</v>
      </c>
      <c r="G238" s="2" t="str">
        <f>VLOOKUP([jobnumber],OvalData[],MATCH(Table2[[#Headers],[shell]],Table2[#Headers],0),0)</f>
        <v>6 INCH TUBE</v>
      </c>
      <c r="H238" s="2" t="str">
        <f>VLOOKUP([jobnumber],OvalData[],MATCH(Table2[[#Headers],[pipewidth]],Table2[#Headers],0),0)</f>
        <v xml:space="preserve"> 18 ft.- 1 3/ 8"</v>
      </c>
      <c r="I238" s="2">
        <f>VLOOKUP([jobnumber],OvalData[],MATCH(Table2[[#Headers],[Support Tubes]],Table2[#Headers],0),0)</f>
        <v>0</v>
      </c>
      <c r="J238" s="2">
        <f>VLOOKUP([jobnumber],OvalData[],MATCH(Table2[[#Headers],[Upset]],Table2[#Headers],0),0)</f>
        <v>2</v>
      </c>
      <c r="K238" s="2" t="str">
        <f>VLOOKUP([jobnumber],OvalData[],MATCH(Table2[[#Headers],[Guide Type]],Table2[#Headers],0),0)</f>
        <v>SN2-4 5/8-E</v>
      </c>
      <c r="L238" s="2" t="str">
        <f>VLOOKUP([jobnumber],OvalData[],MATCH(Table2[[#Headers],[Wall Angle]],Table2[#Headers],0),0)</f>
        <v xml:space="preserve"> 11 ft.- 8"</v>
      </c>
      <c r="M238" s="2" t="str">
        <f>VLOOKUP([jobnumber],OvalData[],MATCH(Table2[[#Headers],[Middle Angle]],Table2[#Headers],0),0)</f>
        <v xml:space="preserve"> 10 ft.- 4 1/ 2"</v>
      </c>
      <c r="N238" s="2" t="str">
        <f>VLOOKUP([jobnumber],OvalData[],MATCH(Table2[[#Headers],[Front Angle]],Table2[#Headers],0),0)</f>
        <v xml:space="preserve"> 10 ft.- 3"</v>
      </c>
      <c r="O238" s="2">
        <f>VLOOKUP([jobnumber],OvalData[],MATCH(Table2[[#Headers],[Pipe Center Line]],Table2[#Headers],0),0)</f>
        <v>131</v>
      </c>
      <c r="P238" s="2">
        <f>VLOOKUP([jobnumber],OvalData[],MATCH(Table2[[#Headers],[Heat Expansion Gap]],Table2[#Headers],0),0)</f>
        <v>0</v>
      </c>
      <c r="Q238" s="2">
        <f>VLOOKUP([jobnumber],OvalData[],MATCH(Table2[[#Headers],[Hanging Weight Closed]],Table2[#Headers],0),0)</f>
        <v>795</v>
      </c>
      <c r="R238" s="2">
        <f>VLOOKUP([jobnumber],OvalData[],MATCH(Table2[[#Headers],[Hanging Weight Open]],Table2[#Headers],0),0)</f>
        <v>140</v>
      </c>
      <c r="S238" s="2">
        <f>VLOOKUP([jobnumber],OvalData[],MATCH(Table2[[#Headers],[Initial Lever Arm]],Table2[#Headers],0),0)</f>
        <v>4.25</v>
      </c>
      <c r="T238" s="2">
        <f>VLOOKUP([jobnumber],OvalData[],MATCH(Table2[[#Headers],[Turns to Raise]],Table2[#Headers],0),0)</f>
        <v>3.5859999999999999</v>
      </c>
      <c r="U238" s="2">
        <f>VLOOKUP([jobnumber],OvalData[],MATCH(Table2[[#Headers],[Final Lever Arm]],Table2[#Headers],0),0)</f>
        <v>6.37</v>
      </c>
      <c r="V238" s="2">
        <f>VLOOKUP([jobnumber],OvalData[],MATCH(Table2[[#Headers],[Torque Required Closed]],Table2[#Headers],0),0)</f>
        <v>3377.9</v>
      </c>
      <c r="W238" s="2">
        <f>VLOOKUP([jobnumber],OvalData[],MATCH(Table2[[#Headers],[Torque Required Open]],Table2[#Headers],0),0)</f>
        <v>892</v>
      </c>
      <c r="X238" s="2">
        <f>VLOOKUP([jobnumber],OvalData[],MATCH(Table2[[#Headers],[Pre Turns]],Table2[#Headers],0),0)</f>
        <v>1.3332999999999999</v>
      </c>
      <c r="Y238" s="2">
        <f>VLOOKUP([jobnumber],OvalData[],MATCH(Table2[[#Headers],[Required Torque Per Turn]],Table2[#Headers],0),0)</f>
        <v>688</v>
      </c>
      <c r="Z238" s="2">
        <f>VLOOKUP([jobnumber],OvalData[],MATCH(Table2[[#Headers],[Total Turns]],Table2[#Headers],0),0)</f>
        <v>4.91</v>
      </c>
      <c r="AA238" s="2">
        <f>VLOOKUP([jobnumber],OvalData[],MATCH(Table2[[#Headers],[Grille Vision Section]],Table2[#Headers],0),0)</f>
        <v>0</v>
      </c>
      <c r="AB238" s="2">
        <f>VLOOKUP([jobnumber],OvalData[],MATCH(Table2[[#Headers],[Grille Amount]],Table2[#Headers],0),0)</f>
        <v>0</v>
      </c>
      <c r="AC238" s="2">
        <f>VLOOKUP([jobnumber],OvalData[],MATCH(Table2[[#Headers],[Grille Center]],Table2[#Headers],0),0)</f>
        <v>0</v>
      </c>
      <c r="AD238" s="2">
        <f>VLOOKUP([jobnumber],OvalData[],MATCH(Table2[[#Headers],[Grille Pattern]],Table2[#Headers],0),0)</f>
        <v>0</v>
      </c>
      <c r="AE238" s="2">
        <f>VLOOKUP([jobnumber],OvalData[],MATCH(Table2[[#Headers],[Grille First Tube]],Table2[#Headers],0),0)</f>
        <v>0</v>
      </c>
      <c r="AF238" s="2">
        <f>VLOOKUP([jobnumber],OvalData[],MATCH(Table2[[#Headers],[Grille Standard Tube]],Table2[#Headers],0),0)</f>
        <v>0</v>
      </c>
      <c r="AG238" s="2">
        <f>VLOOKUP([jobnumber],OvalData[],MATCH(Table2[[#Headers],[Grille Total Links]],Table2[#Headers],0),0)</f>
        <v>0</v>
      </c>
      <c r="AH238" s="2">
        <f>VLOOKUP([jobnumber],OvalData[],MATCH(Table2[[#Headers],[Grille Rods]],Table2[#Headers],0),0)</f>
        <v>0</v>
      </c>
      <c r="AI238" s="2">
        <f>VLOOKUP([jobnumber],OvalData[],MATCH(Table2[[#Headers],[Grille Rod Length]],Table2[#Headers],0),0)</f>
        <v>0</v>
      </c>
      <c r="AJ238" s="2">
        <f>VLOOKUP([jobnumber],OvalData[],MATCH(Table2[[#Headers],[slattype]],Table2[#Headers],0),0)</f>
        <v>2</v>
      </c>
      <c r="AK238" s="2">
        <f>VLOOKUP([jobnumber],OvalData[],MATCH(Table2[[#Headers],[slatgage]],Table2[#Headers],0),0)</f>
        <v>18</v>
      </c>
      <c r="AL238" s="2">
        <f>VLOOKUP([jobnumber],OvalData[],MATCH(Table2[[#Headers],[Numer of Top Slats]],Table2[#Headers],0),0)</f>
        <v>0</v>
      </c>
      <c r="AM238" s="2">
        <f>VLOOKUP([jobnumber],OvalData[],MATCH(Table2[[#Headers],[Number of Bottom Slats]],Table2[#Headers],0),0)</f>
        <v>0</v>
      </c>
      <c r="AN238" s="2">
        <f>VLOOKUP([jobnumber],OvalData[],MATCH(Table2[[#Headers],[Solid Bottom Height]],Table2[#Headers],0),0)</f>
        <v>0</v>
      </c>
      <c r="AO238" s="2" t="str">
        <f>VLOOKUP([jobnumber],OvalData[],MATCH(Table2[[#Headers],[slatlength]],Table2[#Headers],0),0)</f>
        <v xml:space="preserve"> 18 ft.- 5 7/ 8"</v>
      </c>
      <c r="AP238" s="2">
        <f>VLOOKUP([jobnumber],OvalData[],MATCH(Table2[[#Headers],[Bottom Slat Length]],Table2[#Headers],0),0)</f>
        <v>0</v>
      </c>
      <c r="AQ238" s="2">
        <f>VLOOKUP([jobnumber],OvalData[],MATCH(Table2[[#Headers],[Number of Perferated Slats]],Table2[#Headers],0),0)</f>
        <v>0</v>
      </c>
      <c r="AR238" s="2">
        <f>VLOOKUP([jobnumber],OvalData[],MATCH(Table2[[#Headers],[First Preferated Slat From End]],Table2[#Headers],0),0)</f>
        <v>0</v>
      </c>
      <c r="AS238" s="2">
        <f>VLOOKUP([jobnumber],OvalData[],MATCH(Table2[[#Headers],[First Preferated Slat From Bottom]],Table2[#Headers],0),0)</f>
        <v>0</v>
      </c>
      <c r="AT238" s="2">
        <f>VLOOKUP([jobnumber],OvalData[],MATCH(Table2[[#Headers],[Total Number of Slats]],Table2[#Headers],0),0)</f>
        <v>51</v>
      </c>
      <c r="AU238" s="2">
        <f>VLOOKUP([jobnumber],OvalData[],MATCH(Table2[[#Headers],[Bottom Bar Slope]],Table2[#Headers],0),0)</f>
        <v>0</v>
      </c>
      <c r="AV238" s="2">
        <f>VLOOKUP([jobnumber],OvalData[],MATCH(Table2[[#Headers],[Bottom Bar Weight]],Table2[#Headers],0),0)</f>
        <v>80.5</v>
      </c>
      <c r="AW238" s="2" t="str">
        <f>VLOOKUP([jobnumber],OvalData[],MATCH(Table2[[#Headers],[Outer Spring Gage]],Table2[#Headers],0),0)</f>
        <v>Null</v>
      </c>
      <c r="AX238" s="2" t="str">
        <f>VLOOKUP([jobnumber],OvalData[],MATCH(Table2[[#Headers],[Outer Spring OD]],Table2[#Headers],0),0)</f>
        <v>Null</v>
      </c>
      <c r="AY238" s="2" t="str">
        <f>VLOOKUP([jobnumber],OvalData[],MATCH(Table2[[#Headers],[Outer Spring Length]],Table2[#Headers],0),0)</f>
        <v>Null</v>
      </c>
      <c r="AZ238" s="2" t="str">
        <f>VLOOKUP([jobnumber],OvalData[],MATCH(Table2[[#Headers],[Outer Spring Stretch]],Table2[#Headers],0),0)</f>
        <v>Null</v>
      </c>
      <c r="BA238" s="2" t="str">
        <f>VLOOKUP([jobnumber],OvalData[],MATCH(Table2[[#Headers],[Outer Spring Torque]],Table2[#Headers],0),0)</f>
        <v>Null</v>
      </c>
      <c r="BB238" s="2" t="str">
        <f>VLOOKUP([jobnumber],OvalData[],MATCH(Table2[[#Headers],[Outer Spring Max Turns]],Table2[#Headers],0),0)</f>
        <v>Null</v>
      </c>
      <c r="BC238" s="2" t="str">
        <f>VLOOKUP([jobnumber],OvalData[],MATCH(Table2[[#Headers],[Outer Spring Weight]],Table2[#Headers],0),0)</f>
        <v>Null</v>
      </c>
      <c r="BD238" s="2" t="str">
        <f>VLOOKUP([jobnumber],OvalData[],MATCH(Table2[[#Headers],[Inner Spring Gage]],Table2[#Headers],0),0)</f>
        <v>Null</v>
      </c>
      <c r="BE238" s="2" t="str">
        <f>VLOOKUP([jobnumber],OvalData[],MATCH(Table2[[#Headers],[Inner Spring OD]],Table2[#Headers],0),0)</f>
        <v>Null</v>
      </c>
      <c r="BF238" s="2" t="str">
        <f>VLOOKUP([jobnumber],OvalData[],MATCH(Table2[[#Headers],[Inner Spring Length]],Table2[#Headers],0),0)</f>
        <v>Null</v>
      </c>
      <c r="BG238" s="2" t="str">
        <f>VLOOKUP([jobnumber],OvalData[],MATCH(Table2[[#Headers],[Inner Spring Stretch]],Table2[#Headers],0),0)</f>
        <v>Null</v>
      </c>
      <c r="BH238" s="2" t="str">
        <f>VLOOKUP([jobnumber],OvalData[],MATCH(Table2[[#Headers],[Inner Spring Torque]],Table2[#Headers],0),0)</f>
        <v>Null</v>
      </c>
      <c r="BI238" s="2" t="str">
        <f>VLOOKUP([jobnumber],OvalData[],MATCH(Table2[[#Headers],[Inner Spring Max Turns]],Table2[#Headers],0),0)</f>
        <v>Null</v>
      </c>
      <c r="BJ238" s="2" t="str">
        <f>VLOOKUP([jobnumber],OvalData[],MATCH(Table2[[#Headers],[Inner Spring Weight]],Table2[#Headers],0),0)</f>
        <v>Null</v>
      </c>
      <c r="BK238" s="2">
        <f>VLOOKUP([jobnumber],OvalData[],MATCH(Table2[[#Headers],[Cycles]],Table2[#Headers],0),0)</f>
        <v>0</v>
      </c>
      <c r="BL238" s="2">
        <f>VLOOKUP([jobnumber],OvalData[],MATCH(Table2[[#Headers],[Total Spring Torque]],Table2[#Headers],0),0)</f>
        <v>0</v>
      </c>
      <c r="BM238" s="2">
        <f>VLOOKUP([jobnumber],OvalData[],MATCH(Table2[[#Headers],[Total Spring Weight]],Table2[#Headers],0),0)</f>
        <v>0</v>
      </c>
      <c r="BN238" s="2">
        <f>VLOOKUP([jobnumber],OvalData[],MATCH(Table2[[#Headers],[Pipe Weight]],Table2[#Headers],0),0)</f>
        <v>688.24239999999998</v>
      </c>
      <c r="BO238" s="2">
        <f>VLOOKUP([jobnumber],OvalData[],MATCH(Table2[[#Headers],[Max Pipe Deflection]],Table2[#Headers],0),0)</f>
        <v>2309</v>
      </c>
      <c r="BP238" s="2">
        <f>VLOOKUP([jobnumber],OvalData[],MATCH(Table2[[#Headers],[Number Non-Insulated Wrap Slats]],Table2[#Headers],0),0)</f>
        <v>0</v>
      </c>
      <c r="BQ238" s="2">
        <f>VLOOKUP([jobnumber],OvalData[],MATCH(Table2[[#Headers],[Number of Insolated Top Slats]],Table2[#Headers],0),0)</f>
        <v>45</v>
      </c>
      <c r="BR238" s="2">
        <f>VLOOKUP([jobnumber],OvalData[],MATCH(Table2[[#Headers],[Insolated Total Slats]],Table2[#Headers],0),0)</f>
        <v>45</v>
      </c>
      <c r="BS238" s="2">
        <f>VLOOKUP([jobnumber],OvalData[],MATCH(Table2[[#Headers],[Number of Slats]],Table2[#Headers],0),0)</f>
        <v>44.69</v>
      </c>
      <c r="BT238" s="2">
        <f>VLOOKUP([jobnumber],OvalData[],MATCH(Table2[[#Headers],[Wrap]],Table2[#Headers],0),0)</f>
        <v>0</v>
      </c>
      <c r="BU238" s="2">
        <f>VLOOKUP([jobnumber],OvalData[],MATCH(Table2[[#Headers],[Wall Angle Thickness]],Table2[#Headers],0),0)</f>
        <v>0</v>
      </c>
      <c r="BV238" s="2">
        <f>VLOOKUP([jobnumber],OvalData[],MATCH(Table2[[#Headers],[windlocks]],Table2[#Headers],0),0)</f>
        <v>0</v>
      </c>
      <c r="BW238" s="2" t="str">
        <f>VLOOKUP([jobnumber],OvalData[],MATCH(Table2[[#Headers],[bottombartype]],Table2[#Headers],0),0)</f>
        <v>SPECIAL</v>
      </c>
      <c r="BX238" s="2">
        <f>VLOOKUP([jobnumber],OvalData[],MATCH(Table2[[#Headers],[endlockweight]],Table2[#Headers],0),0)</f>
        <v>0.17</v>
      </c>
      <c r="BY238" s="2">
        <f>VLOOKUP([jobnumber],OvalData[],MATCH(Table2[[#Headers],[Endlock Total Weight]],Table2[#Headers],0),0)</f>
        <v>7.5972999999999997</v>
      </c>
      <c r="BZ238" s="2">
        <f>VLOOKUP([jobnumber],OvalData[],MATCH(Table2[[#Headers],[Grille Weight]],Table2[#Headers],0),0)</f>
        <v>0</v>
      </c>
      <c r="CA238" s="2">
        <f>VLOOKUP([jobnumber],OvalData[],MATCH(Table2[[#Headers],[barrelrings]],Table2[#Headers],0),0)</f>
        <v>1</v>
      </c>
    </row>
    <row r="239" spans="2:79">
      <c r="B239" s="2" t="str">
        <f>VLOOKUP([jobnumber],OvalData[],MATCH(Table2[[#Headers],[Hand]],Table2[#Headers],0),0)</f>
        <v>RH</v>
      </c>
      <c r="C239" s="2" t="str">
        <f>VLOOKUP([jobnumber],OvalData[],MATCH(Table2[[#Headers],[Model]],Table2[#Headers],0),0)</f>
        <v>SFMPP</v>
      </c>
      <c r="D239" s="2" t="str">
        <f>VLOOKUP([jobnumber],OvalData[],MATCH(Table2[[#Headers],[width]],Table2[#Headers],0),0)</f>
        <v xml:space="preserve"> 18 ft.- 2"</v>
      </c>
      <c r="E239" s="2" t="str">
        <f>VLOOKUP([jobnumber],OvalData[],MATCH(Table2[[#Headers],[stopheight]],Table2[#Headers],0),0)</f>
        <v xml:space="preserve"> 10 ft.- 0"</v>
      </c>
      <c r="F239" s="2" t="str">
        <f>VLOOKUP([jobnumber],OvalData[],MATCH(Table2[[#Headers],[Between Brackets]],Table2[#Headers],0),0)</f>
        <v xml:space="preserve"> 18 ft.- 7 7/ 8"</v>
      </c>
      <c r="G239" s="2" t="str">
        <f>VLOOKUP([jobnumber],OvalData[],MATCH(Table2[[#Headers],[shell]],Table2[#Headers],0),0)</f>
        <v>6 INCH TUBE</v>
      </c>
      <c r="H239" s="2" t="str">
        <f>VLOOKUP([jobnumber],OvalData[],MATCH(Table2[[#Headers],[pipewidth]],Table2[#Headers],0),0)</f>
        <v xml:space="preserve"> 18 ft.- 1 3/ 8"</v>
      </c>
      <c r="I239" s="2">
        <f>VLOOKUP([jobnumber],OvalData[],MATCH(Table2[[#Headers],[Support Tubes]],Table2[#Headers],0),0)</f>
        <v>0</v>
      </c>
      <c r="J239" s="2">
        <f>VLOOKUP([jobnumber],OvalData[],MATCH(Table2[[#Headers],[Upset]],Table2[#Headers],0),0)</f>
        <v>2</v>
      </c>
      <c r="K239" s="2" t="str">
        <f>VLOOKUP([jobnumber],OvalData[],MATCH(Table2[[#Headers],[Guide Type]],Table2[#Headers],0),0)</f>
        <v>SN2-4 5/8-E</v>
      </c>
      <c r="L239" s="2" t="str">
        <f>VLOOKUP([jobnumber],OvalData[],MATCH(Table2[[#Headers],[Wall Angle]],Table2[#Headers],0),0)</f>
        <v xml:space="preserve"> 11 ft.- 8"</v>
      </c>
      <c r="M239" s="2" t="str">
        <f>VLOOKUP([jobnumber],OvalData[],MATCH(Table2[[#Headers],[Middle Angle]],Table2[#Headers],0),0)</f>
        <v xml:space="preserve"> 10 ft.- 4 1/ 2"</v>
      </c>
      <c r="N239" s="2" t="str">
        <f>VLOOKUP([jobnumber],OvalData[],MATCH(Table2[[#Headers],[Front Angle]],Table2[#Headers],0),0)</f>
        <v xml:space="preserve"> 10 ft.- 3"</v>
      </c>
      <c r="O239" s="2">
        <f>VLOOKUP([jobnumber],OvalData[],MATCH(Table2[[#Headers],[Pipe Center Line]],Table2[#Headers],0),0)</f>
        <v>131</v>
      </c>
      <c r="P239" s="2">
        <f>VLOOKUP([jobnumber],OvalData[],MATCH(Table2[[#Headers],[Heat Expansion Gap]],Table2[#Headers],0),0)</f>
        <v>0</v>
      </c>
      <c r="Q239" s="2">
        <f>VLOOKUP([jobnumber],OvalData[],MATCH(Table2[[#Headers],[Hanging Weight Closed]],Table2[#Headers],0),0)</f>
        <v>795</v>
      </c>
      <c r="R239" s="2">
        <f>VLOOKUP([jobnumber],OvalData[],MATCH(Table2[[#Headers],[Hanging Weight Open]],Table2[#Headers],0),0)</f>
        <v>140</v>
      </c>
      <c r="S239" s="2">
        <f>VLOOKUP([jobnumber],OvalData[],MATCH(Table2[[#Headers],[Initial Lever Arm]],Table2[#Headers],0),0)</f>
        <v>4.25</v>
      </c>
      <c r="T239" s="2">
        <f>VLOOKUP([jobnumber],OvalData[],MATCH(Table2[[#Headers],[Turns to Raise]],Table2[#Headers],0),0)</f>
        <v>3.5859999999999999</v>
      </c>
      <c r="U239" s="2">
        <f>VLOOKUP([jobnumber],OvalData[],MATCH(Table2[[#Headers],[Final Lever Arm]],Table2[#Headers],0),0)</f>
        <v>6.37</v>
      </c>
      <c r="V239" s="2">
        <f>VLOOKUP([jobnumber],OvalData[],MATCH(Table2[[#Headers],[Torque Required Closed]],Table2[#Headers],0),0)</f>
        <v>3377.9</v>
      </c>
      <c r="W239" s="2">
        <f>VLOOKUP([jobnumber],OvalData[],MATCH(Table2[[#Headers],[Torque Required Open]],Table2[#Headers],0),0)</f>
        <v>892</v>
      </c>
      <c r="X239" s="2">
        <f>VLOOKUP([jobnumber],OvalData[],MATCH(Table2[[#Headers],[Pre Turns]],Table2[#Headers],0),0)</f>
        <v>1.3332999999999999</v>
      </c>
      <c r="Y239" s="2">
        <f>VLOOKUP([jobnumber],OvalData[],MATCH(Table2[[#Headers],[Required Torque Per Turn]],Table2[#Headers],0),0)</f>
        <v>688</v>
      </c>
      <c r="Z239" s="2">
        <f>VLOOKUP([jobnumber],OvalData[],MATCH(Table2[[#Headers],[Total Turns]],Table2[#Headers],0),0)</f>
        <v>4.91</v>
      </c>
      <c r="AA239" s="2">
        <f>VLOOKUP([jobnumber],OvalData[],MATCH(Table2[[#Headers],[Grille Vision Section]],Table2[#Headers],0),0)</f>
        <v>0</v>
      </c>
      <c r="AB239" s="2">
        <f>VLOOKUP([jobnumber],OvalData[],MATCH(Table2[[#Headers],[Grille Amount]],Table2[#Headers],0),0)</f>
        <v>0</v>
      </c>
      <c r="AC239" s="2">
        <f>VLOOKUP([jobnumber],OvalData[],MATCH(Table2[[#Headers],[Grille Center]],Table2[#Headers],0),0)</f>
        <v>0</v>
      </c>
      <c r="AD239" s="2">
        <f>VLOOKUP([jobnumber],OvalData[],MATCH(Table2[[#Headers],[Grille Pattern]],Table2[#Headers],0),0)</f>
        <v>0</v>
      </c>
      <c r="AE239" s="2">
        <f>VLOOKUP([jobnumber],OvalData[],MATCH(Table2[[#Headers],[Grille First Tube]],Table2[#Headers],0),0)</f>
        <v>0</v>
      </c>
      <c r="AF239" s="2">
        <f>VLOOKUP([jobnumber],OvalData[],MATCH(Table2[[#Headers],[Grille Standard Tube]],Table2[#Headers],0),0)</f>
        <v>0</v>
      </c>
      <c r="AG239" s="2">
        <f>VLOOKUP([jobnumber],OvalData[],MATCH(Table2[[#Headers],[Grille Total Links]],Table2[#Headers],0),0)</f>
        <v>0</v>
      </c>
      <c r="AH239" s="2">
        <f>VLOOKUP([jobnumber],OvalData[],MATCH(Table2[[#Headers],[Grille Rods]],Table2[#Headers],0),0)</f>
        <v>0</v>
      </c>
      <c r="AI239" s="2">
        <f>VLOOKUP([jobnumber],OvalData[],MATCH(Table2[[#Headers],[Grille Rod Length]],Table2[#Headers],0),0)</f>
        <v>0</v>
      </c>
      <c r="AJ239" s="2">
        <f>VLOOKUP([jobnumber],OvalData[],MATCH(Table2[[#Headers],[slattype]],Table2[#Headers],0),0)</f>
        <v>2</v>
      </c>
      <c r="AK239" s="2">
        <f>VLOOKUP([jobnumber],OvalData[],MATCH(Table2[[#Headers],[slatgage]],Table2[#Headers],0),0)</f>
        <v>18</v>
      </c>
      <c r="AL239" s="2">
        <f>VLOOKUP([jobnumber],OvalData[],MATCH(Table2[[#Headers],[Numer of Top Slats]],Table2[#Headers],0),0)</f>
        <v>0</v>
      </c>
      <c r="AM239" s="2">
        <f>VLOOKUP([jobnumber],OvalData[],MATCH(Table2[[#Headers],[Number of Bottom Slats]],Table2[#Headers],0),0)</f>
        <v>0</v>
      </c>
      <c r="AN239" s="2">
        <f>VLOOKUP([jobnumber],OvalData[],MATCH(Table2[[#Headers],[Solid Bottom Height]],Table2[#Headers],0),0)</f>
        <v>0</v>
      </c>
      <c r="AO239" s="2" t="str">
        <f>VLOOKUP([jobnumber],OvalData[],MATCH(Table2[[#Headers],[slatlength]],Table2[#Headers],0),0)</f>
        <v xml:space="preserve"> 18 ft.- 5 7/ 8"</v>
      </c>
      <c r="AP239" s="2">
        <f>VLOOKUP([jobnumber],OvalData[],MATCH(Table2[[#Headers],[Bottom Slat Length]],Table2[#Headers],0),0)</f>
        <v>0</v>
      </c>
      <c r="AQ239" s="2">
        <f>VLOOKUP([jobnumber],OvalData[],MATCH(Table2[[#Headers],[Number of Perferated Slats]],Table2[#Headers],0),0)</f>
        <v>0</v>
      </c>
      <c r="AR239" s="2">
        <f>VLOOKUP([jobnumber],OvalData[],MATCH(Table2[[#Headers],[First Preferated Slat From End]],Table2[#Headers],0),0)</f>
        <v>0</v>
      </c>
      <c r="AS239" s="2">
        <f>VLOOKUP([jobnumber],OvalData[],MATCH(Table2[[#Headers],[First Preferated Slat From Bottom]],Table2[#Headers],0),0)</f>
        <v>0</v>
      </c>
      <c r="AT239" s="2">
        <f>VLOOKUP([jobnumber],OvalData[],MATCH(Table2[[#Headers],[Total Number of Slats]],Table2[#Headers],0),0)</f>
        <v>51</v>
      </c>
      <c r="AU239" s="2">
        <f>VLOOKUP([jobnumber],OvalData[],MATCH(Table2[[#Headers],[Bottom Bar Slope]],Table2[#Headers],0),0)</f>
        <v>0</v>
      </c>
      <c r="AV239" s="2">
        <f>VLOOKUP([jobnumber],OvalData[],MATCH(Table2[[#Headers],[Bottom Bar Weight]],Table2[#Headers],0),0)</f>
        <v>80.5</v>
      </c>
      <c r="AW239" s="2" t="str">
        <f>VLOOKUP([jobnumber],OvalData[],MATCH(Table2[[#Headers],[Outer Spring Gage]],Table2[#Headers],0),0)</f>
        <v>Null</v>
      </c>
      <c r="AX239" s="2" t="str">
        <f>VLOOKUP([jobnumber],OvalData[],MATCH(Table2[[#Headers],[Outer Spring OD]],Table2[#Headers],0),0)</f>
        <v>Null</v>
      </c>
      <c r="AY239" s="2" t="str">
        <f>VLOOKUP([jobnumber],OvalData[],MATCH(Table2[[#Headers],[Outer Spring Length]],Table2[#Headers],0),0)</f>
        <v>Null</v>
      </c>
      <c r="AZ239" s="2" t="str">
        <f>VLOOKUP([jobnumber],OvalData[],MATCH(Table2[[#Headers],[Outer Spring Stretch]],Table2[#Headers],0),0)</f>
        <v>Null</v>
      </c>
      <c r="BA239" s="2" t="str">
        <f>VLOOKUP([jobnumber],OvalData[],MATCH(Table2[[#Headers],[Outer Spring Torque]],Table2[#Headers],0),0)</f>
        <v>Null</v>
      </c>
      <c r="BB239" s="2" t="str">
        <f>VLOOKUP([jobnumber],OvalData[],MATCH(Table2[[#Headers],[Outer Spring Max Turns]],Table2[#Headers],0),0)</f>
        <v>Null</v>
      </c>
      <c r="BC239" s="2" t="str">
        <f>VLOOKUP([jobnumber],OvalData[],MATCH(Table2[[#Headers],[Outer Spring Weight]],Table2[#Headers],0),0)</f>
        <v>Null</v>
      </c>
      <c r="BD239" s="2" t="str">
        <f>VLOOKUP([jobnumber],OvalData[],MATCH(Table2[[#Headers],[Inner Spring Gage]],Table2[#Headers],0),0)</f>
        <v>Null</v>
      </c>
      <c r="BE239" s="2" t="str">
        <f>VLOOKUP([jobnumber],OvalData[],MATCH(Table2[[#Headers],[Inner Spring OD]],Table2[#Headers],0),0)</f>
        <v>Null</v>
      </c>
      <c r="BF239" s="2" t="str">
        <f>VLOOKUP([jobnumber],OvalData[],MATCH(Table2[[#Headers],[Inner Spring Length]],Table2[#Headers],0),0)</f>
        <v>Null</v>
      </c>
      <c r="BG239" s="2" t="str">
        <f>VLOOKUP([jobnumber],OvalData[],MATCH(Table2[[#Headers],[Inner Spring Stretch]],Table2[#Headers],0),0)</f>
        <v>Null</v>
      </c>
      <c r="BH239" s="2" t="str">
        <f>VLOOKUP([jobnumber],OvalData[],MATCH(Table2[[#Headers],[Inner Spring Torque]],Table2[#Headers],0),0)</f>
        <v>Null</v>
      </c>
      <c r="BI239" s="2" t="str">
        <f>VLOOKUP([jobnumber],OvalData[],MATCH(Table2[[#Headers],[Inner Spring Max Turns]],Table2[#Headers],0),0)</f>
        <v>Null</v>
      </c>
      <c r="BJ239" s="2" t="str">
        <f>VLOOKUP([jobnumber],OvalData[],MATCH(Table2[[#Headers],[Inner Spring Weight]],Table2[#Headers],0),0)</f>
        <v>Null</v>
      </c>
      <c r="BK239" s="2">
        <f>VLOOKUP([jobnumber],OvalData[],MATCH(Table2[[#Headers],[Cycles]],Table2[#Headers],0),0)</f>
        <v>0</v>
      </c>
      <c r="BL239" s="2">
        <f>VLOOKUP([jobnumber],OvalData[],MATCH(Table2[[#Headers],[Total Spring Torque]],Table2[#Headers],0),0)</f>
        <v>0</v>
      </c>
      <c r="BM239" s="2">
        <f>VLOOKUP([jobnumber],OvalData[],MATCH(Table2[[#Headers],[Total Spring Weight]],Table2[#Headers],0),0)</f>
        <v>0</v>
      </c>
      <c r="BN239" s="2">
        <f>VLOOKUP([jobnumber],OvalData[],MATCH(Table2[[#Headers],[Pipe Weight]],Table2[#Headers],0),0)</f>
        <v>688.24239999999998</v>
      </c>
      <c r="BO239" s="2">
        <f>VLOOKUP([jobnumber],OvalData[],MATCH(Table2[[#Headers],[Max Pipe Deflection]],Table2[#Headers],0),0)</f>
        <v>2309</v>
      </c>
      <c r="BP239" s="2">
        <f>VLOOKUP([jobnumber],OvalData[],MATCH(Table2[[#Headers],[Number Non-Insulated Wrap Slats]],Table2[#Headers],0),0)</f>
        <v>0</v>
      </c>
      <c r="BQ239" s="2">
        <f>VLOOKUP([jobnumber],OvalData[],MATCH(Table2[[#Headers],[Number of Insolated Top Slats]],Table2[#Headers],0),0)</f>
        <v>45</v>
      </c>
      <c r="BR239" s="2">
        <f>VLOOKUP([jobnumber],OvalData[],MATCH(Table2[[#Headers],[Insolated Total Slats]],Table2[#Headers],0),0)</f>
        <v>45</v>
      </c>
      <c r="BS239" s="2">
        <f>VLOOKUP([jobnumber],OvalData[],MATCH(Table2[[#Headers],[Number of Slats]],Table2[#Headers],0),0)</f>
        <v>44.69</v>
      </c>
      <c r="BT239" s="2">
        <f>VLOOKUP([jobnumber],OvalData[],MATCH(Table2[[#Headers],[Wrap]],Table2[#Headers],0),0)</f>
        <v>0</v>
      </c>
      <c r="BU239" s="2">
        <f>VLOOKUP([jobnumber],OvalData[],MATCH(Table2[[#Headers],[Wall Angle Thickness]],Table2[#Headers],0),0)</f>
        <v>0</v>
      </c>
      <c r="BV239" s="2">
        <f>VLOOKUP([jobnumber],OvalData[],MATCH(Table2[[#Headers],[windlocks]],Table2[#Headers],0),0)</f>
        <v>0</v>
      </c>
      <c r="BW239" s="2" t="str">
        <f>VLOOKUP([jobnumber],OvalData[],MATCH(Table2[[#Headers],[bottombartype]],Table2[#Headers],0),0)</f>
        <v>SPECIAL</v>
      </c>
      <c r="BX239" s="2">
        <f>VLOOKUP([jobnumber],OvalData[],MATCH(Table2[[#Headers],[endlockweight]],Table2[#Headers],0),0)</f>
        <v>0.17</v>
      </c>
      <c r="BY239" s="2">
        <f>VLOOKUP([jobnumber],OvalData[],MATCH(Table2[[#Headers],[Endlock Total Weight]],Table2[#Headers],0),0)</f>
        <v>7.5972999999999997</v>
      </c>
      <c r="BZ239" s="2">
        <f>VLOOKUP([jobnumber],OvalData[],MATCH(Table2[[#Headers],[Grille Weight]],Table2[#Headers],0),0)</f>
        <v>0</v>
      </c>
      <c r="CA239" s="2">
        <f>VLOOKUP([jobnumber],OvalData[],MATCH(Table2[[#Headers],[barrelrings]],Table2[#Headers],0),0)</f>
        <v>1</v>
      </c>
    </row>
    <row r="240" spans="2:79">
      <c r="B240" s="2" t="str">
        <f>VLOOKUP([jobnumber],OvalData[],MATCH(Table2[[#Headers],[Hand]],Table2[#Headers],0),0)</f>
        <v>RH</v>
      </c>
      <c r="C240" s="2" t="str">
        <f>VLOOKUP([jobnumber],OvalData[],MATCH(Table2[[#Headers],[Model]],Table2[#Headers],0),0)</f>
        <v>SFMPP</v>
      </c>
      <c r="D240" s="2" t="str">
        <f>VLOOKUP([jobnumber],OvalData[],MATCH(Table2[[#Headers],[width]],Table2[#Headers],0),0)</f>
        <v xml:space="preserve"> 18 ft.- 2"</v>
      </c>
      <c r="E240" s="2" t="str">
        <f>VLOOKUP([jobnumber],OvalData[],MATCH(Table2[[#Headers],[stopheight]],Table2[#Headers],0),0)</f>
        <v xml:space="preserve"> 10 ft.- 0"</v>
      </c>
      <c r="F240" s="2" t="str">
        <f>VLOOKUP([jobnumber],OvalData[],MATCH(Table2[[#Headers],[Between Brackets]],Table2[#Headers],0),0)</f>
        <v xml:space="preserve"> 18 ft.- 7 7/ 8"</v>
      </c>
      <c r="G240" s="2" t="str">
        <f>VLOOKUP([jobnumber],OvalData[],MATCH(Table2[[#Headers],[shell]],Table2[#Headers],0),0)</f>
        <v>6 INCH TUBE</v>
      </c>
      <c r="H240" s="2" t="str">
        <f>VLOOKUP([jobnumber],OvalData[],MATCH(Table2[[#Headers],[pipewidth]],Table2[#Headers],0),0)</f>
        <v xml:space="preserve"> 18 ft.- 1 3/ 8"</v>
      </c>
      <c r="I240" s="2">
        <f>VLOOKUP([jobnumber],OvalData[],MATCH(Table2[[#Headers],[Support Tubes]],Table2[#Headers],0),0)</f>
        <v>0</v>
      </c>
      <c r="J240" s="2">
        <f>VLOOKUP([jobnumber],OvalData[],MATCH(Table2[[#Headers],[Upset]],Table2[#Headers],0),0)</f>
        <v>2</v>
      </c>
      <c r="K240" s="2" t="str">
        <f>VLOOKUP([jobnumber],OvalData[],MATCH(Table2[[#Headers],[Guide Type]],Table2[#Headers],0),0)</f>
        <v>SN2-4 5/8-E</v>
      </c>
      <c r="L240" s="2" t="str">
        <f>VLOOKUP([jobnumber],OvalData[],MATCH(Table2[[#Headers],[Wall Angle]],Table2[#Headers],0),0)</f>
        <v xml:space="preserve"> 11 ft.- 8"</v>
      </c>
      <c r="M240" s="2" t="str">
        <f>VLOOKUP([jobnumber],OvalData[],MATCH(Table2[[#Headers],[Middle Angle]],Table2[#Headers],0),0)</f>
        <v xml:space="preserve"> 10 ft.- 4 1/ 2"</v>
      </c>
      <c r="N240" s="2" t="str">
        <f>VLOOKUP([jobnumber],OvalData[],MATCH(Table2[[#Headers],[Front Angle]],Table2[#Headers],0),0)</f>
        <v xml:space="preserve"> 10 ft.- 3"</v>
      </c>
      <c r="O240" s="2">
        <f>VLOOKUP([jobnumber],OvalData[],MATCH(Table2[[#Headers],[Pipe Center Line]],Table2[#Headers],0),0)</f>
        <v>131</v>
      </c>
      <c r="P240" s="2">
        <f>VLOOKUP([jobnumber],OvalData[],MATCH(Table2[[#Headers],[Heat Expansion Gap]],Table2[#Headers],0),0)</f>
        <v>0</v>
      </c>
      <c r="Q240" s="2">
        <f>VLOOKUP([jobnumber],OvalData[],MATCH(Table2[[#Headers],[Hanging Weight Closed]],Table2[#Headers],0),0)</f>
        <v>795</v>
      </c>
      <c r="R240" s="2">
        <f>VLOOKUP([jobnumber],OvalData[],MATCH(Table2[[#Headers],[Hanging Weight Open]],Table2[#Headers],0),0)</f>
        <v>140</v>
      </c>
      <c r="S240" s="2">
        <f>VLOOKUP([jobnumber],OvalData[],MATCH(Table2[[#Headers],[Initial Lever Arm]],Table2[#Headers],0),0)</f>
        <v>4.25</v>
      </c>
      <c r="T240" s="2">
        <f>VLOOKUP([jobnumber],OvalData[],MATCH(Table2[[#Headers],[Turns to Raise]],Table2[#Headers],0),0)</f>
        <v>3.5859999999999999</v>
      </c>
      <c r="U240" s="2">
        <f>VLOOKUP([jobnumber],OvalData[],MATCH(Table2[[#Headers],[Final Lever Arm]],Table2[#Headers],0),0)</f>
        <v>6.37</v>
      </c>
      <c r="V240" s="2">
        <f>VLOOKUP([jobnumber],OvalData[],MATCH(Table2[[#Headers],[Torque Required Closed]],Table2[#Headers],0),0)</f>
        <v>3377.9</v>
      </c>
      <c r="W240" s="2">
        <f>VLOOKUP([jobnumber],OvalData[],MATCH(Table2[[#Headers],[Torque Required Open]],Table2[#Headers],0),0)</f>
        <v>892</v>
      </c>
      <c r="X240" s="2">
        <f>VLOOKUP([jobnumber],OvalData[],MATCH(Table2[[#Headers],[Pre Turns]],Table2[#Headers],0),0)</f>
        <v>1.3332999999999999</v>
      </c>
      <c r="Y240" s="2">
        <f>VLOOKUP([jobnumber],OvalData[],MATCH(Table2[[#Headers],[Required Torque Per Turn]],Table2[#Headers],0),0)</f>
        <v>688</v>
      </c>
      <c r="Z240" s="2">
        <f>VLOOKUP([jobnumber],OvalData[],MATCH(Table2[[#Headers],[Total Turns]],Table2[#Headers],0),0)</f>
        <v>4.91</v>
      </c>
      <c r="AA240" s="2">
        <f>VLOOKUP([jobnumber],OvalData[],MATCH(Table2[[#Headers],[Grille Vision Section]],Table2[#Headers],0),0)</f>
        <v>0</v>
      </c>
      <c r="AB240" s="2">
        <f>VLOOKUP([jobnumber],OvalData[],MATCH(Table2[[#Headers],[Grille Amount]],Table2[#Headers],0),0)</f>
        <v>0</v>
      </c>
      <c r="AC240" s="2">
        <f>VLOOKUP([jobnumber],OvalData[],MATCH(Table2[[#Headers],[Grille Center]],Table2[#Headers],0),0)</f>
        <v>0</v>
      </c>
      <c r="AD240" s="2">
        <f>VLOOKUP([jobnumber],OvalData[],MATCH(Table2[[#Headers],[Grille Pattern]],Table2[#Headers],0),0)</f>
        <v>0</v>
      </c>
      <c r="AE240" s="2">
        <f>VLOOKUP([jobnumber],OvalData[],MATCH(Table2[[#Headers],[Grille First Tube]],Table2[#Headers],0),0)</f>
        <v>0</v>
      </c>
      <c r="AF240" s="2">
        <f>VLOOKUP([jobnumber],OvalData[],MATCH(Table2[[#Headers],[Grille Standard Tube]],Table2[#Headers],0),0)</f>
        <v>0</v>
      </c>
      <c r="AG240" s="2">
        <f>VLOOKUP([jobnumber],OvalData[],MATCH(Table2[[#Headers],[Grille Total Links]],Table2[#Headers],0),0)</f>
        <v>0</v>
      </c>
      <c r="AH240" s="2">
        <f>VLOOKUP([jobnumber],OvalData[],MATCH(Table2[[#Headers],[Grille Rods]],Table2[#Headers],0),0)</f>
        <v>0</v>
      </c>
      <c r="AI240" s="2">
        <f>VLOOKUP([jobnumber],OvalData[],MATCH(Table2[[#Headers],[Grille Rod Length]],Table2[#Headers],0),0)</f>
        <v>0</v>
      </c>
      <c r="AJ240" s="2">
        <f>VLOOKUP([jobnumber],OvalData[],MATCH(Table2[[#Headers],[slattype]],Table2[#Headers],0),0)</f>
        <v>2</v>
      </c>
      <c r="AK240" s="2">
        <f>VLOOKUP([jobnumber],OvalData[],MATCH(Table2[[#Headers],[slatgage]],Table2[#Headers],0),0)</f>
        <v>18</v>
      </c>
      <c r="AL240" s="2">
        <f>VLOOKUP([jobnumber],OvalData[],MATCH(Table2[[#Headers],[Numer of Top Slats]],Table2[#Headers],0),0)</f>
        <v>0</v>
      </c>
      <c r="AM240" s="2">
        <f>VLOOKUP([jobnumber],OvalData[],MATCH(Table2[[#Headers],[Number of Bottom Slats]],Table2[#Headers],0),0)</f>
        <v>0</v>
      </c>
      <c r="AN240" s="2">
        <f>VLOOKUP([jobnumber],OvalData[],MATCH(Table2[[#Headers],[Solid Bottom Height]],Table2[#Headers],0),0)</f>
        <v>0</v>
      </c>
      <c r="AO240" s="2" t="str">
        <f>VLOOKUP([jobnumber],OvalData[],MATCH(Table2[[#Headers],[slatlength]],Table2[#Headers],0),0)</f>
        <v xml:space="preserve"> 18 ft.- 5 7/ 8"</v>
      </c>
      <c r="AP240" s="2">
        <f>VLOOKUP([jobnumber],OvalData[],MATCH(Table2[[#Headers],[Bottom Slat Length]],Table2[#Headers],0),0)</f>
        <v>0</v>
      </c>
      <c r="AQ240" s="2">
        <f>VLOOKUP([jobnumber],OvalData[],MATCH(Table2[[#Headers],[Number of Perferated Slats]],Table2[#Headers],0),0)</f>
        <v>0</v>
      </c>
      <c r="AR240" s="2">
        <f>VLOOKUP([jobnumber],OvalData[],MATCH(Table2[[#Headers],[First Preferated Slat From End]],Table2[#Headers],0),0)</f>
        <v>0</v>
      </c>
      <c r="AS240" s="2">
        <f>VLOOKUP([jobnumber],OvalData[],MATCH(Table2[[#Headers],[First Preferated Slat From Bottom]],Table2[#Headers],0),0)</f>
        <v>0</v>
      </c>
      <c r="AT240" s="2">
        <f>VLOOKUP([jobnumber],OvalData[],MATCH(Table2[[#Headers],[Total Number of Slats]],Table2[#Headers],0),0)</f>
        <v>51</v>
      </c>
      <c r="AU240" s="2">
        <f>VLOOKUP([jobnumber],OvalData[],MATCH(Table2[[#Headers],[Bottom Bar Slope]],Table2[#Headers],0),0)</f>
        <v>0</v>
      </c>
      <c r="AV240" s="2">
        <f>VLOOKUP([jobnumber],OvalData[],MATCH(Table2[[#Headers],[Bottom Bar Weight]],Table2[#Headers],0),0)</f>
        <v>80.5</v>
      </c>
      <c r="AW240" s="2" t="str">
        <f>VLOOKUP([jobnumber],OvalData[],MATCH(Table2[[#Headers],[Outer Spring Gage]],Table2[#Headers],0),0)</f>
        <v>Null</v>
      </c>
      <c r="AX240" s="2" t="str">
        <f>VLOOKUP([jobnumber],OvalData[],MATCH(Table2[[#Headers],[Outer Spring OD]],Table2[#Headers],0),0)</f>
        <v>Null</v>
      </c>
      <c r="AY240" s="2" t="str">
        <f>VLOOKUP([jobnumber],OvalData[],MATCH(Table2[[#Headers],[Outer Spring Length]],Table2[#Headers],0),0)</f>
        <v>Null</v>
      </c>
      <c r="AZ240" s="2" t="str">
        <f>VLOOKUP([jobnumber],OvalData[],MATCH(Table2[[#Headers],[Outer Spring Stretch]],Table2[#Headers],0),0)</f>
        <v>Null</v>
      </c>
      <c r="BA240" s="2" t="str">
        <f>VLOOKUP([jobnumber],OvalData[],MATCH(Table2[[#Headers],[Outer Spring Torque]],Table2[#Headers],0),0)</f>
        <v>Null</v>
      </c>
      <c r="BB240" s="2" t="str">
        <f>VLOOKUP([jobnumber],OvalData[],MATCH(Table2[[#Headers],[Outer Spring Max Turns]],Table2[#Headers],0),0)</f>
        <v>Null</v>
      </c>
      <c r="BC240" s="2" t="str">
        <f>VLOOKUP([jobnumber],OvalData[],MATCH(Table2[[#Headers],[Outer Spring Weight]],Table2[#Headers],0),0)</f>
        <v>Null</v>
      </c>
      <c r="BD240" s="2" t="str">
        <f>VLOOKUP([jobnumber],OvalData[],MATCH(Table2[[#Headers],[Inner Spring Gage]],Table2[#Headers],0),0)</f>
        <v>Null</v>
      </c>
      <c r="BE240" s="2" t="str">
        <f>VLOOKUP([jobnumber],OvalData[],MATCH(Table2[[#Headers],[Inner Spring OD]],Table2[#Headers],0),0)</f>
        <v>Null</v>
      </c>
      <c r="BF240" s="2" t="str">
        <f>VLOOKUP([jobnumber],OvalData[],MATCH(Table2[[#Headers],[Inner Spring Length]],Table2[#Headers],0),0)</f>
        <v>Null</v>
      </c>
      <c r="BG240" s="2" t="str">
        <f>VLOOKUP([jobnumber],OvalData[],MATCH(Table2[[#Headers],[Inner Spring Stretch]],Table2[#Headers],0),0)</f>
        <v>Null</v>
      </c>
      <c r="BH240" s="2" t="str">
        <f>VLOOKUP([jobnumber],OvalData[],MATCH(Table2[[#Headers],[Inner Spring Torque]],Table2[#Headers],0),0)</f>
        <v>Null</v>
      </c>
      <c r="BI240" s="2" t="str">
        <f>VLOOKUP([jobnumber],OvalData[],MATCH(Table2[[#Headers],[Inner Spring Max Turns]],Table2[#Headers],0),0)</f>
        <v>Null</v>
      </c>
      <c r="BJ240" s="2" t="str">
        <f>VLOOKUP([jobnumber],OvalData[],MATCH(Table2[[#Headers],[Inner Spring Weight]],Table2[#Headers],0),0)</f>
        <v>Null</v>
      </c>
      <c r="BK240" s="2">
        <f>VLOOKUP([jobnumber],OvalData[],MATCH(Table2[[#Headers],[Cycles]],Table2[#Headers],0),0)</f>
        <v>0</v>
      </c>
      <c r="BL240" s="2">
        <f>VLOOKUP([jobnumber],OvalData[],MATCH(Table2[[#Headers],[Total Spring Torque]],Table2[#Headers],0),0)</f>
        <v>0</v>
      </c>
      <c r="BM240" s="2">
        <f>VLOOKUP([jobnumber],OvalData[],MATCH(Table2[[#Headers],[Total Spring Weight]],Table2[#Headers],0),0)</f>
        <v>0</v>
      </c>
      <c r="BN240" s="2">
        <f>VLOOKUP([jobnumber],OvalData[],MATCH(Table2[[#Headers],[Pipe Weight]],Table2[#Headers],0),0)</f>
        <v>688.24239999999998</v>
      </c>
      <c r="BO240" s="2">
        <f>VLOOKUP([jobnumber],OvalData[],MATCH(Table2[[#Headers],[Max Pipe Deflection]],Table2[#Headers],0),0)</f>
        <v>2309</v>
      </c>
      <c r="BP240" s="2">
        <f>VLOOKUP([jobnumber],OvalData[],MATCH(Table2[[#Headers],[Number Non-Insulated Wrap Slats]],Table2[#Headers],0),0)</f>
        <v>0</v>
      </c>
      <c r="BQ240" s="2">
        <f>VLOOKUP([jobnumber],OvalData[],MATCH(Table2[[#Headers],[Number of Insolated Top Slats]],Table2[#Headers],0),0)</f>
        <v>45</v>
      </c>
      <c r="BR240" s="2">
        <f>VLOOKUP([jobnumber],OvalData[],MATCH(Table2[[#Headers],[Insolated Total Slats]],Table2[#Headers],0),0)</f>
        <v>45</v>
      </c>
      <c r="BS240" s="2">
        <f>VLOOKUP([jobnumber],OvalData[],MATCH(Table2[[#Headers],[Number of Slats]],Table2[#Headers],0),0)</f>
        <v>44.69</v>
      </c>
      <c r="BT240" s="2">
        <f>VLOOKUP([jobnumber],OvalData[],MATCH(Table2[[#Headers],[Wrap]],Table2[#Headers],0),0)</f>
        <v>0</v>
      </c>
      <c r="BU240" s="2">
        <f>VLOOKUP([jobnumber],OvalData[],MATCH(Table2[[#Headers],[Wall Angle Thickness]],Table2[#Headers],0),0)</f>
        <v>0</v>
      </c>
      <c r="BV240" s="2">
        <f>VLOOKUP([jobnumber],OvalData[],MATCH(Table2[[#Headers],[windlocks]],Table2[#Headers],0),0)</f>
        <v>0</v>
      </c>
      <c r="BW240" s="2" t="str">
        <f>VLOOKUP([jobnumber],OvalData[],MATCH(Table2[[#Headers],[bottombartype]],Table2[#Headers],0),0)</f>
        <v>SPECIAL</v>
      </c>
      <c r="BX240" s="2">
        <f>VLOOKUP([jobnumber],OvalData[],MATCH(Table2[[#Headers],[endlockweight]],Table2[#Headers],0),0)</f>
        <v>0.17</v>
      </c>
      <c r="BY240" s="2">
        <f>VLOOKUP([jobnumber],OvalData[],MATCH(Table2[[#Headers],[Endlock Total Weight]],Table2[#Headers],0),0)</f>
        <v>7.5972999999999997</v>
      </c>
      <c r="BZ240" s="2">
        <f>VLOOKUP([jobnumber],OvalData[],MATCH(Table2[[#Headers],[Grille Weight]],Table2[#Headers],0),0)</f>
        <v>0</v>
      </c>
      <c r="CA240" s="2">
        <f>VLOOKUP([jobnumber],OvalData[],MATCH(Table2[[#Headers],[barrelrings]],Table2[#Headers],0),0)</f>
        <v>1</v>
      </c>
    </row>
    <row r="241" spans="2:79">
      <c r="B241" s="2" t="str">
        <f>VLOOKUP([jobnumber],OvalData[],MATCH(Table2[[#Headers],[Hand]],Table2[#Headers],0),0)</f>
        <v>RH</v>
      </c>
      <c r="C241" s="2" t="str">
        <f>VLOOKUP([jobnumber],OvalData[],MATCH(Table2[[#Headers],[Model]],Table2[#Headers],0),0)</f>
        <v>SFMPP</v>
      </c>
      <c r="D241" s="2" t="str">
        <f>VLOOKUP([jobnumber],OvalData[],MATCH(Table2[[#Headers],[width]],Table2[#Headers],0),0)</f>
        <v xml:space="preserve"> 18 ft.- 2"</v>
      </c>
      <c r="E241" s="2" t="str">
        <f>VLOOKUP([jobnumber],OvalData[],MATCH(Table2[[#Headers],[stopheight]],Table2[#Headers],0),0)</f>
        <v xml:space="preserve"> 10 ft.- 0"</v>
      </c>
      <c r="F241" s="2" t="str">
        <f>VLOOKUP([jobnumber],OvalData[],MATCH(Table2[[#Headers],[Between Brackets]],Table2[#Headers],0),0)</f>
        <v xml:space="preserve"> 18 ft.- 7 7/ 8"</v>
      </c>
      <c r="G241" s="2" t="str">
        <f>VLOOKUP([jobnumber],OvalData[],MATCH(Table2[[#Headers],[shell]],Table2[#Headers],0),0)</f>
        <v>6 INCH TUBE</v>
      </c>
      <c r="H241" s="2" t="str">
        <f>VLOOKUP([jobnumber],OvalData[],MATCH(Table2[[#Headers],[pipewidth]],Table2[#Headers],0),0)</f>
        <v xml:space="preserve"> 18 ft.- 1 3/ 8"</v>
      </c>
      <c r="I241" s="2">
        <f>VLOOKUP([jobnumber],OvalData[],MATCH(Table2[[#Headers],[Support Tubes]],Table2[#Headers],0),0)</f>
        <v>0</v>
      </c>
      <c r="J241" s="2">
        <f>VLOOKUP([jobnumber],OvalData[],MATCH(Table2[[#Headers],[Upset]],Table2[#Headers],0),0)</f>
        <v>2</v>
      </c>
      <c r="K241" s="2" t="str">
        <f>VLOOKUP([jobnumber],OvalData[],MATCH(Table2[[#Headers],[Guide Type]],Table2[#Headers],0),0)</f>
        <v>SN2-4 5/8-E</v>
      </c>
      <c r="L241" s="2" t="str">
        <f>VLOOKUP([jobnumber],OvalData[],MATCH(Table2[[#Headers],[Wall Angle]],Table2[#Headers],0),0)</f>
        <v xml:space="preserve"> 11 ft.- 8"</v>
      </c>
      <c r="M241" s="2" t="str">
        <f>VLOOKUP([jobnumber],OvalData[],MATCH(Table2[[#Headers],[Middle Angle]],Table2[#Headers],0),0)</f>
        <v xml:space="preserve"> 10 ft.- 4 1/ 2"</v>
      </c>
      <c r="N241" s="2" t="str">
        <f>VLOOKUP([jobnumber],OvalData[],MATCH(Table2[[#Headers],[Front Angle]],Table2[#Headers],0),0)</f>
        <v xml:space="preserve"> 10 ft.- 3"</v>
      </c>
      <c r="O241" s="2">
        <f>VLOOKUP([jobnumber],OvalData[],MATCH(Table2[[#Headers],[Pipe Center Line]],Table2[#Headers],0),0)</f>
        <v>131</v>
      </c>
      <c r="P241" s="2">
        <f>VLOOKUP([jobnumber],OvalData[],MATCH(Table2[[#Headers],[Heat Expansion Gap]],Table2[#Headers],0),0)</f>
        <v>0</v>
      </c>
      <c r="Q241" s="2">
        <f>VLOOKUP([jobnumber],OvalData[],MATCH(Table2[[#Headers],[Hanging Weight Closed]],Table2[#Headers],0),0)</f>
        <v>795</v>
      </c>
      <c r="R241" s="2">
        <f>VLOOKUP([jobnumber],OvalData[],MATCH(Table2[[#Headers],[Hanging Weight Open]],Table2[#Headers],0),0)</f>
        <v>140</v>
      </c>
      <c r="S241" s="2">
        <f>VLOOKUP([jobnumber],OvalData[],MATCH(Table2[[#Headers],[Initial Lever Arm]],Table2[#Headers],0),0)</f>
        <v>4.25</v>
      </c>
      <c r="T241" s="2">
        <f>VLOOKUP([jobnumber],OvalData[],MATCH(Table2[[#Headers],[Turns to Raise]],Table2[#Headers],0),0)</f>
        <v>3.5859999999999999</v>
      </c>
      <c r="U241" s="2">
        <f>VLOOKUP([jobnumber],OvalData[],MATCH(Table2[[#Headers],[Final Lever Arm]],Table2[#Headers],0),0)</f>
        <v>6.37</v>
      </c>
      <c r="V241" s="2">
        <f>VLOOKUP([jobnumber],OvalData[],MATCH(Table2[[#Headers],[Torque Required Closed]],Table2[#Headers],0),0)</f>
        <v>3377.9</v>
      </c>
      <c r="W241" s="2">
        <f>VLOOKUP([jobnumber],OvalData[],MATCH(Table2[[#Headers],[Torque Required Open]],Table2[#Headers],0),0)</f>
        <v>892</v>
      </c>
      <c r="X241" s="2">
        <f>VLOOKUP([jobnumber],OvalData[],MATCH(Table2[[#Headers],[Pre Turns]],Table2[#Headers],0),0)</f>
        <v>1.3332999999999999</v>
      </c>
      <c r="Y241" s="2">
        <f>VLOOKUP([jobnumber],OvalData[],MATCH(Table2[[#Headers],[Required Torque Per Turn]],Table2[#Headers],0),0)</f>
        <v>688</v>
      </c>
      <c r="Z241" s="2">
        <f>VLOOKUP([jobnumber],OvalData[],MATCH(Table2[[#Headers],[Total Turns]],Table2[#Headers],0),0)</f>
        <v>4.91</v>
      </c>
      <c r="AA241" s="2">
        <f>VLOOKUP([jobnumber],OvalData[],MATCH(Table2[[#Headers],[Grille Vision Section]],Table2[#Headers],0),0)</f>
        <v>0</v>
      </c>
      <c r="AB241" s="2">
        <f>VLOOKUP([jobnumber],OvalData[],MATCH(Table2[[#Headers],[Grille Amount]],Table2[#Headers],0),0)</f>
        <v>0</v>
      </c>
      <c r="AC241" s="2">
        <f>VLOOKUP([jobnumber],OvalData[],MATCH(Table2[[#Headers],[Grille Center]],Table2[#Headers],0),0)</f>
        <v>0</v>
      </c>
      <c r="AD241" s="2">
        <f>VLOOKUP([jobnumber],OvalData[],MATCH(Table2[[#Headers],[Grille Pattern]],Table2[#Headers],0),0)</f>
        <v>0</v>
      </c>
      <c r="AE241" s="2">
        <f>VLOOKUP([jobnumber],OvalData[],MATCH(Table2[[#Headers],[Grille First Tube]],Table2[#Headers],0),0)</f>
        <v>0</v>
      </c>
      <c r="AF241" s="2">
        <f>VLOOKUP([jobnumber],OvalData[],MATCH(Table2[[#Headers],[Grille Standard Tube]],Table2[#Headers],0),0)</f>
        <v>0</v>
      </c>
      <c r="AG241" s="2">
        <f>VLOOKUP([jobnumber],OvalData[],MATCH(Table2[[#Headers],[Grille Total Links]],Table2[#Headers],0),0)</f>
        <v>0</v>
      </c>
      <c r="AH241" s="2">
        <f>VLOOKUP([jobnumber],OvalData[],MATCH(Table2[[#Headers],[Grille Rods]],Table2[#Headers],0),0)</f>
        <v>0</v>
      </c>
      <c r="AI241" s="2">
        <f>VLOOKUP([jobnumber],OvalData[],MATCH(Table2[[#Headers],[Grille Rod Length]],Table2[#Headers],0),0)</f>
        <v>0</v>
      </c>
      <c r="AJ241" s="2">
        <f>VLOOKUP([jobnumber],OvalData[],MATCH(Table2[[#Headers],[slattype]],Table2[#Headers],0),0)</f>
        <v>2</v>
      </c>
      <c r="AK241" s="2">
        <f>VLOOKUP([jobnumber],OvalData[],MATCH(Table2[[#Headers],[slatgage]],Table2[#Headers],0),0)</f>
        <v>18</v>
      </c>
      <c r="AL241" s="2">
        <f>VLOOKUP([jobnumber],OvalData[],MATCH(Table2[[#Headers],[Numer of Top Slats]],Table2[#Headers],0),0)</f>
        <v>0</v>
      </c>
      <c r="AM241" s="2">
        <f>VLOOKUP([jobnumber],OvalData[],MATCH(Table2[[#Headers],[Number of Bottom Slats]],Table2[#Headers],0),0)</f>
        <v>0</v>
      </c>
      <c r="AN241" s="2">
        <f>VLOOKUP([jobnumber],OvalData[],MATCH(Table2[[#Headers],[Solid Bottom Height]],Table2[#Headers],0),0)</f>
        <v>0</v>
      </c>
      <c r="AO241" s="2" t="str">
        <f>VLOOKUP([jobnumber],OvalData[],MATCH(Table2[[#Headers],[slatlength]],Table2[#Headers],0),0)</f>
        <v xml:space="preserve"> 18 ft.- 5 7/ 8"</v>
      </c>
      <c r="AP241" s="2">
        <f>VLOOKUP([jobnumber],OvalData[],MATCH(Table2[[#Headers],[Bottom Slat Length]],Table2[#Headers],0),0)</f>
        <v>0</v>
      </c>
      <c r="AQ241" s="2">
        <f>VLOOKUP([jobnumber],OvalData[],MATCH(Table2[[#Headers],[Number of Perferated Slats]],Table2[#Headers],0),0)</f>
        <v>0</v>
      </c>
      <c r="AR241" s="2">
        <f>VLOOKUP([jobnumber],OvalData[],MATCH(Table2[[#Headers],[First Preferated Slat From End]],Table2[#Headers],0),0)</f>
        <v>0</v>
      </c>
      <c r="AS241" s="2">
        <f>VLOOKUP([jobnumber],OvalData[],MATCH(Table2[[#Headers],[First Preferated Slat From Bottom]],Table2[#Headers],0),0)</f>
        <v>0</v>
      </c>
      <c r="AT241" s="2">
        <f>VLOOKUP([jobnumber],OvalData[],MATCH(Table2[[#Headers],[Total Number of Slats]],Table2[#Headers],0),0)</f>
        <v>51</v>
      </c>
      <c r="AU241" s="2">
        <f>VLOOKUP([jobnumber],OvalData[],MATCH(Table2[[#Headers],[Bottom Bar Slope]],Table2[#Headers],0),0)</f>
        <v>0</v>
      </c>
      <c r="AV241" s="2">
        <f>VLOOKUP([jobnumber],OvalData[],MATCH(Table2[[#Headers],[Bottom Bar Weight]],Table2[#Headers],0),0)</f>
        <v>80.5</v>
      </c>
      <c r="AW241" s="2" t="str">
        <f>VLOOKUP([jobnumber],OvalData[],MATCH(Table2[[#Headers],[Outer Spring Gage]],Table2[#Headers],0),0)</f>
        <v>Null</v>
      </c>
      <c r="AX241" s="2" t="str">
        <f>VLOOKUP([jobnumber],OvalData[],MATCH(Table2[[#Headers],[Outer Spring OD]],Table2[#Headers],0),0)</f>
        <v>Null</v>
      </c>
      <c r="AY241" s="2" t="str">
        <f>VLOOKUP([jobnumber],OvalData[],MATCH(Table2[[#Headers],[Outer Spring Length]],Table2[#Headers],0),0)</f>
        <v>Null</v>
      </c>
      <c r="AZ241" s="2" t="str">
        <f>VLOOKUP([jobnumber],OvalData[],MATCH(Table2[[#Headers],[Outer Spring Stretch]],Table2[#Headers],0),0)</f>
        <v>Null</v>
      </c>
      <c r="BA241" s="2" t="str">
        <f>VLOOKUP([jobnumber],OvalData[],MATCH(Table2[[#Headers],[Outer Spring Torque]],Table2[#Headers],0),0)</f>
        <v>Null</v>
      </c>
      <c r="BB241" s="2" t="str">
        <f>VLOOKUP([jobnumber],OvalData[],MATCH(Table2[[#Headers],[Outer Spring Max Turns]],Table2[#Headers],0),0)</f>
        <v>Null</v>
      </c>
      <c r="BC241" s="2" t="str">
        <f>VLOOKUP([jobnumber],OvalData[],MATCH(Table2[[#Headers],[Outer Spring Weight]],Table2[#Headers],0),0)</f>
        <v>Null</v>
      </c>
      <c r="BD241" s="2" t="str">
        <f>VLOOKUP([jobnumber],OvalData[],MATCH(Table2[[#Headers],[Inner Spring Gage]],Table2[#Headers],0),0)</f>
        <v>Null</v>
      </c>
      <c r="BE241" s="2" t="str">
        <f>VLOOKUP([jobnumber],OvalData[],MATCH(Table2[[#Headers],[Inner Spring OD]],Table2[#Headers],0),0)</f>
        <v>Null</v>
      </c>
      <c r="BF241" s="2" t="str">
        <f>VLOOKUP([jobnumber],OvalData[],MATCH(Table2[[#Headers],[Inner Spring Length]],Table2[#Headers],0),0)</f>
        <v>Null</v>
      </c>
      <c r="BG241" s="2" t="str">
        <f>VLOOKUP([jobnumber],OvalData[],MATCH(Table2[[#Headers],[Inner Spring Stretch]],Table2[#Headers],0),0)</f>
        <v>Null</v>
      </c>
      <c r="BH241" s="2" t="str">
        <f>VLOOKUP([jobnumber],OvalData[],MATCH(Table2[[#Headers],[Inner Spring Torque]],Table2[#Headers],0),0)</f>
        <v>Null</v>
      </c>
      <c r="BI241" s="2" t="str">
        <f>VLOOKUP([jobnumber],OvalData[],MATCH(Table2[[#Headers],[Inner Spring Max Turns]],Table2[#Headers],0),0)</f>
        <v>Null</v>
      </c>
      <c r="BJ241" s="2" t="str">
        <f>VLOOKUP([jobnumber],OvalData[],MATCH(Table2[[#Headers],[Inner Spring Weight]],Table2[#Headers],0),0)</f>
        <v>Null</v>
      </c>
      <c r="BK241" s="2">
        <f>VLOOKUP([jobnumber],OvalData[],MATCH(Table2[[#Headers],[Cycles]],Table2[#Headers],0),0)</f>
        <v>0</v>
      </c>
      <c r="BL241" s="2">
        <f>VLOOKUP([jobnumber],OvalData[],MATCH(Table2[[#Headers],[Total Spring Torque]],Table2[#Headers],0),0)</f>
        <v>0</v>
      </c>
      <c r="BM241" s="2">
        <f>VLOOKUP([jobnumber],OvalData[],MATCH(Table2[[#Headers],[Total Spring Weight]],Table2[#Headers],0),0)</f>
        <v>0</v>
      </c>
      <c r="BN241" s="2">
        <f>VLOOKUP([jobnumber],OvalData[],MATCH(Table2[[#Headers],[Pipe Weight]],Table2[#Headers],0),0)</f>
        <v>688.24239999999998</v>
      </c>
      <c r="BO241" s="2">
        <f>VLOOKUP([jobnumber],OvalData[],MATCH(Table2[[#Headers],[Max Pipe Deflection]],Table2[#Headers],0),0)</f>
        <v>2309</v>
      </c>
      <c r="BP241" s="2">
        <f>VLOOKUP([jobnumber],OvalData[],MATCH(Table2[[#Headers],[Number Non-Insulated Wrap Slats]],Table2[#Headers],0),0)</f>
        <v>0</v>
      </c>
      <c r="BQ241" s="2">
        <f>VLOOKUP([jobnumber],OvalData[],MATCH(Table2[[#Headers],[Number of Insolated Top Slats]],Table2[#Headers],0),0)</f>
        <v>45</v>
      </c>
      <c r="BR241" s="2">
        <f>VLOOKUP([jobnumber],OvalData[],MATCH(Table2[[#Headers],[Insolated Total Slats]],Table2[#Headers],0),0)</f>
        <v>45</v>
      </c>
      <c r="BS241" s="2">
        <f>VLOOKUP([jobnumber],OvalData[],MATCH(Table2[[#Headers],[Number of Slats]],Table2[#Headers],0),0)</f>
        <v>44.69</v>
      </c>
      <c r="BT241" s="2">
        <f>VLOOKUP([jobnumber],OvalData[],MATCH(Table2[[#Headers],[Wrap]],Table2[#Headers],0),0)</f>
        <v>0</v>
      </c>
      <c r="BU241" s="2">
        <f>VLOOKUP([jobnumber],OvalData[],MATCH(Table2[[#Headers],[Wall Angle Thickness]],Table2[#Headers],0),0)</f>
        <v>0</v>
      </c>
      <c r="BV241" s="2">
        <f>VLOOKUP([jobnumber],OvalData[],MATCH(Table2[[#Headers],[windlocks]],Table2[#Headers],0),0)</f>
        <v>0</v>
      </c>
      <c r="BW241" s="2" t="str">
        <f>VLOOKUP([jobnumber],OvalData[],MATCH(Table2[[#Headers],[bottombartype]],Table2[#Headers],0),0)</f>
        <v>SPECIAL</v>
      </c>
      <c r="BX241" s="2">
        <f>VLOOKUP([jobnumber],OvalData[],MATCH(Table2[[#Headers],[endlockweight]],Table2[#Headers],0),0)</f>
        <v>0.17</v>
      </c>
      <c r="BY241" s="2">
        <f>VLOOKUP([jobnumber],OvalData[],MATCH(Table2[[#Headers],[Endlock Total Weight]],Table2[#Headers],0),0)</f>
        <v>7.5972999999999997</v>
      </c>
      <c r="BZ241" s="2">
        <f>VLOOKUP([jobnumber],OvalData[],MATCH(Table2[[#Headers],[Grille Weight]],Table2[#Headers],0),0)</f>
        <v>0</v>
      </c>
      <c r="CA241" s="2">
        <f>VLOOKUP([jobnumber],OvalData[],MATCH(Table2[[#Headers],[barrelrings]],Table2[#Headers],0),0)</f>
        <v>1</v>
      </c>
    </row>
    <row r="242" spans="2:79">
      <c r="B242" s="2" t="str">
        <f>VLOOKUP([jobnumber],OvalData[],MATCH(Table2[[#Headers],[Hand]],Table2[#Headers],0),0)</f>
        <v>RH</v>
      </c>
      <c r="C242" s="2" t="str">
        <f>VLOOKUP([jobnumber],OvalData[],MATCH(Table2[[#Headers],[Model]],Table2[#Headers],0),0)</f>
        <v>SFMPP</v>
      </c>
      <c r="D242" s="2" t="str">
        <f>VLOOKUP([jobnumber],OvalData[],MATCH(Table2[[#Headers],[width]],Table2[#Headers],0),0)</f>
        <v xml:space="preserve"> 18 ft.- 2"</v>
      </c>
      <c r="E242" s="2" t="str">
        <f>VLOOKUP([jobnumber],OvalData[],MATCH(Table2[[#Headers],[stopheight]],Table2[#Headers],0),0)</f>
        <v xml:space="preserve"> 10 ft.- 0"</v>
      </c>
      <c r="F242" s="2" t="str">
        <f>VLOOKUP([jobnumber],OvalData[],MATCH(Table2[[#Headers],[Between Brackets]],Table2[#Headers],0),0)</f>
        <v xml:space="preserve"> 18 ft.- 7 7/ 8"</v>
      </c>
      <c r="G242" s="2" t="str">
        <f>VLOOKUP([jobnumber],OvalData[],MATCH(Table2[[#Headers],[shell]],Table2[#Headers],0),0)</f>
        <v>6 INCH TUBE</v>
      </c>
      <c r="H242" s="2" t="str">
        <f>VLOOKUP([jobnumber],OvalData[],MATCH(Table2[[#Headers],[pipewidth]],Table2[#Headers],0),0)</f>
        <v xml:space="preserve"> 18 ft.- 1 3/ 8"</v>
      </c>
      <c r="I242" s="2">
        <f>VLOOKUP([jobnumber],OvalData[],MATCH(Table2[[#Headers],[Support Tubes]],Table2[#Headers],0),0)</f>
        <v>0</v>
      </c>
      <c r="J242" s="2">
        <f>VLOOKUP([jobnumber],OvalData[],MATCH(Table2[[#Headers],[Upset]],Table2[#Headers],0),0)</f>
        <v>2</v>
      </c>
      <c r="K242" s="2" t="str">
        <f>VLOOKUP([jobnumber],OvalData[],MATCH(Table2[[#Headers],[Guide Type]],Table2[#Headers],0),0)</f>
        <v>SN2-4 5/8-E</v>
      </c>
      <c r="L242" s="2" t="str">
        <f>VLOOKUP([jobnumber],OvalData[],MATCH(Table2[[#Headers],[Wall Angle]],Table2[#Headers],0),0)</f>
        <v xml:space="preserve"> 11 ft.- 8"</v>
      </c>
      <c r="M242" s="2" t="str">
        <f>VLOOKUP([jobnumber],OvalData[],MATCH(Table2[[#Headers],[Middle Angle]],Table2[#Headers],0),0)</f>
        <v xml:space="preserve"> 10 ft.- 4 1/ 2"</v>
      </c>
      <c r="N242" s="2" t="str">
        <f>VLOOKUP([jobnumber],OvalData[],MATCH(Table2[[#Headers],[Front Angle]],Table2[#Headers],0),0)</f>
        <v xml:space="preserve"> 10 ft.- 3"</v>
      </c>
      <c r="O242" s="2">
        <f>VLOOKUP([jobnumber],OvalData[],MATCH(Table2[[#Headers],[Pipe Center Line]],Table2[#Headers],0),0)</f>
        <v>131</v>
      </c>
      <c r="P242" s="2">
        <f>VLOOKUP([jobnumber],OvalData[],MATCH(Table2[[#Headers],[Heat Expansion Gap]],Table2[#Headers],0),0)</f>
        <v>0</v>
      </c>
      <c r="Q242" s="2">
        <f>VLOOKUP([jobnumber],OvalData[],MATCH(Table2[[#Headers],[Hanging Weight Closed]],Table2[#Headers],0),0)</f>
        <v>795</v>
      </c>
      <c r="R242" s="2">
        <f>VLOOKUP([jobnumber],OvalData[],MATCH(Table2[[#Headers],[Hanging Weight Open]],Table2[#Headers],0),0)</f>
        <v>140</v>
      </c>
      <c r="S242" s="2">
        <f>VLOOKUP([jobnumber],OvalData[],MATCH(Table2[[#Headers],[Initial Lever Arm]],Table2[#Headers],0),0)</f>
        <v>4.25</v>
      </c>
      <c r="T242" s="2">
        <f>VLOOKUP([jobnumber],OvalData[],MATCH(Table2[[#Headers],[Turns to Raise]],Table2[#Headers],0),0)</f>
        <v>3.5859999999999999</v>
      </c>
      <c r="U242" s="2">
        <f>VLOOKUP([jobnumber],OvalData[],MATCH(Table2[[#Headers],[Final Lever Arm]],Table2[#Headers],0),0)</f>
        <v>6.37</v>
      </c>
      <c r="V242" s="2">
        <f>VLOOKUP([jobnumber],OvalData[],MATCH(Table2[[#Headers],[Torque Required Closed]],Table2[#Headers],0),0)</f>
        <v>3377.9</v>
      </c>
      <c r="W242" s="2">
        <f>VLOOKUP([jobnumber],OvalData[],MATCH(Table2[[#Headers],[Torque Required Open]],Table2[#Headers],0),0)</f>
        <v>892</v>
      </c>
      <c r="X242" s="2">
        <f>VLOOKUP([jobnumber],OvalData[],MATCH(Table2[[#Headers],[Pre Turns]],Table2[#Headers],0),0)</f>
        <v>1.3332999999999999</v>
      </c>
      <c r="Y242" s="2">
        <f>VLOOKUP([jobnumber],OvalData[],MATCH(Table2[[#Headers],[Required Torque Per Turn]],Table2[#Headers],0),0)</f>
        <v>688</v>
      </c>
      <c r="Z242" s="2">
        <f>VLOOKUP([jobnumber],OvalData[],MATCH(Table2[[#Headers],[Total Turns]],Table2[#Headers],0),0)</f>
        <v>4.91</v>
      </c>
      <c r="AA242" s="2">
        <f>VLOOKUP([jobnumber],OvalData[],MATCH(Table2[[#Headers],[Grille Vision Section]],Table2[#Headers],0),0)</f>
        <v>0</v>
      </c>
      <c r="AB242" s="2">
        <f>VLOOKUP([jobnumber],OvalData[],MATCH(Table2[[#Headers],[Grille Amount]],Table2[#Headers],0),0)</f>
        <v>0</v>
      </c>
      <c r="AC242" s="2">
        <f>VLOOKUP([jobnumber],OvalData[],MATCH(Table2[[#Headers],[Grille Center]],Table2[#Headers],0),0)</f>
        <v>0</v>
      </c>
      <c r="AD242" s="2">
        <f>VLOOKUP([jobnumber],OvalData[],MATCH(Table2[[#Headers],[Grille Pattern]],Table2[#Headers],0),0)</f>
        <v>0</v>
      </c>
      <c r="AE242" s="2">
        <f>VLOOKUP([jobnumber],OvalData[],MATCH(Table2[[#Headers],[Grille First Tube]],Table2[#Headers],0),0)</f>
        <v>0</v>
      </c>
      <c r="AF242" s="2">
        <f>VLOOKUP([jobnumber],OvalData[],MATCH(Table2[[#Headers],[Grille Standard Tube]],Table2[#Headers],0),0)</f>
        <v>0</v>
      </c>
      <c r="AG242" s="2">
        <f>VLOOKUP([jobnumber],OvalData[],MATCH(Table2[[#Headers],[Grille Total Links]],Table2[#Headers],0),0)</f>
        <v>0</v>
      </c>
      <c r="AH242" s="2">
        <f>VLOOKUP([jobnumber],OvalData[],MATCH(Table2[[#Headers],[Grille Rods]],Table2[#Headers],0),0)</f>
        <v>0</v>
      </c>
      <c r="AI242" s="2">
        <f>VLOOKUP([jobnumber],OvalData[],MATCH(Table2[[#Headers],[Grille Rod Length]],Table2[#Headers],0),0)</f>
        <v>0</v>
      </c>
      <c r="AJ242" s="2">
        <f>VLOOKUP([jobnumber],OvalData[],MATCH(Table2[[#Headers],[slattype]],Table2[#Headers],0),0)</f>
        <v>2</v>
      </c>
      <c r="AK242" s="2">
        <f>VLOOKUP([jobnumber],OvalData[],MATCH(Table2[[#Headers],[slatgage]],Table2[#Headers],0),0)</f>
        <v>18</v>
      </c>
      <c r="AL242" s="2">
        <f>VLOOKUP([jobnumber],OvalData[],MATCH(Table2[[#Headers],[Numer of Top Slats]],Table2[#Headers],0),0)</f>
        <v>0</v>
      </c>
      <c r="AM242" s="2">
        <f>VLOOKUP([jobnumber],OvalData[],MATCH(Table2[[#Headers],[Number of Bottom Slats]],Table2[#Headers],0),0)</f>
        <v>0</v>
      </c>
      <c r="AN242" s="2">
        <f>VLOOKUP([jobnumber],OvalData[],MATCH(Table2[[#Headers],[Solid Bottom Height]],Table2[#Headers],0),0)</f>
        <v>0</v>
      </c>
      <c r="AO242" s="2" t="str">
        <f>VLOOKUP([jobnumber],OvalData[],MATCH(Table2[[#Headers],[slatlength]],Table2[#Headers],0),0)</f>
        <v xml:space="preserve"> 18 ft.- 5 7/ 8"</v>
      </c>
      <c r="AP242" s="2">
        <f>VLOOKUP([jobnumber],OvalData[],MATCH(Table2[[#Headers],[Bottom Slat Length]],Table2[#Headers],0),0)</f>
        <v>0</v>
      </c>
      <c r="AQ242" s="2">
        <f>VLOOKUP([jobnumber],OvalData[],MATCH(Table2[[#Headers],[Number of Perferated Slats]],Table2[#Headers],0),0)</f>
        <v>0</v>
      </c>
      <c r="AR242" s="2">
        <f>VLOOKUP([jobnumber],OvalData[],MATCH(Table2[[#Headers],[First Preferated Slat From End]],Table2[#Headers],0),0)</f>
        <v>0</v>
      </c>
      <c r="AS242" s="2">
        <f>VLOOKUP([jobnumber],OvalData[],MATCH(Table2[[#Headers],[First Preferated Slat From Bottom]],Table2[#Headers],0),0)</f>
        <v>0</v>
      </c>
      <c r="AT242" s="2">
        <f>VLOOKUP([jobnumber],OvalData[],MATCH(Table2[[#Headers],[Total Number of Slats]],Table2[#Headers],0),0)</f>
        <v>51</v>
      </c>
      <c r="AU242" s="2">
        <f>VLOOKUP([jobnumber],OvalData[],MATCH(Table2[[#Headers],[Bottom Bar Slope]],Table2[#Headers],0),0)</f>
        <v>0</v>
      </c>
      <c r="AV242" s="2">
        <f>VLOOKUP([jobnumber],OvalData[],MATCH(Table2[[#Headers],[Bottom Bar Weight]],Table2[#Headers],0),0)</f>
        <v>80.5</v>
      </c>
      <c r="AW242" s="2" t="str">
        <f>VLOOKUP([jobnumber],OvalData[],MATCH(Table2[[#Headers],[Outer Spring Gage]],Table2[#Headers],0),0)</f>
        <v>Null</v>
      </c>
      <c r="AX242" s="2" t="str">
        <f>VLOOKUP([jobnumber],OvalData[],MATCH(Table2[[#Headers],[Outer Spring OD]],Table2[#Headers],0),0)</f>
        <v>Null</v>
      </c>
      <c r="AY242" s="2" t="str">
        <f>VLOOKUP([jobnumber],OvalData[],MATCH(Table2[[#Headers],[Outer Spring Length]],Table2[#Headers],0),0)</f>
        <v>Null</v>
      </c>
      <c r="AZ242" s="2" t="str">
        <f>VLOOKUP([jobnumber],OvalData[],MATCH(Table2[[#Headers],[Outer Spring Stretch]],Table2[#Headers],0),0)</f>
        <v>Null</v>
      </c>
      <c r="BA242" s="2" t="str">
        <f>VLOOKUP([jobnumber],OvalData[],MATCH(Table2[[#Headers],[Outer Spring Torque]],Table2[#Headers],0),0)</f>
        <v>Null</v>
      </c>
      <c r="BB242" s="2" t="str">
        <f>VLOOKUP([jobnumber],OvalData[],MATCH(Table2[[#Headers],[Outer Spring Max Turns]],Table2[#Headers],0),0)</f>
        <v>Null</v>
      </c>
      <c r="BC242" s="2" t="str">
        <f>VLOOKUP([jobnumber],OvalData[],MATCH(Table2[[#Headers],[Outer Spring Weight]],Table2[#Headers],0),0)</f>
        <v>Null</v>
      </c>
      <c r="BD242" s="2" t="str">
        <f>VLOOKUP([jobnumber],OvalData[],MATCH(Table2[[#Headers],[Inner Spring Gage]],Table2[#Headers],0),0)</f>
        <v>Null</v>
      </c>
      <c r="BE242" s="2" t="str">
        <f>VLOOKUP([jobnumber],OvalData[],MATCH(Table2[[#Headers],[Inner Spring OD]],Table2[#Headers],0),0)</f>
        <v>Null</v>
      </c>
      <c r="BF242" s="2" t="str">
        <f>VLOOKUP([jobnumber],OvalData[],MATCH(Table2[[#Headers],[Inner Spring Length]],Table2[#Headers],0),0)</f>
        <v>Null</v>
      </c>
      <c r="BG242" s="2" t="str">
        <f>VLOOKUP([jobnumber],OvalData[],MATCH(Table2[[#Headers],[Inner Spring Stretch]],Table2[#Headers],0),0)</f>
        <v>Null</v>
      </c>
      <c r="BH242" s="2" t="str">
        <f>VLOOKUP([jobnumber],OvalData[],MATCH(Table2[[#Headers],[Inner Spring Torque]],Table2[#Headers],0),0)</f>
        <v>Null</v>
      </c>
      <c r="BI242" s="2" t="str">
        <f>VLOOKUP([jobnumber],OvalData[],MATCH(Table2[[#Headers],[Inner Spring Max Turns]],Table2[#Headers],0),0)</f>
        <v>Null</v>
      </c>
      <c r="BJ242" s="2" t="str">
        <f>VLOOKUP([jobnumber],OvalData[],MATCH(Table2[[#Headers],[Inner Spring Weight]],Table2[#Headers],0),0)</f>
        <v>Null</v>
      </c>
      <c r="BK242" s="2">
        <f>VLOOKUP([jobnumber],OvalData[],MATCH(Table2[[#Headers],[Cycles]],Table2[#Headers],0),0)</f>
        <v>0</v>
      </c>
      <c r="BL242" s="2">
        <f>VLOOKUP([jobnumber],OvalData[],MATCH(Table2[[#Headers],[Total Spring Torque]],Table2[#Headers],0),0)</f>
        <v>0</v>
      </c>
      <c r="BM242" s="2">
        <f>VLOOKUP([jobnumber],OvalData[],MATCH(Table2[[#Headers],[Total Spring Weight]],Table2[#Headers],0),0)</f>
        <v>0</v>
      </c>
      <c r="BN242" s="2">
        <f>VLOOKUP([jobnumber],OvalData[],MATCH(Table2[[#Headers],[Pipe Weight]],Table2[#Headers],0),0)</f>
        <v>688.24239999999998</v>
      </c>
      <c r="BO242" s="2">
        <f>VLOOKUP([jobnumber],OvalData[],MATCH(Table2[[#Headers],[Max Pipe Deflection]],Table2[#Headers],0),0)</f>
        <v>2309</v>
      </c>
      <c r="BP242" s="2">
        <f>VLOOKUP([jobnumber],OvalData[],MATCH(Table2[[#Headers],[Number Non-Insulated Wrap Slats]],Table2[#Headers],0),0)</f>
        <v>0</v>
      </c>
      <c r="BQ242" s="2">
        <f>VLOOKUP([jobnumber],OvalData[],MATCH(Table2[[#Headers],[Number of Insolated Top Slats]],Table2[#Headers],0),0)</f>
        <v>45</v>
      </c>
      <c r="BR242" s="2">
        <f>VLOOKUP([jobnumber],OvalData[],MATCH(Table2[[#Headers],[Insolated Total Slats]],Table2[#Headers],0),0)</f>
        <v>45</v>
      </c>
      <c r="BS242" s="2">
        <f>VLOOKUP([jobnumber],OvalData[],MATCH(Table2[[#Headers],[Number of Slats]],Table2[#Headers],0),0)</f>
        <v>44.69</v>
      </c>
      <c r="BT242" s="2">
        <f>VLOOKUP([jobnumber],OvalData[],MATCH(Table2[[#Headers],[Wrap]],Table2[#Headers],0),0)</f>
        <v>0</v>
      </c>
      <c r="BU242" s="2">
        <f>VLOOKUP([jobnumber],OvalData[],MATCH(Table2[[#Headers],[Wall Angle Thickness]],Table2[#Headers],0),0)</f>
        <v>0</v>
      </c>
      <c r="BV242" s="2">
        <f>VLOOKUP([jobnumber],OvalData[],MATCH(Table2[[#Headers],[windlocks]],Table2[#Headers],0),0)</f>
        <v>0</v>
      </c>
      <c r="BW242" s="2" t="str">
        <f>VLOOKUP([jobnumber],OvalData[],MATCH(Table2[[#Headers],[bottombartype]],Table2[#Headers],0),0)</f>
        <v>SPECIAL</v>
      </c>
      <c r="BX242" s="2">
        <f>VLOOKUP([jobnumber],OvalData[],MATCH(Table2[[#Headers],[endlockweight]],Table2[#Headers],0),0)</f>
        <v>0.17</v>
      </c>
      <c r="BY242" s="2">
        <f>VLOOKUP([jobnumber],OvalData[],MATCH(Table2[[#Headers],[Endlock Total Weight]],Table2[#Headers],0),0)</f>
        <v>7.5972999999999997</v>
      </c>
      <c r="BZ242" s="2">
        <f>VLOOKUP([jobnumber],OvalData[],MATCH(Table2[[#Headers],[Grille Weight]],Table2[#Headers],0),0)</f>
        <v>0</v>
      </c>
      <c r="CA242" s="2">
        <f>VLOOKUP([jobnumber],OvalData[],MATCH(Table2[[#Headers],[barrelrings]],Table2[#Headers],0),0)</f>
        <v>1</v>
      </c>
    </row>
    <row r="243" spans="2:79">
      <c r="B243" s="2" t="str">
        <f>VLOOKUP([jobnumber],OvalData[],MATCH(Table2[[#Headers],[Hand]],Table2[#Headers],0),0)</f>
        <v>RH</v>
      </c>
      <c r="C243" s="2" t="str">
        <f>VLOOKUP([jobnumber],OvalData[],MATCH(Table2[[#Headers],[Model]],Table2[#Headers],0),0)</f>
        <v>SFMPP</v>
      </c>
      <c r="D243" s="2" t="str">
        <f>VLOOKUP([jobnumber],OvalData[],MATCH(Table2[[#Headers],[width]],Table2[#Headers],0),0)</f>
        <v xml:space="preserve"> 18 ft.- 2"</v>
      </c>
      <c r="E243" s="2" t="str">
        <f>VLOOKUP([jobnumber],OvalData[],MATCH(Table2[[#Headers],[stopheight]],Table2[#Headers],0),0)</f>
        <v xml:space="preserve"> 10 ft.- 0"</v>
      </c>
      <c r="F243" s="2" t="str">
        <f>VLOOKUP([jobnumber],OvalData[],MATCH(Table2[[#Headers],[Between Brackets]],Table2[#Headers],0),0)</f>
        <v xml:space="preserve"> 18 ft.- 7 7/ 8"</v>
      </c>
      <c r="G243" s="2" t="str">
        <f>VLOOKUP([jobnumber],OvalData[],MATCH(Table2[[#Headers],[shell]],Table2[#Headers],0),0)</f>
        <v>6 INCH TUBE</v>
      </c>
      <c r="H243" s="2" t="str">
        <f>VLOOKUP([jobnumber],OvalData[],MATCH(Table2[[#Headers],[pipewidth]],Table2[#Headers],0),0)</f>
        <v xml:space="preserve"> 18 ft.- 1 3/ 8"</v>
      </c>
      <c r="I243" s="2">
        <f>VLOOKUP([jobnumber],OvalData[],MATCH(Table2[[#Headers],[Support Tubes]],Table2[#Headers],0),0)</f>
        <v>0</v>
      </c>
      <c r="J243" s="2">
        <f>VLOOKUP([jobnumber],OvalData[],MATCH(Table2[[#Headers],[Upset]],Table2[#Headers],0),0)</f>
        <v>2</v>
      </c>
      <c r="K243" s="2" t="str">
        <f>VLOOKUP([jobnumber],OvalData[],MATCH(Table2[[#Headers],[Guide Type]],Table2[#Headers],0),0)</f>
        <v>SN2-4 5/8-E</v>
      </c>
      <c r="L243" s="2" t="str">
        <f>VLOOKUP([jobnumber],OvalData[],MATCH(Table2[[#Headers],[Wall Angle]],Table2[#Headers],0),0)</f>
        <v xml:space="preserve"> 11 ft.- 8"</v>
      </c>
      <c r="M243" s="2" t="str">
        <f>VLOOKUP([jobnumber],OvalData[],MATCH(Table2[[#Headers],[Middle Angle]],Table2[#Headers],0),0)</f>
        <v xml:space="preserve"> 10 ft.- 4 1/ 2"</v>
      </c>
      <c r="N243" s="2" t="str">
        <f>VLOOKUP([jobnumber],OvalData[],MATCH(Table2[[#Headers],[Front Angle]],Table2[#Headers],0),0)</f>
        <v xml:space="preserve"> 10 ft.- 3"</v>
      </c>
      <c r="O243" s="2">
        <f>VLOOKUP([jobnumber],OvalData[],MATCH(Table2[[#Headers],[Pipe Center Line]],Table2[#Headers],0),0)</f>
        <v>131</v>
      </c>
      <c r="P243" s="2">
        <f>VLOOKUP([jobnumber],OvalData[],MATCH(Table2[[#Headers],[Heat Expansion Gap]],Table2[#Headers],0),0)</f>
        <v>0</v>
      </c>
      <c r="Q243" s="2">
        <f>VLOOKUP([jobnumber],OvalData[],MATCH(Table2[[#Headers],[Hanging Weight Closed]],Table2[#Headers],0),0)</f>
        <v>795</v>
      </c>
      <c r="R243" s="2">
        <f>VLOOKUP([jobnumber],OvalData[],MATCH(Table2[[#Headers],[Hanging Weight Open]],Table2[#Headers],0),0)</f>
        <v>140</v>
      </c>
      <c r="S243" s="2">
        <f>VLOOKUP([jobnumber],OvalData[],MATCH(Table2[[#Headers],[Initial Lever Arm]],Table2[#Headers],0),0)</f>
        <v>4.25</v>
      </c>
      <c r="T243" s="2">
        <f>VLOOKUP([jobnumber],OvalData[],MATCH(Table2[[#Headers],[Turns to Raise]],Table2[#Headers],0),0)</f>
        <v>3.5859999999999999</v>
      </c>
      <c r="U243" s="2">
        <f>VLOOKUP([jobnumber],OvalData[],MATCH(Table2[[#Headers],[Final Lever Arm]],Table2[#Headers],0),0)</f>
        <v>6.37</v>
      </c>
      <c r="V243" s="2">
        <f>VLOOKUP([jobnumber],OvalData[],MATCH(Table2[[#Headers],[Torque Required Closed]],Table2[#Headers],0),0)</f>
        <v>3377.9</v>
      </c>
      <c r="W243" s="2">
        <f>VLOOKUP([jobnumber],OvalData[],MATCH(Table2[[#Headers],[Torque Required Open]],Table2[#Headers],0),0)</f>
        <v>892</v>
      </c>
      <c r="X243" s="2">
        <f>VLOOKUP([jobnumber],OvalData[],MATCH(Table2[[#Headers],[Pre Turns]],Table2[#Headers],0),0)</f>
        <v>1.3332999999999999</v>
      </c>
      <c r="Y243" s="2">
        <f>VLOOKUP([jobnumber],OvalData[],MATCH(Table2[[#Headers],[Required Torque Per Turn]],Table2[#Headers],0),0)</f>
        <v>688</v>
      </c>
      <c r="Z243" s="2">
        <f>VLOOKUP([jobnumber],OvalData[],MATCH(Table2[[#Headers],[Total Turns]],Table2[#Headers],0),0)</f>
        <v>4.91</v>
      </c>
      <c r="AA243" s="2">
        <f>VLOOKUP([jobnumber],OvalData[],MATCH(Table2[[#Headers],[Grille Vision Section]],Table2[#Headers],0),0)</f>
        <v>0</v>
      </c>
      <c r="AB243" s="2">
        <f>VLOOKUP([jobnumber],OvalData[],MATCH(Table2[[#Headers],[Grille Amount]],Table2[#Headers],0),0)</f>
        <v>0</v>
      </c>
      <c r="AC243" s="2">
        <f>VLOOKUP([jobnumber],OvalData[],MATCH(Table2[[#Headers],[Grille Center]],Table2[#Headers],0),0)</f>
        <v>0</v>
      </c>
      <c r="AD243" s="2">
        <f>VLOOKUP([jobnumber],OvalData[],MATCH(Table2[[#Headers],[Grille Pattern]],Table2[#Headers],0),0)</f>
        <v>0</v>
      </c>
      <c r="AE243" s="2">
        <f>VLOOKUP([jobnumber],OvalData[],MATCH(Table2[[#Headers],[Grille First Tube]],Table2[#Headers],0),0)</f>
        <v>0</v>
      </c>
      <c r="AF243" s="2">
        <f>VLOOKUP([jobnumber],OvalData[],MATCH(Table2[[#Headers],[Grille Standard Tube]],Table2[#Headers],0),0)</f>
        <v>0</v>
      </c>
      <c r="AG243" s="2">
        <f>VLOOKUP([jobnumber],OvalData[],MATCH(Table2[[#Headers],[Grille Total Links]],Table2[#Headers],0),0)</f>
        <v>0</v>
      </c>
      <c r="AH243" s="2">
        <f>VLOOKUP([jobnumber],OvalData[],MATCH(Table2[[#Headers],[Grille Rods]],Table2[#Headers],0),0)</f>
        <v>0</v>
      </c>
      <c r="AI243" s="2">
        <f>VLOOKUP([jobnumber],OvalData[],MATCH(Table2[[#Headers],[Grille Rod Length]],Table2[#Headers],0),0)</f>
        <v>0</v>
      </c>
      <c r="AJ243" s="2">
        <f>VLOOKUP([jobnumber],OvalData[],MATCH(Table2[[#Headers],[slattype]],Table2[#Headers],0),0)</f>
        <v>2</v>
      </c>
      <c r="AK243" s="2">
        <f>VLOOKUP([jobnumber],OvalData[],MATCH(Table2[[#Headers],[slatgage]],Table2[#Headers],0),0)</f>
        <v>18</v>
      </c>
      <c r="AL243" s="2">
        <f>VLOOKUP([jobnumber],OvalData[],MATCH(Table2[[#Headers],[Numer of Top Slats]],Table2[#Headers],0),0)</f>
        <v>0</v>
      </c>
      <c r="AM243" s="2">
        <f>VLOOKUP([jobnumber],OvalData[],MATCH(Table2[[#Headers],[Number of Bottom Slats]],Table2[#Headers],0),0)</f>
        <v>0</v>
      </c>
      <c r="AN243" s="2">
        <f>VLOOKUP([jobnumber],OvalData[],MATCH(Table2[[#Headers],[Solid Bottom Height]],Table2[#Headers],0),0)</f>
        <v>0</v>
      </c>
      <c r="AO243" s="2" t="str">
        <f>VLOOKUP([jobnumber],OvalData[],MATCH(Table2[[#Headers],[slatlength]],Table2[#Headers],0),0)</f>
        <v xml:space="preserve"> 18 ft.- 5 7/ 8"</v>
      </c>
      <c r="AP243" s="2">
        <f>VLOOKUP([jobnumber],OvalData[],MATCH(Table2[[#Headers],[Bottom Slat Length]],Table2[#Headers],0),0)</f>
        <v>0</v>
      </c>
      <c r="AQ243" s="2">
        <f>VLOOKUP([jobnumber],OvalData[],MATCH(Table2[[#Headers],[Number of Perferated Slats]],Table2[#Headers],0),0)</f>
        <v>0</v>
      </c>
      <c r="AR243" s="2">
        <f>VLOOKUP([jobnumber],OvalData[],MATCH(Table2[[#Headers],[First Preferated Slat From End]],Table2[#Headers],0),0)</f>
        <v>0</v>
      </c>
      <c r="AS243" s="2">
        <f>VLOOKUP([jobnumber],OvalData[],MATCH(Table2[[#Headers],[First Preferated Slat From Bottom]],Table2[#Headers],0),0)</f>
        <v>0</v>
      </c>
      <c r="AT243" s="2">
        <f>VLOOKUP([jobnumber],OvalData[],MATCH(Table2[[#Headers],[Total Number of Slats]],Table2[#Headers],0),0)</f>
        <v>51</v>
      </c>
      <c r="AU243" s="2">
        <f>VLOOKUP([jobnumber],OvalData[],MATCH(Table2[[#Headers],[Bottom Bar Slope]],Table2[#Headers],0),0)</f>
        <v>0</v>
      </c>
      <c r="AV243" s="2">
        <f>VLOOKUP([jobnumber],OvalData[],MATCH(Table2[[#Headers],[Bottom Bar Weight]],Table2[#Headers],0),0)</f>
        <v>80.5</v>
      </c>
      <c r="AW243" s="2" t="str">
        <f>VLOOKUP([jobnumber],OvalData[],MATCH(Table2[[#Headers],[Outer Spring Gage]],Table2[#Headers],0),0)</f>
        <v>Null</v>
      </c>
      <c r="AX243" s="2" t="str">
        <f>VLOOKUP([jobnumber],OvalData[],MATCH(Table2[[#Headers],[Outer Spring OD]],Table2[#Headers],0),0)</f>
        <v>Null</v>
      </c>
      <c r="AY243" s="2" t="str">
        <f>VLOOKUP([jobnumber],OvalData[],MATCH(Table2[[#Headers],[Outer Spring Length]],Table2[#Headers],0),0)</f>
        <v>Null</v>
      </c>
      <c r="AZ243" s="2" t="str">
        <f>VLOOKUP([jobnumber],OvalData[],MATCH(Table2[[#Headers],[Outer Spring Stretch]],Table2[#Headers],0),0)</f>
        <v>Null</v>
      </c>
      <c r="BA243" s="2" t="str">
        <f>VLOOKUP([jobnumber],OvalData[],MATCH(Table2[[#Headers],[Outer Spring Torque]],Table2[#Headers],0),0)</f>
        <v>Null</v>
      </c>
      <c r="BB243" s="2" t="str">
        <f>VLOOKUP([jobnumber],OvalData[],MATCH(Table2[[#Headers],[Outer Spring Max Turns]],Table2[#Headers],0),0)</f>
        <v>Null</v>
      </c>
      <c r="BC243" s="2" t="str">
        <f>VLOOKUP([jobnumber],OvalData[],MATCH(Table2[[#Headers],[Outer Spring Weight]],Table2[#Headers],0),0)</f>
        <v>Null</v>
      </c>
      <c r="BD243" s="2" t="str">
        <f>VLOOKUP([jobnumber],OvalData[],MATCH(Table2[[#Headers],[Inner Spring Gage]],Table2[#Headers],0),0)</f>
        <v>Null</v>
      </c>
      <c r="BE243" s="2" t="str">
        <f>VLOOKUP([jobnumber],OvalData[],MATCH(Table2[[#Headers],[Inner Spring OD]],Table2[#Headers],0),0)</f>
        <v>Null</v>
      </c>
      <c r="BF243" s="2" t="str">
        <f>VLOOKUP([jobnumber],OvalData[],MATCH(Table2[[#Headers],[Inner Spring Length]],Table2[#Headers],0),0)</f>
        <v>Null</v>
      </c>
      <c r="BG243" s="2" t="str">
        <f>VLOOKUP([jobnumber],OvalData[],MATCH(Table2[[#Headers],[Inner Spring Stretch]],Table2[#Headers],0),0)</f>
        <v>Null</v>
      </c>
      <c r="BH243" s="2" t="str">
        <f>VLOOKUP([jobnumber],OvalData[],MATCH(Table2[[#Headers],[Inner Spring Torque]],Table2[#Headers],0),0)</f>
        <v>Null</v>
      </c>
      <c r="BI243" s="2" t="str">
        <f>VLOOKUP([jobnumber],OvalData[],MATCH(Table2[[#Headers],[Inner Spring Max Turns]],Table2[#Headers],0),0)</f>
        <v>Null</v>
      </c>
      <c r="BJ243" s="2" t="str">
        <f>VLOOKUP([jobnumber],OvalData[],MATCH(Table2[[#Headers],[Inner Spring Weight]],Table2[#Headers],0),0)</f>
        <v>Null</v>
      </c>
      <c r="BK243" s="2">
        <f>VLOOKUP([jobnumber],OvalData[],MATCH(Table2[[#Headers],[Cycles]],Table2[#Headers],0),0)</f>
        <v>0</v>
      </c>
      <c r="BL243" s="2">
        <f>VLOOKUP([jobnumber],OvalData[],MATCH(Table2[[#Headers],[Total Spring Torque]],Table2[#Headers],0),0)</f>
        <v>0</v>
      </c>
      <c r="BM243" s="2">
        <f>VLOOKUP([jobnumber],OvalData[],MATCH(Table2[[#Headers],[Total Spring Weight]],Table2[#Headers],0),0)</f>
        <v>0</v>
      </c>
      <c r="BN243" s="2">
        <f>VLOOKUP([jobnumber],OvalData[],MATCH(Table2[[#Headers],[Pipe Weight]],Table2[#Headers],0),0)</f>
        <v>688.24239999999998</v>
      </c>
      <c r="BO243" s="2">
        <f>VLOOKUP([jobnumber],OvalData[],MATCH(Table2[[#Headers],[Max Pipe Deflection]],Table2[#Headers],0),0)</f>
        <v>2309</v>
      </c>
      <c r="BP243" s="2">
        <f>VLOOKUP([jobnumber],OvalData[],MATCH(Table2[[#Headers],[Number Non-Insulated Wrap Slats]],Table2[#Headers],0),0)</f>
        <v>0</v>
      </c>
      <c r="BQ243" s="2">
        <f>VLOOKUP([jobnumber],OvalData[],MATCH(Table2[[#Headers],[Number of Insolated Top Slats]],Table2[#Headers],0),0)</f>
        <v>45</v>
      </c>
      <c r="BR243" s="2">
        <f>VLOOKUP([jobnumber],OvalData[],MATCH(Table2[[#Headers],[Insolated Total Slats]],Table2[#Headers],0),0)</f>
        <v>45</v>
      </c>
      <c r="BS243" s="2">
        <f>VLOOKUP([jobnumber],OvalData[],MATCH(Table2[[#Headers],[Number of Slats]],Table2[#Headers],0),0)</f>
        <v>44.69</v>
      </c>
      <c r="BT243" s="2">
        <f>VLOOKUP([jobnumber],OvalData[],MATCH(Table2[[#Headers],[Wrap]],Table2[#Headers],0),0)</f>
        <v>0</v>
      </c>
      <c r="BU243" s="2">
        <f>VLOOKUP([jobnumber],OvalData[],MATCH(Table2[[#Headers],[Wall Angle Thickness]],Table2[#Headers],0),0)</f>
        <v>0</v>
      </c>
      <c r="BV243" s="2">
        <f>VLOOKUP([jobnumber],OvalData[],MATCH(Table2[[#Headers],[windlocks]],Table2[#Headers],0),0)</f>
        <v>0</v>
      </c>
      <c r="BW243" s="2" t="str">
        <f>VLOOKUP([jobnumber],OvalData[],MATCH(Table2[[#Headers],[bottombartype]],Table2[#Headers],0),0)</f>
        <v>SPECIAL</v>
      </c>
      <c r="BX243" s="2">
        <f>VLOOKUP([jobnumber],OvalData[],MATCH(Table2[[#Headers],[endlockweight]],Table2[#Headers],0),0)</f>
        <v>0.17</v>
      </c>
      <c r="BY243" s="2">
        <f>VLOOKUP([jobnumber],OvalData[],MATCH(Table2[[#Headers],[Endlock Total Weight]],Table2[#Headers],0),0)</f>
        <v>7.5972999999999997</v>
      </c>
      <c r="BZ243" s="2">
        <f>VLOOKUP([jobnumber],OvalData[],MATCH(Table2[[#Headers],[Grille Weight]],Table2[#Headers],0),0)</f>
        <v>0</v>
      </c>
      <c r="CA243" s="2">
        <f>VLOOKUP([jobnumber],OvalData[],MATCH(Table2[[#Headers],[barrelrings]],Table2[#Headers],0),0)</f>
        <v>1</v>
      </c>
    </row>
    <row r="244" spans="2:79">
      <c r="B244" s="2" t="str">
        <f>VLOOKUP([jobnumber],OvalData[],MATCH(Table2[[#Headers],[Hand]],Table2[#Headers],0),0)</f>
        <v>RH</v>
      </c>
      <c r="C244" s="2" t="str">
        <f>VLOOKUP([jobnumber],OvalData[],MATCH(Table2[[#Headers],[Model]],Table2[#Headers],0),0)</f>
        <v>SFMPP</v>
      </c>
      <c r="D244" s="2" t="str">
        <f>VLOOKUP([jobnumber],OvalData[],MATCH(Table2[[#Headers],[width]],Table2[#Headers],0),0)</f>
        <v xml:space="preserve"> 18 ft.- 2"</v>
      </c>
      <c r="E244" s="2" t="str">
        <f>VLOOKUP([jobnumber],OvalData[],MATCH(Table2[[#Headers],[stopheight]],Table2[#Headers],0),0)</f>
        <v xml:space="preserve"> 10 ft.- 0"</v>
      </c>
      <c r="F244" s="2" t="str">
        <f>VLOOKUP([jobnumber],OvalData[],MATCH(Table2[[#Headers],[Between Brackets]],Table2[#Headers],0),0)</f>
        <v xml:space="preserve"> 18 ft.- 7 7/ 8"</v>
      </c>
      <c r="G244" s="2" t="str">
        <f>VLOOKUP([jobnumber],OvalData[],MATCH(Table2[[#Headers],[shell]],Table2[#Headers],0),0)</f>
        <v>6 INCH TUBE</v>
      </c>
      <c r="H244" s="2" t="str">
        <f>VLOOKUP([jobnumber],OvalData[],MATCH(Table2[[#Headers],[pipewidth]],Table2[#Headers],0),0)</f>
        <v xml:space="preserve"> 18 ft.- 1 3/ 8"</v>
      </c>
      <c r="I244" s="2">
        <f>VLOOKUP([jobnumber],OvalData[],MATCH(Table2[[#Headers],[Support Tubes]],Table2[#Headers],0),0)</f>
        <v>0</v>
      </c>
      <c r="J244" s="2">
        <f>VLOOKUP([jobnumber],OvalData[],MATCH(Table2[[#Headers],[Upset]],Table2[#Headers],0),0)</f>
        <v>2</v>
      </c>
      <c r="K244" s="2" t="str">
        <f>VLOOKUP([jobnumber],OvalData[],MATCH(Table2[[#Headers],[Guide Type]],Table2[#Headers],0),0)</f>
        <v>SN2-4 5/8-E</v>
      </c>
      <c r="L244" s="2" t="str">
        <f>VLOOKUP([jobnumber],OvalData[],MATCH(Table2[[#Headers],[Wall Angle]],Table2[#Headers],0),0)</f>
        <v xml:space="preserve"> 11 ft.- 8"</v>
      </c>
      <c r="M244" s="2" t="str">
        <f>VLOOKUP([jobnumber],OvalData[],MATCH(Table2[[#Headers],[Middle Angle]],Table2[#Headers],0),0)</f>
        <v xml:space="preserve"> 10 ft.- 4 1/ 2"</v>
      </c>
      <c r="N244" s="2" t="str">
        <f>VLOOKUP([jobnumber],OvalData[],MATCH(Table2[[#Headers],[Front Angle]],Table2[#Headers],0),0)</f>
        <v xml:space="preserve"> 10 ft.- 3"</v>
      </c>
      <c r="O244" s="2">
        <f>VLOOKUP([jobnumber],OvalData[],MATCH(Table2[[#Headers],[Pipe Center Line]],Table2[#Headers],0),0)</f>
        <v>131</v>
      </c>
      <c r="P244" s="2">
        <f>VLOOKUP([jobnumber],OvalData[],MATCH(Table2[[#Headers],[Heat Expansion Gap]],Table2[#Headers],0),0)</f>
        <v>0</v>
      </c>
      <c r="Q244" s="2">
        <f>VLOOKUP([jobnumber],OvalData[],MATCH(Table2[[#Headers],[Hanging Weight Closed]],Table2[#Headers],0),0)</f>
        <v>795</v>
      </c>
      <c r="R244" s="2">
        <f>VLOOKUP([jobnumber],OvalData[],MATCH(Table2[[#Headers],[Hanging Weight Open]],Table2[#Headers],0),0)</f>
        <v>140</v>
      </c>
      <c r="S244" s="2">
        <f>VLOOKUP([jobnumber],OvalData[],MATCH(Table2[[#Headers],[Initial Lever Arm]],Table2[#Headers],0),0)</f>
        <v>4.25</v>
      </c>
      <c r="T244" s="2">
        <f>VLOOKUP([jobnumber],OvalData[],MATCH(Table2[[#Headers],[Turns to Raise]],Table2[#Headers],0),0)</f>
        <v>3.5859999999999999</v>
      </c>
      <c r="U244" s="2">
        <f>VLOOKUP([jobnumber],OvalData[],MATCH(Table2[[#Headers],[Final Lever Arm]],Table2[#Headers],0),0)</f>
        <v>6.37</v>
      </c>
      <c r="V244" s="2">
        <f>VLOOKUP([jobnumber],OvalData[],MATCH(Table2[[#Headers],[Torque Required Closed]],Table2[#Headers],0),0)</f>
        <v>3377.9</v>
      </c>
      <c r="W244" s="2">
        <f>VLOOKUP([jobnumber],OvalData[],MATCH(Table2[[#Headers],[Torque Required Open]],Table2[#Headers],0),0)</f>
        <v>892</v>
      </c>
      <c r="X244" s="2">
        <f>VLOOKUP([jobnumber],OvalData[],MATCH(Table2[[#Headers],[Pre Turns]],Table2[#Headers],0),0)</f>
        <v>1.3332999999999999</v>
      </c>
      <c r="Y244" s="2">
        <f>VLOOKUP([jobnumber],OvalData[],MATCH(Table2[[#Headers],[Required Torque Per Turn]],Table2[#Headers],0),0)</f>
        <v>688</v>
      </c>
      <c r="Z244" s="2">
        <f>VLOOKUP([jobnumber],OvalData[],MATCH(Table2[[#Headers],[Total Turns]],Table2[#Headers],0),0)</f>
        <v>4.91</v>
      </c>
      <c r="AA244" s="2">
        <f>VLOOKUP([jobnumber],OvalData[],MATCH(Table2[[#Headers],[Grille Vision Section]],Table2[#Headers],0),0)</f>
        <v>0</v>
      </c>
      <c r="AB244" s="2">
        <f>VLOOKUP([jobnumber],OvalData[],MATCH(Table2[[#Headers],[Grille Amount]],Table2[#Headers],0),0)</f>
        <v>0</v>
      </c>
      <c r="AC244" s="2">
        <f>VLOOKUP([jobnumber],OvalData[],MATCH(Table2[[#Headers],[Grille Center]],Table2[#Headers],0),0)</f>
        <v>0</v>
      </c>
      <c r="AD244" s="2">
        <f>VLOOKUP([jobnumber],OvalData[],MATCH(Table2[[#Headers],[Grille Pattern]],Table2[#Headers],0),0)</f>
        <v>0</v>
      </c>
      <c r="AE244" s="2">
        <f>VLOOKUP([jobnumber],OvalData[],MATCH(Table2[[#Headers],[Grille First Tube]],Table2[#Headers],0),0)</f>
        <v>0</v>
      </c>
      <c r="AF244" s="2">
        <f>VLOOKUP([jobnumber],OvalData[],MATCH(Table2[[#Headers],[Grille Standard Tube]],Table2[#Headers],0),0)</f>
        <v>0</v>
      </c>
      <c r="AG244" s="2">
        <f>VLOOKUP([jobnumber],OvalData[],MATCH(Table2[[#Headers],[Grille Total Links]],Table2[#Headers],0),0)</f>
        <v>0</v>
      </c>
      <c r="AH244" s="2">
        <f>VLOOKUP([jobnumber],OvalData[],MATCH(Table2[[#Headers],[Grille Rods]],Table2[#Headers],0),0)</f>
        <v>0</v>
      </c>
      <c r="AI244" s="2">
        <f>VLOOKUP([jobnumber],OvalData[],MATCH(Table2[[#Headers],[Grille Rod Length]],Table2[#Headers],0),0)</f>
        <v>0</v>
      </c>
      <c r="AJ244" s="2">
        <f>VLOOKUP([jobnumber],OvalData[],MATCH(Table2[[#Headers],[slattype]],Table2[#Headers],0),0)</f>
        <v>2</v>
      </c>
      <c r="AK244" s="2">
        <f>VLOOKUP([jobnumber],OvalData[],MATCH(Table2[[#Headers],[slatgage]],Table2[#Headers],0),0)</f>
        <v>18</v>
      </c>
      <c r="AL244" s="2">
        <f>VLOOKUP([jobnumber],OvalData[],MATCH(Table2[[#Headers],[Numer of Top Slats]],Table2[#Headers],0),0)</f>
        <v>0</v>
      </c>
      <c r="AM244" s="2">
        <f>VLOOKUP([jobnumber],OvalData[],MATCH(Table2[[#Headers],[Number of Bottom Slats]],Table2[#Headers],0),0)</f>
        <v>0</v>
      </c>
      <c r="AN244" s="2">
        <f>VLOOKUP([jobnumber],OvalData[],MATCH(Table2[[#Headers],[Solid Bottom Height]],Table2[#Headers],0),0)</f>
        <v>0</v>
      </c>
      <c r="AO244" s="2" t="str">
        <f>VLOOKUP([jobnumber],OvalData[],MATCH(Table2[[#Headers],[slatlength]],Table2[#Headers],0),0)</f>
        <v xml:space="preserve"> 18 ft.- 5 7/ 8"</v>
      </c>
      <c r="AP244" s="2">
        <f>VLOOKUP([jobnumber],OvalData[],MATCH(Table2[[#Headers],[Bottom Slat Length]],Table2[#Headers],0),0)</f>
        <v>0</v>
      </c>
      <c r="AQ244" s="2">
        <f>VLOOKUP([jobnumber],OvalData[],MATCH(Table2[[#Headers],[Number of Perferated Slats]],Table2[#Headers],0),0)</f>
        <v>0</v>
      </c>
      <c r="AR244" s="2">
        <f>VLOOKUP([jobnumber],OvalData[],MATCH(Table2[[#Headers],[First Preferated Slat From End]],Table2[#Headers],0),0)</f>
        <v>0</v>
      </c>
      <c r="AS244" s="2">
        <f>VLOOKUP([jobnumber],OvalData[],MATCH(Table2[[#Headers],[First Preferated Slat From Bottom]],Table2[#Headers],0),0)</f>
        <v>0</v>
      </c>
      <c r="AT244" s="2">
        <f>VLOOKUP([jobnumber],OvalData[],MATCH(Table2[[#Headers],[Total Number of Slats]],Table2[#Headers],0),0)</f>
        <v>51</v>
      </c>
      <c r="AU244" s="2">
        <f>VLOOKUP([jobnumber],OvalData[],MATCH(Table2[[#Headers],[Bottom Bar Slope]],Table2[#Headers],0),0)</f>
        <v>0</v>
      </c>
      <c r="AV244" s="2">
        <f>VLOOKUP([jobnumber],OvalData[],MATCH(Table2[[#Headers],[Bottom Bar Weight]],Table2[#Headers],0),0)</f>
        <v>80.5</v>
      </c>
      <c r="AW244" s="2" t="str">
        <f>VLOOKUP([jobnumber],OvalData[],MATCH(Table2[[#Headers],[Outer Spring Gage]],Table2[#Headers],0),0)</f>
        <v>Null</v>
      </c>
      <c r="AX244" s="2" t="str">
        <f>VLOOKUP([jobnumber],OvalData[],MATCH(Table2[[#Headers],[Outer Spring OD]],Table2[#Headers],0),0)</f>
        <v>Null</v>
      </c>
      <c r="AY244" s="2" t="str">
        <f>VLOOKUP([jobnumber],OvalData[],MATCH(Table2[[#Headers],[Outer Spring Length]],Table2[#Headers],0),0)</f>
        <v>Null</v>
      </c>
      <c r="AZ244" s="2" t="str">
        <f>VLOOKUP([jobnumber],OvalData[],MATCH(Table2[[#Headers],[Outer Spring Stretch]],Table2[#Headers],0),0)</f>
        <v>Null</v>
      </c>
      <c r="BA244" s="2" t="str">
        <f>VLOOKUP([jobnumber],OvalData[],MATCH(Table2[[#Headers],[Outer Spring Torque]],Table2[#Headers],0),0)</f>
        <v>Null</v>
      </c>
      <c r="BB244" s="2" t="str">
        <f>VLOOKUP([jobnumber],OvalData[],MATCH(Table2[[#Headers],[Outer Spring Max Turns]],Table2[#Headers],0),0)</f>
        <v>Null</v>
      </c>
      <c r="BC244" s="2" t="str">
        <f>VLOOKUP([jobnumber],OvalData[],MATCH(Table2[[#Headers],[Outer Spring Weight]],Table2[#Headers],0),0)</f>
        <v>Null</v>
      </c>
      <c r="BD244" s="2" t="str">
        <f>VLOOKUP([jobnumber],OvalData[],MATCH(Table2[[#Headers],[Inner Spring Gage]],Table2[#Headers],0),0)</f>
        <v>Null</v>
      </c>
      <c r="BE244" s="2" t="str">
        <f>VLOOKUP([jobnumber],OvalData[],MATCH(Table2[[#Headers],[Inner Spring OD]],Table2[#Headers],0),0)</f>
        <v>Null</v>
      </c>
      <c r="BF244" s="2" t="str">
        <f>VLOOKUP([jobnumber],OvalData[],MATCH(Table2[[#Headers],[Inner Spring Length]],Table2[#Headers],0),0)</f>
        <v>Null</v>
      </c>
      <c r="BG244" s="2" t="str">
        <f>VLOOKUP([jobnumber],OvalData[],MATCH(Table2[[#Headers],[Inner Spring Stretch]],Table2[#Headers],0),0)</f>
        <v>Null</v>
      </c>
      <c r="BH244" s="2" t="str">
        <f>VLOOKUP([jobnumber],OvalData[],MATCH(Table2[[#Headers],[Inner Spring Torque]],Table2[#Headers],0),0)</f>
        <v>Null</v>
      </c>
      <c r="BI244" s="2" t="str">
        <f>VLOOKUP([jobnumber],OvalData[],MATCH(Table2[[#Headers],[Inner Spring Max Turns]],Table2[#Headers],0),0)</f>
        <v>Null</v>
      </c>
      <c r="BJ244" s="2" t="str">
        <f>VLOOKUP([jobnumber],OvalData[],MATCH(Table2[[#Headers],[Inner Spring Weight]],Table2[#Headers],0),0)</f>
        <v>Null</v>
      </c>
      <c r="BK244" s="2">
        <f>VLOOKUP([jobnumber],OvalData[],MATCH(Table2[[#Headers],[Cycles]],Table2[#Headers],0),0)</f>
        <v>0</v>
      </c>
      <c r="BL244" s="2">
        <f>VLOOKUP([jobnumber],OvalData[],MATCH(Table2[[#Headers],[Total Spring Torque]],Table2[#Headers],0),0)</f>
        <v>0</v>
      </c>
      <c r="BM244" s="2">
        <f>VLOOKUP([jobnumber],OvalData[],MATCH(Table2[[#Headers],[Total Spring Weight]],Table2[#Headers],0),0)</f>
        <v>0</v>
      </c>
      <c r="BN244" s="2">
        <f>VLOOKUP([jobnumber],OvalData[],MATCH(Table2[[#Headers],[Pipe Weight]],Table2[#Headers],0),0)</f>
        <v>688.24239999999998</v>
      </c>
      <c r="BO244" s="2">
        <f>VLOOKUP([jobnumber],OvalData[],MATCH(Table2[[#Headers],[Max Pipe Deflection]],Table2[#Headers],0),0)</f>
        <v>2309</v>
      </c>
      <c r="BP244" s="2">
        <f>VLOOKUP([jobnumber],OvalData[],MATCH(Table2[[#Headers],[Number Non-Insulated Wrap Slats]],Table2[#Headers],0),0)</f>
        <v>0</v>
      </c>
      <c r="BQ244" s="2">
        <f>VLOOKUP([jobnumber],OvalData[],MATCH(Table2[[#Headers],[Number of Insolated Top Slats]],Table2[#Headers],0),0)</f>
        <v>45</v>
      </c>
      <c r="BR244" s="2">
        <f>VLOOKUP([jobnumber],OvalData[],MATCH(Table2[[#Headers],[Insolated Total Slats]],Table2[#Headers],0),0)</f>
        <v>45</v>
      </c>
      <c r="BS244" s="2">
        <f>VLOOKUP([jobnumber],OvalData[],MATCH(Table2[[#Headers],[Number of Slats]],Table2[#Headers],0),0)</f>
        <v>44.69</v>
      </c>
      <c r="BT244" s="2">
        <f>VLOOKUP([jobnumber],OvalData[],MATCH(Table2[[#Headers],[Wrap]],Table2[#Headers],0),0)</f>
        <v>0</v>
      </c>
      <c r="BU244" s="2">
        <f>VLOOKUP([jobnumber],OvalData[],MATCH(Table2[[#Headers],[Wall Angle Thickness]],Table2[#Headers],0),0)</f>
        <v>0</v>
      </c>
      <c r="BV244" s="2">
        <f>VLOOKUP([jobnumber],OvalData[],MATCH(Table2[[#Headers],[windlocks]],Table2[#Headers],0),0)</f>
        <v>0</v>
      </c>
      <c r="BW244" s="2" t="str">
        <f>VLOOKUP([jobnumber],OvalData[],MATCH(Table2[[#Headers],[bottombartype]],Table2[#Headers],0),0)</f>
        <v>SPECIAL</v>
      </c>
      <c r="BX244" s="2">
        <f>VLOOKUP([jobnumber],OvalData[],MATCH(Table2[[#Headers],[endlockweight]],Table2[#Headers],0),0)</f>
        <v>0.17</v>
      </c>
      <c r="BY244" s="2">
        <f>VLOOKUP([jobnumber],OvalData[],MATCH(Table2[[#Headers],[Endlock Total Weight]],Table2[#Headers],0),0)</f>
        <v>7.5972999999999997</v>
      </c>
      <c r="BZ244" s="2">
        <f>VLOOKUP([jobnumber],OvalData[],MATCH(Table2[[#Headers],[Grille Weight]],Table2[#Headers],0),0)</f>
        <v>0</v>
      </c>
      <c r="CA244" s="2">
        <f>VLOOKUP([jobnumber],OvalData[],MATCH(Table2[[#Headers],[barrelrings]],Table2[#Headers],0),0)</f>
        <v>1</v>
      </c>
    </row>
    <row r="245" spans="2:79">
      <c r="B245" s="2" t="str">
        <f>VLOOKUP([jobnumber],OvalData[],MATCH(Table2[[#Headers],[Hand]],Table2[#Headers],0),0)</f>
        <v>RH</v>
      </c>
      <c r="C245" s="2" t="str">
        <f>VLOOKUP([jobnumber],OvalData[],MATCH(Table2[[#Headers],[Model]],Table2[#Headers],0),0)</f>
        <v>SFMPP</v>
      </c>
      <c r="D245" s="2" t="str">
        <f>VLOOKUP([jobnumber],OvalData[],MATCH(Table2[[#Headers],[width]],Table2[#Headers],0),0)</f>
        <v xml:space="preserve"> 18 ft.- 2"</v>
      </c>
      <c r="E245" s="2" t="str">
        <f>VLOOKUP([jobnumber],OvalData[],MATCH(Table2[[#Headers],[stopheight]],Table2[#Headers],0),0)</f>
        <v xml:space="preserve"> 10 ft.- 0"</v>
      </c>
      <c r="F245" s="2" t="str">
        <f>VLOOKUP([jobnumber],OvalData[],MATCH(Table2[[#Headers],[Between Brackets]],Table2[#Headers],0),0)</f>
        <v xml:space="preserve"> 18 ft.- 7 7/ 8"</v>
      </c>
      <c r="G245" s="2" t="str">
        <f>VLOOKUP([jobnumber],OvalData[],MATCH(Table2[[#Headers],[shell]],Table2[#Headers],0),0)</f>
        <v>6 INCH TUBE</v>
      </c>
      <c r="H245" s="2" t="str">
        <f>VLOOKUP([jobnumber],OvalData[],MATCH(Table2[[#Headers],[pipewidth]],Table2[#Headers],0),0)</f>
        <v xml:space="preserve"> 18 ft.- 1 3/ 8"</v>
      </c>
      <c r="I245" s="2">
        <f>VLOOKUP([jobnumber],OvalData[],MATCH(Table2[[#Headers],[Support Tubes]],Table2[#Headers],0),0)</f>
        <v>0</v>
      </c>
      <c r="J245" s="2">
        <f>VLOOKUP([jobnumber],OvalData[],MATCH(Table2[[#Headers],[Upset]],Table2[#Headers],0),0)</f>
        <v>2</v>
      </c>
      <c r="K245" s="2" t="str">
        <f>VLOOKUP([jobnumber],OvalData[],MATCH(Table2[[#Headers],[Guide Type]],Table2[#Headers],0),0)</f>
        <v>SN2-4 5/8-E</v>
      </c>
      <c r="L245" s="2" t="str">
        <f>VLOOKUP([jobnumber],OvalData[],MATCH(Table2[[#Headers],[Wall Angle]],Table2[#Headers],0),0)</f>
        <v xml:space="preserve"> 11 ft.- 8"</v>
      </c>
      <c r="M245" s="2" t="str">
        <f>VLOOKUP([jobnumber],OvalData[],MATCH(Table2[[#Headers],[Middle Angle]],Table2[#Headers],0),0)</f>
        <v xml:space="preserve"> 10 ft.- 4 1/ 2"</v>
      </c>
      <c r="N245" s="2" t="str">
        <f>VLOOKUP([jobnumber],OvalData[],MATCH(Table2[[#Headers],[Front Angle]],Table2[#Headers],0),0)</f>
        <v xml:space="preserve"> 10 ft.- 3"</v>
      </c>
      <c r="O245" s="2">
        <f>VLOOKUP([jobnumber],OvalData[],MATCH(Table2[[#Headers],[Pipe Center Line]],Table2[#Headers],0),0)</f>
        <v>131</v>
      </c>
      <c r="P245" s="2">
        <f>VLOOKUP([jobnumber],OvalData[],MATCH(Table2[[#Headers],[Heat Expansion Gap]],Table2[#Headers],0),0)</f>
        <v>0</v>
      </c>
      <c r="Q245" s="2">
        <f>VLOOKUP([jobnumber],OvalData[],MATCH(Table2[[#Headers],[Hanging Weight Closed]],Table2[#Headers],0),0)</f>
        <v>795</v>
      </c>
      <c r="R245" s="2">
        <f>VLOOKUP([jobnumber],OvalData[],MATCH(Table2[[#Headers],[Hanging Weight Open]],Table2[#Headers],0),0)</f>
        <v>140</v>
      </c>
      <c r="S245" s="2">
        <f>VLOOKUP([jobnumber],OvalData[],MATCH(Table2[[#Headers],[Initial Lever Arm]],Table2[#Headers],0),0)</f>
        <v>4.25</v>
      </c>
      <c r="T245" s="2">
        <f>VLOOKUP([jobnumber],OvalData[],MATCH(Table2[[#Headers],[Turns to Raise]],Table2[#Headers],0),0)</f>
        <v>3.5859999999999999</v>
      </c>
      <c r="U245" s="2">
        <f>VLOOKUP([jobnumber],OvalData[],MATCH(Table2[[#Headers],[Final Lever Arm]],Table2[#Headers],0),0)</f>
        <v>6.37</v>
      </c>
      <c r="V245" s="2">
        <f>VLOOKUP([jobnumber],OvalData[],MATCH(Table2[[#Headers],[Torque Required Closed]],Table2[#Headers],0),0)</f>
        <v>3377.9</v>
      </c>
      <c r="W245" s="2">
        <f>VLOOKUP([jobnumber],OvalData[],MATCH(Table2[[#Headers],[Torque Required Open]],Table2[#Headers],0),0)</f>
        <v>892</v>
      </c>
      <c r="X245" s="2">
        <f>VLOOKUP([jobnumber],OvalData[],MATCH(Table2[[#Headers],[Pre Turns]],Table2[#Headers],0),0)</f>
        <v>1.3332999999999999</v>
      </c>
      <c r="Y245" s="2">
        <f>VLOOKUP([jobnumber],OvalData[],MATCH(Table2[[#Headers],[Required Torque Per Turn]],Table2[#Headers],0),0)</f>
        <v>688</v>
      </c>
      <c r="Z245" s="2">
        <f>VLOOKUP([jobnumber],OvalData[],MATCH(Table2[[#Headers],[Total Turns]],Table2[#Headers],0),0)</f>
        <v>4.91</v>
      </c>
      <c r="AA245" s="2">
        <f>VLOOKUP([jobnumber],OvalData[],MATCH(Table2[[#Headers],[Grille Vision Section]],Table2[#Headers],0),0)</f>
        <v>0</v>
      </c>
      <c r="AB245" s="2">
        <f>VLOOKUP([jobnumber],OvalData[],MATCH(Table2[[#Headers],[Grille Amount]],Table2[#Headers],0),0)</f>
        <v>0</v>
      </c>
      <c r="AC245" s="2">
        <f>VLOOKUP([jobnumber],OvalData[],MATCH(Table2[[#Headers],[Grille Center]],Table2[#Headers],0),0)</f>
        <v>0</v>
      </c>
      <c r="AD245" s="2">
        <f>VLOOKUP([jobnumber],OvalData[],MATCH(Table2[[#Headers],[Grille Pattern]],Table2[#Headers],0),0)</f>
        <v>0</v>
      </c>
      <c r="AE245" s="2">
        <f>VLOOKUP([jobnumber],OvalData[],MATCH(Table2[[#Headers],[Grille First Tube]],Table2[#Headers],0),0)</f>
        <v>0</v>
      </c>
      <c r="AF245" s="2">
        <f>VLOOKUP([jobnumber],OvalData[],MATCH(Table2[[#Headers],[Grille Standard Tube]],Table2[#Headers],0),0)</f>
        <v>0</v>
      </c>
      <c r="AG245" s="2">
        <f>VLOOKUP([jobnumber],OvalData[],MATCH(Table2[[#Headers],[Grille Total Links]],Table2[#Headers],0),0)</f>
        <v>0</v>
      </c>
      <c r="AH245" s="2">
        <f>VLOOKUP([jobnumber],OvalData[],MATCH(Table2[[#Headers],[Grille Rods]],Table2[#Headers],0),0)</f>
        <v>0</v>
      </c>
      <c r="AI245" s="2">
        <f>VLOOKUP([jobnumber],OvalData[],MATCH(Table2[[#Headers],[Grille Rod Length]],Table2[#Headers],0),0)</f>
        <v>0</v>
      </c>
      <c r="AJ245" s="2">
        <f>VLOOKUP([jobnumber],OvalData[],MATCH(Table2[[#Headers],[slattype]],Table2[#Headers],0),0)</f>
        <v>2</v>
      </c>
      <c r="AK245" s="2">
        <f>VLOOKUP([jobnumber],OvalData[],MATCH(Table2[[#Headers],[slatgage]],Table2[#Headers],0),0)</f>
        <v>18</v>
      </c>
      <c r="AL245" s="2">
        <f>VLOOKUP([jobnumber],OvalData[],MATCH(Table2[[#Headers],[Numer of Top Slats]],Table2[#Headers],0),0)</f>
        <v>0</v>
      </c>
      <c r="AM245" s="2">
        <f>VLOOKUP([jobnumber],OvalData[],MATCH(Table2[[#Headers],[Number of Bottom Slats]],Table2[#Headers],0),0)</f>
        <v>0</v>
      </c>
      <c r="AN245" s="2">
        <f>VLOOKUP([jobnumber],OvalData[],MATCH(Table2[[#Headers],[Solid Bottom Height]],Table2[#Headers],0),0)</f>
        <v>0</v>
      </c>
      <c r="AO245" s="2" t="str">
        <f>VLOOKUP([jobnumber],OvalData[],MATCH(Table2[[#Headers],[slatlength]],Table2[#Headers],0),0)</f>
        <v xml:space="preserve"> 18 ft.- 5 7/ 8"</v>
      </c>
      <c r="AP245" s="2">
        <f>VLOOKUP([jobnumber],OvalData[],MATCH(Table2[[#Headers],[Bottom Slat Length]],Table2[#Headers],0),0)</f>
        <v>0</v>
      </c>
      <c r="AQ245" s="2">
        <f>VLOOKUP([jobnumber],OvalData[],MATCH(Table2[[#Headers],[Number of Perferated Slats]],Table2[#Headers],0),0)</f>
        <v>0</v>
      </c>
      <c r="AR245" s="2">
        <f>VLOOKUP([jobnumber],OvalData[],MATCH(Table2[[#Headers],[First Preferated Slat From End]],Table2[#Headers],0),0)</f>
        <v>0</v>
      </c>
      <c r="AS245" s="2">
        <f>VLOOKUP([jobnumber],OvalData[],MATCH(Table2[[#Headers],[First Preferated Slat From Bottom]],Table2[#Headers],0),0)</f>
        <v>0</v>
      </c>
      <c r="AT245" s="2">
        <f>VLOOKUP([jobnumber],OvalData[],MATCH(Table2[[#Headers],[Total Number of Slats]],Table2[#Headers],0),0)</f>
        <v>51</v>
      </c>
      <c r="AU245" s="2">
        <f>VLOOKUP([jobnumber],OvalData[],MATCH(Table2[[#Headers],[Bottom Bar Slope]],Table2[#Headers],0),0)</f>
        <v>0</v>
      </c>
      <c r="AV245" s="2">
        <f>VLOOKUP([jobnumber],OvalData[],MATCH(Table2[[#Headers],[Bottom Bar Weight]],Table2[#Headers],0),0)</f>
        <v>80.5</v>
      </c>
      <c r="AW245" s="2" t="str">
        <f>VLOOKUP([jobnumber],OvalData[],MATCH(Table2[[#Headers],[Outer Spring Gage]],Table2[#Headers],0),0)</f>
        <v>Null</v>
      </c>
      <c r="AX245" s="2" t="str">
        <f>VLOOKUP([jobnumber],OvalData[],MATCH(Table2[[#Headers],[Outer Spring OD]],Table2[#Headers],0),0)</f>
        <v>Null</v>
      </c>
      <c r="AY245" s="2" t="str">
        <f>VLOOKUP([jobnumber],OvalData[],MATCH(Table2[[#Headers],[Outer Spring Length]],Table2[#Headers],0),0)</f>
        <v>Null</v>
      </c>
      <c r="AZ245" s="2" t="str">
        <f>VLOOKUP([jobnumber],OvalData[],MATCH(Table2[[#Headers],[Outer Spring Stretch]],Table2[#Headers],0),0)</f>
        <v>Null</v>
      </c>
      <c r="BA245" s="2" t="str">
        <f>VLOOKUP([jobnumber],OvalData[],MATCH(Table2[[#Headers],[Outer Spring Torque]],Table2[#Headers],0),0)</f>
        <v>Null</v>
      </c>
      <c r="BB245" s="2" t="str">
        <f>VLOOKUP([jobnumber],OvalData[],MATCH(Table2[[#Headers],[Outer Spring Max Turns]],Table2[#Headers],0),0)</f>
        <v>Null</v>
      </c>
      <c r="BC245" s="2" t="str">
        <f>VLOOKUP([jobnumber],OvalData[],MATCH(Table2[[#Headers],[Outer Spring Weight]],Table2[#Headers],0),0)</f>
        <v>Null</v>
      </c>
      <c r="BD245" s="2" t="str">
        <f>VLOOKUP([jobnumber],OvalData[],MATCH(Table2[[#Headers],[Inner Spring Gage]],Table2[#Headers],0),0)</f>
        <v>Null</v>
      </c>
      <c r="BE245" s="2" t="str">
        <f>VLOOKUP([jobnumber],OvalData[],MATCH(Table2[[#Headers],[Inner Spring OD]],Table2[#Headers],0),0)</f>
        <v>Null</v>
      </c>
      <c r="BF245" s="2" t="str">
        <f>VLOOKUP([jobnumber],OvalData[],MATCH(Table2[[#Headers],[Inner Spring Length]],Table2[#Headers],0),0)</f>
        <v>Null</v>
      </c>
      <c r="BG245" s="2" t="str">
        <f>VLOOKUP([jobnumber],OvalData[],MATCH(Table2[[#Headers],[Inner Spring Stretch]],Table2[#Headers],0),0)</f>
        <v>Null</v>
      </c>
      <c r="BH245" s="2" t="str">
        <f>VLOOKUP([jobnumber],OvalData[],MATCH(Table2[[#Headers],[Inner Spring Torque]],Table2[#Headers],0),0)</f>
        <v>Null</v>
      </c>
      <c r="BI245" s="2" t="str">
        <f>VLOOKUP([jobnumber],OvalData[],MATCH(Table2[[#Headers],[Inner Spring Max Turns]],Table2[#Headers],0),0)</f>
        <v>Null</v>
      </c>
      <c r="BJ245" s="2" t="str">
        <f>VLOOKUP([jobnumber],OvalData[],MATCH(Table2[[#Headers],[Inner Spring Weight]],Table2[#Headers],0),0)</f>
        <v>Null</v>
      </c>
      <c r="BK245" s="2">
        <f>VLOOKUP([jobnumber],OvalData[],MATCH(Table2[[#Headers],[Cycles]],Table2[#Headers],0),0)</f>
        <v>0</v>
      </c>
      <c r="BL245" s="2">
        <f>VLOOKUP([jobnumber],OvalData[],MATCH(Table2[[#Headers],[Total Spring Torque]],Table2[#Headers],0),0)</f>
        <v>0</v>
      </c>
      <c r="BM245" s="2">
        <f>VLOOKUP([jobnumber],OvalData[],MATCH(Table2[[#Headers],[Total Spring Weight]],Table2[#Headers],0),0)</f>
        <v>0</v>
      </c>
      <c r="BN245" s="2">
        <f>VLOOKUP([jobnumber],OvalData[],MATCH(Table2[[#Headers],[Pipe Weight]],Table2[#Headers],0),0)</f>
        <v>688.24239999999998</v>
      </c>
      <c r="BO245" s="2">
        <f>VLOOKUP([jobnumber],OvalData[],MATCH(Table2[[#Headers],[Max Pipe Deflection]],Table2[#Headers],0),0)</f>
        <v>2309</v>
      </c>
      <c r="BP245" s="2">
        <f>VLOOKUP([jobnumber],OvalData[],MATCH(Table2[[#Headers],[Number Non-Insulated Wrap Slats]],Table2[#Headers],0),0)</f>
        <v>0</v>
      </c>
      <c r="BQ245" s="2">
        <f>VLOOKUP([jobnumber],OvalData[],MATCH(Table2[[#Headers],[Number of Insolated Top Slats]],Table2[#Headers],0),0)</f>
        <v>45</v>
      </c>
      <c r="BR245" s="2">
        <f>VLOOKUP([jobnumber],OvalData[],MATCH(Table2[[#Headers],[Insolated Total Slats]],Table2[#Headers],0),0)</f>
        <v>45</v>
      </c>
      <c r="BS245" s="2">
        <f>VLOOKUP([jobnumber],OvalData[],MATCH(Table2[[#Headers],[Number of Slats]],Table2[#Headers],0),0)</f>
        <v>44.69</v>
      </c>
      <c r="BT245" s="2">
        <f>VLOOKUP([jobnumber],OvalData[],MATCH(Table2[[#Headers],[Wrap]],Table2[#Headers],0),0)</f>
        <v>0</v>
      </c>
      <c r="BU245" s="2">
        <f>VLOOKUP([jobnumber],OvalData[],MATCH(Table2[[#Headers],[Wall Angle Thickness]],Table2[#Headers],0),0)</f>
        <v>0</v>
      </c>
      <c r="BV245" s="2">
        <f>VLOOKUP([jobnumber],OvalData[],MATCH(Table2[[#Headers],[windlocks]],Table2[#Headers],0),0)</f>
        <v>0</v>
      </c>
      <c r="BW245" s="2" t="str">
        <f>VLOOKUP([jobnumber],OvalData[],MATCH(Table2[[#Headers],[bottombartype]],Table2[#Headers],0),0)</f>
        <v>SPECIAL</v>
      </c>
      <c r="BX245" s="2">
        <f>VLOOKUP([jobnumber],OvalData[],MATCH(Table2[[#Headers],[endlockweight]],Table2[#Headers],0),0)</f>
        <v>0.17</v>
      </c>
      <c r="BY245" s="2">
        <f>VLOOKUP([jobnumber],OvalData[],MATCH(Table2[[#Headers],[Endlock Total Weight]],Table2[#Headers],0),0)</f>
        <v>7.5972999999999997</v>
      </c>
      <c r="BZ245" s="2">
        <f>VLOOKUP([jobnumber],OvalData[],MATCH(Table2[[#Headers],[Grille Weight]],Table2[#Headers],0),0)</f>
        <v>0</v>
      </c>
      <c r="CA245" s="2">
        <f>VLOOKUP([jobnumber],OvalData[],MATCH(Table2[[#Headers],[barrelrings]],Table2[#Headers],0),0)</f>
        <v>1</v>
      </c>
    </row>
    <row r="246" spans="2:79">
      <c r="B246" s="2" t="str">
        <f>VLOOKUP([jobnumber],OvalData[],MATCH(Table2[[#Headers],[Hand]],Table2[#Headers],0),0)</f>
        <v>RH</v>
      </c>
      <c r="C246" s="2" t="str">
        <f>VLOOKUP([jobnumber],OvalData[],MATCH(Table2[[#Headers],[Model]],Table2[#Headers],0),0)</f>
        <v>SFMPP</v>
      </c>
      <c r="D246" s="2" t="str">
        <f>VLOOKUP([jobnumber],OvalData[],MATCH(Table2[[#Headers],[width]],Table2[#Headers],0),0)</f>
        <v xml:space="preserve"> 18 ft.- 2"</v>
      </c>
      <c r="E246" s="2" t="str">
        <f>VLOOKUP([jobnumber],OvalData[],MATCH(Table2[[#Headers],[stopheight]],Table2[#Headers],0),0)</f>
        <v xml:space="preserve"> 10 ft.- 0"</v>
      </c>
      <c r="F246" s="2" t="str">
        <f>VLOOKUP([jobnumber],OvalData[],MATCH(Table2[[#Headers],[Between Brackets]],Table2[#Headers],0),0)</f>
        <v xml:space="preserve"> 18 ft.- 7 7/ 8"</v>
      </c>
      <c r="G246" s="2" t="str">
        <f>VLOOKUP([jobnumber],OvalData[],MATCH(Table2[[#Headers],[shell]],Table2[#Headers],0),0)</f>
        <v>6 INCH TUBE</v>
      </c>
      <c r="H246" s="2" t="str">
        <f>VLOOKUP([jobnumber],OvalData[],MATCH(Table2[[#Headers],[pipewidth]],Table2[#Headers],0),0)</f>
        <v xml:space="preserve"> 18 ft.- 1 3/ 8"</v>
      </c>
      <c r="I246" s="2">
        <f>VLOOKUP([jobnumber],OvalData[],MATCH(Table2[[#Headers],[Support Tubes]],Table2[#Headers],0),0)</f>
        <v>0</v>
      </c>
      <c r="J246" s="2">
        <f>VLOOKUP([jobnumber],OvalData[],MATCH(Table2[[#Headers],[Upset]],Table2[#Headers],0),0)</f>
        <v>2</v>
      </c>
      <c r="K246" s="2" t="str">
        <f>VLOOKUP([jobnumber],OvalData[],MATCH(Table2[[#Headers],[Guide Type]],Table2[#Headers],0),0)</f>
        <v>SN2-4 5/8-E</v>
      </c>
      <c r="L246" s="2" t="str">
        <f>VLOOKUP([jobnumber],OvalData[],MATCH(Table2[[#Headers],[Wall Angle]],Table2[#Headers],0),0)</f>
        <v xml:space="preserve"> 11 ft.- 8"</v>
      </c>
      <c r="M246" s="2" t="str">
        <f>VLOOKUP([jobnumber],OvalData[],MATCH(Table2[[#Headers],[Middle Angle]],Table2[#Headers],0),0)</f>
        <v xml:space="preserve"> 10 ft.- 4 1/ 2"</v>
      </c>
      <c r="N246" s="2" t="str">
        <f>VLOOKUP([jobnumber],OvalData[],MATCH(Table2[[#Headers],[Front Angle]],Table2[#Headers],0),0)</f>
        <v xml:space="preserve"> 10 ft.- 3"</v>
      </c>
      <c r="O246" s="2">
        <f>VLOOKUP([jobnumber],OvalData[],MATCH(Table2[[#Headers],[Pipe Center Line]],Table2[#Headers],0),0)</f>
        <v>131</v>
      </c>
      <c r="P246" s="2">
        <f>VLOOKUP([jobnumber],OvalData[],MATCH(Table2[[#Headers],[Heat Expansion Gap]],Table2[#Headers],0),0)</f>
        <v>0</v>
      </c>
      <c r="Q246" s="2">
        <f>VLOOKUP([jobnumber],OvalData[],MATCH(Table2[[#Headers],[Hanging Weight Closed]],Table2[#Headers],0),0)</f>
        <v>795</v>
      </c>
      <c r="R246" s="2">
        <f>VLOOKUP([jobnumber],OvalData[],MATCH(Table2[[#Headers],[Hanging Weight Open]],Table2[#Headers],0),0)</f>
        <v>140</v>
      </c>
      <c r="S246" s="2">
        <f>VLOOKUP([jobnumber],OvalData[],MATCH(Table2[[#Headers],[Initial Lever Arm]],Table2[#Headers],0),0)</f>
        <v>4.25</v>
      </c>
      <c r="T246" s="2">
        <f>VLOOKUP([jobnumber],OvalData[],MATCH(Table2[[#Headers],[Turns to Raise]],Table2[#Headers],0),0)</f>
        <v>3.5859999999999999</v>
      </c>
      <c r="U246" s="2">
        <f>VLOOKUP([jobnumber],OvalData[],MATCH(Table2[[#Headers],[Final Lever Arm]],Table2[#Headers],0),0)</f>
        <v>6.37</v>
      </c>
      <c r="V246" s="2">
        <f>VLOOKUP([jobnumber],OvalData[],MATCH(Table2[[#Headers],[Torque Required Closed]],Table2[#Headers],0),0)</f>
        <v>3377.9</v>
      </c>
      <c r="W246" s="2">
        <f>VLOOKUP([jobnumber],OvalData[],MATCH(Table2[[#Headers],[Torque Required Open]],Table2[#Headers],0),0)</f>
        <v>892</v>
      </c>
      <c r="X246" s="2">
        <f>VLOOKUP([jobnumber],OvalData[],MATCH(Table2[[#Headers],[Pre Turns]],Table2[#Headers],0),0)</f>
        <v>1.3332999999999999</v>
      </c>
      <c r="Y246" s="2">
        <f>VLOOKUP([jobnumber],OvalData[],MATCH(Table2[[#Headers],[Required Torque Per Turn]],Table2[#Headers],0),0)</f>
        <v>688</v>
      </c>
      <c r="Z246" s="2">
        <f>VLOOKUP([jobnumber],OvalData[],MATCH(Table2[[#Headers],[Total Turns]],Table2[#Headers],0),0)</f>
        <v>4.91</v>
      </c>
      <c r="AA246" s="2">
        <f>VLOOKUP([jobnumber],OvalData[],MATCH(Table2[[#Headers],[Grille Vision Section]],Table2[#Headers],0),0)</f>
        <v>0</v>
      </c>
      <c r="AB246" s="2">
        <f>VLOOKUP([jobnumber],OvalData[],MATCH(Table2[[#Headers],[Grille Amount]],Table2[#Headers],0),0)</f>
        <v>0</v>
      </c>
      <c r="AC246" s="2">
        <f>VLOOKUP([jobnumber],OvalData[],MATCH(Table2[[#Headers],[Grille Center]],Table2[#Headers],0),0)</f>
        <v>0</v>
      </c>
      <c r="AD246" s="2">
        <f>VLOOKUP([jobnumber],OvalData[],MATCH(Table2[[#Headers],[Grille Pattern]],Table2[#Headers],0),0)</f>
        <v>0</v>
      </c>
      <c r="AE246" s="2">
        <f>VLOOKUP([jobnumber],OvalData[],MATCH(Table2[[#Headers],[Grille First Tube]],Table2[#Headers],0),0)</f>
        <v>0</v>
      </c>
      <c r="AF246" s="2">
        <f>VLOOKUP([jobnumber],OvalData[],MATCH(Table2[[#Headers],[Grille Standard Tube]],Table2[#Headers],0),0)</f>
        <v>0</v>
      </c>
      <c r="AG246" s="2">
        <f>VLOOKUP([jobnumber],OvalData[],MATCH(Table2[[#Headers],[Grille Total Links]],Table2[#Headers],0),0)</f>
        <v>0</v>
      </c>
      <c r="AH246" s="2">
        <f>VLOOKUP([jobnumber],OvalData[],MATCH(Table2[[#Headers],[Grille Rods]],Table2[#Headers],0),0)</f>
        <v>0</v>
      </c>
      <c r="AI246" s="2">
        <f>VLOOKUP([jobnumber],OvalData[],MATCH(Table2[[#Headers],[Grille Rod Length]],Table2[#Headers],0),0)</f>
        <v>0</v>
      </c>
      <c r="AJ246" s="2">
        <f>VLOOKUP([jobnumber],OvalData[],MATCH(Table2[[#Headers],[slattype]],Table2[#Headers],0),0)</f>
        <v>2</v>
      </c>
      <c r="AK246" s="2">
        <f>VLOOKUP([jobnumber],OvalData[],MATCH(Table2[[#Headers],[slatgage]],Table2[#Headers],0),0)</f>
        <v>18</v>
      </c>
      <c r="AL246" s="2">
        <f>VLOOKUP([jobnumber],OvalData[],MATCH(Table2[[#Headers],[Numer of Top Slats]],Table2[#Headers],0),0)</f>
        <v>0</v>
      </c>
      <c r="AM246" s="2">
        <f>VLOOKUP([jobnumber],OvalData[],MATCH(Table2[[#Headers],[Number of Bottom Slats]],Table2[#Headers],0),0)</f>
        <v>0</v>
      </c>
      <c r="AN246" s="2">
        <f>VLOOKUP([jobnumber],OvalData[],MATCH(Table2[[#Headers],[Solid Bottom Height]],Table2[#Headers],0),0)</f>
        <v>0</v>
      </c>
      <c r="AO246" s="2" t="str">
        <f>VLOOKUP([jobnumber],OvalData[],MATCH(Table2[[#Headers],[slatlength]],Table2[#Headers],0),0)</f>
        <v xml:space="preserve"> 18 ft.- 5 7/ 8"</v>
      </c>
      <c r="AP246" s="2">
        <f>VLOOKUP([jobnumber],OvalData[],MATCH(Table2[[#Headers],[Bottom Slat Length]],Table2[#Headers],0),0)</f>
        <v>0</v>
      </c>
      <c r="AQ246" s="2">
        <f>VLOOKUP([jobnumber],OvalData[],MATCH(Table2[[#Headers],[Number of Perferated Slats]],Table2[#Headers],0),0)</f>
        <v>0</v>
      </c>
      <c r="AR246" s="2">
        <f>VLOOKUP([jobnumber],OvalData[],MATCH(Table2[[#Headers],[First Preferated Slat From End]],Table2[#Headers],0),0)</f>
        <v>0</v>
      </c>
      <c r="AS246" s="2">
        <f>VLOOKUP([jobnumber],OvalData[],MATCH(Table2[[#Headers],[First Preferated Slat From Bottom]],Table2[#Headers],0),0)</f>
        <v>0</v>
      </c>
      <c r="AT246" s="2">
        <f>VLOOKUP([jobnumber],OvalData[],MATCH(Table2[[#Headers],[Total Number of Slats]],Table2[#Headers],0),0)</f>
        <v>51</v>
      </c>
      <c r="AU246" s="2">
        <f>VLOOKUP([jobnumber],OvalData[],MATCH(Table2[[#Headers],[Bottom Bar Slope]],Table2[#Headers],0),0)</f>
        <v>0</v>
      </c>
      <c r="AV246" s="2">
        <f>VLOOKUP([jobnumber],OvalData[],MATCH(Table2[[#Headers],[Bottom Bar Weight]],Table2[#Headers],0),0)</f>
        <v>80.5</v>
      </c>
      <c r="AW246" s="2" t="str">
        <f>VLOOKUP([jobnumber],OvalData[],MATCH(Table2[[#Headers],[Outer Spring Gage]],Table2[#Headers],0),0)</f>
        <v>Null</v>
      </c>
      <c r="AX246" s="2" t="str">
        <f>VLOOKUP([jobnumber],OvalData[],MATCH(Table2[[#Headers],[Outer Spring OD]],Table2[#Headers],0),0)</f>
        <v>Null</v>
      </c>
      <c r="AY246" s="2" t="str">
        <f>VLOOKUP([jobnumber],OvalData[],MATCH(Table2[[#Headers],[Outer Spring Length]],Table2[#Headers],0),0)</f>
        <v>Null</v>
      </c>
      <c r="AZ246" s="2" t="str">
        <f>VLOOKUP([jobnumber],OvalData[],MATCH(Table2[[#Headers],[Outer Spring Stretch]],Table2[#Headers],0),0)</f>
        <v>Null</v>
      </c>
      <c r="BA246" s="2" t="str">
        <f>VLOOKUP([jobnumber],OvalData[],MATCH(Table2[[#Headers],[Outer Spring Torque]],Table2[#Headers],0),0)</f>
        <v>Null</v>
      </c>
      <c r="BB246" s="2" t="str">
        <f>VLOOKUP([jobnumber],OvalData[],MATCH(Table2[[#Headers],[Outer Spring Max Turns]],Table2[#Headers],0),0)</f>
        <v>Null</v>
      </c>
      <c r="BC246" s="2" t="str">
        <f>VLOOKUP([jobnumber],OvalData[],MATCH(Table2[[#Headers],[Outer Spring Weight]],Table2[#Headers],0),0)</f>
        <v>Null</v>
      </c>
      <c r="BD246" s="2" t="str">
        <f>VLOOKUP([jobnumber],OvalData[],MATCH(Table2[[#Headers],[Inner Spring Gage]],Table2[#Headers],0),0)</f>
        <v>Null</v>
      </c>
      <c r="BE246" s="2" t="str">
        <f>VLOOKUP([jobnumber],OvalData[],MATCH(Table2[[#Headers],[Inner Spring OD]],Table2[#Headers],0),0)</f>
        <v>Null</v>
      </c>
      <c r="BF246" s="2" t="str">
        <f>VLOOKUP([jobnumber],OvalData[],MATCH(Table2[[#Headers],[Inner Spring Length]],Table2[#Headers],0),0)</f>
        <v>Null</v>
      </c>
      <c r="BG246" s="2" t="str">
        <f>VLOOKUP([jobnumber],OvalData[],MATCH(Table2[[#Headers],[Inner Spring Stretch]],Table2[#Headers],0),0)</f>
        <v>Null</v>
      </c>
      <c r="BH246" s="2" t="str">
        <f>VLOOKUP([jobnumber],OvalData[],MATCH(Table2[[#Headers],[Inner Spring Torque]],Table2[#Headers],0),0)</f>
        <v>Null</v>
      </c>
      <c r="BI246" s="2" t="str">
        <f>VLOOKUP([jobnumber],OvalData[],MATCH(Table2[[#Headers],[Inner Spring Max Turns]],Table2[#Headers],0),0)</f>
        <v>Null</v>
      </c>
      <c r="BJ246" s="2" t="str">
        <f>VLOOKUP([jobnumber],OvalData[],MATCH(Table2[[#Headers],[Inner Spring Weight]],Table2[#Headers],0),0)</f>
        <v>Null</v>
      </c>
      <c r="BK246" s="2">
        <f>VLOOKUP([jobnumber],OvalData[],MATCH(Table2[[#Headers],[Cycles]],Table2[#Headers],0),0)</f>
        <v>0</v>
      </c>
      <c r="BL246" s="2">
        <f>VLOOKUP([jobnumber],OvalData[],MATCH(Table2[[#Headers],[Total Spring Torque]],Table2[#Headers],0),0)</f>
        <v>0</v>
      </c>
      <c r="BM246" s="2">
        <f>VLOOKUP([jobnumber],OvalData[],MATCH(Table2[[#Headers],[Total Spring Weight]],Table2[#Headers],0),0)</f>
        <v>0</v>
      </c>
      <c r="BN246" s="2">
        <f>VLOOKUP([jobnumber],OvalData[],MATCH(Table2[[#Headers],[Pipe Weight]],Table2[#Headers],0),0)</f>
        <v>688.24239999999998</v>
      </c>
      <c r="BO246" s="2">
        <f>VLOOKUP([jobnumber],OvalData[],MATCH(Table2[[#Headers],[Max Pipe Deflection]],Table2[#Headers],0),0)</f>
        <v>2309</v>
      </c>
      <c r="BP246" s="2">
        <f>VLOOKUP([jobnumber],OvalData[],MATCH(Table2[[#Headers],[Number Non-Insulated Wrap Slats]],Table2[#Headers],0),0)</f>
        <v>0</v>
      </c>
      <c r="BQ246" s="2">
        <f>VLOOKUP([jobnumber],OvalData[],MATCH(Table2[[#Headers],[Number of Insolated Top Slats]],Table2[#Headers],0),0)</f>
        <v>45</v>
      </c>
      <c r="BR246" s="2">
        <f>VLOOKUP([jobnumber],OvalData[],MATCH(Table2[[#Headers],[Insolated Total Slats]],Table2[#Headers],0),0)</f>
        <v>45</v>
      </c>
      <c r="BS246" s="2">
        <f>VLOOKUP([jobnumber],OvalData[],MATCH(Table2[[#Headers],[Number of Slats]],Table2[#Headers],0),0)</f>
        <v>44.69</v>
      </c>
      <c r="BT246" s="2">
        <f>VLOOKUP([jobnumber],OvalData[],MATCH(Table2[[#Headers],[Wrap]],Table2[#Headers],0),0)</f>
        <v>0</v>
      </c>
      <c r="BU246" s="2">
        <f>VLOOKUP([jobnumber],OvalData[],MATCH(Table2[[#Headers],[Wall Angle Thickness]],Table2[#Headers],0),0)</f>
        <v>0</v>
      </c>
      <c r="BV246" s="2">
        <f>VLOOKUP([jobnumber],OvalData[],MATCH(Table2[[#Headers],[windlocks]],Table2[#Headers],0),0)</f>
        <v>0</v>
      </c>
      <c r="BW246" s="2" t="str">
        <f>VLOOKUP([jobnumber],OvalData[],MATCH(Table2[[#Headers],[bottombartype]],Table2[#Headers],0),0)</f>
        <v>SPECIAL</v>
      </c>
      <c r="BX246" s="2">
        <f>VLOOKUP([jobnumber],OvalData[],MATCH(Table2[[#Headers],[endlockweight]],Table2[#Headers],0),0)</f>
        <v>0.17</v>
      </c>
      <c r="BY246" s="2">
        <f>VLOOKUP([jobnumber],OvalData[],MATCH(Table2[[#Headers],[Endlock Total Weight]],Table2[#Headers],0),0)</f>
        <v>7.5972999999999997</v>
      </c>
      <c r="BZ246" s="2">
        <f>VLOOKUP([jobnumber],OvalData[],MATCH(Table2[[#Headers],[Grille Weight]],Table2[#Headers],0),0)</f>
        <v>0</v>
      </c>
      <c r="CA246" s="2">
        <f>VLOOKUP([jobnumber],OvalData[],MATCH(Table2[[#Headers],[barrelrings]],Table2[#Headers],0),0)</f>
        <v>1</v>
      </c>
    </row>
    <row r="247" spans="2:79">
      <c r="B247" s="2" t="str">
        <f>VLOOKUP([jobnumber],OvalData[],MATCH(Table2[[#Headers],[Hand]],Table2[#Headers],0),0)</f>
        <v>RH</v>
      </c>
      <c r="C247" s="2" t="str">
        <f>VLOOKUP([jobnumber],OvalData[],MATCH(Table2[[#Headers],[Model]],Table2[#Headers],0),0)</f>
        <v>SFMPP</v>
      </c>
      <c r="D247" s="2" t="str">
        <f>VLOOKUP([jobnumber],OvalData[],MATCH(Table2[[#Headers],[width]],Table2[#Headers],0),0)</f>
        <v xml:space="preserve"> 18 ft.- 2"</v>
      </c>
      <c r="E247" s="2" t="str">
        <f>VLOOKUP([jobnumber],OvalData[],MATCH(Table2[[#Headers],[stopheight]],Table2[#Headers],0),0)</f>
        <v xml:space="preserve"> 10 ft.- 0"</v>
      </c>
      <c r="F247" s="2" t="str">
        <f>VLOOKUP([jobnumber],OvalData[],MATCH(Table2[[#Headers],[Between Brackets]],Table2[#Headers],0),0)</f>
        <v xml:space="preserve"> 18 ft.- 7 7/ 8"</v>
      </c>
      <c r="G247" s="2" t="str">
        <f>VLOOKUP([jobnumber],OvalData[],MATCH(Table2[[#Headers],[shell]],Table2[#Headers],0),0)</f>
        <v>6 INCH TUBE</v>
      </c>
      <c r="H247" s="2" t="str">
        <f>VLOOKUP([jobnumber],OvalData[],MATCH(Table2[[#Headers],[pipewidth]],Table2[#Headers],0),0)</f>
        <v xml:space="preserve"> 18 ft.- 1 3/ 8"</v>
      </c>
      <c r="I247" s="2">
        <f>VLOOKUP([jobnumber],OvalData[],MATCH(Table2[[#Headers],[Support Tubes]],Table2[#Headers],0),0)</f>
        <v>0</v>
      </c>
      <c r="J247" s="2">
        <f>VLOOKUP([jobnumber],OvalData[],MATCH(Table2[[#Headers],[Upset]],Table2[#Headers],0),0)</f>
        <v>2</v>
      </c>
      <c r="K247" s="2" t="str">
        <f>VLOOKUP([jobnumber],OvalData[],MATCH(Table2[[#Headers],[Guide Type]],Table2[#Headers],0),0)</f>
        <v>SN2-4 5/8-E</v>
      </c>
      <c r="L247" s="2" t="str">
        <f>VLOOKUP([jobnumber],OvalData[],MATCH(Table2[[#Headers],[Wall Angle]],Table2[#Headers],0),0)</f>
        <v xml:space="preserve"> 11 ft.- 8"</v>
      </c>
      <c r="M247" s="2" t="str">
        <f>VLOOKUP([jobnumber],OvalData[],MATCH(Table2[[#Headers],[Middle Angle]],Table2[#Headers],0),0)</f>
        <v xml:space="preserve"> 10 ft.- 4 1/ 2"</v>
      </c>
      <c r="N247" s="2" t="str">
        <f>VLOOKUP([jobnumber],OvalData[],MATCH(Table2[[#Headers],[Front Angle]],Table2[#Headers],0),0)</f>
        <v xml:space="preserve"> 10 ft.- 3"</v>
      </c>
      <c r="O247" s="2">
        <f>VLOOKUP([jobnumber],OvalData[],MATCH(Table2[[#Headers],[Pipe Center Line]],Table2[#Headers],0),0)</f>
        <v>131</v>
      </c>
      <c r="P247" s="2">
        <f>VLOOKUP([jobnumber],OvalData[],MATCH(Table2[[#Headers],[Heat Expansion Gap]],Table2[#Headers],0),0)</f>
        <v>0</v>
      </c>
      <c r="Q247" s="2">
        <f>VLOOKUP([jobnumber],OvalData[],MATCH(Table2[[#Headers],[Hanging Weight Closed]],Table2[#Headers],0),0)</f>
        <v>795</v>
      </c>
      <c r="R247" s="2">
        <f>VLOOKUP([jobnumber],OvalData[],MATCH(Table2[[#Headers],[Hanging Weight Open]],Table2[#Headers],0),0)</f>
        <v>140</v>
      </c>
      <c r="S247" s="2">
        <f>VLOOKUP([jobnumber],OvalData[],MATCH(Table2[[#Headers],[Initial Lever Arm]],Table2[#Headers],0),0)</f>
        <v>4.25</v>
      </c>
      <c r="T247" s="2">
        <f>VLOOKUP([jobnumber],OvalData[],MATCH(Table2[[#Headers],[Turns to Raise]],Table2[#Headers],0),0)</f>
        <v>3.5859999999999999</v>
      </c>
      <c r="U247" s="2">
        <f>VLOOKUP([jobnumber],OvalData[],MATCH(Table2[[#Headers],[Final Lever Arm]],Table2[#Headers],0),0)</f>
        <v>6.37</v>
      </c>
      <c r="V247" s="2">
        <f>VLOOKUP([jobnumber],OvalData[],MATCH(Table2[[#Headers],[Torque Required Closed]],Table2[#Headers],0),0)</f>
        <v>3377.9</v>
      </c>
      <c r="W247" s="2">
        <f>VLOOKUP([jobnumber],OvalData[],MATCH(Table2[[#Headers],[Torque Required Open]],Table2[#Headers],0),0)</f>
        <v>892</v>
      </c>
      <c r="X247" s="2">
        <f>VLOOKUP([jobnumber],OvalData[],MATCH(Table2[[#Headers],[Pre Turns]],Table2[#Headers],0),0)</f>
        <v>1.3332999999999999</v>
      </c>
      <c r="Y247" s="2">
        <f>VLOOKUP([jobnumber],OvalData[],MATCH(Table2[[#Headers],[Required Torque Per Turn]],Table2[#Headers],0),0)</f>
        <v>688</v>
      </c>
      <c r="Z247" s="2">
        <f>VLOOKUP([jobnumber],OvalData[],MATCH(Table2[[#Headers],[Total Turns]],Table2[#Headers],0),0)</f>
        <v>4.91</v>
      </c>
      <c r="AA247" s="2">
        <f>VLOOKUP([jobnumber],OvalData[],MATCH(Table2[[#Headers],[Grille Vision Section]],Table2[#Headers],0),0)</f>
        <v>0</v>
      </c>
      <c r="AB247" s="2">
        <f>VLOOKUP([jobnumber],OvalData[],MATCH(Table2[[#Headers],[Grille Amount]],Table2[#Headers],0),0)</f>
        <v>0</v>
      </c>
      <c r="AC247" s="2">
        <f>VLOOKUP([jobnumber],OvalData[],MATCH(Table2[[#Headers],[Grille Center]],Table2[#Headers],0),0)</f>
        <v>0</v>
      </c>
      <c r="AD247" s="2">
        <f>VLOOKUP([jobnumber],OvalData[],MATCH(Table2[[#Headers],[Grille Pattern]],Table2[#Headers],0),0)</f>
        <v>0</v>
      </c>
      <c r="AE247" s="2">
        <f>VLOOKUP([jobnumber],OvalData[],MATCH(Table2[[#Headers],[Grille First Tube]],Table2[#Headers],0),0)</f>
        <v>0</v>
      </c>
      <c r="AF247" s="2">
        <f>VLOOKUP([jobnumber],OvalData[],MATCH(Table2[[#Headers],[Grille Standard Tube]],Table2[#Headers],0),0)</f>
        <v>0</v>
      </c>
      <c r="AG247" s="2">
        <f>VLOOKUP([jobnumber],OvalData[],MATCH(Table2[[#Headers],[Grille Total Links]],Table2[#Headers],0),0)</f>
        <v>0</v>
      </c>
      <c r="AH247" s="2">
        <f>VLOOKUP([jobnumber],OvalData[],MATCH(Table2[[#Headers],[Grille Rods]],Table2[#Headers],0),0)</f>
        <v>0</v>
      </c>
      <c r="AI247" s="2">
        <f>VLOOKUP([jobnumber],OvalData[],MATCH(Table2[[#Headers],[Grille Rod Length]],Table2[#Headers],0),0)</f>
        <v>0</v>
      </c>
      <c r="AJ247" s="2">
        <f>VLOOKUP([jobnumber],OvalData[],MATCH(Table2[[#Headers],[slattype]],Table2[#Headers],0),0)</f>
        <v>2</v>
      </c>
      <c r="AK247" s="2">
        <f>VLOOKUP([jobnumber],OvalData[],MATCH(Table2[[#Headers],[slatgage]],Table2[#Headers],0),0)</f>
        <v>18</v>
      </c>
      <c r="AL247" s="2">
        <f>VLOOKUP([jobnumber],OvalData[],MATCH(Table2[[#Headers],[Numer of Top Slats]],Table2[#Headers],0),0)</f>
        <v>0</v>
      </c>
      <c r="AM247" s="2">
        <f>VLOOKUP([jobnumber],OvalData[],MATCH(Table2[[#Headers],[Number of Bottom Slats]],Table2[#Headers],0),0)</f>
        <v>0</v>
      </c>
      <c r="AN247" s="2">
        <f>VLOOKUP([jobnumber],OvalData[],MATCH(Table2[[#Headers],[Solid Bottom Height]],Table2[#Headers],0),0)</f>
        <v>0</v>
      </c>
      <c r="AO247" s="2" t="str">
        <f>VLOOKUP([jobnumber],OvalData[],MATCH(Table2[[#Headers],[slatlength]],Table2[#Headers],0),0)</f>
        <v xml:space="preserve"> 18 ft.- 5 7/ 8"</v>
      </c>
      <c r="AP247" s="2">
        <f>VLOOKUP([jobnumber],OvalData[],MATCH(Table2[[#Headers],[Bottom Slat Length]],Table2[#Headers],0),0)</f>
        <v>0</v>
      </c>
      <c r="AQ247" s="2">
        <f>VLOOKUP([jobnumber],OvalData[],MATCH(Table2[[#Headers],[Number of Perferated Slats]],Table2[#Headers],0),0)</f>
        <v>0</v>
      </c>
      <c r="AR247" s="2">
        <f>VLOOKUP([jobnumber],OvalData[],MATCH(Table2[[#Headers],[First Preferated Slat From End]],Table2[#Headers],0),0)</f>
        <v>0</v>
      </c>
      <c r="AS247" s="2">
        <f>VLOOKUP([jobnumber],OvalData[],MATCH(Table2[[#Headers],[First Preferated Slat From Bottom]],Table2[#Headers],0),0)</f>
        <v>0</v>
      </c>
      <c r="AT247" s="2">
        <f>VLOOKUP([jobnumber],OvalData[],MATCH(Table2[[#Headers],[Total Number of Slats]],Table2[#Headers],0),0)</f>
        <v>51</v>
      </c>
      <c r="AU247" s="2">
        <f>VLOOKUP([jobnumber],OvalData[],MATCH(Table2[[#Headers],[Bottom Bar Slope]],Table2[#Headers],0),0)</f>
        <v>0</v>
      </c>
      <c r="AV247" s="2">
        <f>VLOOKUP([jobnumber],OvalData[],MATCH(Table2[[#Headers],[Bottom Bar Weight]],Table2[#Headers],0),0)</f>
        <v>80.5</v>
      </c>
      <c r="AW247" s="2" t="str">
        <f>VLOOKUP([jobnumber],OvalData[],MATCH(Table2[[#Headers],[Outer Spring Gage]],Table2[#Headers],0),0)</f>
        <v>Null</v>
      </c>
      <c r="AX247" s="2" t="str">
        <f>VLOOKUP([jobnumber],OvalData[],MATCH(Table2[[#Headers],[Outer Spring OD]],Table2[#Headers],0),0)</f>
        <v>Null</v>
      </c>
      <c r="AY247" s="2" t="str">
        <f>VLOOKUP([jobnumber],OvalData[],MATCH(Table2[[#Headers],[Outer Spring Length]],Table2[#Headers],0),0)</f>
        <v>Null</v>
      </c>
      <c r="AZ247" s="2" t="str">
        <f>VLOOKUP([jobnumber],OvalData[],MATCH(Table2[[#Headers],[Outer Spring Stretch]],Table2[#Headers],0),0)</f>
        <v>Null</v>
      </c>
      <c r="BA247" s="2" t="str">
        <f>VLOOKUP([jobnumber],OvalData[],MATCH(Table2[[#Headers],[Outer Spring Torque]],Table2[#Headers],0),0)</f>
        <v>Null</v>
      </c>
      <c r="BB247" s="2" t="str">
        <f>VLOOKUP([jobnumber],OvalData[],MATCH(Table2[[#Headers],[Outer Spring Max Turns]],Table2[#Headers],0),0)</f>
        <v>Null</v>
      </c>
      <c r="BC247" s="2" t="str">
        <f>VLOOKUP([jobnumber],OvalData[],MATCH(Table2[[#Headers],[Outer Spring Weight]],Table2[#Headers],0),0)</f>
        <v>Null</v>
      </c>
      <c r="BD247" s="2" t="str">
        <f>VLOOKUP([jobnumber],OvalData[],MATCH(Table2[[#Headers],[Inner Spring Gage]],Table2[#Headers],0),0)</f>
        <v>Null</v>
      </c>
      <c r="BE247" s="2" t="str">
        <f>VLOOKUP([jobnumber],OvalData[],MATCH(Table2[[#Headers],[Inner Spring OD]],Table2[#Headers],0),0)</f>
        <v>Null</v>
      </c>
      <c r="BF247" s="2" t="str">
        <f>VLOOKUP([jobnumber],OvalData[],MATCH(Table2[[#Headers],[Inner Spring Length]],Table2[#Headers],0),0)</f>
        <v>Null</v>
      </c>
      <c r="BG247" s="2" t="str">
        <f>VLOOKUP([jobnumber],OvalData[],MATCH(Table2[[#Headers],[Inner Spring Stretch]],Table2[#Headers],0),0)</f>
        <v>Null</v>
      </c>
      <c r="BH247" s="2" t="str">
        <f>VLOOKUP([jobnumber],OvalData[],MATCH(Table2[[#Headers],[Inner Spring Torque]],Table2[#Headers],0),0)</f>
        <v>Null</v>
      </c>
      <c r="BI247" s="2" t="str">
        <f>VLOOKUP([jobnumber],OvalData[],MATCH(Table2[[#Headers],[Inner Spring Max Turns]],Table2[#Headers],0),0)</f>
        <v>Null</v>
      </c>
      <c r="BJ247" s="2" t="str">
        <f>VLOOKUP([jobnumber],OvalData[],MATCH(Table2[[#Headers],[Inner Spring Weight]],Table2[#Headers],0),0)</f>
        <v>Null</v>
      </c>
      <c r="BK247" s="2">
        <f>VLOOKUP([jobnumber],OvalData[],MATCH(Table2[[#Headers],[Cycles]],Table2[#Headers],0),0)</f>
        <v>0</v>
      </c>
      <c r="BL247" s="2">
        <f>VLOOKUP([jobnumber],OvalData[],MATCH(Table2[[#Headers],[Total Spring Torque]],Table2[#Headers],0),0)</f>
        <v>0</v>
      </c>
      <c r="BM247" s="2">
        <f>VLOOKUP([jobnumber],OvalData[],MATCH(Table2[[#Headers],[Total Spring Weight]],Table2[#Headers],0),0)</f>
        <v>0</v>
      </c>
      <c r="BN247" s="2">
        <f>VLOOKUP([jobnumber],OvalData[],MATCH(Table2[[#Headers],[Pipe Weight]],Table2[#Headers],0),0)</f>
        <v>688.24239999999998</v>
      </c>
      <c r="BO247" s="2">
        <f>VLOOKUP([jobnumber],OvalData[],MATCH(Table2[[#Headers],[Max Pipe Deflection]],Table2[#Headers],0),0)</f>
        <v>2309</v>
      </c>
      <c r="BP247" s="2">
        <f>VLOOKUP([jobnumber],OvalData[],MATCH(Table2[[#Headers],[Number Non-Insulated Wrap Slats]],Table2[#Headers],0),0)</f>
        <v>0</v>
      </c>
      <c r="BQ247" s="2">
        <f>VLOOKUP([jobnumber],OvalData[],MATCH(Table2[[#Headers],[Number of Insolated Top Slats]],Table2[#Headers],0),0)</f>
        <v>45</v>
      </c>
      <c r="BR247" s="2">
        <f>VLOOKUP([jobnumber],OvalData[],MATCH(Table2[[#Headers],[Insolated Total Slats]],Table2[#Headers],0),0)</f>
        <v>45</v>
      </c>
      <c r="BS247" s="2">
        <f>VLOOKUP([jobnumber],OvalData[],MATCH(Table2[[#Headers],[Number of Slats]],Table2[#Headers],0),0)</f>
        <v>44.69</v>
      </c>
      <c r="BT247" s="2">
        <f>VLOOKUP([jobnumber],OvalData[],MATCH(Table2[[#Headers],[Wrap]],Table2[#Headers],0),0)</f>
        <v>0</v>
      </c>
      <c r="BU247" s="2">
        <f>VLOOKUP([jobnumber],OvalData[],MATCH(Table2[[#Headers],[Wall Angle Thickness]],Table2[#Headers],0),0)</f>
        <v>0</v>
      </c>
      <c r="BV247" s="2">
        <f>VLOOKUP([jobnumber],OvalData[],MATCH(Table2[[#Headers],[windlocks]],Table2[#Headers],0),0)</f>
        <v>0</v>
      </c>
      <c r="BW247" s="2" t="str">
        <f>VLOOKUP([jobnumber],OvalData[],MATCH(Table2[[#Headers],[bottombartype]],Table2[#Headers],0),0)</f>
        <v>SPECIAL</v>
      </c>
      <c r="BX247" s="2">
        <f>VLOOKUP([jobnumber],OvalData[],MATCH(Table2[[#Headers],[endlockweight]],Table2[#Headers],0),0)</f>
        <v>0.17</v>
      </c>
      <c r="BY247" s="2">
        <f>VLOOKUP([jobnumber],OvalData[],MATCH(Table2[[#Headers],[Endlock Total Weight]],Table2[#Headers],0),0)</f>
        <v>7.5972999999999997</v>
      </c>
      <c r="BZ247" s="2">
        <f>VLOOKUP([jobnumber],OvalData[],MATCH(Table2[[#Headers],[Grille Weight]],Table2[#Headers],0),0)</f>
        <v>0</v>
      </c>
      <c r="CA247" s="2">
        <f>VLOOKUP([jobnumber],OvalData[],MATCH(Table2[[#Headers],[barrelrings]],Table2[#Headers],0),0)</f>
        <v>1</v>
      </c>
    </row>
    <row r="248" spans="2:79">
      <c r="B248" s="2" t="str">
        <f>VLOOKUP([jobnumber],OvalData[],MATCH(Table2[[#Headers],[Hand]],Table2[#Headers],0),0)</f>
        <v>RH</v>
      </c>
      <c r="C248" s="2" t="str">
        <f>VLOOKUP([jobnumber],OvalData[],MATCH(Table2[[#Headers],[Model]],Table2[#Headers],0),0)</f>
        <v>SFMPP</v>
      </c>
      <c r="D248" s="2" t="str">
        <f>VLOOKUP([jobnumber],OvalData[],MATCH(Table2[[#Headers],[width]],Table2[#Headers],0),0)</f>
        <v xml:space="preserve"> 18 ft.- 2"</v>
      </c>
      <c r="E248" s="2" t="str">
        <f>VLOOKUP([jobnumber],OvalData[],MATCH(Table2[[#Headers],[stopheight]],Table2[#Headers],0),0)</f>
        <v xml:space="preserve"> 10 ft.- 0"</v>
      </c>
      <c r="F248" s="2" t="str">
        <f>VLOOKUP([jobnumber],OvalData[],MATCH(Table2[[#Headers],[Between Brackets]],Table2[#Headers],0),0)</f>
        <v xml:space="preserve"> 18 ft.- 7 7/ 8"</v>
      </c>
      <c r="G248" s="2" t="str">
        <f>VLOOKUP([jobnumber],OvalData[],MATCH(Table2[[#Headers],[shell]],Table2[#Headers],0),0)</f>
        <v>6 INCH TUBE</v>
      </c>
      <c r="H248" s="2" t="str">
        <f>VLOOKUP([jobnumber],OvalData[],MATCH(Table2[[#Headers],[pipewidth]],Table2[#Headers],0),0)</f>
        <v xml:space="preserve"> 18 ft.- 1 3/ 8"</v>
      </c>
      <c r="I248" s="2">
        <f>VLOOKUP([jobnumber],OvalData[],MATCH(Table2[[#Headers],[Support Tubes]],Table2[#Headers],0),0)</f>
        <v>0</v>
      </c>
      <c r="J248" s="2">
        <f>VLOOKUP([jobnumber],OvalData[],MATCH(Table2[[#Headers],[Upset]],Table2[#Headers],0),0)</f>
        <v>2</v>
      </c>
      <c r="K248" s="2" t="str">
        <f>VLOOKUP([jobnumber],OvalData[],MATCH(Table2[[#Headers],[Guide Type]],Table2[#Headers],0),0)</f>
        <v>SN2-4 5/8-E</v>
      </c>
      <c r="L248" s="2" t="str">
        <f>VLOOKUP([jobnumber],OvalData[],MATCH(Table2[[#Headers],[Wall Angle]],Table2[#Headers],0),0)</f>
        <v xml:space="preserve"> 11 ft.- 8"</v>
      </c>
      <c r="M248" s="2" t="str">
        <f>VLOOKUP([jobnumber],OvalData[],MATCH(Table2[[#Headers],[Middle Angle]],Table2[#Headers],0),0)</f>
        <v xml:space="preserve"> 10 ft.- 4 1/ 2"</v>
      </c>
      <c r="N248" s="2" t="str">
        <f>VLOOKUP([jobnumber],OvalData[],MATCH(Table2[[#Headers],[Front Angle]],Table2[#Headers],0),0)</f>
        <v xml:space="preserve"> 10 ft.- 3"</v>
      </c>
      <c r="O248" s="2">
        <f>VLOOKUP([jobnumber],OvalData[],MATCH(Table2[[#Headers],[Pipe Center Line]],Table2[#Headers],0),0)</f>
        <v>131</v>
      </c>
      <c r="P248" s="2">
        <f>VLOOKUP([jobnumber],OvalData[],MATCH(Table2[[#Headers],[Heat Expansion Gap]],Table2[#Headers],0),0)</f>
        <v>0</v>
      </c>
      <c r="Q248" s="2">
        <f>VLOOKUP([jobnumber],OvalData[],MATCH(Table2[[#Headers],[Hanging Weight Closed]],Table2[#Headers],0),0)</f>
        <v>795</v>
      </c>
      <c r="R248" s="2">
        <f>VLOOKUP([jobnumber],OvalData[],MATCH(Table2[[#Headers],[Hanging Weight Open]],Table2[#Headers],0),0)</f>
        <v>140</v>
      </c>
      <c r="S248" s="2">
        <f>VLOOKUP([jobnumber],OvalData[],MATCH(Table2[[#Headers],[Initial Lever Arm]],Table2[#Headers],0),0)</f>
        <v>4.25</v>
      </c>
      <c r="T248" s="2">
        <f>VLOOKUP([jobnumber],OvalData[],MATCH(Table2[[#Headers],[Turns to Raise]],Table2[#Headers],0),0)</f>
        <v>3.5859999999999999</v>
      </c>
      <c r="U248" s="2">
        <f>VLOOKUP([jobnumber],OvalData[],MATCH(Table2[[#Headers],[Final Lever Arm]],Table2[#Headers],0),0)</f>
        <v>6.37</v>
      </c>
      <c r="V248" s="2">
        <f>VLOOKUP([jobnumber],OvalData[],MATCH(Table2[[#Headers],[Torque Required Closed]],Table2[#Headers],0),0)</f>
        <v>3377.9</v>
      </c>
      <c r="W248" s="2">
        <f>VLOOKUP([jobnumber],OvalData[],MATCH(Table2[[#Headers],[Torque Required Open]],Table2[#Headers],0),0)</f>
        <v>892</v>
      </c>
      <c r="X248" s="2">
        <f>VLOOKUP([jobnumber],OvalData[],MATCH(Table2[[#Headers],[Pre Turns]],Table2[#Headers],0),0)</f>
        <v>1.3332999999999999</v>
      </c>
      <c r="Y248" s="2">
        <f>VLOOKUP([jobnumber],OvalData[],MATCH(Table2[[#Headers],[Required Torque Per Turn]],Table2[#Headers],0),0)</f>
        <v>688</v>
      </c>
      <c r="Z248" s="2">
        <f>VLOOKUP([jobnumber],OvalData[],MATCH(Table2[[#Headers],[Total Turns]],Table2[#Headers],0),0)</f>
        <v>4.91</v>
      </c>
      <c r="AA248" s="2">
        <f>VLOOKUP([jobnumber],OvalData[],MATCH(Table2[[#Headers],[Grille Vision Section]],Table2[#Headers],0),0)</f>
        <v>0</v>
      </c>
      <c r="AB248" s="2">
        <f>VLOOKUP([jobnumber],OvalData[],MATCH(Table2[[#Headers],[Grille Amount]],Table2[#Headers],0),0)</f>
        <v>0</v>
      </c>
      <c r="AC248" s="2">
        <f>VLOOKUP([jobnumber],OvalData[],MATCH(Table2[[#Headers],[Grille Center]],Table2[#Headers],0),0)</f>
        <v>0</v>
      </c>
      <c r="AD248" s="2">
        <f>VLOOKUP([jobnumber],OvalData[],MATCH(Table2[[#Headers],[Grille Pattern]],Table2[#Headers],0),0)</f>
        <v>0</v>
      </c>
      <c r="AE248" s="2">
        <f>VLOOKUP([jobnumber],OvalData[],MATCH(Table2[[#Headers],[Grille First Tube]],Table2[#Headers],0),0)</f>
        <v>0</v>
      </c>
      <c r="AF248" s="2">
        <f>VLOOKUP([jobnumber],OvalData[],MATCH(Table2[[#Headers],[Grille Standard Tube]],Table2[#Headers],0),0)</f>
        <v>0</v>
      </c>
      <c r="AG248" s="2">
        <f>VLOOKUP([jobnumber],OvalData[],MATCH(Table2[[#Headers],[Grille Total Links]],Table2[#Headers],0),0)</f>
        <v>0</v>
      </c>
      <c r="AH248" s="2">
        <f>VLOOKUP([jobnumber],OvalData[],MATCH(Table2[[#Headers],[Grille Rods]],Table2[#Headers],0),0)</f>
        <v>0</v>
      </c>
      <c r="AI248" s="2">
        <f>VLOOKUP([jobnumber],OvalData[],MATCH(Table2[[#Headers],[Grille Rod Length]],Table2[#Headers],0),0)</f>
        <v>0</v>
      </c>
      <c r="AJ248" s="2">
        <f>VLOOKUP([jobnumber],OvalData[],MATCH(Table2[[#Headers],[slattype]],Table2[#Headers],0),0)</f>
        <v>2</v>
      </c>
      <c r="AK248" s="2">
        <f>VLOOKUP([jobnumber],OvalData[],MATCH(Table2[[#Headers],[slatgage]],Table2[#Headers],0),0)</f>
        <v>18</v>
      </c>
      <c r="AL248" s="2">
        <f>VLOOKUP([jobnumber],OvalData[],MATCH(Table2[[#Headers],[Numer of Top Slats]],Table2[#Headers],0),0)</f>
        <v>0</v>
      </c>
      <c r="AM248" s="2">
        <f>VLOOKUP([jobnumber],OvalData[],MATCH(Table2[[#Headers],[Number of Bottom Slats]],Table2[#Headers],0),0)</f>
        <v>0</v>
      </c>
      <c r="AN248" s="2">
        <f>VLOOKUP([jobnumber],OvalData[],MATCH(Table2[[#Headers],[Solid Bottom Height]],Table2[#Headers],0),0)</f>
        <v>0</v>
      </c>
      <c r="AO248" s="2" t="str">
        <f>VLOOKUP([jobnumber],OvalData[],MATCH(Table2[[#Headers],[slatlength]],Table2[#Headers],0),0)</f>
        <v xml:space="preserve"> 18 ft.- 5 7/ 8"</v>
      </c>
      <c r="AP248" s="2">
        <f>VLOOKUP([jobnumber],OvalData[],MATCH(Table2[[#Headers],[Bottom Slat Length]],Table2[#Headers],0),0)</f>
        <v>0</v>
      </c>
      <c r="AQ248" s="2">
        <f>VLOOKUP([jobnumber],OvalData[],MATCH(Table2[[#Headers],[Number of Perferated Slats]],Table2[#Headers],0),0)</f>
        <v>0</v>
      </c>
      <c r="AR248" s="2">
        <f>VLOOKUP([jobnumber],OvalData[],MATCH(Table2[[#Headers],[First Preferated Slat From End]],Table2[#Headers],0),0)</f>
        <v>0</v>
      </c>
      <c r="AS248" s="2">
        <f>VLOOKUP([jobnumber],OvalData[],MATCH(Table2[[#Headers],[First Preferated Slat From Bottom]],Table2[#Headers],0),0)</f>
        <v>0</v>
      </c>
      <c r="AT248" s="2">
        <f>VLOOKUP([jobnumber],OvalData[],MATCH(Table2[[#Headers],[Total Number of Slats]],Table2[#Headers],0),0)</f>
        <v>51</v>
      </c>
      <c r="AU248" s="2">
        <f>VLOOKUP([jobnumber],OvalData[],MATCH(Table2[[#Headers],[Bottom Bar Slope]],Table2[#Headers],0),0)</f>
        <v>0</v>
      </c>
      <c r="AV248" s="2">
        <f>VLOOKUP([jobnumber],OvalData[],MATCH(Table2[[#Headers],[Bottom Bar Weight]],Table2[#Headers],0),0)</f>
        <v>80.5</v>
      </c>
      <c r="AW248" s="2" t="str">
        <f>VLOOKUP([jobnumber],OvalData[],MATCH(Table2[[#Headers],[Outer Spring Gage]],Table2[#Headers],0),0)</f>
        <v>Null</v>
      </c>
      <c r="AX248" s="2" t="str">
        <f>VLOOKUP([jobnumber],OvalData[],MATCH(Table2[[#Headers],[Outer Spring OD]],Table2[#Headers],0),0)</f>
        <v>Null</v>
      </c>
      <c r="AY248" s="2" t="str">
        <f>VLOOKUP([jobnumber],OvalData[],MATCH(Table2[[#Headers],[Outer Spring Length]],Table2[#Headers],0),0)</f>
        <v>Null</v>
      </c>
      <c r="AZ248" s="2" t="str">
        <f>VLOOKUP([jobnumber],OvalData[],MATCH(Table2[[#Headers],[Outer Spring Stretch]],Table2[#Headers],0),0)</f>
        <v>Null</v>
      </c>
      <c r="BA248" s="2" t="str">
        <f>VLOOKUP([jobnumber],OvalData[],MATCH(Table2[[#Headers],[Outer Spring Torque]],Table2[#Headers],0),0)</f>
        <v>Null</v>
      </c>
      <c r="BB248" s="2" t="str">
        <f>VLOOKUP([jobnumber],OvalData[],MATCH(Table2[[#Headers],[Outer Spring Max Turns]],Table2[#Headers],0),0)</f>
        <v>Null</v>
      </c>
      <c r="BC248" s="2" t="str">
        <f>VLOOKUP([jobnumber],OvalData[],MATCH(Table2[[#Headers],[Outer Spring Weight]],Table2[#Headers],0),0)</f>
        <v>Null</v>
      </c>
      <c r="BD248" s="2" t="str">
        <f>VLOOKUP([jobnumber],OvalData[],MATCH(Table2[[#Headers],[Inner Spring Gage]],Table2[#Headers],0),0)</f>
        <v>Null</v>
      </c>
      <c r="BE248" s="2" t="str">
        <f>VLOOKUP([jobnumber],OvalData[],MATCH(Table2[[#Headers],[Inner Spring OD]],Table2[#Headers],0),0)</f>
        <v>Null</v>
      </c>
      <c r="BF248" s="2" t="str">
        <f>VLOOKUP([jobnumber],OvalData[],MATCH(Table2[[#Headers],[Inner Spring Length]],Table2[#Headers],0),0)</f>
        <v>Null</v>
      </c>
      <c r="BG248" s="2" t="str">
        <f>VLOOKUP([jobnumber],OvalData[],MATCH(Table2[[#Headers],[Inner Spring Stretch]],Table2[#Headers],0),0)</f>
        <v>Null</v>
      </c>
      <c r="BH248" s="2" t="str">
        <f>VLOOKUP([jobnumber],OvalData[],MATCH(Table2[[#Headers],[Inner Spring Torque]],Table2[#Headers],0),0)</f>
        <v>Null</v>
      </c>
      <c r="BI248" s="2" t="str">
        <f>VLOOKUP([jobnumber],OvalData[],MATCH(Table2[[#Headers],[Inner Spring Max Turns]],Table2[#Headers],0),0)</f>
        <v>Null</v>
      </c>
      <c r="BJ248" s="2" t="str">
        <f>VLOOKUP([jobnumber],OvalData[],MATCH(Table2[[#Headers],[Inner Spring Weight]],Table2[#Headers],0),0)</f>
        <v>Null</v>
      </c>
      <c r="BK248" s="2">
        <f>VLOOKUP([jobnumber],OvalData[],MATCH(Table2[[#Headers],[Cycles]],Table2[#Headers],0),0)</f>
        <v>0</v>
      </c>
      <c r="BL248" s="2">
        <f>VLOOKUP([jobnumber],OvalData[],MATCH(Table2[[#Headers],[Total Spring Torque]],Table2[#Headers],0),0)</f>
        <v>0</v>
      </c>
      <c r="BM248" s="2">
        <f>VLOOKUP([jobnumber],OvalData[],MATCH(Table2[[#Headers],[Total Spring Weight]],Table2[#Headers],0),0)</f>
        <v>0</v>
      </c>
      <c r="BN248" s="2">
        <f>VLOOKUP([jobnumber],OvalData[],MATCH(Table2[[#Headers],[Pipe Weight]],Table2[#Headers],0),0)</f>
        <v>688.24239999999998</v>
      </c>
      <c r="BO248" s="2">
        <f>VLOOKUP([jobnumber],OvalData[],MATCH(Table2[[#Headers],[Max Pipe Deflection]],Table2[#Headers],0),0)</f>
        <v>2309</v>
      </c>
      <c r="BP248" s="2">
        <f>VLOOKUP([jobnumber],OvalData[],MATCH(Table2[[#Headers],[Number Non-Insulated Wrap Slats]],Table2[#Headers],0),0)</f>
        <v>0</v>
      </c>
      <c r="BQ248" s="2">
        <f>VLOOKUP([jobnumber],OvalData[],MATCH(Table2[[#Headers],[Number of Insolated Top Slats]],Table2[#Headers],0),0)</f>
        <v>45</v>
      </c>
      <c r="BR248" s="2">
        <f>VLOOKUP([jobnumber],OvalData[],MATCH(Table2[[#Headers],[Insolated Total Slats]],Table2[#Headers],0),0)</f>
        <v>45</v>
      </c>
      <c r="BS248" s="2">
        <f>VLOOKUP([jobnumber],OvalData[],MATCH(Table2[[#Headers],[Number of Slats]],Table2[#Headers],0),0)</f>
        <v>44.69</v>
      </c>
      <c r="BT248" s="2">
        <f>VLOOKUP([jobnumber],OvalData[],MATCH(Table2[[#Headers],[Wrap]],Table2[#Headers],0),0)</f>
        <v>0</v>
      </c>
      <c r="BU248" s="2">
        <f>VLOOKUP([jobnumber],OvalData[],MATCH(Table2[[#Headers],[Wall Angle Thickness]],Table2[#Headers],0),0)</f>
        <v>0</v>
      </c>
      <c r="BV248" s="2">
        <f>VLOOKUP([jobnumber],OvalData[],MATCH(Table2[[#Headers],[windlocks]],Table2[#Headers],0),0)</f>
        <v>0</v>
      </c>
      <c r="BW248" s="2" t="str">
        <f>VLOOKUP([jobnumber],OvalData[],MATCH(Table2[[#Headers],[bottombartype]],Table2[#Headers],0),0)</f>
        <v>SPECIAL</v>
      </c>
      <c r="BX248" s="2">
        <f>VLOOKUP([jobnumber],OvalData[],MATCH(Table2[[#Headers],[endlockweight]],Table2[#Headers],0),0)</f>
        <v>0.17</v>
      </c>
      <c r="BY248" s="2">
        <f>VLOOKUP([jobnumber],OvalData[],MATCH(Table2[[#Headers],[Endlock Total Weight]],Table2[#Headers],0),0)</f>
        <v>7.5972999999999997</v>
      </c>
      <c r="BZ248" s="2">
        <f>VLOOKUP([jobnumber],OvalData[],MATCH(Table2[[#Headers],[Grille Weight]],Table2[#Headers],0),0)</f>
        <v>0</v>
      </c>
      <c r="CA248" s="2">
        <f>VLOOKUP([jobnumber],OvalData[],MATCH(Table2[[#Headers],[barrelrings]],Table2[#Headers],0),0)</f>
        <v>1</v>
      </c>
    </row>
    <row r="249" spans="2:79">
      <c r="B249" s="2" t="str">
        <f>VLOOKUP([jobnumber],OvalData[],MATCH(Table2[[#Headers],[Hand]],Table2[#Headers],0),0)</f>
        <v>RH</v>
      </c>
      <c r="C249" s="2" t="str">
        <f>VLOOKUP([jobnumber],OvalData[],MATCH(Table2[[#Headers],[Model]],Table2[#Headers],0),0)</f>
        <v>SFMPP</v>
      </c>
      <c r="D249" s="2" t="str">
        <f>VLOOKUP([jobnumber],OvalData[],MATCH(Table2[[#Headers],[width]],Table2[#Headers],0),0)</f>
        <v xml:space="preserve"> 18 ft.- 2"</v>
      </c>
      <c r="E249" s="2" t="str">
        <f>VLOOKUP([jobnumber],OvalData[],MATCH(Table2[[#Headers],[stopheight]],Table2[#Headers],0),0)</f>
        <v xml:space="preserve"> 10 ft.- 0"</v>
      </c>
      <c r="F249" s="2" t="str">
        <f>VLOOKUP([jobnumber],OvalData[],MATCH(Table2[[#Headers],[Between Brackets]],Table2[#Headers],0),0)</f>
        <v xml:space="preserve"> 18 ft.- 7 7/ 8"</v>
      </c>
      <c r="G249" s="2" t="str">
        <f>VLOOKUP([jobnumber],OvalData[],MATCH(Table2[[#Headers],[shell]],Table2[#Headers],0),0)</f>
        <v>6 INCH TUBE</v>
      </c>
      <c r="H249" s="2" t="str">
        <f>VLOOKUP([jobnumber],OvalData[],MATCH(Table2[[#Headers],[pipewidth]],Table2[#Headers],0),0)</f>
        <v xml:space="preserve"> 18 ft.- 1 3/ 8"</v>
      </c>
      <c r="I249" s="2">
        <f>VLOOKUP([jobnumber],OvalData[],MATCH(Table2[[#Headers],[Support Tubes]],Table2[#Headers],0),0)</f>
        <v>0</v>
      </c>
      <c r="J249" s="2">
        <f>VLOOKUP([jobnumber],OvalData[],MATCH(Table2[[#Headers],[Upset]],Table2[#Headers],0),0)</f>
        <v>2</v>
      </c>
      <c r="K249" s="2" t="str">
        <f>VLOOKUP([jobnumber],OvalData[],MATCH(Table2[[#Headers],[Guide Type]],Table2[#Headers],0),0)</f>
        <v>SN2-4 5/8-E</v>
      </c>
      <c r="L249" s="2" t="str">
        <f>VLOOKUP([jobnumber],OvalData[],MATCH(Table2[[#Headers],[Wall Angle]],Table2[#Headers],0),0)</f>
        <v xml:space="preserve"> 11 ft.- 8"</v>
      </c>
      <c r="M249" s="2" t="str">
        <f>VLOOKUP([jobnumber],OvalData[],MATCH(Table2[[#Headers],[Middle Angle]],Table2[#Headers],0),0)</f>
        <v xml:space="preserve"> 10 ft.- 4 1/ 2"</v>
      </c>
      <c r="N249" s="2" t="str">
        <f>VLOOKUP([jobnumber],OvalData[],MATCH(Table2[[#Headers],[Front Angle]],Table2[#Headers],0),0)</f>
        <v xml:space="preserve"> 10 ft.- 3"</v>
      </c>
      <c r="O249" s="2">
        <f>VLOOKUP([jobnumber],OvalData[],MATCH(Table2[[#Headers],[Pipe Center Line]],Table2[#Headers],0),0)</f>
        <v>131</v>
      </c>
      <c r="P249" s="2">
        <f>VLOOKUP([jobnumber],OvalData[],MATCH(Table2[[#Headers],[Heat Expansion Gap]],Table2[#Headers],0),0)</f>
        <v>0</v>
      </c>
      <c r="Q249" s="2">
        <f>VLOOKUP([jobnumber],OvalData[],MATCH(Table2[[#Headers],[Hanging Weight Closed]],Table2[#Headers],0),0)</f>
        <v>795</v>
      </c>
      <c r="R249" s="2">
        <f>VLOOKUP([jobnumber],OvalData[],MATCH(Table2[[#Headers],[Hanging Weight Open]],Table2[#Headers],0),0)</f>
        <v>140</v>
      </c>
      <c r="S249" s="2">
        <f>VLOOKUP([jobnumber],OvalData[],MATCH(Table2[[#Headers],[Initial Lever Arm]],Table2[#Headers],0),0)</f>
        <v>4.25</v>
      </c>
      <c r="T249" s="2">
        <f>VLOOKUP([jobnumber],OvalData[],MATCH(Table2[[#Headers],[Turns to Raise]],Table2[#Headers],0),0)</f>
        <v>3.5859999999999999</v>
      </c>
      <c r="U249" s="2">
        <f>VLOOKUP([jobnumber],OvalData[],MATCH(Table2[[#Headers],[Final Lever Arm]],Table2[#Headers],0),0)</f>
        <v>6.37</v>
      </c>
      <c r="V249" s="2">
        <f>VLOOKUP([jobnumber],OvalData[],MATCH(Table2[[#Headers],[Torque Required Closed]],Table2[#Headers],0),0)</f>
        <v>3377.9</v>
      </c>
      <c r="W249" s="2">
        <f>VLOOKUP([jobnumber],OvalData[],MATCH(Table2[[#Headers],[Torque Required Open]],Table2[#Headers],0),0)</f>
        <v>892</v>
      </c>
      <c r="X249" s="2">
        <f>VLOOKUP([jobnumber],OvalData[],MATCH(Table2[[#Headers],[Pre Turns]],Table2[#Headers],0),0)</f>
        <v>1.3332999999999999</v>
      </c>
      <c r="Y249" s="2">
        <f>VLOOKUP([jobnumber],OvalData[],MATCH(Table2[[#Headers],[Required Torque Per Turn]],Table2[#Headers],0),0)</f>
        <v>688</v>
      </c>
      <c r="Z249" s="2">
        <f>VLOOKUP([jobnumber],OvalData[],MATCH(Table2[[#Headers],[Total Turns]],Table2[#Headers],0),0)</f>
        <v>4.91</v>
      </c>
      <c r="AA249" s="2">
        <f>VLOOKUP([jobnumber],OvalData[],MATCH(Table2[[#Headers],[Grille Vision Section]],Table2[#Headers],0),0)</f>
        <v>0</v>
      </c>
      <c r="AB249" s="2">
        <f>VLOOKUP([jobnumber],OvalData[],MATCH(Table2[[#Headers],[Grille Amount]],Table2[#Headers],0),0)</f>
        <v>0</v>
      </c>
      <c r="AC249" s="2">
        <f>VLOOKUP([jobnumber],OvalData[],MATCH(Table2[[#Headers],[Grille Center]],Table2[#Headers],0),0)</f>
        <v>0</v>
      </c>
      <c r="AD249" s="2">
        <f>VLOOKUP([jobnumber],OvalData[],MATCH(Table2[[#Headers],[Grille Pattern]],Table2[#Headers],0),0)</f>
        <v>0</v>
      </c>
      <c r="AE249" s="2">
        <f>VLOOKUP([jobnumber],OvalData[],MATCH(Table2[[#Headers],[Grille First Tube]],Table2[#Headers],0),0)</f>
        <v>0</v>
      </c>
      <c r="AF249" s="2">
        <f>VLOOKUP([jobnumber],OvalData[],MATCH(Table2[[#Headers],[Grille Standard Tube]],Table2[#Headers],0),0)</f>
        <v>0</v>
      </c>
      <c r="AG249" s="2">
        <f>VLOOKUP([jobnumber],OvalData[],MATCH(Table2[[#Headers],[Grille Total Links]],Table2[#Headers],0),0)</f>
        <v>0</v>
      </c>
      <c r="AH249" s="2">
        <f>VLOOKUP([jobnumber],OvalData[],MATCH(Table2[[#Headers],[Grille Rods]],Table2[#Headers],0),0)</f>
        <v>0</v>
      </c>
      <c r="AI249" s="2">
        <f>VLOOKUP([jobnumber],OvalData[],MATCH(Table2[[#Headers],[Grille Rod Length]],Table2[#Headers],0),0)</f>
        <v>0</v>
      </c>
      <c r="AJ249" s="2">
        <f>VLOOKUP([jobnumber],OvalData[],MATCH(Table2[[#Headers],[slattype]],Table2[#Headers],0),0)</f>
        <v>2</v>
      </c>
      <c r="AK249" s="2">
        <f>VLOOKUP([jobnumber],OvalData[],MATCH(Table2[[#Headers],[slatgage]],Table2[#Headers],0),0)</f>
        <v>18</v>
      </c>
      <c r="AL249" s="2">
        <f>VLOOKUP([jobnumber],OvalData[],MATCH(Table2[[#Headers],[Numer of Top Slats]],Table2[#Headers],0),0)</f>
        <v>0</v>
      </c>
      <c r="AM249" s="2">
        <f>VLOOKUP([jobnumber],OvalData[],MATCH(Table2[[#Headers],[Number of Bottom Slats]],Table2[#Headers],0),0)</f>
        <v>0</v>
      </c>
      <c r="AN249" s="2">
        <f>VLOOKUP([jobnumber],OvalData[],MATCH(Table2[[#Headers],[Solid Bottom Height]],Table2[#Headers],0),0)</f>
        <v>0</v>
      </c>
      <c r="AO249" s="2" t="str">
        <f>VLOOKUP([jobnumber],OvalData[],MATCH(Table2[[#Headers],[slatlength]],Table2[#Headers],0),0)</f>
        <v xml:space="preserve"> 18 ft.- 5 7/ 8"</v>
      </c>
      <c r="AP249" s="2">
        <f>VLOOKUP([jobnumber],OvalData[],MATCH(Table2[[#Headers],[Bottom Slat Length]],Table2[#Headers],0),0)</f>
        <v>0</v>
      </c>
      <c r="AQ249" s="2">
        <f>VLOOKUP([jobnumber],OvalData[],MATCH(Table2[[#Headers],[Number of Perferated Slats]],Table2[#Headers],0),0)</f>
        <v>0</v>
      </c>
      <c r="AR249" s="2">
        <f>VLOOKUP([jobnumber],OvalData[],MATCH(Table2[[#Headers],[First Preferated Slat From End]],Table2[#Headers],0),0)</f>
        <v>0</v>
      </c>
      <c r="AS249" s="2">
        <f>VLOOKUP([jobnumber],OvalData[],MATCH(Table2[[#Headers],[First Preferated Slat From Bottom]],Table2[#Headers],0),0)</f>
        <v>0</v>
      </c>
      <c r="AT249" s="2">
        <f>VLOOKUP([jobnumber],OvalData[],MATCH(Table2[[#Headers],[Total Number of Slats]],Table2[#Headers],0),0)</f>
        <v>51</v>
      </c>
      <c r="AU249" s="2">
        <f>VLOOKUP([jobnumber],OvalData[],MATCH(Table2[[#Headers],[Bottom Bar Slope]],Table2[#Headers],0),0)</f>
        <v>0</v>
      </c>
      <c r="AV249" s="2">
        <f>VLOOKUP([jobnumber],OvalData[],MATCH(Table2[[#Headers],[Bottom Bar Weight]],Table2[#Headers],0),0)</f>
        <v>80.5</v>
      </c>
      <c r="AW249" s="2" t="str">
        <f>VLOOKUP([jobnumber],OvalData[],MATCH(Table2[[#Headers],[Outer Spring Gage]],Table2[#Headers],0),0)</f>
        <v>Null</v>
      </c>
      <c r="AX249" s="2" t="str">
        <f>VLOOKUP([jobnumber],OvalData[],MATCH(Table2[[#Headers],[Outer Spring OD]],Table2[#Headers],0),0)</f>
        <v>Null</v>
      </c>
      <c r="AY249" s="2" t="str">
        <f>VLOOKUP([jobnumber],OvalData[],MATCH(Table2[[#Headers],[Outer Spring Length]],Table2[#Headers],0),0)</f>
        <v>Null</v>
      </c>
      <c r="AZ249" s="2" t="str">
        <f>VLOOKUP([jobnumber],OvalData[],MATCH(Table2[[#Headers],[Outer Spring Stretch]],Table2[#Headers],0),0)</f>
        <v>Null</v>
      </c>
      <c r="BA249" s="2" t="str">
        <f>VLOOKUP([jobnumber],OvalData[],MATCH(Table2[[#Headers],[Outer Spring Torque]],Table2[#Headers],0),0)</f>
        <v>Null</v>
      </c>
      <c r="BB249" s="2" t="str">
        <f>VLOOKUP([jobnumber],OvalData[],MATCH(Table2[[#Headers],[Outer Spring Max Turns]],Table2[#Headers],0),0)</f>
        <v>Null</v>
      </c>
      <c r="BC249" s="2" t="str">
        <f>VLOOKUP([jobnumber],OvalData[],MATCH(Table2[[#Headers],[Outer Spring Weight]],Table2[#Headers],0),0)</f>
        <v>Null</v>
      </c>
      <c r="BD249" s="2" t="str">
        <f>VLOOKUP([jobnumber],OvalData[],MATCH(Table2[[#Headers],[Inner Spring Gage]],Table2[#Headers],0),0)</f>
        <v>Null</v>
      </c>
      <c r="BE249" s="2" t="str">
        <f>VLOOKUP([jobnumber],OvalData[],MATCH(Table2[[#Headers],[Inner Spring OD]],Table2[#Headers],0),0)</f>
        <v>Null</v>
      </c>
      <c r="BF249" s="2" t="str">
        <f>VLOOKUP([jobnumber],OvalData[],MATCH(Table2[[#Headers],[Inner Spring Length]],Table2[#Headers],0),0)</f>
        <v>Null</v>
      </c>
      <c r="BG249" s="2" t="str">
        <f>VLOOKUP([jobnumber],OvalData[],MATCH(Table2[[#Headers],[Inner Spring Stretch]],Table2[#Headers],0),0)</f>
        <v>Null</v>
      </c>
      <c r="BH249" s="2" t="str">
        <f>VLOOKUP([jobnumber],OvalData[],MATCH(Table2[[#Headers],[Inner Spring Torque]],Table2[#Headers],0),0)</f>
        <v>Null</v>
      </c>
      <c r="BI249" s="2" t="str">
        <f>VLOOKUP([jobnumber],OvalData[],MATCH(Table2[[#Headers],[Inner Spring Max Turns]],Table2[#Headers],0),0)</f>
        <v>Null</v>
      </c>
      <c r="BJ249" s="2" t="str">
        <f>VLOOKUP([jobnumber],OvalData[],MATCH(Table2[[#Headers],[Inner Spring Weight]],Table2[#Headers],0),0)</f>
        <v>Null</v>
      </c>
      <c r="BK249" s="2">
        <f>VLOOKUP([jobnumber],OvalData[],MATCH(Table2[[#Headers],[Cycles]],Table2[#Headers],0),0)</f>
        <v>0</v>
      </c>
      <c r="BL249" s="2">
        <f>VLOOKUP([jobnumber],OvalData[],MATCH(Table2[[#Headers],[Total Spring Torque]],Table2[#Headers],0),0)</f>
        <v>0</v>
      </c>
      <c r="BM249" s="2">
        <f>VLOOKUP([jobnumber],OvalData[],MATCH(Table2[[#Headers],[Total Spring Weight]],Table2[#Headers],0),0)</f>
        <v>0</v>
      </c>
      <c r="BN249" s="2">
        <f>VLOOKUP([jobnumber],OvalData[],MATCH(Table2[[#Headers],[Pipe Weight]],Table2[#Headers],0),0)</f>
        <v>688.24239999999998</v>
      </c>
      <c r="BO249" s="2">
        <f>VLOOKUP([jobnumber],OvalData[],MATCH(Table2[[#Headers],[Max Pipe Deflection]],Table2[#Headers],0),0)</f>
        <v>2309</v>
      </c>
      <c r="BP249" s="2">
        <f>VLOOKUP([jobnumber],OvalData[],MATCH(Table2[[#Headers],[Number Non-Insulated Wrap Slats]],Table2[#Headers],0),0)</f>
        <v>0</v>
      </c>
      <c r="BQ249" s="2">
        <f>VLOOKUP([jobnumber],OvalData[],MATCH(Table2[[#Headers],[Number of Insolated Top Slats]],Table2[#Headers],0),0)</f>
        <v>45</v>
      </c>
      <c r="BR249" s="2">
        <f>VLOOKUP([jobnumber],OvalData[],MATCH(Table2[[#Headers],[Insolated Total Slats]],Table2[#Headers],0),0)</f>
        <v>45</v>
      </c>
      <c r="BS249" s="2">
        <f>VLOOKUP([jobnumber],OvalData[],MATCH(Table2[[#Headers],[Number of Slats]],Table2[#Headers],0),0)</f>
        <v>44.69</v>
      </c>
      <c r="BT249" s="2">
        <f>VLOOKUP([jobnumber],OvalData[],MATCH(Table2[[#Headers],[Wrap]],Table2[#Headers],0),0)</f>
        <v>0</v>
      </c>
      <c r="BU249" s="2">
        <f>VLOOKUP([jobnumber],OvalData[],MATCH(Table2[[#Headers],[Wall Angle Thickness]],Table2[#Headers],0),0)</f>
        <v>0</v>
      </c>
      <c r="BV249" s="2">
        <f>VLOOKUP([jobnumber],OvalData[],MATCH(Table2[[#Headers],[windlocks]],Table2[#Headers],0),0)</f>
        <v>0</v>
      </c>
      <c r="BW249" s="2" t="str">
        <f>VLOOKUP([jobnumber],OvalData[],MATCH(Table2[[#Headers],[bottombartype]],Table2[#Headers],0),0)</f>
        <v>SPECIAL</v>
      </c>
      <c r="BX249" s="2">
        <f>VLOOKUP([jobnumber],OvalData[],MATCH(Table2[[#Headers],[endlockweight]],Table2[#Headers],0),0)</f>
        <v>0.17</v>
      </c>
      <c r="BY249" s="2">
        <f>VLOOKUP([jobnumber],OvalData[],MATCH(Table2[[#Headers],[Endlock Total Weight]],Table2[#Headers],0),0)</f>
        <v>7.5972999999999997</v>
      </c>
      <c r="BZ249" s="2">
        <f>VLOOKUP([jobnumber],OvalData[],MATCH(Table2[[#Headers],[Grille Weight]],Table2[#Headers],0),0)</f>
        <v>0</v>
      </c>
      <c r="CA249" s="2">
        <f>VLOOKUP([jobnumber],OvalData[],MATCH(Table2[[#Headers],[barrelrings]],Table2[#Headers],0),0)</f>
        <v>1</v>
      </c>
    </row>
    <row r="250" spans="2:79">
      <c r="B250" s="2" t="str">
        <f>VLOOKUP([jobnumber],OvalData[],MATCH(Table2[[#Headers],[Hand]],Table2[#Headers],0),0)</f>
        <v>RH</v>
      </c>
      <c r="C250" s="2" t="str">
        <f>VLOOKUP([jobnumber],OvalData[],MATCH(Table2[[#Headers],[Model]],Table2[#Headers],0),0)</f>
        <v>SFMPP</v>
      </c>
      <c r="D250" s="2" t="str">
        <f>VLOOKUP([jobnumber],OvalData[],MATCH(Table2[[#Headers],[width]],Table2[#Headers],0),0)</f>
        <v xml:space="preserve"> 18 ft.- 2"</v>
      </c>
      <c r="E250" s="2" t="str">
        <f>VLOOKUP([jobnumber],OvalData[],MATCH(Table2[[#Headers],[stopheight]],Table2[#Headers],0),0)</f>
        <v xml:space="preserve"> 10 ft.- 0"</v>
      </c>
      <c r="F250" s="2" t="str">
        <f>VLOOKUP([jobnumber],OvalData[],MATCH(Table2[[#Headers],[Between Brackets]],Table2[#Headers],0),0)</f>
        <v xml:space="preserve"> 18 ft.- 7 7/ 8"</v>
      </c>
      <c r="G250" s="2" t="str">
        <f>VLOOKUP([jobnumber],OvalData[],MATCH(Table2[[#Headers],[shell]],Table2[#Headers],0),0)</f>
        <v>6 INCH TUBE</v>
      </c>
      <c r="H250" s="2" t="str">
        <f>VLOOKUP([jobnumber],OvalData[],MATCH(Table2[[#Headers],[pipewidth]],Table2[#Headers],0),0)</f>
        <v xml:space="preserve"> 18 ft.- 1 3/ 8"</v>
      </c>
      <c r="I250" s="2">
        <f>VLOOKUP([jobnumber],OvalData[],MATCH(Table2[[#Headers],[Support Tubes]],Table2[#Headers],0),0)</f>
        <v>0</v>
      </c>
      <c r="J250" s="2">
        <f>VLOOKUP([jobnumber],OvalData[],MATCH(Table2[[#Headers],[Upset]],Table2[#Headers],0),0)</f>
        <v>2</v>
      </c>
      <c r="K250" s="2" t="str">
        <f>VLOOKUP([jobnumber],OvalData[],MATCH(Table2[[#Headers],[Guide Type]],Table2[#Headers],0),0)</f>
        <v>SN2-4 5/8-E</v>
      </c>
      <c r="L250" s="2" t="str">
        <f>VLOOKUP([jobnumber],OvalData[],MATCH(Table2[[#Headers],[Wall Angle]],Table2[#Headers],0),0)</f>
        <v xml:space="preserve"> 11 ft.- 8"</v>
      </c>
      <c r="M250" s="2" t="str">
        <f>VLOOKUP([jobnumber],OvalData[],MATCH(Table2[[#Headers],[Middle Angle]],Table2[#Headers],0),0)</f>
        <v xml:space="preserve"> 10 ft.- 4 1/ 2"</v>
      </c>
      <c r="N250" s="2" t="str">
        <f>VLOOKUP([jobnumber],OvalData[],MATCH(Table2[[#Headers],[Front Angle]],Table2[#Headers],0),0)</f>
        <v xml:space="preserve"> 10 ft.- 3"</v>
      </c>
      <c r="O250" s="2">
        <f>VLOOKUP([jobnumber],OvalData[],MATCH(Table2[[#Headers],[Pipe Center Line]],Table2[#Headers],0),0)</f>
        <v>131</v>
      </c>
      <c r="P250" s="2">
        <f>VLOOKUP([jobnumber],OvalData[],MATCH(Table2[[#Headers],[Heat Expansion Gap]],Table2[#Headers],0),0)</f>
        <v>0</v>
      </c>
      <c r="Q250" s="2">
        <f>VLOOKUP([jobnumber],OvalData[],MATCH(Table2[[#Headers],[Hanging Weight Closed]],Table2[#Headers],0),0)</f>
        <v>795</v>
      </c>
      <c r="R250" s="2">
        <f>VLOOKUP([jobnumber],OvalData[],MATCH(Table2[[#Headers],[Hanging Weight Open]],Table2[#Headers],0),0)</f>
        <v>140</v>
      </c>
      <c r="S250" s="2">
        <f>VLOOKUP([jobnumber],OvalData[],MATCH(Table2[[#Headers],[Initial Lever Arm]],Table2[#Headers],0),0)</f>
        <v>4.25</v>
      </c>
      <c r="T250" s="2">
        <f>VLOOKUP([jobnumber],OvalData[],MATCH(Table2[[#Headers],[Turns to Raise]],Table2[#Headers],0),0)</f>
        <v>3.5859999999999999</v>
      </c>
      <c r="U250" s="2">
        <f>VLOOKUP([jobnumber],OvalData[],MATCH(Table2[[#Headers],[Final Lever Arm]],Table2[#Headers],0),0)</f>
        <v>6.37</v>
      </c>
      <c r="V250" s="2">
        <f>VLOOKUP([jobnumber],OvalData[],MATCH(Table2[[#Headers],[Torque Required Closed]],Table2[#Headers],0),0)</f>
        <v>3377.9</v>
      </c>
      <c r="W250" s="2">
        <f>VLOOKUP([jobnumber],OvalData[],MATCH(Table2[[#Headers],[Torque Required Open]],Table2[#Headers],0),0)</f>
        <v>892</v>
      </c>
      <c r="X250" s="2">
        <f>VLOOKUP([jobnumber],OvalData[],MATCH(Table2[[#Headers],[Pre Turns]],Table2[#Headers],0),0)</f>
        <v>1.3332999999999999</v>
      </c>
      <c r="Y250" s="2">
        <f>VLOOKUP([jobnumber],OvalData[],MATCH(Table2[[#Headers],[Required Torque Per Turn]],Table2[#Headers],0),0)</f>
        <v>688</v>
      </c>
      <c r="Z250" s="2">
        <f>VLOOKUP([jobnumber],OvalData[],MATCH(Table2[[#Headers],[Total Turns]],Table2[#Headers],0),0)</f>
        <v>4.91</v>
      </c>
      <c r="AA250" s="2">
        <f>VLOOKUP([jobnumber],OvalData[],MATCH(Table2[[#Headers],[Grille Vision Section]],Table2[#Headers],0),0)</f>
        <v>0</v>
      </c>
      <c r="AB250" s="2">
        <f>VLOOKUP([jobnumber],OvalData[],MATCH(Table2[[#Headers],[Grille Amount]],Table2[#Headers],0),0)</f>
        <v>0</v>
      </c>
      <c r="AC250" s="2">
        <f>VLOOKUP([jobnumber],OvalData[],MATCH(Table2[[#Headers],[Grille Center]],Table2[#Headers],0),0)</f>
        <v>0</v>
      </c>
      <c r="AD250" s="2">
        <f>VLOOKUP([jobnumber],OvalData[],MATCH(Table2[[#Headers],[Grille Pattern]],Table2[#Headers],0),0)</f>
        <v>0</v>
      </c>
      <c r="AE250" s="2">
        <f>VLOOKUP([jobnumber],OvalData[],MATCH(Table2[[#Headers],[Grille First Tube]],Table2[#Headers],0),0)</f>
        <v>0</v>
      </c>
      <c r="AF250" s="2">
        <f>VLOOKUP([jobnumber],OvalData[],MATCH(Table2[[#Headers],[Grille Standard Tube]],Table2[#Headers],0),0)</f>
        <v>0</v>
      </c>
      <c r="AG250" s="2">
        <f>VLOOKUP([jobnumber],OvalData[],MATCH(Table2[[#Headers],[Grille Total Links]],Table2[#Headers],0),0)</f>
        <v>0</v>
      </c>
      <c r="AH250" s="2">
        <f>VLOOKUP([jobnumber],OvalData[],MATCH(Table2[[#Headers],[Grille Rods]],Table2[#Headers],0),0)</f>
        <v>0</v>
      </c>
      <c r="AI250" s="2">
        <f>VLOOKUP([jobnumber],OvalData[],MATCH(Table2[[#Headers],[Grille Rod Length]],Table2[#Headers],0),0)</f>
        <v>0</v>
      </c>
      <c r="AJ250" s="2">
        <f>VLOOKUP([jobnumber],OvalData[],MATCH(Table2[[#Headers],[slattype]],Table2[#Headers],0),0)</f>
        <v>2</v>
      </c>
      <c r="AK250" s="2">
        <f>VLOOKUP([jobnumber],OvalData[],MATCH(Table2[[#Headers],[slatgage]],Table2[#Headers],0),0)</f>
        <v>18</v>
      </c>
      <c r="AL250" s="2">
        <f>VLOOKUP([jobnumber],OvalData[],MATCH(Table2[[#Headers],[Numer of Top Slats]],Table2[#Headers],0),0)</f>
        <v>0</v>
      </c>
      <c r="AM250" s="2">
        <f>VLOOKUP([jobnumber],OvalData[],MATCH(Table2[[#Headers],[Number of Bottom Slats]],Table2[#Headers],0),0)</f>
        <v>0</v>
      </c>
      <c r="AN250" s="2">
        <f>VLOOKUP([jobnumber],OvalData[],MATCH(Table2[[#Headers],[Solid Bottom Height]],Table2[#Headers],0),0)</f>
        <v>0</v>
      </c>
      <c r="AO250" s="2" t="str">
        <f>VLOOKUP([jobnumber],OvalData[],MATCH(Table2[[#Headers],[slatlength]],Table2[#Headers],0),0)</f>
        <v xml:space="preserve"> 18 ft.- 5 7/ 8"</v>
      </c>
      <c r="AP250" s="2">
        <f>VLOOKUP([jobnumber],OvalData[],MATCH(Table2[[#Headers],[Bottom Slat Length]],Table2[#Headers],0),0)</f>
        <v>0</v>
      </c>
      <c r="AQ250" s="2">
        <f>VLOOKUP([jobnumber],OvalData[],MATCH(Table2[[#Headers],[Number of Perferated Slats]],Table2[#Headers],0),0)</f>
        <v>0</v>
      </c>
      <c r="AR250" s="2">
        <f>VLOOKUP([jobnumber],OvalData[],MATCH(Table2[[#Headers],[First Preferated Slat From End]],Table2[#Headers],0),0)</f>
        <v>0</v>
      </c>
      <c r="AS250" s="2">
        <f>VLOOKUP([jobnumber],OvalData[],MATCH(Table2[[#Headers],[First Preferated Slat From Bottom]],Table2[#Headers],0),0)</f>
        <v>0</v>
      </c>
      <c r="AT250" s="2">
        <f>VLOOKUP([jobnumber],OvalData[],MATCH(Table2[[#Headers],[Total Number of Slats]],Table2[#Headers],0),0)</f>
        <v>51</v>
      </c>
      <c r="AU250" s="2">
        <f>VLOOKUP([jobnumber],OvalData[],MATCH(Table2[[#Headers],[Bottom Bar Slope]],Table2[#Headers],0),0)</f>
        <v>0</v>
      </c>
      <c r="AV250" s="2">
        <f>VLOOKUP([jobnumber],OvalData[],MATCH(Table2[[#Headers],[Bottom Bar Weight]],Table2[#Headers],0),0)</f>
        <v>80.5</v>
      </c>
      <c r="AW250" s="2" t="str">
        <f>VLOOKUP([jobnumber],OvalData[],MATCH(Table2[[#Headers],[Outer Spring Gage]],Table2[#Headers],0),0)</f>
        <v>Null</v>
      </c>
      <c r="AX250" s="2" t="str">
        <f>VLOOKUP([jobnumber],OvalData[],MATCH(Table2[[#Headers],[Outer Spring OD]],Table2[#Headers],0),0)</f>
        <v>Null</v>
      </c>
      <c r="AY250" s="2" t="str">
        <f>VLOOKUP([jobnumber],OvalData[],MATCH(Table2[[#Headers],[Outer Spring Length]],Table2[#Headers],0),0)</f>
        <v>Null</v>
      </c>
      <c r="AZ250" s="2" t="str">
        <f>VLOOKUP([jobnumber],OvalData[],MATCH(Table2[[#Headers],[Outer Spring Stretch]],Table2[#Headers],0),0)</f>
        <v>Null</v>
      </c>
      <c r="BA250" s="2" t="str">
        <f>VLOOKUP([jobnumber],OvalData[],MATCH(Table2[[#Headers],[Outer Spring Torque]],Table2[#Headers],0),0)</f>
        <v>Null</v>
      </c>
      <c r="BB250" s="2" t="str">
        <f>VLOOKUP([jobnumber],OvalData[],MATCH(Table2[[#Headers],[Outer Spring Max Turns]],Table2[#Headers],0),0)</f>
        <v>Null</v>
      </c>
      <c r="BC250" s="2" t="str">
        <f>VLOOKUP([jobnumber],OvalData[],MATCH(Table2[[#Headers],[Outer Spring Weight]],Table2[#Headers],0),0)</f>
        <v>Null</v>
      </c>
      <c r="BD250" s="2" t="str">
        <f>VLOOKUP([jobnumber],OvalData[],MATCH(Table2[[#Headers],[Inner Spring Gage]],Table2[#Headers],0),0)</f>
        <v>Null</v>
      </c>
      <c r="BE250" s="2" t="str">
        <f>VLOOKUP([jobnumber],OvalData[],MATCH(Table2[[#Headers],[Inner Spring OD]],Table2[#Headers],0),0)</f>
        <v>Null</v>
      </c>
      <c r="BF250" s="2" t="str">
        <f>VLOOKUP([jobnumber],OvalData[],MATCH(Table2[[#Headers],[Inner Spring Length]],Table2[#Headers],0),0)</f>
        <v>Null</v>
      </c>
      <c r="BG250" s="2" t="str">
        <f>VLOOKUP([jobnumber],OvalData[],MATCH(Table2[[#Headers],[Inner Spring Stretch]],Table2[#Headers],0),0)</f>
        <v>Null</v>
      </c>
      <c r="BH250" s="2" t="str">
        <f>VLOOKUP([jobnumber],OvalData[],MATCH(Table2[[#Headers],[Inner Spring Torque]],Table2[#Headers],0),0)</f>
        <v>Null</v>
      </c>
      <c r="BI250" s="2" t="str">
        <f>VLOOKUP([jobnumber],OvalData[],MATCH(Table2[[#Headers],[Inner Spring Max Turns]],Table2[#Headers],0),0)</f>
        <v>Null</v>
      </c>
      <c r="BJ250" s="2" t="str">
        <f>VLOOKUP([jobnumber],OvalData[],MATCH(Table2[[#Headers],[Inner Spring Weight]],Table2[#Headers],0),0)</f>
        <v>Null</v>
      </c>
      <c r="BK250" s="2">
        <f>VLOOKUP([jobnumber],OvalData[],MATCH(Table2[[#Headers],[Cycles]],Table2[#Headers],0),0)</f>
        <v>0</v>
      </c>
      <c r="BL250" s="2">
        <f>VLOOKUP([jobnumber],OvalData[],MATCH(Table2[[#Headers],[Total Spring Torque]],Table2[#Headers],0),0)</f>
        <v>0</v>
      </c>
      <c r="BM250" s="2">
        <f>VLOOKUP([jobnumber],OvalData[],MATCH(Table2[[#Headers],[Total Spring Weight]],Table2[#Headers],0),0)</f>
        <v>0</v>
      </c>
      <c r="BN250" s="2">
        <f>VLOOKUP([jobnumber],OvalData[],MATCH(Table2[[#Headers],[Pipe Weight]],Table2[#Headers],0),0)</f>
        <v>688.24239999999998</v>
      </c>
      <c r="BO250" s="2">
        <f>VLOOKUP([jobnumber],OvalData[],MATCH(Table2[[#Headers],[Max Pipe Deflection]],Table2[#Headers],0),0)</f>
        <v>2309</v>
      </c>
      <c r="BP250" s="2">
        <f>VLOOKUP([jobnumber],OvalData[],MATCH(Table2[[#Headers],[Number Non-Insulated Wrap Slats]],Table2[#Headers],0),0)</f>
        <v>0</v>
      </c>
      <c r="BQ250" s="2">
        <f>VLOOKUP([jobnumber],OvalData[],MATCH(Table2[[#Headers],[Number of Insolated Top Slats]],Table2[#Headers],0),0)</f>
        <v>45</v>
      </c>
      <c r="BR250" s="2">
        <f>VLOOKUP([jobnumber],OvalData[],MATCH(Table2[[#Headers],[Insolated Total Slats]],Table2[#Headers],0),0)</f>
        <v>45</v>
      </c>
      <c r="BS250" s="2">
        <f>VLOOKUP([jobnumber],OvalData[],MATCH(Table2[[#Headers],[Number of Slats]],Table2[#Headers],0),0)</f>
        <v>44.69</v>
      </c>
      <c r="BT250" s="2">
        <f>VLOOKUP([jobnumber],OvalData[],MATCH(Table2[[#Headers],[Wrap]],Table2[#Headers],0),0)</f>
        <v>0</v>
      </c>
      <c r="BU250" s="2">
        <f>VLOOKUP([jobnumber],OvalData[],MATCH(Table2[[#Headers],[Wall Angle Thickness]],Table2[#Headers],0),0)</f>
        <v>0</v>
      </c>
      <c r="BV250" s="2">
        <f>VLOOKUP([jobnumber],OvalData[],MATCH(Table2[[#Headers],[windlocks]],Table2[#Headers],0),0)</f>
        <v>0</v>
      </c>
      <c r="BW250" s="2" t="str">
        <f>VLOOKUP([jobnumber],OvalData[],MATCH(Table2[[#Headers],[bottombartype]],Table2[#Headers],0),0)</f>
        <v>SPECIAL</v>
      </c>
      <c r="BX250" s="2">
        <f>VLOOKUP([jobnumber],OvalData[],MATCH(Table2[[#Headers],[endlockweight]],Table2[#Headers],0),0)</f>
        <v>0.17</v>
      </c>
      <c r="BY250" s="2">
        <f>VLOOKUP([jobnumber],OvalData[],MATCH(Table2[[#Headers],[Endlock Total Weight]],Table2[#Headers],0),0)</f>
        <v>7.5972999999999997</v>
      </c>
      <c r="BZ250" s="2">
        <f>VLOOKUP([jobnumber],OvalData[],MATCH(Table2[[#Headers],[Grille Weight]],Table2[#Headers],0),0)</f>
        <v>0</v>
      </c>
      <c r="CA250" s="2">
        <f>VLOOKUP([jobnumber],OvalData[],MATCH(Table2[[#Headers],[barrelrings]],Table2[#Headers],0),0)</f>
        <v>1</v>
      </c>
    </row>
    <row r="251" spans="2:79">
      <c r="B251" s="2" t="str">
        <f>VLOOKUP([jobnumber],OvalData[],MATCH(Table2[[#Headers],[Hand]],Table2[#Headers],0),0)</f>
        <v>RH</v>
      </c>
      <c r="C251" s="2" t="str">
        <f>VLOOKUP([jobnumber],OvalData[],MATCH(Table2[[#Headers],[Model]],Table2[#Headers],0),0)</f>
        <v>SFMPP</v>
      </c>
      <c r="D251" s="2" t="str">
        <f>VLOOKUP([jobnumber],OvalData[],MATCH(Table2[[#Headers],[width]],Table2[#Headers],0),0)</f>
        <v xml:space="preserve"> 18 ft.- 2"</v>
      </c>
      <c r="E251" s="2" t="str">
        <f>VLOOKUP([jobnumber],OvalData[],MATCH(Table2[[#Headers],[stopheight]],Table2[#Headers],0),0)</f>
        <v xml:space="preserve"> 10 ft.- 0"</v>
      </c>
      <c r="F251" s="2" t="str">
        <f>VLOOKUP([jobnumber],OvalData[],MATCH(Table2[[#Headers],[Between Brackets]],Table2[#Headers],0),0)</f>
        <v xml:space="preserve"> 18 ft.- 7 7/ 8"</v>
      </c>
      <c r="G251" s="2" t="str">
        <f>VLOOKUP([jobnumber],OvalData[],MATCH(Table2[[#Headers],[shell]],Table2[#Headers],0),0)</f>
        <v>6 INCH TUBE</v>
      </c>
      <c r="H251" s="2" t="str">
        <f>VLOOKUP([jobnumber],OvalData[],MATCH(Table2[[#Headers],[pipewidth]],Table2[#Headers],0),0)</f>
        <v xml:space="preserve"> 18 ft.- 1 3/ 8"</v>
      </c>
      <c r="I251" s="2">
        <f>VLOOKUP([jobnumber],OvalData[],MATCH(Table2[[#Headers],[Support Tubes]],Table2[#Headers],0),0)</f>
        <v>0</v>
      </c>
      <c r="J251" s="2">
        <f>VLOOKUP([jobnumber],OvalData[],MATCH(Table2[[#Headers],[Upset]],Table2[#Headers],0),0)</f>
        <v>2</v>
      </c>
      <c r="K251" s="2" t="str">
        <f>VLOOKUP([jobnumber],OvalData[],MATCH(Table2[[#Headers],[Guide Type]],Table2[#Headers],0),0)</f>
        <v>SN2-4 5/8-E</v>
      </c>
      <c r="L251" s="2" t="str">
        <f>VLOOKUP([jobnumber],OvalData[],MATCH(Table2[[#Headers],[Wall Angle]],Table2[#Headers],0),0)</f>
        <v xml:space="preserve"> 11 ft.- 8"</v>
      </c>
      <c r="M251" s="2" t="str">
        <f>VLOOKUP([jobnumber],OvalData[],MATCH(Table2[[#Headers],[Middle Angle]],Table2[#Headers],0),0)</f>
        <v xml:space="preserve"> 10 ft.- 4 1/ 2"</v>
      </c>
      <c r="N251" s="2" t="str">
        <f>VLOOKUP([jobnumber],OvalData[],MATCH(Table2[[#Headers],[Front Angle]],Table2[#Headers],0),0)</f>
        <v xml:space="preserve"> 10 ft.- 3"</v>
      </c>
      <c r="O251" s="2">
        <f>VLOOKUP([jobnumber],OvalData[],MATCH(Table2[[#Headers],[Pipe Center Line]],Table2[#Headers],0),0)</f>
        <v>131</v>
      </c>
      <c r="P251" s="2">
        <f>VLOOKUP([jobnumber],OvalData[],MATCH(Table2[[#Headers],[Heat Expansion Gap]],Table2[#Headers],0),0)</f>
        <v>0</v>
      </c>
      <c r="Q251" s="2">
        <f>VLOOKUP([jobnumber],OvalData[],MATCH(Table2[[#Headers],[Hanging Weight Closed]],Table2[#Headers],0),0)</f>
        <v>795</v>
      </c>
      <c r="R251" s="2">
        <f>VLOOKUP([jobnumber],OvalData[],MATCH(Table2[[#Headers],[Hanging Weight Open]],Table2[#Headers],0),0)</f>
        <v>140</v>
      </c>
      <c r="S251" s="2">
        <f>VLOOKUP([jobnumber],OvalData[],MATCH(Table2[[#Headers],[Initial Lever Arm]],Table2[#Headers],0),0)</f>
        <v>4.25</v>
      </c>
      <c r="T251" s="2">
        <f>VLOOKUP([jobnumber],OvalData[],MATCH(Table2[[#Headers],[Turns to Raise]],Table2[#Headers],0),0)</f>
        <v>3.5859999999999999</v>
      </c>
      <c r="U251" s="2">
        <f>VLOOKUP([jobnumber],OvalData[],MATCH(Table2[[#Headers],[Final Lever Arm]],Table2[#Headers],0),0)</f>
        <v>6.37</v>
      </c>
      <c r="V251" s="2">
        <f>VLOOKUP([jobnumber],OvalData[],MATCH(Table2[[#Headers],[Torque Required Closed]],Table2[#Headers],0),0)</f>
        <v>3377.9</v>
      </c>
      <c r="W251" s="2">
        <f>VLOOKUP([jobnumber],OvalData[],MATCH(Table2[[#Headers],[Torque Required Open]],Table2[#Headers],0),0)</f>
        <v>892</v>
      </c>
      <c r="X251" s="2">
        <f>VLOOKUP([jobnumber],OvalData[],MATCH(Table2[[#Headers],[Pre Turns]],Table2[#Headers],0),0)</f>
        <v>1.3332999999999999</v>
      </c>
      <c r="Y251" s="2">
        <f>VLOOKUP([jobnumber],OvalData[],MATCH(Table2[[#Headers],[Required Torque Per Turn]],Table2[#Headers],0),0)</f>
        <v>688</v>
      </c>
      <c r="Z251" s="2">
        <f>VLOOKUP([jobnumber],OvalData[],MATCH(Table2[[#Headers],[Total Turns]],Table2[#Headers],0),0)</f>
        <v>4.91</v>
      </c>
      <c r="AA251" s="2">
        <f>VLOOKUP([jobnumber],OvalData[],MATCH(Table2[[#Headers],[Grille Vision Section]],Table2[#Headers],0),0)</f>
        <v>0</v>
      </c>
      <c r="AB251" s="2">
        <f>VLOOKUP([jobnumber],OvalData[],MATCH(Table2[[#Headers],[Grille Amount]],Table2[#Headers],0),0)</f>
        <v>0</v>
      </c>
      <c r="AC251" s="2">
        <f>VLOOKUP([jobnumber],OvalData[],MATCH(Table2[[#Headers],[Grille Center]],Table2[#Headers],0),0)</f>
        <v>0</v>
      </c>
      <c r="AD251" s="2">
        <f>VLOOKUP([jobnumber],OvalData[],MATCH(Table2[[#Headers],[Grille Pattern]],Table2[#Headers],0),0)</f>
        <v>0</v>
      </c>
      <c r="AE251" s="2">
        <f>VLOOKUP([jobnumber],OvalData[],MATCH(Table2[[#Headers],[Grille First Tube]],Table2[#Headers],0),0)</f>
        <v>0</v>
      </c>
      <c r="AF251" s="2">
        <f>VLOOKUP([jobnumber],OvalData[],MATCH(Table2[[#Headers],[Grille Standard Tube]],Table2[#Headers],0),0)</f>
        <v>0</v>
      </c>
      <c r="AG251" s="2">
        <f>VLOOKUP([jobnumber],OvalData[],MATCH(Table2[[#Headers],[Grille Total Links]],Table2[#Headers],0),0)</f>
        <v>0</v>
      </c>
      <c r="AH251" s="2">
        <f>VLOOKUP([jobnumber],OvalData[],MATCH(Table2[[#Headers],[Grille Rods]],Table2[#Headers],0),0)</f>
        <v>0</v>
      </c>
      <c r="AI251" s="2">
        <f>VLOOKUP([jobnumber],OvalData[],MATCH(Table2[[#Headers],[Grille Rod Length]],Table2[#Headers],0),0)</f>
        <v>0</v>
      </c>
      <c r="AJ251" s="2">
        <f>VLOOKUP([jobnumber],OvalData[],MATCH(Table2[[#Headers],[slattype]],Table2[#Headers],0),0)</f>
        <v>2</v>
      </c>
      <c r="AK251" s="2">
        <f>VLOOKUP([jobnumber],OvalData[],MATCH(Table2[[#Headers],[slatgage]],Table2[#Headers],0),0)</f>
        <v>18</v>
      </c>
      <c r="AL251" s="2">
        <f>VLOOKUP([jobnumber],OvalData[],MATCH(Table2[[#Headers],[Numer of Top Slats]],Table2[#Headers],0),0)</f>
        <v>0</v>
      </c>
      <c r="AM251" s="2">
        <f>VLOOKUP([jobnumber],OvalData[],MATCH(Table2[[#Headers],[Number of Bottom Slats]],Table2[#Headers],0),0)</f>
        <v>0</v>
      </c>
      <c r="AN251" s="2">
        <f>VLOOKUP([jobnumber],OvalData[],MATCH(Table2[[#Headers],[Solid Bottom Height]],Table2[#Headers],0),0)</f>
        <v>0</v>
      </c>
      <c r="AO251" s="2" t="str">
        <f>VLOOKUP([jobnumber],OvalData[],MATCH(Table2[[#Headers],[slatlength]],Table2[#Headers],0),0)</f>
        <v xml:space="preserve"> 18 ft.- 5 7/ 8"</v>
      </c>
      <c r="AP251" s="2">
        <f>VLOOKUP([jobnumber],OvalData[],MATCH(Table2[[#Headers],[Bottom Slat Length]],Table2[#Headers],0),0)</f>
        <v>0</v>
      </c>
      <c r="AQ251" s="2">
        <f>VLOOKUP([jobnumber],OvalData[],MATCH(Table2[[#Headers],[Number of Perferated Slats]],Table2[#Headers],0),0)</f>
        <v>0</v>
      </c>
      <c r="AR251" s="2">
        <f>VLOOKUP([jobnumber],OvalData[],MATCH(Table2[[#Headers],[First Preferated Slat From End]],Table2[#Headers],0),0)</f>
        <v>0</v>
      </c>
      <c r="AS251" s="2">
        <f>VLOOKUP([jobnumber],OvalData[],MATCH(Table2[[#Headers],[First Preferated Slat From Bottom]],Table2[#Headers],0),0)</f>
        <v>0</v>
      </c>
      <c r="AT251" s="2">
        <f>VLOOKUP([jobnumber],OvalData[],MATCH(Table2[[#Headers],[Total Number of Slats]],Table2[#Headers],0),0)</f>
        <v>51</v>
      </c>
      <c r="AU251" s="2">
        <f>VLOOKUP([jobnumber],OvalData[],MATCH(Table2[[#Headers],[Bottom Bar Slope]],Table2[#Headers],0),0)</f>
        <v>0</v>
      </c>
      <c r="AV251" s="2">
        <f>VLOOKUP([jobnumber],OvalData[],MATCH(Table2[[#Headers],[Bottom Bar Weight]],Table2[#Headers],0),0)</f>
        <v>80.5</v>
      </c>
      <c r="AW251" s="2" t="str">
        <f>VLOOKUP([jobnumber],OvalData[],MATCH(Table2[[#Headers],[Outer Spring Gage]],Table2[#Headers],0),0)</f>
        <v>Null</v>
      </c>
      <c r="AX251" s="2" t="str">
        <f>VLOOKUP([jobnumber],OvalData[],MATCH(Table2[[#Headers],[Outer Spring OD]],Table2[#Headers],0),0)</f>
        <v>Null</v>
      </c>
      <c r="AY251" s="2" t="str">
        <f>VLOOKUP([jobnumber],OvalData[],MATCH(Table2[[#Headers],[Outer Spring Length]],Table2[#Headers],0),0)</f>
        <v>Null</v>
      </c>
      <c r="AZ251" s="2" t="str">
        <f>VLOOKUP([jobnumber],OvalData[],MATCH(Table2[[#Headers],[Outer Spring Stretch]],Table2[#Headers],0),0)</f>
        <v>Null</v>
      </c>
      <c r="BA251" s="2" t="str">
        <f>VLOOKUP([jobnumber],OvalData[],MATCH(Table2[[#Headers],[Outer Spring Torque]],Table2[#Headers],0),0)</f>
        <v>Null</v>
      </c>
      <c r="BB251" s="2" t="str">
        <f>VLOOKUP([jobnumber],OvalData[],MATCH(Table2[[#Headers],[Outer Spring Max Turns]],Table2[#Headers],0),0)</f>
        <v>Null</v>
      </c>
      <c r="BC251" s="2" t="str">
        <f>VLOOKUP([jobnumber],OvalData[],MATCH(Table2[[#Headers],[Outer Spring Weight]],Table2[#Headers],0),0)</f>
        <v>Null</v>
      </c>
      <c r="BD251" s="2" t="str">
        <f>VLOOKUP([jobnumber],OvalData[],MATCH(Table2[[#Headers],[Inner Spring Gage]],Table2[#Headers],0),0)</f>
        <v>Null</v>
      </c>
      <c r="BE251" s="2" t="str">
        <f>VLOOKUP([jobnumber],OvalData[],MATCH(Table2[[#Headers],[Inner Spring OD]],Table2[#Headers],0),0)</f>
        <v>Null</v>
      </c>
      <c r="BF251" s="2" t="str">
        <f>VLOOKUP([jobnumber],OvalData[],MATCH(Table2[[#Headers],[Inner Spring Length]],Table2[#Headers],0),0)</f>
        <v>Null</v>
      </c>
      <c r="BG251" s="2" t="str">
        <f>VLOOKUP([jobnumber],OvalData[],MATCH(Table2[[#Headers],[Inner Spring Stretch]],Table2[#Headers],0),0)</f>
        <v>Null</v>
      </c>
      <c r="BH251" s="2" t="str">
        <f>VLOOKUP([jobnumber],OvalData[],MATCH(Table2[[#Headers],[Inner Spring Torque]],Table2[#Headers],0),0)</f>
        <v>Null</v>
      </c>
      <c r="BI251" s="2" t="str">
        <f>VLOOKUP([jobnumber],OvalData[],MATCH(Table2[[#Headers],[Inner Spring Max Turns]],Table2[#Headers],0),0)</f>
        <v>Null</v>
      </c>
      <c r="BJ251" s="2" t="str">
        <f>VLOOKUP([jobnumber],OvalData[],MATCH(Table2[[#Headers],[Inner Spring Weight]],Table2[#Headers],0),0)</f>
        <v>Null</v>
      </c>
      <c r="BK251" s="2">
        <f>VLOOKUP([jobnumber],OvalData[],MATCH(Table2[[#Headers],[Cycles]],Table2[#Headers],0),0)</f>
        <v>0</v>
      </c>
      <c r="BL251" s="2">
        <f>VLOOKUP([jobnumber],OvalData[],MATCH(Table2[[#Headers],[Total Spring Torque]],Table2[#Headers],0),0)</f>
        <v>0</v>
      </c>
      <c r="BM251" s="2">
        <f>VLOOKUP([jobnumber],OvalData[],MATCH(Table2[[#Headers],[Total Spring Weight]],Table2[#Headers],0),0)</f>
        <v>0</v>
      </c>
      <c r="BN251" s="2">
        <f>VLOOKUP([jobnumber],OvalData[],MATCH(Table2[[#Headers],[Pipe Weight]],Table2[#Headers],0),0)</f>
        <v>688.24239999999998</v>
      </c>
      <c r="BO251" s="2">
        <f>VLOOKUP([jobnumber],OvalData[],MATCH(Table2[[#Headers],[Max Pipe Deflection]],Table2[#Headers],0),0)</f>
        <v>2309</v>
      </c>
      <c r="BP251" s="2">
        <f>VLOOKUP([jobnumber],OvalData[],MATCH(Table2[[#Headers],[Number Non-Insulated Wrap Slats]],Table2[#Headers],0),0)</f>
        <v>0</v>
      </c>
      <c r="BQ251" s="2">
        <f>VLOOKUP([jobnumber],OvalData[],MATCH(Table2[[#Headers],[Number of Insolated Top Slats]],Table2[#Headers],0),0)</f>
        <v>45</v>
      </c>
      <c r="BR251" s="2">
        <f>VLOOKUP([jobnumber],OvalData[],MATCH(Table2[[#Headers],[Insolated Total Slats]],Table2[#Headers],0),0)</f>
        <v>45</v>
      </c>
      <c r="BS251" s="2">
        <f>VLOOKUP([jobnumber],OvalData[],MATCH(Table2[[#Headers],[Number of Slats]],Table2[#Headers],0),0)</f>
        <v>44.69</v>
      </c>
      <c r="BT251" s="2">
        <f>VLOOKUP([jobnumber],OvalData[],MATCH(Table2[[#Headers],[Wrap]],Table2[#Headers],0),0)</f>
        <v>0</v>
      </c>
      <c r="BU251" s="2">
        <f>VLOOKUP([jobnumber],OvalData[],MATCH(Table2[[#Headers],[Wall Angle Thickness]],Table2[#Headers],0),0)</f>
        <v>0</v>
      </c>
      <c r="BV251" s="2">
        <f>VLOOKUP([jobnumber],OvalData[],MATCH(Table2[[#Headers],[windlocks]],Table2[#Headers],0),0)</f>
        <v>0</v>
      </c>
      <c r="BW251" s="2" t="str">
        <f>VLOOKUP([jobnumber],OvalData[],MATCH(Table2[[#Headers],[bottombartype]],Table2[#Headers],0),0)</f>
        <v>SPECIAL</v>
      </c>
      <c r="BX251" s="2">
        <f>VLOOKUP([jobnumber],OvalData[],MATCH(Table2[[#Headers],[endlockweight]],Table2[#Headers],0),0)</f>
        <v>0.17</v>
      </c>
      <c r="BY251" s="2">
        <f>VLOOKUP([jobnumber],OvalData[],MATCH(Table2[[#Headers],[Endlock Total Weight]],Table2[#Headers],0),0)</f>
        <v>7.5972999999999997</v>
      </c>
      <c r="BZ251" s="2">
        <f>VLOOKUP([jobnumber],OvalData[],MATCH(Table2[[#Headers],[Grille Weight]],Table2[#Headers],0),0)</f>
        <v>0</v>
      </c>
      <c r="CA251" s="2">
        <f>VLOOKUP([jobnumber],OvalData[],MATCH(Table2[[#Headers],[barrelrings]],Table2[#Headers],0),0)</f>
        <v>1</v>
      </c>
    </row>
    <row r="252" spans="2:79">
      <c r="B252" s="2" t="str">
        <f>VLOOKUP([jobnumber],OvalData[],MATCH(Table2[[#Headers],[Hand]],Table2[#Headers],0),0)</f>
        <v>RH</v>
      </c>
      <c r="C252" s="2" t="str">
        <f>VLOOKUP([jobnumber],OvalData[],MATCH(Table2[[#Headers],[Model]],Table2[#Headers],0),0)</f>
        <v>SFMPP</v>
      </c>
      <c r="D252" s="2" t="str">
        <f>VLOOKUP([jobnumber],OvalData[],MATCH(Table2[[#Headers],[width]],Table2[#Headers],0),0)</f>
        <v xml:space="preserve"> 18 ft.- 2"</v>
      </c>
      <c r="E252" s="2" t="str">
        <f>VLOOKUP([jobnumber],OvalData[],MATCH(Table2[[#Headers],[stopheight]],Table2[#Headers],0),0)</f>
        <v xml:space="preserve"> 10 ft.- 0"</v>
      </c>
      <c r="F252" s="2" t="str">
        <f>VLOOKUP([jobnumber],OvalData[],MATCH(Table2[[#Headers],[Between Brackets]],Table2[#Headers],0),0)</f>
        <v xml:space="preserve"> 18 ft.- 7 7/ 8"</v>
      </c>
      <c r="G252" s="2" t="str">
        <f>VLOOKUP([jobnumber],OvalData[],MATCH(Table2[[#Headers],[shell]],Table2[#Headers],0),0)</f>
        <v>6 INCH TUBE</v>
      </c>
      <c r="H252" s="2" t="str">
        <f>VLOOKUP([jobnumber],OvalData[],MATCH(Table2[[#Headers],[pipewidth]],Table2[#Headers],0),0)</f>
        <v xml:space="preserve"> 18 ft.- 1 3/ 8"</v>
      </c>
      <c r="I252" s="2">
        <f>VLOOKUP([jobnumber],OvalData[],MATCH(Table2[[#Headers],[Support Tubes]],Table2[#Headers],0),0)</f>
        <v>0</v>
      </c>
      <c r="J252" s="2">
        <f>VLOOKUP([jobnumber],OvalData[],MATCH(Table2[[#Headers],[Upset]],Table2[#Headers],0),0)</f>
        <v>2</v>
      </c>
      <c r="K252" s="2" t="str">
        <f>VLOOKUP([jobnumber],OvalData[],MATCH(Table2[[#Headers],[Guide Type]],Table2[#Headers],0),0)</f>
        <v>SN2-4 5/8-E</v>
      </c>
      <c r="L252" s="2" t="str">
        <f>VLOOKUP([jobnumber],OvalData[],MATCH(Table2[[#Headers],[Wall Angle]],Table2[#Headers],0),0)</f>
        <v xml:space="preserve"> 11 ft.- 8"</v>
      </c>
      <c r="M252" s="2" t="str">
        <f>VLOOKUP([jobnumber],OvalData[],MATCH(Table2[[#Headers],[Middle Angle]],Table2[#Headers],0),0)</f>
        <v xml:space="preserve"> 10 ft.- 4 1/ 2"</v>
      </c>
      <c r="N252" s="2" t="str">
        <f>VLOOKUP([jobnumber],OvalData[],MATCH(Table2[[#Headers],[Front Angle]],Table2[#Headers],0),0)</f>
        <v xml:space="preserve"> 10 ft.- 3"</v>
      </c>
      <c r="O252" s="2">
        <f>VLOOKUP([jobnumber],OvalData[],MATCH(Table2[[#Headers],[Pipe Center Line]],Table2[#Headers],0),0)</f>
        <v>131</v>
      </c>
      <c r="P252" s="2">
        <f>VLOOKUP([jobnumber],OvalData[],MATCH(Table2[[#Headers],[Heat Expansion Gap]],Table2[#Headers],0),0)</f>
        <v>0</v>
      </c>
      <c r="Q252" s="2">
        <f>VLOOKUP([jobnumber],OvalData[],MATCH(Table2[[#Headers],[Hanging Weight Closed]],Table2[#Headers],0),0)</f>
        <v>795</v>
      </c>
      <c r="R252" s="2">
        <f>VLOOKUP([jobnumber],OvalData[],MATCH(Table2[[#Headers],[Hanging Weight Open]],Table2[#Headers],0),0)</f>
        <v>140</v>
      </c>
      <c r="S252" s="2">
        <f>VLOOKUP([jobnumber],OvalData[],MATCH(Table2[[#Headers],[Initial Lever Arm]],Table2[#Headers],0),0)</f>
        <v>4.25</v>
      </c>
      <c r="T252" s="2">
        <f>VLOOKUP([jobnumber],OvalData[],MATCH(Table2[[#Headers],[Turns to Raise]],Table2[#Headers],0),0)</f>
        <v>3.5859999999999999</v>
      </c>
      <c r="U252" s="2">
        <f>VLOOKUP([jobnumber],OvalData[],MATCH(Table2[[#Headers],[Final Lever Arm]],Table2[#Headers],0),0)</f>
        <v>6.37</v>
      </c>
      <c r="V252" s="2">
        <f>VLOOKUP([jobnumber],OvalData[],MATCH(Table2[[#Headers],[Torque Required Closed]],Table2[#Headers],0),0)</f>
        <v>3377.9</v>
      </c>
      <c r="W252" s="2">
        <f>VLOOKUP([jobnumber],OvalData[],MATCH(Table2[[#Headers],[Torque Required Open]],Table2[#Headers],0),0)</f>
        <v>892</v>
      </c>
      <c r="X252" s="2">
        <f>VLOOKUP([jobnumber],OvalData[],MATCH(Table2[[#Headers],[Pre Turns]],Table2[#Headers],0),0)</f>
        <v>1.3332999999999999</v>
      </c>
      <c r="Y252" s="2">
        <f>VLOOKUP([jobnumber],OvalData[],MATCH(Table2[[#Headers],[Required Torque Per Turn]],Table2[#Headers],0),0)</f>
        <v>688</v>
      </c>
      <c r="Z252" s="2">
        <f>VLOOKUP([jobnumber],OvalData[],MATCH(Table2[[#Headers],[Total Turns]],Table2[#Headers],0),0)</f>
        <v>4.91</v>
      </c>
      <c r="AA252" s="2">
        <f>VLOOKUP([jobnumber],OvalData[],MATCH(Table2[[#Headers],[Grille Vision Section]],Table2[#Headers],0),0)</f>
        <v>0</v>
      </c>
      <c r="AB252" s="2">
        <f>VLOOKUP([jobnumber],OvalData[],MATCH(Table2[[#Headers],[Grille Amount]],Table2[#Headers],0),0)</f>
        <v>0</v>
      </c>
      <c r="AC252" s="2">
        <f>VLOOKUP([jobnumber],OvalData[],MATCH(Table2[[#Headers],[Grille Center]],Table2[#Headers],0),0)</f>
        <v>0</v>
      </c>
      <c r="AD252" s="2">
        <f>VLOOKUP([jobnumber],OvalData[],MATCH(Table2[[#Headers],[Grille Pattern]],Table2[#Headers],0),0)</f>
        <v>0</v>
      </c>
      <c r="AE252" s="2">
        <f>VLOOKUP([jobnumber],OvalData[],MATCH(Table2[[#Headers],[Grille First Tube]],Table2[#Headers],0),0)</f>
        <v>0</v>
      </c>
      <c r="AF252" s="2">
        <f>VLOOKUP([jobnumber],OvalData[],MATCH(Table2[[#Headers],[Grille Standard Tube]],Table2[#Headers],0),0)</f>
        <v>0</v>
      </c>
      <c r="AG252" s="2">
        <f>VLOOKUP([jobnumber],OvalData[],MATCH(Table2[[#Headers],[Grille Total Links]],Table2[#Headers],0),0)</f>
        <v>0</v>
      </c>
      <c r="AH252" s="2">
        <f>VLOOKUP([jobnumber],OvalData[],MATCH(Table2[[#Headers],[Grille Rods]],Table2[#Headers],0),0)</f>
        <v>0</v>
      </c>
      <c r="AI252" s="2">
        <f>VLOOKUP([jobnumber],OvalData[],MATCH(Table2[[#Headers],[Grille Rod Length]],Table2[#Headers],0),0)</f>
        <v>0</v>
      </c>
      <c r="AJ252" s="2">
        <f>VLOOKUP([jobnumber],OvalData[],MATCH(Table2[[#Headers],[slattype]],Table2[#Headers],0),0)</f>
        <v>2</v>
      </c>
      <c r="AK252" s="2">
        <f>VLOOKUP([jobnumber],OvalData[],MATCH(Table2[[#Headers],[slatgage]],Table2[#Headers],0),0)</f>
        <v>18</v>
      </c>
      <c r="AL252" s="2">
        <f>VLOOKUP([jobnumber],OvalData[],MATCH(Table2[[#Headers],[Numer of Top Slats]],Table2[#Headers],0),0)</f>
        <v>0</v>
      </c>
      <c r="AM252" s="2">
        <f>VLOOKUP([jobnumber],OvalData[],MATCH(Table2[[#Headers],[Number of Bottom Slats]],Table2[#Headers],0),0)</f>
        <v>0</v>
      </c>
      <c r="AN252" s="2">
        <f>VLOOKUP([jobnumber],OvalData[],MATCH(Table2[[#Headers],[Solid Bottom Height]],Table2[#Headers],0),0)</f>
        <v>0</v>
      </c>
      <c r="AO252" s="2" t="str">
        <f>VLOOKUP([jobnumber],OvalData[],MATCH(Table2[[#Headers],[slatlength]],Table2[#Headers],0),0)</f>
        <v xml:space="preserve"> 18 ft.- 5 7/ 8"</v>
      </c>
      <c r="AP252" s="2">
        <f>VLOOKUP([jobnumber],OvalData[],MATCH(Table2[[#Headers],[Bottom Slat Length]],Table2[#Headers],0),0)</f>
        <v>0</v>
      </c>
      <c r="AQ252" s="2">
        <f>VLOOKUP([jobnumber],OvalData[],MATCH(Table2[[#Headers],[Number of Perferated Slats]],Table2[#Headers],0),0)</f>
        <v>0</v>
      </c>
      <c r="AR252" s="2">
        <f>VLOOKUP([jobnumber],OvalData[],MATCH(Table2[[#Headers],[First Preferated Slat From End]],Table2[#Headers],0),0)</f>
        <v>0</v>
      </c>
      <c r="AS252" s="2">
        <f>VLOOKUP([jobnumber],OvalData[],MATCH(Table2[[#Headers],[First Preferated Slat From Bottom]],Table2[#Headers],0),0)</f>
        <v>0</v>
      </c>
      <c r="AT252" s="2">
        <f>VLOOKUP([jobnumber],OvalData[],MATCH(Table2[[#Headers],[Total Number of Slats]],Table2[#Headers],0),0)</f>
        <v>51</v>
      </c>
      <c r="AU252" s="2">
        <f>VLOOKUP([jobnumber],OvalData[],MATCH(Table2[[#Headers],[Bottom Bar Slope]],Table2[#Headers],0),0)</f>
        <v>0</v>
      </c>
      <c r="AV252" s="2">
        <f>VLOOKUP([jobnumber],OvalData[],MATCH(Table2[[#Headers],[Bottom Bar Weight]],Table2[#Headers],0),0)</f>
        <v>80.5</v>
      </c>
      <c r="AW252" s="2" t="str">
        <f>VLOOKUP([jobnumber],OvalData[],MATCH(Table2[[#Headers],[Outer Spring Gage]],Table2[#Headers],0),0)</f>
        <v>Null</v>
      </c>
      <c r="AX252" s="2" t="str">
        <f>VLOOKUP([jobnumber],OvalData[],MATCH(Table2[[#Headers],[Outer Spring OD]],Table2[#Headers],0),0)</f>
        <v>Null</v>
      </c>
      <c r="AY252" s="2" t="str">
        <f>VLOOKUP([jobnumber],OvalData[],MATCH(Table2[[#Headers],[Outer Spring Length]],Table2[#Headers],0),0)</f>
        <v>Null</v>
      </c>
      <c r="AZ252" s="2" t="str">
        <f>VLOOKUP([jobnumber],OvalData[],MATCH(Table2[[#Headers],[Outer Spring Stretch]],Table2[#Headers],0),0)</f>
        <v>Null</v>
      </c>
      <c r="BA252" s="2" t="str">
        <f>VLOOKUP([jobnumber],OvalData[],MATCH(Table2[[#Headers],[Outer Spring Torque]],Table2[#Headers],0),0)</f>
        <v>Null</v>
      </c>
      <c r="BB252" s="2" t="str">
        <f>VLOOKUP([jobnumber],OvalData[],MATCH(Table2[[#Headers],[Outer Spring Max Turns]],Table2[#Headers],0),0)</f>
        <v>Null</v>
      </c>
      <c r="BC252" s="2" t="str">
        <f>VLOOKUP([jobnumber],OvalData[],MATCH(Table2[[#Headers],[Outer Spring Weight]],Table2[#Headers],0),0)</f>
        <v>Null</v>
      </c>
      <c r="BD252" s="2" t="str">
        <f>VLOOKUP([jobnumber],OvalData[],MATCH(Table2[[#Headers],[Inner Spring Gage]],Table2[#Headers],0),0)</f>
        <v>Null</v>
      </c>
      <c r="BE252" s="2" t="str">
        <f>VLOOKUP([jobnumber],OvalData[],MATCH(Table2[[#Headers],[Inner Spring OD]],Table2[#Headers],0),0)</f>
        <v>Null</v>
      </c>
      <c r="BF252" s="2" t="str">
        <f>VLOOKUP([jobnumber],OvalData[],MATCH(Table2[[#Headers],[Inner Spring Length]],Table2[#Headers],0),0)</f>
        <v>Null</v>
      </c>
      <c r="BG252" s="2" t="str">
        <f>VLOOKUP([jobnumber],OvalData[],MATCH(Table2[[#Headers],[Inner Spring Stretch]],Table2[#Headers],0),0)</f>
        <v>Null</v>
      </c>
      <c r="BH252" s="2" t="str">
        <f>VLOOKUP([jobnumber],OvalData[],MATCH(Table2[[#Headers],[Inner Spring Torque]],Table2[#Headers],0),0)</f>
        <v>Null</v>
      </c>
      <c r="BI252" s="2" t="str">
        <f>VLOOKUP([jobnumber],OvalData[],MATCH(Table2[[#Headers],[Inner Spring Max Turns]],Table2[#Headers],0),0)</f>
        <v>Null</v>
      </c>
      <c r="BJ252" s="2" t="str">
        <f>VLOOKUP([jobnumber],OvalData[],MATCH(Table2[[#Headers],[Inner Spring Weight]],Table2[#Headers],0),0)</f>
        <v>Null</v>
      </c>
      <c r="BK252" s="2">
        <f>VLOOKUP([jobnumber],OvalData[],MATCH(Table2[[#Headers],[Cycles]],Table2[#Headers],0),0)</f>
        <v>0</v>
      </c>
      <c r="BL252" s="2">
        <f>VLOOKUP([jobnumber],OvalData[],MATCH(Table2[[#Headers],[Total Spring Torque]],Table2[#Headers],0),0)</f>
        <v>0</v>
      </c>
      <c r="BM252" s="2">
        <f>VLOOKUP([jobnumber],OvalData[],MATCH(Table2[[#Headers],[Total Spring Weight]],Table2[#Headers],0),0)</f>
        <v>0</v>
      </c>
      <c r="BN252" s="2">
        <f>VLOOKUP([jobnumber],OvalData[],MATCH(Table2[[#Headers],[Pipe Weight]],Table2[#Headers],0),0)</f>
        <v>688.24239999999998</v>
      </c>
      <c r="BO252" s="2">
        <f>VLOOKUP([jobnumber],OvalData[],MATCH(Table2[[#Headers],[Max Pipe Deflection]],Table2[#Headers],0),0)</f>
        <v>2309</v>
      </c>
      <c r="BP252" s="2">
        <f>VLOOKUP([jobnumber],OvalData[],MATCH(Table2[[#Headers],[Number Non-Insulated Wrap Slats]],Table2[#Headers],0),0)</f>
        <v>0</v>
      </c>
      <c r="BQ252" s="2">
        <f>VLOOKUP([jobnumber],OvalData[],MATCH(Table2[[#Headers],[Number of Insolated Top Slats]],Table2[#Headers],0),0)</f>
        <v>45</v>
      </c>
      <c r="BR252" s="2">
        <f>VLOOKUP([jobnumber],OvalData[],MATCH(Table2[[#Headers],[Insolated Total Slats]],Table2[#Headers],0),0)</f>
        <v>45</v>
      </c>
      <c r="BS252" s="2">
        <f>VLOOKUP([jobnumber],OvalData[],MATCH(Table2[[#Headers],[Number of Slats]],Table2[#Headers],0),0)</f>
        <v>44.69</v>
      </c>
      <c r="BT252" s="2">
        <f>VLOOKUP([jobnumber],OvalData[],MATCH(Table2[[#Headers],[Wrap]],Table2[#Headers],0),0)</f>
        <v>0</v>
      </c>
      <c r="BU252" s="2">
        <f>VLOOKUP([jobnumber],OvalData[],MATCH(Table2[[#Headers],[Wall Angle Thickness]],Table2[#Headers],0),0)</f>
        <v>0</v>
      </c>
      <c r="BV252" s="2">
        <f>VLOOKUP([jobnumber],OvalData[],MATCH(Table2[[#Headers],[windlocks]],Table2[#Headers],0),0)</f>
        <v>0</v>
      </c>
      <c r="BW252" s="2" t="str">
        <f>VLOOKUP([jobnumber],OvalData[],MATCH(Table2[[#Headers],[bottombartype]],Table2[#Headers],0),0)</f>
        <v>SPECIAL</v>
      </c>
      <c r="BX252" s="2">
        <f>VLOOKUP([jobnumber],OvalData[],MATCH(Table2[[#Headers],[endlockweight]],Table2[#Headers],0),0)</f>
        <v>0.17</v>
      </c>
      <c r="BY252" s="2">
        <f>VLOOKUP([jobnumber],OvalData[],MATCH(Table2[[#Headers],[Endlock Total Weight]],Table2[#Headers],0),0)</f>
        <v>7.5972999999999997</v>
      </c>
      <c r="BZ252" s="2">
        <f>VLOOKUP([jobnumber],OvalData[],MATCH(Table2[[#Headers],[Grille Weight]],Table2[#Headers],0),0)</f>
        <v>0</v>
      </c>
      <c r="CA252" s="2">
        <f>VLOOKUP([jobnumber],OvalData[],MATCH(Table2[[#Headers],[barrelrings]],Table2[#Headers],0),0)</f>
        <v>1</v>
      </c>
    </row>
    <row r="253" spans="2:79">
      <c r="B253" s="2" t="str">
        <f>VLOOKUP([jobnumber],OvalData[],MATCH(Table2[[#Headers],[Hand]],Table2[#Headers],0),0)</f>
        <v>RH</v>
      </c>
      <c r="C253" s="2" t="str">
        <f>VLOOKUP([jobnumber],OvalData[],MATCH(Table2[[#Headers],[Model]],Table2[#Headers],0),0)</f>
        <v>SFMPP</v>
      </c>
      <c r="D253" s="2" t="str">
        <f>VLOOKUP([jobnumber],OvalData[],MATCH(Table2[[#Headers],[width]],Table2[#Headers],0),0)</f>
        <v xml:space="preserve"> 18 ft.- 2"</v>
      </c>
      <c r="E253" s="2" t="str">
        <f>VLOOKUP([jobnumber],OvalData[],MATCH(Table2[[#Headers],[stopheight]],Table2[#Headers],0),0)</f>
        <v xml:space="preserve"> 10 ft.- 0"</v>
      </c>
      <c r="F253" s="2" t="str">
        <f>VLOOKUP([jobnumber],OvalData[],MATCH(Table2[[#Headers],[Between Brackets]],Table2[#Headers],0),0)</f>
        <v xml:space="preserve"> 18 ft.- 7 7/ 8"</v>
      </c>
      <c r="G253" s="2" t="str">
        <f>VLOOKUP([jobnumber],OvalData[],MATCH(Table2[[#Headers],[shell]],Table2[#Headers],0),0)</f>
        <v>6 INCH TUBE</v>
      </c>
      <c r="H253" s="2" t="str">
        <f>VLOOKUP([jobnumber],OvalData[],MATCH(Table2[[#Headers],[pipewidth]],Table2[#Headers],0),0)</f>
        <v xml:space="preserve"> 18 ft.- 1 3/ 8"</v>
      </c>
      <c r="I253" s="2">
        <f>VLOOKUP([jobnumber],OvalData[],MATCH(Table2[[#Headers],[Support Tubes]],Table2[#Headers],0),0)</f>
        <v>0</v>
      </c>
      <c r="J253" s="2">
        <f>VLOOKUP([jobnumber],OvalData[],MATCH(Table2[[#Headers],[Upset]],Table2[#Headers],0),0)</f>
        <v>2</v>
      </c>
      <c r="K253" s="2" t="str">
        <f>VLOOKUP([jobnumber],OvalData[],MATCH(Table2[[#Headers],[Guide Type]],Table2[#Headers],0),0)</f>
        <v>SN2-4 5/8-E</v>
      </c>
      <c r="L253" s="2" t="str">
        <f>VLOOKUP([jobnumber],OvalData[],MATCH(Table2[[#Headers],[Wall Angle]],Table2[#Headers],0),0)</f>
        <v xml:space="preserve"> 11 ft.- 8"</v>
      </c>
      <c r="M253" s="2" t="str">
        <f>VLOOKUP([jobnumber],OvalData[],MATCH(Table2[[#Headers],[Middle Angle]],Table2[#Headers],0),0)</f>
        <v xml:space="preserve"> 10 ft.- 4 1/ 2"</v>
      </c>
      <c r="N253" s="2" t="str">
        <f>VLOOKUP([jobnumber],OvalData[],MATCH(Table2[[#Headers],[Front Angle]],Table2[#Headers],0),0)</f>
        <v xml:space="preserve"> 10 ft.- 3"</v>
      </c>
      <c r="O253" s="2">
        <f>VLOOKUP([jobnumber],OvalData[],MATCH(Table2[[#Headers],[Pipe Center Line]],Table2[#Headers],0),0)</f>
        <v>131</v>
      </c>
      <c r="P253" s="2">
        <f>VLOOKUP([jobnumber],OvalData[],MATCH(Table2[[#Headers],[Heat Expansion Gap]],Table2[#Headers],0),0)</f>
        <v>0</v>
      </c>
      <c r="Q253" s="2">
        <f>VLOOKUP([jobnumber],OvalData[],MATCH(Table2[[#Headers],[Hanging Weight Closed]],Table2[#Headers],0),0)</f>
        <v>795</v>
      </c>
      <c r="R253" s="2">
        <f>VLOOKUP([jobnumber],OvalData[],MATCH(Table2[[#Headers],[Hanging Weight Open]],Table2[#Headers],0),0)</f>
        <v>140</v>
      </c>
      <c r="S253" s="2">
        <f>VLOOKUP([jobnumber],OvalData[],MATCH(Table2[[#Headers],[Initial Lever Arm]],Table2[#Headers],0),0)</f>
        <v>4.25</v>
      </c>
      <c r="T253" s="2">
        <f>VLOOKUP([jobnumber],OvalData[],MATCH(Table2[[#Headers],[Turns to Raise]],Table2[#Headers],0),0)</f>
        <v>3.5859999999999999</v>
      </c>
      <c r="U253" s="2">
        <f>VLOOKUP([jobnumber],OvalData[],MATCH(Table2[[#Headers],[Final Lever Arm]],Table2[#Headers],0),0)</f>
        <v>6.37</v>
      </c>
      <c r="V253" s="2">
        <f>VLOOKUP([jobnumber],OvalData[],MATCH(Table2[[#Headers],[Torque Required Closed]],Table2[#Headers],0),0)</f>
        <v>3377.9</v>
      </c>
      <c r="W253" s="2">
        <f>VLOOKUP([jobnumber],OvalData[],MATCH(Table2[[#Headers],[Torque Required Open]],Table2[#Headers],0),0)</f>
        <v>892</v>
      </c>
      <c r="X253" s="2">
        <f>VLOOKUP([jobnumber],OvalData[],MATCH(Table2[[#Headers],[Pre Turns]],Table2[#Headers],0),0)</f>
        <v>1.3332999999999999</v>
      </c>
      <c r="Y253" s="2">
        <f>VLOOKUP([jobnumber],OvalData[],MATCH(Table2[[#Headers],[Required Torque Per Turn]],Table2[#Headers],0),0)</f>
        <v>688</v>
      </c>
      <c r="Z253" s="2">
        <f>VLOOKUP([jobnumber],OvalData[],MATCH(Table2[[#Headers],[Total Turns]],Table2[#Headers],0),0)</f>
        <v>4.91</v>
      </c>
      <c r="AA253" s="2">
        <f>VLOOKUP([jobnumber],OvalData[],MATCH(Table2[[#Headers],[Grille Vision Section]],Table2[#Headers],0),0)</f>
        <v>0</v>
      </c>
      <c r="AB253" s="2">
        <f>VLOOKUP([jobnumber],OvalData[],MATCH(Table2[[#Headers],[Grille Amount]],Table2[#Headers],0),0)</f>
        <v>0</v>
      </c>
      <c r="AC253" s="2">
        <f>VLOOKUP([jobnumber],OvalData[],MATCH(Table2[[#Headers],[Grille Center]],Table2[#Headers],0),0)</f>
        <v>0</v>
      </c>
      <c r="AD253" s="2">
        <f>VLOOKUP([jobnumber],OvalData[],MATCH(Table2[[#Headers],[Grille Pattern]],Table2[#Headers],0),0)</f>
        <v>0</v>
      </c>
      <c r="AE253" s="2">
        <f>VLOOKUP([jobnumber],OvalData[],MATCH(Table2[[#Headers],[Grille First Tube]],Table2[#Headers],0),0)</f>
        <v>0</v>
      </c>
      <c r="AF253" s="2">
        <f>VLOOKUP([jobnumber],OvalData[],MATCH(Table2[[#Headers],[Grille Standard Tube]],Table2[#Headers],0),0)</f>
        <v>0</v>
      </c>
      <c r="AG253" s="2">
        <f>VLOOKUP([jobnumber],OvalData[],MATCH(Table2[[#Headers],[Grille Total Links]],Table2[#Headers],0),0)</f>
        <v>0</v>
      </c>
      <c r="AH253" s="2">
        <f>VLOOKUP([jobnumber],OvalData[],MATCH(Table2[[#Headers],[Grille Rods]],Table2[#Headers],0),0)</f>
        <v>0</v>
      </c>
      <c r="AI253" s="2">
        <f>VLOOKUP([jobnumber],OvalData[],MATCH(Table2[[#Headers],[Grille Rod Length]],Table2[#Headers],0),0)</f>
        <v>0</v>
      </c>
      <c r="AJ253" s="2">
        <f>VLOOKUP([jobnumber],OvalData[],MATCH(Table2[[#Headers],[slattype]],Table2[#Headers],0),0)</f>
        <v>2</v>
      </c>
      <c r="AK253" s="2">
        <f>VLOOKUP([jobnumber],OvalData[],MATCH(Table2[[#Headers],[slatgage]],Table2[#Headers],0),0)</f>
        <v>18</v>
      </c>
      <c r="AL253" s="2">
        <f>VLOOKUP([jobnumber],OvalData[],MATCH(Table2[[#Headers],[Numer of Top Slats]],Table2[#Headers],0),0)</f>
        <v>0</v>
      </c>
      <c r="AM253" s="2">
        <f>VLOOKUP([jobnumber],OvalData[],MATCH(Table2[[#Headers],[Number of Bottom Slats]],Table2[#Headers],0),0)</f>
        <v>0</v>
      </c>
      <c r="AN253" s="2">
        <f>VLOOKUP([jobnumber],OvalData[],MATCH(Table2[[#Headers],[Solid Bottom Height]],Table2[#Headers],0),0)</f>
        <v>0</v>
      </c>
      <c r="AO253" s="2" t="str">
        <f>VLOOKUP([jobnumber],OvalData[],MATCH(Table2[[#Headers],[slatlength]],Table2[#Headers],0),0)</f>
        <v xml:space="preserve"> 18 ft.- 5 7/ 8"</v>
      </c>
      <c r="AP253" s="2">
        <f>VLOOKUP([jobnumber],OvalData[],MATCH(Table2[[#Headers],[Bottom Slat Length]],Table2[#Headers],0),0)</f>
        <v>0</v>
      </c>
      <c r="AQ253" s="2">
        <f>VLOOKUP([jobnumber],OvalData[],MATCH(Table2[[#Headers],[Number of Perferated Slats]],Table2[#Headers],0),0)</f>
        <v>0</v>
      </c>
      <c r="AR253" s="2">
        <f>VLOOKUP([jobnumber],OvalData[],MATCH(Table2[[#Headers],[First Preferated Slat From End]],Table2[#Headers],0),0)</f>
        <v>0</v>
      </c>
      <c r="AS253" s="2">
        <f>VLOOKUP([jobnumber],OvalData[],MATCH(Table2[[#Headers],[First Preferated Slat From Bottom]],Table2[#Headers],0),0)</f>
        <v>0</v>
      </c>
      <c r="AT253" s="2">
        <f>VLOOKUP([jobnumber],OvalData[],MATCH(Table2[[#Headers],[Total Number of Slats]],Table2[#Headers],0),0)</f>
        <v>51</v>
      </c>
      <c r="AU253" s="2">
        <f>VLOOKUP([jobnumber],OvalData[],MATCH(Table2[[#Headers],[Bottom Bar Slope]],Table2[#Headers],0),0)</f>
        <v>0</v>
      </c>
      <c r="AV253" s="2">
        <f>VLOOKUP([jobnumber],OvalData[],MATCH(Table2[[#Headers],[Bottom Bar Weight]],Table2[#Headers],0),0)</f>
        <v>80.5</v>
      </c>
      <c r="AW253" s="2" t="str">
        <f>VLOOKUP([jobnumber],OvalData[],MATCH(Table2[[#Headers],[Outer Spring Gage]],Table2[#Headers],0),0)</f>
        <v>Null</v>
      </c>
      <c r="AX253" s="2" t="str">
        <f>VLOOKUP([jobnumber],OvalData[],MATCH(Table2[[#Headers],[Outer Spring OD]],Table2[#Headers],0),0)</f>
        <v>Null</v>
      </c>
      <c r="AY253" s="2" t="str">
        <f>VLOOKUP([jobnumber],OvalData[],MATCH(Table2[[#Headers],[Outer Spring Length]],Table2[#Headers],0),0)</f>
        <v>Null</v>
      </c>
      <c r="AZ253" s="2" t="str">
        <f>VLOOKUP([jobnumber],OvalData[],MATCH(Table2[[#Headers],[Outer Spring Stretch]],Table2[#Headers],0),0)</f>
        <v>Null</v>
      </c>
      <c r="BA253" s="2" t="str">
        <f>VLOOKUP([jobnumber],OvalData[],MATCH(Table2[[#Headers],[Outer Spring Torque]],Table2[#Headers],0),0)</f>
        <v>Null</v>
      </c>
      <c r="BB253" s="2" t="str">
        <f>VLOOKUP([jobnumber],OvalData[],MATCH(Table2[[#Headers],[Outer Spring Max Turns]],Table2[#Headers],0),0)</f>
        <v>Null</v>
      </c>
      <c r="BC253" s="2" t="str">
        <f>VLOOKUP([jobnumber],OvalData[],MATCH(Table2[[#Headers],[Outer Spring Weight]],Table2[#Headers],0),0)</f>
        <v>Null</v>
      </c>
      <c r="BD253" s="2" t="str">
        <f>VLOOKUP([jobnumber],OvalData[],MATCH(Table2[[#Headers],[Inner Spring Gage]],Table2[#Headers],0),0)</f>
        <v>Null</v>
      </c>
      <c r="BE253" s="2" t="str">
        <f>VLOOKUP([jobnumber],OvalData[],MATCH(Table2[[#Headers],[Inner Spring OD]],Table2[#Headers],0),0)</f>
        <v>Null</v>
      </c>
      <c r="BF253" s="2" t="str">
        <f>VLOOKUP([jobnumber],OvalData[],MATCH(Table2[[#Headers],[Inner Spring Length]],Table2[#Headers],0),0)</f>
        <v>Null</v>
      </c>
      <c r="BG253" s="2" t="str">
        <f>VLOOKUP([jobnumber],OvalData[],MATCH(Table2[[#Headers],[Inner Spring Stretch]],Table2[#Headers],0),0)</f>
        <v>Null</v>
      </c>
      <c r="BH253" s="2" t="str">
        <f>VLOOKUP([jobnumber],OvalData[],MATCH(Table2[[#Headers],[Inner Spring Torque]],Table2[#Headers],0),0)</f>
        <v>Null</v>
      </c>
      <c r="BI253" s="2" t="str">
        <f>VLOOKUP([jobnumber],OvalData[],MATCH(Table2[[#Headers],[Inner Spring Max Turns]],Table2[#Headers],0),0)</f>
        <v>Null</v>
      </c>
      <c r="BJ253" s="2" t="str">
        <f>VLOOKUP([jobnumber],OvalData[],MATCH(Table2[[#Headers],[Inner Spring Weight]],Table2[#Headers],0),0)</f>
        <v>Null</v>
      </c>
      <c r="BK253" s="2">
        <f>VLOOKUP([jobnumber],OvalData[],MATCH(Table2[[#Headers],[Cycles]],Table2[#Headers],0),0)</f>
        <v>0</v>
      </c>
      <c r="BL253" s="2">
        <f>VLOOKUP([jobnumber],OvalData[],MATCH(Table2[[#Headers],[Total Spring Torque]],Table2[#Headers],0),0)</f>
        <v>0</v>
      </c>
      <c r="BM253" s="2">
        <f>VLOOKUP([jobnumber],OvalData[],MATCH(Table2[[#Headers],[Total Spring Weight]],Table2[#Headers],0),0)</f>
        <v>0</v>
      </c>
      <c r="BN253" s="2">
        <f>VLOOKUP([jobnumber],OvalData[],MATCH(Table2[[#Headers],[Pipe Weight]],Table2[#Headers],0),0)</f>
        <v>688.24239999999998</v>
      </c>
      <c r="BO253" s="2">
        <f>VLOOKUP([jobnumber],OvalData[],MATCH(Table2[[#Headers],[Max Pipe Deflection]],Table2[#Headers],0),0)</f>
        <v>2309</v>
      </c>
      <c r="BP253" s="2">
        <f>VLOOKUP([jobnumber],OvalData[],MATCH(Table2[[#Headers],[Number Non-Insulated Wrap Slats]],Table2[#Headers],0),0)</f>
        <v>0</v>
      </c>
      <c r="BQ253" s="2">
        <f>VLOOKUP([jobnumber],OvalData[],MATCH(Table2[[#Headers],[Number of Insolated Top Slats]],Table2[#Headers],0),0)</f>
        <v>45</v>
      </c>
      <c r="BR253" s="2">
        <f>VLOOKUP([jobnumber],OvalData[],MATCH(Table2[[#Headers],[Insolated Total Slats]],Table2[#Headers],0),0)</f>
        <v>45</v>
      </c>
      <c r="BS253" s="2">
        <f>VLOOKUP([jobnumber],OvalData[],MATCH(Table2[[#Headers],[Number of Slats]],Table2[#Headers],0),0)</f>
        <v>44.69</v>
      </c>
      <c r="BT253" s="2">
        <f>VLOOKUP([jobnumber],OvalData[],MATCH(Table2[[#Headers],[Wrap]],Table2[#Headers],0),0)</f>
        <v>0</v>
      </c>
      <c r="BU253" s="2">
        <f>VLOOKUP([jobnumber],OvalData[],MATCH(Table2[[#Headers],[Wall Angle Thickness]],Table2[#Headers],0),0)</f>
        <v>0</v>
      </c>
      <c r="BV253" s="2">
        <f>VLOOKUP([jobnumber],OvalData[],MATCH(Table2[[#Headers],[windlocks]],Table2[#Headers],0),0)</f>
        <v>0</v>
      </c>
      <c r="BW253" s="2" t="str">
        <f>VLOOKUP([jobnumber],OvalData[],MATCH(Table2[[#Headers],[bottombartype]],Table2[#Headers],0),0)</f>
        <v>SPECIAL</v>
      </c>
      <c r="BX253" s="2">
        <f>VLOOKUP([jobnumber],OvalData[],MATCH(Table2[[#Headers],[endlockweight]],Table2[#Headers],0),0)</f>
        <v>0.17</v>
      </c>
      <c r="BY253" s="2">
        <f>VLOOKUP([jobnumber],OvalData[],MATCH(Table2[[#Headers],[Endlock Total Weight]],Table2[#Headers],0),0)</f>
        <v>7.5972999999999997</v>
      </c>
      <c r="BZ253" s="2">
        <f>VLOOKUP([jobnumber],OvalData[],MATCH(Table2[[#Headers],[Grille Weight]],Table2[#Headers],0),0)</f>
        <v>0</v>
      </c>
      <c r="CA253" s="2">
        <f>VLOOKUP([jobnumber],OvalData[],MATCH(Table2[[#Headers],[barrelrings]],Table2[#Headers],0),0)</f>
        <v>1</v>
      </c>
    </row>
    <row r="254" spans="2:79">
      <c r="B254" s="2" t="str">
        <f>VLOOKUP([jobnumber],OvalData[],MATCH(Table2[[#Headers],[Hand]],Table2[#Headers],0),0)</f>
        <v>RH</v>
      </c>
      <c r="C254" s="2" t="str">
        <f>VLOOKUP([jobnumber],OvalData[],MATCH(Table2[[#Headers],[Model]],Table2[#Headers],0),0)</f>
        <v>SFMPP</v>
      </c>
      <c r="D254" s="2" t="str">
        <f>VLOOKUP([jobnumber],OvalData[],MATCH(Table2[[#Headers],[width]],Table2[#Headers],0),0)</f>
        <v xml:space="preserve"> 18 ft.- 2"</v>
      </c>
      <c r="E254" s="2" t="str">
        <f>VLOOKUP([jobnumber],OvalData[],MATCH(Table2[[#Headers],[stopheight]],Table2[#Headers],0),0)</f>
        <v xml:space="preserve"> 10 ft.- 0"</v>
      </c>
      <c r="F254" s="2" t="str">
        <f>VLOOKUP([jobnumber],OvalData[],MATCH(Table2[[#Headers],[Between Brackets]],Table2[#Headers],0),0)</f>
        <v xml:space="preserve"> 18 ft.- 7 7/ 8"</v>
      </c>
      <c r="G254" s="2" t="str">
        <f>VLOOKUP([jobnumber],OvalData[],MATCH(Table2[[#Headers],[shell]],Table2[#Headers],0),0)</f>
        <v>6 INCH TUBE</v>
      </c>
      <c r="H254" s="2" t="str">
        <f>VLOOKUP([jobnumber],OvalData[],MATCH(Table2[[#Headers],[pipewidth]],Table2[#Headers],0),0)</f>
        <v xml:space="preserve"> 18 ft.- 1 3/ 8"</v>
      </c>
      <c r="I254" s="2">
        <f>VLOOKUP([jobnumber],OvalData[],MATCH(Table2[[#Headers],[Support Tubes]],Table2[#Headers],0),0)</f>
        <v>0</v>
      </c>
      <c r="J254" s="2">
        <f>VLOOKUP([jobnumber],OvalData[],MATCH(Table2[[#Headers],[Upset]],Table2[#Headers],0),0)</f>
        <v>2</v>
      </c>
      <c r="K254" s="2" t="str">
        <f>VLOOKUP([jobnumber],OvalData[],MATCH(Table2[[#Headers],[Guide Type]],Table2[#Headers],0),0)</f>
        <v>SN2-4 5/8-E</v>
      </c>
      <c r="L254" s="2" t="str">
        <f>VLOOKUP([jobnumber],OvalData[],MATCH(Table2[[#Headers],[Wall Angle]],Table2[#Headers],0),0)</f>
        <v xml:space="preserve"> 11 ft.- 8"</v>
      </c>
      <c r="M254" s="2" t="str">
        <f>VLOOKUP([jobnumber],OvalData[],MATCH(Table2[[#Headers],[Middle Angle]],Table2[#Headers],0),0)</f>
        <v xml:space="preserve"> 10 ft.- 4 1/ 2"</v>
      </c>
      <c r="N254" s="2" t="str">
        <f>VLOOKUP([jobnumber],OvalData[],MATCH(Table2[[#Headers],[Front Angle]],Table2[#Headers],0),0)</f>
        <v xml:space="preserve"> 10 ft.- 3"</v>
      </c>
      <c r="O254" s="2">
        <f>VLOOKUP([jobnumber],OvalData[],MATCH(Table2[[#Headers],[Pipe Center Line]],Table2[#Headers],0),0)</f>
        <v>131</v>
      </c>
      <c r="P254" s="2">
        <f>VLOOKUP([jobnumber],OvalData[],MATCH(Table2[[#Headers],[Heat Expansion Gap]],Table2[#Headers],0),0)</f>
        <v>0</v>
      </c>
      <c r="Q254" s="2">
        <f>VLOOKUP([jobnumber],OvalData[],MATCH(Table2[[#Headers],[Hanging Weight Closed]],Table2[#Headers],0),0)</f>
        <v>795</v>
      </c>
      <c r="R254" s="2">
        <f>VLOOKUP([jobnumber],OvalData[],MATCH(Table2[[#Headers],[Hanging Weight Open]],Table2[#Headers],0),0)</f>
        <v>140</v>
      </c>
      <c r="S254" s="2">
        <f>VLOOKUP([jobnumber],OvalData[],MATCH(Table2[[#Headers],[Initial Lever Arm]],Table2[#Headers],0),0)</f>
        <v>4.25</v>
      </c>
      <c r="T254" s="2">
        <f>VLOOKUP([jobnumber],OvalData[],MATCH(Table2[[#Headers],[Turns to Raise]],Table2[#Headers],0),0)</f>
        <v>3.5859999999999999</v>
      </c>
      <c r="U254" s="2">
        <f>VLOOKUP([jobnumber],OvalData[],MATCH(Table2[[#Headers],[Final Lever Arm]],Table2[#Headers],0),0)</f>
        <v>6.37</v>
      </c>
      <c r="V254" s="2">
        <f>VLOOKUP([jobnumber],OvalData[],MATCH(Table2[[#Headers],[Torque Required Closed]],Table2[#Headers],0),0)</f>
        <v>3377.9</v>
      </c>
      <c r="W254" s="2">
        <f>VLOOKUP([jobnumber],OvalData[],MATCH(Table2[[#Headers],[Torque Required Open]],Table2[#Headers],0),0)</f>
        <v>892</v>
      </c>
      <c r="X254" s="2">
        <f>VLOOKUP([jobnumber],OvalData[],MATCH(Table2[[#Headers],[Pre Turns]],Table2[#Headers],0),0)</f>
        <v>1.3332999999999999</v>
      </c>
      <c r="Y254" s="2">
        <f>VLOOKUP([jobnumber],OvalData[],MATCH(Table2[[#Headers],[Required Torque Per Turn]],Table2[#Headers],0),0)</f>
        <v>688</v>
      </c>
      <c r="Z254" s="2">
        <f>VLOOKUP([jobnumber],OvalData[],MATCH(Table2[[#Headers],[Total Turns]],Table2[#Headers],0),0)</f>
        <v>4.91</v>
      </c>
      <c r="AA254" s="2">
        <f>VLOOKUP([jobnumber],OvalData[],MATCH(Table2[[#Headers],[Grille Vision Section]],Table2[#Headers],0),0)</f>
        <v>0</v>
      </c>
      <c r="AB254" s="2">
        <f>VLOOKUP([jobnumber],OvalData[],MATCH(Table2[[#Headers],[Grille Amount]],Table2[#Headers],0),0)</f>
        <v>0</v>
      </c>
      <c r="AC254" s="2">
        <f>VLOOKUP([jobnumber],OvalData[],MATCH(Table2[[#Headers],[Grille Center]],Table2[#Headers],0),0)</f>
        <v>0</v>
      </c>
      <c r="AD254" s="2">
        <f>VLOOKUP([jobnumber],OvalData[],MATCH(Table2[[#Headers],[Grille Pattern]],Table2[#Headers],0),0)</f>
        <v>0</v>
      </c>
      <c r="AE254" s="2">
        <f>VLOOKUP([jobnumber],OvalData[],MATCH(Table2[[#Headers],[Grille First Tube]],Table2[#Headers],0),0)</f>
        <v>0</v>
      </c>
      <c r="AF254" s="2">
        <f>VLOOKUP([jobnumber],OvalData[],MATCH(Table2[[#Headers],[Grille Standard Tube]],Table2[#Headers],0),0)</f>
        <v>0</v>
      </c>
      <c r="AG254" s="2">
        <f>VLOOKUP([jobnumber],OvalData[],MATCH(Table2[[#Headers],[Grille Total Links]],Table2[#Headers],0),0)</f>
        <v>0</v>
      </c>
      <c r="AH254" s="2">
        <f>VLOOKUP([jobnumber],OvalData[],MATCH(Table2[[#Headers],[Grille Rods]],Table2[#Headers],0),0)</f>
        <v>0</v>
      </c>
      <c r="AI254" s="2">
        <f>VLOOKUP([jobnumber],OvalData[],MATCH(Table2[[#Headers],[Grille Rod Length]],Table2[#Headers],0),0)</f>
        <v>0</v>
      </c>
      <c r="AJ254" s="2">
        <f>VLOOKUP([jobnumber],OvalData[],MATCH(Table2[[#Headers],[slattype]],Table2[#Headers],0),0)</f>
        <v>2</v>
      </c>
      <c r="AK254" s="2">
        <f>VLOOKUP([jobnumber],OvalData[],MATCH(Table2[[#Headers],[slatgage]],Table2[#Headers],0),0)</f>
        <v>18</v>
      </c>
      <c r="AL254" s="2">
        <f>VLOOKUP([jobnumber],OvalData[],MATCH(Table2[[#Headers],[Numer of Top Slats]],Table2[#Headers],0),0)</f>
        <v>0</v>
      </c>
      <c r="AM254" s="2">
        <f>VLOOKUP([jobnumber],OvalData[],MATCH(Table2[[#Headers],[Number of Bottom Slats]],Table2[#Headers],0),0)</f>
        <v>0</v>
      </c>
      <c r="AN254" s="2">
        <f>VLOOKUP([jobnumber],OvalData[],MATCH(Table2[[#Headers],[Solid Bottom Height]],Table2[#Headers],0),0)</f>
        <v>0</v>
      </c>
      <c r="AO254" s="2" t="str">
        <f>VLOOKUP([jobnumber],OvalData[],MATCH(Table2[[#Headers],[slatlength]],Table2[#Headers],0),0)</f>
        <v xml:space="preserve"> 18 ft.- 5 7/ 8"</v>
      </c>
      <c r="AP254" s="2">
        <f>VLOOKUP([jobnumber],OvalData[],MATCH(Table2[[#Headers],[Bottom Slat Length]],Table2[#Headers],0),0)</f>
        <v>0</v>
      </c>
      <c r="AQ254" s="2">
        <f>VLOOKUP([jobnumber],OvalData[],MATCH(Table2[[#Headers],[Number of Perferated Slats]],Table2[#Headers],0),0)</f>
        <v>0</v>
      </c>
      <c r="AR254" s="2">
        <f>VLOOKUP([jobnumber],OvalData[],MATCH(Table2[[#Headers],[First Preferated Slat From End]],Table2[#Headers],0),0)</f>
        <v>0</v>
      </c>
      <c r="AS254" s="2">
        <f>VLOOKUP([jobnumber],OvalData[],MATCH(Table2[[#Headers],[First Preferated Slat From Bottom]],Table2[#Headers],0),0)</f>
        <v>0</v>
      </c>
      <c r="AT254" s="2">
        <f>VLOOKUP([jobnumber],OvalData[],MATCH(Table2[[#Headers],[Total Number of Slats]],Table2[#Headers],0),0)</f>
        <v>51</v>
      </c>
      <c r="AU254" s="2">
        <f>VLOOKUP([jobnumber],OvalData[],MATCH(Table2[[#Headers],[Bottom Bar Slope]],Table2[#Headers],0),0)</f>
        <v>0</v>
      </c>
      <c r="AV254" s="2">
        <f>VLOOKUP([jobnumber],OvalData[],MATCH(Table2[[#Headers],[Bottom Bar Weight]],Table2[#Headers],0),0)</f>
        <v>80.5</v>
      </c>
      <c r="AW254" s="2" t="str">
        <f>VLOOKUP([jobnumber],OvalData[],MATCH(Table2[[#Headers],[Outer Spring Gage]],Table2[#Headers],0),0)</f>
        <v>Null</v>
      </c>
      <c r="AX254" s="2" t="str">
        <f>VLOOKUP([jobnumber],OvalData[],MATCH(Table2[[#Headers],[Outer Spring OD]],Table2[#Headers],0),0)</f>
        <v>Null</v>
      </c>
      <c r="AY254" s="2" t="str">
        <f>VLOOKUP([jobnumber],OvalData[],MATCH(Table2[[#Headers],[Outer Spring Length]],Table2[#Headers],0),0)</f>
        <v>Null</v>
      </c>
      <c r="AZ254" s="2" t="str">
        <f>VLOOKUP([jobnumber],OvalData[],MATCH(Table2[[#Headers],[Outer Spring Stretch]],Table2[#Headers],0),0)</f>
        <v>Null</v>
      </c>
      <c r="BA254" s="2" t="str">
        <f>VLOOKUP([jobnumber],OvalData[],MATCH(Table2[[#Headers],[Outer Spring Torque]],Table2[#Headers],0),0)</f>
        <v>Null</v>
      </c>
      <c r="BB254" s="2" t="str">
        <f>VLOOKUP([jobnumber],OvalData[],MATCH(Table2[[#Headers],[Outer Spring Max Turns]],Table2[#Headers],0),0)</f>
        <v>Null</v>
      </c>
      <c r="BC254" s="2" t="str">
        <f>VLOOKUP([jobnumber],OvalData[],MATCH(Table2[[#Headers],[Outer Spring Weight]],Table2[#Headers],0),0)</f>
        <v>Null</v>
      </c>
      <c r="BD254" s="2" t="str">
        <f>VLOOKUP([jobnumber],OvalData[],MATCH(Table2[[#Headers],[Inner Spring Gage]],Table2[#Headers],0),0)</f>
        <v>Null</v>
      </c>
      <c r="BE254" s="2" t="str">
        <f>VLOOKUP([jobnumber],OvalData[],MATCH(Table2[[#Headers],[Inner Spring OD]],Table2[#Headers],0),0)</f>
        <v>Null</v>
      </c>
      <c r="BF254" s="2" t="str">
        <f>VLOOKUP([jobnumber],OvalData[],MATCH(Table2[[#Headers],[Inner Spring Length]],Table2[#Headers],0),0)</f>
        <v>Null</v>
      </c>
      <c r="BG254" s="2" t="str">
        <f>VLOOKUP([jobnumber],OvalData[],MATCH(Table2[[#Headers],[Inner Spring Stretch]],Table2[#Headers],0),0)</f>
        <v>Null</v>
      </c>
      <c r="BH254" s="2" t="str">
        <f>VLOOKUP([jobnumber],OvalData[],MATCH(Table2[[#Headers],[Inner Spring Torque]],Table2[#Headers],0),0)</f>
        <v>Null</v>
      </c>
      <c r="BI254" s="2" t="str">
        <f>VLOOKUP([jobnumber],OvalData[],MATCH(Table2[[#Headers],[Inner Spring Max Turns]],Table2[#Headers],0),0)</f>
        <v>Null</v>
      </c>
      <c r="BJ254" s="2" t="str">
        <f>VLOOKUP([jobnumber],OvalData[],MATCH(Table2[[#Headers],[Inner Spring Weight]],Table2[#Headers],0),0)</f>
        <v>Null</v>
      </c>
      <c r="BK254" s="2">
        <f>VLOOKUP([jobnumber],OvalData[],MATCH(Table2[[#Headers],[Cycles]],Table2[#Headers],0),0)</f>
        <v>0</v>
      </c>
      <c r="BL254" s="2">
        <f>VLOOKUP([jobnumber],OvalData[],MATCH(Table2[[#Headers],[Total Spring Torque]],Table2[#Headers],0),0)</f>
        <v>0</v>
      </c>
      <c r="BM254" s="2">
        <f>VLOOKUP([jobnumber],OvalData[],MATCH(Table2[[#Headers],[Total Spring Weight]],Table2[#Headers],0),0)</f>
        <v>0</v>
      </c>
      <c r="BN254" s="2">
        <f>VLOOKUP([jobnumber],OvalData[],MATCH(Table2[[#Headers],[Pipe Weight]],Table2[#Headers],0),0)</f>
        <v>688.24239999999998</v>
      </c>
      <c r="BO254" s="2">
        <f>VLOOKUP([jobnumber],OvalData[],MATCH(Table2[[#Headers],[Max Pipe Deflection]],Table2[#Headers],0),0)</f>
        <v>2309</v>
      </c>
      <c r="BP254" s="2">
        <f>VLOOKUP([jobnumber],OvalData[],MATCH(Table2[[#Headers],[Number Non-Insulated Wrap Slats]],Table2[#Headers],0),0)</f>
        <v>0</v>
      </c>
      <c r="BQ254" s="2">
        <f>VLOOKUP([jobnumber],OvalData[],MATCH(Table2[[#Headers],[Number of Insolated Top Slats]],Table2[#Headers],0),0)</f>
        <v>45</v>
      </c>
      <c r="BR254" s="2">
        <f>VLOOKUP([jobnumber],OvalData[],MATCH(Table2[[#Headers],[Insolated Total Slats]],Table2[#Headers],0),0)</f>
        <v>45</v>
      </c>
      <c r="BS254" s="2">
        <f>VLOOKUP([jobnumber],OvalData[],MATCH(Table2[[#Headers],[Number of Slats]],Table2[#Headers],0),0)</f>
        <v>44.69</v>
      </c>
      <c r="BT254" s="2">
        <f>VLOOKUP([jobnumber],OvalData[],MATCH(Table2[[#Headers],[Wrap]],Table2[#Headers],0),0)</f>
        <v>0</v>
      </c>
      <c r="BU254" s="2">
        <f>VLOOKUP([jobnumber],OvalData[],MATCH(Table2[[#Headers],[Wall Angle Thickness]],Table2[#Headers],0),0)</f>
        <v>0</v>
      </c>
      <c r="BV254" s="2">
        <f>VLOOKUP([jobnumber],OvalData[],MATCH(Table2[[#Headers],[windlocks]],Table2[#Headers],0),0)</f>
        <v>0</v>
      </c>
      <c r="BW254" s="2" t="str">
        <f>VLOOKUP([jobnumber],OvalData[],MATCH(Table2[[#Headers],[bottombartype]],Table2[#Headers],0),0)</f>
        <v>SPECIAL</v>
      </c>
      <c r="BX254" s="2">
        <f>VLOOKUP([jobnumber],OvalData[],MATCH(Table2[[#Headers],[endlockweight]],Table2[#Headers],0),0)</f>
        <v>0.17</v>
      </c>
      <c r="BY254" s="2">
        <f>VLOOKUP([jobnumber],OvalData[],MATCH(Table2[[#Headers],[Endlock Total Weight]],Table2[#Headers],0),0)</f>
        <v>7.5972999999999997</v>
      </c>
      <c r="BZ254" s="2">
        <f>VLOOKUP([jobnumber],OvalData[],MATCH(Table2[[#Headers],[Grille Weight]],Table2[#Headers],0),0)</f>
        <v>0</v>
      </c>
      <c r="CA254" s="2">
        <f>VLOOKUP([jobnumber],OvalData[],MATCH(Table2[[#Headers],[barrelrings]],Table2[#Headers],0),0)</f>
        <v>1</v>
      </c>
    </row>
    <row r="255" spans="2:79">
      <c r="B255" s="2" t="str">
        <f>VLOOKUP([jobnumber],OvalData[],MATCH(Table2[[#Headers],[Hand]],Table2[#Headers],0),0)</f>
        <v>RH</v>
      </c>
      <c r="C255" s="2" t="str">
        <f>VLOOKUP([jobnumber],OvalData[],MATCH(Table2[[#Headers],[Model]],Table2[#Headers],0),0)</f>
        <v>SFMPP</v>
      </c>
      <c r="D255" s="2" t="str">
        <f>VLOOKUP([jobnumber],OvalData[],MATCH(Table2[[#Headers],[width]],Table2[#Headers],0),0)</f>
        <v xml:space="preserve"> 18 ft.- 2"</v>
      </c>
      <c r="E255" s="2" t="str">
        <f>VLOOKUP([jobnumber],OvalData[],MATCH(Table2[[#Headers],[stopheight]],Table2[#Headers],0),0)</f>
        <v xml:space="preserve"> 10 ft.- 0"</v>
      </c>
      <c r="F255" s="2" t="str">
        <f>VLOOKUP([jobnumber],OvalData[],MATCH(Table2[[#Headers],[Between Brackets]],Table2[#Headers],0),0)</f>
        <v xml:space="preserve"> 18 ft.- 7 7/ 8"</v>
      </c>
      <c r="G255" s="2" t="str">
        <f>VLOOKUP([jobnumber],OvalData[],MATCH(Table2[[#Headers],[shell]],Table2[#Headers],0),0)</f>
        <v>6 INCH TUBE</v>
      </c>
      <c r="H255" s="2" t="str">
        <f>VLOOKUP([jobnumber],OvalData[],MATCH(Table2[[#Headers],[pipewidth]],Table2[#Headers],0),0)</f>
        <v xml:space="preserve"> 18 ft.- 1 3/ 8"</v>
      </c>
      <c r="I255" s="2">
        <f>VLOOKUP([jobnumber],OvalData[],MATCH(Table2[[#Headers],[Support Tubes]],Table2[#Headers],0),0)</f>
        <v>0</v>
      </c>
      <c r="J255" s="2">
        <f>VLOOKUP([jobnumber],OvalData[],MATCH(Table2[[#Headers],[Upset]],Table2[#Headers],0),0)</f>
        <v>2</v>
      </c>
      <c r="K255" s="2" t="str">
        <f>VLOOKUP([jobnumber],OvalData[],MATCH(Table2[[#Headers],[Guide Type]],Table2[#Headers],0),0)</f>
        <v>SN2-4 5/8-E</v>
      </c>
      <c r="L255" s="2" t="str">
        <f>VLOOKUP([jobnumber],OvalData[],MATCH(Table2[[#Headers],[Wall Angle]],Table2[#Headers],0),0)</f>
        <v xml:space="preserve"> 11 ft.- 8"</v>
      </c>
      <c r="M255" s="2" t="str">
        <f>VLOOKUP([jobnumber],OvalData[],MATCH(Table2[[#Headers],[Middle Angle]],Table2[#Headers],0),0)</f>
        <v xml:space="preserve"> 10 ft.- 4 1/ 2"</v>
      </c>
      <c r="N255" s="2" t="str">
        <f>VLOOKUP([jobnumber],OvalData[],MATCH(Table2[[#Headers],[Front Angle]],Table2[#Headers],0),0)</f>
        <v xml:space="preserve"> 10 ft.- 3"</v>
      </c>
      <c r="O255" s="2">
        <f>VLOOKUP([jobnumber],OvalData[],MATCH(Table2[[#Headers],[Pipe Center Line]],Table2[#Headers],0),0)</f>
        <v>131</v>
      </c>
      <c r="P255" s="2">
        <f>VLOOKUP([jobnumber],OvalData[],MATCH(Table2[[#Headers],[Heat Expansion Gap]],Table2[#Headers],0),0)</f>
        <v>0</v>
      </c>
      <c r="Q255" s="2">
        <f>VLOOKUP([jobnumber],OvalData[],MATCH(Table2[[#Headers],[Hanging Weight Closed]],Table2[#Headers],0),0)</f>
        <v>795</v>
      </c>
      <c r="R255" s="2">
        <f>VLOOKUP([jobnumber],OvalData[],MATCH(Table2[[#Headers],[Hanging Weight Open]],Table2[#Headers],0),0)</f>
        <v>140</v>
      </c>
      <c r="S255" s="2">
        <f>VLOOKUP([jobnumber],OvalData[],MATCH(Table2[[#Headers],[Initial Lever Arm]],Table2[#Headers],0),0)</f>
        <v>4.25</v>
      </c>
      <c r="T255" s="2">
        <f>VLOOKUP([jobnumber],OvalData[],MATCH(Table2[[#Headers],[Turns to Raise]],Table2[#Headers],0),0)</f>
        <v>3.5859999999999999</v>
      </c>
      <c r="U255" s="2">
        <f>VLOOKUP([jobnumber],OvalData[],MATCH(Table2[[#Headers],[Final Lever Arm]],Table2[#Headers],0),0)</f>
        <v>6.37</v>
      </c>
      <c r="V255" s="2">
        <f>VLOOKUP([jobnumber],OvalData[],MATCH(Table2[[#Headers],[Torque Required Closed]],Table2[#Headers],0),0)</f>
        <v>3377.9</v>
      </c>
      <c r="W255" s="2">
        <f>VLOOKUP([jobnumber],OvalData[],MATCH(Table2[[#Headers],[Torque Required Open]],Table2[#Headers],0),0)</f>
        <v>892</v>
      </c>
      <c r="X255" s="2">
        <f>VLOOKUP([jobnumber],OvalData[],MATCH(Table2[[#Headers],[Pre Turns]],Table2[#Headers],0),0)</f>
        <v>1.3332999999999999</v>
      </c>
      <c r="Y255" s="2">
        <f>VLOOKUP([jobnumber],OvalData[],MATCH(Table2[[#Headers],[Required Torque Per Turn]],Table2[#Headers],0),0)</f>
        <v>688</v>
      </c>
      <c r="Z255" s="2">
        <f>VLOOKUP([jobnumber],OvalData[],MATCH(Table2[[#Headers],[Total Turns]],Table2[#Headers],0),0)</f>
        <v>4.91</v>
      </c>
      <c r="AA255" s="2">
        <f>VLOOKUP([jobnumber],OvalData[],MATCH(Table2[[#Headers],[Grille Vision Section]],Table2[#Headers],0),0)</f>
        <v>0</v>
      </c>
      <c r="AB255" s="2">
        <f>VLOOKUP([jobnumber],OvalData[],MATCH(Table2[[#Headers],[Grille Amount]],Table2[#Headers],0),0)</f>
        <v>0</v>
      </c>
      <c r="AC255" s="2">
        <f>VLOOKUP([jobnumber],OvalData[],MATCH(Table2[[#Headers],[Grille Center]],Table2[#Headers],0),0)</f>
        <v>0</v>
      </c>
      <c r="AD255" s="2">
        <f>VLOOKUP([jobnumber],OvalData[],MATCH(Table2[[#Headers],[Grille Pattern]],Table2[#Headers],0),0)</f>
        <v>0</v>
      </c>
      <c r="AE255" s="2">
        <f>VLOOKUP([jobnumber],OvalData[],MATCH(Table2[[#Headers],[Grille First Tube]],Table2[#Headers],0),0)</f>
        <v>0</v>
      </c>
      <c r="AF255" s="2">
        <f>VLOOKUP([jobnumber],OvalData[],MATCH(Table2[[#Headers],[Grille Standard Tube]],Table2[#Headers],0),0)</f>
        <v>0</v>
      </c>
      <c r="AG255" s="2">
        <f>VLOOKUP([jobnumber],OvalData[],MATCH(Table2[[#Headers],[Grille Total Links]],Table2[#Headers],0),0)</f>
        <v>0</v>
      </c>
      <c r="AH255" s="2">
        <f>VLOOKUP([jobnumber],OvalData[],MATCH(Table2[[#Headers],[Grille Rods]],Table2[#Headers],0),0)</f>
        <v>0</v>
      </c>
      <c r="AI255" s="2">
        <f>VLOOKUP([jobnumber],OvalData[],MATCH(Table2[[#Headers],[Grille Rod Length]],Table2[#Headers],0),0)</f>
        <v>0</v>
      </c>
      <c r="AJ255" s="2">
        <f>VLOOKUP([jobnumber],OvalData[],MATCH(Table2[[#Headers],[slattype]],Table2[#Headers],0),0)</f>
        <v>2</v>
      </c>
      <c r="AK255" s="2">
        <f>VLOOKUP([jobnumber],OvalData[],MATCH(Table2[[#Headers],[slatgage]],Table2[#Headers],0),0)</f>
        <v>18</v>
      </c>
      <c r="AL255" s="2">
        <f>VLOOKUP([jobnumber],OvalData[],MATCH(Table2[[#Headers],[Numer of Top Slats]],Table2[#Headers],0),0)</f>
        <v>0</v>
      </c>
      <c r="AM255" s="2">
        <f>VLOOKUP([jobnumber],OvalData[],MATCH(Table2[[#Headers],[Number of Bottom Slats]],Table2[#Headers],0),0)</f>
        <v>0</v>
      </c>
      <c r="AN255" s="2">
        <f>VLOOKUP([jobnumber],OvalData[],MATCH(Table2[[#Headers],[Solid Bottom Height]],Table2[#Headers],0),0)</f>
        <v>0</v>
      </c>
      <c r="AO255" s="2" t="str">
        <f>VLOOKUP([jobnumber],OvalData[],MATCH(Table2[[#Headers],[slatlength]],Table2[#Headers],0),0)</f>
        <v xml:space="preserve"> 18 ft.- 5 7/ 8"</v>
      </c>
      <c r="AP255" s="2">
        <f>VLOOKUP([jobnumber],OvalData[],MATCH(Table2[[#Headers],[Bottom Slat Length]],Table2[#Headers],0),0)</f>
        <v>0</v>
      </c>
      <c r="AQ255" s="2">
        <f>VLOOKUP([jobnumber],OvalData[],MATCH(Table2[[#Headers],[Number of Perferated Slats]],Table2[#Headers],0),0)</f>
        <v>0</v>
      </c>
      <c r="AR255" s="2">
        <f>VLOOKUP([jobnumber],OvalData[],MATCH(Table2[[#Headers],[First Preferated Slat From End]],Table2[#Headers],0),0)</f>
        <v>0</v>
      </c>
      <c r="AS255" s="2">
        <f>VLOOKUP([jobnumber],OvalData[],MATCH(Table2[[#Headers],[First Preferated Slat From Bottom]],Table2[#Headers],0),0)</f>
        <v>0</v>
      </c>
      <c r="AT255" s="2">
        <f>VLOOKUP([jobnumber],OvalData[],MATCH(Table2[[#Headers],[Total Number of Slats]],Table2[#Headers],0),0)</f>
        <v>51</v>
      </c>
      <c r="AU255" s="2">
        <f>VLOOKUP([jobnumber],OvalData[],MATCH(Table2[[#Headers],[Bottom Bar Slope]],Table2[#Headers],0),0)</f>
        <v>0</v>
      </c>
      <c r="AV255" s="2">
        <f>VLOOKUP([jobnumber],OvalData[],MATCH(Table2[[#Headers],[Bottom Bar Weight]],Table2[#Headers],0),0)</f>
        <v>80.5</v>
      </c>
      <c r="AW255" s="2" t="str">
        <f>VLOOKUP([jobnumber],OvalData[],MATCH(Table2[[#Headers],[Outer Spring Gage]],Table2[#Headers],0),0)</f>
        <v>Null</v>
      </c>
      <c r="AX255" s="2" t="str">
        <f>VLOOKUP([jobnumber],OvalData[],MATCH(Table2[[#Headers],[Outer Spring OD]],Table2[#Headers],0),0)</f>
        <v>Null</v>
      </c>
      <c r="AY255" s="2" t="str">
        <f>VLOOKUP([jobnumber],OvalData[],MATCH(Table2[[#Headers],[Outer Spring Length]],Table2[#Headers],0),0)</f>
        <v>Null</v>
      </c>
      <c r="AZ255" s="2" t="str">
        <f>VLOOKUP([jobnumber],OvalData[],MATCH(Table2[[#Headers],[Outer Spring Stretch]],Table2[#Headers],0),0)</f>
        <v>Null</v>
      </c>
      <c r="BA255" s="2" t="str">
        <f>VLOOKUP([jobnumber],OvalData[],MATCH(Table2[[#Headers],[Outer Spring Torque]],Table2[#Headers],0),0)</f>
        <v>Null</v>
      </c>
      <c r="BB255" s="2" t="str">
        <f>VLOOKUP([jobnumber],OvalData[],MATCH(Table2[[#Headers],[Outer Spring Max Turns]],Table2[#Headers],0),0)</f>
        <v>Null</v>
      </c>
      <c r="BC255" s="2" t="str">
        <f>VLOOKUP([jobnumber],OvalData[],MATCH(Table2[[#Headers],[Outer Spring Weight]],Table2[#Headers],0),0)</f>
        <v>Null</v>
      </c>
      <c r="BD255" s="2" t="str">
        <f>VLOOKUP([jobnumber],OvalData[],MATCH(Table2[[#Headers],[Inner Spring Gage]],Table2[#Headers],0),0)</f>
        <v>Null</v>
      </c>
      <c r="BE255" s="2" t="str">
        <f>VLOOKUP([jobnumber],OvalData[],MATCH(Table2[[#Headers],[Inner Spring OD]],Table2[#Headers],0),0)</f>
        <v>Null</v>
      </c>
      <c r="BF255" s="2" t="str">
        <f>VLOOKUP([jobnumber],OvalData[],MATCH(Table2[[#Headers],[Inner Spring Length]],Table2[#Headers],0),0)</f>
        <v>Null</v>
      </c>
      <c r="BG255" s="2" t="str">
        <f>VLOOKUP([jobnumber],OvalData[],MATCH(Table2[[#Headers],[Inner Spring Stretch]],Table2[#Headers],0),0)</f>
        <v>Null</v>
      </c>
      <c r="BH255" s="2" t="str">
        <f>VLOOKUP([jobnumber],OvalData[],MATCH(Table2[[#Headers],[Inner Spring Torque]],Table2[#Headers],0),0)</f>
        <v>Null</v>
      </c>
      <c r="BI255" s="2" t="str">
        <f>VLOOKUP([jobnumber],OvalData[],MATCH(Table2[[#Headers],[Inner Spring Max Turns]],Table2[#Headers],0),0)</f>
        <v>Null</v>
      </c>
      <c r="BJ255" s="2" t="str">
        <f>VLOOKUP([jobnumber],OvalData[],MATCH(Table2[[#Headers],[Inner Spring Weight]],Table2[#Headers],0),0)</f>
        <v>Null</v>
      </c>
      <c r="BK255" s="2">
        <f>VLOOKUP([jobnumber],OvalData[],MATCH(Table2[[#Headers],[Cycles]],Table2[#Headers],0),0)</f>
        <v>0</v>
      </c>
      <c r="BL255" s="2">
        <f>VLOOKUP([jobnumber],OvalData[],MATCH(Table2[[#Headers],[Total Spring Torque]],Table2[#Headers],0),0)</f>
        <v>0</v>
      </c>
      <c r="BM255" s="2">
        <f>VLOOKUP([jobnumber],OvalData[],MATCH(Table2[[#Headers],[Total Spring Weight]],Table2[#Headers],0),0)</f>
        <v>0</v>
      </c>
      <c r="BN255" s="2">
        <f>VLOOKUP([jobnumber],OvalData[],MATCH(Table2[[#Headers],[Pipe Weight]],Table2[#Headers],0),0)</f>
        <v>688.24239999999998</v>
      </c>
      <c r="BO255" s="2">
        <f>VLOOKUP([jobnumber],OvalData[],MATCH(Table2[[#Headers],[Max Pipe Deflection]],Table2[#Headers],0),0)</f>
        <v>2309</v>
      </c>
      <c r="BP255" s="2">
        <f>VLOOKUP([jobnumber],OvalData[],MATCH(Table2[[#Headers],[Number Non-Insulated Wrap Slats]],Table2[#Headers],0),0)</f>
        <v>0</v>
      </c>
      <c r="BQ255" s="2">
        <f>VLOOKUP([jobnumber],OvalData[],MATCH(Table2[[#Headers],[Number of Insolated Top Slats]],Table2[#Headers],0),0)</f>
        <v>45</v>
      </c>
      <c r="BR255" s="2">
        <f>VLOOKUP([jobnumber],OvalData[],MATCH(Table2[[#Headers],[Insolated Total Slats]],Table2[#Headers],0),0)</f>
        <v>45</v>
      </c>
      <c r="BS255" s="2">
        <f>VLOOKUP([jobnumber],OvalData[],MATCH(Table2[[#Headers],[Number of Slats]],Table2[#Headers],0),0)</f>
        <v>44.69</v>
      </c>
      <c r="BT255" s="2">
        <f>VLOOKUP([jobnumber],OvalData[],MATCH(Table2[[#Headers],[Wrap]],Table2[#Headers],0),0)</f>
        <v>0</v>
      </c>
      <c r="BU255" s="2">
        <f>VLOOKUP([jobnumber],OvalData[],MATCH(Table2[[#Headers],[Wall Angle Thickness]],Table2[#Headers],0),0)</f>
        <v>0</v>
      </c>
      <c r="BV255" s="2">
        <f>VLOOKUP([jobnumber],OvalData[],MATCH(Table2[[#Headers],[windlocks]],Table2[#Headers],0),0)</f>
        <v>0</v>
      </c>
      <c r="BW255" s="2" t="str">
        <f>VLOOKUP([jobnumber],OvalData[],MATCH(Table2[[#Headers],[bottombartype]],Table2[#Headers],0),0)</f>
        <v>SPECIAL</v>
      </c>
      <c r="BX255" s="2">
        <f>VLOOKUP([jobnumber],OvalData[],MATCH(Table2[[#Headers],[endlockweight]],Table2[#Headers],0),0)</f>
        <v>0.17</v>
      </c>
      <c r="BY255" s="2">
        <f>VLOOKUP([jobnumber],OvalData[],MATCH(Table2[[#Headers],[Endlock Total Weight]],Table2[#Headers],0),0)</f>
        <v>7.5972999999999997</v>
      </c>
      <c r="BZ255" s="2">
        <f>VLOOKUP([jobnumber],OvalData[],MATCH(Table2[[#Headers],[Grille Weight]],Table2[#Headers],0),0)</f>
        <v>0</v>
      </c>
      <c r="CA255" s="2">
        <f>VLOOKUP([jobnumber],OvalData[],MATCH(Table2[[#Headers],[barrelrings]],Table2[#Headers],0),0)</f>
        <v>1</v>
      </c>
    </row>
    <row r="256" spans="2:79">
      <c r="B256" s="2" t="str">
        <f>VLOOKUP([jobnumber],OvalData[],MATCH(Table2[[#Headers],[Hand]],Table2[#Headers],0),0)</f>
        <v>RH</v>
      </c>
      <c r="C256" s="2" t="str">
        <f>VLOOKUP([jobnumber],OvalData[],MATCH(Table2[[#Headers],[Model]],Table2[#Headers],0),0)</f>
        <v>SFMPP</v>
      </c>
      <c r="D256" s="2" t="str">
        <f>VLOOKUP([jobnumber],OvalData[],MATCH(Table2[[#Headers],[width]],Table2[#Headers],0),0)</f>
        <v xml:space="preserve"> 18 ft.- 2"</v>
      </c>
      <c r="E256" s="2" t="str">
        <f>VLOOKUP([jobnumber],OvalData[],MATCH(Table2[[#Headers],[stopheight]],Table2[#Headers],0),0)</f>
        <v xml:space="preserve"> 10 ft.- 0"</v>
      </c>
      <c r="F256" s="2" t="str">
        <f>VLOOKUP([jobnumber],OvalData[],MATCH(Table2[[#Headers],[Between Brackets]],Table2[#Headers],0),0)</f>
        <v xml:space="preserve"> 18 ft.- 7 7/ 8"</v>
      </c>
      <c r="G256" s="2" t="str">
        <f>VLOOKUP([jobnumber],OvalData[],MATCH(Table2[[#Headers],[shell]],Table2[#Headers],0),0)</f>
        <v>6 INCH TUBE</v>
      </c>
      <c r="H256" s="2" t="str">
        <f>VLOOKUP([jobnumber],OvalData[],MATCH(Table2[[#Headers],[pipewidth]],Table2[#Headers],0),0)</f>
        <v xml:space="preserve"> 18 ft.- 1 3/ 8"</v>
      </c>
      <c r="I256" s="2">
        <f>VLOOKUP([jobnumber],OvalData[],MATCH(Table2[[#Headers],[Support Tubes]],Table2[#Headers],0),0)</f>
        <v>0</v>
      </c>
      <c r="J256" s="2">
        <f>VLOOKUP([jobnumber],OvalData[],MATCH(Table2[[#Headers],[Upset]],Table2[#Headers],0),0)</f>
        <v>2</v>
      </c>
      <c r="K256" s="2" t="str">
        <f>VLOOKUP([jobnumber],OvalData[],MATCH(Table2[[#Headers],[Guide Type]],Table2[#Headers],0),0)</f>
        <v>SN2-4 5/8-E</v>
      </c>
      <c r="L256" s="2" t="str">
        <f>VLOOKUP([jobnumber],OvalData[],MATCH(Table2[[#Headers],[Wall Angle]],Table2[#Headers],0),0)</f>
        <v xml:space="preserve"> 11 ft.- 8"</v>
      </c>
      <c r="M256" s="2" t="str">
        <f>VLOOKUP([jobnumber],OvalData[],MATCH(Table2[[#Headers],[Middle Angle]],Table2[#Headers],0),0)</f>
        <v xml:space="preserve"> 10 ft.- 4 1/ 2"</v>
      </c>
      <c r="N256" s="2" t="str">
        <f>VLOOKUP([jobnumber],OvalData[],MATCH(Table2[[#Headers],[Front Angle]],Table2[#Headers],0),0)</f>
        <v xml:space="preserve"> 10 ft.- 3"</v>
      </c>
      <c r="O256" s="2">
        <f>VLOOKUP([jobnumber],OvalData[],MATCH(Table2[[#Headers],[Pipe Center Line]],Table2[#Headers],0),0)</f>
        <v>131</v>
      </c>
      <c r="P256" s="2">
        <f>VLOOKUP([jobnumber],OvalData[],MATCH(Table2[[#Headers],[Heat Expansion Gap]],Table2[#Headers],0),0)</f>
        <v>0</v>
      </c>
      <c r="Q256" s="2">
        <f>VLOOKUP([jobnumber],OvalData[],MATCH(Table2[[#Headers],[Hanging Weight Closed]],Table2[#Headers],0),0)</f>
        <v>795</v>
      </c>
      <c r="R256" s="2">
        <f>VLOOKUP([jobnumber],OvalData[],MATCH(Table2[[#Headers],[Hanging Weight Open]],Table2[#Headers],0),0)</f>
        <v>140</v>
      </c>
      <c r="S256" s="2">
        <f>VLOOKUP([jobnumber],OvalData[],MATCH(Table2[[#Headers],[Initial Lever Arm]],Table2[#Headers],0),0)</f>
        <v>4.25</v>
      </c>
      <c r="T256" s="2">
        <f>VLOOKUP([jobnumber],OvalData[],MATCH(Table2[[#Headers],[Turns to Raise]],Table2[#Headers],0),0)</f>
        <v>3.5859999999999999</v>
      </c>
      <c r="U256" s="2">
        <f>VLOOKUP([jobnumber],OvalData[],MATCH(Table2[[#Headers],[Final Lever Arm]],Table2[#Headers],0),0)</f>
        <v>6.37</v>
      </c>
      <c r="V256" s="2">
        <f>VLOOKUP([jobnumber],OvalData[],MATCH(Table2[[#Headers],[Torque Required Closed]],Table2[#Headers],0),0)</f>
        <v>3377.9</v>
      </c>
      <c r="W256" s="2">
        <f>VLOOKUP([jobnumber],OvalData[],MATCH(Table2[[#Headers],[Torque Required Open]],Table2[#Headers],0),0)</f>
        <v>892</v>
      </c>
      <c r="X256" s="2">
        <f>VLOOKUP([jobnumber],OvalData[],MATCH(Table2[[#Headers],[Pre Turns]],Table2[#Headers],0),0)</f>
        <v>1.3332999999999999</v>
      </c>
      <c r="Y256" s="2">
        <f>VLOOKUP([jobnumber],OvalData[],MATCH(Table2[[#Headers],[Required Torque Per Turn]],Table2[#Headers],0),0)</f>
        <v>688</v>
      </c>
      <c r="Z256" s="2">
        <f>VLOOKUP([jobnumber],OvalData[],MATCH(Table2[[#Headers],[Total Turns]],Table2[#Headers],0),0)</f>
        <v>4.91</v>
      </c>
      <c r="AA256" s="2">
        <f>VLOOKUP([jobnumber],OvalData[],MATCH(Table2[[#Headers],[Grille Vision Section]],Table2[#Headers],0),0)</f>
        <v>0</v>
      </c>
      <c r="AB256" s="2">
        <f>VLOOKUP([jobnumber],OvalData[],MATCH(Table2[[#Headers],[Grille Amount]],Table2[#Headers],0),0)</f>
        <v>0</v>
      </c>
      <c r="AC256" s="2">
        <f>VLOOKUP([jobnumber],OvalData[],MATCH(Table2[[#Headers],[Grille Center]],Table2[#Headers],0),0)</f>
        <v>0</v>
      </c>
      <c r="AD256" s="2">
        <f>VLOOKUP([jobnumber],OvalData[],MATCH(Table2[[#Headers],[Grille Pattern]],Table2[#Headers],0),0)</f>
        <v>0</v>
      </c>
      <c r="AE256" s="2">
        <f>VLOOKUP([jobnumber],OvalData[],MATCH(Table2[[#Headers],[Grille First Tube]],Table2[#Headers],0),0)</f>
        <v>0</v>
      </c>
      <c r="AF256" s="2">
        <f>VLOOKUP([jobnumber],OvalData[],MATCH(Table2[[#Headers],[Grille Standard Tube]],Table2[#Headers],0),0)</f>
        <v>0</v>
      </c>
      <c r="AG256" s="2">
        <f>VLOOKUP([jobnumber],OvalData[],MATCH(Table2[[#Headers],[Grille Total Links]],Table2[#Headers],0),0)</f>
        <v>0</v>
      </c>
      <c r="AH256" s="2">
        <f>VLOOKUP([jobnumber],OvalData[],MATCH(Table2[[#Headers],[Grille Rods]],Table2[#Headers],0),0)</f>
        <v>0</v>
      </c>
      <c r="AI256" s="2">
        <f>VLOOKUP([jobnumber],OvalData[],MATCH(Table2[[#Headers],[Grille Rod Length]],Table2[#Headers],0),0)</f>
        <v>0</v>
      </c>
      <c r="AJ256" s="2">
        <f>VLOOKUP([jobnumber],OvalData[],MATCH(Table2[[#Headers],[slattype]],Table2[#Headers],0),0)</f>
        <v>2</v>
      </c>
      <c r="AK256" s="2">
        <f>VLOOKUP([jobnumber],OvalData[],MATCH(Table2[[#Headers],[slatgage]],Table2[#Headers],0),0)</f>
        <v>18</v>
      </c>
      <c r="AL256" s="2">
        <f>VLOOKUP([jobnumber],OvalData[],MATCH(Table2[[#Headers],[Numer of Top Slats]],Table2[#Headers],0),0)</f>
        <v>0</v>
      </c>
      <c r="AM256" s="2">
        <f>VLOOKUP([jobnumber],OvalData[],MATCH(Table2[[#Headers],[Number of Bottom Slats]],Table2[#Headers],0),0)</f>
        <v>0</v>
      </c>
      <c r="AN256" s="2">
        <f>VLOOKUP([jobnumber],OvalData[],MATCH(Table2[[#Headers],[Solid Bottom Height]],Table2[#Headers],0),0)</f>
        <v>0</v>
      </c>
      <c r="AO256" s="2" t="str">
        <f>VLOOKUP([jobnumber],OvalData[],MATCH(Table2[[#Headers],[slatlength]],Table2[#Headers],0),0)</f>
        <v xml:space="preserve"> 18 ft.- 5 7/ 8"</v>
      </c>
      <c r="AP256" s="2">
        <f>VLOOKUP([jobnumber],OvalData[],MATCH(Table2[[#Headers],[Bottom Slat Length]],Table2[#Headers],0),0)</f>
        <v>0</v>
      </c>
      <c r="AQ256" s="2">
        <f>VLOOKUP([jobnumber],OvalData[],MATCH(Table2[[#Headers],[Number of Perferated Slats]],Table2[#Headers],0),0)</f>
        <v>0</v>
      </c>
      <c r="AR256" s="2">
        <f>VLOOKUP([jobnumber],OvalData[],MATCH(Table2[[#Headers],[First Preferated Slat From End]],Table2[#Headers],0),0)</f>
        <v>0</v>
      </c>
      <c r="AS256" s="2">
        <f>VLOOKUP([jobnumber],OvalData[],MATCH(Table2[[#Headers],[First Preferated Slat From Bottom]],Table2[#Headers],0),0)</f>
        <v>0</v>
      </c>
      <c r="AT256" s="2">
        <f>VLOOKUP([jobnumber],OvalData[],MATCH(Table2[[#Headers],[Total Number of Slats]],Table2[#Headers],0),0)</f>
        <v>51</v>
      </c>
      <c r="AU256" s="2">
        <f>VLOOKUP([jobnumber],OvalData[],MATCH(Table2[[#Headers],[Bottom Bar Slope]],Table2[#Headers],0),0)</f>
        <v>0</v>
      </c>
      <c r="AV256" s="2">
        <f>VLOOKUP([jobnumber],OvalData[],MATCH(Table2[[#Headers],[Bottom Bar Weight]],Table2[#Headers],0),0)</f>
        <v>80.5</v>
      </c>
      <c r="AW256" s="2" t="str">
        <f>VLOOKUP([jobnumber],OvalData[],MATCH(Table2[[#Headers],[Outer Spring Gage]],Table2[#Headers],0),0)</f>
        <v>Null</v>
      </c>
      <c r="AX256" s="2" t="str">
        <f>VLOOKUP([jobnumber],OvalData[],MATCH(Table2[[#Headers],[Outer Spring OD]],Table2[#Headers],0),0)</f>
        <v>Null</v>
      </c>
      <c r="AY256" s="2" t="str">
        <f>VLOOKUP([jobnumber],OvalData[],MATCH(Table2[[#Headers],[Outer Spring Length]],Table2[#Headers],0),0)</f>
        <v>Null</v>
      </c>
      <c r="AZ256" s="2" t="str">
        <f>VLOOKUP([jobnumber],OvalData[],MATCH(Table2[[#Headers],[Outer Spring Stretch]],Table2[#Headers],0),0)</f>
        <v>Null</v>
      </c>
      <c r="BA256" s="2" t="str">
        <f>VLOOKUP([jobnumber],OvalData[],MATCH(Table2[[#Headers],[Outer Spring Torque]],Table2[#Headers],0),0)</f>
        <v>Null</v>
      </c>
      <c r="BB256" s="2" t="str">
        <f>VLOOKUP([jobnumber],OvalData[],MATCH(Table2[[#Headers],[Outer Spring Max Turns]],Table2[#Headers],0),0)</f>
        <v>Null</v>
      </c>
      <c r="BC256" s="2" t="str">
        <f>VLOOKUP([jobnumber],OvalData[],MATCH(Table2[[#Headers],[Outer Spring Weight]],Table2[#Headers],0),0)</f>
        <v>Null</v>
      </c>
      <c r="BD256" s="2" t="str">
        <f>VLOOKUP([jobnumber],OvalData[],MATCH(Table2[[#Headers],[Inner Spring Gage]],Table2[#Headers],0),0)</f>
        <v>Null</v>
      </c>
      <c r="BE256" s="2" t="str">
        <f>VLOOKUP([jobnumber],OvalData[],MATCH(Table2[[#Headers],[Inner Spring OD]],Table2[#Headers],0),0)</f>
        <v>Null</v>
      </c>
      <c r="BF256" s="2" t="str">
        <f>VLOOKUP([jobnumber],OvalData[],MATCH(Table2[[#Headers],[Inner Spring Length]],Table2[#Headers],0),0)</f>
        <v>Null</v>
      </c>
      <c r="BG256" s="2" t="str">
        <f>VLOOKUP([jobnumber],OvalData[],MATCH(Table2[[#Headers],[Inner Spring Stretch]],Table2[#Headers],0),0)</f>
        <v>Null</v>
      </c>
      <c r="BH256" s="2" t="str">
        <f>VLOOKUP([jobnumber],OvalData[],MATCH(Table2[[#Headers],[Inner Spring Torque]],Table2[#Headers],0),0)</f>
        <v>Null</v>
      </c>
      <c r="BI256" s="2" t="str">
        <f>VLOOKUP([jobnumber],OvalData[],MATCH(Table2[[#Headers],[Inner Spring Max Turns]],Table2[#Headers],0),0)</f>
        <v>Null</v>
      </c>
      <c r="BJ256" s="2" t="str">
        <f>VLOOKUP([jobnumber],OvalData[],MATCH(Table2[[#Headers],[Inner Spring Weight]],Table2[#Headers],0),0)</f>
        <v>Null</v>
      </c>
      <c r="BK256" s="2">
        <f>VLOOKUP([jobnumber],OvalData[],MATCH(Table2[[#Headers],[Cycles]],Table2[#Headers],0),0)</f>
        <v>0</v>
      </c>
      <c r="BL256" s="2">
        <f>VLOOKUP([jobnumber],OvalData[],MATCH(Table2[[#Headers],[Total Spring Torque]],Table2[#Headers],0),0)</f>
        <v>0</v>
      </c>
      <c r="BM256" s="2">
        <f>VLOOKUP([jobnumber],OvalData[],MATCH(Table2[[#Headers],[Total Spring Weight]],Table2[#Headers],0),0)</f>
        <v>0</v>
      </c>
      <c r="BN256" s="2">
        <f>VLOOKUP([jobnumber],OvalData[],MATCH(Table2[[#Headers],[Pipe Weight]],Table2[#Headers],0),0)</f>
        <v>688.24239999999998</v>
      </c>
      <c r="BO256" s="2">
        <f>VLOOKUP([jobnumber],OvalData[],MATCH(Table2[[#Headers],[Max Pipe Deflection]],Table2[#Headers],0),0)</f>
        <v>2309</v>
      </c>
      <c r="BP256" s="2">
        <f>VLOOKUP([jobnumber],OvalData[],MATCH(Table2[[#Headers],[Number Non-Insulated Wrap Slats]],Table2[#Headers],0),0)</f>
        <v>0</v>
      </c>
      <c r="BQ256" s="2">
        <f>VLOOKUP([jobnumber],OvalData[],MATCH(Table2[[#Headers],[Number of Insolated Top Slats]],Table2[#Headers],0),0)</f>
        <v>45</v>
      </c>
      <c r="BR256" s="2">
        <f>VLOOKUP([jobnumber],OvalData[],MATCH(Table2[[#Headers],[Insolated Total Slats]],Table2[#Headers],0),0)</f>
        <v>45</v>
      </c>
      <c r="BS256" s="2">
        <f>VLOOKUP([jobnumber],OvalData[],MATCH(Table2[[#Headers],[Number of Slats]],Table2[#Headers],0),0)</f>
        <v>44.69</v>
      </c>
      <c r="BT256" s="2">
        <f>VLOOKUP([jobnumber],OvalData[],MATCH(Table2[[#Headers],[Wrap]],Table2[#Headers],0),0)</f>
        <v>0</v>
      </c>
      <c r="BU256" s="2">
        <f>VLOOKUP([jobnumber],OvalData[],MATCH(Table2[[#Headers],[Wall Angle Thickness]],Table2[#Headers],0),0)</f>
        <v>0</v>
      </c>
      <c r="BV256" s="2">
        <f>VLOOKUP([jobnumber],OvalData[],MATCH(Table2[[#Headers],[windlocks]],Table2[#Headers],0),0)</f>
        <v>0</v>
      </c>
      <c r="BW256" s="2" t="str">
        <f>VLOOKUP([jobnumber],OvalData[],MATCH(Table2[[#Headers],[bottombartype]],Table2[#Headers],0),0)</f>
        <v>SPECIAL</v>
      </c>
      <c r="BX256" s="2">
        <f>VLOOKUP([jobnumber],OvalData[],MATCH(Table2[[#Headers],[endlockweight]],Table2[#Headers],0),0)</f>
        <v>0.17</v>
      </c>
      <c r="BY256" s="2">
        <f>VLOOKUP([jobnumber],OvalData[],MATCH(Table2[[#Headers],[Endlock Total Weight]],Table2[#Headers],0),0)</f>
        <v>7.5972999999999997</v>
      </c>
      <c r="BZ256" s="2">
        <f>VLOOKUP([jobnumber],OvalData[],MATCH(Table2[[#Headers],[Grille Weight]],Table2[#Headers],0),0)</f>
        <v>0</v>
      </c>
      <c r="CA256" s="2">
        <f>VLOOKUP([jobnumber],OvalData[],MATCH(Table2[[#Headers],[barrelrings]],Table2[#Headers],0),0)</f>
        <v>1</v>
      </c>
    </row>
    <row r="257" spans="2:79">
      <c r="B257" s="2" t="str">
        <f>VLOOKUP([jobnumber],OvalData[],MATCH(Table2[[#Headers],[Hand]],Table2[#Headers],0),0)</f>
        <v>RH</v>
      </c>
      <c r="C257" s="2" t="str">
        <f>VLOOKUP([jobnumber],OvalData[],MATCH(Table2[[#Headers],[Model]],Table2[#Headers],0),0)</f>
        <v>SFMPP</v>
      </c>
      <c r="D257" s="2" t="str">
        <f>VLOOKUP([jobnumber],OvalData[],MATCH(Table2[[#Headers],[width]],Table2[#Headers],0),0)</f>
        <v xml:space="preserve"> 18 ft.- 2"</v>
      </c>
      <c r="E257" s="2" t="str">
        <f>VLOOKUP([jobnumber],OvalData[],MATCH(Table2[[#Headers],[stopheight]],Table2[#Headers],0),0)</f>
        <v xml:space="preserve"> 10 ft.- 0"</v>
      </c>
      <c r="F257" s="2" t="str">
        <f>VLOOKUP([jobnumber],OvalData[],MATCH(Table2[[#Headers],[Between Brackets]],Table2[#Headers],0),0)</f>
        <v xml:space="preserve"> 18 ft.- 7 7/ 8"</v>
      </c>
      <c r="G257" s="2" t="str">
        <f>VLOOKUP([jobnumber],OvalData[],MATCH(Table2[[#Headers],[shell]],Table2[#Headers],0),0)</f>
        <v>6 INCH TUBE</v>
      </c>
      <c r="H257" s="2" t="str">
        <f>VLOOKUP([jobnumber],OvalData[],MATCH(Table2[[#Headers],[pipewidth]],Table2[#Headers],0),0)</f>
        <v xml:space="preserve"> 18 ft.- 1 3/ 8"</v>
      </c>
      <c r="I257" s="2">
        <f>VLOOKUP([jobnumber],OvalData[],MATCH(Table2[[#Headers],[Support Tubes]],Table2[#Headers],0),0)</f>
        <v>0</v>
      </c>
      <c r="J257" s="2">
        <f>VLOOKUP([jobnumber],OvalData[],MATCH(Table2[[#Headers],[Upset]],Table2[#Headers],0),0)</f>
        <v>2</v>
      </c>
      <c r="K257" s="2" t="str">
        <f>VLOOKUP([jobnumber],OvalData[],MATCH(Table2[[#Headers],[Guide Type]],Table2[#Headers],0),0)</f>
        <v>SN2-4 5/8-E</v>
      </c>
      <c r="L257" s="2" t="str">
        <f>VLOOKUP([jobnumber],OvalData[],MATCH(Table2[[#Headers],[Wall Angle]],Table2[#Headers],0),0)</f>
        <v xml:space="preserve"> 11 ft.- 8"</v>
      </c>
      <c r="M257" s="2" t="str">
        <f>VLOOKUP([jobnumber],OvalData[],MATCH(Table2[[#Headers],[Middle Angle]],Table2[#Headers],0),0)</f>
        <v xml:space="preserve"> 10 ft.- 4 1/ 2"</v>
      </c>
      <c r="N257" s="2" t="str">
        <f>VLOOKUP([jobnumber],OvalData[],MATCH(Table2[[#Headers],[Front Angle]],Table2[#Headers],0),0)</f>
        <v xml:space="preserve"> 10 ft.- 3"</v>
      </c>
      <c r="O257" s="2">
        <f>VLOOKUP([jobnumber],OvalData[],MATCH(Table2[[#Headers],[Pipe Center Line]],Table2[#Headers],0),0)</f>
        <v>131</v>
      </c>
      <c r="P257" s="2">
        <f>VLOOKUP([jobnumber],OvalData[],MATCH(Table2[[#Headers],[Heat Expansion Gap]],Table2[#Headers],0),0)</f>
        <v>0</v>
      </c>
      <c r="Q257" s="2">
        <f>VLOOKUP([jobnumber],OvalData[],MATCH(Table2[[#Headers],[Hanging Weight Closed]],Table2[#Headers],0),0)</f>
        <v>795</v>
      </c>
      <c r="R257" s="2">
        <f>VLOOKUP([jobnumber],OvalData[],MATCH(Table2[[#Headers],[Hanging Weight Open]],Table2[#Headers],0),0)</f>
        <v>140</v>
      </c>
      <c r="S257" s="2">
        <f>VLOOKUP([jobnumber],OvalData[],MATCH(Table2[[#Headers],[Initial Lever Arm]],Table2[#Headers],0),0)</f>
        <v>4.25</v>
      </c>
      <c r="T257" s="2">
        <f>VLOOKUP([jobnumber],OvalData[],MATCH(Table2[[#Headers],[Turns to Raise]],Table2[#Headers],0),0)</f>
        <v>3.5859999999999999</v>
      </c>
      <c r="U257" s="2">
        <f>VLOOKUP([jobnumber],OvalData[],MATCH(Table2[[#Headers],[Final Lever Arm]],Table2[#Headers],0),0)</f>
        <v>6.37</v>
      </c>
      <c r="V257" s="2">
        <f>VLOOKUP([jobnumber],OvalData[],MATCH(Table2[[#Headers],[Torque Required Closed]],Table2[#Headers],0),0)</f>
        <v>3377.9</v>
      </c>
      <c r="W257" s="2">
        <f>VLOOKUP([jobnumber],OvalData[],MATCH(Table2[[#Headers],[Torque Required Open]],Table2[#Headers],0),0)</f>
        <v>892</v>
      </c>
      <c r="X257" s="2">
        <f>VLOOKUP([jobnumber],OvalData[],MATCH(Table2[[#Headers],[Pre Turns]],Table2[#Headers],0),0)</f>
        <v>1.3332999999999999</v>
      </c>
      <c r="Y257" s="2">
        <f>VLOOKUP([jobnumber],OvalData[],MATCH(Table2[[#Headers],[Required Torque Per Turn]],Table2[#Headers],0),0)</f>
        <v>688</v>
      </c>
      <c r="Z257" s="2">
        <f>VLOOKUP([jobnumber],OvalData[],MATCH(Table2[[#Headers],[Total Turns]],Table2[#Headers],0),0)</f>
        <v>4.91</v>
      </c>
      <c r="AA257" s="2">
        <f>VLOOKUP([jobnumber],OvalData[],MATCH(Table2[[#Headers],[Grille Vision Section]],Table2[#Headers],0),0)</f>
        <v>0</v>
      </c>
      <c r="AB257" s="2">
        <f>VLOOKUP([jobnumber],OvalData[],MATCH(Table2[[#Headers],[Grille Amount]],Table2[#Headers],0),0)</f>
        <v>0</v>
      </c>
      <c r="AC257" s="2">
        <f>VLOOKUP([jobnumber],OvalData[],MATCH(Table2[[#Headers],[Grille Center]],Table2[#Headers],0),0)</f>
        <v>0</v>
      </c>
      <c r="AD257" s="2">
        <f>VLOOKUP([jobnumber],OvalData[],MATCH(Table2[[#Headers],[Grille Pattern]],Table2[#Headers],0),0)</f>
        <v>0</v>
      </c>
      <c r="AE257" s="2">
        <f>VLOOKUP([jobnumber],OvalData[],MATCH(Table2[[#Headers],[Grille First Tube]],Table2[#Headers],0),0)</f>
        <v>0</v>
      </c>
      <c r="AF257" s="2">
        <f>VLOOKUP([jobnumber],OvalData[],MATCH(Table2[[#Headers],[Grille Standard Tube]],Table2[#Headers],0),0)</f>
        <v>0</v>
      </c>
      <c r="AG257" s="2">
        <f>VLOOKUP([jobnumber],OvalData[],MATCH(Table2[[#Headers],[Grille Total Links]],Table2[#Headers],0),0)</f>
        <v>0</v>
      </c>
      <c r="AH257" s="2">
        <f>VLOOKUP([jobnumber],OvalData[],MATCH(Table2[[#Headers],[Grille Rods]],Table2[#Headers],0),0)</f>
        <v>0</v>
      </c>
      <c r="AI257" s="2">
        <f>VLOOKUP([jobnumber],OvalData[],MATCH(Table2[[#Headers],[Grille Rod Length]],Table2[#Headers],0),0)</f>
        <v>0</v>
      </c>
      <c r="AJ257" s="2">
        <f>VLOOKUP([jobnumber],OvalData[],MATCH(Table2[[#Headers],[slattype]],Table2[#Headers],0),0)</f>
        <v>2</v>
      </c>
      <c r="AK257" s="2">
        <f>VLOOKUP([jobnumber],OvalData[],MATCH(Table2[[#Headers],[slatgage]],Table2[#Headers],0),0)</f>
        <v>18</v>
      </c>
      <c r="AL257" s="2">
        <f>VLOOKUP([jobnumber],OvalData[],MATCH(Table2[[#Headers],[Numer of Top Slats]],Table2[#Headers],0),0)</f>
        <v>0</v>
      </c>
      <c r="AM257" s="2">
        <f>VLOOKUP([jobnumber],OvalData[],MATCH(Table2[[#Headers],[Number of Bottom Slats]],Table2[#Headers],0),0)</f>
        <v>0</v>
      </c>
      <c r="AN257" s="2">
        <f>VLOOKUP([jobnumber],OvalData[],MATCH(Table2[[#Headers],[Solid Bottom Height]],Table2[#Headers],0),0)</f>
        <v>0</v>
      </c>
      <c r="AO257" s="2" t="str">
        <f>VLOOKUP([jobnumber],OvalData[],MATCH(Table2[[#Headers],[slatlength]],Table2[#Headers],0),0)</f>
        <v xml:space="preserve"> 18 ft.- 5 7/ 8"</v>
      </c>
      <c r="AP257" s="2">
        <f>VLOOKUP([jobnumber],OvalData[],MATCH(Table2[[#Headers],[Bottom Slat Length]],Table2[#Headers],0),0)</f>
        <v>0</v>
      </c>
      <c r="AQ257" s="2">
        <f>VLOOKUP([jobnumber],OvalData[],MATCH(Table2[[#Headers],[Number of Perferated Slats]],Table2[#Headers],0),0)</f>
        <v>0</v>
      </c>
      <c r="AR257" s="2">
        <f>VLOOKUP([jobnumber],OvalData[],MATCH(Table2[[#Headers],[First Preferated Slat From End]],Table2[#Headers],0),0)</f>
        <v>0</v>
      </c>
      <c r="AS257" s="2">
        <f>VLOOKUP([jobnumber],OvalData[],MATCH(Table2[[#Headers],[First Preferated Slat From Bottom]],Table2[#Headers],0),0)</f>
        <v>0</v>
      </c>
      <c r="AT257" s="2">
        <f>VLOOKUP([jobnumber],OvalData[],MATCH(Table2[[#Headers],[Total Number of Slats]],Table2[#Headers],0),0)</f>
        <v>51</v>
      </c>
      <c r="AU257" s="2">
        <f>VLOOKUP([jobnumber],OvalData[],MATCH(Table2[[#Headers],[Bottom Bar Slope]],Table2[#Headers],0),0)</f>
        <v>0</v>
      </c>
      <c r="AV257" s="2">
        <f>VLOOKUP([jobnumber],OvalData[],MATCH(Table2[[#Headers],[Bottom Bar Weight]],Table2[#Headers],0),0)</f>
        <v>80.5</v>
      </c>
      <c r="AW257" s="2" t="str">
        <f>VLOOKUP([jobnumber],OvalData[],MATCH(Table2[[#Headers],[Outer Spring Gage]],Table2[#Headers],0),0)</f>
        <v>Null</v>
      </c>
      <c r="AX257" s="2" t="str">
        <f>VLOOKUP([jobnumber],OvalData[],MATCH(Table2[[#Headers],[Outer Spring OD]],Table2[#Headers],0),0)</f>
        <v>Null</v>
      </c>
      <c r="AY257" s="2" t="str">
        <f>VLOOKUP([jobnumber],OvalData[],MATCH(Table2[[#Headers],[Outer Spring Length]],Table2[#Headers],0),0)</f>
        <v>Null</v>
      </c>
      <c r="AZ257" s="2" t="str">
        <f>VLOOKUP([jobnumber],OvalData[],MATCH(Table2[[#Headers],[Outer Spring Stretch]],Table2[#Headers],0),0)</f>
        <v>Null</v>
      </c>
      <c r="BA257" s="2" t="str">
        <f>VLOOKUP([jobnumber],OvalData[],MATCH(Table2[[#Headers],[Outer Spring Torque]],Table2[#Headers],0),0)</f>
        <v>Null</v>
      </c>
      <c r="BB257" s="2" t="str">
        <f>VLOOKUP([jobnumber],OvalData[],MATCH(Table2[[#Headers],[Outer Spring Max Turns]],Table2[#Headers],0),0)</f>
        <v>Null</v>
      </c>
      <c r="BC257" s="2" t="str">
        <f>VLOOKUP([jobnumber],OvalData[],MATCH(Table2[[#Headers],[Outer Spring Weight]],Table2[#Headers],0),0)</f>
        <v>Null</v>
      </c>
      <c r="BD257" s="2" t="str">
        <f>VLOOKUP([jobnumber],OvalData[],MATCH(Table2[[#Headers],[Inner Spring Gage]],Table2[#Headers],0),0)</f>
        <v>Null</v>
      </c>
      <c r="BE257" s="2" t="str">
        <f>VLOOKUP([jobnumber],OvalData[],MATCH(Table2[[#Headers],[Inner Spring OD]],Table2[#Headers],0),0)</f>
        <v>Null</v>
      </c>
      <c r="BF257" s="2" t="str">
        <f>VLOOKUP([jobnumber],OvalData[],MATCH(Table2[[#Headers],[Inner Spring Length]],Table2[#Headers],0),0)</f>
        <v>Null</v>
      </c>
      <c r="BG257" s="2" t="str">
        <f>VLOOKUP([jobnumber],OvalData[],MATCH(Table2[[#Headers],[Inner Spring Stretch]],Table2[#Headers],0),0)</f>
        <v>Null</v>
      </c>
      <c r="BH257" s="2" t="str">
        <f>VLOOKUP([jobnumber],OvalData[],MATCH(Table2[[#Headers],[Inner Spring Torque]],Table2[#Headers],0),0)</f>
        <v>Null</v>
      </c>
      <c r="BI257" s="2" t="str">
        <f>VLOOKUP([jobnumber],OvalData[],MATCH(Table2[[#Headers],[Inner Spring Max Turns]],Table2[#Headers],0),0)</f>
        <v>Null</v>
      </c>
      <c r="BJ257" s="2" t="str">
        <f>VLOOKUP([jobnumber],OvalData[],MATCH(Table2[[#Headers],[Inner Spring Weight]],Table2[#Headers],0),0)</f>
        <v>Null</v>
      </c>
      <c r="BK257" s="2">
        <f>VLOOKUP([jobnumber],OvalData[],MATCH(Table2[[#Headers],[Cycles]],Table2[#Headers],0),0)</f>
        <v>0</v>
      </c>
      <c r="BL257" s="2">
        <f>VLOOKUP([jobnumber],OvalData[],MATCH(Table2[[#Headers],[Total Spring Torque]],Table2[#Headers],0),0)</f>
        <v>0</v>
      </c>
      <c r="BM257" s="2">
        <f>VLOOKUP([jobnumber],OvalData[],MATCH(Table2[[#Headers],[Total Spring Weight]],Table2[#Headers],0),0)</f>
        <v>0</v>
      </c>
      <c r="BN257" s="2">
        <f>VLOOKUP([jobnumber],OvalData[],MATCH(Table2[[#Headers],[Pipe Weight]],Table2[#Headers],0),0)</f>
        <v>688.24239999999998</v>
      </c>
      <c r="BO257" s="2">
        <f>VLOOKUP([jobnumber],OvalData[],MATCH(Table2[[#Headers],[Max Pipe Deflection]],Table2[#Headers],0),0)</f>
        <v>2309</v>
      </c>
      <c r="BP257" s="2">
        <f>VLOOKUP([jobnumber],OvalData[],MATCH(Table2[[#Headers],[Number Non-Insulated Wrap Slats]],Table2[#Headers],0),0)</f>
        <v>0</v>
      </c>
      <c r="BQ257" s="2">
        <f>VLOOKUP([jobnumber],OvalData[],MATCH(Table2[[#Headers],[Number of Insolated Top Slats]],Table2[#Headers],0),0)</f>
        <v>45</v>
      </c>
      <c r="BR257" s="2">
        <f>VLOOKUP([jobnumber],OvalData[],MATCH(Table2[[#Headers],[Insolated Total Slats]],Table2[#Headers],0),0)</f>
        <v>45</v>
      </c>
      <c r="BS257" s="2">
        <f>VLOOKUP([jobnumber],OvalData[],MATCH(Table2[[#Headers],[Number of Slats]],Table2[#Headers],0),0)</f>
        <v>44.69</v>
      </c>
      <c r="BT257" s="2">
        <f>VLOOKUP([jobnumber],OvalData[],MATCH(Table2[[#Headers],[Wrap]],Table2[#Headers],0),0)</f>
        <v>0</v>
      </c>
      <c r="BU257" s="2">
        <f>VLOOKUP([jobnumber],OvalData[],MATCH(Table2[[#Headers],[Wall Angle Thickness]],Table2[#Headers],0),0)</f>
        <v>0</v>
      </c>
      <c r="BV257" s="2">
        <f>VLOOKUP([jobnumber],OvalData[],MATCH(Table2[[#Headers],[windlocks]],Table2[#Headers],0),0)</f>
        <v>0</v>
      </c>
      <c r="BW257" s="2" t="str">
        <f>VLOOKUP([jobnumber],OvalData[],MATCH(Table2[[#Headers],[bottombartype]],Table2[#Headers],0),0)</f>
        <v>SPECIAL</v>
      </c>
      <c r="BX257" s="2">
        <f>VLOOKUP([jobnumber],OvalData[],MATCH(Table2[[#Headers],[endlockweight]],Table2[#Headers],0),0)</f>
        <v>0.17</v>
      </c>
      <c r="BY257" s="2">
        <f>VLOOKUP([jobnumber],OvalData[],MATCH(Table2[[#Headers],[Endlock Total Weight]],Table2[#Headers],0),0)</f>
        <v>7.5972999999999997</v>
      </c>
      <c r="BZ257" s="2">
        <f>VLOOKUP([jobnumber],OvalData[],MATCH(Table2[[#Headers],[Grille Weight]],Table2[#Headers],0),0)</f>
        <v>0</v>
      </c>
      <c r="CA257" s="2">
        <f>VLOOKUP([jobnumber],OvalData[],MATCH(Table2[[#Headers],[barrelrings]],Table2[#Headers],0),0)</f>
        <v>1</v>
      </c>
    </row>
    <row r="258" spans="2:79">
      <c r="B258" s="2" t="str">
        <f>VLOOKUP([jobnumber],OvalData[],MATCH(Table2[[#Headers],[Hand]],Table2[#Headers],0),0)</f>
        <v>RH</v>
      </c>
      <c r="C258" s="2" t="str">
        <f>VLOOKUP([jobnumber],OvalData[],MATCH(Table2[[#Headers],[Model]],Table2[#Headers],0),0)</f>
        <v>SFMPP</v>
      </c>
      <c r="D258" s="2" t="str">
        <f>VLOOKUP([jobnumber],OvalData[],MATCH(Table2[[#Headers],[width]],Table2[#Headers],0),0)</f>
        <v xml:space="preserve"> 18 ft.- 2"</v>
      </c>
      <c r="E258" s="2" t="str">
        <f>VLOOKUP([jobnumber],OvalData[],MATCH(Table2[[#Headers],[stopheight]],Table2[#Headers],0),0)</f>
        <v xml:space="preserve"> 10 ft.- 0"</v>
      </c>
      <c r="F258" s="2" t="str">
        <f>VLOOKUP([jobnumber],OvalData[],MATCH(Table2[[#Headers],[Between Brackets]],Table2[#Headers],0),0)</f>
        <v xml:space="preserve"> 18 ft.- 7 7/ 8"</v>
      </c>
      <c r="G258" s="2" t="str">
        <f>VLOOKUP([jobnumber],OvalData[],MATCH(Table2[[#Headers],[shell]],Table2[#Headers],0),0)</f>
        <v>6 INCH TUBE</v>
      </c>
      <c r="H258" s="2" t="str">
        <f>VLOOKUP([jobnumber],OvalData[],MATCH(Table2[[#Headers],[pipewidth]],Table2[#Headers],0),0)</f>
        <v xml:space="preserve"> 18 ft.- 1 3/ 8"</v>
      </c>
      <c r="I258" s="2">
        <f>VLOOKUP([jobnumber],OvalData[],MATCH(Table2[[#Headers],[Support Tubes]],Table2[#Headers],0),0)</f>
        <v>0</v>
      </c>
      <c r="J258" s="2">
        <f>VLOOKUP([jobnumber],OvalData[],MATCH(Table2[[#Headers],[Upset]],Table2[#Headers],0),0)</f>
        <v>2</v>
      </c>
      <c r="K258" s="2" t="str">
        <f>VLOOKUP([jobnumber],OvalData[],MATCH(Table2[[#Headers],[Guide Type]],Table2[#Headers],0),0)</f>
        <v>SN2-4 5/8-E</v>
      </c>
      <c r="L258" s="2" t="str">
        <f>VLOOKUP([jobnumber],OvalData[],MATCH(Table2[[#Headers],[Wall Angle]],Table2[#Headers],0),0)</f>
        <v xml:space="preserve"> 11 ft.- 8"</v>
      </c>
      <c r="M258" s="2" t="str">
        <f>VLOOKUP([jobnumber],OvalData[],MATCH(Table2[[#Headers],[Middle Angle]],Table2[#Headers],0),0)</f>
        <v xml:space="preserve"> 10 ft.- 4 1/ 2"</v>
      </c>
      <c r="N258" s="2" t="str">
        <f>VLOOKUP([jobnumber],OvalData[],MATCH(Table2[[#Headers],[Front Angle]],Table2[#Headers],0),0)</f>
        <v xml:space="preserve"> 10 ft.- 3"</v>
      </c>
      <c r="O258" s="2">
        <f>VLOOKUP([jobnumber],OvalData[],MATCH(Table2[[#Headers],[Pipe Center Line]],Table2[#Headers],0),0)</f>
        <v>131</v>
      </c>
      <c r="P258" s="2">
        <f>VLOOKUP([jobnumber],OvalData[],MATCH(Table2[[#Headers],[Heat Expansion Gap]],Table2[#Headers],0),0)</f>
        <v>0</v>
      </c>
      <c r="Q258" s="2">
        <f>VLOOKUP([jobnumber],OvalData[],MATCH(Table2[[#Headers],[Hanging Weight Closed]],Table2[#Headers],0),0)</f>
        <v>795</v>
      </c>
      <c r="R258" s="2">
        <f>VLOOKUP([jobnumber],OvalData[],MATCH(Table2[[#Headers],[Hanging Weight Open]],Table2[#Headers],0),0)</f>
        <v>140</v>
      </c>
      <c r="S258" s="2">
        <f>VLOOKUP([jobnumber],OvalData[],MATCH(Table2[[#Headers],[Initial Lever Arm]],Table2[#Headers],0),0)</f>
        <v>4.25</v>
      </c>
      <c r="T258" s="2">
        <f>VLOOKUP([jobnumber],OvalData[],MATCH(Table2[[#Headers],[Turns to Raise]],Table2[#Headers],0),0)</f>
        <v>3.5859999999999999</v>
      </c>
      <c r="U258" s="2">
        <f>VLOOKUP([jobnumber],OvalData[],MATCH(Table2[[#Headers],[Final Lever Arm]],Table2[#Headers],0),0)</f>
        <v>6.37</v>
      </c>
      <c r="V258" s="2">
        <f>VLOOKUP([jobnumber],OvalData[],MATCH(Table2[[#Headers],[Torque Required Closed]],Table2[#Headers],0),0)</f>
        <v>3377.9</v>
      </c>
      <c r="W258" s="2">
        <f>VLOOKUP([jobnumber],OvalData[],MATCH(Table2[[#Headers],[Torque Required Open]],Table2[#Headers],0),0)</f>
        <v>892</v>
      </c>
      <c r="X258" s="2">
        <f>VLOOKUP([jobnumber],OvalData[],MATCH(Table2[[#Headers],[Pre Turns]],Table2[#Headers],0),0)</f>
        <v>1.3332999999999999</v>
      </c>
      <c r="Y258" s="2">
        <f>VLOOKUP([jobnumber],OvalData[],MATCH(Table2[[#Headers],[Required Torque Per Turn]],Table2[#Headers],0),0)</f>
        <v>688</v>
      </c>
      <c r="Z258" s="2">
        <f>VLOOKUP([jobnumber],OvalData[],MATCH(Table2[[#Headers],[Total Turns]],Table2[#Headers],0),0)</f>
        <v>4.91</v>
      </c>
      <c r="AA258" s="2">
        <f>VLOOKUP([jobnumber],OvalData[],MATCH(Table2[[#Headers],[Grille Vision Section]],Table2[#Headers],0),0)</f>
        <v>0</v>
      </c>
      <c r="AB258" s="2">
        <f>VLOOKUP([jobnumber],OvalData[],MATCH(Table2[[#Headers],[Grille Amount]],Table2[#Headers],0),0)</f>
        <v>0</v>
      </c>
      <c r="AC258" s="2">
        <f>VLOOKUP([jobnumber],OvalData[],MATCH(Table2[[#Headers],[Grille Center]],Table2[#Headers],0),0)</f>
        <v>0</v>
      </c>
      <c r="AD258" s="2">
        <f>VLOOKUP([jobnumber],OvalData[],MATCH(Table2[[#Headers],[Grille Pattern]],Table2[#Headers],0),0)</f>
        <v>0</v>
      </c>
      <c r="AE258" s="2">
        <f>VLOOKUP([jobnumber],OvalData[],MATCH(Table2[[#Headers],[Grille First Tube]],Table2[#Headers],0),0)</f>
        <v>0</v>
      </c>
      <c r="AF258" s="2">
        <f>VLOOKUP([jobnumber],OvalData[],MATCH(Table2[[#Headers],[Grille Standard Tube]],Table2[#Headers],0),0)</f>
        <v>0</v>
      </c>
      <c r="AG258" s="2">
        <f>VLOOKUP([jobnumber],OvalData[],MATCH(Table2[[#Headers],[Grille Total Links]],Table2[#Headers],0),0)</f>
        <v>0</v>
      </c>
      <c r="AH258" s="2">
        <f>VLOOKUP([jobnumber],OvalData[],MATCH(Table2[[#Headers],[Grille Rods]],Table2[#Headers],0),0)</f>
        <v>0</v>
      </c>
      <c r="AI258" s="2">
        <f>VLOOKUP([jobnumber],OvalData[],MATCH(Table2[[#Headers],[Grille Rod Length]],Table2[#Headers],0),0)</f>
        <v>0</v>
      </c>
      <c r="AJ258" s="2">
        <f>VLOOKUP([jobnumber],OvalData[],MATCH(Table2[[#Headers],[slattype]],Table2[#Headers],0),0)</f>
        <v>2</v>
      </c>
      <c r="AK258" s="2">
        <f>VLOOKUP([jobnumber],OvalData[],MATCH(Table2[[#Headers],[slatgage]],Table2[#Headers],0),0)</f>
        <v>18</v>
      </c>
      <c r="AL258" s="2">
        <f>VLOOKUP([jobnumber],OvalData[],MATCH(Table2[[#Headers],[Numer of Top Slats]],Table2[#Headers],0),0)</f>
        <v>0</v>
      </c>
      <c r="AM258" s="2">
        <f>VLOOKUP([jobnumber],OvalData[],MATCH(Table2[[#Headers],[Number of Bottom Slats]],Table2[#Headers],0),0)</f>
        <v>0</v>
      </c>
      <c r="AN258" s="2">
        <f>VLOOKUP([jobnumber],OvalData[],MATCH(Table2[[#Headers],[Solid Bottom Height]],Table2[#Headers],0),0)</f>
        <v>0</v>
      </c>
      <c r="AO258" s="2" t="str">
        <f>VLOOKUP([jobnumber],OvalData[],MATCH(Table2[[#Headers],[slatlength]],Table2[#Headers],0),0)</f>
        <v xml:space="preserve"> 18 ft.- 5 7/ 8"</v>
      </c>
      <c r="AP258" s="2">
        <f>VLOOKUP([jobnumber],OvalData[],MATCH(Table2[[#Headers],[Bottom Slat Length]],Table2[#Headers],0),0)</f>
        <v>0</v>
      </c>
      <c r="AQ258" s="2">
        <f>VLOOKUP([jobnumber],OvalData[],MATCH(Table2[[#Headers],[Number of Perferated Slats]],Table2[#Headers],0),0)</f>
        <v>0</v>
      </c>
      <c r="AR258" s="2">
        <f>VLOOKUP([jobnumber],OvalData[],MATCH(Table2[[#Headers],[First Preferated Slat From End]],Table2[#Headers],0),0)</f>
        <v>0</v>
      </c>
      <c r="AS258" s="2">
        <f>VLOOKUP([jobnumber],OvalData[],MATCH(Table2[[#Headers],[First Preferated Slat From Bottom]],Table2[#Headers],0),0)</f>
        <v>0</v>
      </c>
      <c r="AT258" s="2">
        <f>VLOOKUP([jobnumber],OvalData[],MATCH(Table2[[#Headers],[Total Number of Slats]],Table2[#Headers],0),0)</f>
        <v>51</v>
      </c>
      <c r="AU258" s="2">
        <f>VLOOKUP([jobnumber],OvalData[],MATCH(Table2[[#Headers],[Bottom Bar Slope]],Table2[#Headers],0),0)</f>
        <v>0</v>
      </c>
      <c r="AV258" s="2">
        <f>VLOOKUP([jobnumber],OvalData[],MATCH(Table2[[#Headers],[Bottom Bar Weight]],Table2[#Headers],0),0)</f>
        <v>80.5</v>
      </c>
      <c r="AW258" s="2" t="str">
        <f>VLOOKUP([jobnumber],OvalData[],MATCH(Table2[[#Headers],[Outer Spring Gage]],Table2[#Headers],0),0)</f>
        <v>Null</v>
      </c>
      <c r="AX258" s="2" t="str">
        <f>VLOOKUP([jobnumber],OvalData[],MATCH(Table2[[#Headers],[Outer Spring OD]],Table2[#Headers],0),0)</f>
        <v>Null</v>
      </c>
      <c r="AY258" s="2" t="str">
        <f>VLOOKUP([jobnumber],OvalData[],MATCH(Table2[[#Headers],[Outer Spring Length]],Table2[#Headers],0),0)</f>
        <v>Null</v>
      </c>
      <c r="AZ258" s="2" t="str">
        <f>VLOOKUP([jobnumber],OvalData[],MATCH(Table2[[#Headers],[Outer Spring Stretch]],Table2[#Headers],0),0)</f>
        <v>Null</v>
      </c>
      <c r="BA258" s="2" t="str">
        <f>VLOOKUP([jobnumber],OvalData[],MATCH(Table2[[#Headers],[Outer Spring Torque]],Table2[#Headers],0),0)</f>
        <v>Null</v>
      </c>
      <c r="BB258" s="2" t="str">
        <f>VLOOKUP([jobnumber],OvalData[],MATCH(Table2[[#Headers],[Outer Spring Max Turns]],Table2[#Headers],0),0)</f>
        <v>Null</v>
      </c>
      <c r="BC258" s="2" t="str">
        <f>VLOOKUP([jobnumber],OvalData[],MATCH(Table2[[#Headers],[Outer Spring Weight]],Table2[#Headers],0),0)</f>
        <v>Null</v>
      </c>
      <c r="BD258" s="2" t="str">
        <f>VLOOKUP([jobnumber],OvalData[],MATCH(Table2[[#Headers],[Inner Spring Gage]],Table2[#Headers],0),0)</f>
        <v>Null</v>
      </c>
      <c r="BE258" s="2" t="str">
        <f>VLOOKUP([jobnumber],OvalData[],MATCH(Table2[[#Headers],[Inner Spring OD]],Table2[#Headers],0),0)</f>
        <v>Null</v>
      </c>
      <c r="BF258" s="2" t="str">
        <f>VLOOKUP([jobnumber],OvalData[],MATCH(Table2[[#Headers],[Inner Spring Length]],Table2[#Headers],0),0)</f>
        <v>Null</v>
      </c>
      <c r="BG258" s="2" t="str">
        <f>VLOOKUP([jobnumber],OvalData[],MATCH(Table2[[#Headers],[Inner Spring Stretch]],Table2[#Headers],0),0)</f>
        <v>Null</v>
      </c>
      <c r="BH258" s="2" t="str">
        <f>VLOOKUP([jobnumber],OvalData[],MATCH(Table2[[#Headers],[Inner Spring Torque]],Table2[#Headers],0),0)</f>
        <v>Null</v>
      </c>
      <c r="BI258" s="2" t="str">
        <f>VLOOKUP([jobnumber],OvalData[],MATCH(Table2[[#Headers],[Inner Spring Max Turns]],Table2[#Headers],0),0)</f>
        <v>Null</v>
      </c>
      <c r="BJ258" s="2" t="str">
        <f>VLOOKUP([jobnumber],OvalData[],MATCH(Table2[[#Headers],[Inner Spring Weight]],Table2[#Headers],0),0)</f>
        <v>Null</v>
      </c>
      <c r="BK258" s="2">
        <f>VLOOKUP([jobnumber],OvalData[],MATCH(Table2[[#Headers],[Cycles]],Table2[#Headers],0),0)</f>
        <v>0</v>
      </c>
      <c r="BL258" s="2">
        <f>VLOOKUP([jobnumber],OvalData[],MATCH(Table2[[#Headers],[Total Spring Torque]],Table2[#Headers],0),0)</f>
        <v>0</v>
      </c>
      <c r="BM258" s="2">
        <f>VLOOKUP([jobnumber],OvalData[],MATCH(Table2[[#Headers],[Total Spring Weight]],Table2[#Headers],0),0)</f>
        <v>0</v>
      </c>
      <c r="BN258" s="2">
        <f>VLOOKUP([jobnumber],OvalData[],MATCH(Table2[[#Headers],[Pipe Weight]],Table2[#Headers],0),0)</f>
        <v>688.24239999999998</v>
      </c>
      <c r="BO258" s="2">
        <f>VLOOKUP([jobnumber],OvalData[],MATCH(Table2[[#Headers],[Max Pipe Deflection]],Table2[#Headers],0),0)</f>
        <v>2309</v>
      </c>
      <c r="BP258" s="2">
        <f>VLOOKUP([jobnumber],OvalData[],MATCH(Table2[[#Headers],[Number Non-Insulated Wrap Slats]],Table2[#Headers],0),0)</f>
        <v>0</v>
      </c>
      <c r="BQ258" s="2">
        <f>VLOOKUP([jobnumber],OvalData[],MATCH(Table2[[#Headers],[Number of Insolated Top Slats]],Table2[#Headers],0),0)</f>
        <v>45</v>
      </c>
      <c r="BR258" s="2">
        <f>VLOOKUP([jobnumber],OvalData[],MATCH(Table2[[#Headers],[Insolated Total Slats]],Table2[#Headers],0),0)</f>
        <v>45</v>
      </c>
      <c r="BS258" s="2">
        <f>VLOOKUP([jobnumber],OvalData[],MATCH(Table2[[#Headers],[Number of Slats]],Table2[#Headers],0),0)</f>
        <v>44.69</v>
      </c>
      <c r="BT258" s="2">
        <f>VLOOKUP([jobnumber],OvalData[],MATCH(Table2[[#Headers],[Wrap]],Table2[#Headers],0),0)</f>
        <v>0</v>
      </c>
      <c r="BU258" s="2">
        <f>VLOOKUP([jobnumber],OvalData[],MATCH(Table2[[#Headers],[Wall Angle Thickness]],Table2[#Headers],0),0)</f>
        <v>0</v>
      </c>
      <c r="BV258" s="2">
        <f>VLOOKUP([jobnumber],OvalData[],MATCH(Table2[[#Headers],[windlocks]],Table2[#Headers],0),0)</f>
        <v>0</v>
      </c>
      <c r="BW258" s="2" t="str">
        <f>VLOOKUP([jobnumber],OvalData[],MATCH(Table2[[#Headers],[bottombartype]],Table2[#Headers],0),0)</f>
        <v>SPECIAL</v>
      </c>
      <c r="BX258" s="2">
        <f>VLOOKUP([jobnumber],OvalData[],MATCH(Table2[[#Headers],[endlockweight]],Table2[#Headers],0),0)</f>
        <v>0.17</v>
      </c>
      <c r="BY258" s="2">
        <f>VLOOKUP([jobnumber],OvalData[],MATCH(Table2[[#Headers],[Endlock Total Weight]],Table2[#Headers],0),0)</f>
        <v>7.5972999999999997</v>
      </c>
      <c r="BZ258" s="2">
        <f>VLOOKUP([jobnumber],OvalData[],MATCH(Table2[[#Headers],[Grille Weight]],Table2[#Headers],0),0)</f>
        <v>0</v>
      </c>
      <c r="CA258" s="2">
        <f>VLOOKUP([jobnumber],OvalData[],MATCH(Table2[[#Headers],[barrelrings]],Table2[#Headers],0),0)</f>
        <v>1</v>
      </c>
    </row>
    <row r="259" spans="2:79">
      <c r="B259" s="2" t="str">
        <f>VLOOKUP([jobnumber],OvalData[],MATCH(Table2[[#Headers],[Hand]],Table2[#Headers],0),0)</f>
        <v>RH</v>
      </c>
      <c r="C259" s="2" t="str">
        <f>VLOOKUP([jobnumber],OvalData[],MATCH(Table2[[#Headers],[Model]],Table2[#Headers],0),0)</f>
        <v>SFMPP</v>
      </c>
      <c r="D259" s="2" t="str">
        <f>VLOOKUP([jobnumber],OvalData[],MATCH(Table2[[#Headers],[width]],Table2[#Headers],0),0)</f>
        <v xml:space="preserve"> 18 ft.- 2"</v>
      </c>
      <c r="E259" s="2" t="str">
        <f>VLOOKUP([jobnumber],OvalData[],MATCH(Table2[[#Headers],[stopheight]],Table2[#Headers],0),0)</f>
        <v xml:space="preserve"> 10 ft.- 0"</v>
      </c>
      <c r="F259" s="2" t="str">
        <f>VLOOKUP([jobnumber],OvalData[],MATCH(Table2[[#Headers],[Between Brackets]],Table2[#Headers],0),0)</f>
        <v xml:space="preserve"> 18 ft.- 7 7/ 8"</v>
      </c>
      <c r="G259" s="2" t="str">
        <f>VLOOKUP([jobnumber],OvalData[],MATCH(Table2[[#Headers],[shell]],Table2[#Headers],0),0)</f>
        <v>6 INCH TUBE</v>
      </c>
      <c r="H259" s="2" t="str">
        <f>VLOOKUP([jobnumber],OvalData[],MATCH(Table2[[#Headers],[pipewidth]],Table2[#Headers],0),0)</f>
        <v xml:space="preserve"> 18 ft.- 1 3/ 8"</v>
      </c>
      <c r="I259" s="2">
        <f>VLOOKUP([jobnumber],OvalData[],MATCH(Table2[[#Headers],[Support Tubes]],Table2[#Headers],0),0)</f>
        <v>0</v>
      </c>
      <c r="J259" s="2">
        <f>VLOOKUP([jobnumber],OvalData[],MATCH(Table2[[#Headers],[Upset]],Table2[#Headers],0),0)</f>
        <v>2</v>
      </c>
      <c r="K259" s="2" t="str">
        <f>VLOOKUP([jobnumber],OvalData[],MATCH(Table2[[#Headers],[Guide Type]],Table2[#Headers],0),0)</f>
        <v>SN2-4 5/8-E</v>
      </c>
      <c r="L259" s="2" t="str">
        <f>VLOOKUP([jobnumber],OvalData[],MATCH(Table2[[#Headers],[Wall Angle]],Table2[#Headers],0),0)</f>
        <v xml:space="preserve"> 11 ft.- 8"</v>
      </c>
      <c r="M259" s="2" t="str">
        <f>VLOOKUP([jobnumber],OvalData[],MATCH(Table2[[#Headers],[Middle Angle]],Table2[#Headers],0),0)</f>
        <v xml:space="preserve"> 10 ft.- 4 1/ 2"</v>
      </c>
      <c r="N259" s="2" t="str">
        <f>VLOOKUP([jobnumber],OvalData[],MATCH(Table2[[#Headers],[Front Angle]],Table2[#Headers],0),0)</f>
        <v xml:space="preserve"> 10 ft.- 3"</v>
      </c>
      <c r="O259" s="2">
        <f>VLOOKUP([jobnumber],OvalData[],MATCH(Table2[[#Headers],[Pipe Center Line]],Table2[#Headers],0),0)</f>
        <v>131</v>
      </c>
      <c r="P259" s="2">
        <f>VLOOKUP([jobnumber],OvalData[],MATCH(Table2[[#Headers],[Heat Expansion Gap]],Table2[#Headers],0),0)</f>
        <v>0</v>
      </c>
      <c r="Q259" s="2">
        <f>VLOOKUP([jobnumber],OvalData[],MATCH(Table2[[#Headers],[Hanging Weight Closed]],Table2[#Headers],0),0)</f>
        <v>795</v>
      </c>
      <c r="R259" s="2">
        <f>VLOOKUP([jobnumber],OvalData[],MATCH(Table2[[#Headers],[Hanging Weight Open]],Table2[#Headers],0),0)</f>
        <v>140</v>
      </c>
      <c r="S259" s="2">
        <f>VLOOKUP([jobnumber],OvalData[],MATCH(Table2[[#Headers],[Initial Lever Arm]],Table2[#Headers],0),0)</f>
        <v>4.25</v>
      </c>
      <c r="T259" s="2">
        <f>VLOOKUP([jobnumber],OvalData[],MATCH(Table2[[#Headers],[Turns to Raise]],Table2[#Headers],0),0)</f>
        <v>3.5859999999999999</v>
      </c>
      <c r="U259" s="2">
        <f>VLOOKUP([jobnumber],OvalData[],MATCH(Table2[[#Headers],[Final Lever Arm]],Table2[#Headers],0),0)</f>
        <v>6.37</v>
      </c>
      <c r="V259" s="2">
        <f>VLOOKUP([jobnumber],OvalData[],MATCH(Table2[[#Headers],[Torque Required Closed]],Table2[#Headers],0),0)</f>
        <v>3377.9</v>
      </c>
      <c r="W259" s="2">
        <f>VLOOKUP([jobnumber],OvalData[],MATCH(Table2[[#Headers],[Torque Required Open]],Table2[#Headers],0),0)</f>
        <v>892</v>
      </c>
      <c r="X259" s="2">
        <f>VLOOKUP([jobnumber],OvalData[],MATCH(Table2[[#Headers],[Pre Turns]],Table2[#Headers],0),0)</f>
        <v>1.3332999999999999</v>
      </c>
      <c r="Y259" s="2">
        <f>VLOOKUP([jobnumber],OvalData[],MATCH(Table2[[#Headers],[Required Torque Per Turn]],Table2[#Headers],0),0)</f>
        <v>688</v>
      </c>
      <c r="Z259" s="2">
        <f>VLOOKUP([jobnumber],OvalData[],MATCH(Table2[[#Headers],[Total Turns]],Table2[#Headers],0),0)</f>
        <v>4.91</v>
      </c>
      <c r="AA259" s="2">
        <f>VLOOKUP([jobnumber],OvalData[],MATCH(Table2[[#Headers],[Grille Vision Section]],Table2[#Headers],0),0)</f>
        <v>0</v>
      </c>
      <c r="AB259" s="2">
        <f>VLOOKUP([jobnumber],OvalData[],MATCH(Table2[[#Headers],[Grille Amount]],Table2[#Headers],0),0)</f>
        <v>0</v>
      </c>
      <c r="AC259" s="2">
        <f>VLOOKUP([jobnumber],OvalData[],MATCH(Table2[[#Headers],[Grille Center]],Table2[#Headers],0),0)</f>
        <v>0</v>
      </c>
      <c r="AD259" s="2">
        <f>VLOOKUP([jobnumber],OvalData[],MATCH(Table2[[#Headers],[Grille Pattern]],Table2[#Headers],0),0)</f>
        <v>0</v>
      </c>
      <c r="AE259" s="2">
        <f>VLOOKUP([jobnumber],OvalData[],MATCH(Table2[[#Headers],[Grille First Tube]],Table2[#Headers],0),0)</f>
        <v>0</v>
      </c>
      <c r="AF259" s="2">
        <f>VLOOKUP([jobnumber],OvalData[],MATCH(Table2[[#Headers],[Grille Standard Tube]],Table2[#Headers],0),0)</f>
        <v>0</v>
      </c>
      <c r="AG259" s="2">
        <f>VLOOKUP([jobnumber],OvalData[],MATCH(Table2[[#Headers],[Grille Total Links]],Table2[#Headers],0),0)</f>
        <v>0</v>
      </c>
      <c r="AH259" s="2">
        <f>VLOOKUP([jobnumber],OvalData[],MATCH(Table2[[#Headers],[Grille Rods]],Table2[#Headers],0),0)</f>
        <v>0</v>
      </c>
      <c r="AI259" s="2">
        <f>VLOOKUP([jobnumber],OvalData[],MATCH(Table2[[#Headers],[Grille Rod Length]],Table2[#Headers],0),0)</f>
        <v>0</v>
      </c>
      <c r="AJ259" s="2">
        <f>VLOOKUP([jobnumber],OvalData[],MATCH(Table2[[#Headers],[slattype]],Table2[#Headers],0),0)</f>
        <v>2</v>
      </c>
      <c r="AK259" s="2">
        <f>VLOOKUP([jobnumber],OvalData[],MATCH(Table2[[#Headers],[slatgage]],Table2[#Headers],0),0)</f>
        <v>18</v>
      </c>
      <c r="AL259" s="2">
        <f>VLOOKUP([jobnumber],OvalData[],MATCH(Table2[[#Headers],[Numer of Top Slats]],Table2[#Headers],0),0)</f>
        <v>0</v>
      </c>
      <c r="AM259" s="2">
        <f>VLOOKUP([jobnumber],OvalData[],MATCH(Table2[[#Headers],[Number of Bottom Slats]],Table2[#Headers],0),0)</f>
        <v>0</v>
      </c>
      <c r="AN259" s="2">
        <f>VLOOKUP([jobnumber],OvalData[],MATCH(Table2[[#Headers],[Solid Bottom Height]],Table2[#Headers],0),0)</f>
        <v>0</v>
      </c>
      <c r="AO259" s="2" t="str">
        <f>VLOOKUP([jobnumber],OvalData[],MATCH(Table2[[#Headers],[slatlength]],Table2[#Headers],0),0)</f>
        <v xml:space="preserve"> 18 ft.- 5 7/ 8"</v>
      </c>
      <c r="AP259" s="2">
        <f>VLOOKUP([jobnumber],OvalData[],MATCH(Table2[[#Headers],[Bottom Slat Length]],Table2[#Headers],0),0)</f>
        <v>0</v>
      </c>
      <c r="AQ259" s="2">
        <f>VLOOKUP([jobnumber],OvalData[],MATCH(Table2[[#Headers],[Number of Perferated Slats]],Table2[#Headers],0),0)</f>
        <v>0</v>
      </c>
      <c r="AR259" s="2">
        <f>VLOOKUP([jobnumber],OvalData[],MATCH(Table2[[#Headers],[First Preferated Slat From End]],Table2[#Headers],0),0)</f>
        <v>0</v>
      </c>
      <c r="AS259" s="2">
        <f>VLOOKUP([jobnumber],OvalData[],MATCH(Table2[[#Headers],[First Preferated Slat From Bottom]],Table2[#Headers],0),0)</f>
        <v>0</v>
      </c>
      <c r="AT259" s="2">
        <f>VLOOKUP([jobnumber],OvalData[],MATCH(Table2[[#Headers],[Total Number of Slats]],Table2[#Headers],0),0)</f>
        <v>51</v>
      </c>
      <c r="AU259" s="2">
        <f>VLOOKUP([jobnumber],OvalData[],MATCH(Table2[[#Headers],[Bottom Bar Slope]],Table2[#Headers],0),0)</f>
        <v>0</v>
      </c>
      <c r="AV259" s="2">
        <f>VLOOKUP([jobnumber],OvalData[],MATCH(Table2[[#Headers],[Bottom Bar Weight]],Table2[#Headers],0),0)</f>
        <v>80.5</v>
      </c>
      <c r="AW259" s="2" t="str">
        <f>VLOOKUP([jobnumber],OvalData[],MATCH(Table2[[#Headers],[Outer Spring Gage]],Table2[#Headers],0),0)</f>
        <v>Null</v>
      </c>
      <c r="AX259" s="2" t="str">
        <f>VLOOKUP([jobnumber],OvalData[],MATCH(Table2[[#Headers],[Outer Spring OD]],Table2[#Headers],0),0)</f>
        <v>Null</v>
      </c>
      <c r="AY259" s="2" t="str">
        <f>VLOOKUP([jobnumber],OvalData[],MATCH(Table2[[#Headers],[Outer Spring Length]],Table2[#Headers],0),0)</f>
        <v>Null</v>
      </c>
      <c r="AZ259" s="2" t="str">
        <f>VLOOKUP([jobnumber],OvalData[],MATCH(Table2[[#Headers],[Outer Spring Stretch]],Table2[#Headers],0),0)</f>
        <v>Null</v>
      </c>
      <c r="BA259" s="2" t="str">
        <f>VLOOKUP([jobnumber],OvalData[],MATCH(Table2[[#Headers],[Outer Spring Torque]],Table2[#Headers],0),0)</f>
        <v>Null</v>
      </c>
      <c r="BB259" s="2" t="str">
        <f>VLOOKUP([jobnumber],OvalData[],MATCH(Table2[[#Headers],[Outer Spring Max Turns]],Table2[#Headers],0),0)</f>
        <v>Null</v>
      </c>
      <c r="BC259" s="2" t="str">
        <f>VLOOKUP([jobnumber],OvalData[],MATCH(Table2[[#Headers],[Outer Spring Weight]],Table2[#Headers],0),0)</f>
        <v>Null</v>
      </c>
      <c r="BD259" s="2" t="str">
        <f>VLOOKUP([jobnumber],OvalData[],MATCH(Table2[[#Headers],[Inner Spring Gage]],Table2[#Headers],0),0)</f>
        <v>Null</v>
      </c>
      <c r="BE259" s="2" t="str">
        <f>VLOOKUP([jobnumber],OvalData[],MATCH(Table2[[#Headers],[Inner Spring OD]],Table2[#Headers],0),0)</f>
        <v>Null</v>
      </c>
      <c r="BF259" s="2" t="str">
        <f>VLOOKUP([jobnumber],OvalData[],MATCH(Table2[[#Headers],[Inner Spring Length]],Table2[#Headers],0),0)</f>
        <v>Null</v>
      </c>
      <c r="BG259" s="2" t="str">
        <f>VLOOKUP([jobnumber],OvalData[],MATCH(Table2[[#Headers],[Inner Spring Stretch]],Table2[#Headers],0),0)</f>
        <v>Null</v>
      </c>
      <c r="BH259" s="2" t="str">
        <f>VLOOKUP([jobnumber],OvalData[],MATCH(Table2[[#Headers],[Inner Spring Torque]],Table2[#Headers],0),0)</f>
        <v>Null</v>
      </c>
      <c r="BI259" s="2" t="str">
        <f>VLOOKUP([jobnumber],OvalData[],MATCH(Table2[[#Headers],[Inner Spring Max Turns]],Table2[#Headers],0),0)</f>
        <v>Null</v>
      </c>
      <c r="BJ259" s="2" t="str">
        <f>VLOOKUP([jobnumber],OvalData[],MATCH(Table2[[#Headers],[Inner Spring Weight]],Table2[#Headers],0),0)</f>
        <v>Null</v>
      </c>
      <c r="BK259" s="2">
        <f>VLOOKUP([jobnumber],OvalData[],MATCH(Table2[[#Headers],[Cycles]],Table2[#Headers],0),0)</f>
        <v>0</v>
      </c>
      <c r="BL259" s="2">
        <f>VLOOKUP([jobnumber],OvalData[],MATCH(Table2[[#Headers],[Total Spring Torque]],Table2[#Headers],0),0)</f>
        <v>0</v>
      </c>
      <c r="BM259" s="2">
        <f>VLOOKUP([jobnumber],OvalData[],MATCH(Table2[[#Headers],[Total Spring Weight]],Table2[#Headers],0),0)</f>
        <v>0</v>
      </c>
      <c r="BN259" s="2">
        <f>VLOOKUP([jobnumber],OvalData[],MATCH(Table2[[#Headers],[Pipe Weight]],Table2[#Headers],0),0)</f>
        <v>688.24239999999998</v>
      </c>
      <c r="BO259" s="2">
        <f>VLOOKUP([jobnumber],OvalData[],MATCH(Table2[[#Headers],[Max Pipe Deflection]],Table2[#Headers],0),0)</f>
        <v>2309</v>
      </c>
      <c r="BP259" s="2">
        <f>VLOOKUP([jobnumber],OvalData[],MATCH(Table2[[#Headers],[Number Non-Insulated Wrap Slats]],Table2[#Headers],0),0)</f>
        <v>0</v>
      </c>
      <c r="BQ259" s="2">
        <f>VLOOKUP([jobnumber],OvalData[],MATCH(Table2[[#Headers],[Number of Insolated Top Slats]],Table2[#Headers],0),0)</f>
        <v>45</v>
      </c>
      <c r="BR259" s="2">
        <f>VLOOKUP([jobnumber],OvalData[],MATCH(Table2[[#Headers],[Insolated Total Slats]],Table2[#Headers],0),0)</f>
        <v>45</v>
      </c>
      <c r="BS259" s="2">
        <f>VLOOKUP([jobnumber],OvalData[],MATCH(Table2[[#Headers],[Number of Slats]],Table2[#Headers],0),0)</f>
        <v>44.69</v>
      </c>
      <c r="BT259" s="2">
        <f>VLOOKUP([jobnumber],OvalData[],MATCH(Table2[[#Headers],[Wrap]],Table2[#Headers],0),0)</f>
        <v>0</v>
      </c>
      <c r="BU259" s="2">
        <f>VLOOKUP([jobnumber],OvalData[],MATCH(Table2[[#Headers],[Wall Angle Thickness]],Table2[#Headers],0),0)</f>
        <v>0</v>
      </c>
      <c r="BV259" s="2">
        <f>VLOOKUP([jobnumber],OvalData[],MATCH(Table2[[#Headers],[windlocks]],Table2[#Headers],0),0)</f>
        <v>0</v>
      </c>
      <c r="BW259" s="2" t="str">
        <f>VLOOKUP([jobnumber],OvalData[],MATCH(Table2[[#Headers],[bottombartype]],Table2[#Headers],0),0)</f>
        <v>SPECIAL</v>
      </c>
      <c r="BX259" s="2">
        <f>VLOOKUP([jobnumber],OvalData[],MATCH(Table2[[#Headers],[endlockweight]],Table2[#Headers],0),0)</f>
        <v>0.17</v>
      </c>
      <c r="BY259" s="2">
        <f>VLOOKUP([jobnumber],OvalData[],MATCH(Table2[[#Headers],[Endlock Total Weight]],Table2[#Headers],0),0)</f>
        <v>7.5972999999999997</v>
      </c>
      <c r="BZ259" s="2">
        <f>VLOOKUP([jobnumber],OvalData[],MATCH(Table2[[#Headers],[Grille Weight]],Table2[#Headers],0),0)</f>
        <v>0</v>
      </c>
      <c r="CA259" s="2">
        <f>VLOOKUP([jobnumber],OvalData[],MATCH(Table2[[#Headers],[barrelrings]],Table2[#Headers],0),0)</f>
        <v>1</v>
      </c>
    </row>
    <row r="260" spans="2:79">
      <c r="B260" s="2" t="str">
        <f>VLOOKUP([jobnumber],OvalData[],MATCH(Table2[[#Headers],[Hand]],Table2[#Headers],0),0)</f>
        <v>RH</v>
      </c>
      <c r="C260" s="2" t="str">
        <f>VLOOKUP([jobnumber],OvalData[],MATCH(Table2[[#Headers],[Model]],Table2[#Headers],0),0)</f>
        <v>SFMPP</v>
      </c>
      <c r="D260" s="2" t="str">
        <f>VLOOKUP([jobnumber],OvalData[],MATCH(Table2[[#Headers],[width]],Table2[#Headers],0),0)</f>
        <v xml:space="preserve"> 18 ft.- 2"</v>
      </c>
      <c r="E260" s="2" t="str">
        <f>VLOOKUP([jobnumber],OvalData[],MATCH(Table2[[#Headers],[stopheight]],Table2[#Headers],0),0)</f>
        <v xml:space="preserve"> 10 ft.- 0"</v>
      </c>
      <c r="F260" s="2" t="str">
        <f>VLOOKUP([jobnumber],OvalData[],MATCH(Table2[[#Headers],[Between Brackets]],Table2[#Headers],0),0)</f>
        <v xml:space="preserve"> 18 ft.- 7 7/ 8"</v>
      </c>
      <c r="G260" s="2" t="str">
        <f>VLOOKUP([jobnumber],OvalData[],MATCH(Table2[[#Headers],[shell]],Table2[#Headers],0),0)</f>
        <v>6 INCH TUBE</v>
      </c>
      <c r="H260" s="2" t="str">
        <f>VLOOKUP([jobnumber],OvalData[],MATCH(Table2[[#Headers],[pipewidth]],Table2[#Headers],0),0)</f>
        <v xml:space="preserve"> 18 ft.- 1 3/ 8"</v>
      </c>
      <c r="I260" s="2">
        <f>VLOOKUP([jobnumber],OvalData[],MATCH(Table2[[#Headers],[Support Tubes]],Table2[#Headers],0),0)</f>
        <v>0</v>
      </c>
      <c r="J260" s="2">
        <f>VLOOKUP([jobnumber],OvalData[],MATCH(Table2[[#Headers],[Upset]],Table2[#Headers],0),0)</f>
        <v>2</v>
      </c>
      <c r="K260" s="2" t="str">
        <f>VLOOKUP([jobnumber],OvalData[],MATCH(Table2[[#Headers],[Guide Type]],Table2[#Headers],0),0)</f>
        <v>SN2-4 5/8-E</v>
      </c>
      <c r="L260" s="2" t="str">
        <f>VLOOKUP([jobnumber],OvalData[],MATCH(Table2[[#Headers],[Wall Angle]],Table2[#Headers],0),0)</f>
        <v xml:space="preserve"> 11 ft.- 8"</v>
      </c>
      <c r="M260" s="2" t="str">
        <f>VLOOKUP([jobnumber],OvalData[],MATCH(Table2[[#Headers],[Middle Angle]],Table2[#Headers],0),0)</f>
        <v xml:space="preserve"> 10 ft.- 4 1/ 2"</v>
      </c>
      <c r="N260" s="2" t="str">
        <f>VLOOKUP([jobnumber],OvalData[],MATCH(Table2[[#Headers],[Front Angle]],Table2[#Headers],0),0)</f>
        <v xml:space="preserve"> 10 ft.- 3"</v>
      </c>
      <c r="O260" s="2">
        <f>VLOOKUP([jobnumber],OvalData[],MATCH(Table2[[#Headers],[Pipe Center Line]],Table2[#Headers],0),0)</f>
        <v>131</v>
      </c>
      <c r="P260" s="2">
        <f>VLOOKUP([jobnumber],OvalData[],MATCH(Table2[[#Headers],[Heat Expansion Gap]],Table2[#Headers],0),0)</f>
        <v>0</v>
      </c>
      <c r="Q260" s="2">
        <f>VLOOKUP([jobnumber],OvalData[],MATCH(Table2[[#Headers],[Hanging Weight Closed]],Table2[#Headers],0),0)</f>
        <v>795</v>
      </c>
      <c r="R260" s="2">
        <f>VLOOKUP([jobnumber],OvalData[],MATCH(Table2[[#Headers],[Hanging Weight Open]],Table2[#Headers],0),0)</f>
        <v>140</v>
      </c>
      <c r="S260" s="2">
        <f>VLOOKUP([jobnumber],OvalData[],MATCH(Table2[[#Headers],[Initial Lever Arm]],Table2[#Headers],0),0)</f>
        <v>4.25</v>
      </c>
      <c r="T260" s="2">
        <f>VLOOKUP([jobnumber],OvalData[],MATCH(Table2[[#Headers],[Turns to Raise]],Table2[#Headers],0),0)</f>
        <v>3.5859999999999999</v>
      </c>
      <c r="U260" s="2">
        <f>VLOOKUP([jobnumber],OvalData[],MATCH(Table2[[#Headers],[Final Lever Arm]],Table2[#Headers],0),0)</f>
        <v>6.37</v>
      </c>
      <c r="V260" s="2">
        <f>VLOOKUP([jobnumber],OvalData[],MATCH(Table2[[#Headers],[Torque Required Closed]],Table2[#Headers],0),0)</f>
        <v>3377.9</v>
      </c>
      <c r="W260" s="2">
        <f>VLOOKUP([jobnumber],OvalData[],MATCH(Table2[[#Headers],[Torque Required Open]],Table2[#Headers],0),0)</f>
        <v>892</v>
      </c>
      <c r="X260" s="2">
        <f>VLOOKUP([jobnumber],OvalData[],MATCH(Table2[[#Headers],[Pre Turns]],Table2[#Headers],0),0)</f>
        <v>1.3332999999999999</v>
      </c>
      <c r="Y260" s="2">
        <f>VLOOKUP([jobnumber],OvalData[],MATCH(Table2[[#Headers],[Required Torque Per Turn]],Table2[#Headers],0),0)</f>
        <v>688</v>
      </c>
      <c r="Z260" s="2">
        <f>VLOOKUP([jobnumber],OvalData[],MATCH(Table2[[#Headers],[Total Turns]],Table2[#Headers],0),0)</f>
        <v>4.91</v>
      </c>
      <c r="AA260" s="2">
        <f>VLOOKUP([jobnumber],OvalData[],MATCH(Table2[[#Headers],[Grille Vision Section]],Table2[#Headers],0),0)</f>
        <v>0</v>
      </c>
      <c r="AB260" s="2">
        <f>VLOOKUP([jobnumber],OvalData[],MATCH(Table2[[#Headers],[Grille Amount]],Table2[#Headers],0),0)</f>
        <v>0</v>
      </c>
      <c r="AC260" s="2">
        <f>VLOOKUP([jobnumber],OvalData[],MATCH(Table2[[#Headers],[Grille Center]],Table2[#Headers],0),0)</f>
        <v>0</v>
      </c>
      <c r="AD260" s="2">
        <f>VLOOKUP([jobnumber],OvalData[],MATCH(Table2[[#Headers],[Grille Pattern]],Table2[#Headers],0),0)</f>
        <v>0</v>
      </c>
      <c r="AE260" s="2">
        <f>VLOOKUP([jobnumber],OvalData[],MATCH(Table2[[#Headers],[Grille First Tube]],Table2[#Headers],0),0)</f>
        <v>0</v>
      </c>
      <c r="AF260" s="2">
        <f>VLOOKUP([jobnumber],OvalData[],MATCH(Table2[[#Headers],[Grille Standard Tube]],Table2[#Headers],0),0)</f>
        <v>0</v>
      </c>
      <c r="AG260" s="2">
        <f>VLOOKUP([jobnumber],OvalData[],MATCH(Table2[[#Headers],[Grille Total Links]],Table2[#Headers],0),0)</f>
        <v>0</v>
      </c>
      <c r="AH260" s="2">
        <f>VLOOKUP([jobnumber],OvalData[],MATCH(Table2[[#Headers],[Grille Rods]],Table2[#Headers],0),0)</f>
        <v>0</v>
      </c>
      <c r="AI260" s="2">
        <f>VLOOKUP([jobnumber],OvalData[],MATCH(Table2[[#Headers],[Grille Rod Length]],Table2[#Headers],0),0)</f>
        <v>0</v>
      </c>
      <c r="AJ260" s="2">
        <f>VLOOKUP([jobnumber],OvalData[],MATCH(Table2[[#Headers],[slattype]],Table2[#Headers],0),0)</f>
        <v>2</v>
      </c>
      <c r="AK260" s="2">
        <f>VLOOKUP([jobnumber],OvalData[],MATCH(Table2[[#Headers],[slatgage]],Table2[#Headers],0),0)</f>
        <v>18</v>
      </c>
      <c r="AL260" s="2">
        <f>VLOOKUP([jobnumber],OvalData[],MATCH(Table2[[#Headers],[Numer of Top Slats]],Table2[#Headers],0),0)</f>
        <v>0</v>
      </c>
      <c r="AM260" s="2">
        <f>VLOOKUP([jobnumber],OvalData[],MATCH(Table2[[#Headers],[Number of Bottom Slats]],Table2[#Headers],0),0)</f>
        <v>0</v>
      </c>
      <c r="AN260" s="2">
        <f>VLOOKUP([jobnumber],OvalData[],MATCH(Table2[[#Headers],[Solid Bottom Height]],Table2[#Headers],0),0)</f>
        <v>0</v>
      </c>
      <c r="AO260" s="2" t="str">
        <f>VLOOKUP([jobnumber],OvalData[],MATCH(Table2[[#Headers],[slatlength]],Table2[#Headers],0),0)</f>
        <v xml:space="preserve"> 18 ft.- 5 7/ 8"</v>
      </c>
      <c r="AP260" s="2">
        <f>VLOOKUP([jobnumber],OvalData[],MATCH(Table2[[#Headers],[Bottom Slat Length]],Table2[#Headers],0),0)</f>
        <v>0</v>
      </c>
      <c r="AQ260" s="2">
        <f>VLOOKUP([jobnumber],OvalData[],MATCH(Table2[[#Headers],[Number of Perferated Slats]],Table2[#Headers],0),0)</f>
        <v>0</v>
      </c>
      <c r="AR260" s="2">
        <f>VLOOKUP([jobnumber],OvalData[],MATCH(Table2[[#Headers],[First Preferated Slat From End]],Table2[#Headers],0),0)</f>
        <v>0</v>
      </c>
      <c r="AS260" s="2">
        <f>VLOOKUP([jobnumber],OvalData[],MATCH(Table2[[#Headers],[First Preferated Slat From Bottom]],Table2[#Headers],0),0)</f>
        <v>0</v>
      </c>
      <c r="AT260" s="2">
        <f>VLOOKUP([jobnumber],OvalData[],MATCH(Table2[[#Headers],[Total Number of Slats]],Table2[#Headers],0),0)</f>
        <v>51</v>
      </c>
      <c r="AU260" s="2">
        <f>VLOOKUP([jobnumber],OvalData[],MATCH(Table2[[#Headers],[Bottom Bar Slope]],Table2[#Headers],0),0)</f>
        <v>0</v>
      </c>
      <c r="AV260" s="2">
        <f>VLOOKUP([jobnumber],OvalData[],MATCH(Table2[[#Headers],[Bottom Bar Weight]],Table2[#Headers],0),0)</f>
        <v>80.5</v>
      </c>
      <c r="AW260" s="2" t="str">
        <f>VLOOKUP([jobnumber],OvalData[],MATCH(Table2[[#Headers],[Outer Spring Gage]],Table2[#Headers],0),0)</f>
        <v>Null</v>
      </c>
      <c r="AX260" s="2" t="str">
        <f>VLOOKUP([jobnumber],OvalData[],MATCH(Table2[[#Headers],[Outer Spring OD]],Table2[#Headers],0),0)</f>
        <v>Null</v>
      </c>
      <c r="AY260" s="2" t="str">
        <f>VLOOKUP([jobnumber],OvalData[],MATCH(Table2[[#Headers],[Outer Spring Length]],Table2[#Headers],0),0)</f>
        <v>Null</v>
      </c>
      <c r="AZ260" s="2" t="str">
        <f>VLOOKUP([jobnumber],OvalData[],MATCH(Table2[[#Headers],[Outer Spring Stretch]],Table2[#Headers],0),0)</f>
        <v>Null</v>
      </c>
      <c r="BA260" s="2" t="str">
        <f>VLOOKUP([jobnumber],OvalData[],MATCH(Table2[[#Headers],[Outer Spring Torque]],Table2[#Headers],0),0)</f>
        <v>Null</v>
      </c>
      <c r="BB260" s="2" t="str">
        <f>VLOOKUP([jobnumber],OvalData[],MATCH(Table2[[#Headers],[Outer Spring Max Turns]],Table2[#Headers],0),0)</f>
        <v>Null</v>
      </c>
      <c r="BC260" s="2" t="str">
        <f>VLOOKUP([jobnumber],OvalData[],MATCH(Table2[[#Headers],[Outer Spring Weight]],Table2[#Headers],0),0)</f>
        <v>Null</v>
      </c>
      <c r="BD260" s="2" t="str">
        <f>VLOOKUP([jobnumber],OvalData[],MATCH(Table2[[#Headers],[Inner Spring Gage]],Table2[#Headers],0),0)</f>
        <v>Null</v>
      </c>
      <c r="BE260" s="2" t="str">
        <f>VLOOKUP([jobnumber],OvalData[],MATCH(Table2[[#Headers],[Inner Spring OD]],Table2[#Headers],0),0)</f>
        <v>Null</v>
      </c>
      <c r="BF260" s="2" t="str">
        <f>VLOOKUP([jobnumber],OvalData[],MATCH(Table2[[#Headers],[Inner Spring Length]],Table2[#Headers],0),0)</f>
        <v>Null</v>
      </c>
      <c r="BG260" s="2" t="str">
        <f>VLOOKUP([jobnumber],OvalData[],MATCH(Table2[[#Headers],[Inner Spring Stretch]],Table2[#Headers],0),0)</f>
        <v>Null</v>
      </c>
      <c r="BH260" s="2" t="str">
        <f>VLOOKUP([jobnumber],OvalData[],MATCH(Table2[[#Headers],[Inner Spring Torque]],Table2[#Headers],0),0)</f>
        <v>Null</v>
      </c>
      <c r="BI260" s="2" t="str">
        <f>VLOOKUP([jobnumber],OvalData[],MATCH(Table2[[#Headers],[Inner Spring Max Turns]],Table2[#Headers],0),0)</f>
        <v>Null</v>
      </c>
      <c r="BJ260" s="2" t="str">
        <f>VLOOKUP([jobnumber],OvalData[],MATCH(Table2[[#Headers],[Inner Spring Weight]],Table2[#Headers],0),0)</f>
        <v>Null</v>
      </c>
      <c r="BK260" s="2">
        <f>VLOOKUP([jobnumber],OvalData[],MATCH(Table2[[#Headers],[Cycles]],Table2[#Headers],0),0)</f>
        <v>0</v>
      </c>
      <c r="BL260" s="2">
        <f>VLOOKUP([jobnumber],OvalData[],MATCH(Table2[[#Headers],[Total Spring Torque]],Table2[#Headers],0),0)</f>
        <v>0</v>
      </c>
      <c r="BM260" s="2">
        <f>VLOOKUP([jobnumber],OvalData[],MATCH(Table2[[#Headers],[Total Spring Weight]],Table2[#Headers],0),0)</f>
        <v>0</v>
      </c>
      <c r="BN260" s="2">
        <f>VLOOKUP([jobnumber],OvalData[],MATCH(Table2[[#Headers],[Pipe Weight]],Table2[#Headers],0),0)</f>
        <v>688.24239999999998</v>
      </c>
      <c r="BO260" s="2">
        <f>VLOOKUP([jobnumber],OvalData[],MATCH(Table2[[#Headers],[Max Pipe Deflection]],Table2[#Headers],0),0)</f>
        <v>2309</v>
      </c>
      <c r="BP260" s="2">
        <f>VLOOKUP([jobnumber],OvalData[],MATCH(Table2[[#Headers],[Number Non-Insulated Wrap Slats]],Table2[#Headers],0),0)</f>
        <v>0</v>
      </c>
      <c r="BQ260" s="2">
        <f>VLOOKUP([jobnumber],OvalData[],MATCH(Table2[[#Headers],[Number of Insolated Top Slats]],Table2[#Headers],0),0)</f>
        <v>45</v>
      </c>
      <c r="BR260" s="2">
        <f>VLOOKUP([jobnumber],OvalData[],MATCH(Table2[[#Headers],[Insolated Total Slats]],Table2[#Headers],0),0)</f>
        <v>45</v>
      </c>
      <c r="BS260" s="2">
        <f>VLOOKUP([jobnumber],OvalData[],MATCH(Table2[[#Headers],[Number of Slats]],Table2[#Headers],0),0)</f>
        <v>44.69</v>
      </c>
      <c r="BT260" s="2">
        <f>VLOOKUP([jobnumber],OvalData[],MATCH(Table2[[#Headers],[Wrap]],Table2[#Headers],0),0)</f>
        <v>0</v>
      </c>
      <c r="BU260" s="2">
        <f>VLOOKUP([jobnumber],OvalData[],MATCH(Table2[[#Headers],[Wall Angle Thickness]],Table2[#Headers],0),0)</f>
        <v>0</v>
      </c>
      <c r="BV260" s="2">
        <f>VLOOKUP([jobnumber],OvalData[],MATCH(Table2[[#Headers],[windlocks]],Table2[#Headers],0),0)</f>
        <v>0</v>
      </c>
      <c r="BW260" s="2" t="str">
        <f>VLOOKUP([jobnumber],OvalData[],MATCH(Table2[[#Headers],[bottombartype]],Table2[#Headers],0),0)</f>
        <v>SPECIAL</v>
      </c>
      <c r="BX260" s="2">
        <f>VLOOKUP([jobnumber],OvalData[],MATCH(Table2[[#Headers],[endlockweight]],Table2[#Headers],0),0)</f>
        <v>0.17</v>
      </c>
      <c r="BY260" s="2">
        <f>VLOOKUP([jobnumber],OvalData[],MATCH(Table2[[#Headers],[Endlock Total Weight]],Table2[#Headers],0),0)</f>
        <v>7.5972999999999997</v>
      </c>
      <c r="BZ260" s="2">
        <f>VLOOKUP([jobnumber],OvalData[],MATCH(Table2[[#Headers],[Grille Weight]],Table2[#Headers],0),0)</f>
        <v>0</v>
      </c>
      <c r="CA260" s="2">
        <f>VLOOKUP([jobnumber],OvalData[],MATCH(Table2[[#Headers],[barrelrings]],Table2[#Headers],0),0)</f>
        <v>1</v>
      </c>
    </row>
    <row r="261" spans="2:79">
      <c r="B261" s="2" t="str">
        <f>VLOOKUP([jobnumber],OvalData[],MATCH(Table2[[#Headers],[Hand]],Table2[#Headers],0),0)</f>
        <v>RH</v>
      </c>
      <c r="C261" s="2" t="str">
        <f>VLOOKUP([jobnumber],OvalData[],MATCH(Table2[[#Headers],[Model]],Table2[#Headers],0),0)</f>
        <v>SFMPP</v>
      </c>
      <c r="D261" s="2" t="str">
        <f>VLOOKUP([jobnumber],OvalData[],MATCH(Table2[[#Headers],[width]],Table2[#Headers],0),0)</f>
        <v xml:space="preserve"> 18 ft.- 2"</v>
      </c>
      <c r="E261" s="2" t="str">
        <f>VLOOKUP([jobnumber],OvalData[],MATCH(Table2[[#Headers],[stopheight]],Table2[#Headers],0),0)</f>
        <v xml:space="preserve"> 10 ft.- 0"</v>
      </c>
      <c r="F261" s="2" t="str">
        <f>VLOOKUP([jobnumber],OvalData[],MATCH(Table2[[#Headers],[Between Brackets]],Table2[#Headers],0),0)</f>
        <v xml:space="preserve"> 18 ft.- 7 7/ 8"</v>
      </c>
      <c r="G261" s="2" t="str">
        <f>VLOOKUP([jobnumber],OvalData[],MATCH(Table2[[#Headers],[shell]],Table2[#Headers],0),0)</f>
        <v>6 INCH TUBE</v>
      </c>
      <c r="H261" s="2" t="str">
        <f>VLOOKUP([jobnumber],OvalData[],MATCH(Table2[[#Headers],[pipewidth]],Table2[#Headers],0),0)</f>
        <v xml:space="preserve"> 18 ft.- 1 3/ 8"</v>
      </c>
      <c r="I261" s="2">
        <f>VLOOKUP([jobnumber],OvalData[],MATCH(Table2[[#Headers],[Support Tubes]],Table2[#Headers],0),0)</f>
        <v>0</v>
      </c>
      <c r="J261" s="2">
        <f>VLOOKUP([jobnumber],OvalData[],MATCH(Table2[[#Headers],[Upset]],Table2[#Headers],0),0)</f>
        <v>2</v>
      </c>
      <c r="K261" s="2" t="str">
        <f>VLOOKUP([jobnumber],OvalData[],MATCH(Table2[[#Headers],[Guide Type]],Table2[#Headers],0),0)</f>
        <v>SN2-4 5/8-E</v>
      </c>
      <c r="L261" s="2" t="str">
        <f>VLOOKUP([jobnumber],OvalData[],MATCH(Table2[[#Headers],[Wall Angle]],Table2[#Headers],0),0)</f>
        <v xml:space="preserve"> 11 ft.- 8"</v>
      </c>
      <c r="M261" s="2" t="str">
        <f>VLOOKUP([jobnumber],OvalData[],MATCH(Table2[[#Headers],[Middle Angle]],Table2[#Headers],0),0)</f>
        <v xml:space="preserve"> 10 ft.- 4 1/ 2"</v>
      </c>
      <c r="N261" s="2" t="str">
        <f>VLOOKUP([jobnumber],OvalData[],MATCH(Table2[[#Headers],[Front Angle]],Table2[#Headers],0),0)</f>
        <v xml:space="preserve"> 10 ft.- 3"</v>
      </c>
      <c r="O261" s="2">
        <f>VLOOKUP([jobnumber],OvalData[],MATCH(Table2[[#Headers],[Pipe Center Line]],Table2[#Headers],0),0)</f>
        <v>131</v>
      </c>
      <c r="P261" s="2">
        <f>VLOOKUP([jobnumber],OvalData[],MATCH(Table2[[#Headers],[Heat Expansion Gap]],Table2[#Headers],0),0)</f>
        <v>0</v>
      </c>
      <c r="Q261" s="2">
        <f>VLOOKUP([jobnumber],OvalData[],MATCH(Table2[[#Headers],[Hanging Weight Closed]],Table2[#Headers],0),0)</f>
        <v>795</v>
      </c>
      <c r="R261" s="2">
        <f>VLOOKUP([jobnumber],OvalData[],MATCH(Table2[[#Headers],[Hanging Weight Open]],Table2[#Headers],0),0)</f>
        <v>140</v>
      </c>
      <c r="S261" s="2">
        <f>VLOOKUP([jobnumber],OvalData[],MATCH(Table2[[#Headers],[Initial Lever Arm]],Table2[#Headers],0),0)</f>
        <v>4.25</v>
      </c>
      <c r="T261" s="2">
        <f>VLOOKUP([jobnumber],OvalData[],MATCH(Table2[[#Headers],[Turns to Raise]],Table2[#Headers],0),0)</f>
        <v>3.5859999999999999</v>
      </c>
      <c r="U261" s="2">
        <f>VLOOKUP([jobnumber],OvalData[],MATCH(Table2[[#Headers],[Final Lever Arm]],Table2[#Headers],0),0)</f>
        <v>6.37</v>
      </c>
      <c r="V261" s="2">
        <f>VLOOKUP([jobnumber],OvalData[],MATCH(Table2[[#Headers],[Torque Required Closed]],Table2[#Headers],0),0)</f>
        <v>3377.9</v>
      </c>
      <c r="W261" s="2">
        <f>VLOOKUP([jobnumber],OvalData[],MATCH(Table2[[#Headers],[Torque Required Open]],Table2[#Headers],0),0)</f>
        <v>892</v>
      </c>
      <c r="X261" s="2">
        <f>VLOOKUP([jobnumber],OvalData[],MATCH(Table2[[#Headers],[Pre Turns]],Table2[#Headers],0),0)</f>
        <v>1.3332999999999999</v>
      </c>
      <c r="Y261" s="2">
        <f>VLOOKUP([jobnumber],OvalData[],MATCH(Table2[[#Headers],[Required Torque Per Turn]],Table2[#Headers],0),0)</f>
        <v>688</v>
      </c>
      <c r="Z261" s="2">
        <f>VLOOKUP([jobnumber],OvalData[],MATCH(Table2[[#Headers],[Total Turns]],Table2[#Headers],0),0)</f>
        <v>4.91</v>
      </c>
      <c r="AA261" s="2">
        <f>VLOOKUP([jobnumber],OvalData[],MATCH(Table2[[#Headers],[Grille Vision Section]],Table2[#Headers],0),0)</f>
        <v>0</v>
      </c>
      <c r="AB261" s="2">
        <f>VLOOKUP([jobnumber],OvalData[],MATCH(Table2[[#Headers],[Grille Amount]],Table2[#Headers],0),0)</f>
        <v>0</v>
      </c>
      <c r="AC261" s="2">
        <f>VLOOKUP([jobnumber],OvalData[],MATCH(Table2[[#Headers],[Grille Center]],Table2[#Headers],0),0)</f>
        <v>0</v>
      </c>
      <c r="AD261" s="2">
        <f>VLOOKUP([jobnumber],OvalData[],MATCH(Table2[[#Headers],[Grille Pattern]],Table2[#Headers],0),0)</f>
        <v>0</v>
      </c>
      <c r="AE261" s="2">
        <f>VLOOKUP([jobnumber],OvalData[],MATCH(Table2[[#Headers],[Grille First Tube]],Table2[#Headers],0),0)</f>
        <v>0</v>
      </c>
      <c r="AF261" s="2">
        <f>VLOOKUP([jobnumber],OvalData[],MATCH(Table2[[#Headers],[Grille Standard Tube]],Table2[#Headers],0),0)</f>
        <v>0</v>
      </c>
      <c r="AG261" s="2">
        <f>VLOOKUP([jobnumber],OvalData[],MATCH(Table2[[#Headers],[Grille Total Links]],Table2[#Headers],0),0)</f>
        <v>0</v>
      </c>
      <c r="AH261" s="2">
        <f>VLOOKUP([jobnumber],OvalData[],MATCH(Table2[[#Headers],[Grille Rods]],Table2[#Headers],0),0)</f>
        <v>0</v>
      </c>
      <c r="AI261" s="2">
        <f>VLOOKUP([jobnumber],OvalData[],MATCH(Table2[[#Headers],[Grille Rod Length]],Table2[#Headers],0),0)</f>
        <v>0</v>
      </c>
      <c r="AJ261" s="2">
        <f>VLOOKUP([jobnumber],OvalData[],MATCH(Table2[[#Headers],[slattype]],Table2[#Headers],0),0)</f>
        <v>2</v>
      </c>
      <c r="AK261" s="2">
        <f>VLOOKUP([jobnumber],OvalData[],MATCH(Table2[[#Headers],[slatgage]],Table2[#Headers],0),0)</f>
        <v>18</v>
      </c>
      <c r="AL261" s="2">
        <f>VLOOKUP([jobnumber],OvalData[],MATCH(Table2[[#Headers],[Numer of Top Slats]],Table2[#Headers],0),0)</f>
        <v>0</v>
      </c>
      <c r="AM261" s="2">
        <f>VLOOKUP([jobnumber],OvalData[],MATCH(Table2[[#Headers],[Number of Bottom Slats]],Table2[#Headers],0),0)</f>
        <v>0</v>
      </c>
      <c r="AN261" s="2">
        <f>VLOOKUP([jobnumber],OvalData[],MATCH(Table2[[#Headers],[Solid Bottom Height]],Table2[#Headers],0),0)</f>
        <v>0</v>
      </c>
      <c r="AO261" s="2" t="str">
        <f>VLOOKUP([jobnumber],OvalData[],MATCH(Table2[[#Headers],[slatlength]],Table2[#Headers],0),0)</f>
        <v xml:space="preserve"> 18 ft.- 5 7/ 8"</v>
      </c>
      <c r="AP261" s="2">
        <f>VLOOKUP([jobnumber],OvalData[],MATCH(Table2[[#Headers],[Bottom Slat Length]],Table2[#Headers],0),0)</f>
        <v>0</v>
      </c>
      <c r="AQ261" s="2">
        <f>VLOOKUP([jobnumber],OvalData[],MATCH(Table2[[#Headers],[Number of Perferated Slats]],Table2[#Headers],0),0)</f>
        <v>0</v>
      </c>
      <c r="AR261" s="2">
        <f>VLOOKUP([jobnumber],OvalData[],MATCH(Table2[[#Headers],[First Preferated Slat From End]],Table2[#Headers],0),0)</f>
        <v>0</v>
      </c>
      <c r="AS261" s="2">
        <f>VLOOKUP([jobnumber],OvalData[],MATCH(Table2[[#Headers],[First Preferated Slat From Bottom]],Table2[#Headers],0),0)</f>
        <v>0</v>
      </c>
      <c r="AT261" s="2">
        <f>VLOOKUP([jobnumber],OvalData[],MATCH(Table2[[#Headers],[Total Number of Slats]],Table2[#Headers],0),0)</f>
        <v>51</v>
      </c>
      <c r="AU261" s="2">
        <f>VLOOKUP([jobnumber],OvalData[],MATCH(Table2[[#Headers],[Bottom Bar Slope]],Table2[#Headers],0),0)</f>
        <v>0</v>
      </c>
      <c r="AV261" s="2">
        <f>VLOOKUP([jobnumber],OvalData[],MATCH(Table2[[#Headers],[Bottom Bar Weight]],Table2[#Headers],0),0)</f>
        <v>80.5</v>
      </c>
      <c r="AW261" s="2" t="str">
        <f>VLOOKUP([jobnumber],OvalData[],MATCH(Table2[[#Headers],[Outer Spring Gage]],Table2[#Headers],0),0)</f>
        <v>Null</v>
      </c>
      <c r="AX261" s="2" t="str">
        <f>VLOOKUP([jobnumber],OvalData[],MATCH(Table2[[#Headers],[Outer Spring OD]],Table2[#Headers],0),0)</f>
        <v>Null</v>
      </c>
      <c r="AY261" s="2" t="str">
        <f>VLOOKUP([jobnumber],OvalData[],MATCH(Table2[[#Headers],[Outer Spring Length]],Table2[#Headers],0),0)</f>
        <v>Null</v>
      </c>
      <c r="AZ261" s="2" t="str">
        <f>VLOOKUP([jobnumber],OvalData[],MATCH(Table2[[#Headers],[Outer Spring Stretch]],Table2[#Headers],0),0)</f>
        <v>Null</v>
      </c>
      <c r="BA261" s="2" t="str">
        <f>VLOOKUP([jobnumber],OvalData[],MATCH(Table2[[#Headers],[Outer Spring Torque]],Table2[#Headers],0),0)</f>
        <v>Null</v>
      </c>
      <c r="BB261" s="2" t="str">
        <f>VLOOKUP([jobnumber],OvalData[],MATCH(Table2[[#Headers],[Outer Spring Max Turns]],Table2[#Headers],0),0)</f>
        <v>Null</v>
      </c>
      <c r="BC261" s="2" t="str">
        <f>VLOOKUP([jobnumber],OvalData[],MATCH(Table2[[#Headers],[Outer Spring Weight]],Table2[#Headers],0),0)</f>
        <v>Null</v>
      </c>
      <c r="BD261" s="2" t="str">
        <f>VLOOKUP([jobnumber],OvalData[],MATCH(Table2[[#Headers],[Inner Spring Gage]],Table2[#Headers],0),0)</f>
        <v>Null</v>
      </c>
      <c r="BE261" s="2" t="str">
        <f>VLOOKUP([jobnumber],OvalData[],MATCH(Table2[[#Headers],[Inner Spring OD]],Table2[#Headers],0),0)</f>
        <v>Null</v>
      </c>
      <c r="BF261" s="2" t="str">
        <f>VLOOKUP([jobnumber],OvalData[],MATCH(Table2[[#Headers],[Inner Spring Length]],Table2[#Headers],0),0)</f>
        <v>Null</v>
      </c>
      <c r="BG261" s="2" t="str">
        <f>VLOOKUP([jobnumber],OvalData[],MATCH(Table2[[#Headers],[Inner Spring Stretch]],Table2[#Headers],0),0)</f>
        <v>Null</v>
      </c>
      <c r="BH261" s="2" t="str">
        <f>VLOOKUP([jobnumber],OvalData[],MATCH(Table2[[#Headers],[Inner Spring Torque]],Table2[#Headers],0),0)</f>
        <v>Null</v>
      </c>
      <c r="BI261" s="2" t="str">
        <f>VLOOKUP([jobnumber],OvalData[],MATCH(Table2[[#Headers],[Inner Spring Max Turns]],Table2[#Headers],0),0)</f>
        <v>Null</v>
      </c>
      <c r="BJ261" s="2" t="str">
        <f>VLOOKUP([jobnumber],OvalData[],MATCH(Table2[[#Headers],[Inner Spring Weight]],Table2[#Headers],0),0)</f>
        <v>Null</v>
      </c>
      <c r="BK261" s="2">
        <f>VLOOKUP([jobnumber],OvalData[],MATCH(Table2[[#Headers],[Cycles]],Table2[#Headers],0),0)</f>
        <v>0</v>
      </c>
      <c r="BL261" s="2">
        <f>VLOOKUP([jobnumber],OvalData[],MATCH(Table2[[#Headers],[Total Spring Torque]],Table2[#Headers],0),0)</f>
        <v>0</v>
      </c>
      <c r="BM261" s="2">
        <f>VLOOKUP([jobnumber],OvalData[],MATCH(Table2[[#Headers],[Total Spring Weight]],Table2[#Headers],0),0)</f>
        <v>0</v>
      </c>
      <c r="BN261" s="2">
        <f>VLOOKUP([jobnumber],OvalData[],MATCH(Table2[[#Headers],[Pipe Weight]],Table2[#Headers],0),0)</f>
        <v>688.24239999999998</v>
      </c>
      <c r="BO261" s="2">
        <f>VLOOKUP([jobnumber],OvalData[],MATCH(Table2[[#Headers],[Max Pipe Deflection]],Table2[#Headers],0),0)</f>
        <v>2309</v>
      </c>
      <c r="BP261" s="2">
        <f>VLOOKUP([jobnumber],OvalData[],MATCH(Table2[[#Headers],[Number Non-Insulated Wrap Slats]],Table2[#Headers],0),0)</f>
        <v>0</v>
      </c>
      <c r="BQ261" s="2">
        <f>VLOOKUP([jobnumber],OvalData[],MATCH(Table2[[#Headers],[Number of Insolated Top Slats]],Table2[#Headers],0),0)</f>
        <v>45</v>
      </c>
      <c r="BR261" s="2">
        <f>VLOOKUP([jobnumber],OvalData[],MATCH(Table2[[#Headers],[Insolated Total Slats]],Table2[#Headers],0),0)</f>
        <v>45</v>
      </c>
      <c r="BS261" s="2">
        <f>VLOOKUP([jobnumber],OvalData[],MATCH(Table2[[#Headers],[Number of Slats]],Table2[#Headers],0),0)</f>
        <v>44.69</v>
      </c>
      <c r="BT261" s="2">
        <f>VLOOKUP([jobnumber],OvalData[],MATCH(Table2[[#Headers],[Wrap]],Table2[#Headers],0),0)</f>
        <v>0</v>
      </c>
      <c r="BU261" s="2">
        <f>VLOOKUP([jobnumber],OvalData[],MATCH(Table2[[#Headers],[Wall Angle Thickness]],Table2[#Headers],0),0)</f>
        <v>0</v>
      </c>
      <c r="BV261" s="2">
        <f>VLOOKUP([jobnumber],OvalData[],MATCH(Table2[[#Headers],[windlocks]],Table2[#Headers],0),0)</f>
        <v>0</v>
      </c>
      <c r="BW261" s="2" t="str">
        <f>VLOOKUP([jobnumber],OvalData[],MATCH(Table2[[#Headers],[bottombartype]],Table2[#Headers],0),0)</f>
        <v>SPECIAL</v>
      </c>
      <c r="BX261" s="2">
        <f>VLOOKUP([jobnumber],OvalData[],MATCH(Table2[[#Headers],[endlockweight]],Table2[#Headers],0),0)</f>
        <v>0.17</v>
      </c>
      <c r="BY261" s="2">
        <f>VLOOKUP([jobnumber],OvalData[],MATCH(Table2[[#Headers],[Endlock Total Weight]],Table2[#Headers],0),0)</f>
        <v>7.5972999999999997</v>
      </c>
      <c r="BZ261" s="2">
        <f>VLOOKUP([jobnumber],OvalData[],MATCH(Table2[[#Headers],[Grille Weight]],Table2[#Headers],0),0)</f>
        <v>0</v>
      </c>
      <c r="CA261" s="2">
        <f>VLOOKUP([jobnumber],OvalData[],MATCH(Table2[[#Headers],[barrelrings]],Table2[#Headers],0),0)</f>
        <v>1</v>
      </c>
    </row>
    <row r="262" spans="2:79">
      <c r="B262" s="2" t="str">
        <f>VLOOKUP([jobnumber],OvalData[],MATCH(Table2[[#Headers],[Hand]],Table2[#Headers],0),0)</f>
        <v>RH</v>
      </c>
      <c r="C262" s="2" t="str">
        <f>VLOOKUP([jobnumber],OvalData[],MATCH(Table2[[#Headers],[Model]],Table2[#Headers],0),0)</f>
        <v>SFMPP</v>
      </c>
      <c r="D262" s="2" t="str">
        <f>VLOOKUP([jobnumber],OvalData[],MATCH(Table2[[#Headers],[width]],Table2[#Headers],0),0)</f>
        <v xml:space="preserve"> 18 ft.- 2"</v>
      </c>
      <c r="E262" s="2" t="str">
        <f>VLOOKUP([jobnumber],OvalData[],MATCH(Table2[[#Headers],[stopheight]],Table2[#Headers],0),0)</f>
        <v xml:space="preserve"> 10 ft.- 0"</v>
      </c>
      <c r="F262" s="2" t="str">
        <f>VLOOKUP([jobnumber],OvalData[],MATCH(Table2[[#Headers],[Between Brackets]],Table2[#Headers],0),0)</f>
        <v xml:space="preserve"> 18 ft.- 7 7/ 8"</v>
      </c>
      <c r="G262" s="2" t="str">
        <f>VLOOKUP([jobnumber],OvalData[],MATCH(Table2[[#Headers],[shell]],Table2[#Headers],0),0)</f>
        <v>6 INCH TUBE</v>
      </c>
      <c r="H262" s="2" t="str">
        <f>VLOOKUP([jobnumber],OvalData[],MATCH(Table2[[#Headers],[pipewidth]],Table2[#Headers],0),0)</f>
        <v xml:space="preserve"> 18 ft.- 1 3/ 8"</v>
      </c>
      <c r="I262" s="2">
        <f>VLOOKUP([jobnumber],OvalData[],MATCH(Table2[[#Headers],[Support Tubes]],Table2[#Headers],0),0)</f>
        <v>0</v>
      </c>
      <c r="J262" s="2">
        <f>VLOOKUP([jobnumber],OvalData[],MATCH(Table2[[#Headers],[Upset]],Table2[#Headers],0),0)</f>
        <v>2</v>
      </c>
      <c r="K262" s="2" t="str">
        <f>VLOOKUP([jobnumber],OvalData[],MATCH(Table2[[#Headers],[Guide Type]],Table2[#Headers],0),0)</f>
        <v>SN2-4 5/8-E</v>
      </c>
      <c r="L262" s="2" t="str">
        <f>VLOOKUP([jobnumber],OvalData[],MATCH(Table2[[#Headers],[Wall Angle]],Table2[#Headers],0),0)</f>
        <v xml:space="preserve"> 11 ft.- 8"</v>
      </c>
      <c r="M262" s="2" t="str">
        <f>VLOOKUP([jobnumber],OvalData[],MATCH(Table2[[#Headers],[Middle Angle]],Table2[#Headers],0),0)</f>
        <v xml:space="preserve"> 10 ft.- 4 1/ 2"</v>
      </c>
      <c r="N262" s="2" t="str">
        <f>VLOOKUP([jobnumber],OvalData[],MATCH(Table2[[#Headers],[Front Angle]],Table2[#Headers],0),0)</f>
        <v xml:space="preserve"> 10 ft.- 3"</v>
      </c>
      <c r="O262" s="2">
        <f>VLOOKUP([jobnumber],OvalData[],MATCH(Table2[[#Headers],[Pipe Center Line]],Table2[#Headers],0),0)</f>
        <v>131</v>
      </c>
      <c r="P262" s="2">
        <f>VLOOKUP([jobnumber],OvalData[],MATCH(Table2[[#Headers],[Heat Expansion Gap]],Table2[#Headers],0),0)</f>
        <v>0</v>
      </c>
      <c r="Q262" s="2">
        <f>VLOOKUP([jobnumber],OvalData[],MATCH(Table2[[#Headers],[Hanging Weight Closed]],Table2[#Headers],0),0)</f>
        <v>795</v>
      </c>
      <c r="R262" s="2">
        <f>VLOOKUP([jobnumber],OvalData[],MATCH(Table2[[#Headers],[Hanging Weight Open]],Table2[#Headers],0),0)</f>
        <v>140</v>
      </c>
      <c r="S262" s="2">
        <f>VLOOKUP([jobnumber],OvalData[],MATCH(Table2[[#Headers],[Initial Lever Arm]],Table2[#Headers],0),0)</f>
        <v>4.25</v>
      </c>
      <c r="T262" s="2">
        <f>VLOOKUP([jobnumber],OvalData[],MATCH(Table2[[#Headers],[Turns to Raise]],Table2[#Headers],0),0)</f>
        <v>3.5859999999999999</v>
      </c>
      <c r="U262" s="2">
        <f>VLOOKUP([jobnumber],OvalData[],MATCH(Table2[[#Headers],[Final Lever Arm]],Table2[#Headers],0),0)</f>
        <v>6.37</v>
      </c>
      <c r="V262" s="2">
        <f>VLOOKUP([jobnumber],OvalData[],MATCH(Table2[[#Headers],[Torque Required Closed]],Table2[#Headers],0),0)</f>
        <v>3377.9</v>
      </c>
      <c r="W262" s="2">
        <f>VLOOKUP([jobnumber],OvalData[],MATCH(Table2[[#Headers],[Torque Required Open]],Table2[#Headers],0),0)</f>
        <v>892</v>
      </c>
      <c r="X262" s="2">
        <f>VLOOKUP([jobnumber],OvalData[],MATCH(Table2[[#Headers],[Pre Turns]],Table2[#Headers],0),0)</f>
        <v>1.3332999999999999</v>
      </c>
      <c r="Y262" s="2">
        <f>VLOOKUP([jobnumber],OvalData[],MATCH(Table2[[#Headers],[Required Torque Per Turn]],Table2[#Headers],0),0)</f>
        <v>688</v>
      </c>
      <c r="Z262" s="2">
        <f>VLOOKUP([jobnumber],OvalData[],MATCH(Table2[[#Headers],[Total Turns]],Table2[#Headers],0),0)</f>
        <v>4.91</v>
      </c>
      <c r="AA262" s="2">
        <f>VLOOKUP([jobnumber],OvalData[],MATCH(Table2[[#Headers],[Grille Vision Section]],Table2[#Headers],0),0)</f>
        <v>0</v>
      </c>
      <c r="AB262" s="2">
        <f>VLOOKUP([jobnumber],OvalData[],MATCH(Table2[[#Headers],[Grille Amount]],Table2[#Headers],0),0)</f>
        <v>0</v>
      </c>
      <c r="AC262" s="2">
        <f>VLOOKUP([jobnumber],OvalData[],MATCH(Table2[[#Headers],[Grille Center]],Table2[#Headers],0),0)</f>
        <v>0</v>
      </c>
      <c r="AD262" s="2">
        <f>VLOOKUP([jobnumber],OvalData[],MATCH(Table2[[#Headers],[Grille Pattern]],Table2[#Headers],0),0)</f>
        <v>0</v>
      </c>
      <c r="AE262" s="2">
        <f>VLOOKUP([jobnumber],OvalData[],MATCH(Table2[[#Headers],[Grille First Tube]],Table2[#Headers],0),0)</f>
        <v>0</v>
      </c>
      <c r="AF262" s="2">
        <f>VLOOKUP([jobnumber],OvalData[],MATCH(Table2[[#Headers],[Grille Standard Tube]],Table2[#Headers],0),0)</f>
        <v>0</v>
      </c>
      <c r="AG262" s="2">
        <f>VLOOKUP([jobnumber],OvalData[],MATCH(Table2[[#Headers],[Grille Total Links]],Table2[#Headers],0),0)</f>
        <v>0</v>
      </c>
      <c r="AH262" s="2">
        <f>VLOOKUP([jobnumber],OvalData[],MATCH(Table2[[#Headers],[Grille Rods]],Table2[#Headers],0),0)</f>
        <v>0</v>
      </c>
      <c r="AI262" s="2">
        <f>VLOOKUP([jobnumber],OvalData[],MATCH(Table2[[#Headers],[Grille Rod Length]],Table2[#Headers],0),0)</f>
        <v>0</v>
      </c>
      <c r="AJ262" s="2">
        <f>VLOOKUP([jobnumber],OvalData[],MATCH(Table2[[#Headers],[slattype]],Table2[#Headers],0),0)</f>
        <v>2</v>
      </c>
      <c r="AK262" s="2">
        <f>VLOOKUP([jobnumber],OvalData[],MATCH(Table2[[#Headers],[slatgage]],Table2[#Headers],0),0)</f>
        <v>18</v>
      </c>
      <c r="AL262" s="2">
        <f>VLOOKUP([jobnumber],OvalData[],MATCH(Table2[[#Headers],[Numer of Top Slats]],Table2[#Headers],0),0)</f>
        <v>0</v>
      </c>
      <c r="AM262" s="2">
        <f>VLOOKUP([jobnumber],OvalData[],MATCH(Table2[[#Headers],[Number of Bottom Slats]],Table2[#Headers],0),0)</f>
        <v>0</v>
      </c>
      <c r="AN262" s="2">
        <f>VLOOKUP([jobnumber],OvalData[],MATCH(Table2[[#Headers],[Solid Bottom Height]],Table2[#Headers],0),0)</f>
        <v>0</v>
      </c>
      <c r="AO262" s="2" t="str">
        <f>VLOOKUP([jobnumber],OvalData[],MATCH(Table2[[#Headers],[slatlength]],Table2[#Headers],0),0)</f>
        <v xml:space="preserve"> 18 ft.- 5 7/ 8"</v>
      </c>
      <c r="AP262" s="2">
        <f>VLOOKUP([jobnumber],OvalData[],MATCH(Table2[[#Headers],[Bottom Slat Length]],Table2[#Headers],0),0)</f>
        <v>0</v>
      </c>
      <c r="AQ262" s="2">
        <f>VLOOKUP([jobnumber],OvalData[],MATCH(Table2[[#Headers],[Number of Perferated Slats]],Table2[#Headers],0),0)</f>
        <v>0</v>
      </c>
      <c r="AR262" s="2">
        <f>VLOOKUP([jobnumber],OvalData[],MATCH(Table2[[#Headers],[First Preferated Slat From End]],Table2[#Headers],0),0)</f>
        <v>0</v>
      </c>
      <c r="AS262" s="2">
        <f>VLOOKUP([jobnumber],OvalData[],MATCH(Table2[[#Headers],[First Preferated Slat From Bottom]],Table2[#Headers],0),0)</f>
        <v>0</v>
      </c>
      <c r="AT262" s="2">
        <f>VLOOKUP([jobnumber],OvalData[],MATCH(Table2[[#Headers],[Total Number of Slats]],Table2[#Headers],0),0)</f>
        <v>51</v>
      </c>
      <c r="AU262" s="2">
        <f>VLOOKUP([jobnumber],OvalData[],MATCH(Table2[[#Headers],[Bottom Bar Slope]],Table2[#Headers],0),0)</f>
        <v>0</v>
      </c>
      <c r="AV262" s="2">
        <f>VLOOKUP([jobnumber],OvalData[],MATCH(Table2[[#Headers],[Bottom Bar Weight]],Table2[#Headers],0),0)</f>
        <v>80.5</v>
      </c>
      <c r="AW262" s="2" t="str">
        <f>VLOOKUP([jobnumber],OvalData[],MATCH(Table2[[#Headers],[Outer Spring Gage]],Table2[#Headers],0),0)</f>
        <v>Null</v>
      </c>
      <c r="AX262" s="2" t="str">
        <f>VLOOKUP([jobnumber],OvalData[],MATCH(Table2[[#Headers],[Outer Spring OD]],Table2[#Headers],0),0)</f>
        <v>Null</v>
      </c>
      <c r="AY262" s="2" t="str">
        <f>VLOOKUP([jobnumber],OvalData[],MATCH(Table2[[#Headers],[Outer Spring Length]],Table2[#Headers],0),0)</f>
        <v>Null</v>
      </c>
      <c r="AZ262" s="2" t="str">
        <f>VLOOKUP([jobnumber],OvalData[],MATCH(Table2[[#Headers],[Outer Spring Stretch]],Table2[#Headers],0),0)</f>
        <v>Null</v>
      </c>
      <c r="BA262" s="2" t="str">
        <f>VLOOKUP([jobnumber],OvalData[],MATCH(Table2[[#Headers],[Outer Spring Torque]],Table2[#Headers],0),0)</f>
        <v>Null</v>
      </c>
      <c r="BB262" s="2" t="str">
        <f>VLOOKUP([jobnumber],OvalData[],MATCH(Table2[[#Headers],[Outer Spring Max Turns]],Table2[#Headers],0),0)</f>
        <v>Null</v>
      </c>
      <c r="BC262" s="2" t="str">
        <f>VLOOKUP([jobnumber],OvalData[],MATCH(Table2[[#Headers],[Outer Spring Weight]],Table2[#Headers],0),0)</f>
        <v>Null</v>
      </c>
      <c r="BD262" s="2" t="str">
        <f>VLOOKUP([jobnumber],OvalData[],MATCH(Table2[[#Headers],[Inner Spring Gage]],Table2[#Headers],0),0)</f>
        <v>Null</v>
      </c>
      <c r="BE262" s="2" t="str">
        <f>VLOOKUP([jobnumber],OvalData[],MATCH(Table2[[#Headers],[Inner Spring OD]],Table2[#Headers],0),0)</f>
        <v>Null</v>
      </c>
      <c r="BF262" s="2" t="str">
        <f>VLOOKUP([jobnumber],OvalData[],MATCH(Table2[[#Headers],[Inner Spring Length]],Table2[#Headers],0),0)</f>
        <v>Null</v>
      </c>
      <c r="BG262" s="2" t="str">
        <f>VLOOKUP([jobnumber],OvalData[],MATCH(Table2[[#Headers],[Inner Spring Stretch]],Table2[#Headers],0),0)</f>
        <v>Null</v>
      </c>
      <c r="BH262" s="2" t="str">
        <f>VLOOKUP([jobnumber],OvalData[],MATCH(Table2[[#Headers],[Inner Spring Torque]],Table2[#Headers],0),0)</f>
        <v>Null</v>
      </c>
      <c r="BI262" s="2" t="str">
        <f>VLOOKUP([jobnumber],OvalData[],MATCH(Table2[[#Headers],[Inner Spring Max Turns]],Table2[#Headers],0),0)</f>
        <v>Null</v>
      </c>
      <c r="BJ262" s="2" t="str">
        <f>VLOOKUP([jobnumber],OvalData[],MATCH(Table2[[#Headers],[Inner Spring Weight]],Table2[#Headers],0),0)</f>
        <v>Null</v>
      </c>
      <c r="BK262" s="2">
        <f>VLOOKUP([jobnumber],OvalData[],MATCH(Table2[[#Headers],[Cycles]],Table2[#Headers],0),0)</f>
        <v>0</v>
      </c>
      <c r="BL262" s="2">
        <f>VLOOKUP([jobnumber],OvalData[],MATCH(Table2[[#Headers],[Total Spring Torque]],Table2[#Headers],0),0)</f>
        <v>0</v>
      </c>
      <c r="BM262" s="2">
        <f>VLOOKUP([jobnumber],OvalData[],MATCH(Table2[[#Headers],[Total Spring Weight]],Table2[#Headers],0),0)</f>
        <v>0</v>
      </c>
      <c r="BN262" s="2">
        <f>VLOOKUP([jobnumber],OvalData[],MATCH(Table2[[#Headers],[Pipe Weight]],Table2[#Headers],0),0)</f>
        <v>688.24239999999998</v>
      </c>
      <c r="BO262" s="2">
        <f>VLOOKUP([jobnumber],OvalData[],MATCH(Table2[[#Headers],[Max Pipe Deflection]],Table2[#Headers],0),0)</f>
        <v>2309</v>
      </c>
      <c r="BP262" s="2">
        <f>VLOOKUP([jobnumber],OvalData[],MATCH(Table2[[#Headers],[Number Non-Insulated Wrap Slats]],Table2[#Headers],0),0)</f>
        <v>0</v>
      </c>
      <c r="BQ262" s="2">
        <f>VLOOKUP([jobnumber],OvalData[],MATCH(Table2[[#Headers],[Number of Insolated Top Slats]],Table2[#Headers],0),0)</f>
        <v>45</v>
      </c>
      <c r="BR262" s="2">
        <f>VLOOKUP([jobnumber],OvalData[],MATCH(Table2[[#Headers],[Insolated Total Slats]],Table2[#Headers],0),0)</f>
        <v>45</v>
      </c>
      <c r="BS262" s="2">
        <f>VLOOKUP([jobnumber],OvalData[],MATCH(Table2[[#Headers],[Number of Slats]],Table2[#Headers],0),0)</f>
        <v>44.69</v>
      </c>
      <c r="BT262" s="2">
        <f>VLOOKUP([jobnumber],OvalData[],MATCH(Table2[[#Headers],[Wrap]],Table2[#Headers],0),0)</f>
        <v>0</v>
      </c>
      <c r="BU262" s="2">
        <f>VLOOKUP([jobnumber],OvalData[],MATCH(Table2[[#Headers],[Wall Angle Thickness]],Table2[#Headers],0),0)</f>
        <v>0</v>
      </c>
      <c r="BV262" s="2">
        <f>VLOOKUP([jobnumber],OvalData[],MATCH(Table2[[#Headers],[windlocks]],Table2[#Headers],0),0)</f>
        <v>0</v>
      </c>
      <c r="BW262" s="2" t="str">
        <f>VLOOKUP([jobnumber],OvalData[],MATCH(Table2[[#Headers],[bottombartype]],Table2[#Headers],0),0)</f>
        <v>SPECIAL</v>
      </c>
      <c r="BX262" s="2">
        <f>VLOOKUP([jobnumber],OvalData[],MATCH(Table2[[#Headers],[endlockweight]],Table2[#Headers],0),0)</f>
        <v>0.17</v>
      </c>
      <c r="BY262" s="2">
        <f>VLOOKUP([jobnumber],OvalData[],MATCH(Table2[[#Headers],[Endlock Total Weight]],Table2[#Headers],0),0)</f>
        <v>7.5972999999999997</v>
      </c>
      <c r="BZ262" s="2">
        <f>VLOOKUP([jobnumber],OvalData[],MATCH(Table2[[#Headers],[Grille Weight]],Table2[#Headers],0),0)</f>
        <v>0</v>
      </c>
      <c r="CA262" s="2">
        <f>VLOOKUP([jobnumber],OvalData[],MATCH(Table2[[#Headers],[barrelrings]],Table2[#Headers],0),0)</f>
        <v>1</v>
      </c>
    </row>
    <row r="263" spans="2:79">
      <c r="B263" s="2" t="str">
        <f>VLOOKUP([jobnumber],OvalData[],MATCH(Table2[[#Headers],[Hand]],Table2[#Headers],0),0)</f>
        <v>RH</v>
      </c>
      <c r="C263" s="2" t="str">
        <f>VLOOKUP([jobnumber],OvalData[],MATCH(Table2[[#Headers],[Model]],Table2[#Headers],0),0)</f>
        <v>SFMPP</v>
      </c>
      <c r="D263" s="2" t="str">
        <f>VLOOKUP([jobnumber],OvalData[],MATCH(Table2[[#Headers],[width]],Table2[#Headers],0),0)</f>
        <v xml:space="preserve"> 18 ft.- 2"</v>
      </c>
      <c r="E263" s="2" t="str">
        <f>VLOOKUP([jobnumber],OvalData[],MATCH(Table2[[#Headers],[stopheight]],Table2[#Headers],0),0)</f>
        <v xml:space="preserve"> 10 ft.- 0"</v>
      </c>
      <c r="F263" s="2" t="str">
        <f>VLOOKUP([jobnumber],OvalData[],MATCH(Table2[[#Headers],[Between Brackets]],Table2[#Headers],0),0)</f>
        <v xml:space="preserve"> 18 ft.- 7 7/ 8"</v>
      </c>
      <c r="G263" s="2" t="str">
        <f>VLOOKUP([jobnumber],OvalData[],MATCH(Table2[[#Headers],[shell]],Table2[#Headers],0),0)</f>
        <v>6 INCH TUBE</v>
      </c>
      <c r="H263" s="2" t="str">
        <f>VLOOKUP([jobnumber],OvalData[],MATCH(Table2[[#Headers],[pipewidth]],Table2[#Headers],0),0)</f>
        <v xml:space="preserve"> 18 ft.- 1 3/ 8"</v>
      </c>
      <c r="I263" s="2">
        <f>VLOOKUP([jobnumber],OvalData[],MATCH(Table2[[#Headers],[Support Tubes]],Table2[#Headers],0),0)</f>
        <v>0</v>
      </c>
      <c r="J263" s="2">
        <f>VLOOKUP([jobnumber],OvalData[],MATCH(Table2[[#Headers],[Upset]],Table2[#Headers],0),0)</f>
        <v>2</v>
      </c>
      <c r="K263" s="2" t="str">
        <f>VLOOKUP([jobnumber],OvalData[],MATCH(Table2[[#Headers],[Guide Type]],Table2[#Headers],0),0)</f>
        <v>SN2-4 5/8-E</v>
      </c>
      <c r="L263" s="2" t="str">
        <f>VLOOKUP([jobnumber],OvalData[],MATCH(Table2[[#Headers],[Wall Angle]],Table2[#Headers],0),0)</f>
        <v xml:space="preserve"> 11 ft.- 8"</v>
      </c>
      <c r="M263" s="2" t="str">
        <f>VLOOKUP([jobnumber],OvalData[],MATCH(Table2[[#Headers],[Middle Angle]],Table2[#Headers],0),0)</f>
        <v xml:space="preserve"> 10 ft.- 4 1/ 2"</v>
      </c>
      <c r="N263" s="2" t="str">
        <f>VLOOKUP([jobnumber],OvalData[],MATCH(Table2[[#Headers],[Front Angle]],Table2[#Headers],0),0)</f>
        <v xml:space="preserve"> 10 ft.- 3"</v>
      </c>
      <c r="O263" s="2">
        <f>VLOOKUP([jobnumber],OvalData[],MATCH(Table2[[#Headers],[Pipe Center Line]],Table2[#Headers],0),0)</f>
        <v>131</v>
      </c>
      <c r="P263" s="2">
        <f>VLOOKUP([jobnumber],OvalData[],MATCH(Table2[[#Headers],[Heat Expansion Gap]],Table2[#Headers],0),0)</f>
        <v>0</v>
      </c>
      <c r="Q263" s="2">
        <f>VLOOKUP([jobnumber],OvalData[],MATCH(Table2[[#Headers],[Hanging Weight Closed]],Table2[#Headers],0),0)</f>
        <v>795</v>
      </c>
      <c r="R263" s="2">
        <f>VLOOKUP([jobnumber],OvalData[],MATCH(Table2[[#Headers],[Hanging Weight Open]],Table2[#Headers],0),0)</f>
        <v>140</v>
      </c>
      <c r="S263" s="2">
        <f>VLOOKUP([jobnumber],OvalData[],MATCH(Table2[[#Headers],[Initial Lever Arm]],Table2[#Headers],0),0)</f>
        <v>4.25</v>
      </c>
      <c r="T263" s="2">
        <f>VLOOKUP([jobnumber],OvalData[],MATCH(Table2[[#Headers],[Turns to Raise]],Table2[#Headers],0),0)</f>
        <v>3.5859999999999999</v>
      </c>
      <c r="U263" s="2">
        <f>VLOOKUP([jobnumber],OvalData[],MATCH(Table2[[#Headers],[Final Lever Arm]],Table2[#Headers],0),0)</f>
        <v>6.37</v>
      </c>
      <c r="V263" s="2">
        <f>VLOOKUP([jobnumber],OvalData[],MATCH(Table2[[#Headers],[Torque Required Closed]],Table2[#Headers],0),0)</f>
        <v>3377.9</v>
      </c>
      <c r="W263" s="2">
        <f>VLOOKUP([jobnumber],OvalData[],MATCH(Table2[[#Headers],[Torque Required Open]],Table2[#Headers],0),0)</f>
        <v>892</v>
      </c>
      <c r="X263" s="2">
        <f>VLOOKUP([jobnumber],OvalData[],MATCH(Table2[[#Headers],[Pre Turns]],Table2[#Headers],0),0)</f>
        <v>1.3332999999999999</v>
      </c>
      <c r="Y263" s="2">
        <f>VLOOKUP([jobnumber],OvalData[],MATCH(Table2[[#Headers],[Required Torque Per Turn]],Table2[#Headers],0),0)</f>
        <v>688</v>
      </c>
      <c r="Z263" s="2">
        <f>VLOOKUP([jobnumber],OvalData[],MATCH(Table2[[#Headers],[Total Turns]],Table2[#Headers],0),0)</f>
        <v>4.91</v>
      </c>
      <c r="AA263" s="2">
        <f>VLOOKUP([jobnumber],OvalData[],MATCH(Table2[[#Headers],[Grille Vision Section]],Table2[#Headers],0),0)</f>
        <v>0</v>
      </c>
      <c r="AB263" s="2">
        <f>VLOOKUP([jobnumber],OvalData[],MATCH(Table2[[#Headers],[Grille Amount]],Table2[#Headers],0),0)</f>
        <v>0</v>
      </c>
      <c r="AC263" s="2">
        <f>VLOOKUP([jobnumber],OvalData[],MATCH(Table2[[#Headers],[Grille Center]],Table2[#Headers],0),0)</f>
        <v>0</v>
      </c>
      <c r="AD263" s="2">
        <f>VLOOKUP([jobnumber],OvalData[],MATCH(Table2[[#Headers],[Grille Pattern]],Table2[#Headers],0),0)</f>
        <v>0</v>
      </c>
      <c r="AE263" s="2">
        <f>VLOOKUP([jobnumber],OvalData[],MATCH(Table2[[#Headers],[Grille First Tube]],Table2[#Headers],0),0)</f>
        <v>0</v>
      </c>
      <c r="AF263" s="2">
        <f>VLOOKUP([jobnumber],OvalData[],MATCH(Table2[[#Headers],[Grille Standard Tube]],Table2[#Headers],0),0)</f>
        <v>0</v>
      </c>
      <c r="AG263" s="2">
        <f>VLOOKUP([jobnumber],OvalData[],MATCH(Table2[[#Headers],[Grille Total Links]],Table2[#Headers],0),0)</f>
        <v>0</v>
      </c>
      <c r="AH263" s="2">
        <f>VLOOKUP([jobnumber],OvalData[],MATCH(Table2[[#Headers],[Grille Rods]],Table2[#Headers],0),0)</f>
        <v>0</v>
      </c>
      <c r="AI263" s="2">
        <f>VLOOKUP([jobnumber],OvalData[],MATCH(Table2[[#Headers],[Grille Rod Length]],Table2[#Headers],0),0)</f>
        <v>0</v>
      </c>
      <c r="AJ263" s="2">
        <f>VLOOKUP([jobnumber],OvalData[],MATCH(Table2[[#Headers],[slattype]],Table2[#Headers],0),0)</f>
        <v>2</v>
      </c>
      <c r="AK263" s="2">
        <f>VLOOKUP([jobnumber],OvalData[],MATCH(Table2[[#Headers],[slatgage]],Table2[#Headers],0),0)</f>
        <v>18</v>
      </c>
      <c r="AL263" s="2">
        <f>VLOOKUP([jobnumber],OvalData[],MATCH(Table2[[#Headers],[Numer of Top Slats]],Table2[#Headers],0),0)</f>
        <v>0</v>
      </c>
      <c r="AM263" s="2">
        <f>VLOOKUP([jobnumber],OvalData[],MATCH(Table2[[#Headers],[Number of Bottom Slats]],Table2[#Headers],0),0)</f>
        <v>0</v>
      </c>
      <c r="AN263" s="2">
        <f>VLOOKUP([jobnumber],OvalData[],MATCH(Table2[[#Headers],[Solid Bottom Height]],Table2[#Headers],0),0)</f>
        <v>0</v>
      </c>
      <c r="AO263" s="2" t="str">
        <f>VLOOKUP([jobnumber],OvalData[],MATCH(Table2[[#Headers],[slatlength]],Table2[#Headers],0),0)</f>
        <v xml:space="preserve"> 18 ft.- 5 7/ 8"</v>
      </c>
      <c r="AP263" s="2">
        <f>VLOOKUP([jobnumber],OvalData[],MATCH(Table2[[#Headers],[Bottom Slat Length]],Table2[#Headers],0),0)</f>
        <v>0</v>
      </c>
      <c r="AQ263" s="2">
        <f>VLOOKUP([jobnumber],OvalData[],MATCH(Table2[[#Headers],[Number of Perferated Slats]],Table2[#Headers],0),0)</f>
        <v>0</v>
      </c>
      <c r="AR263" s="2">
        <f>VLOOKUP([jobnumber],OvalData[],MATCH(Table2[[#Headers],[First Preferated Slat From End]],Table2[#Headers],0),0)</f>
        <v>0</v>
      </c>
      <c r="AS263" s="2">
        <f>VLOOKUP([jobnumber],OvalData[],MATCH(Table2[[#Headers],[First Preferated Slat From Bottom]],Table2[#Headers],0),0)</f>
        <v>0</v>
      </c>
      <c r="AT263" s="2">
        <f>VLOOKUP([jobnumber],OvalData[],MATCH(Table2[[#Headers],[Total Number of Slats]],Table2[#Headers],0),0)</f>
        <v>51</v>
      </c>
      <c r="AU263" s="2">
        <f>VLOOKUP([jobnumber],OvalData[],MATCH(Table2[[#Headers],[Bottom Bar Slope]],Table2[#Headers],0),0)</f>
        <v>0</v>
      </c>
      <c r="AV263" s="2">
        <f>VLOOKUP([jobnumber],OvalData[],MATCH(Table2[[#Headers],[Bottom Bar Weight]],Table2[#Headers],0),0)</f>
        <v>80.5</v>
      </c>
      <c r="AW263" s="2" t="str">
        <f>VLOOKUP([jobnumber],OvalData[],MATCH(Table2[[#Headers],[Outer Spring Gage]],Table2[#Headers],0),0)</f>
        <v>Null</v>
      </c>
      <c r="AX263" s="2" t="str">
        <f>VLOOKUP([jobnumber],OvalData[],MATCH(Table2[[#Headers],[Outer Spring OD]],Table2[#Headers],0),0)</f>
        <v>Null</v>
      </c>
      <c r="AY263" s="2" t="str">
        <f>VLOOKUP([jobnumber],OvalData[],MATCH(Table2[[#Headers],[Outer Spring Length]],Table2[#Headers],0),0)</f>
        <v>Null</v>
      </c>
      <c r="AZ263" s="2" t="str">
        <f>VLOOKUP([jobnumber],OvalData[],MATCH(Table2[[#Headers],[Outer Spring Stretch]],Table2[#Headers],0),0)</f>
        <v>Null</v>
      </c>
      <c r="BA263" s="2" t="str">
        <f>VLOOKUP([jobnumber],OvalData[],MATCH(Table2[[#Headers],[Outer Spring Torque]],Table2[#Headers],0),0)</f>
        <v>Null</v>
      </c>
      <c r="BB263" s="2" t="str">
        <f>VLOOKUP([jobnumber],OvalData[],MATCH(Table2[[#Headers],[Outer Spring Max Turns]],Table2[#Headers],0),0)</f>
        <v>Null</v>
      </c>
      <c r="BC263" s="2" t="str">
        <f>VLOOKUP([jobnumber],OvalData[],MATCH(Table2[[#Headers],[Outer Spring Weight]],Table2[#Headers],0),0)</f>
        <v>Null</v>
      </c>
      <c r="BD263" s="2" t="str">
        <f>VLOOKUP([jobnumber],OvalData[],MATCH(Table2[[#Headers],[Inner Spring Gage]],Table2[#Headers],0),0)</f>
        <v>Null</v>
      </c>
      <c r="BE263" s="2" t="str">
        <f>VLOOKUP([jobnumber],OvalData[],MATCH(Table2[[#Headers],[Inner Spring OD]],Table2[#Headers],0),0)</f>
        <v>Null</v>
      </c>
      <c r="BF263" s="2" t="str">
        <f>VLOOKUP([jobnumber],OvalData[],MATCH(Table2[[#Headers],[Inner Spring Length]],Table2[#Headers],0),0)</f>
        <v>Null</v>
      </c>
      <c r="BG263" s="2" t="str">
        <f>VLOOKUP([jobnumber],OvalData[],MATCH(Table2[[#Headers],[Inner Spring Stretch]],Table2[#Headers],0),0)</f>
        <v>Null</v>
      </c>
      <c r="BH263" s="2" t="str">
        <f>VLOOKUP([jobnumber],OvalData[],MATCH(Table2[[#Headers],[Inner Spring Torque]],Table2[#Headers],0),0)</f>
        <v>Null</v>
      </c>
      <c r="BI263" s="2" t="str">
        <f>VLOOKUP([jobnumber],OvalData[],MATCH(Table2[[#Headers],[Inner Spring Max Turns]],Table2[#Headers],0),0)</f>
        <v>Null</v>
      </c>
      <c r="BJ263" s="2" t="str">
        <f>VLOOKUP([jobnumber],OvalData[],MATCH(Table2[[#Headers],[Inner Spring Weight]],Table2[#Headers],0),0)</f>
        <v>Null</v>
      </c>
      <c r="BK263" s="2">
        <f>VLOOKUP([jobnumber],OvalData[],MATCH(Table2[[#Headers],[Cycles]],Table2[#Headers],0),0)</f>
        <v>0</v>
      </c>
      <c r="BL263" s="2">
        <f>VLOOKUP([jobnumber],OvalData[],MATCH(Table2[[#Headers],[Total Spring Torque]],Table2[#Headers],0),0)</f>
        <v>0</v>
      </c>
      <c r="BM263" s="2">
        <f>VLOOKUP([jobnumber],OvalData[],MATCH(Table2[[#Headers],[Total Spring Weight]],Table2[#Headers],0),0)</f>
        <v>0</v>
      </c>
      <c r="BN263" s="2">
        <f>VLOOKUP([jobnumber],OvalData[],MATCH(Table2[[#Headers],[Pipe Weight]],Table2[#Headers],0),0)</f>
        <v>688.24239999999998</v>
      </c>
      <c r="BO263" s="2">
        <f>VLOOKUP([jobnumber],OvalData[],MATCH(Table2[[#Headers],[Max Pipe Deflection]],Table2[#Headers],0),0)</f>
        <v>2309</v>
      </c>
      <c r="BP263" s="2">
        <f>VLOOKUP([jobnumber],OvalData[],MATCH(Table2[[#Headers],[Number Non-Insulated Wrap Slats]],Table2[#Headers],0),0)</f>
        <v>0</v>
      </c>
      <c r="BQ263" s="2">
        <f>VLOOKUP([jobnumber],OvalData[],MATCH(Table2[[#Headers],[Number of Insolated Top Slats]],Table2[#Headers],0),0)</f>
        <v>45</v>
      </c>
      <c r="BR263" s="2">
        <f>VLOOKUP([jobnumber],OvalData[],MATCH(Table2[[#Headers],[Insolated Total Slats]],Table2[#Headers],0),0)</f>
        <v>45</v>
      </c>
      <c r="BS263" s="2">
        <f>VLOOKUP([jobnumber],OvalData[],MATCH(Table2[[#Headers],[Number of Slats]],Table2[#Headers],0),0)</f>
        <v>44.69</v>
      </c>
      <c r="BT263" s="2">
        <f>VLOOKUP([jobnumber],OvalData[],MATCH(Table2[[#Headers],[Wrap]],Table2[#Headers],0),0)</f>
        <v>0</v>
      </c>
      <c r="BU263" s="2">
        <f>VLOOKUP([jobnumber],OvalData[],MATCH(Table2[[#Headers],[Wall Angle Thickness]],Table2[#Headers],0),0)</f>
        <v>0</v>
      </c>
      <c r="BV263" s="2">
        <f>VLOOKUP([jobnumber],OvalData[],MATCH(Table2[[#Headers],[windlocks]],Table2[#Headers],0),0)</f>
        <v>0</v>
      </c>
      <c r="BW263" s="2" t="str">
        <f>VLOOKUP([jobnumber],OvalData[],MATCH(Table2[[#Headers],[bottombartype]],Table2[#Headers],0),0)</f>
        <v>SPECIAL</v>
      </c>
      <c r="BX263" s="2">
        <f>VLOOKUP([jobnumber],OvalData[],MATCH(Table2[[#Headers],[endlockweight]],Table2[#Headers],0),0)</f>
        <v>0.17</v>
      </c>
      <c r="BY263" s="2">
        <f>VLOOKUP([jobnumber],OvalData[],MATCH(Table2[[#Headers],[Endlock Total Weight]],Table2[#Headers],0),0)</f>
        <v>7.5972999999999997</v>
      </c>
      <c r="BZ263" s="2">
        <f>VLOOKUP([jobnumber],OvalData[],MATCH(Table2[[#Headers],[Grille Weight]],Table2[#Headers],0),0)</f>
        <v>0</v>
      </c>
      <c r="CA263" s="2">
        <f>VLOOKUP([jobnumber],OvalData[],MATCH(Table2[[#Headers],[barrelrings]],Table2[#Headers],0),0)</f>
        <v>1</v>
      </c>
    </row>
    <row r="264" spans="2:79">
      <c r="B264" s="2" t="str">
        <f>VLOOKUP([jobnumber],OvalData[],MATCH(Table2[[#Headers],[Hand]],Table2[#Headers],0),0)</f>
        <v>RH</v>
      </c>
      <c r="C264" s="2" t="str">
        <f>VLOOKUP([jobnumber],OvalData[],MATCH(Table2[[#Headers],[Model]],Table2[#Headers],0),0)</f>
        <v>SFMPP</v>
      </c>
      <c r="D264" s="2" t="str">
        <f>VLOOKUP([jobnumber],OvalData[],MATCH(Table2[[#Headers],[width]],Table2[#Headers],0),0)</f>
        <v xml:space="preserve"> 18 ft.- 2"</v>
      </c>
      <c r="E264" s="2" t="str">
        <f>VLOOKUP([jobnumber],OvalData[],MATCH(Table2[[#Headers],[stopheight]],Table2[#Headers],0),0)</f>
        <v xml:space="preserve"> 10 ft.- 0"</v>
      </c>
      <c r="F264" s="2" t="str">
        <f>VLOOKUP([jobnumber],OvalData[],MATCH(Table2[[#Headers],[Between Brackets]],Table2[#Headers],0),0)</f>
        <v xml:space="preserve"> 18 ft.- 7 7/ 8"</v>
      </c>
      <c r="G264" s="2" t="str">
        <f>VLOOKUP([jobnumber],OvalData[],MATCH(Table2[[#Headers],[shell]],Table2[#Headers],0),0)</f>
        <v>6 INCH TUBE</v>
      </c>
      <c r="H264" s="2" t="str">
        <f>VLOOKUP([jobnumber],OvalData[],MATCH(Table2[[#Headers],[pipewidth]],Table2[#Headers],0),0)</f>
        <v xml:space="preserve"> 18 ft.- 1 3/ 8"</v>
      </c>
      <c r="I264" s="2">
        <f>VLOOKUP([jobnumber],OvalData[],MATCH(Table2[[#Headers],[Support Tubes]],Table2[#Headers],0),0)</f>
        <v>0</v>
      </c>
      <c r="J264" s="2">
        <f>VLOOKUP([jobnumber],OvalData[],MATCH(Table2[[#Headers],[Upset]],Table2[#Headers],0),0)</f>
        <v>2</v>
      </c>
      <c r="K264" s="2" t="str">
        <f>VLOOKUP([jobnumber],OvalData[],MATCH(Table2[[#Headers],[Guide Type]],Table2[#Headers],0),0)</f>
        <v>SN2-4 5/8-E</v>
      </c>
      <c r="L264" s="2" t="str">
        <f>VLOOKUP([jobnumber],OvalData[],MATCH(Table2[[#Headers],[Wall Angle]],Table2[#Headers],0),0)</f>
        <v xml:space="preserve"> 11 ft.- 8"</v>
      </c>
      <c r="M264" s="2" t="str">
        <f>VLOOKUP([jobnumber],OvalData[],MATCH(Table2[[#Headers],[Middle Angle]],Table2[#Headers],0),0)</f>
        <v xml:space="preserve"> 10 ft.- 4 1/ 2"</v>
      </c>
      <c r="N264" s="2" t="str">
        <f>VLOOKUP([jobnumber],OvalData[],MATCH(Table2[[#Headers],[Front Angle]],Table2[#Headers],0),0)</f>
        <v xml:space="preserve"> 10 ft.- 3"</v>
      </c>
      <c r="O264" s="2">
        <f>VLOOKUP([jobnumber],OvalData[],MATCH(Table2[[#Headers],[Pipe Center Line]],Table2[#Headers],0),0)</f>
        <v>131</v>
      </c>
      <c r="P264" s="2">
        <f>VLOOKUP([jobnumber],OvalData[],MATCH(Table2[[#Headers],[Heat Expansion Gap]],Table2[#Headers],0),0)</f>
        <v>0</v>
      </c>
      <c r="Q264" s="2">
        <f>VLOOKUP([jobnumber],OvalData[],MATCH(Table2[[#Headers],[Hanging Weight Closed]],Table2[#Headers],0),0)</f>
        <v>795</v>
      </c>
      <c r="R264" s="2">
        <f>VLOOKUP([jobnumber],OvalData[],MATCH(Table2[[#Headers],[Hanging Weight Open]],Table2[#Headers],0),0)</f>
        <v>140</v>
      </c>
      <c r="S264" s="2">
        <f>VLOOKUP([jobnumber],OvalData[],MATCH(Table2[[#Headers],[Initial Lever Arm]],Table2[#Headers],0),0)</f>
        <v>4.25</v>
      </c>
      <c r="T264" s="2">
        <f>VLOOKUP([jobnumber],OvalData[],MATCH(Table2[[#Headers],[Turns to Raise]],Table2[#Headers],0),0)</f>
        <v>3.5859999999999999</v>
      </c>
      <c r="U264" s="2">
        <f>VLOOKUP([jobnumber],OvalData[],MATCH(Table2[[#Headers],[Final Lever Arm]],Table2[#Headers],0),0)</f>
        <v>6.37</v>
      </c>
      <c r="V264" s="2">
        <f>VLOOKUP([jobnumber],OvalData[],MATCH(Table2[[#Headers],[Torque Required Closed]],Table2[#Headers],0),0)</f>
        <v>3377.9</v>
      </c>
      <c r="W264" s="2">
        <f>VLOOKUP([jobnumber],OvalData[],MATCH(Table2[[#Headers],[Torque Required Open]],Table2[#Headers],0),0)</f>
        <v>892</v>
      </c>
      <c r="X264" s="2">
        <f>VLOOKUP([jobnumber],OvalData[],MATCH(Table2[[#Headers],[Pre Turns]],Table2[#Headers],0),0)</f>
        <v>1.3332999999999999</v>
      </c>
      <c r="Y264" s="2">
        <f>VLOOKUP([jobnumber],OvalData[],MATCH(Table2[[#Headers],[Required Torque Per Turn]],Table2[#Headers],0),0)</f>
        <v>688</v>
      </c>
      <c r="Z264" s="2">
        <f>VLOOKUP([jobnumber],OvalData[],MATCH(Table2[[#Headers],[Total Turns]],Table2[#Headers],0),0)</f>
        <v>4.91</v>
      </c>
      <c r="AA264" s="2">
        <f>VLOOKUP([jobnumber],OvalData[],MATCH(Table2[[#Headers],[Grille Vision Section]],Table2[#Headers],0),0)</f>
        <v>0</v>
      </c>
      <c r="AB264" s="2">
        <f>VLOOKUP([jobnumber],OvalData[],MATCH(Table2[[#Headers],[Grille Amount]],Table2[#Headers],0),0)</f>
        <v>0</v>
      </c>
      <c r="AC264" s="2">
        <f>VLOOKUP([jobnumber],OvalData[],MATCH(Table2[[#Headers],[Grille Center]],Table2[#Headers],0),0)</f>
        <v>0</v>
      </c>
      <c r="AD264" s="2">
        <f>VLOOKUP([jobnumber],OvalData[],MATCH(Table2[[#Headers],[Grille Pattern]],Table2[#Headers],0),0)</f>
        <v>0</v>
      </c>
      <c r="AE264" s="2">
        <f>VLOOKUP([jobnumber],OvalData[],MATCH(Table2[[#Headers],[Grille First Tube]],Table2[#Headers],0),0)</f>
        <v>0</v>
      </c>
      <c r="AF264" s="2">
        <f>VLOOKUP([jobnumber],OvalData[],MATCH(Table2[[#Headers],[Grille Standard Tube]],Table2[#Headers],0),0)</f>
        <v>0</v>
      </c>
      <c r="AG264" s="2">
        <f>VLOOKUP([jobnumber],OvalData[],MATCH(Table2[[#Headers],[Grille Total Links]],Table2[#Headers],0),0)</f>
        <v>0</v>
      </c>
      <c r="AH264" s="2">
        <f>VLOOKUP([jobnumber],OvalData[],MATCH(Table2[[#Headers],[Grille Rods]],Table2[#Headers],0),0)</f>
        <v>0</v>
      </c>
      <c r="AI264" s="2">
        <f>VLOOKUP([jobnumber],OvalData[],MATCH(Table2[[#Headers],[Grille Rod Length]],Table2[#Headers],0),0)</f>
        <v>0</v>
      </c>
      <c r="AJ264" s="2">
        <f>VLOOKUP([jobnumber],OvalData[],MATCH(Table2[[#Headers],[slattype]],Table2[#Headers],0),0)</f>
        <v>2</v>
      </c>
      <c r="AK264" s="2">
        <f>VLOOKUP([jobnumber],OvalData[],MATCH(Table2[[#Headers],[slatgage]],Table2[#Headers],0),0)</f>
        <v>18</v>
      </c>
      <c r="AL264" s="2">
        <f>VLOOKUP([jobnumber],OvalData[],MATCH(Table2[[#Headers],[Numer of Top Slats]],Table2[#Headers],0),0)</f>
        <v>0</v>
      </c>
      <c r="AM264" s="2">
        <f>VLOOKUP([jobnumber],OvalData[],MATCH(Table2[[#Headers],[Number of Bottom Slats]],Table2[#Headers],0),0)</f>
        <v>0</v>
      </c>
      <c r="AN264" s="2">
        <f>VLOOKUP([jobnumber],OvalData[],MATCH(Table2[[#Headers],[Solid Bottom Height]],Table2[#Headers],0),0)</f>
        <v>0</v>
      </c>
      <c r="AO264" s="2" t="str">
        <f>VLOOKUP([jobnumber],OvalData[],MATCH(Table2[[#Headers],[slatlength]],Table2[#Headers],0),0)</f>
        <v xml:space="preserve"> 18 ft.- 5 7/ 8"</v>
      </c>
      <c r="AP264" s="2">
        <f>VLOOKUP([jobnumber],OvalData[],MATCH(Table2[[#Headers],[Bottom Slat Length]],Table2[#Headers],0),0)</f>
        <v>0</v>
      </c>
      <c r="AQ264" s="2">
        <f>VLOOKUP([jobnumber],OvalData[],MATCH(Table2[[#Headers],[Number of Perferated Slats]],Table2[#Headers],0),0)</f>
        <v>0</v>
      </c>
      <c r="AR264" s="2">
        <f>VLOOKUP([jobnumber],OvalData[],MATCH(Table2[[#Headers],[First Preferated Slat From End]],Table2[#Headers],0),0)</f>
        <v>0</v>
      </c>
      <c r="AS264" s="2">
        <f>VLOOKUP([jobnumber],OvalData[],MATCH(Table2[[#Headers],[First Preferated Slat From Bottom]],Table2[#Headers],0),0)</f>
        <v>0</v>
      </c>
      <c r="AT264" s="2">
        <f>VLOOKUP([jobnumber],OvalData[],MATCH(Table2[[#Headers],[Total Number of Slats]],Table2[#Headers],0),0)</f>
        <v>51</v>
      </c>
      <c r="AU264" s="2">
        <f>VLOOKUP([jobnumber],OvalData[],MATCH(Table2[[#Headers],[Bottom Bar Slope]],Table2[#Headers],0),0)</f>
        <v>0</v>
      </c>
      <c r="AV264" s="2">
        <f>VLOOKUP([jobnumber],OvalData[],MATCH(Table2[[#Headers],[Bottom Bar Weight]],Table2[#Headers],0),0)</f>
        <v>80.5</v>
      </c>
      <c r="AW264" s="2" t="str">
        <f>VLOOKUP([jobnumber],OvalData[],MATCH(Table2[[#Headers],[Outer Spring Gage]],Table2[#Headers],0),0)</f>
        <v>Null</v>
      </c>
      <c r="AX264" s="2" t="str">
        <f>VLOOKUP([jobnumber],OvalData[],MATCH(Table2[[#Headers],[Outer Spring OD]],Table2[#Headers],0),0)</f>
        <v>Null</v>
      </c>
      <c r="AY264" s="2" t="str">
        <f>VLOOKUP([jobnumber],OvalData[],MATCH(Table2[[#Headers],[Outer Spring Length]],Table2[#Headers],0),0)</f>
        <v>Null</v>
      </c>
      <c r="AZ264" s="2" t="str">
        <f>VLOOKUP([jobnumber],OvalData[],MATCH(Table2[[#Headers],[Outer Spring Stretch]],Table2[#Headers],0),0)</f>
        <v>Null</v>
      </c>
      <c r="BA264" s="2" t="str">
        <f>VLOOKUP([jobnumber],OvalData[],MATCH(Table2[[#Headers],[Outer Spring Torque]],Table2[#Headers],0),0)</f>
        <v>Null</v>
      </c>
      <c r="BB264" s="2" t="str">
        <f>VLOOKUP([jobnumber],OvalData[],MATCH(Table2[[#Headers],[Outer Spring Max Turns]],Table2[#Headers],0),0)</f>
        <v>Null</v>
      </c>
      <c r="BC264" s="2" t="str">
        <f>VLOOKUP([jobnumber],OvalData[],MATCH(Table2[[#Headers],[Outer Spring Weight]],Table2[#Headers],0),0)</f>
        <v>Null</v>
      </c>
      <c r="BD264" s="2" t="str">
        <f>VLOOKUP([jobnumber],OvalData[],MATCH(Table2[[#Headers],[Inner Spring Gage]],Table2[#Headers],0),0)</f>
        <v>Null</v>
      </c>
      <c r="BE264" s="2" t="str">
        <f>VLOOKUP([jobnumber],OvalData[],MATCH(Table2[[#Headers],[Inner Spring OD]],Table2[#Headers],0),0)</f>
        <v>Null</v>
      </c>
      <c r="BF264" s="2" t="str">
        <f>VLOOKUP([jobnumber],OvalData[],MATCH(Table2[[#Headers],[Inner Spring Length]],Table2[#Headers],0),0)</f>
        <v>Null</v>
      </c>
      <c r="BG264" s="2" t="str">
        <f>VLOOKUP([jobnumber],OvalData[],MATCH(Table2[[#Headers],[Inner Spring Stretch]],Table2[#Headers],0),0)</f>
        <v>Null</v>
      </c>
      <c r="BH264" s="2" t="str">
        <f>VLOOKUP([jobnumber],OvalData[],MATCH(Table2[[#Headers],[Inner Spring Torque]],Table2[#Headers],0),0)</f>
        <v>Null</v>
      </c>
      <c r="BI264" s="2" t="str">
        <f>VLOOKUP([jobnumber],OvalData[],MATCH(Table2[[#Headers],[Inner Spring Max Turns]],Table2[#Headers],0),0)</f>
        <v>Null</v>
      </c>
      <c r="BJ264" s="2" t="str">
        <f>VLOOKUP([jobnumber],OvalData[],MATCH(Table2[[#Headers],[Inner Spring Weight]],Table2[#Headers],0),0)</f>
        <v>Null</v>
      </c>
      <c r="BK264" s="2">
        <f>VLOOKUP([jobnumber],OvalData[],MATCH(Table2[[#Headers],[Cycles]],Table2[#Headers],0),0)</f>
        <v>0</v>
      </c>
      <c r="BL264" s="2">
        <f>VLOOKUP([jobnumber],OvalData[],MATCH(Table2[[#Headers],[Total Spring Torque]],Table2[#Headers],0),0)</f>
        <v>0</v>
      </c>
      <c r="BM264" s="2">
        <f>VLOOKUP([jobnumber],OvalData[],MATCH(Table2[[#Headers],[Total Spring Weight]],Table2[#Headers],0),0)</f>
        <v>0</v>
      </c>
      <c r="BN264" s="2">
        <f>VLOOKUP([jobnumber],OvalData[],MATCH(Table2[[#Headers],[Pipe Weight]],Table2[#Headers],0),0)</f>
        <v>688.24239999999998</v>
      </c>
      <c r="BO264" s="2">
        <f>VLOOKUP([jobnumber],OvalData[],MATCH(Table2[[#Headers],[Max Pipe Deflection]],Table2[#Headers],0),0)</f>
        <v>2309</v>
      </c>
      <c r="BP264" s="2">
        <f>VLOOKUP([jobnumber],OvalData[],MATCH(Table2[[#Headers],[Number Non-Insulated Wrap Slats]],Table2[#Headers],0),0)</f>
        <v>0</v>
      </c>
      <c r="BQ264" s="2">
        <f>VLOOKUP([jobnumber],OvalData[],MATCH(Table2[[#Headers],[Number of Insolated Top Slats]],Table2[#Headers],0),0)</f>
        <v>45</v>
      </c>
      <c r="BR264" s="2">
        <f>VLOOKUP([jobnumber],OvalData[],MATCH(Table2[[#Headers],[Insolated Total Slats]],Table2[#Headers],0),0)</f>
        <v>45</v>
      </c>
      <c r="BS264" s="2">
        <f>VLOOKUP([jobnumber],OvalData[],MATCH(Table2[[#Headers],[Number of Slats]],Table2[#Headers],0),0)</f>
        <v>44.69</v>
      </c>
      <c r="BT264" s="2">
        <f>VLOOKUP([jobnumber],OvalData[],MATCH(Table2[[#Headers],[Wrap]],Table2[#Headers],0),0)</f>
        <v>0</v>
      </c>
      <c r="BU264" s="2">
        <f>VLOOKUP([jobnumber],OvalData[],MATCH(Table2[[#Headers],[Wall Angle Thickness]],Table2[#Headers],0),0)</f>
        <v>0</v>
      </c>
      <c r="BV264" s="2">
        <f>VLOOKUP([jobnumber],OvalData[],MATCH(Table2[[#Headers],[windlocks]],Table2[#Headers],0),0)</f>
        <v>0</v>
      </c>
      <c r="BW264" s="2" t="str">
        <f>VLOOKUP([jobnumber],OvalData[],MATCH(Table2[[#Headers],[bottombartype]],Table2[#Headers],0),0)</f>
        <v>SPECIAL</v>
      </c>
      <c r="BX264" s="2">
        <f>VLOOKUP([jobnumber],OvalData[],MATCH(Table2[[#Headers],[endlockweight]],Table2[#Headers],0),0)</f>
        <v>0.17</v>
      </c>
      <c r="BY264" s="2">
        <f>VLOOKUP([jobnumber],OvalData[],MATCH(Table2[[#Headers],[Endlock Total Weight]],Table2[#Headers],0),0)</f>
        <v>7.5972999999999997</v>
      </c>
      <c r="BZ264" s="2">
        <f>VLOOKUP([jobnumber],OvalData[],MATCH(Table2[[#Headers],[Grille Weight]],Table2[#Headers],0),0)</f>
        <v>0</v>
      </c>
      <c r="CA264" s="2">
        <f>VLOOKUP([jobnumber],OvalData[],MATCH(Table2[[#Headers],[barrelrings]],Table2[#Headers],0),0)</f>
        <v>1</v>
      </c>
    </row>
    <row r="265" spans="2:79">
      <c r="B265" s="2" t="str">
        <f>VLOOKUP([jobnumber],OvalData[],MATCH(Table2[[#Headers],[Hand]],Table2[#Headers],0),0)</f>
        <v>RH</v>
      </c>
      <c r="C265" s="2" t="str">
        <f>VLOOKUP([jobnumber],OvalData[],MATCH(Table2[[#Headers],[Model]],Table2[#Headers],0),0)</f>
        <v>SFMPP</v>
      </c>
      <c r="D265" s="2" t="str">
        <f>VLOOKUP([jobnumber],OvalData[],MATCH(Table2[[#Headers],[width]],Table2[#Headers],0),0)</f>
        <v xml:space="preserve"> 18 ft.- 2"</v>
      </c>
      <c r="E265" s="2" t="str">
        <f>VLOOKUP([jobnumber],OvalData[],MATCH(Table2[[#Headers],[stopheight]],Table2[#Headers],0),0)</f>
        <v xml:space="preserve"> 10 ft.- 0"</v>
      </c>
      <c r="F265" s="2" t="str">
        <f>VLOOKUP([jobnumber],OvalData[],MATCH(Table2[[#Headers],[Between Brackets]],Table2[#Headers],0),0)</f>
        <v xml:space="preserve"> 18 ft.- 7 7/ 8"</v>
      </c>
      <c r="G265" s="2" t="str">
        <f>VLOOKUP([jobnumber],OvalData[],MATCH(Table2[[#Headers],[shell]],Table2[#Headers],0),0)</f>
        <v>6 INCH TUBE</v>
      </c>
      <c r="H265" s="2" t="str">
        <f>VLOOKUP([jobnumber],OvalData[],MATCH(Table2[[#Headers],[pipewidth]],Table2[#Headers],0),0)</f>
        <v xml:space="preserve"> 18 ft.- 1 3/ 8"</v>
      </c>
      <c r="I265" s="2">
        <f>VLOOKUP([jobnumber],OvalData[],MATCH(Table2[[#Headers],[Support Tubes]],Table2[#Headers],0),0)</f>
        <v>0</v>
      </c>
      <c r="J265" s="2">
        <f>VLOOKUP([jobnumber],OvalData[],MATCH(Table2[[#Headers],[Upset]],Table2[#Headers],0),0)</f>
        <v>2</v>
      </c>
      <c r="K265" s="2" t="str">
        <f>VLOOKUP([jobnumber],OvalData[],MATCH(Table2[[#Headers],[Guide Type]],Table2[#Headers],0),0)</f>
        <v>SN2-4 5/8-E</v>
      </c>
      <c r="L265" s="2" t="str">
        <f>VLOOKUP([jobnumber],OvalData[],MATCH(Table2[[#Headers],[Wall Angle]],Table2[#Headers],0),0)</f>
        <v xml:space="preserve"> 11 ft.- 8"</v>
      </c>
      <c r="M265" s="2" t="str">
        <f>VLOOKUP([jobnumber],OvalData[],MATCH(Table2[[#Headers],[Middle Angle]],Table2[#Headers],0),0)</f>
        <v xml:space="preserve"> 10 ft.- 4 1/ 2"</v>
      </c>
      <c r="N265" s="2" t="str">
        <f>VLOOKUP([jobnumber],OvalData[],MATCH(Table2[[#Headers],[Front Angle]],Table2[#Headers],0),0)</f>
        <v xml:space="preserve"> 10 ft.- 3"</v>
      </c>
      <c r="O265" s="2">
        <f>VLOOKUP([jobnumber],OvalData[],MATCH(Table2[[#Headers],[Pipe Center Line]],Table2[#Headers],0),0)</f>
        <v>131</v>
      </c>
      <c r="P265" s="2">
        <f>VLOOKUP([jobnumber],OvalData[],MATCH(Table2[[#Headers],[Heat Expansion Gap]],Table2[#Headers],0),0)</f>
        <v>0</v>
      </c>
      <c r="Q265" s="2">
        <f>VLOOKUP([jobnumber],OvalData[],MATCH(Table2[[#Headers],[Hanging Weight Closed]],Table2[#Headers],0),0)</f>
        <v>795</v>
      </c>
      <c r="R265" s="2">
        <f>VLOOKUP([jobnumber],OvalData[],MATCH(Table2[[#Headers],[Hanging Weight Open]],Table2[#Headers],0),0)</f>
        <v>140</v>
      </c>
      <c r="S265" s="2">
        <f>VLOOKUP([jobnumber],OvalData[],MATCH(Table2[[#Headers],[Initial Lever Arm]],Table2[#Headers],0),0)</f>
        <v>4.25</v>
      </c>
      <c r="T265" s="2">
        <f>VLOOKUP([jobnumber],OvalData[],MATCH(Table2[[#Headers],[Turns to Raise]],Table2[#Headers],0),0)</f>
        <v>3.5859999999999999</v>
      </c>
      <c r="U265" s="2">
        <f>VLOOKUP([jobnumber],OvalData[],MATCH(Table2[[#Headers],[Final Lever Arm]],Table2[#Headers],0),0)</f>
        <v>6.37</v>
      </c>
      <c r="V265" s="2">
        <f>VLOOKUP([jobnumber],OvalData[],MATCH(Table2[[#Headers],[Torque Required Closed]],Table2[#Headers],0),0)</f>
        <v>3377.9</v>
      </c>
      <c r="W265" s="2">
        <f>VLOOKUP([jobnumber],OvalData[],MATCH(Table2[[#Headers],[Torque Required Open]],Table2[#Headers],0),0)</f>
        <v>892</v>
      </c>
      <c r="X265" s="2">
        <f>VLOOKUP([jobnumber],OvalData[],MATCH(Table2[[#Headers],[Pre Turns]],Table2[#Headers],0),0)</f>
        <v>1.3332999999999999</v>
      </c>
      <c r="Y265" s="2">
        <f>VLOOKUP([jobnumber],OvalData[],MATCH(Table2[[#Headers],[Required Torque Per Turn]],Table2[#Headers],0),0)</f>
        <v>688</v>
      </c>
      <c r="Z265" s="2">
        <f>VLOOKUP([jobnumber],OvalData[],MATCH(Table2[[#Headers],[Total Turns]],Table2[#Headers],0),0)</f>
        <v>4.91</v>
      </c>
      <c r="AA265" s="2">
        <f>VLOOKUP([jobnumber],OvalData[],MATCH(Table2[[#Headers],[Grille Vision Section]],Table2[#Headers],0),0)</f>
        <v>0</v>
      </c>
      <c r="AB265" s="2">
        <f>VLOOKUP([jobnumber],OvalData[],MATCH(Table2[[#Headers],[Grille Amount]],Table2[#Headers],0),0)</f>
        <v>0</v>
      </c>
      <c r="AC265" s="2">
        <f>VLOOKUP([jobnumber],OvalData[],MATCH(Table2[[#Headers],[Grille Center]],Table2[#Headers],0),0)</f>
        <v>0</v>
      </c>
      <c r="AD265" s="2">
        <f>VLOOKUP([jobnumber],OvalData[],MATCH(Table2[[#Headers],[Grille Pattern]],Table2[#Headers],0),0)</f>
        <v>0</v>
      </c>
      <c r="AE265" s="2">
        <f>VLOOKUP([jobnumber],OvalData[],MATCH(Table2[[#Headers],[Grille First Tube]],Table2[#Headers],0),0)</f>
        <v>0</v>
      </c>
      <c r="AF265" s="2">
        <f>VLOOKUP([jobnumber],OvalData[],MATCH(Table2[[#Headers],[Grille Standard Tube]],Table2[#Headers],0),0)</f>
        <v>0</v>
      </c>
      <c r="AG265" s="2">
        <f>VLOOKUP([jobnumber],OvalData[],MATCH(Table2[[#Headers],[Grille Total Links]],Table2[#Headers],0),0)</f>
        <v>0</v>
      </c>
      <c r="AH265" s="2">
        <f>VLOOKUP([jobnumber],OvalData[],MATCH(Table2[[#Headers],[Grille Rods]],Table2[#Headers],0),0)</f>
        <v>0</v>
      </c>
      <c r="AI265" s="2">
        <f>VLOOKUP([jobnumber],OvalData[],MATCH(Table2[[#Headers],[Grille Rod Length]],Table2[#Headers],0),0)</f>
        <v>0</v>
      </c>
      <c r="AJ265" s="2">
        <f>VLOOKUP([jobnumber],OvalData[],MATCH(Table2[[#Headers],[slattype]],Table2[#Headers],0),0)</f>
        <v>2</v>
      </c>
      <c r="AK265" s="2">
        <f>VLOOKUP([jobnumber],OvalData[],MATCH(Table2[[#Headers],[slatgage]],Table2[#Headers],0),0)</f>
        <v>18</v>
      </c>
      <c r="AL265" s="2">
        <f>VLOOKUP([jobnumber],OvalData[],MATCH(Table2[[#Headers],[Numer of Top Slats]],Table2[#Headers],0),0)</f>
        <v>0</v>
      </c>
      <c r="AM265" s="2">
        <f>VLOOKUP([jobnumber],OvalData[],MATCH(Table2[[#Headers],[Number of Bottom Slats]],Table2[#Headers],0),0)</f>
        <v>0</v>
      </c>
      <c r="AN265" s="2">
        <f>VLOOKUP([jobnumber],OvalData[],MATCH(Table2[[#Headers],[Solid Bottom Height]],Table2[#Headers],0),0)</f>
        <v>0</v>
      </c>
      <c r="AO265" s="2" t="str">
        <f>VLOOKUP([jobnumber],OvalData[],MATCH(Table2[[#Headers],[slatlength]],Table2[#Headers],0),0)</f>
        <v xml:space="preserve"> 18 ft.- 5 7/ 8"</v>
      </c>
      <c r="AP265" s="2">
        <f>VLOOKUP([jobnumber],OvalData[],MATCH(Table2[[#Headers],[Bottom Slat Length]],Table2[#Headers],0),0)</f>
        <v>0</v>
      </c>
      <c r="AQ265" s="2">
        <f>VLOOKUP([jobnumber],OvalData[],MATCH(Table2[[#Headers],[Number of Perferated Slats]],Table2[#Headers],0),0)</f>
        <v>0</v>
      </c>
      <c r="AR265" s="2">
        <f>VLOOKUP([jobnumber],OvalData[],MATCH(Table2[[#Headers],[First Preferated Slat From End]],Table2[#Headers],0),0)</f>
        <v>0</v>
      </c>
      <c r="AS265" s="2">
        <f>VLOOKUP([jobnumber],OvalData[],MATCH(Table2[[#Headers],[First Preferated Slat From Bottom]],Table2[#Headers],0),0)</f>
        <v>0</v>
      </c>
      <c r="AT265" s="2">
        <f>VLOOKUP([jobnumber],OvalData[],MATCH(Table2[[#Headers],[Total Number of Slats]],Table2[#Headers],0),0)</f>
        <v>51</v>
      </c>
      <c r="AU265" s="2">
        <f>VLOOKUP([jobnumber],OvalData[],MATCH(Table2[[#Headers],[Bottom Bar Slope]],Table2[#Headers],0),0)</f>
        <v>0</v>
      </c>
      <c r="AV265" s="2">
        <f>VLOOKUP([jobnumber],OvalData[],MATCH(Table2[[#Headers],[Bottom Bar Weight]],Table2[#Headers],0),0)</f>
        <v>80.5</v>
      </c>
      <c r="AW265" s="2" t="str">
        <f>VLOOKUP([jobnumber],OvalData[],MATCH(Table2[[#Headers],[Outer Spring Gage]],Table2[#Headers],0),0)</f>
        <v>Null</v>
      </c>
      <c r="AX265" s="2" t="str">
        <f>VLOOKUP([jobnumber],OvalData[],MATCH(Table2[[#Headers],[Outer Spring OD]],Table2[#Headers],0),0)</f>
        <v>Null</v>
      </c>
      <c r="AY265" s="2" t="str">
        <f>VLOOKUP([jobnumber],OvalData[],MATCH(Table2[[#Headers],[Outer Spring Length]],Table2[#Headers],0),0)</f>
        <v>Null</v>
      </c>
      <c r="AZ265" s="2" t="str">
        <f>VLOOKUP([jobnumber],OvalData[],MATCH(Table2[[#Headers],[Outer Spring Stretch]],Table2[#Headers],0),0)</f>
        <v>Null</v>
      </c>
      <c r="BA265" s="2" t="str">
        <f>VLOOKUP([jobnumber],OvalData[],MATCH(Table2[[#Headers],[Outer Spring Torque]],Table2[#Headers],0),0)</f>
        <v>Null</v>
      </c>
      <c r="BB265" s="2" t="str">
        <f>VLOOKUP([jobnumber],OvalData[],MATCH(Table2[[#Headers],[Outer Spring Max Turns]],Table2[#Headers],0),0)</f>
        <v>Null</v>
      </c>
      <c r="BC265" s="2" t="str">
        <f>VLOOKUP([jobnumber],OvalData[],MATCH(Table2[[#Headers],[Outer Spring Weight]],Table2[#Headers],0),0)</f>
        <v>Null</v>
      </c>
      <c r="BD265" s="2" t="str">
        <f>VLOOKUP([jobnumber],OvalData[],MATCH(Table2[[#Headers],[Inner Spring Gage]],Table2[#Headers],0),0)</f>
        <v>Null</v>
      </c>
      <c r="BE265" s="2" t="str">
        <f>VLOOKUP([jobnumber],OvalData[],MATCH(Table2[[#Headers],[Inner Spring OD]],Table2[#Headers],0),0)</f>
        <v>Null</v>
      </c>
      <c r="BF265" s="2" t="str">
        <f>VLOOKUP([jobnumber],OvalData[],MATCH(Table2[[#Headers],[Inner Spring Length]],Table2[#Headers],0),0)</f>
        <v>Null</v>
      </c>
      <c r="BG265" s="2" t="str">
        <f>VLOOKUP([jobnumber],OvalData[],MATCH(Table2[[#Headers],[Inner Spring Stretch]],Table2[#Headers],0),0)</f>
        <v>Null</v>
      </c>
      <c r="BH265" s="2" t="str">
        <f>VLOOKUP([jobnumber],OvalData[],MATCH(Table2[[#Headers],[Inner Spring Torque]],Table2[#Headers],0),0)</f>
        <v>Null</v>
      </c>
      <c r="BI265" s="2" t="str">
        <f>VLOOKUP([jobnumber],OvalData[],MATCH(Table2[[#Headers],[Inner Spring Max Turns]],Table2[#Headers],0),0)</f>
        <v>Null</v>
      </c>
      <c r="BJ265" s="2" t="str">
        <f>VLOOKUP([jobnumber],OvalData[],MATCH(Table2[[#Headers],[Inner Spring Weight]],Table2[#Headers],0),0)</f>
        <v>Null</v>
      </c>
      <c r="BK265" s="2">
        <f>VLOOKUP([jobnumber],OvalData[],MATCH(Table2[[#Headers],[Cycles]],Table2[#Headers],0),0)</f>
        <v>0</v>
      </c>
      <c r="BL265" s="2">
        <f>VLOOKUP([jobnumber],OvalData[],MATCH(Table2[[#Headers],[Total Spring Torque]],Table2[#Headers],0),0)</f>
        <v>0</v>
      </c>
      <c r="BM265" s="2">
        <f>VLOOKUP([jobnumber],OvalData[],MATCH(Table2[[#Headers],[Total Spring Weight]],Table2[#Headers],0),0)</f>
        <v>0</v>
      </c>
      <c r="BN265" s="2">
        <f>VLOOKUP([jobnumber],OvalData[],MATCH(Table2[[#Headers],[Pipe Weight]],Table2[#Headers],0),0)</f>
        <v>688.24239999999998</v>
      </c>
      <c r="BO265" s="2">
        <f>VLOOKUP([jobnumber],OvalData[],MATCH(Table2[[#Headers],[Max Pipe Deflection]],Table2[#Headers],0),0)</f>
        <v>2309</v>
      </c>
      <c r="BP265" s="2">
        <f>VLOOKUP([jobnumber],OvalData[],MATCH(Table2[[#Headers],[Number Non-Insulated Wrap Slats]],Table2[#Headers],0),0)</f>
        <v>0</v>
      </c>
      <c r="BQ265" s="2">
        <f>VLOOKUP([jobnumber],OvalData[],MATCH(Table2[[#Headers],[Number of Insolated Top Slats]],Table2[#Headers],0),0)</f>
        <v>45</v>
      </c>
      <c r="BR265" s="2">
        <f>VLOOKUP([jobnumber],OvalData[],MATCH(Table2[[#Headers],[Insolated Total Slats]],Table2[#Headers],0),0)</f>
        <v>45</v>
      </c>
      <c r="BS265" s="2">
        <f>VLOOKUP([jobnumber],OvalData[],MATCH(Table2[[#Headers],[Number of Slats]],Table2[#Headers],0),0)</f>
        <v>44.69</v>
      </c>
      <c r="BT265" s="2">
        <f>VLOOKUP([jobnumber],OvalData[],MATCH(Table2[[#Headers],[Wrap]],Table2[#Headers],0),0)</f>
        <v>0</v>
      </c>
      <c r="BU265" s="2">
        <f>VLOOKUP([jobnumber],OvalData[],MATCH(Table2[[#Headers],[Wall Angle Thickness]],Table2[#Headers],0),0)</f>
        <v>0</v>
      </c>
      <c r="BV265" s="2">
        <f>VLOOKUP([jobnumber],OvalData[],MATCH(Table2[[#Headers],[windlocks]],Table2[#Headers],0),0)</f>
        <v>0</v>
      </c>
      <c r="BW265" s="2" t="str">
        <f>VLOOKUP([jobnumber],OvalData[],MATCH(Table2[[#Headers],[bottombartype]],Table2[#Headers],0),0)</f>
        <v>SPECIAL</v>
      </c>
      <c r="BX265" s="2">
        <f>VLOOKUP([jobnumber],OvalData[],MATCH(Table2[[#Headers],[endlockweight]],Table2[#Headers],0),0)</f>
        <v>0.17</v>
      </c>
      <c r="BY265" s="2">
        <f>VLOOKUP([jobnumber],OvalData[],MATCH(Table2[[#Headers],[Endlock Total Weight]],Table2[#Headers],0),0)</f>
        <v>7.5972999999999997</v>
      </c>
      <c r="BZ265" s="2">
        <f>VLOOKUP([jobnumber],OvalData[],MATCH(Table2[[#Headers],[Grille Weight]],Table2[#Headers],0),0)</f>
        <v>0</v>
      </c>
      <c r="CA265" s="2">
        <f>VLOOKUP([jobnumber],OvalData[],MATCH(Table2[[#Headers],[barrelrings]],Table2[#Headers],0),0)</f>
        <v>1</v>
      </c>
    </row>
    <row r="266" spans="2:79">
      <c r="B266" s="2" t="str">
        <f>VLOOKUP([jobnumber],OvalData[],MATCH(Table2[[#Headers],[Hand]],Table2[#Headers],0),0)</f>
        <v>RH</v>
      </c>
      <c r="C266" s="2" t="str">
        <f>VLOOKUP([jobnumber],OvalData[],MATCH(Table2[[#Headers],[Model]],Table2[#Headers],0),0)</f>
        <v>SFMPP</v>
      </c>
      <c r="D266" s="2" t="str">
        <f>VLOOKUP([jobnumber],OvalData[],MATCH(Table2[[#Headers],[width]],Table2[#Headers],0),0)</f>
        <v xml:space="preserve"> 18 ft.- 2"</v>
      </c>
      <c r="E266" s="2" t="str">
        <f>VLOOKUP([jobnumber],OvalData[],MATCH(Table2[[#Headers],[stopheight]],Table2[#Headers],0),0)</f>
        <v xml:space="preserve"> 10 ft.- 0"</v>
      </c>
      <c r="F266" s="2" t="str">
        <f>VLOOKUP([jobnumber],OvalData[],MATCH(Table2[[#Headers],[Between Brackets]],Table2[#Headers],0),0)</f>
        <v xml:space="preserve"> 18 ft.- 7 7/ 8"</v>
      </c>
      <c r="G266" s="2" t="str">
        <f>VLOOKUP([jobnumber],OvalData[],MATCH(Table2[[#Headers],[shell]],Table2[#Headers],0),0)</f>
        <v>6 INCH TUBE</v>
      </c>
      <c r="H266" s="2" t="str">
        <f>VLOOKUP([jobnumber],OvalData[],MATCH(Table2[[#Headers],[pipewidth]],Table2[#Headers],0),0)</f>
        <v xml:space="preserve"> 18 ft.- 1 3/ 8"</v>
      </c>
      <c r="I266" s="2">
        <f>VLOOKUP([jobnumber],OvalData[],MATCH(Table2[[#Headers],[Support Tubes]],Table2[#Headers],0),0)</f>
        <v>0</v>
      </c>
      <c r="J266" s="2">
        <f>VLOOKUP([jobnumber],OvalData[],MATCH(Table2[[#Headers],[Upset]],Table2[#Headers],0),0)</f>
        <v>2</v>
      </c>
      <c r="K266" s="2" t="str">
        <f>VLOOKUP([jobnumber],OvalData[],MATCH(Table2[[#Headers],[Guide Type]],Table2[#Headers],0),0)</f>
        <v>SN2-4 5/8-E</v>
      </c>
      <c r="L266" s="2" t="str">
        <f>VLOOKUP([jobnumber],OvalData[],MATCH(Table2[[#Headers],[Wall Angle]],Table2[#Headers],0),0)</f>
        <v xml:space="preserve"> 11 ft.- 8"</v>
      </c>
      <c r="M266" s="2" t="str">
        <f>VLOOKUP([jobnumber],OvalData[],MATCH(Table2[[#Headers],[Middle Angle]],Table2[#Headers],0),0)</f>
        <v xml:space="preserve"> 10 ft.- 4 1/ 2"</v>
      </c>
      <c r="N266" s="2" t="str">
        <f>VLOOKUP([jobnumber],OvalData[],MATCH(Table2[[#Headers],[Front Angle]],Table2[#Headers],0),0)</f>
        <v xml:space="preserve"> 10 ft.- 3"</v>
      </c>
      <c r="O266" s="2">
        <f>VLOOKUP([jobnumber],OvalData[],MATCH(Table2[[#Headers],[Pipe Center Line]],Table2[#Headers],0),0)</f>
        <v>131</v>
      </c>
      <c r="P266" s="2">
        <f>VLOOKUP([jobnumber],OvalData[],MATCH(Table2[[#Headers],[Heat Expansion Gap]],Table2[#Headers],0),0)</f>
        <v>0</v>
      </c>
      <c r="Q266" s="2">
        <f>VLOOKUP([jobnumber],OvalData[],MATCH(Table2[[#Headers],[Hanging Weight Closed]],Table2[#Headers],0),0)</f>
        <v>795</v>
      </c>
      <c r="R266" s="2">
        <f>VLOOKUP([jobnumber],OvalData[],MATCH(Table2[[#Headers],[Hanging Weight Open]],Table2[#Headers],0),0)</f>
        <v>140</v>
      </c>
      <c r="S266" s="2">
        <f>VLOOKUP([jobnumber],OvalData[],MATCH(Table2[[#Headers],[Initial Lever Arm]],Table2[#Headers],0),0)</f>
        <v>4.25</v>
      </c>
      <c r="T266" s="2">
        <f>VLOOKUP([jobnumber],OvalData[],MATCH(Table2[[#Headers],[Turns to Raise]],Table2[#Headers],0),0)</f>
        <v>3.5859999999999999</v>
      </c>
      <c r="U266" s="2">
        <f>VLOOKUP([jobnumber],OvalData[],MATCH(Table2[[#Headers],[Final Lever Arm]],Table2[#Headers],0),0)</f>
        <v>6.37</v>
      </c>
      <c r="V266" s="2">
        <f>VLOOKUP([jobnumber],OvalData[],MATCH(Table2[[#Headers],[Torque Required Closed]],Table2[#Headers],0),0)</f>
        <v>3377.9</v>
      </c>
      <c r="W266" s="2">
        <f>VLOOKUP([jobnumber],OvalData[],MATCH(Table2[[#Headers],[Torque Required Open]],Table2[#Headers],0),0)</f>
        <v>892</v>
      </c>
      <c r="X266" s="2">
        <f>VLOOKUP([jobnumber],OvalData[],MATCH(Table2[[#Headers],[Pre Turns]],Table2[#Headers],0),0)</f>
        <v>1.3332999999999999</v>
      </c>
      <c r="Y266" s="2">
        <f>VLOOKUP([jobnumber],OvalData[],MATCH(Table2[[#Headers],[Required Torque Per Turn]],Table2[#Headers],0),0)</f>
        <v>688</v>
      </c>
      <c r="Z266" s="2">
        <f>VLOOKUP([jobnumber],OvalData[],MATCH(Table2[[#Headers],[Total Turns]],Table2[#Headers],0),0)</f>
        <v>4.91</v>
      </c>
      <c r="AA266" s="2">
        <f>VLOOKUP([jobnumber],OvalData[],MATCH(Table2[[#Headers],[Grille Vision Section]],Table2[#Headers],0),0)</f>
        <v>0</v>
      </c>
      <c r="AB266" s="2">
        <f>VLOOKUP([jobnumber],OvalData[],MATCH(Table2[[#Headers],[Grille Amount]],Table2[#Headers],0),0)</f>
        <v>0</v>
      </c>
      <c r="AC266" s="2">
        <f>VLOOKUP([jobnumber],OvalData[],MATCH(Table2[[#Headers],[Grille Center]],Table2[#Headers],0),0)</f>
        <v>0</v>
      </c>
      <c r="AD266" s="2">
        <f>VLOOKUP([jobnumber],OvalData[],MATCH(Table2[[#Headers],[Grille Pattern]],Table2[#Headers],0),0)</f>
        <v>0</v>
      </c>
      <c r="AE266" s="2">
        <f>VLOOKUP([jobnumber],OvalData[],MATCH(Table2[[#Headers],[Grille First Tube]],Table2[#Headers],0),0)</f>
        <v>0</v>
      </c>
      <c r="AF266" s="2">
        <f>VLOOKUP([jobnumber],OvalData[],MATCH(Table2[[#Headers],[Grille Standard Tube]],Table2[#Headers],0),0)</f>
        <v>0</v>
      </c>
      <c r="AG266" s="2">
        <f>VLOOKUP([jobnumber],OvalData[],MATCH(Table2[[#Headers],[Grille Total Links]],Table2[#Headers],0),0)</f>
        <v>0</v>
      </c>
      <c r="AH266" s="2">
        <f>VLOOKUP([jobnumber],OvalData[],MATCH(Table2[[#Headers],[Grille Rods]],Table2[#Headers],0),0)</f>
        <v>0</v>
      </c>
      <c r="AI266" s="2">
        <f>VLOOKUP([jobnumber],OvalData[],MATCH(Table2[[#Headers],[Grille Rod Length]],Table2[#Headers],0),0)</f>
        <v>0</v>
      </c>
      <c r="AJ266" s="2">
        <f>VLOOKUP([jobnumber],OvalData[],MATCH(Table2[[#Headers],[slattype]],Table2[#Headers],0),0)</f>
        <v>2</v>
      </c>
      <c r="AK266" s="2">
        <f>VLOOKUP([jobnumber],OvalData[],MATCH(Table2[[#Headers],[slatgage]],Table2[#Headers],0),0)</f>
        <v>18</v>
      </c>
      <c r="AL266" s="2">
        <f>VLOOKUP([jobnumber],OvalData[],MATCH(Table2[[#Headers],[Numer of Top Slats]],Table2[#Headers],0),0)</f>
        <v>0</v>
      </c>
      <c r="AM266" s="2">
        <f>VLOOKUP([jobnumber],OvalData[],MATCH(Table2[[#Headers],[Number of Bottom Slats]],Table2[#Headers],0),0)</f>
        <v>0</v>
      </c>
      <c r="AN266" s="2">
        <f>VLOOKUP([jobnumber],OvalData[],MATCH(Table2[[#Headers],[Solid Bottom Height]],Table2[#Headers],0),0)</f>
        <v>0</v>
      </c>
      <c r="AO266" s="2" t="str">
        <f>VLOOKUP([jobnumber],OvalData[],MATCH(Table2[[#Headers],[slatlength]],Table2[#Headers],0),0)</f>
        <v xml:space="preserve"> 18 ft.- 5 7/ 8"</v>
      </c>
      <c r="AP266" s="2">
        <f>VLOOKUP([jobnumber],OvalData[],MATCH(Table2[[#Headers],[Bottom Slat Length]],Table2[#Headers],0),0)</f>
        <v>0</v>
      </c>
      <c r="AQ266" s="2">
        <f>VLOOKUP([jobnumber],OvalData[],MATCH(Table2[[#Headers],[Number of Perferated Slats]],Table2[#Headers],0),0)</f>
        <v>0</v>
      </c>
      <c r="AR266" s="2">
        <f>VLOOKUP([jobnumber],OvalData[],MATCH(Table2[[#Headers],[First Preferated Slat From End]],Table2[#Headers],0),0)</f>
        <v>0</v>
      </c>
      <c r="AS266" s="2">
        <f>VLOOKUP([jobnumber],OvalData[],MATCH(Table2[[#Headers],[First Preferated Slat From Bottom]],Table2[#Headers],0),0)</f>
        <v>0</v>
      </c>
      <c r="AT266" s="2">
        <f>VLOOKUP([jobnumber],OvalData[],MATCH(Table2[[#Headers],[Total Number of Slats]],Table2[#Headers],0),0)</f>
        <v>51</v>
      </c>
      <c r="AU266" s="2">
        <f>VLOOKUP([jobnumber],OvalData[],MATCH(Table2[[#Headers],[Bottom Bar Slope]],Table2[#Headers],0),0)</f>
        <v>0</v>
      </c>
      <c r="AV266" s="2">
        <f>VLOOKUP([jobnumber],OvalData[],MATCH(Table2[[#Headers],[Bottom Bar Weight]],Table2[#Headers],0),0)</f>
        <v>80.5</v>
      </c>
      <c r="AW266" s="2" t="str">
        <f>VLOOKUP([jobnumber],OvalData[],MATCH(Table2[[#Headers],[Outer Spring Gage]],Table2[#Headers],0),0)</f>
        <v>Null</v>
      </c>
      <c r="AX266" s="2" t="str">
        <f>VLOOKUP([jobnumber],OvalData[],MATCH(Table2[[#Headers],[Outer Spring OD]],Table2[#Headers],0),0)</f>
        <v>Null</v>
      </c>
      <c r="AY266" s="2" t="str">
        <f>VLOOKUP([jobnumber],OvalData[],MATCH(Table2[[#Headers],[Outer Spring Length]],Table2[#Headers],0),0)</f>
        <v>Null</v>
      </c>
      <c r="AZ266" s="2" t="str">
        <f>VLOOKUP([jobnumber],OvalData[],MATCH(Table2[[#Headers],[Outer Spring Stretch]],Table2[#Headers],0),0)</f>
        <v>Null</v>
      </c>
      <c r="BA266" s="2" t="str">
        <f>VLOOKUP([jobnumber],OvalData[],MATCH(Table2[[#Headers],[Outer Spring Torque]],Table2[#Headers],0),0)</f>
        <v>Null</v>
      </c>
      <c r="BB266" s="2" t="str">
        <f>VLOOKUP([jobnumber],OvalData[],MATCH(Table2[[#Headers],[Outer Spring Max Turns]],Table2[#Headers],0),0)</f>
        <v>Null</v>
      </c>
      <c r="BC266" s="2" t="str">
        <f>VLOOKUP([jobnumber],OvalData[],MATCH(Table2[[#Headers],[Outer Spring Weight]],Table2[#Headers],0),0)</f>
        <v>Null</v>
      </c>
      <c r="BD266" s="2" t="str">
        <f>VLOOKUP([jobnumber],OvalData[],MATCH(Table2[[#Headers],[Inner Spring Gage]],Table2[#Headers],0),0)</f>
        <v>Null</v>
      </c>
      <c r="BE266" s="2" t="str">
        <f>VLOOKUP([jobnumber],OvalData[],MATCH(Table2[[#Headers],[Inner Spring OD]],Table2[#Headers],0),0)</f>
        <v>Null</v>
      </c>
      <c r="BF266" s="2" t="str">
        <f>VLOOKUP([jobnumber],OvalData[],MATCH(Table2[[#Headers],[Inner Spring Length]],Table2[#Headers],0),0)</f>
        <v>Null</v>
      </c>
      <c r="BG266" s="2" t="str">
        <f>VLOOKUP([jobnumber],OvalData[],MATCH(Table2[[#Headers],[Inner Spring Stretch]],Table2[#Headers],0),0)</f>
        <v>Null</v>
      </c>
      <c r="BH266" s="2" t="str">
        <f>VLOOKUP([jobnumber],OvalData[],MATCH(Table2[[#Headers],[Inner Spring Torque]],Table2[#Headers],0),0)</f>
        <v>Null</v>
      </c>
      <c r="BI266" s="2" t="str">
        <f>VLOOKUP([jobnumber],OvalData[],MATCH(Table2[[#Headers],[Inner Spring Max Turns]],Table2[#Headers],0),0)</f>
        <v>Null</v>
      </c>
      <c r="BJ266" s="2" t="str">
        <f>VLOOKUP([jobnumber],OvalData[],MATCH(Table2[[#Headers],[Inner Spring Weight]],Table2[#Headers],0),0)</f>
        <v>Null</v>
      </c>
      <c r="BK266" s="2">
        <f>VLOOKUP([jobnumber],OvalData[],MATCH(Table2[[#Headers],[Cycles]],Table2[#Headers],0),0)</f>
        <v>0</v>
      </c>
      <c r="BL266" s="2">
        <f>VLOOKUP([jobnumber],OvalData[],MATCH(Table2[[#Headers],[Total Spring Torque]],Table2[#Headers],0),0)</f>
        <v>0</v>
      </c>
      <c r="BM266" s="2">
        <f>VLOOKUP([jobnumber],OvalData[],MATCH(Table2[[#Headers],[Total Spring Weight]],Table2[#Headers],0),0)</f>
        <v>0</v>
      </c>
      <c r="BN266" s="2">
        <f>VLOOKUP([jobnumber],OvalData[],MATCH(Table2[[#Headers],[Pipe Weight]],Table2[#Headers],0),0)</f>
        <v>688.24239999999998</v>
      </c>
      <c r="BO266" s="2">
        <f>VLOOKUP([jobnumber],OvalData[],MATCH(Table2[[#Headers],[Max Pipe Deflection]],Table2[#Headers],0),0)</f>
        <v>2309</v>
      </c>
      <c r="BP266" s="2">
        <f>VLOOKUP([jobnumber],OvalData[],MATCH(Table2[[#Headers],[Number Non-Insulated Wrap Slats]],Table2[#Headers],0),0)</f>
        <v>0</v>
      </c>
      <c r="BQ266" s="2">
        <f>VLOOKUP([jobnumber],OvalData[],MATCH(Table2[[#Headers],[Number of Insolated Top Slats]],Table2[#Headers],0),0)</f>
        <v>45</v>
      </c>
      <c r="BR266" s="2">
        <f>VLOOKUP([jobnumber],OvalData[],MATCH(Table2[[#Headers],[Insolated Total Slats]],Table2[#Headers],0),0)</f>
        <v>45</v>
      </c>
      <c r="BS266" s="2">
        <f>VLOOKUP([jobnumber],OvalData[],MATCH(Table2[[#Headers],[Number of Slats]],Table2[#Headers],0),0)</f>
        <v>44.69</v>
      </c>
      <c r="BT266" s="2">
        <f>VLOOKUP([jobnumber],OvalData[],MATCH(Table2[[#Headers],[Wrap]],Table2[#Headers],0),0)</f>
        <v>0</v>
      </c>
      <c r="BU266" s="2">
        <f>VLOOKUP([jobnumber],OvalData[],MATCH(Table2[[#Headers],[Wall Angle Thickness]],Table2[#Headers],0),0)</f>
        <v>0</v>
      </c>
      <c r="BV266" s="2">
        <f>VLOOKUP([jobnumber],OvalData[],MATCH(Table2[[#Headers],[windlocks]],Table2[#Headers],0),0)</f>
        <v>0</v>
      </c>
      <c r="BW266" s="2" t="str">
        <f>VLOOKUP([jobnumber],OvalData[],MATCH(Table2[[#Headers],[bottombartype]],Table2[#Headers],0),0)</f>
        <v>SPECIAL</v>
      </c>
      <c r="BX266" s="2">
        <f>VLOOKUP([jobnumber],OvalData[],MATCH(Table2[[#Headers],[endlockweight]],Table2[#Headers],0),0)</f>
        <v>0.17</v>
      </c>
      <c r="BY266" s="2">
        <f>VLOOKUP([jobnumber],OvalData[],MATCH(Table2[[#Headers],[Endlock Total Weight]],Table2[#Headers],0),0)</f>
        <v>7.5972999999999997</v>
      </c>
      <c r="BZ266" s="2">
        <f>VLOOKUP([jobnumber],OvalData[],MATCH(Table2[[#Headers],[Grille Weight]],Table2[#Headers],0),0)</f>
        <v>0</v>
      </c>
      <c r="CA266" s="2">
        <f>VLOOKUP([jobnumber],OvalData[],MATCH(Table2[[#Headers],[barrelrings]],Table2[#Headers],0),0)</f>
        <v>1</v>
      </c>
    </row>
    <row r="267" spans="2:79">
      <c r="B267" s="2" t="str">
        <f>VLOOKUP([jobnumber],OvalData[],MATCH(Table2[[#Headers],[Hand]],Table2[#Headers],0),0)</f>
        <v>RH</v>
      </c>
      <c r="C267" s="2" t="str">
        <f>VLOOKUP([jobnumber],OvalData[],MATCH(Table2[[#Headers],[Model]],Table2[#Headers],0),0)</f>
        <v>SFMPP</v>
      </c>
      <c r="D267" s="2" t="str">
        <f>VLOOKUP([jobnumber],OvalData[],MATCH(Table2[[#Headers],[width]],Table2[#Headers],0),0)</f>
        <v xml:space="preserve"> 18 ft.- 2"</v>
      </c>
      <c r="E267" s="2" t="str">
        <f>VLOOKUP([jobnumber],OvalData[],MATCH(Table2[[#Headers],[stopheight]],Table2[#Headers],0),0)</f>
        <v xml:space="preserve"> 10 ft.- 0"</v>
      </c>
      <c r="F267" s="2" t="str">
        <f>VLOOKUP([jobnumber],OvalData[],MATCH(Table2[[#Headers],[Between Brackets]],Table2[#Headers],0),0)</f>
        <v xml:space="preserve"> 18 ft.- 7 7/ 8"</v>
      </c>
      <c r="G267" s="2" t="str">
        <f>VLOOKUP([jobnumber],OvalData[],MATCH(Table2[[#Headers],[shell]],Table2[#Headers],0),0)</f>
        <v>6 INCH TUBE</v>
      </c>
      <c r="H267" s="2" t="str">
        <f>VLOOKUP([jobnumber],OvalData[],MATCH(Table2[[#Headers],[pipewidth]],Table2[#Headers],0),0)</f>
        <v xml:space="preserve"> 18 ft.- 1 3/ 8"</v>
      </c>
      <c r="I267" s="2">
        <f>VLOOKUP([jobnumber],OvalData[],MATCH(Table2[[#Headers],[Support Tubes]],Table2[#Headers],0),0)</f>
        <v>0</v>
      </c>
      <c r="J267" s="2">
        <f>VLOOKUP([jobnumber],OvalData[],MATCH(Table2[[#Headers],[Upset]],Table2[#Headers],0),0)</f>
        <v>2</v>
      </c>
      <c r="K267" s="2" t="str">
        <f>VLOOKUP([jobnumber],OvalData[],MATCH(Table2[[#Headers],[Guide Type]],Table2[#Headers],0),0)</f>
        <v>SN2-4 5/8-E</v>
      </c>
      <c r="L267" s="2" t="str">
        <f>VLOOKUP([jobnumber],OvalData[],MATCH(Table2[[#Headers],[Wall Angle]],Table2[#Headers],0),0)</f>
        <v xml:space="preserve"> 11 ft.- 8"</v>
      </c>
      <c r="M267" s="2" t="str">
        <f>VLOOKUP([jobnumber],OvalData[],MATCH(Table2[[#Headers],[Middle Angle]],Table2[#Headers],0),0)</f>
        <v xml:space="preserve"> 10 ft.- 4 1/ 2"</v>
      </c>
      <c r="N267" s="2" t="str">
        <f>VLOOKUP([jobnumber],OvalData[],MATCH(Table2[[#Headers],[Front Angle]],Table2[#Headers],0),0)</f>
        <v xml:space="preserve"> 10 ft.- 3"</v>
      </c>
      <c r="O267" s="2">
        <f>VLOOKUP([jobnumber],OvalData[],MATCH(Table2[[#Headers],[Pipe Center Line]],Table2[#Headers],0),0)</f>
        <v>131</v>
      </c>
      <c r="P267" s="2">
        <f>VLOOKUP([jobnumber],OvalData[],MATCH(Table2[[#Headers],[Heat Expansion Gap]],Table2[#Headers],0),0)</f>
        <v>0</v>
      </c>
      <c r="Q267" s="2">
        <f>VLOOKUP([jobnumber],OvalData[],MATCH(Table2[[#Headers],[Hanging Weight Closed]],Table2[#Headers],0),0)</f>
        <v>795</v>
      </c>
      <c r="R267" s="2">
        <f>VLOOKUP([jobnumber],OvalData[],MATCH(Table2[[#Headers],[Hanging Weight Open]],Table2[#Headers],0),0)</f>
        <v>140</v>
      </c>
      <c r="S267" s="2">
        <f>VLOOKUP([jobnumber],OvalData[],MATCH(Table2[[#Headers],[Initial Lever Arm]],Table2[#Headers],0),0)</f>
        <v>4.25</v>
      </c>
      <c r="T267" s="2">
        <f>VLOOKUP([jobnumber],OvalData[],MATCH(Table2[[#Headers],[Turns to Raise]],Table2[#Headers],0),0)</f>
        <v>3.5859999999999999</v>
      </c>
      <c r="U267" s="2">
        <f>VLOOKUP([jobnumber],OvalData[],MATCH(Table2[[#Headers],[Final Lever Arm]],Table2[#Headers],0),0)</f>
        <v>6.37</v>
      </c>
      <c r="V267" s="2">
        <f>VLOOKUP([jobnumber],OvalData[],MATCH(Table2[[#Headers],[Torque Required Closed]],Table2[#Headers],0),0)</f>
        <v>3377.9</v>
      </c>
      <c r="W267" s="2">
        <f>VLOOKUP([jobnumber],OvalData[],MATCH(Table2[[#Headers],[Torque Required Open]],Table2[#Headers],0),0)</f>
        <v>892</v>
      </c>
      <c r="X267" s="2">
        <f>VLOOKUP([jobnumber],OvalData[],MATCH(Table2[[#Headers],[Pre Turns]],Table2[#Headers],0),0)</f>
        <v>1.3332999999999999</v>
      </c>
      <c r="Y267" s="2">
        <f>VLOOKUP([jobnumber],OvalData[],MATCH(Table2[[#Headers],[Required Torque Per Turn]],Table2[#Headers],0),0)</f>
        <v>688</v>
      </c>
      <c r="Z267" s="2">
        <f>VLOOKUP([jobnumber],OvalData[],MATCH(Table2[[#Headers],[Total Turns]],Table2[#Headers],0),0)</f>
        <v>4.91</v>
      </c>
      <c r="AA267" s="2">
        <f>VLOOKUP([jobnumber],OvalData[],MATCH(Table2[[#Headers],[Grille Vision Section]],Table2[#Headers],0),0)</f>
        <v>0</v>
      </c>
      <c r="AB267" s="2">
        <f>VLOOKUP([jobnumber],OvalData[],MATCH(Table2[[#Headers],[Grille Amount]],Table2[#Headers],0),0)</f>
        <v>0</v>
      </c>
      <c r="AC267" s="2">
        <f>VLOOKUP([jobnumber],OvalData[],MATCH(Table2[[#Headers],[Grille Center]],Table2[#Headers],0),0)</f>
        <v>0</v>
      </c>
      <c r="AD267" s="2">
        <f>VLOOKUP([jobnumber],OvalData[],MATCH(Table2[[#Headers],[Grille Pattern]],Table2[#Headers],0),0)</f>
        <v>0</v>
      </c>
      <c r="AE267" s="2">
        <f>VLOOKUP([jobnumber],OvalData[],MATCH(Table2[[#Headers],[Grille First Tube]],Table2[#Headers],0),0)</f>
        <v>0</v>
      </c>
      <c r="AF267" s="2">
        <f>VLOOKUP([jobnumber],OvalData[],MATCH(Table2[[#Headers],[Grille Standard Tube]],Table2[#Headers],0),0)</f>
        <v>0</v>
      </c>
      <c r="AG267" s="2">
        <f>VLOOKUP([jobnumber],OvalData[],MATCH(Table2[[#Headers],[Grille Total Links]],Table2[#Headers],0),0)</f>
        <v>0</v>
      </c>
      <c r="AH267" s="2">
        <f>VLOOKUP([jobnumber],OvalData[],MATCH(Table2[[#Headers],[Grille Rods]],Table2[#Headers],0),0)</f>
        <v>0</v>
      </c>
      <c r="AI267" s="2">
        <f>VLOOKUP([jobnumber],OvalData[],MATCH(Table2[[#Headers],[Grille Rod Length]],Table2[#Headers],0),0)</f>
        <v>0</v>
      </c>
      <c r="AJ267" s="2">
        <f>VLOOKUP([jobnumber],OvalData[],MATCH(Table2[[#Headers],[slattype]],Table2[#Headers],0),0)</f>
        <v>2</v>
      </c>
      <c r="AK267" s="2">
        <f>VLOOKUP([jobnumber],OvalData[],MATCH(Table2[[#Headers],[slatgage]],Table2[#Headers],0),0)</f>
        <v>18</v>
      </c>
      <c r="AL267" s="2">
        <f>VLOOKUP([jobnumber],OvalData[],MATCH(Table2[[#Headers],[Numer of Top Slats]],Table2[#Headers],0),0)</f>
        <v>0</v>
      </c>
      <c r="AM267" s="2">
        <f>VLOOKUP([jobnumber],OvalData[],MATCH(Table2[[#Headers],[Number of Bottom Slats]],Table2[#Headers],0),0)</f>
        <v>0</v>
      </c>
      <c r="AN267" s="2">
        <f>VLOOKUP([jobnumber],OvalData[],MATCH(Table2[[#Headers],[Solid Bottom Height]],Table2[#Headers],0),0)</f>
        <v>0</v>
      </c>
      <c r="AO267" s="2" t="str">
        <f>VLOOKUP([jobnumber],OvalData[],MATCH(Table2[[#Headers],[slatlength]],Table2[#Headers],0),0)</f>
        <v xml:space="preserve"> 18 ft.- 5 7/ 8"</v>
      </c>
      <c r="AP267" s="2">
        <f>VLOOKUP([jobnumber],OvalData[],MATCH(Table2[[#Headers],[Bottom Slat Length]],Table2[#Headers],0),0)</f>
        <v>0</v>
      </c>
      <c r="AQ267" s="2">
        <f>VLOOKUP([jobnumber],OvalData[],MATCH(Table2[[#Headers],[Number of Perferated Slats]],Table2[#Headers],0),0)</f>
        <v>0</v>
      </c>
      <c r="AR267" s="2">
        <f>VLOOKUP([jobnumber],OvalData[],MATCH(Table2[[#Headers],[First Preferated Slat From End]],Table2[#Headers],0),0)</f>
        <v>0</v>
      </c>
      <c r="AS267" s="2">
        <f>VLOOKUP([jobnumber],OvalData[],MATCH(Table2[[#Headers],[First Preferated Slat From Bottom]],Table2[#Headers],0),0)</f>
        <v>0</v>
      </c>
      <c r="AT267" s="2">
        <f>VLOOKUP([jobnumber],OvalData[],MATCH(Table2[[#Headers],[Total Number of Slats]],Table2[#Headers],0),0)</f>
        <v>51</v>
      </c>
      <c r="AU267" s="2">
        <f>VLOOKUP([jobnumber],OvalData[],MATCH(Table2[[#Headers],[Bottom Bar Slope]],Table2[#Headers],0),0)</f>
        <v>0</v>
      </c>
      <c r="AV267" s="2">
        <f>VLOOKUP([jobnumber],OvalData[],MATCH(Table2[[#Headers],[Bottom Bar Weight]],Table2[#Headers],0),0)</f>
        <v>80.5</v>
      </c>
      <c r="AW267" s="2" t="str">
        <f>VLOOKUP([jobnumber],OvalData[],MATCH(Table2[[#Headers],[Outer Spring Gage]],Table2[#Headers],0),0)</f>
        <v>Null</v>
      </c>
      <c r="AX267" s="2" t="str">
        <f>VLOOKUP([jobnumber],OvalData[],MATCH(Table2[[#Headers],[Outer Spring OD]],Table2[#Headers],0),0)</f>
        <v>Null</v>
      </c>
      <c r="AY267" s="2" t="str">
        <f>VLOOKUP([jobnumber],OvalData[],MATCH(Table2[[#Headers],[Outer Spring Length]],Table2[#Headers],0),0)</f>
        <v>Null</v>
      </c>
      <c r="AZ267" s="2" t="str">
        <f>VLOOKUP([jobnumber],OvalData[],MATCH(Table2[[#Headers],[Outer Spring Stretch]],Table2[#Headers],0),0)</f>
        <v>Null</v>
      </c>
      <c r="BA267" s="2" t="str">
        <f>VLOOKUP([jobnumber],OvalData[],MATCH(Table2[[#Headers],[Outer Spring Torque]],Table2[#Headers],0),0)</f>
        <v>Null</v>
      </c>
      <c r="BB267" s="2" t="str">
        <f>VLOOKUP([jobnumber],OvalData[],MATCH(Table2[[#Headers],[Outer Spring Max Turns]],Table2[#Headers],0),0)</f>
        <v>Null</v>
      </c>
      <c r="BC267" s="2" t="str">
        <f>VLOOKUP([jobnumber],OvalData[],MATCH(Table2[[#Headers],[Outer Spring Weight]],Table2[#Headers],0),0)</f>
        <v>Null</v>
      </c>
      <c r="BD267" s="2" t="str">
        <f>VLOOKUP([jobnumber],OvalData[],MATCH(Table2[[#Headers],[Inner Spring Gage]],Table2[#Headers],0),0)</f>
        <v>Null</v>
      </c>
      <c r="BE267" s="2" t="str">
        <f>VLOOKUP([jobnumber],OvalData[],MATCH(Table2[[#Headers],[Inner Spring OD]],Table2[#Headers],0),0)</f>
        <v>Null</v>
      </c>
      <c r="BF267" s="2" t="str">
        <f>VLOOKUP([jobnumber],OvalData[],MATCH(Table2[[#Headers],[Inner Spring Length]],Table2[#Headers],0),0)</f>
        <v>Null</v>
      </c>
      <c r="BG267" s="2" t="str">
        <f>VLOOKUP([jobnumber],OvalData[],MATCH(Table2[[#Headers],[Inner Spring Stretch]],Table2[#Headers],0),0)</f>
        <v>Null</v>
      </c>
      <c r="BH267" s="2" t="str">
        <f>VLOOKUP([jobnumber],OvalData[],MATCH(Table2[[#Headers],[Inner Spring Torque]],Table2[#Headers],0),0)</f>
        <v>Null</v>
      </c>
      <c r="BI267" s="2" t="str">
        <f>VLOOKUP([jobnumber],OvalData[],MATCH(Table2[[#Headers],[Inner Spring Max Turns]],Table2[#Headers],0),0)</f>
        <v>Null</v>
      </c>
      <c r="BJ267" s="2" t="str">
        <f>VLOOKUP([jobnumber],OvalData[],MATCH(Table2[[#Headers],[Inner Spring Weight]],Table2[#Headers],0),0)</f>
        <v>Null</v>
      </c>
      <c r="BK267" s="2">
        <f>VLOOKUP([jobnumber],OvalData[],MATCH(Table2[[#Headers],[Cycles]],Table2[#Headers],0),0)</f>
        <v>0</v>
      </c>
      <c r="BL267" s="2">
        <f>VLOOKUP([jobnumber],OvalData[],MATCH(Table2[[#Headers],[Total Spring Torque]],Table2[#Headers],0),0)</f>
        <v>0</v>
      </c>
      <c r="BM267" s="2">
        <f>VLOOKUP([jobnumber],OvalData[],MATCH(Table2[[#Headers],[Total Spring Weight]],Table2[#Headers],0),0)</f>
        <v>0</v>
      </c>
      <c r="BN267" s="2">
        <f>VLOOKUP([jobnumber],OvalData[],MATCH(Table2[[#Headers],[Pipe Weight]],Table2[#Headers],0),0)</f>
        <v>688.24239999999998</v>
      </c>
      <c r="BO267" s="2">
        <f>VLOOKUP([jobnumber],OvalData[],MATCH(Table2[[#Headers],[Max Pipe Deflection]],Table2[#Headers],0),0)</f>
        <v>2309</v>
      </c>
      <c r="BP267" s="2">
        <f>VLOOKUP([jobnumber],OvalData[],MATCH(Table2[[#Headers],[Number Non-Insulated Wrap Slats]],Table2[#Headers],0),0)</f>
        <v>0</v>
      </c>
      <c r="BQ267" s="2">
        <f>VLOOKUP([jobnumber],OvalData[],MATCH(Table2[[#Headers],[Number of Insolated Top Slats]],Table2[#Headers],0),0)</f>
        <v>45</v>
      </c>
      <c r="BR267" s="2">
        <f>VLOOKUP([jobnumber],OvalData[],MATCH(Table2[[#Headers],[Insolated Total Slats]],Table2[#Headers],0),0)</f>
        <v>45</v>
      </c>
      <c r="BS267" s="2">
        <f>VLOOKUP([jobnumber],OvalData[],MATCH(Table2[[#Headers],[Number of Slats]],Table2[#Headers],0),0)</f>
        <v>44.69</v>
      </c>
      <c r="BT267" s="2">
        <f>VLOOKUP([jobnumber],OvalData[],MATCH(Table2[[#Headers],[Wrap]],Table2[#Headers],0),0)</f>
        <v>0</v>
      </c>
      <c r="BU267" s="2">
        <f>VLOOKUP([jobnumber],OvalData[],MATCH(Table2[[#Headers],[Wall Angle Thickness]],Table2[#Headers],0),0)</f>
        <v>0</v>
      </c>
      <c r="BV267" s="2">
        <f>VLOOKUP([jobnumber],OvalData[],MATCH(Table2[[#Headers],[windlocks]],Table2[#Headers],0),0)</f>
        <v>0</v>
      </c>
      <c r="BW267" s="2" t="str">
        <f>VLOOKUP([jobnumber],OvalData[],MATCH(Table2[[#Headers],[bottombartype]],Table2[#Headers],0),0)</f>
        <v>SPECIAL</v>
      </c>
      <c r="BX267" s="2">
        <f>VLOOKUP([jobnumber],OvalData[],MATCH(Table2[[#Headers],[endlockweight]],Table2[#Headers],0),0)</f>
        <v>0.17</v>
      </c>
      <c r="BY267" s="2">
        <f>VLOOKUP([jobnumber],OvalData[],MATCH(Table2[[#Headers],[Endlock Total Weight]],Table2[#Headers],0),0)</f>
        <v>7.5972999999999997</v>
      </c>
      <c r="BZ267" s="2">
        <f>VLOOKUP([jobnumber],OvalData[],MATCH(Table2[[#Headers],[Grille Weight]],Table2[#Headers],0),0)</f>
        <v>0</v>
      </c>
      <c r="CA267" s="2">
        <f>VLOOKUP([jobnumber],OvalData[],MATCH(Table2[[#Headers],[barrelrings]],Table2[#Headers],0),0)</f>
        <v>1</v>
      </c>
    </row>
    <row r="268" spans="2:79">
      <c r="B268" s="2" t="str">
        <f>VLOOKUP([jobnumber],OvalData[],MATCH(Table2[[#Headers],[Hand]],Table2[#Headers],0),0)</f>
        <v>RH</v>
      </c>
      <c r="C268" s="2" t="str">
        <f>VLOOKUP([jobnumber],OvalData[],MATCH(Table2[[#Headers],[Model]],Table2[#Headers],0),0)</f>
        <v>SFMPP</v>
      </c>
      <c r="D268" s="2" t="str">
        <f>VLOOKUP([jobnumber],OvalData[],MATCH(Table2[[#Headers],[width]],Table2[#Headers],0),0)</f>
        <v xml:space="preserve"> 18 ft.- 2"</v>
      </c>
      <c r="E268" s="2" t="str">
        <f>VLOOKUP([jobnumber],OvalData[],MATCH(Table2[[#Headers],[stopheight]],Table2[#Headers],0),0)</f>
        <v xml:space="preserve"> 10 ft.- 0"</v>
      </c>
      <c r="F268" s="2" t="str">
        <f>VLOOKUP([jobnumber],OvalData[],MATCH(Table2[[#Headers],[Between Brackets]],Table2[#Headers],0),0)</f>
        <v xml:space="preserve"> 18 ft.- 7 7/ 8"</v>
      </c>
      <c r="G268" s="2" t="str">
        <f>VLOOKUP([jobnumber],OvalData[],MATCH(Table2[[#Headers],[shell]],Table2[#Headers],0),0)</f>
        <v>6 INCH TUBE</v>
      </c>
      <c r="H268" s="2" t="str">
        <f>VLOOKUP([jobnumber],OvalData[],MATCH(Table2[[#Headers],[pipewidth]],Table2[#Headers],0),0)</f>
        <v xml:space="preserve"> 18 ft.- 1 3/ 8"</v>
      </c>
      <c r="I268" s="2">
        <f>VLOOKUP([jobnumber],OvalData[],MATCH(Table2[[#Headers],[Support Tubes]],Table2[#Headers],0),0)</f>
        <v>0</v>
      </c>
      <c r="J268" s="2">
        <f>VLOOKUP([jobnumber],OvalData[],MATCH(Table2[[#Headers],[Upset]],Table2[#Headers],0),0)</f>
        <v>2</v>
      </c>
      <c r="K268" s="2" t="str">
        <f>VLOOKUP([jobnumber],OvalData[],MATCH(Table2[[#Headers],[Guide Type]],Table2[#Headers],0),0)</f>
        <v>SN2-4 5/8-E</v>
      </c>
      <c r="L268" s="2" t="str">
        <f>VLOOKUP([jobnumber],OvalData[],MATCH(Table2[[#Headers],[Wall Angle]],Table2[#Headers],0),0)</f>
        <v xml:space="preserve"> 11 ft.- 8"</v>
      </c>
      <c r="M268" s="2" t="str">
        <f>VLOOKUP([jobnumber],OvalData[],MATCH(Table2[[#Headers],[Middle Angle]],Table2[#Headers],0),0)</f>
        <v xml:space="preserve"> 10 ft.- 4 1/ 2"</v>
      </c>
      <c r="N268" s="2" t="str">
        <f>VLOOKUP([jobnumber],OvalData[],MATCH(Table2[[#Headers],[Front Angle]],Table2[#Headers],0),0)</f>
        <v xml:space="preserve"> 10 ft.- 3"</v>
      </c>
      <c r="O268" s="2">
        <f>VLOOKUP([jobnumber],OvalData[],MATCH(Table2[[#Headers],[Pipe Center Line]],Table2[#Headers],0),0)</f>
        <v>131</v>
      </c>
      <c r="P268" s="2">
        <f>VLOOKUP([jobnumber],OvalData[],MATCH(Table2[[#Headers],[Heat Expansion Gap]],Table2[#Headers],0),0)</f>
        <v>0</v>
      </c>
      <c r="Q268" s="2">
        <f>VLOOKUP([jobnumber],OvalData[],MATCH(Table2[[#Headers],[Hanging Weight Closed]],Table2[#Headers],0),0)</f>
        <v>795</v>
      </c>
      <c r="R268" s="2">
        <f>VLOOKUP([jobnumber],OvalData[],MATCH(Table2[[#Headers],[Hanging Weight Open]],Table2[#Headers],0),0)</f>
        <v>140</v>
      </c>
      <c r="S268" s="2">
        <f>VLOOKUP([jobnumber],OvalData[],MATCH(Table2[[#Headers],[Initial Lever Arm]],Table2[#Headers],0),0)</f>
        <v>4.25</v>
      </c>
      <c r="T268" s="2">
        <f>VLOOKUP([jobnumber],OvalData[],MATCH(Table2[[#Headers],[Turns to Raise]],Table2[#Headers],0),0)</f>
        <v>3.5859999999999999</v>
      </c>
      <c r="U268" s="2">
        <f>VLOOKUP([jobnumber],OvalData[],MATCH(Table2[[#Headers],[Final Lever Arm]],Table2[#Headers],0),0)</f>
        <v>6.37</v>
      </c>
      <c r="V268" s="2">
        <f>VLOOKUP([jobnumber],OvalData[],MATCH(Table2[[#Headers],[Torque Required Closed]],Table2[#Headers],0),0)</f>
        <v>3377.9</v>
      </c>
      <c r="W268" s="2">
        <f>VLOOKUP([jobnumber],OvalData[],MATCH(Table2[[#Headers],[Torque Required Open]],Table2[#Headers],0),0)</f>
        <v>892</v>
      </c>
      <c r="X268" s="2">
        <f>VLOOKUP([jobnumber],OvalData[],MATCH(Table2[[#Headers],[Pre Turns]],Table2[#Headers],0),0)</f>
        <v>1.3332999999999999</v>
      </c>
      <c r="Y268" s="2">
        <f>VLOOKUP([jobnumber],OvalData[],MATCH(Table2[[#Headers],[Required Torque Per Turn]],Table2[#Headers],0),0)</f>
        <v>688</v>
      </c>
      <c r="Z268" s="2">
        <f>VLOOKUP([jobnumber],OvalData[],MATCH(Table2[[#Headers],[Total Turns]],Table2[#Headers],0),0)</f>
        <v>4.91</v>
      </c>
      <c r="AA268" s="2">
        <f>VLOOKUP([jobnumber],OvalData[],MATCH(Table2[[#Headers],[Grille Vision Section]],Table2[#Headers],0),0)</f>
        <v>0</v>
      </c>
      <c r="AB268" s="2">
        <f>VLOOKUP([jobnumber],OvalData[],MATCH(Table2[[#Headers],[Grille Amount]],Table2[#Headers],0),0)</f>
        <v>0</v>
      </c>
      <c r="AC268" s="2">
        <f>VLOOKUP([jobnumber],OvalData[],MATCH(Table2[[#Headers],[Grille Center]],Table2[#Headers],0),0)</f>
        <v>0</v>
      </c>
      <c r="AD268" s="2">
        <f>VLOOKUP([jobnumber],OvalData[],MATCH(Table2[[#Headers],[Grille Pattern]],Table2[#Headers],0),0)</f>
        <v>0</v>
      </c>
      <c r="AE268" s="2">
        <f>VLOOKUP([jobnumber],OvalData[],MATCH(Table2[[#Headers],[Grille First Tube]],Table2[#Headers],0),0)</f>
        <v>0</v>
      </c>
      <c r="AF268" s="2">
        <f>VLOOKUP([jobnumber],OvalData[],MATCH(Table2[[#Headers],[Grille Standard Tube]],Table2[#Headers],0),0)</f>
        <v>0</v>
      </c>
      <c r="AG268" s="2">
        <f>VLOOKUP([jobnumber],OvalData[],MATCH(Table2[[#Headers],[Grille Total Links]],Table2[#Headers],0),0)</f>
        <v>0</v>
      </c>
      <c r="AH268" s="2">
        <f>VLOOKUP([jobnumber],OvalData[],MATCH(Table2[[#Headers],[Grille Rods]],Table2[#Headers],0),0)</f>
        <v>0</v>
      </c>
      <c r="AI268" s="2">
        <f>VLOOKUP([jobnumber],OvalData[],MATCH(Table2[[#Headers],[Grille Rod Length]],Table2[#Headers],0),0)</f>
        <v>0</v>
      </c>
      <c r="AJ268" s="2">
        <f>VLOOKUP([jobnumber],OvalData[],MATCH(Table2[[#Headers],[slattype]],Table2[#Headers],0),0)</f>
        <v>2</v>
      </c>
      <c r="AK268" s="2">
        <f>VLOOKUP([jobnumber],OvalData[],MATCH(Table2[[#Headers],[slatgage]],Table2[#Headers],0),0)</f>
        <v>18</v>
      </c>
      <c r="AL268" s="2">
        <f>VLOOKUP([jobnumber],OvalData[],MATCH(Table2[[#Headers],[Numer of Top Slats]],Table2[#Headers],0),0)</f>
        <v>0</v>
      </c>
      <c r="AM268" s="2">
        <f>VLOOKUP([jobnumber],OvalData[],MATCH(Table2[[#Headers],[Number of Bottom Slats]],Table2[#Headers],0),0)</f>
        <v>0</v>
      </c>
      <c r="AN268" s="2">
        <f>VLOOKUP([jobnumber],OvalData[],MATCH(Table2[[#Headers],[Solid Bottom Height]],Table2[#Headers],0),0)</f>
        <v>0</v>
      </c>
      <c r="AO268" s="2" t="str">
        <f>VLOOKUP([jobnumber],OvalData[],MATCH(Table2[[#Headers],[slatlength]],Table2[#Headers],0),0)</f>
        <v xml:space="preserve"> 18 ft.- 5 7/ 8"</v>
      </c>
      <c r="AP268" s="2">
        <f>VLOOKUP([jobnumber],OvalData[],MATCH(Table2[[#Headers],[Bottom Slat Length]],Table2[#Headers],0),0)</f>
        <v>0</v>
      </c>
      <c r="AQ268" s="2">
        <f>VLOOKUP([jobnumber],OvalData[],MATCH(Table2[[#Headers],[Number of Perferated Slats]],Table2[#Headers],0),0)</f>
        <v>0</v>
      </c>
      <c r="AR268" s="2">
        <f>VLOOKUP([jobnumber],OvalData[],MATCH(Table2[[#Headers],[First Preferated Slat From End]],Table2[#Headers],0),0)</f>
        <v>0</v>
      </c>
      <c r="AS268" s="2">
        <f>VLOOKUP([jobnumber],OvalData[],MATCH(Table2[[#Headers],[First Preferated Slat From Bottom]],Table2[#Headers],0),0)</f>
        <v>0</v>
      </c>
      <c r="AT268" s="2">
        <f>VLOOKUP([jobnumber],OvalData[],MATCH(Table2[[#Headers],[Total Number of Slats]],Table2[#Headers],0),0)</f>
        <v>51</v>
      </c>
      <c r="AU268" s="2">
        <f>VLOOKUP([jobnumber],OvalData[],MATCH(Table2[[#Headers],[Bottom Bar Slope]],Table2[#Headers],0),0)</f>
        <v>0</v>
      </c>
      <c r="AV268" s="2">
        <f>VLOOKUP([jobnumber],OvalData[],MATCH(Table2[[#Headers],[Bottom Bar Weight]],Table2[#Headers],0),0)</f>
        <v>80.5</v>
      </c>
      <c r="AW268" s="2" t="str">
        <f>VLOOKUP([jobnumber],OvalData[],MATCH(Table2[[#Headers],[Outer Spring Gage]],Table2[#Headers],0),0)</f>
        <v>Null</v>
      </c>
      <c r="AX268" s="2" t="str">
        <f>VLOOKUP([jobnumber],OvalData[],MATCH(Table2[[#Headers],[Outer Spring OD]],Table2[#Headers],0),0)</f>
        <v>Null</v>
      </c>
      <c r="AY268" s="2" t="str">
        <f>VLOOKUP([jobnumber],OvalData[],MATCH(Table2[[#Headers],[Outer Spring Length]],Table2[#Headers],0),0)</f>
        <v>Null</v>
      </c>
      <c r="AZ268" s="2" t="str">
        <f>VLOOKUP([jobnumber],OvalData[],MATCH(Table2[[#Headers],[Outer Spring Stretch]],Table2[#Headers],0),0)</f>
        <v>Null</v>
      </c>
      <c r="BA268" s="2" t="str">
        <f>VLOOKUP([jobnumber],OvalData[],MATCH(Table2[[#Headers],[Outer Spring Torque]],Table2[#Headers],0),0)</f>
        <v>Null</v>
      </c>
      <c r="BB268" s="2" t="str">
        <f>VLOOKUP([jobnumber],OvalData[],MATCH(Table2[[#Headers],[Outer Spring Max Turns]],Table2[#Headers],0),0)</f>
        <v>Null</v>
      </c>
      <c r="BC268" s="2" t="str">
        <f>VLOOKUP([jobnumber],OvalData[],MATCH(Table2[[#Headers],[Outer Spring Weight]],Table2[#Headers],0),0)</f>
        <v>Null</v>
      </c>
      <c r="BD268" s="2" t="str">
        <f>VLOOKUP([jobnumber],OvalData[],MATCH(Table2[[#Headers],[Inner Spring Gage]],Table2[#Headers],0),0)</f>
        <v>Null</v>
      </c>
      <c r="BE268" s="2" t="str">
        <f>VLOOKUP([jobnumber],OvalData[],MATCH(Table2[[#Headers],[Inner Spring OD]],Table2[#Headers],0),0)</f>
        <v>Null</v>
      </c>
      <c r="BF268" s="2" t="str">
        <f>VLOOKUP([jobnumber],OvalData[],MATCH(Table2[[#Headers],[Inner Spring Length]],Table2[#Headers],0),0)</f>
        <v>Null</v>
      </c>
      <c r="BG268" s="2" t="str">
        <f>VLOOKUP([jobnumber],OvalData[],MATCH(Table2[[#Headers],[Inner Spring Stretch]],Table2[#Headers],0),0)</f>
        <v>Null</v>
      </c>
      <c r="BH268" s="2" t="str">
        <f>VLOOKUP([jobnumber],OvalData[],MATCH(Table2[[#Headers],[Inner Spring Torque]],Table2[#Headers],0),0)</f>
        <v>Null</v>
      </c>
      <c r="BI268" s="2" t="str">
        <f>VLOOKUP([jobnumber],OvalData[],MATCH(Table2[[#Headers],[Inner Spring Max Turns]],Table2[#Headers],0),0)</f>
        <v>Null</v>
      </c>
      <c r="BJ268" s="2" t="str">
        <f>VLOOKUP([jobnumber],OvalData[],MATCH(Table2[[#Headers],[Inner Spring Weight]],Table2[#Headers],0),0)</f>
        <v>Null</v>
      </c>
      <c r="BK268" s="2">
        <f>VLOOKUP([jobnumber],OvalData[],MATCH(Table2[[#Headers],[Cycles]],Table2[#Headers],0),0)</f>
        <v>0</v>
      </c>
      <c r="BL268" s="2">
        <f>VLOOKUP([jobnumber],OvalData[],MATCH(Table2[[#Headers],[Total Spring Torque]],Table2[#Headers],0),0)</f>
        <v>0</v>
      </c>
      <c r="BM268" s="2">
        <f>VLOOKUP([jobnumber],OvalData[],MATCH(Table2[[#Headers],[Total Spring Weight]],Table2[#Headers],0),0)</f>
        <v>0</v>
      </c>
      <c r="BN268" s="2">
        <f>VLOOKUP([jobnumber],OvalData[],MATCH(Table2[[#Headers],[Pipe Weight]],Table2[#Headers],0),0)</f>
        <v>688.24239999999998</v>
      </c>
      <c r="BO268" s="2">
        <f>VLOOKUP([jobnumber],OvalData[],MATCH(Table2[[#Headers],[Max Pipe Deflection]],Table2[#Headers],0),0)</f>
        <v>2309</v>
      </c>
      <c r="BP268" s="2">
        <f>VLOOKUP([jobnumber],OvalData[],MATCH(Table2[[#Headers],[Number Non-Insulated Wrap Slats]],Table2[#Headers],0),0)</f>
        <v>0</v>
      </c>
      <c r="BQ268" s="2">
        <f>VLOOKUP([jobnumber],OvalData[],MATCH(Table2[[#Headers],[Number of Insolated Top Slats]],Table2[#Headers],0),0)</f>
        <v>45</v>
      </c>
      <c r="BR268" s="2">
        <f>VLOOKUP([jobnumber],OvalData[],MATCH(Table2[[#Headers],[Insolated Total Slats]],Table2[#Headers],0),0)</f>
        <v>45</v>
      </c>
      <c r="BS268" s="2">
        <f>VLOOKUP([jobnumber],OvalData[],MATCH(Table2[[#Headers],[Number of Slats]],Table2[#Headers],0),0)</f>
        <v>44.69</v>
      </c>
      <c r="BT268" s="2">
        <f>VLOOKUP([jobnumber],OvalData[],MATCH(Table2[[#Headers],[Wrap]],Table2[#Headers],0),0)</f>
        <v>0</v>
      </c>
      <c r="BU268" s="2">
        <f>VLOOKUP([jobnumber],OvalData[],MATCH(Table2[[#Headers],[Wall Angle Thickness]],Table2[#Headers],0),0)</f>
        <v>0</v>
      </c>
      <c r="BV268" s="2">
        <f>VLOOKUP([jobnumber],OvalData[],MATCH(Table2[[#Headers],[windlocks]],Table2[#Headers],0),0)</f>
        <v>0</v>
      </c>
      <c r="BW268" s="2" t="str">
        <f>VLOOKUP([jobnumber],OvalData[],MATCH(Table2[[#Headers],[bottombartype]],Table2[#Headers],0),0)</f>
        <v>SPECIAL</v>
      </c>
      <c r="BX268" s="2">
        <f>VLOOKUP([jobnumber],OvalData[],MATCH(Table2[[#Headers],[endlockweight]],Table2[#Headers],0),0)</f>
        <v>0.17</v>
      </c>
      <c r="BY268" s="2">
        <f>VLOOKUP([jobnumber],OvalData[],MATCH(Table2[[#Headers],[Endlock Total Weight]],Table2[#Headers],0),0)</f>
        <v>7.5972999999999997</v>
      </c>
      <c r="BZ268" s="2">
        <f>VLOOKUP([jobnumber],OvalData[],MATCH(Table2[[#Headers],[Grille Weight]],Table2[#Headers],0),0)</f>
        <v>0</v>
      </c>
      <c r="CA268" s="2">
        <f>VLOOKUP([jobnumber],OvalData[],MATCH(Table2[[#Headers],[barrelrings]],Table2[#Headers],0),0)</f>
        <v>1</v>
      </c>
    </row>
    <row r="269" spans="2:79">
      <c r="B269" s="2" t="str">
        <f>VLOOKUP([jobnumber],OvalData[],MATCH(Table2[[#Headers],[Hand]],Table2[#Headers],0),0)</f>
        <v>RH</v>
      </c>
      <c r="C269" s="2" t="str">
        <f>VLOOKUP([jobnumber],OvalData[],MATCH(Table2[[#Headers],[Model]],Table2[#Headers],0),0)</f>
        <v>SFMPP</v>
      </c>
      <c r="D269" s="2" t="str">
        <f>VLOOKUP([jobnumber],OvalData[],MATCH(Table2[[#Headers],[width]],Table2[#Headers],0),0)</f>
        <v xml:space="preserve"> 18 ft.- 2"</v>
      </c>
      <c r="E269" s="2" t="str">
        <f>VLOOKUP([jobnumber],OvalData[],MATCH(Table2[[#Headers],[stopheight]],Table2[#Headers],0),0)</f>
        <v xml:space="preserve"> 10 ft.- 0"</v>
      </c>
      <c r="F269" s="2" t="str">
        <f>VLOOKUP([jobnumber],OvalData[],MATCH(Table2[[#Headers],[Between Brackets]],Table2[#Headers],0),0)</f>
        <v xml:space="preserve"> 18 ft.- 7 7/ 8"</v>
      </c>
      <c r="G269" s="2" t="str">
        <f>VLOOKUP([jobnumber],OvalData[],MATCH(Table2[[#Headers],[shell]],Table2[#Headers],0),0)</f>
        <v>6 INCH TUBE</v>
      </c>
      <c r="H269" s="2" t="str">
        <f>VLOOKUP([jobnumber],OvalData[],MATCH(Table2[[#Headers],[pipewidth]],Table2[#Headers],0),0)</f>
        <v xml:space="preserve"> 18 ft.- 1 3/ 8"</v>
      </c>
      <c r="I269" s="2">
        <f>VLOOKUP([jobnumber],OvalData[],MATCH(Table2[[#Headers],[Support Tubes]],Table2[#Headers],0),0)</f>
        <v>0</v>
      </c>
      <c r="J269" s="2">
        <f>VLOOKUP([jobnumber],OvalData[],MATCH(Table2[[#Headers],[Upset]],Table2[#Headers],0),0)</f>
        <v>2</v>
      </c>
      <c r="K269" s="2" t="str">
        <f>VLOOKUP([jobnumber],OvalData[],MATCH(Table2[[#Headers],[Guide Type]],Table2[#Headers],0),0)</f>
        <v>SN2-4 5/8-E</v>
      </c>
      <c r="L269" s="2" t="str">
        <f>VLOOKUP([jobnumber],OvalData[],MATCH(Table2[[#Headers],[Wall Angle]],Table2[#Headers],0),0)</f>
        <v xml:space="preserve"> 11 ft.- 8"</v>
      </c>
      <c r="M269" s="2" t="str">
        <f>VLOOKUP([jobnumber],OvalData[],MATCH(Table2[[#Headers],[Middle Angle]],Table2[#Headers],0),0)</f>
        <v xml:space="preserve"> 10 ft.- 4 1/ 2"</v>
      </c>
      <c r="N269" s="2" t="str">
        <f>VLOOKUP([jobnumber],OvalData[],MATCH(Table2[[#Headers],[Front Angle]],Table2[#Headers],0),0)</f>
        <v xml:space="preserve"> 10 ft.- 3"</v>
      </c>
      <c r="O269" s="2">
        <f>VLOOKUP([jobnumber],OvalData[],MATCH(Table2[[#Headers],[Pipe Center Line]],Table2[#Headers],0),0)</f>
        <v>131</v>
      </c>
      <c r="P269" s="2">
        <f>VLOOKUP([jobnumber],OvalData[],MATCH(Table2[[#Headers],[Heat Expansion Gap]],Table2[#Headers],0),0)</f>
        <v>0</v>
      </c>
      <c r="Q269" s="2">
        <f>VLOOKUP([jobnumber],OvalData[],MATCH(Table2[[#Headers],[Hanging Weight Closed]],Table2[#Headers],0),0)</f>
        <v>795</v>
      </c>
      <c r="R269" s="2">
        <f>VLOOKUP([jobnumber],OvalData[],MATCH(Table2[[#Headers],[Hanging Weight Open]],Table2[#Headers],0),0)</f>
        <v>140</v>
      </c>
      <c r="S269" s="2">
        <f>VLOOKUP([jobnumber],OvalData[],MATCH(Table2[[#Headers],[Initial Lever Arm]],Table2[#Headers],0),0)</f>
        <v>4.25</v>
      </c>
      <c r="T269" s="2">
        <f>VLOOKUP([jobnumber],OvalData[],MATCH(Table2[[#Headers],[Turns to Raise]],Table2[#Headers],0),0)</f>
        <v>3.5859999999999999</v>
      </c>
      <c r="U269" s="2">
        <f>VLOOKUP([jobnumber],OvalData[],MATCH(Table2[[#Headers],[Final Lever Arm]],Table2[#Headers],0),0)</f>
        <v>6.37</v>
      </c>
      <c r="V269" s="2">
        <f>VLOOKUP([jobnumber],OvalData[],MATCH(Table2[[#Headers],[Torque Required Closed]],Table2[#Headers],0),0)</f>
        <v>3377.9</v>
      </c>
      <c r="W269" s="2">
        <f>VLOOKUP([jobnumber],OvalData[],MATCH(Table2[[#Headers],[Torque Required Open]],Table2[#Headers],0),0)</f>
        <v>892</v>
      </c>
      <c r="X269" s="2">
        <f>VLOOKUP([jobnumber],OvalData[],MATCH(Table2[[#Headers],[Pre Turns]],Table2[#Headers],0),0)</f>
        <v>1.3332999999999999</v>
      </c>
      <c r="Y269" s="2">
        <f>VLOOKUP([jobnumber],OvalData[],MATCH(Table2[[#Headers],[Required Torque Per Turn]],Table2[#Headers],0),0)</f>
        <v>688</v>
      </c>
      <c r="Z269" s="2">
        <f>VLOOKUP([jobnumber],OvalData[],MATCH(Table2[[#Headers],[Total Turns]],Table2[#Headers],0),0)</f>
        <v>4.91</v>
      </c>
      <c r="AA269" s="2">
        <f>VLOOKUP([jobnumber],OvalData[],MATCH(Table2[[#Headers],[Grille Vision Section]],Table2[#Headers],0),0)</f>
        <v>0</v>
      </c>
      <c r="AB269" s="2">
        <f>VLOOKUP([jobnumber],OvalData[],MATCH(Table2[[#Headers],[Grille Amount]],Table2[#Headers],0),0)</f>
        <v>0</v>
      </c>
      <c r="AC269" s="2">
        <f>VLOOKUP([jobnumber],OvalData[],MATCH(Table2[[#Headers],[Grille Center]],Table2[#Headers],0),0)</f>
        <v>0</v>
      </c>
      <c r="AD269" s="2">
        <f>VLOOKUP([jobnumber],OvalData[],MATCH(Table2[[#Headers],[Grille Pattern]],Table2[#Headers],0),0)</f>
        <v>0</v>
      </c>
      <c r="AE269" s="2">
        <f>VLOOKUP([jobnumber],OvalData[],MATCH(Table2[[#Headers],[Grille First Tube]],Table2[#Headers],0),0)</f>
        <v>0</v>
      </c>
      <c r="AF269" s="2">
        <f>VLOOKUP([jobnumber],OvalData[],MATCH(Table2[[#Headers],[Grille Standard Tube]],Table2[#Headers],0),0)</f>
        <v>0</v>
      </c>
      <c r="AG269" s="2">
        <f>VLOOKUP([jobnumber],OvalData[],MATCH(Table2[[#Headers],[Grille Total Links]],Table2[#Headers],0),0)</f>
        <v>0</v>
      </c>
      <c r="AH269" s="2">
        <f>VLOOKUP([jobnumber],OvalData[],MATCH(Table2[[#Headers],[Grille Rods]],Table2[#Headers],0),0)</f>
        <v>0</v>
      </c>
      <c r="AI269" s="2">
        <f>VLOOKUP([jobnumber],OvalData[],MATCH(Table2[[#Headers],[Grille Rod Length]],Table2[#Headers],0),0)</f>
        <v>0</v>
      </c>
      <c r="AJ269" s="2">
        <f>VLOOKUP([jobnumber],OvalData[],MATCH(Table2[[#Headers],[slattype]],Table2[#Headers],0),0)</f>
        <v>2</v>
      </c>
      <c r="AK269" s="2">
        <f>VLOOKUP([jobnumber],OvalData[],MATCH(Table2[[#Headers],[slatgage]],Table2[#Headers],0),0)</f>
        <v>18</v>
      </c>
      <c r="AL269" s="2">
        <f>VLOOKUP([jobnumber],OvalData[],MATCH(Table2[[#Headers],[Numer of Top Slats]],Table2[#Headers],0),0)</f>
        <v>0</v>
      </c>
      <c r="AM269" s="2">
        <f>VLOOKUP([jobnumber],OvalData[],MATCH(Table2[[#Headers],[Number of Bottom Slats]],Table2[#Headers],0),0)</f>
        <v>0</v>
      </c>
      <c r="AN269" s="2">
        <f>VLOOKUP([jobnumber],OvalData[],MATCH(Table2[[#Headers],[Solid Bottom Height]],Table2[#Headers],0),0)</f>
        <v>0</v>
      </c>
      <c r="AO269" s="2" t="str">
        <f>VLOOKUP([jobnumber],OvalData[],MATCH(Table2[[#Headers],[slatlength]],Table2[#Headers],0),0)</f>
        <v xml:space="preserve"> 18 ft.- 5 7/ 8"</v>
      </c>
      <c r="AP269" s="2">
        <f>VLOOKUP([jobnumber],OvalData[],MATCH(Table2[[#Headers],[Bottom Slat Length]],Table2[#Headers],0),0)</f>
        <v>0</v>
      </c>
      <c r="AQ269" s="2">
        <f>VLOOKUP([jobnumber],OvalData[],MATCH(Table2[[#Headers],[Number of Perferated Slats]],Table2[#Headers],0),0)</f>
        <v>0</v>
      </c>
      <c r="AR269" s="2">
        <f>VLOOKUP([jobnumber],OvalData[],MATCH(Table2[[#Headers],[First Preferated Slat From End]],Table2[#Headers],0),0)</f>
        <v>0</v>
      </c>
      <c r="AS269" s="2">
        <f>VLOOKUP([jobnumber],OvalData[],MATCH(Table2[[#Headers],[First Preferated Slat From Bottom]],Table2[#Headers],0),0)</f>
        <v>0</v>
      </c>
      <c r="AT269" s="2">
        <f>VLOOKUP([jobnumber],OvalData[],MATCH(Table2[[#Headers],[Total Number of Slats]],Table2[#Headers],0),0)</f>
        <v>51</v>
      </c>
      <c r="AU269" s="2">
        <f>VLOOKUP([jobnumber],OvalData[],MATCH(Table2[[#Headers],[Bottom Bar Slope]],Table2[#Headers],0),0)</f>
        <v>0</v>
      </c>
      <c r="AV269" s="2">
        <f>VLOOKUP([jobnumber],OvalData[],MATCH(Table2[[#Headers],[Bottom Bar Weight]],Table2[#Headers],0),0)</f>
        <v>80.5</v>
      </c>
      <c r="AW269" s="2" t="str">
        <f>VLOOKUP([jobnumber],OvalData[],MATCH(Table2[[#Headers],[Outer Spring Gage]],Table2[#Headers],0),0)</f>
        <v>Null</v>
      </c>
      <c r="AX269" s="2" t="str">
        <f>VLOOKUP([jobnumber],OvalData[],MATCH(Table2[[#Headers],[Outer Spring OD]],Table2[#Headers],0),0)</f>
        <v>Null</v>
      </c>
      <c r="AY269" s="2" t="str">
        <f>VLOOKUP([jobnumber],OvalData[],MATCH(Table2[[#Headers],[Outer Spring Length]],Table2[#Headers],0),0)</f>
        <v>Null</v>
      </c>
      <c r="AZ269" s="2" t="str">
        <f>VLOOKUP([jobnumber],OvalData[],MATCH(Table2[[#Headers],[Outer Spring Stretch]],Table2[#Headers],0),0)</f>
        <v>Null</v>
      </c>
      <c r="BA269" s="2" t="str">
        <f>VLOOKUP([jobnumber],OvalData[],MATCH(Table2[[#Headers],[Outer Spring Torque]],Table2[#Headers],0),0)</f>
        <v>Null</v>
      </c>
      <c r="BB269" s="2" t="str">
        <f>VLOOKUP([jobnumber],OvalData[],MATCH(Table2[[#Headers],[Outer Spring Max Turns]],Table2[#Headers],0),0)</f>
        <v>Null</v>
      </c>
      <c r="BC269" s="2" t="str">
        <f>VLOOKUP([jobnumber],OvalData[],MATCH(Table2[[#Headers],[Outer Spring Weight]],Table2[#Headers],0),0)</f>
        <v>Null</v>
      </c>
      <c r="BD269" s="2" t="str">
        <f>VLOOKUP([jobnumber],OvalData[],MATCH(Table2[[#Headers],[Inner Spring Gage]],Table2[#Headers],0),0)</f>
        <v>Null</v>
      </c>
      <c r="BE269" s="2" t="str">
        <f>VLOOKUP([jobnumber],OvalData[],MATCH(Table2[[#Headers],[Inner Spring OD]],Table2[#Headers],0),0)</f>
        <v>Null</v>
      </c>
      <c r="BF269" s="2" t="str">
        <f>VLOOKUP([jobnumber],OvalData[],MATCH(Table2[[#Headers],[Inner Spring Length]],Table2[#Headers],0),0)</f>
        <v>Null</v>
      </c>
      <c r="BG269" s="2" t="str">
        <f>VLOOKUP([jobnumber],OvalData[],MATCH(Table2[[#Headers],[Inner Spring Stretch]],Table2[#Headers],0),0)</f>
        <v>Null</v>
      </c>
      <c r="BH269" s="2" t="str">
        <f>VLOOKUP([jobnumber],OvalData[],MATCH(Table2[[#Headers],[Inner Spring Torque]],Table2[#Headers],0),0)</f>
        <v>Null</v>
      </c>
      <c r="BI269" s="2" t="str">
        <f>VLOOKUP([jobnumber],OvalData[],MATCH(Table2[[#Headers],[Inner Spring Max Turns]],Table2[#Headers],0),0)</f>
        <v>Null</v>
      </c>
      <c r="BJ269" s="2" t="str">
        <f>VLOOKUP([jobnumber],OvalData[],MATCH(Table2[[#Headers],[Inner Spring Weight]],Table2[#Headers],0),0)</f>
        <v>Null</v>
      </c>
      <c r="BK269" s="2">
        <f>VLOOKUP([jobnumber],OvalData[],MATCH(Table2[[#Headers],[Cycles]],Table2[#Headers],0),0)</f>
        <v>0</v>
      </c>
      <c r="BL269" s="2">
        <f>VLOOKUP([jobnumber],OvalData[],MATCH(Table2[[#Headers],[Total Spring Torque]],Table2[#Headers],0),0)</f>
        <v>0</v>
      </c>
      <c r="BM269" s="2">
        <f>VLOOKUP([jobnumber],OvalData[],MATCH(Table2[[#Headers],[Total Spring Weight]],Table2[#Headers],0),0)</f>
        <v>0</v>
      </c>
      <c r="BN269" s="2">
        <f>VLOOKUP([jobnumber],OvalData[],MATCH(Table2[[#Headers],[Pipe Weight]],Table2[#Headers],0),0)</f>
        <v>688.24239999999998</v>
      </c>
      <c r="BO269" s="2">
        <f>VLOOKUP([jobnumber],OvalData[],MATCH(Table2[[#Headers],[Max Pipe Deflection]],Table2[#Headers],0),0)</f>
        <v>2309</v>
      </c>
      <c r="BP269" s="2">
        <f>VLOOKUP([jobnumber],OvalData[],MATCH(Table2[[#Headers],[Number Non-Insulated Wrap Slats]],Table2[#Headers],0),0)</f>
        <v>0</v>
      </c>
      <c r="BQ269" s="2">
        <f>VLOOKUP([jobnumber],OvalData[],MATCH(Table2[[#Headers],[Number of Insolated Top Slats]],Table2[#Headers],0),0)</f>
        <v>45</v>
      </c>
      <c r="BR269" s="2">
        <f>VLOOKUP([jobnumber],OvalData[],MATCH(Table2[[#Headers],[Insolated Total Slats]],Table2[#Headers],0),0)</f>
        <v>45</v>
      </c>
      <c r="BS269" s="2">
        <f>VLOOKUP([jobnumber],OvalData[],MATCH(Table2[[#Headers],[Number of Slats]],Table2[#Headers],0),0)</f>
        <v>44.69</v>
      </c>
      <c r="BT269" s="2">
        <f>VLOOKUP([jobnumber],OvalData[],MATCH(Table2[[#Headers],[Wrap]],Table2[#Headers],0),0)</f>
        <v>0</v>
      </c>
      <c r="BU269" s="2">
        <f>VLOOKUP([jobnumber],OvalData[],MATCH(Table2[[#Headers],[Wall Angle Thickness]],Table2[#Headers],0),0)</f>
        <v>0</v>
      </c>
      <c r="BV269" s="2">
        <f>VLOOKUP([jobnumber],OvalData[],MATCH(Table2[[#Headers],[windlocks]],Table2[#Headers],0),0)</f>
        <v>0</v>
      </c>
      <c r="BW269" s="2" t="str">
        <f>VLOOKUP([jobnumber],OvalData[],MATCH(Table2[[#Headers],[bottombartype]],Table2[#Headers],0),0)</f>
        <v>SPECIAL</v>
      </c>
      <c r="BX269" s="2">
        <f>VLOOKUP([jobnumber],OvalData[],MATCH(Table2[[#Headers],[endlockweight]],Table2[#Headers],0),0)</f>
        <v>0.17</v>
      </c>
      <c r="BY269" s="2">
        <f>VLOOKUP([jobnumber],OvalData[],MATCH(Table2[[#Headers],[Endlock Total Weight]],Table2[#Headers],0),0)</f>
        <v>7.5972999999999997</v>
      </c>
      <c r="BZ269" s="2">
        <f>VLOOKUP([jobnumber],OvalData[],MATCH(Table2[[#Headers],[Grille Weight]],Table2[#Headers],0),0)</f>
        <v>0</v>
      </c>
      <c r="CA269" s="2">
        <f>VLOOKUP([jobnumber],OvalData[],MATCH(Table2[[#Headers],[barrelrings]],Table2[#Headers],0),0)</f>
        <v>1</v>
      </c>
    </row>
    <row r="270" spans="2:79">
      <c r="B270" s="2" t="str">
        <f>VLOOKUP([jobnumber],OvalData[],MATCH(Table2[[#Headers],[Hand]],Table2[#Headers],0),0)</f>
        <v>RH</v>
      </c>
      <c r="C270" s="2" t="str">
        <f>VLOOKUP([jobnumber],OvalData[],MATCH(Table2[[#Headers],[Model]],Table2[#Headers],0),0)</f>
        <v>SFMPP</v>
      </c>
      <c r="D270" s="2" t="str">
        <f>VLOOKUP([jobnumber],OvalData[],MATCH(Table2[[#Headers],[width]],Table2[#Headers],0),0)</f>
        <v xml:space="preserve"> 18 ft.- 2"</v>
      </c>
      <c r="E270" s="2" t="str">
        <f>VLOOKUP([jobnumber],OvalData[],MATCH(Table2[[#Headers],[stopheight]],Table2[#Headers],0),0)</f>
        <v xml:space="preserve"> 10 ft.- 0"</v>
      </c>
      <c r="F270" s="2" t="str">
        <f>VLOOKUP([jobnumber],OvalData[],MATCH(Table2[[#Headers],[Between Brackets]],Table2[#Headers],0),0)</f>
        <v xml:space="preserve"> 18 ft.- 7 7/ 8"</v>
      </c>
      <c r="G270" s="2" t="str">
        <f>VLOOKUP([jobnumber],OvalData[],MATCH(Table2[[#Headers],[shell]],Table2[#Headers],0),0)</f>
        <v>6 INCH TUBE</v>
      </c>
      <c r="H270" s="2" t="str">
        <f>VLOOKUP([jobnumber],OvalData[],MATCH(Table2[[#Headers],[pipewidth]],Table2[#Headers],0),0)</f>
        <v xml:space="preserve"> 18 ft.- 1 3/ 8"</v>
      </c>
      <c r="I270" s="2">
        <f>VLOOKUP([jobnumber],OvalData[],MATCH(Table2[[#Headers],[Support Tubes]],Table2[#Headers],0),0)</f>
        <v>0</v>
      </c>
      <c r="J270" s="2">
        <f>VLOOKUP([jobnumber],OvalData[],MATCH(Table2[[#Headers],[Upset]],Table2[#Headers],0),0)</f>
        <v>2</v>
      </c>
      <c r="K270" s="2" t="str">
        <f>VLOOKUP([jobnumber],OvalData[],MATCH(Table2[[#Headers],[Guide Type]],Table2[#Headers],0),0)</f>
        <v>SN2-4 5/8-E</v>
      </c>
      <c r="L270" s="2" t="str">
        <f>VLOOKUP([jobnumber],OvalData[],MATCH(Table2[[#Headers],[Wall Angle]],Table2[#Headers],0),0)</f>
        <v xml:space="preserve"> 11 ft.- 8"</v>
      </c>
      <c r="M270" s="2" t="str">
        <f>VLOOKUP([jobnumber],OvalData[],MATCH(Table2[[#Headers],[Middle Angle]],Table2[#Headers],0),0)</f>
        <v xml:space="preserve"> 10 ft.- 4 1/ 2"</v>
      </c>
      <c r="N270" s="2" t="str">
        <f>VLOOKUP([jobnumber],OvalData[],MATCH(Table2[[#Headers],[Front Angle]],Table2[#Headers],0),0)</f>
        <v xml:space="preserve"> 10 ft.- 3"</v>
      </c>
      <c r="O270" s="2">
        <f>VLOOKUP([jobnumber],OvalData[],MATCH(Table2[[#Headers],[Pipe Center Line]],Table2[#Headers],0),0)</f>
        <v>131</v>
      </c>
      <c r="P270" s="2">
        <f>VLOOKUP([jobnumber],OvalData[],MATCH(Table2[[#Headers],[Heat Expansion Gap]],Table2[#Headers],0),0)</f>
        <v>0</v>
      </c>
      <c r="Q270" s="2">
        <f>VLOOKUP([jobnumber],OvalData[],MATCH(Table2[[#Headers],[Hanging Weight Closed]],Table2[#Headers],0),0)</f>
        <v>795</v>
      </c>
      <c r="R270" s="2">
        <f>VLOOKUP([jobnumber],OvalData[],MATCH(Table2[[#Headers],[Hanging Weight Open]],Table2[#Headers],0),0)</f>
        <v>140</v>
      </c>
      <c r="S270" s="2">
        <f>VLOOKUP([jobnumber],OvalData[],MATCH(Table2[[#Headers],[Initial Lever Arm]],Table2[#Headers],0),0)</f>
        <v>4.25</v>
      </c>
      <c r="T270" s="2">
        <f>VLOOKUP([jobnumber],OvalData[],MATCH(Table2[[#Headers],[Turns to Raise]],Table2[#Headers],0),0)</f>
        <v>3.5859999999999999</v>
      </c>
      <c r="U270" s="2">
        <f>VLOOKUP([jobnumber],OvalData[],MATCH(Table2[[#Headers],[Final Lever Arm]],Table2[#Headers],0),0)</f>
        <v>6.37</v>
      </c>
      <c r="V270" s="2">
        <f>VLOOKUP([jobnumber],OvalData[],MATCH(Table2[[#Headers],[Torque Required Closed]],Table2[#Headers],0),0)</f>
        <v>3377.9</v>
      </c>
      <c r="W270" s="2">
        <f>VLOOKUP([jobnumber],OvalData[],MATCH(Table2[[#Headers],[Torque Required Open]],Table2[#Headers],0),0)</f>
        <v>892</v>
      </c>
      <c r="X270" s="2">
        <f>VLOOKUP([jobnumber],OvalData[],MATCH(Table2[[#Headers],[Pre Turns]],Table2[#Headers],0),0)</f>
        <v>1.3332999999999999</v>
      </c>
      <c r="Y270" s="2">
        <f>VLOOKUP([jobnumber],OvalData[],MATCH(Table2[[#Headers],[Required Torque Per Turn]],Table2[#Headers],0),0)</f>
        <v>688</v>
      </c>
      <c r="Z270" s="2">
        <f>VLOOKUP([jobnumber],OvalData[],MATCH(Table2[[#Headers],[Total Turns]],Table2[#Headers],0),0)</f>
        <v>4.91</v>
      </c>
      <c r="AA270" s="2">
        <f>VLOOKUP([jobnumber],OvalData[],MATCH(Table2[[#Headers],[Grille Vision Section]],Table2[#Headers],0),0)</f>
        <v>0</v>
      </c>
      <c r="AB270" s="2">
        <f>VLOOKUP([jobnumber],OvalData[],MATCH(Table2[[#Headers],[Grille Amount]],Table2[#Headers],0),0)</f>
        <v>0</v>
      </c>
      <c r="AC270" s="2">
        <f>VLOOKUP([jobnumber],OvalData[],MATCH(Table2[[#Headers],[Grille Center]],Table2[#Headers],0),0)</f>
        <v>0</v>
      </c>
      <c r="AD270" s="2">
        <f>VLOOKUP([jobnumber],OvalData[],MATCH(Table2[[#Headers],[Grille Pattern]],Table2[#Headers],0),0)</f>
        <v>0</v>
      </c>
      <c r="AE270" s="2">
        <f>VLOOKUP([jobnumber],OvalData[],MATCH(Table2[[#Headers],[Grille First Tube]],Table2[#Headers],0),0)</f>
        <v>0</v>
      </c>
      <c r="AF270" s="2">
        <f>VLOOKUP([jobnumber],OvalData[],MATCH(Table2[[#Headers],[Grille Standard Tube]],Table2[#Headers],0),0)</f>
        <v>0</v>
      </c>
      <c r="AG270" s="2">
        <f>VLOOKUP([jobnumber],OvalData[],MATCH(Table2[[#Headers],[Grille Total Links]],Table2[#Headers],0),0)</f>
        <v>0</v>
      </c>
      <c r="AH270" s="2">
        <f>VLOOKUP([jobnumber],OvalData[],MATCH(Table2[[#Headers],[Grille Rods]],Table2[#Headers],0),0)</f>
        <v>0</v>
      </c>
      <c r="AI270" s="2">
        <f>VLOOKUP([jobnumber],OvalData[],MATCH(Table2[[#Headers],[Grille Rod Length]],Table2[#Headers],0),0)</f>
        <v>0</v>
      </c>
      <c r="AJ270" s="2">
        <f>VLOOKUP([jobnumber],OvalData[],MATCH(Table2[[#Headers],[slattype]],Table2[#Headers],0),0)</f>
        <v>2</v>
      </c>
      <c r="AK270" s="2">
        <f>VLOOKUP([jobnumber],OvalData[],MATCH(Table2[[#Headers],[slatgage]],Table2[#Headers],0),0)</f>
        <v>18</v>
      </c>
      <c r="AL270" s="2">
        <f>VLOOKUP([jobnumber],OvalData[],MATCH(Table2[[#Headers],[Numer of Top Slats]],Table2[#Headers],0),0)</f>
        <v>0</v>
      </c>
      <c r="AM270" s="2">
        <f>VLOOKUP([jobnumber],OvalData[],MATCH(Table2[[#Headers],[Number of Bottom Slats]],Table2[#Headers],0),0)</f>
        <v>0</v>
      </c>
      <c r="AN270" s="2">
        <f>VLOOKUP([jobnumber],OvalData[],MATCH(Table2[[#Headers],[Solid Bottom Height]],Table2[#Headers],0),0)</f>
        <v>0</v>
      </c>
      <c r="AO270" s="2" t="str">
        <f>VLOOKUP([jobnumber],OvalData[],MATCH(Table2[[#Headers],[slatlength]],Table2[#Headers],0),0)</f>
        <v xml:space="preserve"> 18 ft.- 5 7/ 8"</v>
      </c>
      <c r="AP270" s="2">
        <f>VLOOKUP([jobnumber],OvalData[],MATCH(Table2[[#Headers],[Bottom Slat Length]],Table2[#Headers],0),0)</f>
        <v>0</v>
      </c>
      <c r="AQ270" s="2">
        <f>VLOOKUP([jobnumber],OvalData[],MATCH(Table2[[#Headers],[Number of Perferated Slats]],Table2[#Headers],0),0)</f>
        <v>0</v>
      </c>
      <c r="AR270" s="2">
        <f>VLOOKUP([jobnumber],OvalData[],MATCH(Table2[[#Headers],[First Preferated Slat From End]],Table2[#Headers],0),0)</f>
        <v>0</v>
      </c>
      <c r="AS270" s="2">
        <f>VLOOKUP([jobnumber],OvalData[],MATCH(Table2[[#Headers],[First Preferated Slat From Bottom]],Table2[#Headers],0),0)</f>
        <v>0</v>
      </c>
      <c r="AT270" s="2">
        <f>VLOOKUP([jobnumber],OvalData[],MATCH(Table2[[#Headers],[Total Number of Slats]],Table2[#Headers],0),0)</f>
        <v>51</v>
      </c>
      <c r="AU270" s="2">
        <f>VLOOKUP([jobnumber],OvalData[],MATCH(Table2[[#Headers],[Bottom Bar Slope]],Table2[#Headers],0),0)</f>
        <v>0</v>
      </c>
      <c r="AV270" s="2">
        <f>VLOOKUP([jobnumber],OvalData[],MATCH(Table2[[#Headers],[Bottom Bar Weight]],Table2[#Headers],0),0)</f>
        <v>80.5</v>
      </c>
      <c r="AW270" s="2" t="str">
        <f>VLOOKUP([jobnumber],OvalData[],MATCH(Table2[[#Headers],[Outer Spring Gage]],Table2[#Headers],0),0)</f>
        <v>Null</v>
      </c>
      <c r="AX270" s="2" t="str">
        <f>VLOOKUP([jobnumber],OvalData[],MATCH(Table2[[#Headers],[Outer Spring OD]],Table2[#Headers],0),0)</f>
        <v>Null</v>
      </c>
      <c r="AY270" s="2" t="str">
        <f>VLOOKUP([jobnumber],OvalData[],MATCH(Table2[[#Headers],[Outer Spring Length]],Table2[#Headers],0),0)</f>
        <v>Null</v>
      </c>
      <c r="AZ270" s="2" t="str">
        <f>VLOOKUP([jobnumber],OvalData[],MATCH(Table2[[#Headers],[Outer Spring Stretch]],Table2[#Headers],0),0)</f>
        <v>Null</v>
      </c>
      <c r="BA270" s="2" t="str">
        <f>VLOOKUP([jobnumber],OvalData[],MATCH(Table2[[#Headers],[Outer Spring Torque]],Table2[#Headers],0),0)</f>
        <v>Null</v>
      </c>
      <c r="BB270" s="2" t="str">
        <f>VLOOKUP([jobnumber],OvalData[],MATCH(Table2[[#Headers],[Outer Spring Max Turns]],Table2[#Headers],0),0)</f>
        <v>Null</v>
      </c>
      <c r="BC270" s="2" t="str">
        <f>VLOOKUP([jobnumber],OvalData[],MATCH(Table2[[#Headers],[Outer Spring Weight]],Table2[#Headers],0),0)</f>
        <v>Null</v>
      </c>
      <c r="BD270" s="2" t="str">
        <f>VLOOKUP([jobnumber],OvalData[],MATCH(Table2[[#Headers],[Inner Spring Gage]],Table2[#Headers],0),0)</f>
        <v>Null</v>
      </c>
      <c r="BE270" s="2" t="str">
        <f>VLOOKUP([jobnumber],OvalData[],MATCH(Table2[[#Headers],[Inner Spring OD]],Table2[#Headers],0),0)</f>
        <v>Null</v>
      </c>
      <c r="BF270" s="2" t="str">
        <f>VLOOKUP([jobnumber],OvalData[],MATCH(Table2[[#Headers],[Inner Spring Length]],Table2[#Headers],0),0)</f>
        <v>Null</v>
      </c>
      <c r="BG270" s="2" t="str">
        <f>VLOOKUP([jobnumber],OvalData[],MATCH(Table2[[#Headers],[Inner Spring Stretch]],Table2[#Headers],0),0)</f>
        <v>Null</v>
      </c>
      <c r="BH270" s="2" t="str">
        <f>VLOOKUP([jobnumber],OvalData[],MATCH(Table2[[#Headers],[Inner Spring Torque]],Table2[#Headers],0),0)</f>
        <v>Null</v>
      </c>
      <c r="BI270" s="2" t="str">
        <f>VLOOKUP([jobnumber],OvalData[],MATCH(Table2[[#Headers],[Inner Spring Max Turns]],Table2[#Headers],0),0)</f>
        <v>Null</v>
      </c>
      <c r="BJ270" s="2" t="str">
        <f>VLOOKUP([jobnumber],OvalData[],MATCH(Table2[[#Headers],[Inner Spring Weight]],Table2[#Headers],0),0)</f>
        <v>Null</v>
      </c>
      <c r="BK270" s="2">
        <f>VLOOKUP([jobnumber],OvalData[],MATCH(Table2[[#Headers],[Cycles]],Table2[#Headers],0),0)</f>
        <v>0</v>
      </c>
      <c r="BL270" s="2">
        <f>VLOOKUP([jobnumber],OvalData[],MATCH(Table2[[#Headers],[Total Spring Torque]],Table2[#Headers],0),0)</f>
        <v>0</v>
      </c>
      <c r="BM270" s="2">
        <f>VLOOKUP([jobnumber],OvalData[],MATCH(Table2[[#Headers],[Total Spring Weight]],Table2[#Headers],0),0)</f>
        <v>0</v>
      </c>
      <c r="BN270" s="2">
        <f>VLOOKUP([jobnumber],OvalData[],MATCH(Table2[[#Headers],[Pipe Weight]],Table2[#Headers],0),0)</f>
        <v>688.24239999999998</v>
      </c>
      <c r="BO270" s="2">
        <f>VLOOKUP([jobnumber],OvalData[],MATCH(Table2[[#Headers],[Max Pipe Deflection]],Table2[#Headers],0),0)</f>
        <v>2309</v>
      </c>
      <c r="BP270" s="2">
        <f>VLOOKUP([jobnumber],OvalData[],MATCH(Table2[[#Headers],[Number Non-Insulated Wrap Slats]],Table2[#Headers],0),0)</f>
        <v>0</v>
      </c>
      <c r="BQ270" s="2">
        <f>VLOOKUP([jobnumber],OvalData[],MATCH(Table2[[#Headers],[Number of Insolated Top Slats]],Table2[#Headers],0),0)</f>
        <v>45</v>
      </c>
      <c r="BR270" s="2">
        <f>VLOOKUP([jobnumber],OvalData[],MATCH(Table2[[#Headers],[Insolated Total Slats]],Table2[#Headers],0),0)</f>
        <v>45</v>
      </c>
      <c r="BS270" s="2">
        <f>VLOOKUP([jobnumber],OvalData[],MATCH(Table2[[#Headers],[Number of Slats]],Table2[#Headers],0),0)</f>
        <v>44.69</v>
      </c>
      <c r="BT270" s="2">
        <f>VLOOKUP([jobnumber],OvalData[],MATCH(Table2[[#Headers],[Wrap]],Table2[#Headers],0),0)</f>
        <v>0</v>
      </c>
      <c r="BU270" s="2">
        <f>VLOOKUP([jobnumber],OvalData[],MATCH(Table2[[#Headers],[Wall Angle Thickness]],Table2[#Headers],0),0)</f>
        <v>0</v>
      </c>
      <c r="BV270" s="2">
        <f>VLOOKUP([jobnumber],OvalData[],MATCH(Table2[[#Headers],[windlocks]],Table2[#Headers],0),0)</f>
        <v>0</v>
      </c>
      <c r="BW270" s="2" t="str">
        <f>VLOOKUP([jobnumber],OvalData[],MATCH(Table2[[#Headers],[bottombartype]],Table2[#Headers],0),0)</f>
        <v>SPECIAL</v>
      </c>
      <c r="BX270" s="2">
        <f>VLOOKUP([jobnumber],OvalData[],MATCH(Table2[[#Headers],[endlockweight]],Table2[#Headers],0),0)</f>
        <v>0.17</v>
      </c>
      <c r="BY270" s="2">
        <f>VLOOKUP([jobnumber],OvalData[],MATCH(Table2[[#Headers],[Endlock Total Weight]],Table2[#Headers],0),0)</f>
        <v>7.5972999999999997</v>
      </c>
      <c r="BZ270" s="2">
        <f>VLOOKUP([jobnumber],OvalData[],MATCH(Table2[[#Headers],[Grille Weight]],Table2[#Headers],0),0)</f>
        <v>0</v>
      </c>
      <c r="CA270" s="2">
        <f>VLOOKUP([jobnumber],OvalData[],MATCH(Table2[[#Headers],[barrelrings]],Table2[#Headers],0),0)</f>
        <v>1</v>
      </c>
    </row>
    <row r="271" spans="2:79">
      <c r="B271" s="2" t="str">
        <f>VLOOKUP([jobnumber],OvalData[],MATCH(Table2[[#Headers],[Hand]],Table2[#Headers],0),0)</f>
        <v>RH</v>
      </c>
      <c r="C271" s="2" t="str">
        <f>VLOOKUP([jobnumber],OvalData[],MATCH(Table2[[#Headers],[Model]],Table2[#Headers],0),0)</f>
        <v>SFMPP</v>
      </c>
      <c r="D271" s="2" t="str">
        <f>VLOOKUP([jobnumber],OvalData[],MATCH(Table2[[#Headers],[width]],Table2[#Headers],0),0)</f>
        <v xml:space="preserve"> 18 ft.- 2"</v>
      </c>
      <c r="E271" s="2" t="str">
        <f>VLOOKUP([jobnumber],OvalData[],MATCH(Table2[[#Headers],[stopheight]],Table2[#Headers],0),0)</f>
        <v xml:space="preserve"> 10 ft.- 0"</v>
      </c>
      <c r="F271" s="2" t="str">
        <f>VLOOKUP([jobnumber],OvalData[],MATCH(Table2[[#Headers],[Between Brackets]],Table2[#Headers],0),0)</f>
        <v xml:space="preserve"> 18 ft.- 7 7/ 8"</v>
      </c>
      <c r="G271" s="2" t="str">
        <f>VLOOKUP([jobnumber],OvalData[],MATCH(Table2[[#Headers],[shell]],Table2[#Headers],0),0)</f>
        <v>6 INCH TUBE</v>
      </c>
      <c r="H271" s="2" t="str">
        <f>VLOOKUP([jobnumber],OvalData[],MATCH(Table2[[#Headers],[pipewidth]],Table2[#Headers],0),0)</f>
        <v xml:space="preserve"> 18 ft.- 1 3/ 8"</v>
      </c>
      <c r="I271" s="2">
        <f>VLOOKUP([jobnumber],OvalData[],MATCH(Table2[[#Headers],[Support Tubes]],Table2[#Headers],0),0)</f>
        <v>0</v>
      </c>
      <c r="J271" s="2">
        <f>VLOOKUP([jobnumber],OvalData[],MATCH(Table2[[#Headers],[Upset]],Table2[#Headers],0),0)</f>
        <v>2</v>
      </c>
      <c r="K271" s="2" t="str">
        <f>VLOOKUP([jobnumber],OvalData[],MATCH(Table2[[#Headers],[Guide Type]],Table2[#Headers],0),0)</f>
        <v>SN2-4 5/8-E</v>
      </c>
      <c r="L271" s="2" t="str">
        <f>VLOOKUP([jobnumber],OvalData[],MATCH(Table2[[#Headers],[Wall Angle]],Table2[#Headers],0),0)</f>
        <v xml:space="preserve"> 11 ft.- 8"</v>
      </c>
      <c r="M271" s="2" t="str">
        <f>VLOOKUP([jobnumber],OvalData[],MATCH(Table2[[#Headers],[Middle Angle]],Table2[#Headers],0),0)</f>
        <v xml:space="preserve"> 10 ft.- 4 1/ 2"</v>
      </c>
      <c r="N271" s="2" t="str">
        <f>VLOOKUP([jobnumber],OvalData[],MATCH(Table2[[#Headers],[Front Angle]],Table2[#Headers],0),0)</f>
        <v xml:space="preserve"> 10 ft.- 3"</v>
      </c>
      <c r="O271" s="2">
        <f>VLOOKUP([jobnumber],OvalData[],MATCH(Table2[[#Headers],[Pipe Center Line]],Table2[#Headers],0),0)</f>
        <v>131</v>
      </c>
      <c r="P271" s="2">
        <f>VLOOKUP([jobnumber],OvalData[],MATCH(Table2[[#Headers],[Heat Expansion Gap]],Table2[#Headers],0),0)</f>
        <v>0</v>
      </c>
      <c r="Q271" s="2">
        <f>VLOOKUP([jobnumber],OvalData[],MATCH(Table2[[#Headers],[Hanging Weight Closed]],Table2[#Headers],0),0)</f>
        <v>795</v>
      </c>
      <c r="R271" s="2">
        <f>VLOOKUP([jobnumber],OvalData[],MATCH(Table2[[#Headers],[Hanging Weight Open]],Table2[#Headers],0),0)</f>
        <v>140</v>
      </c>
      <c r="S271" s="2">
        <f>VLOOKUP([jobnumber],OvalData[],MATCH(Table2[[#Headers],[Initial Lever Arm]],Table2[#Headers],0),0)</f>
        <v>4.25</v>
      </c>
      <c r="T271" s="2">
        <f>VLOOKUP([jobnumber],OvalData[],MATCH(Table2[[#Headers],[Turns to Raise]],Table2[#Headers],0),0)</f>
        <v>3.5859999999999999</v>
      </c>
      <c r="U271" s="2">
        <f>VLOOKUP([jobnumber],OvalData[],MATCH(Table2[[#Headers],[Final Lever Arm]],Table2[#Headers],0),0)</f>
        <v>6.37</v>
      </c>
      <c r="V271" s="2">
        <f>VLOOKUP([jobnumber],OvalData[],MATCH(Table2[[#Headers],[Torque Required Closed]],Table2[#Headers],0),0)</f>
        <v>3377.9</v>
      </c>
      <c r="W271" s="2">
        <f>VLOOKUP([jobnumber],OvalData[],MATCH(Table2[[#Headers],[Torque Required Open]],Table2[#Headers],0),0)</f>
        <v>892</v>
      </c>
      <c r="X271" s="2">
        <f>VLOOKUP([jobnumber],OvalData[],MATCH(Table2[[#Headers],[Pre Turns]],Table2[#Headers],0),0)</f>
        <v>1.3332999999999999</v>
      </c>
      <c r="Y271" s="2">
        <f>VLOOKUP([jobnumber],OvalData[],MATCH(Table2[[#Headers],[Required Torque Per Turn]],Table2[#Headers],0),0)</f>
        <v>688</v>
      </c>
      <c r="Z271" s="2">
        <f>VLOOKUP([jobnumber],OvalData[],MATCH(Table2[[#Headers],[Total Turns]],Table2[#Headers],0),0)</f>
        <v>4.91</v>
      </c>
      <c r="AA271" s="2">
        <f>VLOOKUP([jobnumber],OvalData[],MATCH(Table2[[#Headers],[Grille Vision Section]],Table2[#Headers],0),0)</f>
        <v>0</v>
      </c>
      <c r="AB271" s="2">
        <f>VLOOKUP([jobnumber],OvalData[],MATCH(Table2[[#Headers],[Grille Amount]],Table2[#Headers],0),0)</f>
        <v>0</v>
      </c>
      <c r="AC271" s="2">
        <f>VLOOKUP([jobnumber],OvalData[],MATCH(Table2[[#Headers],[Grille Center]],Table2[#Headers],0),0)</f>
        <v>0</v>
      </c>
      <c r="AD271" s="2">
        <f>VLOOKUP([jobnumber],OvalData[],MATCH(Table2[[#Headers],[Grille Pattern]],Table2[#Headers],0),0)</f>
        <v>0</v>
      </c>
      <c r="AE271" s="2">
        <f>VLOOKUP([jobnumber],OvalData[],MATCH(Table2[[#Headers],[Grille First Tube]],Table2[#Headers],0),0)</f>
        <v>0</v>
      </c>
      <c r="AF271" s="2">
        <f>VLOOKUP([jobnumber],OvalData[],MATCH(Table2[[#Headers],[Grille Standard Tube]],Table2[#Headers],0),0)</f>
        <v>0</v>
      </c>
      <c r="AG271" s="2">
        <f>VLOOKUP([jobnumber],OvalData[],MATCH(Table2[[#Headers],[Grille Total Links]],Table2[#Headers],0),0)</f>
        <v>0</v>
      </c>
      <c r="AH271" s="2">
        <f>VLOOKUP([jobnumber],OvalData[],MATCH(Table2[[#Headers],[Grille Rods]],Table2[#Headers],0),0)</f>
        <v>0</v>
      </c>
      <c r="AI271" s="2">
        <f>VLOOKUP([jobnumber],OvalData[],MATCH(Table2[[#Headers],[Grille Rod Length]],Table2[#Headers],0),0)</f>
        <v>0</v>
      </c>
      <c r="AJ271" s="2">
        <f>VLOOKUP([jobnumber],OvalData[],MATCH(Table2[[#Headers],[slattype]],Table2[#Headers],0),0)</f>
        <v>2</v>
      </c>
      <c r="AK271" s="2">
        <f>VLOOKUP([jobnumber],OvalData[],MATCH(Table2[[#Headers],[slatgage]],Table2[#Headers],0),0)</f>
        <v>18</v>
      </c>
      <c r="AL271" s="2">
        <f>VLOOKUP([jobnumber],OvalData[],MATCH(Table2[[#Headers],[Numer of Top Slats]],Table2[#Headers],0),0)</f>
        <v>0</v>
      </c>
      <c r="AM271" s="2">
        <f>VLOOKUP([jobnumber],OvalData[],MATCH(Table2[[#Headers],[Number of Bottom Slats]],Table2[#Headers],0),0)</f>
        <v>0</v>
      </c>
      <c r="AN271" s="2">
        <f>VLOOKUP([jobnumber],OvalData[],MATCH(Table2[[#Headers],[Solid Bottom Height]],Table2[#Headers],0),0)</f>
        <v>0</v>
      </c>
      <c r="AO271" s="2" t="str">
        <f>VLOOKUP([jobnumber],OvalData[],MATCH(Table2[[#Headers],[slatlength]],Table2[#Headers],0),0)</f>
        <v xml:space="preserve"> 18 ft.- 5 7/ 8"</v>
      </c>
      <c r="AP271" s="2">
        <f>VLOOKUP([jobnumber],OvalData[],MATCH(Table2[[#Headers],[Bottom Slat Length]],Table2[#Headers],0),0)</f>
        <v>0</v>
      </c>
      <c r="AQ271" s="2">
        <f>VLOOKUP([jobnumber],OvalData[],MATCH(Table2[[#Headers],[Number of Perferated Slats]],Table2[#Headers],0),0)</f>
        <v>0</v>
      </c>
      <c r="AR271" s="2">
        <f>VLOOKUP([jobnumber],OvalData[],MATCH(Table2[[#Headers],[First Preferated Slat From End]],Table2[#Headers],0),0)</f>
        <v>0</v>
      </c>
      <c r="AS271" s="2">
        <f>VLOOKUP([jobnumber],OvalData[],MATCH(Table2[[#Headers],[First Preferated Slat From Bottom]],Table2[#Headers],0),0)</f>
        <v>0</v>
      </c>
      <c r="AT271" s="2">
        <f>VLOOKUP([jobnumber],OvalData[],MATCH(Table2[[#Headers],[Total Number of Slats]],Table2[#Headers],0),0)</f>
        <v>51</v>
      </c>
      <c r="AU271" s="2">
        <f>VLOOKUP([jobnumber],OvalData[],MATCH(Table2[[#Headers],[Bottom Bar Slope]],Table2[#Headers],0),0)</f>
        <v>0</v>
      </c>
      <c r="AV271" s="2">
        <f>VLOOKUP([jobnumber],OvalData[],MATCH(Table2[[#Headers],[Bottom Bar Weight]],Table2[#Headers],0),0)</f>
        <v>80.5</v>
      </c>
      <c r="AW271" s="2" t="str">
        <f>VLOOKUP([jobnumber],OvalData[],MATCH(Table2[[#Headers],[Outer Spring Gage]],Table2[#Headers],0),0)</f>
        <v>Null</v>
      </c>
      <c r="AX271" s="2" t="str">
        <f>VLOOKUP([jobnumber],OvalData[],MATCH(Table2[[#Headers],[Outer Spring OD]],Table2[#Headers],0),0)</f>
        <v>Null</v>
      </c>
      <c r="AY271" s="2" t="str">
        <f>VLOOKUP([jobnumber],OvalData[],MATCH(Table2[[#Headers],[Outer Spring Length]],Table2[#Headers],0),0)</f>
        <v>Null</v>
      </c>
      <c r="AZ271" s="2" t="str">
        <f>VLOOKUP([jobnumber],OvalData[],MATCH(Table2[[#Headers],[Outer Spring Stretch]],Table2[#Headers],0),0)</f>
        <v>Null</v>
      </c>
      <c r="BA271" s="2" t="str">
        <f>VLOOKUP([jobnumber],OvalData[],MATCH(Table2[[#Headers],[Outer Spring Torque]],Table2[#Headers],0),0)</f>
        <v>Null</v>
      </c>
      <c r="BB271" s="2" t="str">
        <f>VLOOKUP([jobnumber],OvalData[],MATCH(Table2[[#Headers],[Outer Spring Max Turns]],Table2[#Headers],0),0)</f>
        <v>Null</v>
      </c>
      <c r="BC271" s="2" t="str">
        <f>VLOOKUP([jobnumber],OvalData[],MATCH(Table2[[#Headers],[Outer Spring Weight]],Table2[#Headers],0),0)</f>
        <v>Null</v>
      </c>
      <c r="BD271" s="2" t="str">
        <f>VLOOKUP([jobnumber],OvalData[],MATCH(Table2[[#Headers],[Inner Spring Gage]],Table2[#Headers],0),0)</f>
        <v>Null</v>
      </c>
      <c r="BE271" s="2" t="str">
        <f>VLOOKUP([jobnumber],OvalData[],MATCH(Table2[[#Headers],[Inner Spring OD]],Table2[#Headers],0),0)</f>
        <v>Null</v>
      </c>
      <c r="BF271" s="2" t="str">
        <f>VLOOKUP([jobnumber],OvalData[],MATCH(Table2[[#Headers],[Inner Spring Length]],Table2[#Headers],0),0)</f>
        <v>Null</v>
      </c>
      <c r="BG271" s="2" t="str">
        <f>VLOOKUP([jobnumber],OvalData[],MATCH(Table2[[#Headers],[Inner Spring Stretch]],Table2[#Headers],0),0)</f>
        <v>Null</v>
      </c>
      <c r="BH271" s="2" t="str">
        <f>VLOOKUP([jobnumber],OvalData[],MATCH(Table2[[#Headers],[Inner Spring Torque]],Table2[#Headers],0),0)</f>
        <v>Null</v>
      </c>
      <c r="BI271" s="2" t="str">
        <f>VLOOKUP([jobnumber],OvalData[],MATCH(Table2[[#Headers],[Inner Spring Max Turns]],Table2[#Headers],0),0)</f>
        <v>Null</v>
      </c>
      <c r="BJ271" s="2" t="str">
        <f>VLOOKUP([jobnumber],OvalData[],MATCH(Table2[[#Headers],[Inner Spring Weight]],Table2[#Headers],0),0)</f>
        <v>Null</v>
      </c>
      <c r="BK271" s="2">
        <f>VLOOKUP([jobnumber],OvalData[],MATCH(Table2[[#Headers],[Cycles]],Table2[#Headers],0),0)</f>
        <v>0</v>
      </c>
      <c r="BL271" s="2">
        <f>VLOOKUP([jobnumber],OvalData[],MATCH(Table2[[#Headers],[Total Spring Torque]],Table2[#Headers],0),0)</f>
        <v>0</v>
      </c>
      <c r="BM271" s="2">
        <f>VLOOKUP([jobnumber],OvalData[],MATCH(Table2[[#Headers],[Total Spring Weight]],Table2[#Headers],0),0)</f>
        <v>0</v>
      </c>
      <c r="BN271" s="2">
        <f>VLOOKUP([jobnumber],OvalData[],MATCH(Table2[[#Headers],[Pipe Weight]],Table2[#Headers],0),0)</f>
        <v>688.24239999999998</v>
      </c>
      <c r="BO271" s="2">
        <f>VLOOKUP([jobnumber],OvalData[],MATCH(Table2[[#Headers],[Max Pipe Deflection]],Table2[#Headers],0),0)</f>
        <v>2309</v>
      </c>
      <c r="BP271" s="2">
        <f>VLOOKUP([jobnumber],OvalData[],MATCH(Table2[[#Headers],[Number Non-Insulated Wrap Slats]],Table2[#Headers],0),0)</f>
        <v>0</v>
      </c>
      <c r="BQ271" s="2">
        <f>VLOOKUP([jobnumber],OvalData[],MATCH(Table2[[#Headers],[Number of Insolated Top Slats]],Table2[#Headers],0),0)</f>
        <v>45</v>
      </c>
      <c r="BR271" s="2">
        <f>VLOOKUP([jobnumber],OvalData[],MATCH(Table2[[#Headers],[Insolated Total Slats]],Table2[#Headers],0),0)</f>
        <v>45</v>
      </c>
      <c r="BS271" s="2">
        <f>VLOOKUP([jobnumber],OvalData[],MATCH(Table2[[#Headers],[Number of Slats]],Table2[#Headers],0),0)</f>
        <v>44.69</v>
      </c>
      <c r="BT271" s="2">
        <f>VLOOKUP([jobnumber],OvalData[],MATCH(Table2[[#Headers],[Wrap]],Table2[#Headers],0),0)</f>
        <v>0</v>
      </c>
      <c r="BU271" s="2">
        <f>VLOOKUP([jobnumber],OvalData[],MATCH(Table2[[#Headers],[Wall Angle Thickness]],Table2[#Headers],0),0)</f>
        <v>0</v>
      </c>
      <c r="BV271" s="2">
        <f>VLOOKUP([jobnumber],OvalData[],MATCH(Table2[[#Headers],[windlocks]],Table2[#Headers],0),0)</f>
        <v>0</v>
      </c>
      <c r="BW271" s="2" t="str">
        <f>VLOOKUP([jobnumber],OvalData[],MATCH(Table2[[#Headers],[bottombartype]],Table2[#Headers],0),0)</f>
        <v>SPECIAL</v>
      </c>
      <c r="BX271" s="2">
        <f>VLOOKUP([jobnumber],OvalData[],MATCH(Table2[[#Headers],[endlockweight]],Table2[#Headers],0),0)</f>
        <v>0.17</v>
      </c>
      <c r="BY271" s="2">
        <f>VLOOKUP([jobnumber],OvalData[],MATCH(Table2[[#Headers],[Endlock Total Weight]],Table2[#Headers],0),0)</f>
        <v>7.5972999999999997</v>
      </c>
      <c r="BZ271" s="2">
        <f>VLOOKUP([jobnumber],OvalData[],MATCH(Table2[[#Headers],[Grille Weight]],Table2[#Headers],0),0)</f>
        <v>0</v>
      </c>
      <c r="CA271" s="2">
        <f>VLOOKUP([jobnumber],OvalData[],MATCH(Table2[[#Headers],[barrelrings]],Table2[#Headers],0),0)</f>
        <v>1</v>
      </c>
    </row>
    <row r="272" spans="2:79">
      <c r="B272" s="2" t="str">
        <f>VLOOKUP([jobnumber],OvalData[],MATCH(Table2[[#Headers],[Hand]],Table2[#Headers],0),0)</f>
        <v>RH</v>
      </c>
      <c r="C272" s="2" t="str">
        <f>VLOOKUP([jobnumber],OvalData[],MATCH(Table2[[#Headers],[Model]],Table2[#Headers],0),0)</f>
        <v>SFMPP</v>
      </c>
      <c r="D272" s="2" t="str">
        <f>VLOOKUP([jobnumber],OvalData[],MATCH(Table2[[#Headers],[width]],Table2[#Headers],0),0)</f>
        <v xml:space="preserve"> 18 ft.- 2"</v>
      </c>
      <c r="E272" s="2" t="str">
        <f>VLOOKUP([jobnumber],OvalData[],MATCH(Table2[[#Headers],[stopheight]],Table2[#Headers],0),0)</f>
        <v xml:space="preserve"> 10 ft.- 0"</v>
      </c>
      <c r="F272" s="2" t="str">
        <f>VLOOKUP([jobnumber],OvalData[],MATCH(Table2[[#Headers],[Between Brackets]],Table2[#Headers],0),0)</f>
        <v xml:space="preserve"> 18 ft.- 7 7/ 8"</v>
      </c>
      <c r="G272" s="2" t="str">
        <f>VLOOKUP([jobnumber],OvalData[],MATCH(Table2[[#Headers],[shell]],Table2[#Headers],0),0)</f>
        <v>6 INCH TUBE</v>
      </c>
      <c r="H272" s="2" t="str">
        <f>VLOOKUP([jobnumber],OvalData[],MATCH(Table2[[#Headers],[pipewidth]],Table2[#Headers],0),0)</f>
        <v xml:space="preserve"> 18 ft.- 1 3/ 8"</v>
      </c>
      <c r="I272" s="2">
        <f>VLOOKUP([jobnumber],OvalData[],MATCH(Table2[[#Headers],[Support Tubes]],Table2[#Headers],0),0)</f>
        <v>0</v>
      </c>
      <c r="J272" s="2">
        <f>VLOOKUP([jobnumber],OvalData[],MATCH(Table2[[#Headers],[Upset]],Table2[#Headers],0),0)</f>
        <v>2</v>
      </c>
      <c r="K272" s="2" t="str">
        <f>VLOOKUP([jobnumber],OvalData[],MATCH(Table2[[#Headers],[Guide Type]],Table2[#Headers],0),0)</f>
        <v>SN2-4 5/8-E</v>
      </c>
      <c r="L272" s="2" t="str">
        <f>VLOOKUP([jobnumber],OvalData[],MATCH(Table2[[#Headers],[Wall Angle]],Table2[#Headers],0),0)</f>
        <v xml:space="preserve"> 11 ft.- 8"</v>
      </c>
      <c r="M272" s="2" t="str">
        <f>VLOOKUP([jobnumber],OvalData[],MATCH(Table2[[#Headers],[Middle Angle]],Table2[#Headers],0),0)</f>
        <v xml:space="preserve"> 10 ft.- 4 1/ 2"</v>
      </c>
      <c r="N272" s="2" t="str">
        <f>VLOOKUP([jobnumber],OvalData[],MATCH(Table2[[#Headers],[Front Angle]],Table2[#Headers],0),0)</f>
        <v xml:space="preserve"> 10 ft.- 3"</v>
      </c>
      <c r="O272" s="2">
        <f>VLOOKUP([jobnumber],OvalData[],MATCH(Table2[[#Headers],[Pipe Center Line]],Table2[#Headers],0),0)</f>
        <v>131</v>
      </c>
      <c r="P272" s="2">
        <f>VLOOKUP([jobnumber],OvalData[],MATCH(Table2[[#Headers],[Heat Expansion Gap]],Table2[#Headers],0),0)</f>
        <v>0</v>
      </c>
      <c r="Q272" s="2">
        <f>VLOOKUP([jobnumber],OvalData[],MATCH(Table2[[#Headers],[Hanging Weight Closed]],Table2[#Headers],0),0)</f>
        <v>795</v>
      </c>
      <c r="R272" s="2">
        <f>VLOOKUP([jobnumber],OvalData[],MATCH(Table2[[#Headers],[Hanging Weight Open]],Table2[#Headers],0),0)</f>
        <v>140</v>
      </c>
      <c r="S272" s="2">
        <f>VLOOKUP([jobnumber],OvalData[],MATCH(Table2[[#Headers],[Initial Lever Arm]],Table2[#Headers],0),0)</f>
        <v>4.25</v>
      </c>
      <c r="T272" s="2">
        <f>VLOOKUP([jobnumber],OvalData[],MATCH(Table2[[#Headers],[Turns to Raise]],Table2[#Headers],0),0)</f>
        <v>3.5859999999999999</v>
      </c>
      <c r="U272" s="2">
        <f>VLOOKUP([jobnumber],OvalData[],MATCH(Table2[[#Headers],[Final Lever Arm]],Table2[#Headers],0),0)</f>
        <v>6.37</v>
      </c>
      <c r="V272" s="2">
        <f>VLOOKUP([jobnumber],OvalData[],MATCH(Table2[[#Headers],[Torque Required Closed]],Table2[#Headers],0),0)</f>
        <v>3377.9</v>
      </c>
      <c r="W272" s="2">
        <f>VLOOKUP([jobnumber],OvalData[],MATCH(Table2[[#Headers],[Torque Required Open]],Table2[#Headers],0),0)</f>
        <v>892</v>
      </c>
      <c r="X272" s="2">
        <f>VLOOKUP([jobnumber],OvalData[],MATCH(Table2[[#Headers],[Pre Turns]],Table2[#Headers],0),0)</f>
        <v>1.3332999999999999</v>
      </c>
      <c r="Y272" s="2">
        <f>VLOOKUP([jobnumber],OvalData[],MATCH(Table2[[#Headers],[Required Torque Per Turn]],Table2[#Headers],0),0)</f>
        <v>688</v>
      </c>
      <c r="Z272" s="2">
        <f>VLOOKUP([jobnumber],OvalData[],MATCH(Table2[[#Headers],[Total Turns]],Table2[#Headers],0),0)</f>
        <v>4.91</v>
      </c>
      <c r="AA272" s="2">
        <f>VLOOKUP([jobnumber],OvalData[],MATCH(Table2[[#Headers],[Grille Vision Section]],Table2[#Headers],0),0)</f>
        <v>0</v>
      </c>
      <c r="AB272" s="2">
        <f>VLOOKUP([jobnumber],OvalData[],MATCH(Table2[[#Headers],[Grille Amount]],Table2[#Headers],0),0)</f>
        <v>0</v>
      </c>
      <c r="AC272" s="2">
        <f>VLOOKUP([jobnumber],OvalData[],MATCH(Table2[[#Headers],[Grille Center]],Table2[#Headers],0),0)</f>
        <v>0</v>
      </c>
      <c r="AD272" s="2">
        <f>VLOOKUP([jobnumber],OvalData[],MATCH(Table2[[#Headers],[Grille Pattern]],Table2[#Headers],0),0)</f>
        <v>0</v>
      </c>
      <c r="AE272" s="2">
        <f>VLOOKUP([jobnumber],OvalData[],MATCH(Table2[[#Headers],[Grille First Tube]],Table2[#Headers],0),0)</f>
        <v>0</v>
      </c>
      <c r="AF272" s="2">
        <f>VLOOKUP([jobnumber],OvalData[],MATCH(Table2[[#Headers],[Grille Standard Tube]],Table2[#Headers],0),0)</f>
        <v>0</v>
      </c>
      <c r="AG272" s="2">
        <f>VLOOKUP([jobnumber],OvalData[],MATCH(Table2[[#Headers],[Grille Total Links]],Table2[#Headers],0),0)</f>
        <v>0</v>
      </c>
      <c r="AH272" s="2">
        <f>VLOOKUP([jobnumber],OvalData[],MATCH(Table2[[#Headers],[Grille Rods]],Table2[#Headers],0),0)</f>
        <v>0</v>
      </c>
      <c r="AI272" s="2">
        <f>VLOOKUP([jobnumber],OvalData[],MATCH(Table2[[#Headers],[Grille Rod Length]],Table2[#Headers],0),0)</f>
        <v>0</v>
      </c>
      <c r="AJ272" s="2">
        <f>VLOOKUP([jobnumber],OvalData[],MATCH(Table2[[#Headers],[slattype]],Table2[#Headers],0),0)</f>
        <v>2</v>
      </c>
      <c r="AK272" s="2">
        <f>VLOOKUP([jobnumber],OvalData[],MATCH(Table2[[#Headers],[slatgage]],Table2[#Headers],0),0)</f>
        <v>18</v>
      </c>
      <c r="AL272" s="2">
        <f>VLOOKUP([jobnumber],OvalData[],MATCH(Table2[[#Headers],[Numer of Top Slats]],Table2[#Headers],0),0)</f>
        <v>0</v>
      </c>
      <c r="AM272" s="2">
        <f>VLOOKUP([jobnumber],OvalData[],MATCH(Table2[[#Headers],[Number of Bottom Slats]],Table2[#Headers],0),0)</f>
        <v>0</v>
      </c>
      <c r="AN272" s="2">
        <f>VLOOKUP([jobnumber],OvalData[],MATCH(Table2[[#Headers],[Solid Bottom Height]],Table2[#Headers],0),0)</f>
        <v>0</v>
      </c>
      <c r="AO272" s="2" t="str">
        <f>VLOOKUP([jobnumber],OvalData[],MATCH(Table2[[#Headers],[slatlength]],Table2[#Headers],0),0)</f>
        <v xml:space="preserve"> 18 ft.- 5 7/ 8"</v>
      </c>
      <c r="AP272" s="2">
        <f>VLOOKUP([jobnumber],OvalData[],MATCH(Table2[[#Headers],[Bottom Slat Length]],Table2[#Headers],0),0)</f>
        <v>0</v>
      </c>
      <c r="AQ272" s="2">
        <f>VLOOKUP([jobnumber],OvalData[],MATCH(Table2[[#Headers],[Number of Perferated Slats]],Table2[#Headers],0),0)</f>
        <v>0</v>
      </c>
      <c r="AR272" s="2">
        <f>VLOOKUP([jobnumber],OvalData[],MATCH(Table2[[#Headers],[First Preferated Slat From End]],Table2[#Headers],0),0)</f>
        <v>0</v>
      </c>
      <c r="AS272" s="2">
        <f>VLOOKUP([jobnumber],OvalData[],MATCH(Table2[[#Headers],[First Preferated Slat From Bottom]],Table2[#Headers],0),0)</f>
        <v>0</v>
      </c>
      <c r="AT272" s="2">
        <f>VLOOKUP([jobnumber],OvalData[],MATCH(Table2[[#Headers],[Total Number of Slats]],Table2[#Headers],0),0)</f>
        <v>51</v>
      </c>
      <c r="AU272" s="2">
        <f>VLOOKUP([jobnumber],OvalData[],MATCH(Table2[[#Headers],[Bottom Bar Slope]],Table2[#Headers],0),0)</f>
        <v>0</v>
      </c>
      <c r="AV272" s="2">
        <f>VLOOKUP([jobnumber],OvalData[],MATCH(Table2[[#Headers],[Bottom Bar Weight]],Table2[#Headers],0),0)</f>
        <v>80.5</v>
      </c>
      <c r="AW272" s="2" t="str">
        <f>VLOOKUP([jobnumber],OvalData[],MATCH(Table2[[#Headers],[Outer Spring Gage]],Table2[#Headers],0),0)</f>
        <v>Null</v>
      </c>
      <c r="AX272" s="2" t="str">
        <f>VLOOKUP([jobnumber],OvalData[],MATCH(Table2[[#Headers],[Outer Spring OD]],Table2[#Headers],0),0)</f>
        <v>Null</v>
      </c>
      <c r="AY272" s="2" t="str">
        <f>VLOOKUP([jobnumber],OvalData[],MATCH(Table2[[#Headers],[Outer Spring Length]],Table2[#Headers],0),0)</f>
        <v>Null</v>
      </c>
      <c r="AZ272" s="2" t="str">
        <f>VLOOKUP([jobnumber],OvalData[],MATCH(Table2[[#Headers],[Outer Spring Stretch]],Table2[#Headers],0),0)</f>
        <v>Null</v>
      </c>
      <c r="BA272" s="2" t="str">
        <f>VLOOKUP([jobnumber],OvalData[],MATCH(Table2[[#Headers],[Outer Spring Torque]],Table2[#Headers],0),0)</f>
        <v>Null</v>
      </c>
      <c r="BB272" s="2" t="str">
        <f>VLOOKUP([jobnumber],OvalData[],MATCH(Table2[[#Headers],[Outer Spring Max Turns]],Table2[#Headers],0),0)</f>
        <v>Null</v>
      </c>
      <c r="BC272" s="2" t="str">
        <f>VLOOKUP([jobnumber],OvalData[],MATCH(Table2[[#Headers],[Outer Spring Weight]],Table2[#Headers],0),0)</f>
        <v>Null</v>
      </c>
      <c r="BD272" s="2" t="str">
        <f>VLOOKUP([jobnumber],OvalData[],MATCH(Table2[[#Headers],[Inner Spring Gage]],Table2[#Headers],0),0)</f>
        <v>Null</v>
      </c>
      <c r="BE272" s="2" t="str">
        <f>VLOOKUP([jobnumber],OvalData[],MATCH(Table2[[#Headers],[Inner Spring OD]],Table2[#Headers],0),0)</f>
        <v>Null</v>
      </c>
      <c r="BF272" s="2" t="str">
        <f>VLOOKUP([jobnumber],OvalData[],MATCH(Table2[[#Headers],[Inner Spring Length]],Table2[#Headers],0),0)</f>
        <v>Null</v>
      </c>
      <c r="BG272" s="2" t="str">
        <f>VLOOKUP([jobnumber],OvalData[],MATCH(Table2[[#Headers],[Inner Spring Stretch]],Table2[#Headers],0),0)</f>
        <v>Null</v>
      </c>
      <c r="BH272" s="2" t="str">
        <f>VLOOKUP([jobnumber],OvalData[],MATCH(Table2[[#Headers],[Inner Spring Torque]],Table2[#Headers],0),0)</f>
        <v>Null</v>
      </c>
      <c r="BI272" s="2" t="str">
        <f>VLOOKUP([jobnumber],OvalData[],MATCH(Table2[[#Headers],[Inner Spring Max Turns]],Table2[#Headers],0),0)</f>
        <v>Null</v>
      </c>
      <c r="BJ272" s="2" t="str">
        <f>VLOOKUP([jobnumber],OvalData[],MATCH(Table2[[#Headers],[Inner Spring Weight]],Table2[#Headers],0),0)</f>
        <v>Null</v>
      </c>
      <c r="BK272" s="2">
        <f>VLOOKUP([jobnumber],OvalData[],MATCH(Table2[[#Headers],[Cycles]],Table2[#Headers],0),0)</f>
        <v>0</v>
      </c>
      <c r="BL272" s="2">
        <f>VLOOKUP([jobnumber],OvalData[],MATCH(Table2[[#Headers],[Total Spring Torque]],Table2[#Headers],0),0)</f>
        <v>0</v>
      </c>
      <c r="BM272" s="2">
        <f>VLOOKUP([jobnumber],OvalData[],MATCH(Table2[[#Headers],[Total Spring Weight]],Table2[#Headers],0),0)</f>
        <v>0</v>
      </c>
      <c r="BN272" s="2">
        <f>VLOOKUP([jobnumber],OvalData[],MATCH(Table2[[#Headers],[Pipe Weight]],Table2[#Headers],0),0)</f>
        <v>688.24239999999998</v>
      </c>
      <c r="BO272" s="2">
        <f>VLOOKUP([jobnumber],OvalData[],MATCH(Table2[[#Headers],[Max Pipe Deflection]],Table2[#Headers],0),0)</f>
        <v>2309</v>
      </c>
      <c r="BP272" s="2">
        <f>VLOOKUP([jobnumber],OvalData[],MATCH(Table2[[#Headers],[Number Non-Insulated Wrap Slats]],Table2[#Headers],0),0)</f>
        <v>0</v>
      </c>
      <c r="BQ272" s="2">
        <f>VLOOKUP([jobnumber],OvalData[],MATCH(Table2[[#Headers],[Number of Insolated Top Slats]],Table2[#Headers],0),0)</f>
        <v>45</v>
      </c>
      <c r="BR272" s="2">
        <f>VLOOKUP([jobnumber],OvalData[],MATCH(Table2[[#Headers],[Insolated Total Slats]],Table2[#Headers],0),0)</f>
        <v>45</v>
      </c>
      <c r="BS272" s="2">
        <f>VLOOKUP([jobnumber],OvalData[],MATCH(Table2[[#Headers],[Number of Slats]],Table2[#Headers],0),0)</f>
        <v>44.69</v>
      </c>
      <c r="BT272" s="2">
        <f>VLOOKUP([jobnumber],OvalData[],MATCH(Table2[[#Headers],[Wrap]],Table2[#Headers],0),0)</f>
        <v>0</v>
      </c>
      <c r="BU272" s="2">
        <f>VLOOKUP([jobnumber],OvalData[],MATCH(Table2[[#Headers],[Wall Angle Thickness]],Table2[#Headers],0),0)</f>
        <v>0</v>
      </c>
      <c r="BV272" s="2">
        <f>VLOOKUP([jobnumber],OvalData[],MATCH(Table2[[#Headers],[windlocks]],Table2[#Headers],0),0)</f>
        <v>0</v>
      </c>
      <c r="BW272" s="2" t="str">
        <f>VLOOKUP([jobnumber],OvalData[],MATCH(Table2[[#Headers],[bottombartype]],Table2[#Headers],0),0)</f>
        <v>SPECIAL</v>
      </c>
      <c r="BX272" s="2">
        <f>VLOOKUP([jobnumber],OvalData[],MATCH(Table2[[#Headers],[endlockweight]],Table2[#Headers],0),0)</f>
        <v>0.17</v>
      </c>
      <c r="BY272" s="2">
        <f>VLOOKUP([jobnumber],OvalData[],MATCH(Table2[[#Headers],[Endlock Total Weight]],Table2[#Headers],0),0)</f>
        <v>7.5972999999999997</v>
      </c>
      <c r="BZ272" s="2">
        <f>VLOOKUP([jobnumber],OvalData[],MATCH(Table2[[#Headers],[Grille Weight]],Table2[#Headers],0),0)</f>
        <v>0</v>
      </c>
      <c r="CA272" s="2">
        <f>VLOOKUP([jobnumber],OvalData[],MATCH(Table2[[#Headers],[barrelrings]],Table2[#Headers],0),0)</f>
        <v>1</v>
      </c>
    </row>
    <row r="273" spans="2:79">
      <c r="B273" s="2" t="str">
        <f>VLOOKUP([jobnumber],OvalData[],MATCH(Table2[[#Headers],[Hand]],Table2[#Headers],0),0)</f>
        <v>RH</v>
      </c>
      <c r="C273" s="2" t="str">
        <f>VLOOKUP([jobnumber],OvalData[],MATCH(Table2[[#Headers],[Model]],Table2[#Headers],0),0)</f>
        <v>SFMPP</v>
      </c>
      <c r="D273" s="2" t="str">
        <f>VLOOKUP([jobnumber],OvalData[],MATCH(Table2[[#Headers],[width]],Table2[#Headers],0),0)</f>
        <v xml:space="preserve"> 18 ft.- 2"</v>
      </c>
      <c r="E273" s="2" t="str">
        <f>VLOOKUP([jobnumber],OvalData[],MATCH(Table2[[#Headers],[stopheight]],Table2[#Headers],0),0)</f>
        <v xml:space="preserve"> 10 ft.- 0"</v>
      </c>
      <c r="F273" s="2" t="str">
        <f>VLOOKUP([jobnumber],OvalData[],MATCH(Table2[[#Headers],[Between Brackets]],Table2[#Headers],0),0)</f>
        <v xml:space="preserve"> 18 ft.- 7 7/ 8"</v>
      </c>
      <c r="G273" s="2" t="str">
        <f>VLOOKUP([jobnumber],OvalData[],MATCH(Table2[[#Headers],[shell]],Table2[#Headers],0),0)</f>
        <v>6 INCH TUBE</v>
      </c>
      <c r="H273" s="2" t="str">
        <f>VLOOKUP([jobnumber],OvalData[],MATCH(Table2[[#Headers],[pipewidth]],Table2[#Headers],0),0)</f>
        <v xml:space="preserve"> 18 ft.- 1 3/ 8"</v>
      </c>
      <c r="I273" s="2">
        <f>VLOOKUP([jobnumber],OvalData[],MATCH(Table2[[#Headers],[Support Tubes]],Table2[#Headers],0),0)</f>
        <v>0</v>
      </c>
      <c r="J273" s="2">
        <f>VLOOKUP([jobnumber],OvalData[],MATCH(Table2[[#Headers],[Upset]],Table2[#Headers],0),0)</f>
        <v>2</v>
      </c>
      <c r="K273" s="2" t="str">
        <f>VLOOKUP([jobnumber],OvalData[],MATCH(Table2[[#Headers],[Guide Type]],Table2[#Headers],0),0)</f>
        <v>SN2-4 5/8-E</v>
      </c>
      <c r="L273" s="2" t="str">
        <f>VLOOKUP([jobnumber],OvalData[],MATCH(Table2[[#Headers],[Wall Angle]],Table2[#Headers],0),0)</f>
        <v xml:space="preserve"> 11 ft.- 8"</v>
      </c>
      <c r="M273" s="2" t="str">
        <f>VLOOKUP([jobnumber],OvalData[],MATCH(Table2[[#Headers],[Middle Angle]],Table2[#Headers],0),0)</f>
        <v xml:space="preserve"> 10 ft.- 4 1/ 2"</v>
      </c>
      <c r="N273" s="2" t="str">
        <f>VLOOKUP([jobnumber],OvalData[],MATCH(Table2[[#Headers],[Front Angle]],Table2[#Headers],0),0)</f>
        <v xml:space="preserve"> 10 ft.- 3"</v>
      </c>
      <c r="O273" s="2">
        <f>VLOOKUP([jobnumber],OvalData[],MATCH(Table2[[#Headers],[Pipe Center Line]],Table2[#Headers],0),0)</f>
        <v>131</v>
      </c>
      <c r="P273" s="2">
        <f>VLOOKUP([jobnumber],OvalData[],MATCH(Table2[[#Headers],[Heat Expansion Gap]],Table2[#Headers],0),0)</f>
        <v>0</v>
      </c>
      <c r="Q273" s="2">
        <f>VLOOKUP([jobnumber],OvalData[],MATCH(Table2[[#Headers],[Hanging Weight Closed]],Table2[#Headers],0),0)</f>
        <v>795</v>
      </c>
      <c r="R273" s="2">
        <f>VLOOKUP([jobnumber],OvalData[],MATCH(Table2[[#Headers],[Hanging Weight Open]],Table2[#Headers],0),0)</f>
        <v>140</v>
      </c>
      <c r="S273" s="2">
        <f>VLOOKUP([jobnumber],OvalData[],MATCH(Table2[[#Headers],[Initial Lever Arm]],Table2[#Headers],0),0)</f>
        <v>4.25</v>
      </c>
      <c r="T273" s="2">
        <f>VLOOKUP([jobnumber],OvalData[],MATCH(Table2[[#Headers],[Turns to Raise]],Table2[#Headers],0),0)</f>
        <v>3.5859999999999999</v>
      </c>
      <c r="U273" s="2">
        <f>VLOOKUP([jobnumber],OvalData[],MATCH(Table2[[#Headers],[Final Lever Arm]],Table2[#Headers],0),0)</f>
        <v>6.37</v>
      </c>
      <c r="V273" s="2">
        <f>VLOOKUP([jobnumber],OvalData[],MATCH(Table2[[#Headers],[Torque Required Closed]],Table2[#Headers],0),0)</f>
        <v>3377.9</v>
      </c>
      <c r="W273" s="2">
        <f>VLOOKUP([jobnumber],OvalData[],MATCH(Table2[[#Headers],[Torque Required Open]],Table2[#Headers],0),0)</f>
        <v>892</v>
      </c>
      <c r="X273" s="2">
        <f>VLOOKUP([jobnumber],OvalData[],MATCH(Table2[[#Headers],[Pre Turns]],Table2[#Headers],0),0)</f>
        <v>1.3332999999999999</v>
      </c>
      <c r="Y273" s="2">
        <f>VLOOKUP([jobnumber],OvalData[],MATCH(Table2[[#Headers],[Required Torque Per Turn]],Table2[#Headers],0),0)</f>
        <v>688</v>
      </c>
      <c r="Z273" s="2">
        <f>VLOOKUP([jobnumber],OvalData[],MATCH(Table2[[#Headers],[Total Turns]],Table2[#Headers],0),0)</f>
        <v>4.91</v>
      </c>
      <c r="AA273" s="2">
        <f>VLOOKUP([jobnumber],OvalData[],MATCH(Table2[[#Headers],[Grille Vision Section]],Table2[#Headers],0),0)</f>
        <v>0</v>
      </c>
      <c r="AB273" s="2">
        <f>VLOOKUP([jobnumber],OvalData[],MATCH(Table2[[#Headers],[Grille Amount]],Table2[#Headers],0),0)</f>
        <v>0</v>
      </c>
      <c r="AC273" s="2">
        <f>VLOOKUP([jobnumber],OvalData[],MATCH(Table2[[#Headers],[Grille Center]],Table2[#Headers],0),0)</f>
        <v>0</v>
      </c>
      <c r="AD273" s="2">
        <f>VLOOKUP([jobnumber],OvalData[],MATCH(Table2[[#Headers],[Grille Pattern]],Table2[#Headers],0),0)</f>
        <v>0</v>
      </c>
      <c r="AE273" s="2">
        <f>VLOOKUP([jobnumber],OvalData[],MATCH(Table2[[#Headers],[Grille First Tube]],Table2[#Headers],0),0)</f>
        <v>0</v>
      </c>
      <c r="AF273" s="2">
        <f>VLOOKUP([jobnumber],OvalData[],MATCH(Table2[[#Headers],[Grille Standard Tube]],Table2[#Headers],0),0)</f>
        <v>0</v>
      </c>
      <c r="AG273" s="2">
        <f>VLOOKUP([jobnumber],OvalData[],MATCH(Table2[[#Headers],[Grille Total Links]],Table2[#Headers],0),0)</f>
        <v>0</v>
      </c>
      <c r="AH273" s="2">
        <f>VLOOKUP([jobnumber],OvalData[],MATCH(Table2[[#Headers],[Grille Rods]],Table2[#Headers],0),0)</f>
        <v>0</v>
      </c>
      <c r="AI273" s="2">
        <f>VLOOKUP([jobnumber],OvalData[],MATCH(Table2[[#Headers],[Grille Rod Length]],Table2[#Headers],0),0)</f>
        <v>0</v>
      </c>
      <c r="AJ273" s="2">
        <f>VLOOKUP([jobnumber],OvalData[],MATCH(Table2[[#Headers],[slattype]],Table2[#Headers],0),0)</f>
        <v>2</v>
      </c>
      <c r="AK273" s="2">
        <f>VLOOKUP([jobnumber],OvalData[],MATCH(Table2[[#Headers],[slatgage]],Table2[#Headers],0),0)</f>
        <v>18</v>
      </c>
      <c r="AL273" s="2">
        <f>VLOOKUP([jobnumber],OvalData[],MATCH(Table2[[#Headers],[Numer of Top Slats]],Table2[#Headers],0),0)</f>
        <v>0</v>
      </c>
      <c r="AM273" s="2">
        <f>VLOOKUP([jobnumber],OvalData[],MATCH(Table2[[#Headers],[Number of Bottom Slats]],Table2[#Headers],0),0)</f>
        <v>0</v>
      </c>
      <c r="AN273" s="2">
        <f>VLOOKUP([jobnumber],OvalData[],MATCH(Table2[[#Headers],[Solid Bottom Height]],Table2[#Headers],0),0)</f>
        <v>0</v>
      </c>
      <c r="AO273" s="2" t="str">
        <f>VLOOKUP([jobnumber],OvalData[],MATCH(Table2[[#Headers],[slatlength]],Table2[#Headers],0),0)</f>
        <v xml:space="preserve"> 18 ft.- 5 7/ 8"</v>
      </c>
      <c r="AP273" s="2">
        <f>VLOOKUP([jobnumber],OvalData[],MATCH(Table2[[#Headers],[Bottom Slat Length]],Table2[#Headers],0),0)</f>
        <v>0</v>
      </c>
      <c r="AQ273" s="2">
        <f>VLOOKUP([jobnumber],OvalData[],MATCH(Table2[[#Headers],[Number of Perferated Slats]],Table2[#Headers],0),0)</f>
        <v>0</v>
      </c>
      <c r="AR273" s="2">
        <f>VLOOKUP([jobnumber],OvalData[],MATCH(Table2[[#Headers],[First Preferated Slat From End]],Table2[#Headers],0),0)</f>
        <v>0</v>
      </c>
      <c r="AS273" s="2">
        <f>VLOOKUP([jobnumber],OvalData[],MATCH(Table2[[#Headers],[First Preferated Slat From Bottom]],Table2[#Headers],0),0)</f>
        <v>0</v>
      </c>
      <c r="AT273" s="2">
        <f>VLOOKUP([jobnumber],OvalData[],MATCH(Table2[[#Headers],[Total Number of Slats]],Table2[#Headers],0),0)</f>
        <v>51</v>
      </c>
      <c r="AU273" s="2">
        <f>VLOOKUP([jobnumber],OvalData[],MATCH(Table2[[#Headers],[Bottom Bar Slope]],Table2[#Headers],0),0)</f>
        <v>0</v>
      </c>
      <c r="AV273" s="2">
        <f>VLOOKUP([jobnumber],OvalData[],MATCH(Table2[[#Headers],[Bottom Bar Weight]],Table2[#Headers],0),0)</f>
        <v>80.5</v>
      </c>
      <c r="AW273" s="2" t="str">
        <f>VLOOKUP([jobnumber],OvalData[],MATCH(Table2[[#Headers],[Outer Spring Gage]],Table2[#Headers],0),0)</f>
        <v>Null</v>
      </c>
      <c r="AX273" s="2" t="str">
        <f>VLOOKUP([jobnumber],OvalData[],MATCH(Table2[[#Headers],[Outer Spring OD]],Table2[#Headers],0),0)</f>
        <v>Null</v>
      </c>
      <c r="AY273" s="2" t="str">
        <f>VLOOKUP([jobnumber],OvalData[],MATCH(Table2[[#Headers],[Outer Spring Length]],Table2[#Headers],0),0)</f>
        <v>Null</v>
      </c>
      <c r="AZ273" s="2" t="str">
        <f>VLOOKUP([jobnumber],OvalData[],MATCH(Table2[[#Headers],[Outer Spring Stretch]],Table2[#Headers],0),0)</f>
        <v>Null</v>
      </c>
      <c r="BA273" s="2" t="str">
        <f>VLOOKUP([jobnumber],OvalData[],MATCH(Table2[[#Headers],[Outer Spring Torque]],Table2[#Headers],0),0)</f>
        <v>Null</v>
      </c>
      <c r="BB273" s="2" t="str">
        <f>VLOOKUP([jobnumber],OvalData[],MATCH(Table2[[#Headers],[Outer Spring Max Turns]],Table2[#Headers],0),0)</f>
        <v>Null</v>
      </c>
      <c r="BC273" s="2" t="str">
        <f>VLOOKUP([jobnumber],OvalData[],MATCH(Table2[[#Headers],[Outer Spring Weight]],Table2[#Headers],0),0)</f>
        <v>Null</v>
      </c>
      <c r="BD273" s="2" t="str">
        <f>VLOOKUP([jobnumber],OvalData[],MATCH(Table2[[#Headers],[Inner Spring Gage]],Table2[#Headers],0),0)</f>
        <v>Null</v>
      </c>
      <c r="BE273" s="2" t="str">
        <f>VLOOKUP([jobnumber],OvalData[],MATCH(Table2[[#Headers],[Inner Spring OD]],Table2[#Headers],0),0)</f>
        <v>Null</v>
      </c>
      <c r="BF273" s="2" t="str">
        <f>VLOOKUP([jobnumber],OvalData[],MATCH(Table2[[#Headers],[Inner Spring Length]],Table2[#Headers],0),0)</f>
        <v>Null</v>
      </c>
      <c r="BG273" s="2" t="str">
        <f>VLOOKUP([jobnumber],OvalData[],MATCH(Table2[[#Headers],[Inner Spring Stretch]],Table2[#Headers],0),0)</f>
        <v>Null</v>
      </c>
      <c r="BH273" s="2" t="str">
        <f>VLOOKUP([jobnumber],OvalData[],MATCH(Table2[[#Headers],[Inner Spring Torque]],Table2[#Headers],0),0)</f>
        <v>Null</v>
      </c>
      <c r="BI273" s="2" t="str">
        <f>VLOOKUP([jobnumber],OvalData[],MATCH(Table2[[#Headers],[Inner Spring Max Turns]],Table2[#Headers],0),0)</f>
        <v>Null</v>
      </c>
      <c r="BJ273" s="2" t="str">
        <f>VLOOKUP([jobnumber],OvalData[],MATCH(Table2[[#Headers],[Inner Spring Weight]],Table2[#Headers],0),0)</f>
        <v>Null</v>
      </c>
      <c r="BK273" s="2">
        <f>VLOOKUP([jobnumber],OvalData[],MATCH(Table2[[#Headers],[Cycles]],Table2[#Headers],0),0)</f>
        <v>0</v>
      </c>
      <c r="BL273" s="2">
        <f>VLOOKUP([jobnumber],OvalData[],MATCH(Table2[[#Headers],[Total Spring Torque]],Table2[#Headers],0),0)</f>
        <v>0</v>
      </c>
      <c r="BM273" s="2">
        <f>VLOOKUP([jobnumber],OvalData[],MATCH(Table2[[#Headers],[Total Spring Weight]],Table2[#Headers],0),0)</f>
        <v>0</v>
      </c>
      <c r="BN273" s="2">
        <f>VLOOKUP([jobnumber],OvalData[],MATCH(Table2[[#Headers],[Pipe Weight]],Table2[#Headers],0),0)</f>
        <v>688.24239999999998</v>
      </c>
      <c r="BO273" s="2">
        <f>VLOOKUP([jobnumber],OvalData[],MATCH(Table2[[#Headers],[Max Pipe Deflection]],Table2[#Headers],0),0)</f>
        <v>2309</v>
      </c>
      <c r="BP273" s="2">
        <f>VLOOKUP([jobnumber],OvalData[],MATCH(Table2[[#Headers],[Number Non-Insulated Wrap Slats]],Table2[#Headers],0),0)</f>
        <v>0</v>
      </c>
      <c r="BQ273" s="2">
        <f>VLOOKUP([jobnumber],OvalData[],MATCH(Table2[[#Headers],[Number of Insolated Top Slats]],Table2[#Headers],0),0)</f>
        <v>45</v>
      </c>
      <c r="BR273" s="2">
        <f>VLOOKUP([jobnumber],OvalData[],MATCH(Table2[[#Headers],[Insolated Total Slats]],Table2[#Headers],0),0)</f>
        <v>45</v>
      </c>
      <c r="BS273" s="2">
        <f>VLOOKUP([jobnumber],OvalData[],MATCH(Table2[[#Headers],[Number of Slats]],Table2[#Headers],0),0)</f>
        <v>44.69</v>
      </c>
      <c r="BT273" s="2">
        <f>VLOOKUP([jobnumber],OvalData[],MATCH(Table2[[#Headers],[Wrap]],Table2[#Headers],0),0)</f>
        <v>0</v>
      </c>
      <c r="BU273" s="2">
        <f>VLOOKUP([jobnumber],OvalData[],MATCH(Table2[[#Headers],[Wall Angle Thickness]],Table2[#Headers],0),0)</f>
        <v>0</v>
      </c>
      <c r="BV273" s="2">
        <f>VLOOKUP([jobnumber],OvalData[],MATCH(Table2[[#Headers],[windlocks]],Table2[#Headers],0),0)</f>
        <v>0</v>
      </c>
      <c r="BW273" s="2" t="str">
        <f>VLOOKUP([jobnumber],OvalData[],MATCH(Table2[[#Headers],[bottombartype]],Table2[#Headers],0),0)</f>
        <v>SPECIAL</v>
      </c>
      <c r="BX273" s="2">
        <f>VLOOKUP([jobnumber],OvalData[],MATCH(Table2[[#Headers],[endlockweight]],Table2[#Headers],0),0)</f>
        <v>0.17</v>
      </c>
      <c r="BY273" s="2">
        <f>VLOOKUP([jobnumber],OvalData[],MATCH(Table2[[#Headers],[Endlock Total Weight]],Table2[#Headers],0),0)</f>
        <v>7.5972999999999997</v>
      </c>
      <c r="BZ273" s="2">
        <f>VLOOKUP([jobnumber],OvalData[],MATCH(Table2[[#Headers],[Grille Weight]],Table2[#Headers],0),0)</f>
        <v>0</v>
      </c>
      <c r="CA273" s="2">
        <f>VLOOKUP([jobnumber],OvalData[],MATCH(Table2[[#Headers],[barrelrings]],Table2[#Headers],0),0)</f>
        <v>1</v>
      </c>
    </row>
    <row r="274" spans="2:79">
      <c r="B274" s="2" t="str">
        <f>VLOOKUP([jobnumber],OvalData[],MATCH(Table2[[#Headers],[Hand]],Table2[#Headers],0),0)</f>
        <v>RH</v>
      </c>
      <c r="C274" s="2" t="str">
        <f>VLOOKUP([jobnumber],OvalData[],MATCH(Table2[[#Headers],[Model]],Table2[#Headers],0),0)</f>
        <v>SFMPP</v>
      </c>
      <c r="D274" s="2" t="str">
        <f>VLOOKUP([jobnumber],OvalData[],MATCH(Table2[[#Headers],[width]],Table2[#Headers],0),0)</f>
        <v xml:space="preserve"> 18 ft.- 2"</v>
      </c>
      <c r="E274" s="2" t="str">
        <f>VLOOKUP([jobnumber],OvalData[],MATCH(Table2[[#Headers],[stopheight]],Table2[#Headers],0),0)</f>
        <v xml:space="preserve"> 10 ft.- 0"</v>
      </c>
      <c r="F274" s="2" t="str">
        <f>VLOOKUP([jobnumber],OvalData[],MATCH(Table2[[#Headers],[Between Brackets]],Table2[#Headers],0),0)</f>
        <v xml:space="preserve"> 18 ft.- 7 7/ 8"</v>
      </c>
      <c r="G274" s="2" t="str">
        <f>VLOOKUP([jobnumber],OvalData[],MATCH(Table2[[#Headers],[shell]],Table2[#Headers],0),0)</f>
        <v>6 INCH TUBE</v>
      </c>
      <c r="H274" s="2" t="str">
        <f>VLOOKUP([jobnumber],OvalData[],MATCH(Table2[[#Headers],[pipewidth]],Table2[#Headers],0),0)</f>
        <v xml:space="preserve"> 18 ft.- 1 3/ 8"</v>
      </c>
      <c r="I274" s="2">
        <f>VLOOKUP([jobnumber],OvalData[],MATCH(Table2[[#Headers],[Support Tubes]],Table2[#Headers],0),0)</f>
        <v>0</v>
      </c>
      <c r="J274" s="2">
        <f>VLOOKUP([jobnumber],OvalData[],MATCH(Table2[[#Headers],[Upset]],Table2[#Headers],0),0)</f>
        <v>2</v>
      </c>
      <c r="K274" s="2" t="str">
        <f>VLOOKUP([jobnumber],OvalData[],MATCH(Table2[[#Headers],[Guide Type]],Table2[#Headers],0),0)</f>
        <v>SN2-4 5/8-E</v>
      </c>
      <c r="L274" s="2" t="str">
        <f>VLOOKUP([jobnumber],OvalData[],MATCH(Table2[[#Headers],[Wall Angle]],Table2[#Headers],0),0)</f>
        <v xml:space="preserve"> 11 ft.- 8"</v>
      </c>
      <c r="M274" s="2" t="str">
        <f>VLOOKUP([jobnumber],OvalData[],MATCH(Table2[[#Headers],[Middle Angle]],Table2[#Headers],0),0)</f>
        <v xml:space="preserve"> 10 ft.- 4 1/ 2"</v>
      </c>
      <c r="N274" s="2" t="str">
        <f>VLOOKUP([jobnumber],OvalData[],MATCH(Table2[[#Headers],[Front Angle]],Table2[#Headers],0),0)</f>
        <v xml:space="preserve"> 10 ft.- 3"</v>
      </c>
      <c r="O274" s="2">
        <f>VLOOKUP([jobnumber],OvalData[],MATCH(Table2[[#Headers],[Pipe Center Line]],Table2[#Headers],0),0)</f>
        <v>131</v>
      </c>
      <c r="P274" s="2">
        <f>VLOOKUP([jobnumber],OvalData[],MATCH(Table2[[#Headers],[Heat Expansion Gap]],Table2[#Headers],0),0)</f>
        <v>0</v>
      </c>
      <c r="Q274" s="2">
        <f>VLOOKUP([jobnumber],OvalData[],MATCH(Table2[[#Headers],[Hanging Weight Closed]],Table2[#Headers],0),0)</f>
        <v>795</v>
      </c>
      <c r="R274" s="2">
        <f>VLOOKUP([jobnumber],OvalData[],MATCH(Table2[[#Headers],[Hanging Weight Open]],Table2[#Headers],0),0)</f>
        <v>140</v>
      </c>
      <c r="S274" s="2">
        <f>VLOOKUP([jobnumber],OvalData[],MATCH(Table2[[#Headers],[Initial Lever Arm]],Table2[#Headers],0),0)</f>
        <v>4.25</v>
      </c>
      <c r="T274" s="2">
        <f>VLOOKUP([jobnumber],OvalData[],MATCH(Table2[[#Headers],[Turns to Raise]],Table2[#Headers],0),0)</f>
        <v>3.5859999999999999</v>
      </c>
      <c r="U274" s="2">
        <f>VLOOKUP([jobnumber],OvalData[],MATCH(Table2[[#Headers],[Final Lever Arm]],Table2[#Headers],0),0)</f>
        <v>6.37</v>
      </c>
      <c r="V274" s="2">
        <f>VLOOKUP([jobnumber],OvalData[],MATCH(Table2[[#Headers],[Torque Required Closed]],Table2[#Headers],0),0)</f>
        <v>3377.9</v>
      </c>
      <c r="W274" s="2">
        <f>VLOOKUP([jobnumber],OvalData[],MATCH(Table2[[#Headers],[Torque Required Open]],Table2[#Headers],0),0)</f>
        <v>892</v>
      </c>
      <c r="X274" s="2">
        <f>VLOOKUP([jobnumber],OvalData[],MATCH(Table2[[#Headers],[Pre Turns]],Table2[#Headers],0),0)</f>
        <v>1.3332999999999999</v>
      </c>
      <c r="Y274" s="2">
        <f>VLOOKUP([jobnumber],OvalData[],MATCH(Table2[[#Headers],[Required Torque Per Turn]],Table2[#Headers],0),0)</f>
        <v>688</v>
      </c>
      <c r="Z274" s="2">
        <f>VLOOKUP([jobnumber],OvalData[],MATCH(Table2[[#Headers],[Total Turns]],Table2[#Headers],0),0)</f>
        <v>4.91</v>
      </c>
      <c r="AA274" s="2">
        <f>VLOOKUP([jobnumber],OvalData[],MATCH(Table2[[#Headers],[Grille Vision Section]],Table2[#Headers],0),0)</f>
        <v>0</v>
      </c>
      <c r="AB274" s="2">
        <f>VLOOKUP([jobnumber],OvalData[],MATCH(Table2[[#Headers],[Grille Amount]],Table2[#Headers],0),0)</f>
        <v>0</v>
      </c>
      <c r="AC274" s="2">
        <f>VLOOKUP([jobnumber],OvalData[],MATCH(Table2[[#Headers],[Grille Center]],Table2[#Headers],0),0)</f>
        <v>0</v>
      </c>
      <c r="AD274" s="2">
        <f>VLOOKUP([jobnumber],OvalData[],MATCH(Table2[[#Headers],[Grille Pattern]],Table2[#Headers],0),0)</f>
        <v>0</v>
      </c>
      <c r="AE274" s="2">
        <f>VLOOKUP([jobnumber],OvalData[],MATCH(Table2[[#Headers],[Grille First Tube]],Table2[#Headers],0),0)</f>
        <v>0</v>
      </c>
      <c r="AF274" s="2">
        <f>VLOOKUP([jobnumber],OvalData[],MATCH(Table2[[#Headers],[Grille Standard Tube]],Table2[#Headers],0),0)</f>
        <v>0</v>
      </c>
      <c r="AG274" s="2">
        <f>VLOOKUP([jobnumber],OvalData[],MATCH(Table2[[#Headers],[Grille Total Links]],Table2[#Headers],0),0)</f>
        <v>0</v>
      </c>
      <c r="AH274" s="2">
        <f>VLOOKUP([jobnumber],OvalData[],MATCH(Table2[[#Headers],[Grille Rods]],Table2[#Headers],0),0)</f>
        <v>0</v>
      </c>
      <c r="AI274" s="2">
        <f>VLOOKUP([jobnumber],OvalData[],MATCH(Table2[[#Headers],[Grille Rod Length]],Table2[#Headers],0),0)</f>
        <v>0</v>
      </c>
      <c r="AJ274" s="2">
        <f>VLOOKUP([jobnumber],OvalData[],MATCH(Table2[[#Headers],[slattype]],Table2[#Headers],0),0)</f>
        <v>2</v>
      </c>
      <c r="AK274" s="2">
        <f>VLOOKUP([jobnumber],OvalData[],MATCH(Table2[[#Headers],[slatgage]],Table2[#Headers],0),0)</f>
        <v>18</v>
      </c>
      <c r="AL274" s="2">
        <f>VLOOKUP([jobnumber],OvalData[],MATCH(Table2[[#Headers],[Numer of Top Slats]],Table2[#Headers],0),0)</f>
        <v>0</v>
      </c>
      <c r="AM274" s="2">
        <f>VLOOKUP([jobnumber],OvalData[],MATCH(Table2[[#Headers],[Number of Bottom Slats]],Table2[#Headers],0),0)</f>
        <v>0</v>
      </c>
      <c r="AN274" s="2">
        <f>VLOOKUP([jobnumber],OvalData[],MATCH(Table2[[#Headers],[Solid Bottom Height]],Table2[#Headers],0),0)</f>
        <v>0</v>
      </c>
      <c r="AO274" s="2" t="str">
        <f>VLOOKUP([jobnumber],OvalData[],MATCH(Table2[[#Headers],[slatlength]],Table2[#Headers],0),0)</f>
        <v xml:space="preserve"> 18 ft.- 5 7/ 8"</v>
      </c>
      <c r="AP274" s="2">
        <f>VLOOKUP([jobnumber],OvalData[],MATCH(Table2[[#Headers],[Bottom Slat Length]],Table2[#Headers],0),0)</f>
        <v>0</v>
      </c>
      <c r="AQ274" s="2">
        <f>VLOOKUP([jobnumber],OvalData[],MATCH(Table2[[#Headers],[Number of Perferated Slats]],Table2[#Headers],0),0)</f>
        <v>0</v>
      </c>
      <c r="AR274" s="2">
        <f>VLOOKUP([jobnumber],OvalData[],MATCH(Table2[[#Headers],[First Preferated Slat From End]],Table2[#Headers],0),0)</f>
        <v>0</v>
      </c>
      <c r="AS274" s="2">
        <f>VLOOKUP([jobnumber],OvalData[],MATCH(Table2[[#Headers],[First Preferated Slat From Bottom]],Table2[#Headers],0),0)</f>
        <v>0</v>
      </c>
      <c r="AT274" s="2">
        <f>VLOOKUP([jobnumber],OvalData[],MATCH(Table2[[#Headers],[Total Number of Slats]],Table2[#Headers],0),0)</f>
        <v>51</v>
      </c>
      <c r="AU274" s="2">
        <f>VLOOKUP([jobnumber],OvalData[],MATCH(Table2[[#Headers],[Bottom Bar Slope]],Table2[#Headers],0),0)</f>
        <v>0</v>
      </c>
      <c r="AV274" s="2">
        <f>VLOOKUP([jobnumber],OvalData[],MATCH(Table2[[#Headers],[Bottom Bar Weight]],Table2[#Headers],0),0)</f>
        <v>80.5</v>
      </c>
      <c r="AW274" s="2" t="str">
        <f>VLOOKUP([jobnumber],OvalData[],MATCH(Table2[[#Headers],[Outer Spring Gage]],Table2[#Headers],0),0)</f>
        <v>Null</v>
      </c>
      <c r="AX274" s="2" t="str">
        <f>VLOOKUP([jobnumber],OvalData[],MATCH(Table2[[#Headers],[Outer Spring OD]],Table2[#Headers],0),0)</f>
        <v>Null</v>
      </c>
      <c r="AY274" s="2" t="str">
        <f>VLOOKUP([jobnumber],OvalData[],MATCH(Table2[[#Headers],[Outer Spring Length]],Table2[#Headers],0),0)</f>
        <v>Null</v>
      </c>
      <c r="AZ274" s="2" t="str">
        <f>VLOOKUP([jobnumber],OvalData[],MATCH(Table2[[#Headers],[Outer Spring Stretch]],Table2[#Headers],0),0)</f>
        <v>Null</v>
      </c>
      <c r="BA274" s="2" t="str">
        <f>VLOOKUP([jobnumber],OvalData[],MATCH(Table2[[#Headers],[Outer Spring Torque]],Table2[#Headers],0),0)</f>
        <v>Null</v>
      </c>
      <c r="BB274" s="2" t="str">
        <f>VLOOKUP([jobnumber],OvalData[],MATCH(Table2[[#Headers],[Outer Spring Max Turns]],Table2[#Headers],0),0)</f>
        <v>Null</v>
      </c>
      <c r="BC274" s="2" t="str">
        <f>VLOOKUP([jobnumber],OvalData[],MATCH(Table2[[#Headers],[Outer Spring Weight]],Table2[#Headers],0),0)</f>
        <v>Null</v>
      </c>
      <c r="BD274" s="2" t="str">
        <f>VLOOKUP([jobnumber],OvalData[],MATCH(Table2[[#Headers],[Inner Spring Gage]],Table2[#Headers],0),0)</f>
        <v>Null</v>
      </c>
      <c r="BE274" s="2" t="str">
        <f>VLOOKUP([jobnumber],OvalData[],MATCH(Table2[[#Headers],[Inner Spring OD]],Table2[#Headers],0),0)</f>
        <v>Null</v>
      </c>
      <c r="BF274" s="2" t="str">
        <f>VLOOKUP([jobnumber],OvalData[],MATCH(Table2[[#Headers],[Inner Spring Length]],Table2[#Headers],0),0)</f>
        <v>Null</v>
      </c>
      <c r="BG274" s="2" t="str">
        <f>VLOOKUP([jobnumber],OvalData[],MATCH(Table2[[#Headers],[Inner Spring Stretch]],Table2[#Headers],0),0)</f>
        <v>Null</v>
      </c>
      <c r="BH274" s="2" t="str">
        <f>VLOOKUP([jobnumber],OvalData[],MATCH(Table2[[#Headers],[Inner Spring Torque]],Table2[#Headers],0),0)</f>
        <v>Null</v>
      </c>
      <c r="BI274" s="2" t="str">
        <f>VLOOKUP([jobnumber],OvalData[],MATCH(Table2[[#Headers],[Inner Spring Max Turns]],Table2[#Headers],0),0)</f>
        <v>Null</v>
      </c>
      <c r="BJ274" s="2" t="str">
        <f>VLOOKUP([jobnumber],OvalData[],MATCH(Table2[[#Headers],[Inner Spring Weight]],Table2[#Headers],0),0)</f>
        <v>Null</v>
      </c>
      <c r="BK274" s="2">
        <f>VLOOKUP([jobnumber],OvalData[],MATCH(Table2[[#Headers],[Cycles]],Table2[#Headers],0),0)</f>
        <v>0</v>
      </c>
      <c r="BL274" s="2">
        <f>VLOOKUP([jobnumber],OvalData[],MATCH(Table2[[#Headers],[Total Spring Torque]],Table2[#Headers],0),0)</f>
        <v>0</v>
      </c>
      <c r="BM274" s="2">
        <f>VLOOKUP([jobnumber],OvalData[],MATCH(Table2[[#Headers],[Total Spring Weight]],Table2[#Headers],0),0)</f>
        <v>0</v>
      </c>
      <c r="BN274" s="2">
        <f>VLOOKUP([jobnumber],OvalData[],MATCH(Table2[[#Headers],[Pipe Weight]],Table2[#Headers],0),0)</f>
        <v>688.24239999999998</v>
      </c>
      <c r="BO274" s="2">
        <f>VLOOKUP([jobnumber],OvalData[],MATCH(Table2[[#Headers],[Max Pipe Deflection]],Table2[#Headers],0),0)</f>
        <v>2309</v>
      </c>
      <c r="BP274" s="2">
        <f>VLOOKUP([jobnumber],OvalData[],MATCH(Table2[[#Headers],[Number Non-Insulated Wrap Slats]],Table2[#Headers],0),0)</f>
        <v>0</v>
      </c>
      <c r="BQ274" s="2">
        <f>VLOOKUP([jobnumber],OvalData[],MATCH(Table2[[#Headers],[Number of Insolated Top Slats]],Table2[#Headers],0),0)</f>
        <v>45</v>
      </c>
      <c r="BR274" s="2">
        <f>VLOOKUP([jobnumber],OvalData[],MATCH(Table2[[#Headers],[Insolated Total Slats]],Table2[#Headers],0),0)</f>
        <v>45</v>
      </c>
      <c r="BS274" s="2">
        <f>VLOOKUP([jobnumber],OvalData[],MATCH(Table2[[#Headers],[Number of Slats]],Table2[#Headers],0),0)</f>
        <v>44.69</v>
      </c>
      <c r="BT274" s="2">
        <f>VLOOKUP([jobnumber],OvalData[],MATCH(Table2[[#Headers],[Wrap]],Table2[#Headers],0),0)</f>
        <v>0</v>
      </c>
      <c r="BU274" s="2">
        <f>VLOOKUP([jobnumber],OvalData[],MATCH(Table2[[#Headers],[Wall Angle Thickness]],Table2[#Headers],0),0)</f>
        <v>0</v>
      </c>
      <c r="BV274" s="2">
        <f>VLOOKUP([jobnumber],OvalData[],MATCH(Table2[[#Headers],[windlocks]],Table2[#Headers],0),0)</f>
        <v>0</v>
      </c>
      <c r="BW274" s="2" t="str">
        <f>VLOOKUP([jobnumber],OvalData[],MATCH(Table2[[#Headers],[bottombartype]],Table2[#Headers],0),0)</f>
        <v>SPECIAL</v>
      </c>
      <c r="BX274" s="2">
        <f>VLOOKUP([jobnumber],OvalData[],MATCH(Table2[[#Headers],[endlockweight]],Table2[#Headers],0),0)</f>
        <v>0.17</v>
      </c>
      <c r="BY274" s="2">
        <f>VLOOKUP([jobnumber],OvalData[],MATCH(Table2[[#Headers],[Endlock Total Weight]],Table2[#Headers],0),0)</f>
        <v>7.5972999999999997</v>
      </c>
      <c r="BZ274" s="2">
        <f>VLOOKUP([jobnumber],OvalData[],MATCH(Table2[[#Headers],[Grille Weight]],Table2[#Headers],0),0)</f>
        <v>0</v>
      </c>
      <c r="CA274" s="2">
        <f>VLOOKUP([jobnumber],OvalData[],MATCH(Table2[[#Headers],[barrelrings]],Table2[#Headers],0),0)</f>
        <v>1</v>
      </c>
    </row>
    <row r="275" spans="2:79">
      <c r="B275" s="2" t="str">
        <f>VLOOKUP([jobnumber],OvalData[],MATCH(Table2[[#Headers],[Hand]],Table2[#Headers],0),0)</f>
        <v>RH</v>
      </c>
      <c r="C275" s="2" t="str">
        <f>VLOOKUP([jobnumber],OvalData[],MATCH(Table2[[#Headers],[Model]],Table2[#Headers],0),0)</f>
        <v>SFMPP</v>
      </c>
      <c r="D275" s="2" t="str">
        <f>VLOOKUP([jobnumber],OvalData[],MATCH(Table2[[#Headers],[width]],Table2[#Headers],0),0)</f>
        <v xml:space="preserve"> 18 ft.- 2"</v>
      </c>
      <c r="E275" s="2" t="str">
        <f>VLOOKUP([jobnumber],OvalData[],MATCH(Table2[[#Headers],[stopheight]],Table2[#Headers],0),0)</f>
        <v xml:space="preserve"> 10 ft.- 0"</v>
      </c>
      <c r="F275" s="2" t="str">
        <f>VLOOKUP([jobnumber],OvalData[],MATCH(Table2[[#Headers],[Between Brackets]],Table2[#Headers],0),0)</f>
        <v xml:space="preserve"> 18 ft.- 7 7/ 8"</v>
      </c>
      <c r="G275" s="2" t="str">
        <f>VLOOKUP([jobnumber],OvalData[],MATCH(Table2[[#Headers],[shell]],Table2[#Headers],0),0)</f>
        <v>6 INCH TUBE</v>
      </c>
      <c r="H275" s="2" t="str">
        <f>VLOOKUP([jobnumber],OvalData[],MATCH(Table2[[#Headers],[pipewidth]],Table2[#Headers],0),0)</f>
        <v xml:space="preserve"> 18 ft.- 1 3/ 8"</v>
      </c>
      <c r="I275" s="2">
        <f>VLOOKUP([jobnumber],OvalData[],MATCH(Table2[[#Headers],[Support Tubes]],Table2[#Headers],0),0)</f>
        <v>0</v>
      </c>
      <c r="J275" s="2">
        <f>VLOOKUP([jobnumber],OvalData[],MATCH(Table2[[#Headers],[Upset]],Table2[#Headers],0),0)</f>
        <v>2</v>
      </c>
      <c r="K275" s="2" t="str">
        <f>VLOOKUP([jobnumber],OvalData[],MATCH(Table2[[#Headers],[Guide Type]],Table2[#Headers],0),0)</f>
        <v>SN2-4 5/8-E</v>
      </c>
      <c r="L275" s="2" t="str">
        <f>VLOOKUP([jobnumber],OvalData[],MATCH(Table2[[#Headers],[Wall Angle]],Table2[#Headers],0),0)</f>
        <v xml:space="preserve"> 11 ft.- 8"</v>
      </c>
      <c r="M275" s="2" t="str">
        <f>VLOOKUP([jobnumber],OvalData[],MATCH(Table2[[#Headers],[Middle Angle]],Table2[#Headers],0),0)</f>
        <v xml:space="preserve"> 10 ft.- 4 1/ 2"</v>
      </c>
      <c r="N275" s="2" t="str">
        <f>VLOOKUP([jobnumber],OvalData[],MATCH(Table2[[#Headers],[Front Angle]],Table2[#Headers],0),0)</f>
        <v xml:space="preserve"> 10 ft.- 3"</v>
      </c>
      <c r="O275" s="2">
        <f>VLOOKUP([jobnumber],OvalData[],MATCH(Table2[[#Headers],[Pipe Center Line]],Table2[#Headers],0),0)</f>
        <v>131</v>
      </c>
      <c r="P275" s="2">
        <f>VLOOKUP([jobnumber],OvalData[],MATCH(Table2[[#Headers],[Heat Expansion Gap]],Table2[#Headers],0),0)</f>
        <v>0</v>
      </c>
      <c r="Q275" s="2">
        <f>VLOOKUP([jobnumber],OvalData[],MATCH(Table2[[#Headers],[Hanging Weight Closed]],Table2[#Headers],0),0)</f>
        <v>795</v>
      </c>
      <c r="R275" s="2">
        <f>VLOOKUP([jobnumber],OvalData[],MATCH(Table2[[#Headers],[Hanging Weight Open]],Table2[#Headers],0),0)</f>
        <v>140</v>
      </c>
      <c r="S275" s="2">
        <f>VLOOKUP([jobnumber],OvalData[],MATCH(Table2[[#Headers],[Initial Lever Arm]],Table2[#Headers],0),0)</f>
        <v>4.25</v>
      </c>
      <c r="T275" s="2">
        <f>VLOOKUP([jobnumber],OvalData[],MATCH(Table2[[#Headers],[Turns to Raise]],Table2[#Headers],0),0)</f>
        <v>3.5859999999999999</v>
      </c>
      <c r="U275" s="2">
        <f>VLOOKUP([jobnumber],OvalData[],MATCH(Table2[[#Headers],[Final Lever Arm]],Table2[#Headers],0),0)</f>
        <v>6.37</v>
      </c>
      <c r="V275" s="2">
        <f>VLOOKUP([jobnumber],OvalData[],MATCH(Table2[[#Headers],[Torque Required Closed]],Table2[#Headers],0),0)</f>
        <v>3377.9</v>
      </c>
      <c r="W275" s="2">
        <f>VLOOKUP([jobnumber],OvalData[],MATCH(Table2[[#Headers],[Torque Required Open]],Table2[#Headers],0),0)</f>
        <v>892</v>
      </c>
      <c r="X275" s="2">
        <f>VLOOKUP([jobnumber],OvalData[],MATCH(Table2[[#Headers],[Pre Turns]],Table2[#Headers],0),0)</f>
        <v>1.3332999999999999</v>
      </c>
      <c r="Y275" s="2">
        <f>VLOOKUP([jobnumber],OvalData[],MATCH(Table2[[#Headers],[Required Torque Per Turn]],Table2[#Headers],0),0)</f>
        <v>688</v>
      </c>
      <c r="Z275" s="2">
        <f>VLOOKUP([jobnumber],OvalData[],MATCH(Table2[[#Headers],[Total Turns]],Table2[#Headers],0),0)</f>
        <v>4.91</v>
      </c>
      <c r="AA275" s="2">
        <f>VLOOKUP([jobnumber],OvalData[],MATCH(Table2[[#Headers],[Grille Vision Section]],Table2[#Headers],0),0)</f>
        <v>0</v>
      </c>
      <c r="AB275" s="2">
        <f>VLOOKUP([jobnumber],OvalData[],MATCH(Table2[[#Headers],[Grille Amount]],Table2[#Headers],0),0)</f>
        <v>0</v>
      </c>
      <c r="AC275" s="2">
        <f>VLOOKUP([jobnumber],OvalData[],MATCH(Table2[[#Headers],[Grille Center]],Table2[#Headers],0),0)</f>
        <v>0</v>
      </c>
      <c r="AD275" s="2">
        <f>VLOOKUP([jobnumber],OvalData[],MATCH(Table2[[#Headers],[Grille Pattern]],Table2[#Headers],0),0)</f>
        <v>0</v>
      </c>
      <c r="AE275" s="2">
        <f>VLOOKUP([jobnumber],OvalData[],MATCH(Table2[[#Headers],[Grille First Tube]],Table2[#Headers],0),0)</f>
        <v>0</v>
      </c>
      <c r="AF275" s="2">
        <f>VLOOKUP([jobnumber],OvalData[],MATCH(Table2[[#Headers],[Grille Standard Tube]],Table2[#Headers],0),0)</f>
        <v>0</v>
      </c>
      <c r="AG275" s="2">
        <f>VLOOKUP([jobnumber],OvalData[],MATCH(Table2[[#Headers],[Grille Total Links]],Table2[#Headers],0),0)</f>
        <v>0</v>
      </c>
      <c r="AH275" s="2">
        <f>VLOOKUP([jobnumber],OvalData[],MATCH(Table2[[#Headers],[Grille Rods]],Table2[#Headers],0),0)</f>
        <v>0</v>
      </c>
      <c r="AI275" s="2">
        <f>VLOOKUP([jobnumber],OvalData[],MATCH(Table2[[#Headers],[Grille Rod Length]],Table2[#Headers],0),0)</f>
        <v>0</v>
      </c>
      <c r="AJ275" s="2">
        <f>VLOOKUP([jobnumber],OvalData[],MATCH(Table2[[#Headers],[slattype]],Table2[#Headers],0),0)</f>
        <v>2</v>
      </c>
      <c r="AK275" s="2">
        <f>VLOOKUP([jobnumber],OvalData[],MATCH(Table2[[#Headers],[slatgage]],Table2[#Headers],0),0)</f>
        <v>18</v>
      </c>
      <c r="AL275" s="2">
        <f>VLOOKUP([jobnumber],OvalData[],MATCH(Table2[[#Headers],[Numer of Top Slats]],Table2[#Headers],0),0)</f>
        <v>0</v>
      </c>
      <c r="AM275" s="2">
        <f>VLOOKUP([jobnumber],OvalData[],MATCH(Table2[[#Headers],[Number of Bottom Slats]],Table2[#Headers],0),0)</f>
        <v>0</v>
      </c>
      <c r="AN275" s="2">
        <f>VLOOKUP([jobnumber],OvalData[],MATCH(Table2[[#Headers],[Solid Bottom Height]],Table2[#Headers],0),0)</f>
        <v>0</v>
      </c>
      <c r="AO275" s="2" t="str">
        <f>VLOOKUP([jobnumber],OvalData[],MATCH(Table2[[#Headers],[slatlength]],Table2[#Headers],0),0)</f>
        <v xml:space="preserve"> 18 ft.- 5 7/ 8"</v>
      </c>
      <c r="AP275" s="2">
        <f>VLOOKUP([jobnumber],OvalData[],MATCH(Table2[[#Headers],[Bottom Slat Length]],Table2[#Headers],0),0)</f>
        <v>0</v>
      </c>
      <c r="AQ275" s="2">
        <f>VLOOKUP([jobnumber],OvalData[],MATCH(Table2[[#Headers],[Number of Perferated Slats]],Table2[#Headers],0),0)</f>
        <v>0</v>
      </c>
      <c r="AR275" s="2">
        <f>VLOOKUP([jobnumber],OvalData[],MATCH(Table2[[#Headers],[First Preferated Slat From End]],Table2[#Headers],0),0)</f>
        <v>0</v>
      </c>
      <c r="AS275" s="2">
        <f>VLOOKUP([jobnumber],OvalData[],MATCH(Table2[[#Headers],[First Preferated Slat From Bottom]],Table2[#Headers],0),0)</f>
        <v>0</v>
      </c>
      <c r="AT275" s="2">
        <f>VLOOKUP([jobnumber],OvalData[],MATCH(Table2[[#Headers],[Total Number of Slats]],Table2[#Headers],0),0)</f>
        <v>51</v>
      </c>
      <c r="AU275" s="2">
        <f>VLOOKUP([jobnumber],OvalData[],MATCH(Table2[[#Headers],[Bottom Bar Slope]],Table2[#Headers],0),0)</f>
        <v>0</v>
      </c>
      <c r="AV275" s="2">
        <f>VLOOKUP([jobnumber],OvalData[],MATCH(Table2[[#Headers],[Bottom Bar Weight]],Table2[#Headers],0),0)</f>
        <v>80.5</v>
      </c>
      <c r="AW275" s="2" t="str">
        <f>VLOOKUP([jobnumber],OvalData[],MATCH(Table2[[#Headers],[Outer Spring Gage]],Table2[#Headers],0),0)</f>
        <v>Null</v>
      </c>
      <c r="AX275" s="2" t="str">
        <f>VLOOKUP([jobnumber],OvalData[],MATCH(Table2[[#Headers],[Outer Spring OD]],Table2[#Headers],0),0)</f>
        <v>Null</v>
      </c>
      <c r="AY275" s="2" t="str">
        <f>VLOOKUP([jobnumber],OvalData[],MATCH(Table2[[#Headers],[Outer Spring Length]],Table2[#Headers],0),0)</f>
        <v>Null</v>
      </c>
      <c r="AZ275" s="2" t="str">
        <f>VLOOKUP([jobnumber],OvalData[],MATCH(Table2[[#Headers],[Outer Spring Stretch]],Table2[#Headers],0),0)</f>
        <v>Null</v>
      </c>
      <c r="BA275" s="2" t="str">
        <f>VLOOKUP([jobnumber],OvalData[],MATCH(Table2[[#Headers],[Outer Spring Torque]],Table2[#Headers],0),0)</f>
        <v>Null</v>
      </c>
      <c r="BB275" s="2" t="str">
        <f>VLOOKUP([jobnumber],OvalData[],MATCH(Table2[[#Headers],[Outer Spring Max Turns]],Table2[#Headers],0),0)</f>
        <v>Null</v>
      </c>
      <c r="BC275" s="2" t="str">
        <f>VLOOKUP([jobnumber],OvalData[],MATCH(Table2[[#Headers],[Outer Spring Weight]],Table2[#Headers],0),0)</f>
        <v>Null</v>
      </c>
      <c r="BD275" s="2" t="str">
        <f>VLOOKUP([jobnumber],OvalData[],MATCH(Table2[[#Headers],[Inner Spring Gage]],Table2[#Headers],0),0)</f>
        <v>Null</v>
      </c>
      <c r="BE275" s="2" t="str">
        <f>VLOOKUP([jobnumber],OvalData[],MATCH(Table2[[#Headers],[Inner Spring OD]],Table2[#Headers],0),0)</f>
        <v>Null</v>
      </c>
      <c r="BF275" s="2" t="str">
        <f>VLOOKUP([jobnumber],OvalData[],MATCH(Table2[[#Headers],[Inner Spring Length]],Table2[#Headers],0),0)</f>
        <v>Null</v>
      </c>
      <c r="BG275" s="2" t="str">
        <f>VLOOKUP([jobnumber],OvalData[],MATCH(Table2[[#Headers],[Inner Spring Stretch]],Table2[#Headers],0),0)</f>
        <v>Null</v>
      </c>
      <c r="BH275" s="2" t="str">
        <f>VLOOKUP([jobnumber],OvalData[],MATCH(Table2[[#Headers],[Inner Spring Torque]],Table2[#Headers],0),0)</f>
        <v>Null</v>
      </c>
      <c r="BI275" s="2" t="str">
        <f>VLOOKUP([jobnumber],OvalData[],MATCH(Table2[[#Headers],[Inner Spring Max Turns]],Table2[#Headers],0),0)</f>
        <v>Null</v>
      </c>
      <c r="BJ275" s="2" t="str">
        <f>VLOOKUP([jobnumber],OvalData[],MATCH(Table2[[#Headers],[Inner Spring Weight]],Table2[#Headers],0),0)</f>
        <v>Null</v>
      </c>
      <c r="BK275" s="2">
        <f>VLOOKUP([jobnumber],OvalData[],MATCH(Table2[[#Headers],[Cycles]],Table2[#Headers],0),0)</f>
        <v>0</v>
      </c>
      <c r="BL275" s="2">
        <f>VLOOKUP([jobnumber],OvalData[],MATCH(Table2[[#Headers],[Total Spring Torque]],Table2[#Headers],0),0)</f>
        <v>0</v>
      </c>
      <c r="BM275" s="2">
        <f>VLOOKUP([jobnumber],OvalData[],MATCH(Table2[[#Headers],[Total Spring Weight]],Table2[#Headers],0),0)</f>
        <v>0</v>
      </c>
      <c r="BN275" s="2">
        <f>VLOOKUP([jobnumber],OvalData[],MATCH(Table2[[#Headers],[Pipe Weight]],Table2[#Headers],0),0)</f>
        <v>688.24239999999998</v>
      </c>
      <c r="BO275" s="2">
        <f>VLOOKUP([jobnumber],OvalData[],MATCH(Table2[[#Headers],[Max Pipe Deflection]],Table2[#Headers],0),0)</f>
        <v>2309</v>
      </c>
      <c r="BP275" s="2">
        <f>VLOOKUP([jobnumber],OvalData[],MATCH(Table2[[#Headers],[Number Non-Insulated Wrap Slats]],Table2[#Headers],0),0)</f>
        <v>0</v>
      </c>
      <c r="BQ275" s="2">
        <f>VLOOKUP([jobnumber],OvalData[],MATCH(Table2[[#Headers],[Number of Insolated Top Slats]],Table2[#Headers],0),0)</f>
        <v>45</v>
      </c>
      <c r="BR275" s="2">
        <f>VLOOKUP([jobnumber],OvalData[],MATCH(Table2[[#Headers],[Insolated Total Slats]],Table2[#Headers],0),0)</f>
        <v>45</v>
      </c>
      <c r="BS275" s="2">
        <f>VLOOKUP([jobnumber],OvalData[],MATCH(Table2[[#Headers],[Number of Slats]],Table2[#Headers],0),0)</f>
        <v>44.69</v>
      </c>
      <c r="BT275" s="2">
        <f>VLOOKUP([jobnumber],OvalData[],MATCH(Table2[[#Headers],[Wrap]],Table2[#Headers],0),0)</f>
        <v>0</v>
      </c>
      <c r="BU275" s="2">
        <f>VLOOKUP([jobnumber],OvalData[],MATCH(Table2[[#Headers],[Wall Angle Thickness]],Table2[#Headers],0),0)</f>
        <v>0</v>
      </c>
      <c r="BV275" s="2">
        <f>VLOOKUP([jobnumber],OvalData[],MATCH(Table2[[#Headers],[windlocks]],Table2[#Headers],0),0)</f>
        <v>0</v>
      </c>
      <c r="BW275" s="2" t="str">
        <f>VLOOKUP([jobnumber],OvalData[],MATCH(Table2[[#Headers],[bottombartype]],Table2[#Headers],0),0)</f>
        <v>SPECIAL</v>
      </c>
      <c r="BX275" s="2">
        <f>VLOOKUP([jobnumber],OvalData[],MATCH(Table2[[#Headers],[endlockweight]],Table2[#Headers],0),0)</f>
        <v>0.17</v>
      </c>
      <c r="BY275" s="2">
        <f>VLOOKUP([jobnumber],OvalData[],MATCH(Table2[[#Headers],[Endlock Total Weight]],Table2[#Headers],0),0)</f>
        <v>7.5972999999999997</v>
      </c>
      <c r="BZ275" s="2">
        <f>VLOOKUP([jobnumber],OvalData[],MATCH(Table2[[#Headers],[Grille Weight]],Table2[#Headers],0),0)</f>
        <v>0</v>
      </c>
      <c r="CA275" s="2">
        <f>VLOOKUP([jobnumber],OvalData[],MATCH(Table2[[#Headers],[barrelrings]],Table2[#Headers],0),0)</f>
        <v>1</v>
      </c>
    </row>
    <row r="276" spans="2:79">
      <c r="B276" s="2" t="str">
        <f>VLOOKUP([jobnumber],OvalData[],MATCH(Table2[[#Headers],[Hand]],Table2[#Headers],0),0)</f>
        <v>RH</v>
      </c>
      <c r="C276" s="2" t="str">
        <f>VLOOKUP([jobnumber],OvalData[],MATCH(Table2[[#Headers],[Model]],Table2[#Headers],0),0)</f>
        <v>SFMPP</v>
      </c>
      <c r="D276" s="2" t="str">
        <f>VLOOKUP([jobnumber],OvalData[],MATCH(Table2[[#Headers],[width]],Table2[#Headers],0),0)</f>
        <v xml:space="preserve"> 18 ft.- 2"</v>
      </c>
      <c r="E276" s="2" t="str">
        <f>VLOOKUP([jobnumber],OvalData[],MATCH(Table2[[#Headers],[stopheight]],Table2[#Headers],0),0)</f>
        <v xml:space="preserve"> 10 ft.- 0"</v>
      </c>
      <c r="F276" s="2" t="str">
        <f>VLOOKUP([jobnumber],OvalData[],MATCH(Table2[[#Headers],[Between Brackets]],Table2[#Headers],0),0)</f>
        <v xml:space="preserve"> 18 ft.- 7 7/ 8"</v>
      </c>
      <c r="G276" s="2" t="str">
        <f>VLOOKUP([jobnumber],OvalData[],MATCH(Table2[[#Headers],[shell]],Table2[#Headers],0),0)</f>
        <v>6 INCH TUBE</v>
      </c>
      <c r="H276" s="2" t="str">
        <f>VLOOKUP([jobnumber],OvalData[],MATCH(Table2[[#Headers],[pipewidth]],Table2[#Headers],0),0)</f>
        <v xml:space="preserve"> 18 ft.- 1 3/ 8"</v>
      </c>
      <c r="I276" s="2">
        <f>VLOOKUP([jobnumber],OvalData[],MATCH(Table2[[#Headers],[Support Tubes]],Table2[#Headers],0),0)</f>
        <v>0</v>
      </c>
      <c r="J276" s="2">
        <f>VLOOKUP([jobnumber],OvalData[],MATCH(Table2[[#Headers],[Upset]],Table2[#Headers],0),0)</f>
        <v>2</v>
      </c>
      <c r="K276" s="2" t="str">
        <f>VLOOKUP([jobnumber],OvalData[],MATCH(Table2[[#Headers],[Guide Type]],Table2[#Headers],0),0)</f>
        <v>SN2-4 5/8-E</v>
      </c>
      <c r="L276" s="2" t="str">
        <f>VLOOKUP([jobnumber],OvalData[],MATCH(Table2[[#Headers],[Wall Angle]],Table2[#Headers],0),0)</f>
        <v xml:space="preserve"> 11 ft.- 8"</v>
      </c>
      <c r="M276" s="2" t="str">
        <f>VLOOKUP([jobnumber],OvalData[],MATCH(Table2[[#Headers],[Middle Angle]],Table2[#Headers],0),0)</f>
        <v xml:space="preserve"> 10 ft.- 4 1/ 2"</v>
      </c>
      <c r="N276" s="2" t="str">
        <f>VLOOKUP([jobnumber],OvalData[],MATCH(Table2[[#Headers],[Front Angle]],Table2[#Headers],0),0)</f>
        <v xml:space="preserve"> 10 ft.- 3"</v>
      </c>
      <c r="O276" s="2">
        <f>VLOOKUP([jobnumber],OvalData[],MATCH(Table2[[#Headers],[Pipe Center Line]],Table2[#Headers],0),0)</f>
        <v>131</v>
      </c>
      <c r="P276" s="2">
        <f>VLOOKUP([jobnumber],OvalData[],MATCH(Table2[[#Headers],[Heat Expansion Gap]],Table2[#Headers],0),0)</f>
        <v>0</v>
      </c>
      <c r="Q276" s="2">
        <f>VLOOKUP([jobnumber],OvalData[],MATCH(Table2[[#Headers],[Hanging Weight Closed]],Table2[#Headers],0),0)</f>
        <v>795</v>
      </c>
      <c r="R276" s="2">
        <f>VLOOKUP([jobnumber],OvalData[],MATCH(Table2[[#Headers],[Hanging Weight Open]],Table2[#Headers],0),0)</f>
        <v>140</v>
      </c>
      <c r="S276" s="2">
        <f>VLOOKUP([jobnumber],OvalData[],MATCH(Table2[[#Headers],[Initial Lever Arm]],Table2[#Headers],0),0)</f>
        <v>4.25</v>
      </c>
      <c r="T276" s="2">
        <f>VLOOKUP([jobnumber],OvalData[],MATCH(Table2[[#Headers],[Turns to Raise]],Table2[#Headers],0),0)</f>
        <v>3.5859999999999999</v>
      </c>
      <c r="U276" s="2">
        <f>VLOOKUP([jobnumber],OvalData[],MATCH(Table2[[#Headers],[Final Lever Arm]],Table2[#Headers],0),0)</f>
        <v>6.37</v>
      </c>
      <c r="V276" s="2">
        <f>VLOOKUP([jobnumber],OvalData[],MATCH(Table2[[#Headers],[Torque Required Closed]],Table2[#Headers],0),0)</f>
        <v>3377.9</v>
      </c>
      <c r="W276" s="2">
        <f>VLOOKUP([jobnumber],OvalData[],MATCH(Table2[[#Headers],[Torque Required Open]],Table2[#Headers],0),0)</f>
        <v>892</v>
      </c>
      <c r="X276" s="2">
        <f>VLOOKUP([jobnumber],OvalData[],MATCH(Table2[[#Headers],[Pre Turns]],Table2[#Headers],0),0)</f>
        <v>1.3332999999999999</v>
      </c>
      <c r="Y276" s="2">
        <f>VLOOKUP([jobnumber],OvalData[],MATCH(Table2[[#Headers],[Required Torque Per Turn]],Table2[#Headers],0),0)</f>
        <v>688</v>
      </c>
      <c r="Z276" s="2">
        <f>VLOOKUP([jobnumber],OvalData[],MATCH(Table2[[#Headers],[Total Turns]],Table2[#Headers],0),0)</f>
        <v>4.91</v>
      </c>
      <c r="AA276" s="2">
        <f>VLOOKUP([jobnumber],OvalData[],MATCH(Table2[[#Headers],[Grille Vision Section]],Table2[#Headers],0),0)</f>
        <v>0</v>
      </c>
      <c r="AB276" s="2">
        <f>VLOOKUP([jobnumber],OvalData[],MATCH(Table2[[#Headers],[Grille Amount]],Table2[#Headers],0),0)</f>
        <v>0</v>
      </c>
      <c r="AC276" s="2">
        <f>VLOOKUP([jobnumber],OvalData[],MATCH(Table2[[#Headers],[Grille Center]],Table2[#Headers],0),0)</f>
        <v>0</v>
      </c>
      <c r="AD276" s="2">
        <f>VLOOKUP([jobnumber],OvalData[],MATCH(Table2[[#Headers],[Grille Pattern]],Table2[#Headers],0),0)</f>
        <v>0</v>
      </c>
      <c r="AE276" s="2">
        <f>VLOOKUP([jobnumber],OvalData[],MATCH(Table2[[#Headers],[Grille First Tube]],Table2[#Headers],0),0)</f>
        <v>0</v>
      </c>
      <c r="AF276" s="2">
        <f>VLOOKUP([jobnumber],OvalData[],MATCH(Table2[[#Headers],[Grille Standard Tube]],Table2[#Headers],0),0)</f>
        <v>0</v>
      </c>
      <c r="AG276" s="2">
        <f>VLOOKUP([jobnumber],OvalData[],MATCH(Table2[[#Headers],[Grille Total Links]],Table2[#Headers],0),0)</f>
        <v>0</v>
      </c>
      <c r="AH276" s="2">
        <f>VLOOKUP([jobnumber],OvalData[],MATCH(Table2[[#Headers],[Grille Rods]],Table2[#Headers],0),0)</f>
        <v>0</v>
      </c>
      <c r="AI276" s="2">
        <f>VLOOKUP([jobnumber],OvalData[],MATCH(Table2[[#Headers],[Grille Rod Length]],Table2[#Headers],0),0)</f>
        <v>0</v>
      </c>
      <c r="AJ276" s="2">
        <f>VLOOKUP([jobnumber],OvalData[],MATCH(Table2[[#Headers],[slattype]],Table2[#Headers],0),0)</f>
        <v>2</v>
      </c>
      <c r="AK276" s="2">
        <f>VLOOKUP([jobnumber],OvalData[],MATCH(Table2[[#Headers],[slatgage]],Table2[#Headers],0),0)</f>
        <v>18</v>
      </c>
      <c r="AL276" s="2">
        <f>VLOOKUP([jobnumber],OvalData[],MATCH(Table2[[#Headers],[Numer of Top Slats]],Table2[#Headers],0),0)</f>
        <v>0</v>
      </c>
      <c r="AM276" s="2">
        <f>VLOOKUP([jobnumber],OvalData[],MATCH(Table2[[#Headers],[Number of Bottom Slats]],Table2[#Headers],0),0)</f>
        <v>0</v>
      </c>
      <c r="AN276" s="2">
        <f>VLOOKUP([jobnumber],OvalData[],MATCH(Table2[[#Headers],[Solid Bottom Height]],Table2[#Headers],0),0)</f>
        <v>0</v>
      </c>
      <c r="AO276" s="2" t="str">
        <f>VLOOKUP([jobnumber],OvalData[],MATCH(Table2[[#Headers],[slatlength]],Table2[#Headers],0),0)</f>
        <v xml:space="preserve"> 18 ft.- 5 7/ 8"</v>
      </c>
      <c r="AP276" s="2">
        <f>VLOOKUP([jobnumber],OvalData[],MATCH(Table2[[#Headers],[Bottom Slat Length]],Table2[#Headers],0),0)</f>
        <v>0</v>
      </c>
      <c r="AQ276" s="2">
        <f>VLOOKUP([jobnumber],OvalData[],MATCH(Table2[[#Headers],[Number of Perferated Slats]],Table2[#Headers],0),0)</f>
        <v>0</v>
      </c>
      <c r="AR276" s="2">
        <f>VLOOKUP([jobnumber],OvalData[],MATCH(Table2[[#Headers],[First Preferated Slat From End]],Table2[#Headers],0),0)</f>
        <v>0</v>
      </c>
      <c r="AS276" s="2">
        <f>VLOOKUP([jobnumber],OvalData[],MATCH(Table2[[#Headers],[First Preferated Slat From Bottom]],Table2[#Headers],0),0)</f>
        <v>0</v>
      </c>
      <c r="AT276" s="2">
        <f>VLOOKUP([jobnumber],OvalData[],MATCH(Table2[[#Headers],[Total Number of Slats]],Table2[#Headers],0),0)</f>
        <v>51</v>
      </c>
      <c r="AU276" s="2">
        <f>VLOOKUP([jobnumber],OvalData[],MATCH(Table2[[#Headers],[Bottom Bar Slope]],Table2[#Headers],0),0)</f>
        <v>0</v>
      </c>
      <c r="AV276" s="2">
        <f>VLOOKUP([jobnumber],OvalData[],MATCH(Table2[[#Headers],[Bottom Bar Weight]],Table2[#Headers],0),0)</f>
        <v>80.5</v>
      </c>
      <c r="AW276" s="2" t="str">
        <f>VLOOKUP([jobnumber],OvalData[],MATCH(Table2[[#Headers],[Outer Spring Gage]],Table2[#Headers],0),0)</f>
        <v>Null</v>
      </c>
      <c r="AX276" s="2" t="str">
        <f>VLOOKUP([jobnumber],OvalData[],MATCH(Table2[[#Headers],[Outer Spring OD]],Table2[#Headers],0),0)</f>
        <v>Null</v>
      </c>
      <c r="AY276" s="2" t="str">
        <f>VLOOKUP([jobnumber],OvalData[],MATCH(Table2[[#Headers],[Outer Spring Length]],Table2[#Headers],0),0)</f>
        <v>Null</v>
      </c>
      <c r="AZ276" s="2" t="str">
        <f>VLOOKUP([jobnumber],OvalData[],MATCH(Table2[[#Headers],[Outer Spring Stretch]],Table2[#Headers],0),0)</f>
        <v>Null</v>
      </c>
      <c r="BA276" s="2" t="str">
        <f>VLOOKUP([jobnumber],OvalData[],MATCH(Table2[[#Headers],[Outer Spring Torque]],Table2[#Headers],0),0)</f>
        <v>Null</v>
      </c>
      <c r="BB276" s="2" t="str">
        <f>VLOOKUP([jobnumber],OvalData[],MATCH(Table2[[#Headers],[Outer Spring Max Turns]],Table2[#Headers],0),0)</f>
        <v>Null</v>
      </c>
      <c r="BC276" s="2" t="str">
        <f>VLOOKUP([jobnumber],OvalData[],MATCH(Table2[[#Headers],[Outer Spring Weight]],Table2[#Headers],0),0)</f>
        <v>Null</v>
      </c>
      <c r="BD276" s="2" t="str">
        <f>VLOOKUP([jobnumber],OvalData[],MATCH(Table2[[#Headers],[Inner Spring Gage]],Table2[#Headers],0),0)</f>
        <v>Null</v>
      </c>
      <c r="BE276" s="2" t="str">
        <f>VLOOKUP([jobnumber],OvalData[],MATCH(Table2[[#Headers],[Inner Spring OD]],Table2[#Headers],0),0)</f>
        <v>Null</v>
      </c>
      <c r="BF276" s="2" t="str">
        <f>VLOOKUP([jobnumber],OvalData[],MATCH(Table2[[#Headers],[Inner Spring Length]],Table2[#Headers],0),0)</f>
        <v>Null</v>
      </c>
      <c r="BG276" s="2" t="str">
        <f>VLOOKUP([jobnumber],OvalData[],MATCH(Table2[[#Headers],[Inner Spring Stretch]],Table2[#Headers],0),0)</f>
        <v>Null</v>
      </c>
      <c r="BH276" s="2" t="str">
        <f>VLOOKUP([jobnumber],OvalData[],MATCH(Table2[[#Headers],[Inner Spring Torque]],Table2[#Headers],0),0)</f>
        <v>Null</v>
      </c>
      <c r="BI276" s="2" t="str">
        <f>VLOOKUP([jobnumber],OvalData[],MATCH(Table2[[#Headers],[Inner Spring Max Turns]],Table2[#Headers],0),0)</f>
        <v>Null</v>
      </c>
      <c r="BJ276" s="2" t="str">
        <f>VLOOKUP([jobnumber],OvalData[],MATCH(Table2[[#Headers],[Inner Spring Weight]],Table2[#Headers],0),0)</f>
        <v>Null</v>
      </c>
      <c r="BK276" s="2">
        <f>VLOOKUP([jobnumber],OvalData[],MATCH(Table2[[#Headers],[Cycles]],Table2[#Headers],0),0)</f>
        <v>0</v>
      </c>
      <c r="BL276" s="2">
        <f>VLOOKUP([jobnumber],OvalData[],MATCH(Table2[[#Headers],[Total Spring Torque]],Table2[#Headers],0),0)</f>
        <v>0</v>
      </c>
      <c r="BM276" s="2">
        <f>VLOOKUP([jobnumber],OvalData[],MATCH(Table2[[#Headers],[Total Spring Weight]],Table2[#Headers],0),0)</f>
        <v>0</v>
      </c>
      <c r="BN276" s="2">
        <f>VLOOKUP([jobnumber],OvalData[],MATCH(Table2[[#Headers],[Pipe Weight]],Table2[#Headers],0),0)</f>
        <v>688.24239999999998</v>
      </c>
      <c r="BO276" s="2">
        <f>VLOOKUP([jobnumber],OvalData[],MATCH(Table2[[#Headers],[Max Pipe Deflection]],Table2[#Headers],0),0)</f>
        <v>2309</v>
      </c>
      <c r="BP276" s="2">
        <f>VLOOKUP([jobnumber],OvalData[],MATCH(Table2[[#Headers],[Number Non-Insulated Wrap Slats]],Table2[#Headers],0),0)</f>
        <v>0</v>
      </c>
      <c r="BQ276" s="2">
        <f>VLOOKUP([jobnumber],OvalData[],MATCH(Table2[[#Headers],[Number of Insolated Top Slats]],Table2[#Headers],0),0)</f>
        <v>45</v>
      </c>
      <c r="BR276" s="2">
        <f>VLOOKUP([jobnumber],OvalData[],MATCH(Table2[[#Headers],[Insolated Total Slats]],Table2[#Headers],0),0)</f>
        <v>45</v>
      </c>
      <c r="BS276" s="2">
        <f>VLOOKUP([jobnumber],OvalData[],MATCH(Table2[[#Headers],[Number of Slats]],Table2[#Headers],0),0)</f>
        <v>44.69</v>
      </c>
      <c r="BT276" s="2">
        <f>VLOOKUP([jobnumber],OvalData[],MATCH(Table2[[#Headers],[Wrap]],Table2[#Headers],0),0)</f>
        <v>0</v>
      </c>
      <c r="BU276" s="2">
        <f>VLOOKUP([jobnumber],OvalData[],MATCH(Table2[[#Headers],[Wall Angle Thickness]],Table2[#Headers],0),0)</f>
        <v>0</v>
      </c>
      <c r="BV276" s="2">
        <f>VLOOKUP([jobnumber],OvalData[],MATCH(Table2[[#Headers],[windlocks]],Table2[#Headers],0),0)</f>
        <v>0</v>
      </c>
      <c r="BW276" s="2" t="str">
        <f>VLOOKUP([jobnumber],OvalData[],MATCH(Table2[[#Headers],[bottombartype]],Table2[#Headers],0),0)</f>
        <v>SPECIAL</v>
      </c>
      <c r="BX276" s="2">
        <f>VLOOKUP([jobnumber],OvalData[],MATCH(Table2[[#Headers],[endlockweight]],Table2[#Headers],0),0)</f>
        <v>0.17</v>
      </c>
      <c r="BY276" s="2">
        <f>VLOOKUP([jobnumber],OvalData[],MATCH(Table2[[#Headers],[Endlock Total Weight]],Table2[#Headers],0),0)</f>
        <v>7.5972999999999997</v>
      </c>
      <c r="BZ276" s="2">
        <f>VLOOKUP([jobnumber],OvalData[],MATCH(Table2[[#Headers],[Grille Weight]],Table2[#Headers],0),0)</f>
        <v>0</v>
      </c>
      <c r="CA276" s="2">
        <f>VLOOKUP([jobnumber],OvalData[],MATCH(Table2[[#Headers],[barrelrings]],Table2[#Headers],0),0)</f>
        <v>1</v>
      </c>
    </row>
    <row r="277" spans="2:79">
      <c r="B277" s="2" t="str">
        <f>VLOOKUP([jobnumber],OvalData[],MATCH(Table2[[#Headers],[Hand]],Table2[#Headers],0),0)</f>
        <v>RH</v>
      </c>
      <c r="C277" s="2" t="str">
        <f>VLOOKUP([jobnumber],OvalData[],MATCH(Table2[[#Headers],[Model]],Table2[#Headers],0),0)</f>
        <v>SFMPP</v>
      </c>
      <c r="D277" s="2" t="str">
        <f>VLOOKUP([jobnumber],OvalData[],MATCH(Table2[[#Headers],[width]],Table2[#Headers],0),0)</f>
        <v xml:space="preserve"> 18 ft.- 2"</v>
      </c>
      <c r="E277" s="2" t="str">
        <f>VLOOKUP([jobnumber],OvalData[],MATCH(Table2[[#Headers],[stopheight]],Table2[#Headers],0),0)</f>
        <v xml:space="preserve"> 10 ft.- 0"</v>
      </c>
      <c r="F277" s="2" t="str">
        <f>VLOOKUP([jobnumber],OvalData[],MATCH(Table2[[#Headers],[Between Brackets]],Table2[#Headers],0),0)</f>
        <v xml:space="preserve"> 18 ft.- 7 7/ 8"</v>
      </c>
      <c r="G277" s="2" t="str">
        <f>VLOOKUP([jobnumber],OvalData[],MATCH(Table2[[#Headers],[shell]],Table2[#Headers],0),0)</f>
        <v>6 INCH TUBE</v>
      </c>
      <c r="H277" s="2" t="str">
        <f>VLOOKUP([jobnumber],OvalData[],MATCH(Table2[[#Headers],[pipewidth]],Table2[#Headers],0),0)</f>
        <v xml:space="preserve"> 18 ft.- 1 3/ 8"</v>
      </c>
      <c r="I277" s="2">
        <f>VLOOKUP([jobnumber],OvalData[],MATCH(Table2[[#Headers],[Support Tubes]],Table2[#Headers],0),0)</f>
        <v>0</v>
      </c>
      <c r="J277" s="2">
        <f>VLOOKUP([jobnumber],OvalData[],MATCH(Table2[[#Headers],[Upset]],Table2[#Headers],0),0)</f>
        <v>2</v>
      </c>
      <c r="K277" s="2" t="str">
        <f>VLOOKUP([jobnumber],OvalData[],MATCH(Table2[[#Headers],[Guide Type]],Table2[#Headers],0),0)</f>
        <v>SN2-4 5/8-E</v>
      </c>
      <c r="L277" s="2" t="str">
        <f>VLOOKUP([jobnumber],OvalData[],MATCH(Table2[[#Headers],[Wall Angle]],Table2[#Headers],0),0)</f>
        <v xml:space="preserve"> 11 ft.- 8"</v>
      </c>
      <c r="M277" s="2" t="str">
        <f>VLOOKUP([jobnumber],OvalData[],MATCH(Table2[[#Headers],[Middle Angle]],Table2[#Headers],0),0)</f>
        <v xml:space="preserve"> 10 ft.- 4 1/ 2"</v>
      </c>
      <c r="N277" s="2" t="str">
        <f>VLOOKUP([jobnumber],OvalData[],MATCH(Table2[[#Headers],[Front Angle]],Table2[#Headers],0),0)</f>
        <v xml:space="preserve"> 10 ft.- 3"</v>
      </c>
      <c r="O277" s="2">
        <f>VLOOKUP([jobnumber],OvalData[],MATCH(Table2[[#Headers],[Pipe Center Line]],Table2[#Headers],0),0)</f>
        <v>131</v>
      </c>
      <c r="P277" s="2">
        <f>VLOOKUP([jobnumber],OvalData[],MATCH(Table2[[#Headers],[Heat Expansion Gap]],Table2[#Headers],0),0)</f>
        <v>0</v>
      </c>
      <c r="Q277" s="2">
        <f>VLOOKUP([jobnumber],OvalData[],MATCH(Table2[[#Headers],[Hanging Weight Closed]],Table2[#Headers],0),0)</f>
        <v>795</v>
      </c>
      <c r="R277" s="2">
        <f>VLOOKUP([jobnumber],OvalData[],MATCH(Table2[[#Headers],[Hanging Weight Open]],Table2[#Headers],0),0)</f>
        <v>140</v>
      </c>
      <c r="S277" s="2">
        <f>VLOOKUP([jobnumber],OvalData[],MATCH(Table2[[#Headers],[Initial Lever Arm]],Table2[#Headers],0),0)</f>
        <v>4.25</v>
      </c>
      <c r="T277" s="2">
        <f>VLOOKUP([jobnumber],OvalData[],MATCH(Table2[[#Headers],[Turns to Raise]],Table2[#Headers],0),0)</f>
        <v>3.5859999999999999</v>
      </c>
      <c r="U277" s="2">
        <f>VLOOKUP([jobnumber],OvalData[],MATCH(Table2[[#Headers],[Final Lever Arm]],Table2[#Headers],0),0)</f>
        <v>6.37</v>
      </c>
      <c r="V277" s="2">
        <f>VLOOKUP([jobnumber],OvalData[],MATCH(Table2[[#Headers],[Torque Required Closed]],Table2[#Headers],0),0)</f>
        <v>3377.9</v>
      </c>
      <c r="W277" s="2">
        <f>VLOOKUP([jobnumber],OvalData[],MATCH(Table2[[#Headers],[Torque Required Open]],Table2[#Headers],0),0)</f>
        <v>892</v>
      </c>
      <c r="X277" s="2">
        <f>VLOOKUP([jobnumber],OvalData[],MATCH(Table2[[#Headers],[Pre Turns]],Table2[#Headers],0),0)</f>
        <v>1.3332999999999999</v>
      </c>
      <c r="Y277" s="2">
        <f>VLOOKUP([jobnumber],OvalData[],MATCH(Table2[[#Headers],[Required Torque Per Turn]],Table2[#Headers],0),0)</f>
        <v>688</v>
      </c>
      <c r="Z277" s="2">
        <f>VLOOKUP([jobnumber],OvalData[],MATCH(Table2[[#Headers],[Total Turns]],Table2[#Headers],0),0)</f>
        <v>4.91</v>
      </c>
      <c r="AA277" s="2">
        <f>VLOOKUP([jobnumber],OvalData[],MATCH(Table2[[#Headers],[Grille Vision Section]],Table2[#Headers],0),0)</f>
        <v>0</v>
      </c>
      <c r="AB277" s="2">
        <f>VLOOKUP([jobnumber],OvalData[],MATCH(Table2[[#Headers],[Grille Amount]],Table2[#Headers],0),0)</f>
        <v>0</v>
      </c>
      <c r="AC277" s="2">
        <f>VLOOKUP([jobnumber],OvalData[],MATCH(Table2[[#Headers],[Grille Center]],Table2[#Headers],0),0)</f>
        <v>0</v>
      </c>
      <c r="AD277" s="2">
        <f>VLOOKUP([jobnumber],OvalData[],MATCH(Table2[[#Headers],[Grille Pattern]],Table2[#Headers],0),0)</f>
        <v>0</v>
      </c>
      <c r="AE277" s="2">
        <f>VLOOKUP([jobnumber],OvalData[],MATCH(Table2[[#Headers],[Grille First Tube]],Table2[#Headers],0),0)</f>
        <v>0</v>
      </c>
      <c r="AF277" s="2">
        <f>VLOOKUP([jobnumber],OvalData[],MATCH(Table2[[#Headers],[Grille Standard Tube]],Table2[#Headers],0),0)</f>
        <v>0</v>
      </c>
      <c r="AG277" s="2">
        <f>VLOOKUP([jobnumber],OvalData[],MATCH(Table2[[#Headers],[Grille Total Links]],Table2[#Headers],0),0)</f>
        <v>0</v>
      </c>
      <c r="AH277" s="2">
        <f>VLOOKUP([jobnumber],OvalData[],MATCH(Table2[[#Headers],[Grille Rods]],Table2[#Headers],0),0)</f>
        <v>0</v>
      </c>
      <c r="AI277" s="2">
        <f>VLOOKUP([jobnumber],OvalData[],MATCH(Table2[[#Headers],[Grille Rod Length]],Table2[#Headers],0),0)</f>
        <v>0</v>
      </c>
      <c r="AJ277" s="2">
        <f>VLOOKUP([jobnumber],OvalData[],MATCH(Table2[[#Headers],[slattype]],Table2[#Headers],0),0)</f>
        <v>2</v>
      </c>
      <c r="AK277" s="2">
        <f>VLOOKUP([jobnumber],OvalData[],MATCH(Table2[[#Headers],[slatgage]],Table2[#Headers],0),0)</f>
        <v>18</v>
      </c>
      <c r="AL277" s="2">
        <f>VLOOKUP([jobnumber],OvalData[],MATCH(Table2[[#Headers],[Numer of Top Slats]],Table2[#Headers],0),0)</f>
        <v>0</v>
      </c>
      <c r="AM277" s="2">
        <f>VLOOKUP([jobnumber],OvalData[],MATCH(Table2[[#Headers],[Number of Bottom Slats]],Table2[#Headers],0),0)</f>
        <v>0</v>
      </c>
      <c r="AN277" s="2">
        <f>VLOOKUP([jobnumber],OvalData[],MATCH(Table2[[#Headers],[Solid Bottom Height]],Table2[#Headers],0),0)</f>
        <v>0</v>
      </c>
      <c r="AO277" s="2" t="str">
        <f>VLOOKUP([jobnumber],OvalData[],MATCH(Table2[[#Headers],[slatlength]],Table2[#Headers],0),0)</f>
        <v xml:space="preserve"> 18 ft.- 5 7/ 8"</v>
      </c>
      <c r="AP277" s="2">
        <f>VLOOKUP([jobnumber],OvalData[],MATCH(Table2[[#Headers],[Bottom Slat Length]],Table2[#Headers],0),0)</f>
        <v>0</v>
      </c>
      <c r="AQ277" s="2">
        <f>VLOOKUP([jobnumber],OvalData[],MATCH(Table2[[#Headers],[Number of Perferated Slats]],Table2[#Headers],0),0)</f>
        <v>0</v>
      </c>
      <c r="AR277" s="2">
        <f>VLOOKUP([jobnumber],OvalData[],MATCH(Table2[[#Headers],[First Preferated Slat From End]],Table2[#Headers],0),0)</f>
        <v>0</v>
      </c>
      <c r="AS277" s="2">
        <f>VLOOKUP([jobnumber],OvalData[],MATCH(Table2[[#Headers],[First Preferated Slat From Bottom]],Table2[#Headers],0),0)</f>
        <v>0</v>
      </c>
      <c r="AT277" s="2">
        <f>VLOOKUP([jobnumber],OvalData[],MATCH(Table2[[#Headers],[Total Number of Slats]],Table2[#Headers],0),0)</f>
        <v>51</v>
      </c>
      <c r="AU277" s="2">
        <f>VLOOKUP([jobnumber],OvalData[],MATCH(Table2[[#Headers],[Bottom Bar Slope]],Table2[#Headers],0),0)</f>
        <v>0</v>
      </c>
      <c r="AV277" s="2">
        <f>VLOOKUP([jobnumber],OvalData[],MATCH(Table2[[#Headers],[Bottom Bar Weight]],Table2[#Headers],0),0)</f>
        <v>80.5</v>
      </c>
      <c r="AW277" s="2" t="str">
        <f>VLOOKUP([jobnumber],OvalData[],MATCH(Table2[[#Headers],[Outer Spring Gage]],Table2[#Headers],0),0)</f>
        <v>Null</v>
      </c>
      <c r="AX277" s="2" t="str">
        <f>VLOOKUP([jobnumber],OvalData[],MATCH(Table2[[#Headers],[Outer Spring OD]],Table2[#Headers],0),0)</f>
        <v>Null</v>
      </c>
      <c r="AY277" s="2" t="str">
        <f>VLOOKUP([jobnumber],OvalData[],MATCH(Table2[[#Headers],[Outer Spring Length]],Table2[#Headers],0),0)</f>
        <v>Null</v>
      </c>
      <c r="AZ277" s="2" t="str">
        <f>VLOOKUP([jobnumber],OvalData[],MATCH(Table2[[#Headers],[Outer Spring Stretch]],Table2[#Headers],0),0)</f>
        <v>Null</v>
      </c>
      <c r="BA277" s="2" t="str">
        <f>VLOOKUP([jobnumber],OvalData[],MATCH(Table2[[#Headers],[Outer Spring Torque]],Table2[#Headers],0),0)</f>
        <v>Null</v>
      </c>
      <c r="BB277" s="2" t="str">
        <f>VLOOKUP([jobnumber],OvalData[],MATCH(Table2[[#Headers],[Outer Spring Max Turns]],Table2[#Headers],0),0)</f>
        <v>Null</v>
      </c>
      <c r="BC277" s="2" t="str">
        <f>VLOOKUP([jobnumber],OvalData[],MATCH(Table2[[#Headers],[Outer Spring Weight]],Table2[#Headers],0),0)</f>
        <v>Null</v>
      </c>
      <c r="BD277" s="2" t="str">
        <f>VLOOKUP([jobnumber],OvalData[],MATCH(Table2[[#Headers],[Inner Spring Gage]],Table2[#Headers],0),0)</f>
        <v>Null</v>
      </c>
      <c r="BE277" s="2" t="str">
        <f>VLOOKUP([jobnumber],OvalData[],MATCH(Table2[[#Headers],[Inner Spring OD]],Table2[#Headers],0),0)</f>
        <v>Null</v>
      </c>
      <c r="BF277" s="2" t="str">
        <f>VLOOKUP([jobnumber],OvalData[],MATCH(Table2[[#Headers],[Inner Spring Length]],Table2[#Headers],0),0)</f>
        <v>Null</v>
      </c>
      <c r="BG277" s="2" t="str">
        <f>VLOOKUP([jobnumber],OvalData[],MATCH(Table2[[#Headers],[Inner Spring Stretch]],Table2[#Headers],0),0)</f>
        <v>Null</v>
      </c>
      <c r="BH277" s="2" t="str">
        <f>VLOOKUP([jobnumber],OvalData[],MATCH(Table2[[#Headers],[Inner Spring Torque]],Table2[#Headers],0),0)</f>
        <v>Null</v>
      </c>
      <c r="BI277" s="2" t="str">
        <f>VLOOKUP([jobnumber],OvalData[],MATCH(Table2[[#Headers],[Inner Spring Max Turns]],Table2[#Headers],0),0)</f>
        <v>Null</v>
      </c>
      <c r="BJ277" s="2" t="str">
        <f>VLOOKUP([jobnumber],OvalData[],MATCH(Table2[[#Headers],[Inner Spring Weight]],Table2[#Headers],0),0)</f>
        <v>Null</v>
      </c>
      <c r="BK277" s="2">
        <f>VLOOKUP([jobnumber],OvalData[],MATCH(Table2[[#Headers],[Cycles]],Table2[#Headers],0),0)</f>
        <v>0</v>
      </c>
      <c r="BL277" s="2">
        <f>VLOOKUP([jobnumber],OvalData[],MATCH(Table2[[#Headers],[Total Spring Torque]],Table2[#Headers],0),0)</f>
        <v>0</v>
      </c>
      <c r="BM277" s="2">
        <f>VLOOKUP([jobnumber],OvalData[],MATCH(Table2[[#Headers],[Total Spring Weight]],Table2[#Headers],0),0)</f>
        <v>0</v>
      </c>
      <c r="BN277" s="2">
        <f>VLOOKUP([jobnumber],OvalData[],MATCH(Table2[[#Headers],[Pipe Weight]],Table2[#Headers],0),0)</f>
        <v>688.24239999999998</v>
      </c>
      <c r="BO277" s="2">
        <f>VLOOKUP([jobnumber],OvalData[],MATCH(Table2[[#Headers],[Max Pipe Deflection]],Table2[#Headers],0),0)</f>
        <v>2309</v>
      </c>
      <c r="BP277" s="2">
        <f>VLOOKUP([jobnumber],OvalData[],MATCH(Table2[[#Headers],[Number Non-Insulated Wrap Slats]],Table2[#Headers],0),0)</f>
        <v>0</v>
      </c>
      <c r="BQ277" s="2">
        <f>VLOOKUP([jobnumber],OvalData[],MATCH(Table2[[#Headers],[Number of Insolated Top Slats]],Table2[#Headers],0),0)</f>
        <v>45</v>
      </c>
      <c r="BR277" s="2">
        <f>VLOOKUP([jobnumber],OvalData[],MATCH(Table2[[#Headers],[Insolated Total Slats]],Table2[#Headers],0),0)</f>
        <v>45</v>
      </c>
      <c r="BS277" s="2">
        <f>VLOOKUP([jobnumber],OvalData[],MATCH(Table2[[#Headers],[Number of Slats]],Table2[#Headers],0),0)</f>
        <v>44.69</v>
      </c>
      <c r="BT277" s="2">
        <f>VLOOKUP([jobnumber],OvalData[],MATCH(Table2[[#Headers],[Wrap]],Table2[#Headers],0),0)</f>
        <v>0</v>
      </c>
      <c r="BU277" s="2">
        <f>VLOOKUP([jobnumber],OvalData[],MATCH(Table2[[#Headers],[Wall Angle Thickness]],Table2[#Headers],0),0)</f>
        <v>0</v>
      </c>
      <c r="BV277" s="2">
        <f>VLOOKUP([jobnumber],OvalData[],MATCH(Table2[[#Headers],[windlocks]],Table2[#Headers],0),0)</f>
        <v>0</v>
      </c>
      <c r="BW277" s="2" t="str">
        <f>VLOOKUP([jobnumber],OvalData[],MATCH(Table2[[#Headers],[bottombartype]],Table2[#Headers],0),0)</f>
        <v>SPECIAL</v>
      </c>
      <c r="BX277" s="2">
        <f>VLOOKUP([jobnumber],OvalData[],MATCH(Table2[[#Headers],[endlockweight]],Table2[#Headers],0),0)</f>
        <v>0.17</v>
      </c>
      <c r="BY277" s="2">
        <f>VLOOKUP([jobnumber],OvalData[],MATCH(Table2[[#Headers],[Endlock Total Weight]],Table2[#Headers],0),0)</f>
        <v>7.5972999999999997</v>
      </c>
      <c r="BZ277" s="2">
        <f>VLOOKUP([jobnumber],OvalData[],MATCH(Table2[[#Headers],[Grille Weight]],Table2[#Headers],0),0)</f>
        <v>0</v>
      </c>
      <c r="CA277" s="2">
        <f>VLOOKUP([jobnumber],OvalData[],MATCH(Table2[[#Headers],[barrelrings]],Table2[#Headers],0),0)</f>
        <v>1</v>
      </c>
    </row>
    <row r="278" spans="2:79">
      <c r="B278" s="2" t="str">
        <f>VLOOKUP([jobnumber],OvalData[],MATCH(Table2[[#Headers],[Hand]],Table2[#Headers],0),0)</f>
        <v>RH</v>
      </c>
      <c r="C278" s="2" t="str">
        <f>VLOOKUP([jobnumber],OvalData[],MATCH(Table2[[#Headers],[Model]],Table2[#Headers],0),0)</f>
        <v>SFMPP</v>
      </c>
      <c r="D278" s="2" t="str">
        <f>VLOOKUP([jobnumber],OvalData[],MATCH(Table2[[#Headers],[width]],Table2[#Headers],0),0)</f>
        <v xml:space="preserve"> 18 ft.- 2"</v>
      </c>
      <c r="E278" s="2" t="str">
        <f>VLOOKUP([jobnumber],OvalData[],MATCH(Table2[[#Headers],[stopheight]],Table2[#Headers],0),0)</f>
        <v xml:space="preserve"> 10 ft.- 0"</v>
      </c>
      <c r="F278" s="2" t="str">
        <f>VLOOKUP([jobnumber],OvalData[],MATCH(Table2[[#Headers],[Between Brackets]],Table2[#Headers],0),0)</f>
        <v xml:space="preserve"> 18 ft.- 7 7/ 8"</v>
      </c>
      <c r="G278" s="2" t="str">
        <f>VLOOKUP([jobnumber],OvalData[],MATCH(Table2[[#Headers],[shell]],Table2[#Headers],0),0)</f>
        <v>6 INCH TUBE</v>
      </c>
      <c r="H278" s="2" t="str">
        <f>VLOOKUP([jobnumber],OvalData[],MATCH(Table2[[#Headers],[pipewidth]],Table2[#Headers],0),0)</f>
        <v xml:space="preserve"> 18 ft.- 1 3/ 8"</v>
      </c>
      <c r="I278" s="2">
        <f>VLOOKUP([jobnumber],OvalData[],MATCH(Table2[[#Headers],[Support Tubes]],Table2[#Headers],0),0)</f>
        <v>0</v>
      </c>
      <c r="J278" s="2">
        <f>VLOOKUP([jobnumber],OvalData[],MATCH(Table2[[#Headers],[Upset]],Table2[#Headers],0),0)</f>
        <v>2</v>
      </c>
      <c r="K278" s="2" t="str">
        <f>VLOOKUP([jobnumber],OvalData[],MATCH(Table2[[#Headers],[Guide Type]],Table2[#Headers],0),0)</f>
        <v>SN2-4 5/8-E</v>
      </c>
      <c r="L278" s="2" t="str">
        <f>VLOOKUP([jobnumber],OvalData[],MATCH(Table2[[#Headers],[Wall Angle]],Table2[#Headers],0),0)</f>
        <v xml:space="preserve"> 11 ft.- 8"</v>
      </c>
      <c r="M278" s="2" t="str">
        <f>VLOOKUP([jobnumber],OvalData[],MATCH(Table2[[#Headers],[Middle Angle]],Table2[#Headers],0),0)</f>
        <v xml:space="preserve"> 10 ft.- 4 1/ 2"</v>
      </c>
      <c r="N278" s="2" t="str">
        <f>VLOOKUP([jobnumber],OvalData[],MATCH(Table2[[#Headers],[Front Angle]],Table2[#Headers],0),0)</f>
        <v xml:space="preserve"> 10 ft.- 3"</v>
      </c>
      <c r="O278" s="2">
        <f>VLOOKUP([jobnumber],OvalData[],MATCH(Table2[[#Headers],[Pipe Center Line]],Table2[#Headers],0),0)</f>
        <v>131</v>
      </c>
      <c r="P278" s="2">
        <f>VLOOKUP([jobnumber],OvalData[],MATCH(Table2[[#Headers],[Heat Expansion Gap]],Table2[#Headers],0),0)</f>
        <v>0</v>
      </c>
      <c r="Q278" s="2">
        <f>VLOOKUP([jobnumber],OvalData[],MATCH(Table2[[#Headers],[Hanging Weight Closed]],Table2[#Headers],0),0)</f>
        <v>795</v>
      </c>
      <c r="R278" s="2">
        <f>VLOOKUP([jobnumber],OvalData[],MATCH(Table2[[#Headers],[Hanging Weight Open]],Table2[#Headers],0),0)</f>
        <v>140</v>
      </c>
      <c r="S278" s="2">
        <f>VLOOKUP([jobnumber],OvalData[],MATCH(Table2[[#Headers],[Initial Lever Arm]],Table2[#Headers],0),0)</f>
        <v>4.25</v>
      </c>
      <c r="T278" s="2">
        <f>VLOOKUP([jobnumber],OvalData[],MATCH(Table2[[#Headers],[Turns to Raise]],Table2[#Headers],0),0)</f>
        <v>3.5859999999999999</v>
      </c>
      <c r="U278" s="2">
        <f>VLOOKUP([jobnumber],OvalData[],MATCH(Table2[[#Headers],[Final Lever Arm]],Table2[#Headers],0),0)</f>
        <v>6.37</v>
      </c>
      <c r="V278" s="2">
        <f>VLOOKUP([jobnumber],OvalData[],MATCH(Table2[[#Headers],[Torque Required Closed]],Table2[#Headers],0),0)</f>
        <v>3377.9</v>
      </c>
      <c r="W278" s="2">
        <f>VLOOKUP([jobnumber],OvalData[],MATCH(Table2[[#Headers],[Torque Required Open]],Table2[#Headers],0),0)</f>
        <v>892</v>
      </c>
      <c r="X278" s="2">
        <f>VLOOKUP([jobnumber],OvalData[],MATCH(Table2[[#Headers],[Pre Turns]],Table2[#Headers],0),0)</f>
        <v>1.3332999999999999</v>
      </c>
      <c r="Y278" s="2">
        <f>VLOOKUP([jobnumber],OvalData[],MATCH(Table2[[#Headers],[Required Torque Per Turn]],Table2[#Headers],0),0)</f>
        <v>688</v>
      </c>
      <c r="Z278" s="2">
        <f>VLOOKUP([jobnumber],OvalData[],MATCH(Table2[[#Headers],[Total Turns]],Table2[#Headers],0),0)</f>
        <v>4.91</v>
      </c>
      <c r="AA278" s="2">
        <f>VLOOKUP([jobnumber],OvalData[],MATCH(Table2[[#Headers],[Grille Vision Section]],Table2[#Headers],0),0)</f>
        <v>0</v>
      </c>
      <c r="AB278" s="2">
        <f>VLOOKUP([jobnumber],OvalData[],MATCH(Table2[[#Headers],[Grille Amount]],Table2[#Headers],0),0)</f>
        <v>0</v>
      </c>
      <c r="AC278" s="2">
        <f>VLOOKUP([jobnumber],OvalData[],MATCH(Table2[[#Headers],[Grille Center]],Table2[#Headers],0),0)</f>
        <v>0</v>
      </c>
      <c r="AD278" s="2">
        <f>VLOOKUP([jobnumber],OvalData[],MATCH(Table2[[#Headers],[Grille Pattern]],Table2[#Headers],0),0)</f>
        <v>0</v>
      </c>
      <c r="AE278" s="2">
        <f>VLOOKUP([jobnumber],OvalData[],MATCH(Table2[[#Headers],[Grille First Tube]],Table2[#Headers],0),0)</f>
        <v>0</v>
      </c>
      <c r="AF278" s="2">
        <f>VLOOKUP([jobnumber],OvalData[],MATCH(Table2[[#Headers],[Grille Standard Tube]],Table2[#Headers],0),0)</f>
        <v>0</v>
      </c>
      <c r="AG278" s="2">
        <f>VLOOKUP([jobnumber],OvalData[],MATCH(Table2[[#Headers],[Grille Total Links]],Table2[#Headers],0),0)</f>
        <v>0</v>
      </c>
      <c r="AH278" s="2">
        <f>VLOOKUP([jobnumber],OvalData[],MATCH(Table2[[#Headers],[Grille Rods]],Table2[#Headers],0),0)</f>
        <v>0</v>
      </c>
      <c r="AI278" s="2">
        <f>VLOOKUP([jobnumber],OvalData[],MATCH(Table2[[#Headers],[Grille Rod Length]],Table2[#Headers],0),0)</f>
        <v>0</v>
      </c>
      <c r="AJ278" s="2">
        <f>VLOOKUP([jobnumber],OvalData[],MATCH(Table2[[#Headers],[slattype]],Table2[#Headers],0),0)</f>
        <v>2</v>
      </c>
      <c r="AK278" s="2">
        <f>VLOOKUP([jobnumber],OvalData[],MATCH(Table2[[#Headers],[slatgage]],Table2[#Headers],0),0)</f>
        <v>18</v>
      </c>
      <c r="AL278" s="2">
        <f>VLOOKUP([jobnumber],OvalData[],MATCH(Table2[[#Headers],[Numer of Top Slats]],Table2[#Headers],0),0)</f>
        <v>0</v>
      </c>
      <c r="AM278" s="2">
        <f>VLOOKUP([jobnumber],OvalData[],MATCH(Table2[[#Headers],[Number of Bottom Slats]],Table2[#Headers],0),0)</f>
        <v>0</v>
      </c>
      <c r="AN278" s="2">
        <f>VLOOKUP([jobnumber],OvalData[],MATCH(Table2[[#Headers],[Solid Bottom Height]],Table2[#Headers],0),0)</f>
        <v>0</v>
      </c>
      <c r="AO278" s="2" t="str">
        <f>VLOOKUP([jobnumber],OvalData[],MATCH(Table2[[#Headers],[slatlength]],Table2[#Headers],0),0)</f>
        <v xml:space="preserve"> 18 ft.- 5 7/ 8"</v>
      </c>
      <c r="AP278" s="2">
        <f>VLOOKUP([jobnumber],OvalData[],MATCH(Table2[[#Headers],[Bottom Slat Length]],Table2[#Headers],0),0)</f>
        <v>0</v>
      </c>
      <c r="AQ278" s="2">
        <f>VLOOKUP([jobnumber],OvalData[],MATCH(Table2[[#Headers],[Number of Perferated Slats]],Table2[#Headers],0),0)</f>
        <v>0</v>
      </c>
      <c r="AR278" s="2">
        <f>VLOOKUP([jobnumber],OvalData[],MATCH(Table2[[#Headers],[First Preferated Slat From End]],Table2[#Headers],0),0)</f>
        <v>0</v>
      </c>
      <c r="AS278" s="2">
        <f>VLOOKUP([jobnumber],OvalData[],MATCH(Table2[[#Headers],[First Preferated Slat From Bottom]],Table2[#Headers],0),0)</f>
        <v>0</v>
      </c>
      <c r="AT278" s="2">
        <f>VLOOKUP([jobnumber],OvalData[],MATCH(Table2[[#Headers],[Total Number of Slats]],Table2[#Headers],0),0)</f>
        <v>51</v>
      </c>
      <c r="AU278" s="2">
        <f>VLOOKUP([jobnumber],OvalData[],MATCH(Table2[[#Headers],[Bottom Bar Slope]],Table2[#Headers],0),0)</f>
        <v>0</v>
      </c>
      <c r="AV278" s="2">
        <f>VLOOKUP([jobnumber],OvalData[],MATCH(Table2[[#Headers],[Bottom Bar Weight]],Table2[#Headers],0),0)</f>
        <v>80.5</v>
      </c>
      <c r="AW278" s="2" t="str">
        <f>VLOOKUP([jobnumber],OvalData[],MATCH(Table2[[#Headers],[Outer Spring Gage]],Table2[#Headers],0),0)</f>
        <v>Null</v>
      </c>
      <c r="AX278" s="2" t="str">
        <f>VLOOKUP([jobnumber],OvalData[],MATCH(Table2[[#Headers],[Outer Spring OD]],Table2[#Headers],0),0)</f>
        <v>Null</v>
      </c>
      <c r="AY278" s="2" t="str">
        <f>VLOOKUP([jobnumber],OvalData[],MATCH(Table2[[#Headers],[Outer Spring Length]],Table2[#Headers],0),0)</f>
        <v>Null</v>
      </c>
      <c r="AZ278" s="2" t="str">
        <f>VLOOKUP([jobnumber],OvalData[],MATCH(Table2[[#Headers],[Outer Spring Stretch]],Table2[#Headers],0),0)</f>
        <v>Null</v>
      </c>
      <c r="BA278" s="2" t="str">
        <f>VLOOKUP([jobnumber],OvalData[],MATCH(Table2[[#Headers],[Outer Spring Torque]],Table2[#Headers],0),0)</f>
        <v>Null</v>
      </c>
      <c r="BB278" s="2" t="str">
        <f>VLOOKUP([jobnumber],OvalData[],MATCH(Table2[[#Headers],[Outer Spring Max Turns]],Table2[#Headers],0),0)</f>
        <v>Null</v>
      </c>
      <c r="BC278" s="2" t="str">
        <f>VLOOKUP([jobnumber],OvalData[],MATCH(Table2[[#Headers],[Outer Spring Weight]],Table2[#Headers],0),0)</f>
        <v>Null</v>
      </c>
      <c r="BD278" s="2" t="str">
        <f>VLOOKUP([jobnumber],OvalData[],MATCH(Table2[[#Headers],[Inner Spring Gage]],Table2[#Headers],0),0)</f>
        <v>Null</v>
      </c>
      <c r="BE278" s="2" t="str">
        <f>VLOOKUP([jobnumber],OvalData[],MATCH(Table2[[#Headers],[Inner Spring OD]],Table2[#Headers],0),0)</f>
        <v>Null</v>
      </c>
      <c r="BF278" s="2" t="str">
        <f>VLOOKUP([jobnumber],OvalData[],MATCH(Table2[[#Headers],[Inner Spring Length]],Table2[#Headers],0),0)</f>
        <v>Null</v>
      </c>
      <c r="BG278" s="2" t="str">
        <f>VLOOKUP([jobnumber],OvalData[],MATCH(Table2[[#Headers],[Inner Spring Stretch]],Table2[#Headers],0),0)</f>
        <v>Null</v>
      </c>
      <c r="BH278" s="2" t="str">
        <f>VLOOKUP([jobnumber],OvalData[],MATCH(Table2[[#Headers],[Inner Spring Torque]],Table2[#Headers],0),0)</f>
        <v>Null</v>
      </c>
      <c r="BI278" s="2" t="str">
        <f>VLOOKUP([jobnumber],OvalData[],MATCH(Table2[[#Headers],[Inner Spring Max Turns]],Table2[#Headers],0),0)</f>
        <v>Null</v>
      </c>
      <c r="BJ278" s="2" t="str">
        <f>VLOOKUP([jobnumber],OvalData[],MATCH(Table2[[#Headers],[Inner Spring Weight]],Table2[#Headers],0),0)</f>
        <v>Null</v>
      </c>
      <c r="BK278" s="2">
        <f>VLOOKUP([jobnumber],OvalData[],MATCH(Table2[[#Headers],[Cycles]],Table2[#Headers],0),0)</f>
        <v>0</v>
      </c>
      <c r="BL278" s="2">
        <f>VLOOKUP([jobnumber],OvalData[],MATCH(Table2[[#Headers],[Total Spring Torque]],Table2[#Headers],0),0)</f>
        <v>0</v>
      </c>
      <c r="BM278" s="2">
        <f>VLOOKUP([jobnumber],OvalData[],MATCH(Table2[[#Headers],[Total Spring Weight]],Table2[#Headers],0),0)</f>
        <v>0</v>
      </c>
      <c r="BN278" s="2">
        <f>VLOOKUP([jobnumber],OvalData[],MATCH(Table2[[#Headers],[Pipe Weight]],Table2[#Headers],0),0)</f>
        <v>688.24239999999998</v>
      </c>
      <c r="BO278" s="2">
        <f>VLOOKUP([jobnumber],OvalData[],MATCH(Table2[[#Headers],[Max Pipe Deflection]],Table2[#Headers],0),0)</f>
        <v>2309</v>
      </c>
      <c r="BP278" s="2">
        <f>VLOOKUP([jobnumber],OvalData[],MATCH(Table2[[#Headers],[Number Non-Insulated Wrap Slats]],Table2[#Headers],0),0)</f>
        <v>0</v>
      </c>
      <c r="BQ278" s="2">
        <f>VLOOKUP([jobnumber],OvalData[],MATCH(Table2[[#Headers],[Number of Insolated Top Slats]],Table2[#Headers],0),0)</f>
        <v>45</v>
      </c>
      <c r="BR278" s="2">
        <f>VLOOKUP([jobnumber],OvalData[],MATCH(Table2[[#Headers],[Insolated Total Slats]],Table2[#Headers],0),0)</f>
        <v>45</v>
      </c>
      <c r="BS278" s="2">
        <f>VLOOKUP([jobnumber],OvalData[],MATCH(Table2[[#Headers],[Number of Slats]],Table2[#Headers],0),0)</f>
        <v>44.69</v>
      </c>
      <c r="BT278" s="2">
        <f>VLOOKUP([jobnumber],OvalData[],MATCH(Table2[[#Headers],[Wrap]],Table2[#Headers],0),0)</f>
        <v>0</v>
      </c>
      <c r="BU278" s="2">
        <f>VLOOKUP([jobnumber],OvalData[],MATCH(Table2[[#Headers],[Wall Angle Thickness]],Table2[#Headers],0),0)</f>
        <v>0</v>
      </c>
      <c r="BV278" s="2">
        <f>VLOOKUP([jobnumber],OvalData[],MATCH(Table2[[#Headers],[windlocks]],Table2[#Headers],0),0)</f>
        <v>0</v>
      </c>
      <c r="BW278" s="2" t="str">
        <f>VLOOKUP([jobnumber],OvalData[],MATCH(Table2[[#Headers],[bottombartype]],Table2[#Headers],0),0)</f>
        <v>SPECIAL</v>
      </c>
      <c r="BX278" s="2">
        <f>VLOOKUP([jobnumber],OvalData[],MATCH(Table2[[#Headers],[endlockweight]],Table2[#Headers],0),0)</f>
        <v>0.17</v>
      </c>
      <c r="BY278" s="2">
        <f>VLOOKUP([jobnumber],OvalData[],MATCH(Table2[[#Headers],[Endlock Total Weight]],Table2[#Headers],0),0)</f>
        <v>7.5972999999999997</v>
      </c>
      <c r="BZ278" s="2">
        <f>VLOOKUP([jobnumber],OvalData[],MATCH(Table2[[#Headers],[Grille Weight]],Table2[#Headers],0),0)</f>
        <v>0</v>
      </c>
      <c r="CA278" s="2">
        <f>VLOOKUP([jobnumber],OvalData[],MATCH(Table2[[#Headers],[barrelrings]],Table2[#Headers],0),0)</f>
        <v>1</v>
      </c>
    </row>
    <row r="279" spans="2:79">
      <c r="B279" s="2" t="str">
        <f>VLOOKUP([jobnumber],OvalData[],MATCH(Table2[[#Headers],[Hand]],Table2[#Headers],0),0)</f>
        <v>RH</v>
      </c>
      <c r="C279" s="2" t="str">
        <f>VLOOKUP([jobnumber],OvalData[],MATCH(Table2[[#Headers],[Model]],Table2[#Headers],0),0)</f>
        <v>SFMPP</v>
      </c>
      <c r="D279" s="2" t="str">
        <f>VLOOKUP([jobnumber],OvalData[],MATCH(Table2[[#Headers],[width]],Table2[#Headers],0),0)</f>
        <v xml:space="preserve"> 18 ft.- 2"</v>
      </c>
      <c r="E279" s="2" t="str">
        <f>VLOOKUP([jobnumber],OvalData[],MATCH(Table2[[#Headers],[stopheight]],Table2[#Headers],0),0)</f>
        <v xml:space="preserve"> 10 ft.- 0"</v>
      </c>
      <c r="F279" s="2" t="str">
        <f>VLOOKUP([jobnumber],OvalData[],MATCH(Table2[[#Headers],[Between Brackets]],Table2[#Headers],0),0)</f>
        <v xml:space="preserve"> 18 ft.- 7 7/ 8"</v>
      </c>
      <c r="G279" s="2" t="str">
        <f>VLOOKUP([jobnumber],OvalData[],MATCH(Table2[[#Headers],[shell]],Table2[#Headers],0),0)</f>
        <v>6 INCH TUBE</v>
      </c>
      <c r="H279" s="2" t="str">
        <f>VLOOKUP([jobnumber],OvalData[],MATCH(Table2[[#Headers],[pipewidth]],Table2[#Headers],0),0)</f>
        <v xml:space="preserve"> 18 ft.- 1 3/ 8"</v>
      </c>
      <c r="I279" s="2">
        <f>VLOOKUP([jobnumber],OvalData[],MATCH(Table2[[#Headers],[Support Tubes]],Table2[#Headers],0),0)</f>
        <v>0</v>
      </c>
      <c r="J279" s="2">
        <f>VLOOKUP([jobnumber],OvalData[],MATCH(Table2[[#Headers],[Upset]],Table2[#Headers],0),0)</f>
        <v>2</v>
      </c>
      <c r="K279" s="2" t="str">
        <f>VLOOKUP([jobnumber],OvalData[],MATCH(Table2[[#Headers],[Guide Type]],Table2[#Headers],0),0)</f>
        <v>SN2-4 5/8-E</v>
      </c>
      <c r="L279" s="2" t="str">
        <f>VLOOKUP([jobnumber],OvalData[],MATCH(Table2[[#Headers],[Wall Angle]],Table2[#Headers],0),0)</f>
        <v xml:space="preserve"> 11 ft.- 8"</v>
      </c>
      <c r="M279" s="2" t="str">
        <f>VLOOKUP([jobnumber],OvalData[],MATCH(Table2[[#Headers],[Middle Angle]],Table2[#Headers],0),0)</f>
        <v xml:space="preserve"> 10 ft.- 4 1/ 2"</v>
      </c>
      <c r="N279" s="2" t="str">
        <f>VLOOKUP([jobnumber],OvalData[],MATCH(Table2[[#Headers],[Front Angle]],Table2[#Headers],0),0)</f>
        <v xml:space="preserve"> 10 ft.- 3"</v>
      </c>
      <c r="O279" s="2">
        <f>VLOOKUP([jobnumber],OvalData[],MATCH(Table2[[#Headers],[Pipe Center Line]],Table2[#Headers],0),0)</f>
        <v>131</v>
      </c>
      <c r="P279" s="2">
        <f>VLOOKUP([jobnumber],OvalData[],MATCH(Table2[[#Headers],[Heat Expansion Gap]],Table2[#Headers],0),0)</f>
        <v>0</v>
      </c>
      <c r="Q279" s="2">
        <f>VLOOKUP([jobnumber],OvalData[],MATCH(Table2[[#Headers],[Hanging Weight Closed]],Table2[#Headers],0),0)</f>
        <v>795</v>
      </c>
      <c r="R279" s="2">
        <f>VLOOKUP([jobnumber],OvalData[],MATCH(Table2[[#Headers],[Hanging Weight Open]],Table2[#Headers],0),0)</f>
        <v>140</v>
      </c>
      <c r="S279" s="2">
        <f>VLOOKUP([jobnumber],OvalData[],MATCH(Table2[[#Headers],[Initial Lever Arm]],Table2[#Headers],0),0)</f>
        <v>4.25</v>
      </c>
      <c r="T279" s="2">
        <f>VLOOKUP([jobnumber],OvalData[],MATCH(Table2[[#Headers],[Turns to Raise]],Table2[#Headers],0),0)</f>
        <v>3.5859999999999999</v>
      </c>
      <c r="U279" s="2">
        <f>VLOOKUP([jobnumber],OvalData[],MATCH(Table2[[#Headers],[Final Lever Arm]],Table2[#Headers],0),0)</f>
        <v>6.37</v>
      </c>
      <c r="V279" s="2">
        <f>VLOOKUP([jobnumber],OvalData[],MATCH(Table2[[#Headers],[Torque Required Closed]],Table2[#Headers],0),0)</f>
        <v>3377.9</v>
      </c>
      <c r="W279" s="2">
        <f>VLOOKUP([jobnumber],OvalData[],MATCH(Table2[[#Headers],[Torque Required Open]],Table2[#Headers],0),0)</f>
        <v>892</v>
      </c>
      <c r="X279" s="2">
        <f>VLOOKUP([jobnumber],OvalData[],MATCH(Table2[[#Headers],[Pre Turns]],Table2[#Headers],0),0)</f>
        <v>1.3332999999999999</v>
      </c>
      <c r="Y279" s="2">
        <f>VLOOKUP([jobnumber],OvalData[],MATCH(Table2[[#Headers],[Required Torque Per Turn]],Table2[#Headers],0),0)</f>
        <v>688</v>
      </c>
      <c r="Z279" s="2">
        <f>VLOOKUP([jobnumber],OvalData[],MATCH(Table2[[#Headers],[Total Turns]],Table2[#Headers],0),0)</f>
        <v>4.91</v>
      </c>
      <c r="AA279" s="2">
        <f>VLOOKUP([jobnumber],OvalData[],MATCH(Table2[[#Headers],[Grille Vision Section]],Table2[#Headers],0),0)</f>
        <v>0</v>
      </c>
      <c r="AB279" s="2">
        <f>VLOOKUP([jobnumber],OvalData[],MATCH(Table2[[#Headers],[Grille Amount]],Table2[#Headers],0),0)</f>
        <v>0</v>
      </c>
      <c r="AC279" s="2">
        <f>VLOOKUP([jobnumber],OvalData[],MATCH(Table2[[#Headers],[Grille Center]],Table2[#Headers],0),0)</f>
        <v>0</v>
      </c>
      <c r="AD279" s="2">
        <f>VLOOKUP([jobnumber],OvalData[],MATCH(Table2[[#Headers],[Grille Pattern]],Table2[#Headers],0),0)</f>
        <v>0</v>
      </c>
      <c r="AE279" s="2">
        <f>VLOOKUP([jobnumber],OvalData[],MATCH(Table2[[#Headers],[Grille First Tube]],Table2[#Headers],0),0)</f>
        <v>0</v>
      </c>
      <c r="AF279" s="2">
        <f>VLOOKUP([jobnumber],OvalData[],MATCH(Table2[[#Headers],[Grille Standard Tube]],Table2[#Headers],0),0)</f>
        <v>0</v>
      </c>
      <c r="AG279" s="2">
        <f>VLOOKUP([jobnumber],OvalData[],MATCH(Table2[[#Headers],[Grille Total Links]],Table2[#Headers],0),0)</f>
        <v>0</v>
      </c>
      <c r="AH279" s="2">
        <f>VLOOKUP([jobnumber],OvalData[],MATCH(Table2[[#Headers],[Grille Rods]],Table2[#Headers],0),0)</f>
        <v>0</v>
      </c>
      <c r="AI279" s="2">
        <f>VLOOKUP([jobnumber],OvalData[],MATCH(Table2[[#Headers],[Grille Rod Length]],Table2[#Headers],0),0)</f>
        <v>0</v>
      </c>
      <c r="AJ279" s="2">
        <f>VLOOKUP([jobnumber],OvalData[],MATCH(Table2[[#Headers],[slattype]],Table2[#Headers],0),0)</f>
        <v>2</v>
      </c>
      <c r="AK279" s="2">
        <f>VLOOKUP([jobnumber],OvalData[],MATCH(Table2[[#Headers],[slatgage]],Table2[#Headers],0),0)</f>
        <v>18</v>
      </c>
      <c r="AL279" s="2">
        <f>VLOOKUP([jobnumber],OvalData[],MATCH(Table2[[#Headers],[Numer of Top Slats]],Table2[#Headers],0),0)</f>
        <v>0</v>
      </c>
      <c r="AM279" s="2">
        <f>VLOOKUP([jobnumber],OvalData[],MATCH(Table2[[#Headers],[Number of Bottom Slats]],Table2[#Headers],0),0)</f>
        <v>0</v>
      </c>
      <c r="AN279" s="2">
        <f>VLOOKUP([jobnumber],OvalData[],MATCH(Table2[[#Headers],[Solid Bottom Height]],Table2[#Headers],0),0)</f>
        <v>0</v>
      </c>
      <c r="AO279" s="2" t="str">
        <f>VLOOKUP([jobnumber],OvalData[],MATCH(Table2[[#Headers],[slatlength]],Table2[#Headers],0),0)</f>
        <v xml:space="preserve"> 18 ft.- 5 7/ 8"</v>
      </c>
      <c r="AP279" s="2">
        <f>VLOOKUP([jobnumber],OvalData[],MATCH(Table2[[#Headers],[Bottom Slat Length]],Table2[#Headers],0),0)</f>
        <v>0</v>
      </c>
      <c r="AQ279" s="2">
        <f>VLOOKUP([jobnumber],OvalData[],MATCH(Table2[[#Headers],[Number of Perferated Slats]],Table2[#Headers],0),0)</f>
        <v>0</v>
      </c>
      <c r="AR279" s="2">
        <f>VLOOKUP([jobnumber],OvalData[],MATCH(Table2[[#Headers],[First Preferated Slat From End]],Table2[#Headers],0),0)</f>
        <v>0</v>
      </c>
      <c r="AS279" s="2">
        <f>VLOOKUP([jobnumber],OvalData[],MATCH(Table2[[#Headers],[First Preferated Slat From Bottom]],Table2[#Headers],0),0)</f>
        <v>0</v>
      </c>
      <c r="AT279" s="2">
        <f>VLOOKUP([jobnumber],OvalData[],MATCH(Table2[[#Headers],[Total Number of Slats]],Table2[#Headers],0),0)</f>
        <v>51</v>
      </c>
      <c r="AU279" s="2">
        <f>VLOOKUP([jobnumber],OvalData[],MATCH(Table2[[#Headers],[Bottom Bar Slope]],Table2[#Headers],0),0)</f>
        <v>0</v>
      </c>
      <c r="AV279" s="2">
        <f>VLOOKUP([jobnumber],OvalData[],MATCH(Table2[[#Headers],[Bottom Bar Weight]],Table2[#Headers],0),0)</f>
        <v>80.5</v>
      </c>
      <c r="AW279" s="2" t="str">
        <f>VLOOKUP([jobnumber],OvalData[],MATCH(Table2[[#Headers],[Outer Spring Gage]],Table2[#Headers],0),0)</f>
        <v>Null</v>
      </c>
      <c r="AX279" s="2" t="str">
        <f>VLOOKUP([jobnumber],OvalData[],MATCH(Table2[[#Headers],[Outer Spring OD]],Table2[#Headers],0),0)</f>
        <v>Null</v>
      </c>
      <c r="AY279" s="2" t="str">
        <f>VLOOKUP([jobnumber],OvalData[],MATCH(Table2[[#Headers],[Outer Spring Length]],Table2[#Headers],0),0)</f>
        <v>Null</v>
      </c>
      <c r="AZ279" s="2" t="str">
        <f>VLOOKUP([jobnumber],OvalData[],MATCH(Table2[[#Headers],[Outer Spring Stretch]],Table2[#Headers],0),0)</f>
        <v>Null</v>
      </c>
      <c r="BA279" s="2" t="str">
        <f>VLOOKUP([jobnumber],OvalData[],MATCH(Table2[[#Headers],[Outer Spring Torque]],Table2[#Headers],0),0)</f>
        <v>Null</v>
      </c>
      <c r="BB279" s="2" t="str">
        <f>VLOOKUP([jobnumber],OvalData[],MATCH(Table2[[#Headers],[Outer Spring Max Turns]],Table2[#Headers],0),0)</f>
        <v>Null</v>
      </c>
      <c r="BC279" s="2" t="str">
        <f>VLOOKUP([jobnumber],OvalData[],MATCH(Table2[[#Headers],[Outer Spring Weight]],Table2[#Headers],0),0)</f>
        <v>Null</v>
      </c>
      <c r="BD279" s="2" t="str">
        <f>VLOOKUP([jobnumber],OvalData[],MATCH(Table2[[#Headers],[Inner Spring Gage]],Table2[#Headers],0),0)</f>
        <v>Null</v>
      </c>
      <c r="BE279" s="2" t="str">
        <f>VLOOKUP([jobnumber],OvalData[],MATCH(Table2[[#Headers],[Inner Spring OD]],Table2[#Headers],0),0)</f>
        <v>Null</v>
      </c>
      <c r="BF279" s="2" t="str">
        <f>VLOOKUP([jobnumber],OvalData[],MATCH(Table2[[#Headers],[Inner Spring Length]],Table2[#Headers],0),0)</f>
        <v>Null</v>
      </c>
      <c r="BG279" s="2" t="str">
        <f>VLOOKUP([jobnumber],OvalData[],MATCH(Table2[[#Headers],[Inner Spring Stretch]],Table2[#Headers],0),0)</f>
        <v>Null</v>
      </c>
      <c r="BH279" s="2" t="str">
        <f>VLOOKUP([jobnumber],OvalData[],MATCH(Table2[[#Headers],[Inner Spring Torque]],Table2[#Headers],0),0)</f>
        <v>Null</v>
      </c>
      <c r="BI279" s="2" t="str">
        <f>VLOOKUP([jobnumber],OvalData[],MATCH(Table2[[#Headers],[Inner Spring Max Turns]],Table2[#Headers],0),0)</f>
        <v>Null</v>
      </c>
      <c r="BJ279" s="2" t="str">
        <f>VLOOKUP([jobnumber],OvalData[],MATCH(Table2[[#Headers],[Inner Spring Weight]],Table2[#Headers],0),0)</f>
        <v>Null</v>
      </c>
      <c r="BK279" s="2">
        <f>VLOOKUP([jobnumber],OvalData[],MATCH(Table2[[#Headers],[Cycles]],Table2[#Headers],0),0)</f>
        <v>0</v>
      </c>
      <c r="BL279" s="2">
        <f>VLOOKUP([jobnumber],OvalData[],MATCH(Table2[[#Headers],[Total Spring Torque]],Table2[#Headers],0),0)</f>
        <v>0</v>
      </c>
      <c r="BM279" s="2">
        <f>VLOOKUP([jobnumber],OvalData[],MATCH(Table2[[#Headers],[Total Spring Weight]],Table2[#Headers],0),0)</f>
        <v>0</v>
      </c>
      <c r="BN279" s="2">
        <f>VLOOKUP([jobnumber],OvalData[],MATCH(Table2[[#Headers],[Pipe Weight]],Table2[#Headers],0),0)</f>
        <v>688.24239999999998</v>
      </c>
      <c r="BO279" s="2">
        <f>VLOOKUP([jobnumber],OvalData[],MATCH(Table2[[#Headers],[Max Pipe Deflection]],Table2[#Headers],0),0)</f>
        <v>2309</v>
      </c>
      <c r="BP279" s="2">
        <f>VLOOKUP([jobnumber],OvalData[],MATCH(Table2[[#Headers],[Number Non-Insulated Wrap Slats]],Table2[#Headers],0),0)</f>
        <v>0</v>
      </c>
      <c r="BQ279" s="2">
        <f>VLOOKUP([jobnumber],OvalData[],MATCH(Table2[[#Headers],[Number of Insolated Top Slats]],Table2[#Headers],0),0)</f>
        <v>45</v>
      </c>
      <c r="BR279" s="2">
        <f>VLOOKUP([jobnumber],OvalData[],MATCH(Table2[[#Headers],[Insolated Total Slats]],Table2[#Headers],0),0)</f>
        <v>45</v>
      </c>
      <c r="BS279" s="2">
        <f>VLOOKUP([jobnumber],OvalData[],MATCH(Table2[[#Headers],[Number of Slats]],Table2[#Headers],0),0)</f>
        <v>44.69</v>
      </c>
      <c r="BT279" s="2">
        <f>VLOOKUP([jobnumber],OvalData[],MATCH(Table2[[#Headers],[Wrap]],Table2[#Headers],0),0)</f>
        <v>0</v>
      </c>
      <c r="BU279" s="2">
        <f>VLOOKUP([jobnumber],OvalData[],MATCH(Table2[[#Headers],[Wall Angle Thickness]],Table2[#Headers],0),0)</f>
        <v>0</v>
      </c>
      <c r="BV279" s="2">
        <f>VLOOKUP([jobnumber],OvalData[],MATCH(Table2[[#Headers],[windlocks]],Table2[#Headers],0),0)</f>
        <v>0</v>
      </c>
      <c r="BW279" s="2" t="str">
        <f>VLOOKUP([jobnumber],OvalData[],MATCH(Table2[[#Headers],[bottombartype]],Table2[#Headers],0),0)</f>
        <v>SPECIAL</v>
      </c>
      <c r="BX279" s="2">
        <f>VLOOKUP([jobnumber],OvalData[],MATCH(Table2[[#Headers],[endlockweight]],Table2[#Headers],0),0)</f>
        <v>0.17</v>
      </c>
      <c r="BY279" s="2">
        <f>VLOOKUP([jobnumber],OvalData[],MATCH(Table2[[#Headers],[Endlock Total Weight]],Table2[#Headers],0),0)</f>
        <v>7.5972999999999997</v>
      </c>
      <c r="BZ279" s="2">
        <f>VLOOKUP([jobnumber],OvalData[],MATCH(Table2[[#Headers],[Grille Weight]],Table2[#Headers],0),0)</f>
        <v>0</v>
      </c>
      <c r="CA279" s="2">
        <f>VLOOKUP([jobnumber],OvalData[],MATCH(Table2[[#Headers],[barrelrings]],Table2[#Headers],0),0)</f>
        <v>1</v>
      </c>
    </row>
    <row r="280" spans="2:79">
      <c r="B280" s="2" t="str">
        <f>VLOOKUP([jobnumber],OvalData[],MATCH(Table2[[#Headers],[Hand]],Table2[#Headers],0),0)</f>
        <v>RH</v>
      </c>
      <c r="C280" s="2" t="str">
        <f>VLOOKUP([jobnumber],OvalData[],MATCH(Table2[[#Headers],[Model]],Table2[#Headers],0),0)</f>
        <v>SFMPP</v>
      </c>
      <c r="D280" s="2" t="str">
        <f>VLOOKUP([jobnumber],OvalData[],MATCH(Table2[[#Headers],[width]],Table2[#Headers],0),0)</f>
        <v xml:space="preserve"> 18 ft.- 2"</v>
      </c>
      <c r="E280" s="2" t="str">
        <f>VLOOKUP([jobnumber],OvalData[],MATCH(Table2[[#Headers],[stopheight]],Table2[#Headers],0),0)</f>
        <v xml:space="preserve"> 10 ft.- 0"</v>
      </c>
      <c r="F280" s="2" t="str">
        <f>VLOOKUP([jobnumber],OvalData[],MATCH(Table2[[#Headers],[Between Brackets]],Table2[#Headers],0),0)</f>
        <v xml:space="preserve"> 18 ft.- 7 7/ 8"</v>
      </c>
      <c r="G280" s="2" t="str">
        <f>VLOOKUP([jobnumber],OvalData[],MATCH(Table2[[#Headers],[shell]],Table2[#Headers],0),0)</f>
        <v>6 INCH TUBE</v>
      </c>
      <c r="H280" s="2" t="str">
        <f>VLOOKUP([jobnumber],OvalData[],MATCH(Table2[[#Headers],[pipewidth]],Table2[#Headers],0),0)</f>
        <v xml:space="preserve"> 18 ft.- 1 3/ 8"</v>
      </c>
      <c r="I280" s="2">
        <f>VLOOKUP([jobnumber],OvalData[],MATCH(Table2[[#Headers],[Support Tubes]],Table2[#Headers],0),0)</f>
        <v>0</v>
      </c>
      <c r="J280" s="2">
        <f>VLOOKUP([jobnumber],OvalData[],MATCH(Table2[[#Headers],[Upset]],Table2[#Headers],0),0)</f>
        <v>2</v>
      </c>
      <c r="K280" s="2" t="str">
        <f>VLOOKUP([jobnumber],OvalData[],MATCH(Table2[[#Headers],[Guide Type]],Table2[#Headers],0),0)</f>
        <v>SN2-4 5/8-E</v>
      </c>
      <c r="L280" s="2" t="str">
        <f>VLOOKUP([jobnumber],OvalData[],MATCH(Table2[[#Headers],[Wall Angle]],Table2[#Headers],0),0)</f>
        <v xml:space="preserve"> 11 ft.- 8"</v>
      </c>
      <c r="M280" s="2" t="str">
        <f>VLOOKUP([jobnumber],OvalData[],MATCH(Table2[[#Headers],[Middle Angle]],Table2[#Headers],0),0)</f>
        <v xml:space="preserve"> 10 ft.- 4 1/ 2"</v>
      </c>
      <c r="N280" s="2" t="str">
        <f>VLOOKUP([jobnumber],OvalData[],MATCH(Table2[[#Headers],[Front Angle]],Table2[#Headers],0),0)</f>
        <v xml:space="preserve"> 10 ft.- 3"</v>
      </c>
      <c r="O280" s="2">
        <f>VLOOKUP([jobnumber],OvalData[],MATCH(Table2[[#Headers],[Pipe Center Line]],Table2[#Headers],0),0)</f>
        <v>131</v>
      </c>
      <c r="P280" s="2">
        <f>VLOOKUP([jobnumber],OvalData[],MATCH(Table2[[#Headers],[Heat Expansion Gap]],Table2[#Headers],0),0)</f>
        <v>0</v>
      </c>
      <c r="Q280" s="2">
        <f>VLOOKUP([jobnumber],OvalData[],MATCH(Table2[[#Headers],[Hanging Weight Closed]],Table2[#Headers],0),0)</f>
        <v>795</v>
      </c>
      <c r="R280" s="2">
        <f>VLOOKUP([jobnumber],OvalData[],MATCH(Table2[[#Headers],[Hanging Weight Open]],Table2[#Headers],0),0)</f>
        <v>140</v>
      </c>
      <c r="S280" s="2">
        <f>VLOOKUP([jobnumber],OvalData[],MATCH(Table2[[#Headers],[Initial Lever Arm]],Table2[#Headers],0),0)</f>
        <v>4.25</v>
      </c>
      <c r="T280" s="2">
        <f>VLOOKUP([jobnumber],OvalData[],MATCH(Table2[[#Headers],[Turns to Raise]],Table2[#Headers],0),0)</f>
        <v>3.5859999999999999</v>
      </c>
      <c r="U280" s="2">
        <f>VLOOKUP([jobnumber],OvalData[],MATCH(Table2[[#Headers],[Final Lever Arm]],Table2[#Headers],0),0)</f>
        <v>6.37</v>
      </c>
      <c r="V280" s="2">
        <f>VLOOKUP([jobnumber],OvalData[],MATCH(Table2[[#Headers],[Torque Required Closed]],Table2[#Headers],0),0)</f>
        <v>3377.9</v>
      </c>
      <c r="W280" s="2">
        <f>VLOOKUP([jobnumber],OvalData[],MATCH(Table2[[#Headers],[Torque Required Open]],Table2[#Headers],0),0)</f>
        <v>892</v>
      </c>
      <c r="X280" s="2">
        <f>VLOOKUP([jobnumber],OvalData[],MATCH(Table2[[#Headers],[Pre Turns]],Table2[#Headers],0),0)</f>
        <v>1.3332999999999999</v>
      </c>
      <c r="Y280" s="2">
        <f>VLOOKUP([jobnumber],OvalData[],MATCH(Table2[[#Headers],[Required Torque Per Turn]],Table2[#Headers],0),0)</f>
        <v>688</v>
      </c>
      <c r="Z280" s="2">
        <f>VLOOKUP([jobnumber],OvalData[],MATCH(Table2[[#Headers],[Total Turns]],Table2[#Headers],0),0)</f>
        <v>4.91</v>
      </c>
      <c r="AA280" s="2">
        <f>VLOOKUP([jobnumber],OvalData[],MATCH(Table2[[#Headers],[Grille Vision Section]],Table2[#Headers],0),0)</f>
        <v>0</v>
      </c>
      <c r="AB280" s="2">
        <f>VLOOKUP([jobnumber],OvalData[],MATCH(Table2[[#Headers],[Grille Amount]],Table2[#Headers],0),0)</f>
        <v>0</v>
      </c>
      <c r="AC280" s="2">
        <f>VLOOKUP([jobnumber],OvalData[],MATCH(Table2[[#Headers],[Grille Center]],Table2[#Headers],0),0)</f>
        <v>0</v>
      </c>
      <c r="AD280" s="2">
        <f>VLOOKUP([jobnumber],OvalData[],MATCH(Table2[[#Headers],[Grille Pattern]],Table2[#Headers],0),0)</f>
        <v>0</v>
      </c>
      <c r="AE280" s="2">
        <f>VLOOKUP([jobnumber],OvalData[],MATCH(Table2[[#Headers],[Grille First Tube]],Table2[#Headers],0),0)</f>
        <v>0</v>
      </c>
      <c r="AF280" s="2">
        <f>VLOOKUP([jobnumber],OvalData[],MATCH(Table2[[#Headers],[Grille Standard Tube]],Table2[#Headers],0),0)</f>
        <v>0</v>
      </c>
      <c r="AG280" s="2">
        <f>VLOOKUP([jobnumber],OvalData[],MATCH(Table2[[#Headers],[Grille Total Links]],Table2[#Headers],0),0)</f>
        <v>0</v>
      </c>
      <c r="AH280" s="2">
        <f>VLOOKUP([jobnumber],OvalData[],MATCH(Table2[[#Headers],[Grille Rods]],Table2[#Headers],0),0)</f>
        <v>0</v>
      </c>
      <c r="AI280" s="2">
        <f>VLOOKUP([jobnumber],OvalData[],MATCH(Table2[[#Headers],[Grille Rod Length]],Table2[#Headers],0),0)</f>
        <v>0</v>
      </c>
      <c r="AJ280" s="2">
        <f>VLOOKUP([jobnumber],OvalData[],MATCH(Table2[[#Headers],[slattype]],Table2[#Headers],0),0)</f>
        <v>2</v>
      </c>
      <c r="AK280" s="2">
        <f>VLOOKUP([jobnumber],OvalData[],MATCH(Table2[[#Headers],[slatgage]],Table2[#Headers],0),0)</f>
        <v>18</v>
      </c>
      <c r="AL280" s="2">
        <f>VLOOKUP([jobnumber],OvalData[],MATCH(Table2[[#Headers],[Numer of Top Slats]],Table2[#Headers],0),0)</f>
        <v>0</v>
      </c>
      <c r="AM280" s="2">
        <f>VLOOKUP([jobnumber],OvalData[],MATCH(Table2[[#Headers],[Number of Bottom Slats]],Table2[#Headers],0),0)</f>
        <v>0</v>
      </c>
      <c r="AN280" s="2">
        <f>VLOOKUP([jobnumber],OvalData[],MATCH(Table2[[#Headers],[Solid Bottom Height]],Table2[#Headers],0),0)</f>
        <v>0</v>
      </c>
      <c r="AO280" s="2" t="str">
        <f>VLOOKUP([jobnumber],OvalData[],MATCH(Table2[[#Headers],[slatlength]],Table2[#Headers],0),0)</f>
        <v xml:space="preserve"> 18 ft.- 5 7/ 8"</v>
      </c>
      <c r="AP280" s="2">
        <f>VLOOKUP([jobnumber],OvalData[],MATCH(Table2[[#Headers],[Bottom Slat Length]],Table2[#Headers],0),0)</f>
        <v>0</v>
      </c>
      <c r="AQ280" s="2">
        <f>VLOOKUP([jobnumber],OvalData[],MATCH(Table2[[#Headers],[Number of Perferated Slats]],Table2[#Headers],0),0)</f>
        <v>0</v>
      </c>
      <c r="AR280" s="2">
        <f>VLOOKUP([jobnumber],OvalData[],MATCH(Table2[[#Headers],[First Preferated Slat From End]],Table2[#Headers],0),0)</f>
        <v>0</v>
      </c>
      <c r="AS280" s="2">
        <f>VLOOKUP([jobnumber],OvalData[],MATCH(Table2[[#Headers],[First Preferated Slat From Bottom]],Table2[#Headers],0),0)</f>
        <v>0</v>
      </c>
      <c r="AT280" s="2">
        <f>VLOOKUP([jobnumber],OvalData[],MATCH(Table2[[#Headers],[Total Number of Slats]],Table2[#Headers],0),0)</f>
        <v>51</v>
      </c>
      <c r="AU280" s="2">
        <f>VLOOKUP([jobnumber],OvalData[],MATCH(Table2[[#Headers],[Bottom Bar Slope]],Table2[#Headers],0),0)</f>
        <v>0</v>
      </c>
      <c r="AV280" s="2">
        <f>VLOOKUP([jobnumber],OvalData[],MATCH(Table2[[#Headers],[Bottom Bar Weight]],Table2[#Headers],0),0)</f>
        <v>80.5</v>
      </c>
      <c r="AW280" s="2" t="str">
        <f>VLOOKUP([jobnumber],OvalData[],MATCH(Table2[[#Headers],[Outer Spring Gage]],Table2[#Headers],0),0)</f>
        <v>Null</v>
      </c>
      <c r="AX280" s="2" t="str">
        <f>VLOOKUP([jobnumber],OvalData[],MATCH(Table2[[#Headers],[Outer Spring OD]],Table2[#Headers],0),0)</f>
        <v>Null</v>
      </c>
      <c r="AY280" s="2" t="str">
        <f>VLOOKUP([jobnumber],OvalData[],MATCH(Table2[[#Headers],[Outer Spring Length]],Table2[#Headers],0),0)</f>
        <v>Null</v>
      </c>
      <c r="AZ280" s="2" t="str">
        <f>VLOOKUP([jobnumber],OvalData[],MATCH(Table2[[#Headers],[Outer Spring Stretch]],Table2[#Headers],0),0)</f>
        <v>Null</v>
      </c>
      <c r="BA280" s="2" t="str">
        <f>VLOOKUP([jobnumber],OvalData[],MATCH(Table2[[#Headers],[Outer Spring Torque]],Table2[#Headers],0),0)</f>
        <v>Null</v>
      </c>
      <c r="BB280" s="2" t="str">
        <f>VLOOKUP([jobnumber],OvalData[],MATCH(Table2[[#Headers],[Outer Spring Max Turns]],Table2[#Headers],0),0)</f>
        <v>Null</v>
      </c>
      <c r="BC280" s="2" t="str">
        <f>VLOOKUP([jobnumber],OvalData[],MATCH(Table2[[#Headers],[Outer Spring Weight]],Table2[#Headers],0),0)</f>
        <v>Null</v>
      </c>
      <c r="BD280" s="2" t="str">
        <f>VLOOKUP([jobnumber],OvalData[],MATCH(Table2[[#Headers],[Inner Spring Gage]],Table2[#Headers],0),0)</f>
        <v>Null</v>
      </c>
      <c r="BE280" s="2" t="str">
        <f>VLOOKUP([jobnumber],OvalData[],MATCH(Table2[[#Headers],[Inner Spring OD]],Table2[#Headers],0),0)</f>
        <v>Null</v>
      </c>
      <c r="BF280" s="2" t="str">
        <f>VLOOKUP([jobnumber],OvalData[],MATCH(Table2[[#Headers],[Inner Spring Length]],Table2[#Headers],0),0)</f>
        <v>Null</v>
      </c>
      <c r="BG280" s="2" t="str">
        <f>VLOOKUP([jobnumber],OvalData[],MATCH(Table2[[#Headers],[Inner Spring Stretch]],Table2[#Headers],0),0)</f>
        <v>Null</v>
      </c>
      <c r="BH280" s="2" t="str">
        <f>VLOOKUP([jobnumber],OvalData[],MATCH(Table2[[#Headers],[Inner Spring Torque]],Table2[#Headers],0),0)</f>
        <v>Null</v>
      </c>
      <c r="BI280" s="2" t="str">
        <f>VLOOKUP([jobnumber],OvalData[],MATCH(Table2[[#Headers],[Inner Spring Max Turns]],Table2[#Headers],0),0)</f>
        <v>Null</v>
      </c>
      <c r="BJ280" s="2" t="str">
        <f>VLOOKUP([jobnumber],OvalData[],MATCH(Table2[[#Headers],[Inner Spring Weight]],Table2[#Headers],0),0)</f>
        <v>Null</v>
      </c>
      <c r="BK280" s="2">
        <f>VLOOKUP([jobnumber],OvalData[],MATCH(Table2[[#Headers],[Cycles]],Table2[#Headers],0),0)</f>
        <v>0</v>
      </c>
      <c r="BL280" s="2">
        <f>VLOOKUP([jobnumber],OvalData[],MATCH(Table2[[#Headers],[Total Spring Torque]],Table2[#Headers],0),0)</f>
        <v>0</v>
      </c>
      <c r="BM280" s="2">
        <f>VLOOKUP([jobnumber],OvalData[],MATCH(Table2[[#Headers],[Total Spring Weight]],Table2[#Headers],0),0)</f>
        <v>0</v>
      </c>
      <c r="BN280" s="2">
        <f>VLOOKUP([jobnumber],OvalData[],MATCH(Table2[[#Headers],[Pipe Weight]],Table2[#Headers],0),0)</f>
        <v>688.24239999999998</v>
      </c>
      <c r="BO280" s="2">
        <f>VLOOKUP([jobnumber],OvalData[],MATCH(Table2[[#Headers],[Max Pipe Deflection]],Table2[#Headers],0),0)</f>
        <v>2309</v>
      </c>
      <c r="BP280" s="2">
        <f>VLOOKUP([jobnumber],OvalData[],MATCH(Table2[[#Headers],[Number Non-Insulated Wrap Slats]],Table2[#Headers],0),0)</f>
        <v>0</v>
      </c>
      <c r="BQ280" s="2">
        <f>VLOOKUP([jobnumber],OvalData[],MATCH(Table2[[#Headers],[Number of Insolated Top Slats]],Table2[#Headers],0),0)</f>
        <v>45</v>
      </c>
      <c r="BR280" s="2">
        <f>VLOOKUP([jobnumber],OvalData[],MATCH(Table2[[#Headers],[Insolated Total Slats]],Table2[#Headers],0),0)</f>
        <v>45</v>
      </c>
      <c r="BS280" s="2">
        <f>VLOOKUP([jobnumber],OvalData[],MATCH(Table2[[#Headers],[Number of Slats]],Table2[#Headers],0),0)</f>
        <v>44.69</v>
      </c>
      <c r="BT280" s="2">
        <f>VLOOKUP([jobnumber],OvalData[],MATCH(Table2[[#Headers],[Wrap]],Table2[#Headers],0),0)</f>
        <v>0</v>
      </c>
      <c r="BU280" s="2">
        <f>VLOOKUP([jobnumber],OvalData[],MATCH(Table2[[#Headers],[Wall Angle Thickness]],Table2[#Headers],0),0)</f>
        <v>0</v>
      </c>
      <c r="BV280" s="2">
        <f>VLOOKUP([jobnumber],OvalData[],MATCH(Table2[[#Headers],[windlocks]],Table2[#Headers],0),0)</f>
        <v>0</v>
      </c>
      <c r="BW280" s="2" t="str">
        <f>VLOOKUP([jobnumber],OvalData[],MATCH(Table2[[#Headers],[bottombartype]],Table2[#Headers],0),0)</f>
        <v>SPECIAL</v>
      </c>
      <c r="BX280" s="2">
        <f>VLOOKUP([jobnumber],OvalData[],MATCH(Table2[[#Headers],[endlockweight]],Table2[#Headers],0),0)</f>
        <v>0.17</v>
      </c>
      <c r="BY280" s="2">
        <f>VLOOKUP([jobnumber],OvalData[],MATCH(Table2[[#Headers],[Endlock Total Weight]],Table2[#Headers],0),0)</f>
        <v>7.5972999999999997</v>
      </c>
      <c r="BZ280" s="2">
        <f>VLOOKUP([jobnumber],OvalData[],MATCH(Table2[[#Headers],[Grille Weight]],Table2[#Headers],0),0)</f>
        <v>0</v>
      </c>
      <c r="CA280" s="2">
        <f>VLOOKUP([jobnumber],OvalData[],MATCH(Table2[[#Headers],[barrelrings]],Table2[#Headers],0),0)</f>
        <v>1</v>
      </c>
    </row>
    <row r="281" spans="2:79">
      <c r="B281" s="2" t="str">
        <f>VLOOKUP([jobnumber],OvalData[],MATCH(Table2[[#Headers],[Hand]],Table2[#Headers],0),0)</f>
        <v>RH</v>
      </c>
      <c r="C281" s="2" t="str">
        <f>VLOOKUP([jobnumber],OvalData[],MATCH(Table2[[#Headers],[Model]],Table2[#Headers],0),0)</f>
        <v>SFMPP</v>
      </c>
      <c r="D281" s="2" t="str">
        <f>VLOOKUP([jobnumber],OvalData[],MATCH(Table2[[#Headers],[width]],Table2[#Headers],0),0)</f>
        <v xml:space="preserve"> 18 ft.- 2"</v>
      </c>
      <c r="E281" s="2" t="str">
        <f>VLOOKUP([jobnumber],OvalData[],MATCH(Table2[[#Headers],[stopheight]],Table2[#Headers],0),0)</f>
        <v xml:space="preserve"> 10 ft.- 0"</v>
      </c>
      <c r="F281" s="2" t="str">
        <f>VLOOKUP([jobnumber],OvalData[],MATCH(Table2[[#Headers],[Between Brackets]],Table2[#Headers],0),0)</f>
        <v xml:space="preserve"> 18 ft.- 7 7/ 8"</v>
      </c>
      <c r="G281" s="2" t="str">
        <f>VLOOKUP([jobnumber],OvalData[],MATCH(Table2[[#Headers],[shell]],Table2[#Headers],0),0)</f>
        <v>6 INCH TUBE</v>
      </c>
      <c r="H281" s="2" t="str">
        <f>VLOOKUP([jobnumber],OvalData[],MATCH(Table2[[#Headers],[pipewidth]],Table2[#Headers],0),0)</f>
        <v xml:space="preserve"> 18 ft.- 1 3/ 8"</v>
      </c>
      <c r="I281" s="2">
        <f>VLOOKUP([jobnumber],OvalData[],MATCH(Table2[[#Headers],[Support Tubes]],Table2[#Headers],0),0)</f>
        <v>0</v>
      </c>
      <c r="J281" s="2">
        <f>VLOOKUP([jobnumber],OvalData[],MATCH(Table2[[#Headers],[Upset]],Table2[#Headers],0),0)</f>
        <v>2</v>
      </c>
      <c r="K281" s="2" t="str">
        <f>VLOOKUP([jobnumber],OvalData[],MATCH(Table2[[#Headers],[Guide Type]],Table2[#Headers],0),0)</f>
        <v>SN2-4 5/8-E</v>
      </c>
      <c r="L281" s="2" t="str">
        <f>VLOOKUP([jobnumber],OvalData[],MATCH(Table2[[#Headers],[Wall Angle]],Table2[#Headers],0),0)</f>
        <v xml:space="preserve"> 11 ft.- 8"</v>
      </c>
      <c r="M281" s="2" t="str">
        <f>VLOOKUP([jobnumber],OvalData[],MATCH(Table2[[#Headers],[Middle Angle]],Table2[#Headers],0),0)</f>
        <v xml:space="preserve"> 10 ft.- 4 1/ 2"</v>
      </c>
      <c r="N281" s="2" t="str">
        <f>VLOOKUP([jobnumber],OvalData[],MATCH(Table2[[#Headers],[Front Angle]],Table2[#Headers],0),0)</f>
        <v xml:space="preserve"> 10 ft.- 3"</v>
      </c>
      <c r="O281" s="2">
        <f>VLOOKUP([jobnumber],OvalData[],MATCH(Table2[[#Headers],[Pipe Center Line]],Table2[#Headers],0),0)</f>
        <v>131</v>
      </c>
      <c r="P281" s="2">
        <f>VLOOKUP([jobnumber],OvalData[],MATCH(Table2[[#Headers],[Heat Expansion Gap]],Table2[#Headers],0),0)</f>
        <v>0</v>
      </c>
      <c r="Q281" s="2">
        <f>VLOOKUP([jobnumber],OvalData[],MATCH(Table2[[#Headers],[Hanging Weight Closed]],Table2[#Headers],0),0)</f>
        <v>795</v>
      </c>
      <c r="R281" s="2">
        <f>VLOOKUP([jobnumber],OvalData[],MATCH(Table2[[#Headers],[Hanging Weight Open]],Table2[#Headers],0),0)</f>
        <v>140</v>
      </c>
      <c r="S281" s="2">
        <f>VLOOKUP([jobnumber],OvalData[],MATCH(Table2[[#Headers],[Initial Lever Arm]],Table2[#Headers],0),0)</f>
        <v>4.25</v>
      </c>
      <c r="T281" s="2">
        <f>VLOOKUP([jobnumber],OvalData[],MATCH(Table2[[#Headers],[Turns to Raise]],Table2[#Headers],0),0)</f>
        <v>3.5859999999999999</v>
      </c>
      <c r="U281" s="2">
        <f>VLOOKUP([jobnumber],OvalData[],MATCH(Table2[[#Headers],[Final Lever Arm]],Table2[#Headers],0),0)</f>
        <v>6.37</v>
      </c>
      <c r="V281" s="2">
        <f>VLOOKUP([jobnumber],OvalData[],MATCH(Table2[[#Headers],[Torque Required Closed]],Table2[#Headers],0),0)</f>
        <v>3377.9</v>
      </c>
      <c r="W281" s="2">
        <f>VLOOKUP([jobnumber],OvalData[],MATCH(Table2[[#Headers],[Torque Required Open]],Table2[#Headers],0),0)</f>
        <v>892</v>
      </c>
      <c r="X281" s="2">
        <f>VLOOKUP([jobnumber],OvalData[],MATCH(Table2[[#Headers],[Pre Turns]],Table2[#Headers],0),0)</f>
        <v>1.3332999999999999</v>
      </c>
      <c r="Y281" s="2">
        <f>VLOOKUP([jobnumber],OvalData[],MATCH(Table2[[#Headers],[Required Torque Per Turn]],Table2[#Headers],0),0)</f>
        <v>688</v>
      </c>
      <c r="Z281" s="2">
        <f>VLOOKUP([jobnumber],OvalData[],MATCH(Table2[[#Headers],[Total Turns]],Table2[#Headers],0),0)</f>
        <v>4.91</v>
      </c>
      <c r="AA281" s="2">
        <f>VLOOKUP([jobnumber],OvalData[],MATCH(Table2[[#Headers],[Grille Vision Section]],Table2[#Headers],0),0)</f>
        <v>0</v>
      </c>
      <c r="AB281" s="2">
        <f>VLOOKUP([jobnumber],OvalData[],MATCH(Table2[[#Headers],[Grille Amount]],Table2[#Headers],0),0)</f>
        <v>0</v>
      </c>
      <c r="AC281" s="2">
        <f>VLOOKUP([jobnumber],OvalData[],MATCH(Table2[[#Headers],[Grille Center]],Table2[#Headers],0),0)</f>
        <v>0</v>
      </c>
      <c r="AD281" s="2">
        <f>VLOOKUP([jobnumber],OvalData[],MATCH(Table2[[#Headers],[Grille Pattern]],Table2[#Headers],0),0)</f>
        <v>0</v>
      </c>
      <c r="AE281" s="2">
        <f>VLOOKUP([jobnumber],OvalData[],MATCH(Table2[[#Headers],[Grille First Tube]],Table2[#Headers],0),0)</f>
        <v>0</v>
      </c>
      <c r="AF281" s="2">
        <f>VLOOKUP([jobnumber],OvalData[],MATCH(Table2[[#Headers],[Grille Standard Tube]],Table2[#Headers],0),0)</f>
        <v>0</v>
      </c>
      <c r="AG281" s="2">
        <f>VLOOKUP([jobnumber],OvalData[],MATCH(Table2[[#Headers],[Grille Total Links]],Table2[#Headers],0),0)</f>
        <v>0</v>
      </c>
      <c r="AH281" s="2">
        <f>VLOOKUP([jobnumber],OvalData[],MATCH(Table2[[#Headers],[Grille Rods]],Table2[#Headers],0),0)</f>
        <v>0</v>
      </c>
      <c r="AI281" s="2">
        <f>VLOOKUP([jobnumber],OvalData[],MATCH(Table2[[#Headers],[Grille Rod Length]],Table2[#Headers],0),0)</f>
        <v>0</v>
      </c>
      <c r="AJ281" s="2">
        <f>VLOOKUP([jobnumber],OvalData[],MATCH(Table2[[#Headers],[slattype]],Table2[#Headers],0),0)</f>
        <v>2</v>
      </c>
      <c r="AK281" s="2">
        <f>VLOOKUP([jobnumber],OvalData[],MATCH(Table2[[#Headers],[slatgage]],Table2[#Headers],0),0)</f>
        <v>18</v>
      </c>
      <c r="AL281" s="2">
        <f>VLOOKUP([jobnumber],OvalData[],MATCH(Table2[[#Headers],[Numer of Top Slats]],Table2[#Headers],0),0)</f>
        <v>0</v>
      </c>
      <c r="AM281" s="2">
        <f>VLOOKUP([jobnumber],OvalData[],MATCH(Table2[[#Headers],[Number of Bottom Slats]],Table2[#Headers],0),0)</f>
        <v>0</v>
      </c>
      <c r="AN281" s="2">
        <f>VLOOKUP([jobnumber],OvalData[],MATCH(Table2[[#Headers],[Solid Bottom Height]],Table2[#Headers],0),0)</f>
        <v>0</v>
      </c>
      <c r="AO281" s="2" t="str">
        <f>VLOOKUP([jobnumber],OvalData[],MATCH(Table2[[#Headers],[slatlength]],Table2[#Headers],0),0)</f>
        <v xml:space="preserve"> 18 ft.- 5 7/ 8"</v>
      </c>
      <c r="AP281" s="2">
        <f>VLOOKUP([jobnumber],OvalData[],MATCH(Table2[[#Headers],[Bottom Slat Length]],Table2[#Headers],0),0)</f>
        <v>0</v>
      </c>
      <c r="AQ281" s="2">
        <f>VLOOKUP([jobnumber],OvalData[],MATCH(Table2[[#Headers],[Number of Perferated Slats]],Table2[#Headers],0),0)</f>
        <v>0</v>
      </c>
      <c r="AR281" s="2">
        <f>VLOOKUP([jobnumber],OvalData[],MATCH(Table2[[#Headers],[First Preferated Slat From End]],Table2[#Headers],0),0)</f>
        <v>0</v>
      </c>
      <c r="AS281" s="2">
        <f>VLOOKUP([jobnumber],OvalData[],MATCH(Table2[[#Headers],[First Preferated Slat From Bottom]],Table2[#Headers],0),0)</f>
        <v>0</v>
      </c>
      <c r="AT281" s="2">
        <f>VLOOKUP([jobnumber],OvalData[],MATCH(Table2[[#Headers],[Total Number of Slats]],Table2[#Headers],0),0)</f>
        <v>51</v>
      </c>
      <c r="AU281" s="2">
        <f>VLOOKUP([jobnumber],OvalData[],MATCH(Table2[[#Headers],[Bottom Bar Slope]],Table2[#Headers],0),0)</f>
        <v>0</v>
      </c>
      <c r="AV281" s="2">
        <f>VLOOKUP([jobnumber],OvalData[],MATCH(Table2[[#Headers],[Bottom Bar Weight]],Table2[#Headers],0),0)</f>
        <v>80.5</v>
      </c>
      <c r="AW281" s="2" t="str">
        <f>VLOOKUP([jobnumber],OvalData[],MATCH(Table2[[#Headers],[Outer Spring Gage]],Table2[#Headers],0),0)</f>
        <v>Null</v>
      </c>
      <c r="AX281" s="2" t="str">
        <f>VLOOKUP([jobnumber],OvalData[],MATCH(Table2[[#Headers],[Outer Spring OD]],Table2[#Headers],0),0)</f>
        <v>Null</v>
      </c>
      <c r="AY281" s="2" t="str">
        <f>VLOOKUP([jobnumber],OvalData[],MATCH(Table2[[#Headers],[Outer Spring Length]],Table2[#Headers],0),0)</f>
        <v>Null</v>
      </c>
      <c r="AZ281" s="2" t="str">
        <f>VLOOKUP([jobnumber],OvalData[],MATCH(Table2[[#Headers],[Outer Spring Stretch]],Table2[#Headers],0),0)</f>
        <v>Null</v>
      </c>
      <c r="BA281" s="2" t="str">
        <f>VLOOKUP([jobnumber],OvalData[],MATCH(Table2[[#Headers],[Outer Spring Torque]],Table2[#Headers],0),0)</f>
        <v>Null</v>
      </c>
      <c r="BB281" s="2" t="str">
        <f>VLOOKUP([jobnumber],OvalData[],MATCH(Table2[[#Headers],[Outer Spring Max Turns]],Table2[#Headers],0),0)</f>
        <v>Null</v>
      </c>
      <c r="BC281" s="2" t="str">
        <f>VLOOKUP([jobnumber],OvalData[],MATCH(Table2[[#Headers],[Outer Spring Weight]],Table2[#Headers],0),0)</f>
        <v>Null</v>
      </c>
      <c r="BD281" s="2" t="str">
        <f>VLOOKUP([jobnumber],OvalData[],MATCH(Table2[[#Headers],[Inner Spring Gage]],Table2[#Headers],0),0)</f>
        <v>Null</v>
      </c>
      <c r="BE281" s="2" t="str">
        <f>VLOOKUP([jobnumber],OvalData[],MATCH(Table2[[#Headers],[Inner Spring OD]],Table2[#Headers],0),0)</f>
        <v>Null</v>
      </c>
      <c r="BF281" s="2" t="str">
        <f>VLOOKUP([jobnumber],OvalData[],MATCH(Table2[[#Headers],[Inner Spring Length]],Table2[#Headers],0),0)</f>
        <v>Null</v>
      </c>
      <c r="BG281" s="2" t="str">
        <f>VLOOKUP([jobnumber],OvalData[],MATCH(Table2[[#Headers],[Inner Spring Stretch]],Table2[#Headers],0),0)</f>
        <v>Null</v>
      </c>
      <c r="BH281" s="2" t="str">
        <f>VLOOKUP([jobnumber],OvalData[],MATCH(Table2[[#Headers],[Inner Spring Torque]],Table2[#Headers],0),0)</f>
        <v>Null</v>
      </c>
      <c r="BI281" s="2" t="str">
        <f>VLOOKUP([jobnumber],OvalData[],MATCH(Table2[[#Headers],[Inner Spring Max Turns]],Table2[#Headers],0),0)</f>
        <v>Null</v>
      </c>
      <c r="BJ281" s="2" t="str">
        <f>VLOOKUP([jobnumber],OvalData[],MATCH(Table2[[#Headers],[Inner Spring Weight]],Table2[#Headers],0),0)</f>
        <v>Null</v>
      </c>
      <c r="BK281" s="2">
        <f>VLOOKUP([jobnumber],OvalData[],MATCH(Table2[[#Headers],[Cycles]],Table2[#Headers],0),0)</f>
        <v>0</v>
      </c>
      <c r="BL281" s="2">
        <f>VLOOKUP([jobnumber],OvalData[],MATCH(Table2[[#Headers],[Total Spring Torque]],Table2[#Headers],0),0)</f>
        <v>0</v>
      </c>
      <c r="BM281" s="2">
        <f>VLOOKUP([jobnumber],OvalData[],MATCH(Table2[[#Headers],[Total Spring Weight]],Table2[#Headers],0),0)</f>
        <v>0</v>
      </c>
      <c r="BN281" s="2">
        <f>VLOOKUP([jobnumber],OvalData[],MATCH(Table2[[#Headers],[Pipe Weight]],Table2[#Headers],0),0)</f>
        <v>688.24239999999998</v>
      </c>
      <c r="BO281" s="2">
        <f>VLOOKUP([jobnumber],OvalData[],MATCH(Table2[[#Headers],[Max Pipe Deflection]],Table2[#Headers],0),0)</f>
        <v>2309</v>
      </c>
      <c r="BP281" s="2">
        <f>VLOOKUP([jobnumber],OvalData[],MATCH(Table2[[#Headers],[Number Non-Insulated Wrap Slats]],Table2[#Headers],0),0)</f>
        <v>0</v>
      </c>
      <c r="BQ281" s="2">
        <f>VLOOKUP([jobnumber],OvalData[],MATCH(Table2[[#Headers],[Number of Insolated Top Slats]],Table2[#Headers],0),0)</f>
        <v>45</v>
      </c>
      <c r="BR281" s="2">
        <f>VLOOKUP([jobnumber],OvalData[],MATCH(Table2[[#Headers],[Insolated Total Slats]],Table2[#Headers],0),0)</f>
        <v>45</v>
      </c>
      <c r="BS281" s="2">
        <f>VLOOKUP([jobnumber],OvalData[],MATCH(Table2[[#Headers],[Number of Slats]],Table2[#Headers],0),0)</f>
        <v>44.69</v>
      </c>
      <c r="BT281" s="2">
        <f>VLOOKUP([jobnumber],OvalData[],MATCH(Table2[[#Headers],[Wrap]],Table2[#Headers],0),0)</f>
        <v>0</v>
      </c>
      <c r="BU281" s="2">
        <f>VLOOKUP([jobnumber],OvalData[],MATCH(Table2[[#Headers],[Wall Angle Thickness]],Table2[#Headers],0),0)</f>
        <v>0</v>
      </c>
      <c r="BV281" s="2">
        <f>VLOOKUP([jobnumber],OvalData[],MATCH(Table2[[#Headers],[windlocks]],Table2[#Headers],0),0)</f>
        <v>0</v>
      </c>
      <c r="BW281" s="2" t="str">
        <f>VLOOKUP([jobnumber],OvalData[],MATCH(Table2[[#Headers],[bottombartype]],Table2[#Headers],0),0)</f>
        <v>SPECIAL</v>
      </c>
      <c r="BX281" s="2">
        <f>VLOOKUP([jobnumber],OvalData[],MATCH(Table2[[#Headers],[endlockweight]],Table2[#Headers],0),0)</f>
        <v>0.17</v>
      </c>
      <c r="BY281" s="2">
        <f>VLOOKUP([jobnumber],OvalData[],MATCH(Table2[[#Headers],[Endlock Total Weight]],Table2[#Headers],0),0)</f>
        <v>7.5972999999999997</v>
      </c>
      <c r="BZ281" s="2">
        <f>VLOOKUP([jobnumber],OvalData[],MATCH(Table2[[#Headers],[Grille Weight]],Table2[#Headers],0),0)</f>
        <v>0</v>
      </c>
      <c r="CA281" s="2">
        <f>VLOOKUP([jobnumber],OvalData[],MATCH(Table2[[#Headers],[barrelrings]],Table2[#Headers],0),0)</f>
        <v>1</v>
      </c>
    </row>
    <row r="282" spans="2:79">
      <c r="B282" s="2" t="str">
        <f>VLOOKUP([jobnumber],OvalData[],MATCH(Table2[[#Headers],[Hand]],Table2[#Headers],0),0)</f>
        <v>RH</v>
      </c>
      <c r="C282" s="2" t="str">
        <f>VLOOKUP([jobnumber],OvalData[],MATCH(Table2[[#Headers],[Model]],Table2[#Headers],0),0)</f>
        <v>SFMPP</v>
      </c>
      <c r="D282" s="2" t="str">
        <f>VLOOKUP([jobnumber],OvalData[],MATCH(Table2[[#Headers],[width]],Table2[#Headers],0),0)</f>
        <v xml:space="preserve"> 18 ft.- 2"</v>
      </c>
      <c r="E282" s="2" t="str">
        <f>VLOOKUP([jobnumber],OvalData[],MATCH(Table2[[#Headers],[stopheight]],Table2[#Headers],0),0)</f>
        <v xml:space="preserve"> 10 ft.- 0"</v>
      </c>
      <c r="F282" s="2" t="str">
        <f>VLOOKUP([jobnumber],OvalData[],MATCH(Table2[[#Headers],[Between Brackets]],Table2[#Headers],0),0)</f>
        <v xml:space="preserve"> 18 ft.- 7 7/ 8"</v>
      </c>
      <c r="G282" s="2" t="str">
        <f>VLOOKUP([jobnumber],OvalData[],MATCH(Table2[[#Headers],[shell]],Table2[#Headers],0),0)</f>
        <v>6 INCH TUBE</v>
      </c>
      <c r="H282" s="2" t="str">
        <f>VLOOKUP([jobnumber],OvalData[],MATCH(Table2[[#Headers],[pipewidth]],Table2[#Headers],0),0)</f>
        <v xml:space="preserve"> 18 ft.- 1 3/ 8"</v>
      </c>
      <c r="I282" s="2">
        <f>VLOOKUP([jobnumber],OvalData[],MATCH(Table2[[#Headers],[Support Tubes]],Table2[#Headers],0),0)</f>
        <v>0</v>
      </c>
      <c r="J282" s="2">
        <f>VLOOKUP([jobnumber],OvalData[],MATCH(Table2[[#Headers],[Upset]],Table2[#Headers],0),0)</f>
        <v>2</v>
      </c>
      <c r="K282" s="2" t="str">
        <f>VLOOKUP([jobnumber],OvalData[],MATCH(Table2[[#Headers],[Guide Type]],Table2[#Headers],0),0)</f>
        <v>SN2-4 5/8-E</v>
      </c>
      <c r="L282" s="2" t="str">
        <f>VLOOKUP([jobnumber],OvalData[],MATCH(Table2[[#Headers],[Wall Angle]],Table2[#Headers],0),0)</f>
        <v xml:space="preserve"> 11 ft.- 8"</v>
      </c>
      <c r="M282" s="2" t="str">
        <f>VLOOKUP([jobnumber],OvalData[],MATCH(Table2[[#Headers],[Middle Angle]],Table2[#Headers],0),0)</f>
        <v xml:space="preserve"> 10 ft.- 4 1/ 2"</v>
      </c>
      <c r="N282" s="2" t="str">
        <f>VLOOKUP([jobnumber],OvalData[],MATCH(Table2[[#Headers],[Front Angle]],Table2[#Headers],0),0)</f>
        <v xml:space="preserve"> 10 ft.- 3"</v>
      </c>
      <c r="O282" s="2">
        <f>VLOOKUP([jobnumber],OvalData[],MATCH(Table2[[#Headers],[Pipe Center Line]],Table2[#Headers],0),0)</f>
        <v>131</v>
      </c>
      <c r="P282" s="2">
        <f>VLOOKUP([jobnumber],OvalData[],MATCH(Table2[[#Headers],[Heat Expansion Gap]],Table2[#Headers],0),0)</f>
        <v>0</v>
      </c>
      <c r="Q282" s="2">
        <f>VLOOKUP([jobnumber],OvalData[],MATCH(Table2[[#Headers],[Hanging Weight Closed]],Table2[#Headers],0),0)</f>
        <v>795</v>
      </c>
      <c r="R282" s="2">
        <f>VLOOKUP([jobnumber],OvalData[],MATCH(Table2[[#Headers],[Hanging Weight Open]],Table2[#Headers],0),0)</f>
        <v>140</v>
      </c>
      <c r="S282" s="2">
        <f>VLOOKUP([jobnumber],OvalData[],MATCH(Table2[[#Headers],[Initial Lever Arm]],Table2[#Headers],0),0)</f>
        <v>4.25</v>
      </c>
      <c r="T282" s="2">
        <f>VLOOKUP([jobnumber],OvalData[],MATCH(Table2[[#Headers],[Turns to Raise]],Table2[#Headers],0),0)</f>
        <v>3.5859999999999999</v>
      </c>
      <c r="U282" s="2">
        <f>VLOOKUP([jobnumber],OvalData[],MATCH(Table2[[#Headers],[Final Lever Arm]],Table2[#Headers],0),0)</f>
        <v>6.37</v>
      </c>
      <c r="V282" s="2">
        <f>VLOOKUP([jobnumber],OvalData[],MATCH(Table2[[#Headers],[Torque Required Closed]],Table2[#Headers],0),0)</f>
        <v>3377.9</v>
      </c>
      <c r="W282" s="2">
        <f>VLOOKUP([jobnumber],OvalData[],MATCH(Table2[[#Headers],[Torque Required Open]],Table2[#Headers],0),0)</f>
        <v>892</v>
      </c>
      <c r="X282" s="2">
        <f>VLOOKUP([jobnumber],OvalData[],MATCH(Table2[[#Headers],[Pre Turns]],Table2[#Headers],0),0)</f>
        <v>1.3332999999999999</v>
      </c>
      <c r="Y282" s="2">
        <f>VLOOKUP([jobnumber],OvalData[],MATCH(Table2[[#Headers],[Required Torque Per Turn]],Table2[#Headers],0),0)</f>
        <v>688</v>
      </c>
      <c r="Z282" s="2">
        <f>VLOOKUP([jobnumber],OvalData[],MATCH(Table2[[#Headers],[Total Turns]],Table2[#Headers],0),0)</f>
        <v>4.91</v>
      </c>
      <c r="AA282" s="2">
        <f>VLOOKUP([jobnumber],OvalData[],MATCH(Table2[[#Headers],[Grille Vision Section]],Table2[#Headers],0),0)</f>
        <v>0</v>
      </c>
      <c r="AB282" s="2">
        <f>VLOOKUP([jobnumber],OvalData[],MATCH(Table2[[#Headers],[Grille Amount]],Table2[#Headers],0),0)</f>
        <v>0</v>
      </c>
      <c r="AC282" s="2">
        <f>VLOOKUP([jobnumber],OvalData[],MATCH(Table2[[#Headers],[Grille Center]],Table2[#Headers],0),0)</f>
        <v>0</v>
      </c>
      <c r="AD282" s="2">
        <f>VLOOKUP([jobnumber],OvalData[],MATCH(Table2[[#Headers],[Grille Pattern]],Table2[#Headers],0),0)</f>
        <v>0</v>
      </c>
      <c r="AE282" s="2">
        <f>VLOOKUP([jobnumber],OvalData[],MATCH(Table2[[#Headers],[Grille First Tube]],Table2[#Headers],0),0)</f>
        <v>0</v>
      </c>
      <c r="AF282" s="2">
        <f>VLOOKUP([jobnumber],OvalData[],MATCH(Table2[[#Headers],[Grille Standard Tube]],Table2[#Headers],0),0)</f>
        <v>0</v>
      </c>
      <c r="AG282" s="2">
        <f>VLOOKUP([jobnumber],OvalData[],MATCH(Table2[[#Headers],[Grille Total Links]],Table2[#Headers],0),0)</f>
        <v>0</v>
      </c>
      <c r="AH282" s="2">
        <f>VLOOKUP([jobnumber],OvalData[],MATCH(Table2[[#Headers],[Grille Rods]],Table2[#Headers],0),0)</f>
        <v>0</v>
      </c>
      <c r="AI282" s="2">
        <f>VLOOKUP([jobnumber],OvalData[],MATCH(Table2[[#Headers],[Grille Rod Length]],Table2[#Headers],0),0)</f>
        <v>0</v>
      </c>
      <c r="AJ282" s="2">
        <f>VLOOKUP([jobnumber],OvalData[],MATCH(Table2[[#Headers],[slattype]],Table2[#Headers],0),0)</f>
        <v>2</v>
      </c>
      <c r="AK282" s="2">
        <f>VLOOKUP([jobnumber],OvalData[],MATCH(Table2[[#Headers],[slatgage]],Table2[#Headers],0),0)</f>
        <v>18</v>
      </c>
      <c r="AL282" s="2">
        <f>VLOOKUP([jobnumber],OvalData[],MATCH(Table2[[#Headers],[Numer of Top Slats]],Table2[#Headers],0),0)</f>
        <v>0</v>
      </c>
      <c r="AM282" s="2">
        <f>VLOOKUP([jobnumber],OvalData[],MATCH(Table2[[#Headers],[Number of Bottom Slats]],Table2[#Headers],0),0)</f>
        <v>0</v>
      </c>
      <c r="AN282" s="2">
        <f>VLOOKUP([jobnumber],OvalData[],MATCH(Table2[[#Headers],[Solid Bottom Height]],Table2[#Headers],0),0)</f>
        <v>0</v>
      </c>
      <c r="AO282" s="2" t="str">
        <f>VLOOKUP([jobnumber],OvalData[],MATCH(Table2[[#Headers],[slatlength]],Table2[#Headers],0),0)</f>
        <v xml:space="preserve"> 18 ft.- 5 7/ 8"</v>
      </c>
      <c r="AP282" s="2">
        <f>VLOOKUP([jobnumber],OvalData[],MATCH(Table2[[#Headers],[Bottom Slat Length]],Table2[#Headers],0),0)</f>
        <v>0</v>
      </c>
      <c r="AQ282" s="2">
        <f>VLOOKUP([jobnumber],OvalData[],MATCH(Table2[[#Headers],[Number of Perferated Slats]],Table2[#Headers],0),0)</f>
        <v>0</v>
      </c>
      <c r="AR282" s="2">
        <f>VLOOKUP([jobnumber],OvalData[],MATCH(Table2[[#Headers],[First Preferated Slat From End]],Table2[#Headers],0),0)</f>
        <v>0</v>
      </c>
      <c r="AS282" s="2">
        <f>VLOOKUP([jobnumber],OvalData[],MATCH(Table2[[#Headers],[First Preferated Slat From Bottom]],Table2[#Headers],0),0)</f>
        <v>0</v>
      </c>
      <c r="AT282" s="2">
        <f>VLOOKUP([jobnumber],OvalData[],MATCH(Table2[[#Headers],[Total Number of Slats]],Table2[#Headers],0),0)</f>
        <v>51</v>
      </c>
      <c r="AU282" s="2">
        <f>VLOOKUP([jobnumber],OvalData[],MATCH(Table2[[#Headers],[Bottom Bar Slope]],Table2[#Headers],0),0)</f>
        <v>0</v>
      </c>
      <c r="AV282" s="2">
        <f>VLOOKUP([jobnumber],OvalData[],MATCH(Table2[[#Headers],[Bottom Bar Weight]],Table2[#Headers],0),0)</f>
        <v>80.5</v>
      </c>
      <c r="AW282" s="2" t="str">
        <f>VLOOKUP([jobnumber],OvalData[],MATCH(Table2[[#Headers],[Outer Spring Gage]],Table2[#Headers],0),0)</f>
        <v>Null</v>
      </c>
      <c r="AX282" s="2" t="str">
        <f>VLOOKUP([jobnumber],OvalData[],MATCH(Table2[[#Headers],[Outer Spring OD]],Table2[#Headers],0),0)</f>
        <v>Null</v>
      </c>
      <c r="AY282" s="2" t="str">
        <f>VLOOKUP([jobnumber],OvalData[],MATCH(Table2[[#Headers],[Outer Spring Length]],Table2[#Headers],0),0)</f>
        <v>Null</v>
      </c>
      <c r="AZ282" s="2" t="str">
        <f>VLOOKUP([jobnumber],OvalData[],MATCH(Table2[[#Headers],[Outer Spring Stretch]],Table2[#Headers],0),0)</f>
        <v>Null</v>
      </c>
      <c r="BA282" s="2" t="str">
        <f>VLOOKUP([jobnumber],OvalData[],MATCH(Table2[[#Headers],[Outer Spring Torque]],Table2[#Headers],0),0)</f>
        <v>Null</v>
      </c>
      <c r="BB282" s="2" t="str">
        <f>VLOOKUP([jobnumber],OvalData[],MATCH(Table2[[#Headers],[Outer Spring Max Turns]],Table2[#Headers],0),0)</f>
        <v>Null</v>
      </c>
      <c r="BC282" s="2" t="str">
        <f>VLOOKUP([jobnumber],OvalData[],MATCH(Table2[[#Headers],[Outer Spring Weight]],Table2[#Headers],0),0)</f>
        <v>Null</v>
      </c>
      <c r="BD282" s="2" t="str">
        <f>VLOOKUP([jobnumber],OvalData[],MATCH(Table2[[#Headers],[Inner Spring Gage]],Table2[#Headers],0),0)</f>
        <v>Null</v>
      </c>
      <c r="BE282" s="2" t="str">
        <f>VLOOKUP([jobnumber],OvalData[],MATCH(Table2[[#Headers],[Inner Spring OD]],Table2[#Headers],0),0)</f>
        <v>Null</v>
      </c>
      <c r="BF282" s="2" t="str">
        <f>VLOOKUP([jobnumber],OvalData[],MATCH(Table2[[#Headers],[Inner Spring Length]],Table2[#Headers],0),0)</f>
        <v>Null</v>
      </c>
      <c r="BG282" s="2" t="str">
        <f>VLOOKUP([jobnumber],OvalData[],MATCH(Table2[[#Headers],[Inner Spring Stretch]],Table2[#Headers],0),0)</f>
        <v>Null</v>
      </c>
      <c r="BH282" s="2" t="str">
        <f>VLOOKUP([jobnumber],OvalData[],MATCH(Table2[[#Headers],[Inner Spring Torque]],Table2[#Headers],0),0)</f>
        <v>Null</v>
      </c>
      <c r="BI282" s="2" t="str">
        <f>VLOOKUP([jobnumber],OvalData[],MATCH(Table2[[#Headers],[Inner Spring Max Turns]],Table2[#Headers],0),0)</f>
        <v>Null</v>
      </c>
      <c r="BJ282" s="2" t="str">
        <f>VLOOKUP([jobnumber],OvalData[],MATCH(Table2[[#Headers],[Inner Spring Weight]],Table2[#Headers],0),0)</f>
        <v>Null</v>
      </c>
      <c r="BK282" s="2">
        <f>VLOOKUP([jobnumber],OvalData[],MATCH(Table2[[#Headers],[Cycles]],Table2[#Headers],0),0)</f>
        <v>0</v>
      </c>
      <c r="BL282" s="2">
        <f>VLOOKUP([jobnumber],OvalData[],MATCH(Table2[[#Headers],[Total Spring Torque]],Table2[#Headers],0),0)</f>
        <v>0</v>
      </c>
      <c r="BM282" s="2">
        <f>VLOOKUP([jobnumber],OvalData[],MATCH(Table2[[#Headers],[Total Spring Weight]],Table2[#Headers],0),0)</f>
        <v>0</v>
      </c>
      <c r="BN282" s="2">
        <f>VLOOKUP([jobnumber],OvalData[],MATCH(Table2[[#Headers],[Pipe Weight]],Table2[#Headers],0),0)</f>
        <v>688.24239999999998</v>
      </c>
      <c r="BO282" s="2">
        <f>VLOOKUP([jobnumber],OvalData[],MATCH(Table2[[#Headers],[Max Pipe Deflection]],Table2[#Headers],0),0)</f>
        <v>2309</v>
      </c>
      <c r="BP282" s="2">
        <f>VLOOKUP([jobnumber],OvalData[],MATCH(Table2[[#Headers],[Number Non-Insulated Wrap Slats]],Table2[#Headers],0),0)</f>
        <v>0</v>
      </c>
      <c r="BQ282" s="2">
        <f>VLOOKUP([jobnumber],OvalData[],MATCH(Table2[[#Headers],[Number of Insolated Top Slats]],Table2[#Headers],0),0)</f>
        <v>45</v>
      </c>
      <c r="BR282" s="2">
        <f>VLOOKUP([jobnumber],OvalData[],MATCH(Table2[[#Headers],[Insolated Total Slats]],Table2[#Headers],0),0)</f>
        <v>45</v>
      </c>
      <c r="BS282" s="2">
        <f>VLOOKUP([jobnumber],OvalData[],MATCH(Table2[[#Headers],[Number of Slats]],Table2[#Headers],0),0)</f>
        <v>44.69</v>
      </c>
      <c r="BT282" s="2">
        <f>VLOOKUP([jobnumber],OvalData[],MATCH(Table2[[#Headers],[Wrap]],Table2[#Headers],0),0)</f>
        <v>0</v>
      </c>
      <c r="BU282" s="2">
        <f>VLOOKUP([jobnumber],OvalData[],MATCH(Table2[[#Headers],[Wall Angle Thickness]],Table2[#Headers],0),0)</f>
        <v>0</v>
      </c>
      <c r="BV282" s="2">
        <f>VLOOKUP([jobnumber],OvalData[],MATCH(Table2[[#Headers],[windlocks]],Table2[#Headers],0),0)</f>
        <v>0</v>
      </c>
      <c r="BW282" s="2" t="str">
        <f>VLOOKUP([jobnumber],OvalData[],MATCH(Table2[[#Headers],[bottombartype]],Table2[#Headers],0),0)</f>
        <v>SPECIAL</v>
      </c>
      <c r="BX282" s="2">
        <f>VLOOKUP([jobnumber],OvalData[],MATCH(Table2[[#Headers],[endlockweight]],Table2[#Headers],0),0)</f>
        <v>0.17</v>
      </c>
      <c r="BY282" s="2">
        <f>VLOOKUP([jobnumber],OvalData[],MATCH(Table2[[#Headers],[Endlock Total Weight]],Table2[#Headers],0),0)</f>
        <v>7.5972999999999997</v>
      </c>
      <c r="BZ282" s="2">
        <f>VLOOKUP([jobnumber],OvalData[],MATCH(Table2[[#Headers],[Grille Weight]],Table2[#Headers],0),0)</f>
        <v>0</v>
      </c>
      <c r="CA282" s="2">
        <f>VLOOKUP([jobnumber],OvalData[],MATCH(Table2[[#Headers],[barrelrings]],Table2[#Headers],0),0)</f>
        <v>1</v>
      </c>
    </row>
    <row r="283" spans="2:79">
      <c r="B283" s="2" t="str">
        <f>VLOOKUP([jobnumber],OvalData[],MATCH(Table2[[#Headers],[Hand]],Table2[#Headers],0),0)</f>
        <v>RH</v>
      </c>
      <c r="C283" s="2" t="str">
        <f>VLOOKUP([jobnumber],OvalData[],MATCH(Table2[[#Headers],[Model]],Table2[#Headers],0),0)</f>
        <v>SFMPP</v>
      </c>
      <c r="D283" s="2" t="str">
        <f>VLOOKUP([jobnumber],OvalData[],MATCH(Table2[[#Headers],[width]],Table2[#Headers],0),0)</f>
        <v xml:space="preserve"> 18 ft.- 2"</v>
      </c>
      <c r="E283" s="2" t="str">
        <f>VLOOKUP([jobnumber],OvalData[],MATCH(Table2[[#Headers],[stopheight]],Table2[#Headers],0),0)</f>
        <v xml:space="preserve"> 10 ft.- 0"</v>
      </c>
      <c r="F283" s="2" t="str">
        <f>VLOOKUP([jobnumber],OvalData[],MATCH(Table2[[#Headers],[Between Brackets]],Table2[#Headers],0),0)</f>
        <v xml:space="preserve"> 18 ft.- 7 7/ 8"</v>
      </c>
      <c r="G283" s="2" t="str">
        <f>VLOOKUP([jobnumber],OvalData[],MATCH(Table2[[#Headers],[shell]],Table2[#Headers],0),0)</f>
        <v>6 INCH TUBE</v>
      </c>
      <c r="H283" s="2" t="str">
        <f>VLOOKUP([jobnumber],OvalData[],MATCH(Table2[[#Headers],[pipewidth]],Table2[#Headers],0),0)</f>
        <v xml:space="preserve"> 18 ft.- 1 3/ 8"</v>
      </c>
      <c r="I283" s="2">
        <f>VLOOKUP([jobnumber],OvalData[],MATCH(Table2[[#Headers],[Support Tubes]],Table2[#Headers],0),0)</f>
        <v>0</v>
      </c>
      <c r="J283" s="2">
        <f>VLOOKUP([jobnumber],OvalData[],MATCH(Table2[[#Headers],[Upset]],Table2[#Headers],0),0)</f>
        <v>2</v>
      </c>
      <c r="K283" s="2" t="str">
        <f>VLOOKUP([jobnumber],OvalData[],MATCH(Table2[[#Headers],[Guide Type]],Table2[#Headers],0),0)</f>
        <v>SN2-4 5/8-E</v>
      </c>
      <c r="L283" s="2" t="str">
        <f>VLOOKUP([jobnumber],OvalData[],MATCH(Table2[[#Headers],[Wall Angle]],Table2[#Headers],0),0)</f>
        <v xml:space="preserve"> 11 ft.- 8"</v>
      </c>
      <c r="M283" s="2" t="str">
        <f>VLOOKUP([jobnumber],OvalData[],MATCH(Table2[[#Headers],[Middle Angle]],Table2[#Headers],0),0)</f>
        <v xml:space="preserve"> 10 ft.- 4 1/ 2"</v>
      </c>
      <c r="N283" s="2" t="str">
        <f>VLOOKUP([jobnumber],OvalData[],MATCH(Table2[[#Headers],[Front Angle]],Table2[#Headers],0),0)</f>
        <v xml:space="preserve"> 10 ft.- 3"</v>
      </c>
      <c r="O283" s="2">
        <f>VLOOKUP([jobnumber],OvalData[],MATCH(Table2[[#Headers],[Pipe Center Line]],Table2[#Headers],0),0)</f>
        <v>131</v>
      </c>
      <c r="P283" s="2">
        <f>VLOOKUP([jobnumber],OvalData[],MATCH(Table2[[#Headers],[Heat Expansion Gap]],Table2[#Headers],0),0)</f>
        <v>0</v>
      </c>
      <c r="Q283" s="2">
        <f>VLOOKUP([jobnumber],OvalData[],MATCH(Table2[[#Headers],[Hanging Weight Closed]],Table2[#Headers],0),0)</f>
        <v>795</v>
      </c>
      <c r="R283" s="2">
        <f>VLOOKUP([jobnumber],OvalData[],MATCH(Table2[[#Headers],[Hanging Weight Open]],Table2[#Headers],0),0)</f>
        <v>140</v>
      </c>
      <c r="S283" s="2">
        <f>VLOOKUP([jobnumber],OvalData[],MATCH(Table2[[#Headers],[Initial Lever Arm]],Table2[#Headers],0),0)</f>
        <v>4.25</v>
      </c>
      <c r="T283" s="2">
        <f>VLOOKUP([jobnumber],OvalData[],MATCH(Table2[[#Headers],[Turns to Raise]],Table2[#Headers],0),0)</f>
        <v>3.5859999999999999</v>
      </c>
      <c r="U283" s="2">
        <f>VLOOKUP([jobnumber],OvalData[],MATCH(Table2[[#Headers],[Final Lever Arm]],Table2[#Headers],0),0)</f>
        <v>6.37</v>
      </c>
      <c r="V283" s="2">
        <f>VLOOKUP([jobnumber],OvalData[],MATCH(Table2[[#Headers],[Torque Required Closed]],Table2[#Headers],0),0)</f>
        <v>3377.9</v>
      </c>
      <c r="W283" s="2">
        <f>VLOOKUP([jobnumber],OvalData[],MATCH(Table2[[#Headers],[Torque Required Open]],Table2[#Headers],0),0)</f>
        <v>892</v>
      </c>
      <c r="X283" s="2">
        <f>VLOOKUP([jobnumber],OvalData[],MATCH(Table2[[#Headers],[Pre Turns]],Table2[#Headers],0),0)</f>
        <v>1.3332999999999999</v>
      </c>
      <c r="Y283" s="2">
        <f>VLOOKUP([jobnumber],OvalData[],MATCH(Table2[[#Headers],[Required Torque Per Turn]],Table2[#Headers],0),0)</f>
        <v>688</v>
      </c>
      <c r="Z283" s="2">
        <f>VLOOKUP([jobnumber],OvalData[],MATCH(Table2[[#Headers],[Total Turns]],Table2[#Headers],0),0)</f>
        <v>4.91</v>
      </c>
      <c r="AA283" s="2">
        <f>VLOOKUP([jobnumber],OvalData[],MATCH(Table2[[#Headers],[Grille Vision Section]],Table2[#Headers],0),0)</f>
        <v>0</v>
      </c>
      <c r="AB283" s="2">
        <f>VLOOKUP([jobnumber],OvalData[],MATCH(Table2[[#Headers],[Grille Amount]],Table2[#Headers],0),0)</f>
        <v>0</v>
      </c>
      <c r="AC283" s="2">
        <f>VLOOKUP([jobnumber],OvalData[],MATCH(Table2[[#Headers],[Grille Center]],Table2[#Headers],0),0)</f>
        <v>0</v>
      </c>
      <c r="AD283" s="2">
        <f>VLOOKUP([jobnumber],OvalData[],MATCH(Table2[[#Headers],[Grille Pattern]],Table2[#Headers],0),0)</f>
        <v>0</v>
      </c>
      <c r="AE283" s="2">
        <f>VLOOKUP([jobnumber],OvalData[],MATCH(Table2[[#Headers],[Grille First Tube]],Table2[#Headers],0),0)</f>
        <v>0</v>
      </c>
      <c r="AF283" s="2">
        <f>VLOOKUP([jobnumber],OvalData[],MATCH(Table2[[#Headers],[Grille Standard Tube]],Table2[#Headers],0),0)</f>
        <v>0</v>
      </c>
      <c r="AG283" s="2">
        <f>VLOOKUP([jobnumber],OvalData[],MATCH(Table2[[#Headers],[Grille Total Links]],Table2[#Headers],0),0)</f>
        <v>0</v>
      </c>
      <c r="AH283" s="2">
        <f>VLOOKUP([jobnumber],OvalData[],MATCH(Table2[[#Headers],[Grille Rods]],Table2[#Headers],0),0)</f>
        <v>0</v>
      </c>
      <c r="AI283" s="2">
        <f>VLOOKUP([jobnumber],OvalData[],MATCH(Table2[[#Headers],[Grille Rod Length]],Table2[#Headers],0),0)</f>
        <v>0</v>
      </c>
      <c r="AJ283" s="2">
        <f>VLOOKUP([jobnumber],OvalData[],MATCH(Table2[[#Headers],[slattype]],Table2[#Headers],0),0)</f>
        <v>2</v>
      </c>
      <c r="AK283" s="2">
        <f>VLOOKUP([jobnumber],OvalData[],MATCH(Table2[[#Headers],[slatgage]],Table2[#Headers],0),0)</f>
        <v>18</v>
      </c>
      <c r="AL283" s="2">
        <f>VLOOKUP([jobnumber],OvalData[],MATCH(Table2[[#Headers],[Numer of Top Slats]],Table2[#Headers],0),0)</f>
        <v>0</v>
      </c>
      <c r="AM283" s="2">
        <f>VLOOKUP([jobnumber],OvalData[],MATCH(Table2[[#Headers],[Number of Bottom Slats]],Table2[#Headers],0),0)</f>
        <v>0</v>
      </c>
      <c r="AN283" s="2">
        <f>VLOOKUP([jobnumber],OvalData[],MATCH(Table2[[#Headers],[Solid Bottom Height]],Table2[#Headers],0),0)</f>
        <v>0</v>
      </c>
      <c r="AO283" s="2" t="str">
        <f>VLOOKUP([jobnumber],OvalData[],MATCH(Table2[[#Headers],[slatlength]],Table2[#Headers],0),0)</f>
        <v xml:space="preserve"> 18 ft.- 5 7/ 8"</v>
      </c>
      <c r="AP283" s="2">
        <f>VLOOKUP([jobnumber],OvalData[],MATCH(Table2[[#Headers],[Bottom Slat Length]],Table2[#Headers],0),0)</f>
        <v>0</v>
      </c>
      <c r="AQ283" s="2">
        <f>VLOOKUP([jobnumber],OvalData[],MATCH(Table2[[#Headers],[Number of Perferated Slats]],Table2[#Headers],0),0)</f>
        <v>0</v>
      </c>
      <c r="AR283" s="2">
        <f>VLOOKUP([jobnumber],OvalData[],MATCH(Table2[[#Headers],[First Preferated Slat From End]],Table2[#Headers],0),0)</f>
        <v>0</v>
      </c>
      <c r="AS283" s="2">
        <f>VLOOKUP([jobnumber],OvalData[],MATCH(Table2[[#Headers],[First Preferated Slat From Bottom]],Table2[#Headers],0),0)</f>
        <v>0</v>
      </c>
      <c r="AT283" s="2">
        <f>VLOOKUP([jobnumber],OvalData[],MATCH(Table2[[#Headers],[Total Number of Slats]],Table2[#Headers],0),0)</f>
        <v>51</v>
      </c>
      <c r="AU283" s="2">
        <f>VLOOKUP([jobnumber],OvalData[],MATCH(Table2[[#Headers],[Bottom Bar Slope]],Table2[#Headers],0),0)</f>
        <v>0</v>
      </c>
      <c r="AV283" s="2">
        <f>VLOOKUP([jobnumber],OvalData[],MATCH(Table2[[#Headers],[Bottom Bar Weight]],Table2[#Headers],0),0)</f>
        <v>80.5</v>
      </c>
      <c r="AW283" s="2" t="str">
        <f>VLOOKUP([jobnumber],OvalData[],MATCH(Table2[[#Headers],[Outer Spring Gage]],Table2[#Headers],0),0)</f>
        <v>Null</v>
      </c>
      <c r="AX283" s="2" t="str">
        <f>VLOOKUP([jobnumber],OvalData[],MATCH(Table2[[#Headers],[Outer Spring OD]],Table2[#Headers],0),0)</f>
        <v>Null</v>
      </c>
      <c r="AY283" s="2" t="str">
        <f>VLOOKUP([jobnumber],OvalData[],MATCH(Table2[[#Headers],[Outer Spring Length]],Table2[#Headers],0),0)</f>
        <v>Null</v>
      </c>
      <c r="AZ283" s="2" t="str">
        <f>VLOOKUP([jobnumber],OvalData[],MATCH(Table2[[#Headers],[Outer Spring Stretch]],Table2[#Headers],0),0)</f>
        <v>Null</v>
      </c>
      <c r="BA283" s="2" t="str">
        <f>VLOOKUP([jobnumber],OvalData[],MATCH(Table2[[#Headers],[Outer Spring Torque]],Table2[#Headers],0),0)</f>
        <v>Null</v>
      </c>
      <c r="BB283" s="2" t="str">
        <f>VLOOKUP([jobnumber],OvalData[],MATCH(Table2[[#Headers],[Outer Spring Max Turns]],Table2[#Headers],0),0)</f>
        <v>Null</v>
      </c>
      <c r="BC283" s="2" t="str">
        <f>VLOOKUP([jobnumber],OvalData[],MATCH(Table2[[#Headers],[Outer Spring Weight]],Table2[#Headers],0),0)</f>
        <v>Null</v>
      </c>
      <c r="BD283" s="2" t="str">
        <f>VLOOKUP([jobnumber],OvalData[],MATCH(Table2[[#Headers],[Inner Spring Gage]],Table2[#Headers],0),0)</f>
        <v>Null</v>
      </c>
      <c r="BE283" s="2" t="str">
        <f>VLOOKUP([jobnumber],OvalData[],MATCH(Table2[[#Headers],[Inner Spring OD]],Table2[#Headers],0),0)</f>
        <v>Null</v>
      </c>
      <c r="BF283" s="2" t="str">
        <f>VLOOKUP([jobnumber],OvalData[],MATCH(Table2[[#Headers],[Inner Spring Length]],Table2[#Headers],0),0)</f>
        <v>Null</v>
      </c>
      <c r="BG283" s="2" t="str">
        <f>VLOOKUP([jobnumber],OvalData[],MATCH(Table2[[#Headers],[Inner Spring Stretch]],Table2[#Headers],0),0)</f>
        <v>Null</v>
      </c>
      <c r="BH283" s="2" t="str">
        <f>VLOOKUP([jobnumber],OvalData[],MATCH(Table2[[#Headers],[Inner Spring Torque]],Table2[#Headers],0),0)</f>
        <v>Null</v>
      </c>
      <c r="BI283" s="2" t="str">
        <f>VLOOKUP([jobnumber],OvalData[],MATCH(Table2[[#Headers],[Inner Spring Max Turns]],Table2[#Headers],0),0)</f>
        <v>Null</v>
      </c>
      <c r="BJ283" s="2" t="str">
        <f>VLOOKUP([jobnumber],OvalData[],MATCH(Table2[[#Headers],[Inner Spring Weight]],Table2[#Headers],0),0)</f>
        <v>Null</v>
      </c>
      <c r="BK283" s="2">
        <f>VLOOKUP([jobnumber],OvalData[],MATCH(Table2[[#Headers],[Cycles]],Table2[#Headers],0),0)</f>
        <v>0</v>
      </c>
      <c r="BL283" s="2">
        <f>VLOOKUP([jobnumber],OvalData[],MATCH(Table2[[#Headers],[Total Spring Torque]],Table2[#Headers],0),0)</f>
        <v>0</v>
      </c>
      <c r="BM283" s="2">
        <f>VLOOKUP([jobnumber],OvalData[],MATCH(Table2[[#Headers],[Total Spring Weight]],Table2[#Headers],0),0)</f>
        <v>0</v>
      </c>
      <c r="BN283" s="2">
        <f>VLOOKUP([jobnumber],OvalData[],MATCH(Table2[[#Headers],[Pipe Weight]],Table2[#Headers],0),0)</f>
        <v>688.24239999999998</v>
      </c>
      <c r="BO283" s="2">
        <f>VLOOKUP([jobnumber],OvalData[],MATCH(Table2[[#Headers],[Max Pipe Deflection]],Table2[#Headers],0),0)</f>
        <v>2309</v>
      </c>
      <c r="BP283" s="2">
        <f>VLOOKUP([jobnumber],OvalData[],MATCH(Table2[[#Headers],[Number Non-Insulated Wrap Slats]],Table2[#Headers],0),0)</f>
        <v>0</v>
      </c>
      <c r="BQ283" s="2">
        <f>VLOOKUP([jobnumber],OvalData[],MATCH(Table2[[#Headers],[Number of Insolated Top Slats]],Table2[#Headers],0),0)</f>
        <v>45</v>
      </c>
      <c r="BR283" s="2">
        <f>VLOOKUP([jobnumber],OvalData[],MATCH(Table2[[#Headers],[Insolated Total Slats]],Table2[#Headers],0),0)</f>
        <v>45</v>
      </c>
      <c r="BS283" s="2">
        <f>VLOOKUP([jobnumber],OvalData[],MATCH(Table2[[#Headers],[Number of Slats]],Table2[#Headers],0),0)</f>
        <v>44.69</v>
      </c>
      <c r="BT283" s="2">
        <f>VLOOKUP([jobnumber],OvalData[],MATCH(Table2[[#Headers],[Wrap]],Table2[#Headers],0),0)</f>
        <v>0</v>
      </c>
      <c r="BU283" s="2">
        <f>VLOOKUP([jobnumber],OvalData[],MATCH(Table2[[#Headers],[Wall Angle Thickness]],Table2[#Headers],0),0)</f>
        <v>0</v>
      </c>
      <c r="BV283" s="2">
        <f>VLOOKUP([jobnumber],OvalData[],MATCH(Table2[[#Headers],[windlocks]],Table2[#Headers],0),0)</f>
        <v>0</v>
      </c>
      <c r="BW283" s="2" t="str">
        <f>VLOOKUP([jobnumber],OvalData[],MATCH(Table2[[#Headers],[bottombartype]],Table2[#Headers],0),0)</f>
        <v>SPECIAL</v>
      </c>
      <c r="BX283" s="2">
        <f>VLOOKUP([jobnumber],OvalData[],MATCH(Table2[[#Headers],[endlockweight]],Table2[#Headers],0),0)</f>
        <v>0.17</v>
      </c>
      <c r="BY283" s="2">
        <f>VLOOKUP([jobnumber],OvalData[],MATCH(Table2[[#Headers],[Endlock Total Weight]],Table2[#Headers],0),0)</f>
        <v>7.5972999999999997</v>
      </c>
      <c r="BZ283" s="2">
        <f>VLOOKUP([jobnumber],OvalData[],MATCH(Table2[[#Headers],[Grille Weight]],Table2[#Headers],0),0)</f>
        <v>0</v>
      </c>
      <c r="CA283" s="2">
        <f>VLOOKUP([jobnumber],OvalData[],MATCH(Table2[[#Headers],[barrelrings]],Table2[#Headers],0),0)</f>
        <v>1</v>
      </c>
    </row>
    <row r="284" spans="2:79">
      <c r="B284" s="2" t="str">
        <f>VLOOKUP([jobnumber],OvalData[],MATCH(Table2[[#Headers],[Hand]],Table2[#Headers],0),0)</f>
        <v>RH</v>
      </c>
      <c r="C284" s="2" t="str">
        <f>VLOOKUP([jobnumber],OvalData[],MATCH(Table2[[#Headers],[Model]],Table2[#Headers],0),0)</f>
        <v>SFMPP</v>
      </c>
      <c r="D284" s="2" t="str">
        <f>VLOOKUP([jobnumber],OvalData[],MATCH(Table2[[#Headers],[width]],Table2[#Headers],0),0)</f>
        <v xml:space="preserve"> 18 ft.- 2"</v>
      </c>
      <c r="E284" s="2" t="str">
        <f>VLOOKUP([jobnumber],OvalData[],MATCH(Table2[[#Headers],[stopheight]],Table2[#Headers],0),0)</f>
        <v xml:space="preserve"> 10 ft.- 0"</v>
      </c>
      <c r="F284" s="2" t="str">
        <f>VLOOKUP([jobnumber],OvalData[],MATCH(Table2[[#Headers],[Between Brackets]],Table2[#Headers],0),0)</f>
        <v xml:space="preserve"> 18 ft.- 7 7/ 8"</v>
      </c>
      <c r="G284" s="2" t="str">
        <f>VLOOKUP([jobnumber],OvalData[],MATCH(Table2[[#Headers],[shell]],Table2[#Headers],0),0)</f>
        <v>6 INCH TUBE</v>
      </c>
      <c r="H284" s="2" t="str">
        <f>VLOOKUP([jobnumber],OvalData[],MATCH(Table2[[#Headers],[pipewidth]],Table2[#Headers],0),0)</f>
        <v xml:space="preserve"> 18 ft.- 1 3/ 8"</v>
      </c>
      <c r="I284" s="2">
        <f>VLOOKUP([jobnumber],OvalData[],MATCH(Table2[[#Headers],[Support Tubes]],Table2[#Headers],0),0)</f>
        <v>0</v>
      </c>
      <c r="J284" s="2">
        <f>VLOOKUP([jobnumber],OvalData[],MATCH(Table2[[#Headers],[Upset]],Table2[#Headers],0),0)</f>
        <v>2</v>
      </c>
      <c r="K284" s="2" t="str">
        <f>VLOOKUP([jobnumber],OvalData[],MATCH(Table2[[#Headers],[Guide Type]],Table2[#Headers],0),0)</f>
        <v>SN2-4 5/8-E</v>
      </c>
      <c r="L284" s="2" t="str">
        <f>VLOOKUP([jobnumber],OvalData[],MATCH(Table2[[#Headers],[Wall Angle]],Table2[#Headers],0),0)</f>
        <v xml:space="preserve"> 11 ft.- 8"</v>
      </c>
      <c r="M284" s="2" t="str">
        <f>VLOOKUP([jobnumber],OvalData[],MATCH(Table2[[#Headers],[Middle Angle]],Table2[#Headers],0),0)</f>
        <v xml:space="preserve"> 10 ft.- 4 1/ 2"</v>
      </c>
      <c r="N284" s="2" t="str">
        <f>VLOOKUP([jobnumber],OvalData[],MATCH(Table2[[#Headers],[Front Angle]],Table2[#Headers],0),0)</f>
        <v xml:space="preserve"> 10 ft.- 3"</v>
      </c>
      <c r="O284" s="2">
        <f>VLOOKUP([jobnumber],OvalData[],MATCH(Table2[[#Headers],[Pipe Center Line]],Table2[#Headers],0),0)</f>
        <v>131</v>
      </c>
      <c r="P284" s="2">
        <f>VLOOKUP([jobnumber],OvalData[],MATCH(Table2[[#Headers],[Heat Expansion Gap]],Table2[#Headers],0),0)</f>
        <v>0</v>
      </c>
      <c r="Q284" s="2">
        <f>VLOOKUP([jobnumber],OvalData[],MATCH(Table2[[#Headers],[Hanging Weight Closed]],Table2[#Headers],0),0)</f>
        <v>795</v>
      </c>
      <c r="R284" s="2">
        <f>VLOOKUP([jobnumber],OvalData[],MATCH(Table2[[#Headers],[Hanging Weight Open]],Table2[#Headers],0),0)</f>
        <v>140</v>
      </c>
      <c r="S284" s="2">
        <f>VLOOKUP([jobnumber],OvalData[],MATCH(Table2[[#Headers],[Initial Lever Arm]],Table2[#Headers],0),0)</f>
        <v>4.25</v>
      </c>
      <c r="T284" s="2">
        <f>VLOOKUP([jobnumber],OvalData[],MATCH(Table2[[#Headers],[Turns to Raise]],Table2[#Headers],0),0)</f>
        <v>3.5859999999999999</v>
      </c>
      <c r="U284" s="2">
        <f>VLOOKUP([jobnumber],OvalData[],MATCH(Table2[[#Headers],[Final Lever Arm]],Table2[#Headers],0),0)</f>
        <v>6.37</v>
      </c>
      <c r="V284" s="2">
        <f>VLOOKUP([jobnumber],OvalData[],MATCH(Table2[[#Headers],[Torque Required Closed]],Table2[#Headers],0),0)</f>
        <v>3377.9</v>
      </c>
      <c r="W284" s="2">
        <f>VLOOKUP([jobnumber],OvalData[],MATCH(Table2[[#Headers],[Torque Required Open]],Table2[#Headers],0),0)</f>
        <v>892</v>
      </c>
      <c r="X284" s="2">
        <f>VLOOKUP([jobnumber],OvalData[],MATCH(Table2[[#Headers],[Pre Turns]],Table2[#Headers],0),0)</f>
        <v>1.3332999999999999</v>
      </c>
      <c r="Y284" s="2">
        <f>VLOOKUP([jobnumber],OvalData[],MATCH(Table2[[#Headers],[Required Torque Per Turn]],Table2[#Headers],0),0)</f>
        <v>688</v>
      </c>
      <c r="Z284" s="2">
        <f>VLOOKUP([jobnumber],OvalData[],MATCH(Table2[[#Headers],[Total Turns]],Table2[#Headers],0),0)</f>
        <v>4.91</v>
      </c>
      <c r="AA284" s="2">
        <f>VLOOKUP([jobnumber],OvalData[],MATCH(Table2[[#Headers],[Grille Vision Section]],Table2[#Headers],0),0)</f>
        <v>0</v>
      </c>
      <c r="AB284" s="2">
        <f>VLOOKUP([jobnumber],OvalData[],MATCH(Table2[[#Headers],[Grille Amount]],Table2[#Headers],0),0)</f>
        <v>0</v>
      </c>
      <c r="AC284" s="2">
        <f>VLOOKUP([jobnumber],OvalData[],MATCH(Table2[[#Headers],[Grille Center]],Table2[#Headers],0),0)</f>
        <v>0</v>
      </c>
      <c r="AD284" s="2">
        <f>VLOOKUP([jobnumber],OvalData[],MATCH(Table2[[#Headers],[Grille Pattern]],Table2[#Headers],0),0)</f>
        <v>0</v>
      </c>
      <c r="AE284" s="2">
        <f>VLOOKUP([jobnumber],OvalData[],MATCH(Table2[[#Headers],[Grille First Tube]],Table2[#Headers],0),0)</f>
        <v>0</v>
      </c>
      <c r="AF284" s="2">
        <f>VLOOKUP([jobnumber],OvalData[],MATCH(Table2[[#Headers],[Grille Standard Tube]],Table2[#Headers],0),0)</f>
        <v>0</v>
      </c>
      <c r="AG284" s="2">
        <f>VLOOKUP([jobnumber],OvalData[],MATCH(Table2[[#Headers],[Grille Total Links]],Table2[#Headers],0),0)</f>
        <v>0</v>
      </c>
      <c r="AH284" s="2">
        <f>VLOOKUP([jobnumber],OvalData[],MATCH(Table2[[#Headers],[Grille Rods]],Table2[#Headers],0),0)</f>
        <v>0</v>
      </c>
      <c r="AI284" s="2">
        <f>VLOOKUP([jobnumber],OvalData[],MATCH(Table2[[#Headers],[Grille Rod Length]],Table2[#Headers],0),0)</f>
        <v>0</v>
      </c>
      <c r="AJ284" s="2">
        <f>VLOOKUP([jobnumber],OvalData[],MATCH(Table2[[#Headers],[slattype]],Table2[#Headers],0),0)</f>
        <v>2</v>
      </c>
      <c r="AK284" s="2">
        <f>VLOOKUP([jobnumber],OvalData[],MATCH(Table2[[#Headers],[slatgage]],Table2[#Headers],0),0)</f>
        <v>18</v>
      </c>
      <c r="AL284" s="2">
        <f>VLOOKUP([jobnumber],OvalData[],MATCH(Table2[[#Headers],[Numer of Top Slats]],Table2[#Headers],0),0)</f>
        <v>0</v>
      </c>
      <c r="AM284" s="2">
        <f>VLOOKUP([jobnumber],OvalData[],MATCH(Table2[[#Headers],[Number of Bottom Slats]],Table2[#Headers],0),0)</f>
        <v>0</v>
      </c>
      <c r="AN284" s="2">
        <f>VLOOKUP([jobnumber],OvalData[],MATCH(Table2[[#Headers],[Solid Bottom Height]],Table2[#Headers],0),0)</f>
        <v>0</v>
      </c>
      <c r="AO284" s="2" t="str">
        <f>VLOOKUP([jobnumber],OvalData[],MATCH(Table2[[#Headers],[slatlength]],Table2[#Headers],0),0)</f>
        <v xml:space="preserve"> 18 ft.- 5 7/ 8"</v>
      </c>
      <c r="AP284" s="2">
        <f>VLOOKUP([jobnumber],OvalData[],MATCH(Table2[[#Headers],[Bottom Slat Length]],Table2[#Headers],0),0)</f>
        <v>0</v>
      </c>
      <c r="AQ284" s="2">
        <f>VLOOKUP([jobnumber],OvalData[],MATCH(Table2[[#Headers],[Number of Perferated Slats]],Table2[#Headers],0),0)</f>
        <v>0</v>
      </c>
      <c r="AR284" s="2">
        <f>VLOOKUP([jobnumber],OvalData[],MATCH(Table2[[#Headers],[First Preferated Slat From End]],Table2[#Headers],0),0)</f>
        <v>0</v>
      </c>
      <c r="AS284" s="2">
        <f>VLOOKUP([jobnumber],OvalData[],MATCH(Table2[[#Headers],[First Preferated Slat From Bottom]],Table2[#Headers],0),0)</f>
        <v>0</v>
      </c>
      <c r="AT284" s="2">
        <f>VLOOKUP([jobnumber],OvalData[],MATCH(Table2[[#Headers],[Total Number of Slats]],Table2[#Headers],0),0)</f>
        <v>51</v>
      </c>
      <c r="AU284" s="2">
        <f>VLOOKUP([jobnumber],OvalData[],MATCH(Table2[[#Headers],[Bottom Bar Slope]],Table2[#Headers],0),0)</f>
        <v>0</v>
      </c>
      <c r="AV284" s="2">
        <f>VLOOKUP([jobnumber],OvalData[],MATCH(Table2[[#Headers],[Bottom Bar Weight]],Table2[#Headers],0),0)</f>
        <v>80.5</v>
      </c>
      <c r="AW284" s="2" t="str">
        <f>VLOOKUP([jobnumber],OvalData[],MATCH(Table2[[#Headers],[Outer Spring Gage]],Table2[#Headers],0),0)</f>
        <v>Null</v>
      </c>
      <c r="AX284" s="2" t="str">
        <f>VLOOKUP([jobnumber],OvalData[],MATCH(Table2[[#Headers],[Outer Spring OD]],Table2[#Headers],0),0)</f>
        <v>Null</v>
      </c>
      <c r="AY284" s="2" t="str">
        <f>VLOOKUP([jobnumber],OvalData[],MATCH(Table2[[#Headers],[Outer Spring Length]],Table2[#Headers],0),0)</f>
        <v>Null</v>
      </c>
      <c r="AZ284" s="2" t="str">
        <f>VLOOKUP([jobnumber],OvalData[],MATCH(Table2[[#Headers],[Outer Spring Stretch]],Table2[#Headers],0),0)</f>
        <v>Null</v>
      </c>
      <c r="BA284" s="2" t="str">
        <f>VLOOKUP([jobnumber],OvalData[],MATCH(Table2[[#Headers],[Outer Spring Torque]],Table2[#Headers],0),0)</f>
        <v>Null</v>
      </c>
      <c r="BB284" s="2" t="str">
        <f>VLOOKUP([jobnumber],OvalData[],MATCH(Table2[[#Headers],[Outer Spring Max Turns]],Table2[#Headers],0),0)</f>
        <v>Null</v>
      </c>
      <c r="BC284" s="2" t="str">
        <f>VLOOKUP([jobnumber],OvalData[],MATCH(Table2[[#Headers],[Outer Spring Weight]],Table2[#Headers],0),0)</f>
        <v>Null</v>
      </c>
      <c r="BD284" s="2" t="str">
        <f>VLOOKUP([jobnumber],OvalData[],MATCH(Table2[[#Headers],[Inner Spring Gage]],Table2[#Headers],0),0)</f>
        <v>Null</v>
      </c>
      <c r="BE284" s="2" t="str">
        <f>VLOOKUP([jobnumber],OvalData[],MATCH(Table2[[#Headers],[Inner Spring OD]],Table2[#Headers],0),0)</f>
        <v>Null</v>
      </c>
      <c r="BF284" s="2" t="str">
        <f>VLOOKUP([jobnumber],OvalData[],MATCH(Table2[[#Headers],[Inner Spring Length]],Table2[#Headers],0),0)</f>
        <v>Null</v>
      </c>
      <c r="BG284" s="2" t="str">
        <f>VLOOKUP([jobnumber],OvalData[],MATCH(Table2[[#Headers],[Inner Spring Stretch]],Table2[#Headers],0),0)</f>
        <v>Null</v>
      </c>
      <c r="BH284" s="2" t="str">
        <f>VLOOKUP([jobnumber],OvalData[],MATCH(Table2[[#Headers],[Inner Spring Torque]],Table2[#Headers],0),0)</f>
        <v>Null</v>
      </c>
      <c r="BI284" s="2" t="str">
        <f>VLOOKUP([jobnumber],OvalData[],MATCH(Table2[[#Headers],[Inner Spring Max Turns]],Table2[#Headers],0),0)</f>
        <v>Null</v>
      </c>
      <c r="BJ284" s="2" t="str">
        <f>VLOOKUP([jobnumber],OvalData[],MATCH(Table2[[#Headers],[Inner Spring Weight]],Table2[#Headers],0),0)</f>
        <v>Null</v>
      </c>
      <c r="BK284" s="2">
        <f>VLOOKUP([jobnumber],OvalData[],MATCH(Table2[[#Headers],[Cycles]],Table2[#Headers],0),0)</f>
        <v>0</v>
      </c>
      <c r="BL284" s="2">
        <f>VLOOKUP([jobnumber],OvalData[],MATCH(Table2[[#Headers],[Total Spring Torque]],Table2[#Headers],0),0)</f>
        <v>0</v>
      </c>
      <c r="BM284" s="2">
        <f>VLOOKUP([jobnumber],OvalData[],MATCH(Table2[[#Headers],[Total Spring Weight]],Table2[#Headers],0),0)</f>
        <v>0</v>
      </c>
      <c r="BN284" s="2">
        <f>VLOOKUP([jobnumber],OvalData[],MATCH(Table2[[#Headers],[Pipe Weight]],Table2[#Headers],0),0)</f>
        <v>688.24239999999998</v>
      </c>
      <c r="BO284" s="2">
        <f>VLOOKUP([jobnumber],OvalData[],MATCH(Table2[[#Headers],[Max Pipe Deflection]],Table2[#Headers],0),0)</f>
        <v>2309</v>
      </c>
      <c r="BP284" s="2">
        <f>VLOOKUP([jobnumber],OvalData[],MATCH(Table2[[#Headers],[Number Non-Insulated Wrap Slats]],Table2[#Headers],0),0)</f>
        <v>0</v>
      </c>
      <c r="BQ284" s="2">
        <f>VLOOKUP([jobnumber],OvalData[],MATCH(Table2[[#Headers],[Number of Insolated Top Slats]],Table2[#Headers],0),0)</f>
        <v>45</v>
      </c>
      <c r="BR284" s="2">
        <f>VLOOKUP([jobnumber],OvalData[],MATCH(Table2[[#Headers],[Insolated Total Slats]],Table2[#Headers],0),0)</f>
        <v>45</v>
      </c>
      <c r="BS284" s="2">
        <f>VLOOKUP([jobnumber],OvalData[],MATCH(Table2[[#Headers],[Number of Slats]],Table2[#Headers],0),0)</f>
        <v>44.69</v>
      </c>
      <c r="BT284" s="2">
        <f>VLOOKUP([jobnumber],OvalData[],MATCH(Table2[[#Headers],[Wrap]],Table2[#Headers],0),0)</f>
        <v>0</v>
      </c>
      <c r="BU284" s="2">
        <f>VLOOKUP([jobnumber],OvalData[],MATCH(Table2[[#Headers],[Wall Angle Thickness]],Table2[#Headers],0),0)</f>
        <v>0</v>
      </c>
      <c r="BV284" s="2">
        <f>VLOOKUP([jobnumber],OvalData[],MATCH(Table2[[#Headers],[windlocks]],Table2[#Headers],0),0)</f>
        <v>0</v>
      </c>
      <c r="BW284" s="2" t="str">
        <f>VLOOKUP([jobnumber],OvalData[],MATCH(Table2[[#Headers],[bottombartype]],Table2[#Headers],0),0)</f>
        <v>SPECIAL</v>
      </c>
      <c r="BX284" s="2">
        <f>VLOOKUP([jobnumber],OvalData[],MATCH(Table2[[#Headers],[endlockweight]],Table2[#Headers],0),0)</f>
        <v>0.17</v>
      </c>
      <c r="BY284" s="2">
        <f>VLOOKUP([jobnumber],OvalData[],MATCH(Table2[[#Headers],[Endlock Total Weight]],Table2[#Headers],0),0)</f>
        <v>7.5972999999999997</v>
      </c>
      <c r="BZ284" s="2">
        <f>VLOOKUP([jobnumber],OvalData[],MATCH(Table2[[#Headers],[Grille Weight]],Table2[#Headers],0),0)</f>
        <v>0</v>
      </c>
      <c r="CA284" s="2">
        <f>VLOOKUP([jobnumber],OvalData[],MATCH(Table2[[#Headers],[barrelrings]],Table2[#Headers],0),0)</f>
        <v>1</v>
      </c>
    </row>
    <row r="285" spans="2:79">
      <c r="B285" s="2" t="str">
        <f>VLOOKUP([jobnumber],OvalData[],MATCH(Table2[[#Headers],[Hand]],Table2[#Headers],0),0)</f>
        <v>RH</v>
      </c>
      <c r="C285" s="2" t="str">
        <f>VLOOKUP([jobnumber],OvalData[],MATCH(Table2[[#Headers],[Model]],Table2[#Headers],0),0)</f>
        <v>SFMPP</v>
      </c>
      <c r="D285" s="2" t="str">
        <f>VLOOKUP([jobnumber],OvalData[],MATCH(Table2[[#Headers],[width]],Table2[#Headers],0),0)</f>
        <v xml:space="preserve"> 18 ft.- 2"</v>
      </c>
      <c r="E285" s="2" t="str">
        <f>VLOOKUP([jobnumber],OvalData[],MATCH(Table2[[#Headers],[stopheight]],Table2[#Headers],0),0)</f>
        <v xml:space="preserve"> 10 ft.- 0"</v>
      </c>
      <c r="F285" s="2" t="str">
        <f>VLOOKUP([jobnumber],OvalData[],MATCH(Table2[[#Headers],[Between Brackets]],Table2[#Headers],0),0)</f>
        <v xml:space="preserve"> 18 ft.- 7 7/ 8"</v>
      </c>
      <c r="G285" s="2" t="str">
        <f>VLOOKUP([jobnumber],OvalData[],MATCH(Table2[[#Headers],[shell]],Table2[#Headers],0),0)</f>
        <v>6 INCH TUBE</v>
      </c>
      <c r="H285" s="2" t="str">
        <f>VLOOKUP([jobnumber],OvalData[],MATCH(Table2[[#Headers],[pipewidth]],Table2[#Headers],0),0)</f>
        <v xml:space="preserve"> 18 ft.- 1 3/ 8"</v>
      </c>
      <c r="I285" s="2">
        <f>VLOOKUP([jobnumber],OvalData[],MATCH(Table2[[#Headers],[Support Tubes]],Table2[#Headers],0),0)</f>
        <v>0</v>
      </c>
      <c r="J285" s="2">
        <f>VLOOKUP([jobnumber],OvalData[],MATCH(Table2[[#Headers],[Upset]],Table2[#Headers],0),0)</f>
        <v>2</v>
      </c>
      <c r="K285" s="2" t="str">
        <f>VLOOKUP([jobnumber],OvalData[],MATCH(Table2[[#Headers],[Guide Type]],Table2[#Headers],0),0)</f>
        <v>SN2-4 5/8-E</v>
      </c>
      <c r="L285" s="2" t="str">
        <f>VLOOKUP([jobnumber],OvalData[],MATCH(Table2[[#Headers],[Wall Angle]],Table2[#Headers],0),0)</f>
        <v xml:space="preserve"> 11 ft.- 8"</v>
      </c>
      <c r="M285" s="2" t="str">
        <f>VLOOKUP([jobnumber],OvalData[],MATCH(Table2[[#Headers],[Middle Angle]],Table2[#Headers],0),0)</f>
        <v xml:space="preserve"> 10 ft.- 4 1/ 2"</v>
      </c>
      <c r="N285" s="2" t="str">
        <f>VLOOKUP([jobnumber],OvalData[],MATCH(Table2[[#Headers],[Front Angle]],Table2[#Headers],0),0)</f>
        <v xml:space="preserve"> 10 ft.- 3"</v>
      </c>
      <c r="O285" s="2">
        <f>VLOOKUP([jobnumber],OvalData[],MATCH(Table2[[#Headers],[Pipe Center Line]],Table2[#Headers],0),0)</f>
        <v>131</v>
      </c>
      <c r="P285" s="2">
        <f>VLOOKUP([jobnumber],OvalData[],MATCH(Table2[[#Headers],[Heat Expansion Gap]],Table2[#Headers],0),0)</f>
        <v>0</v>
      </c>
      <c r="Q285" s="2">
        <f>VLOOKUP([jobnumber],OvalData[],MATCH(Table2[[#Headers],[Hanging Weight Closed]],Table2[#Headers],0),0)</f>
        <v>795</v>
      </c>
      <c r="R285" s="2">
        <f>VLOOKUP([jobnumber],OvalData[],MATCH(Table2[[#Headers],[Hanging Weight Open]],Table2[#Headers],0),0)</f>
        <v>140</v>
      </c>
      <c r="S285" s="2">
        <f>VLOOKUP([jobnumber],OvalData[],MATCH(Table2[[#Headers],[Initial Lever Arm]],Table2[#Headers],0),0)</f>
        <v>4.25</v>
      </c>
      <c r="T285" s="2">
        <f>VLOOKUP([jobnumber],OvalData[],MATCH(Table2[[#Headers],[Turns to Raise]],Table2[#Headers],0),0)</f>
        <v>3.5859999999999999</v>
      </c>
      <c r="U285" s="2">
        <f>VLOOKUP([jobnumber],OvalData[],MATCH(Table2[[#Headers],[Final Lever Arm]],Table2[#Headers],0),0)</f>
        <v>6.37</v>
      </c>
      <c r="V285" s="2">
        <f>VLOOKUP([jobnumber],OvalData[],MATCH(Table2[[#Headers],[Torque Required Closed]],Table2[#Headers],0),0)</f>
        <v>3377.9</v>
      </c>
      <c r="W285" s="2">
        <f>VLOOKUP([jobnumber],OvalData[],MATCH(Table2[[#Headers],[Torque Required Open]],Table2[#Headers],0),0)</f>
        <v>892</v>
      </c>
      <c r="X285" s="2">
        <f>VLOOKUP([jobnumber],OvalData[],MATCH(Table2[[#Headers],[Pre Turns]],Table2[#Headers],0),0)</f>
        <v>1.3332999999999999</v>
      </c>
      <c r="Y285" s="2">
        <f>VLOOKUP([jobnumber],OvalData[],MATCH(Table2[[#Headers],[Required Torque Per Turn]],Table2[#Headers],0),0)</f>
        <v>688</v>
      </c>
      <c r="Z285" s="2">
        <f>VLOOKUP([jobnumber],OvalData[],MATCH(Table2[[#Headers],[Total Turns]],Table2[#Headers],0),0)</f>
        <v>4.91</v>
      </c>
      <c r="AA285" s="2">
        <f>VLOOKUP([jobnumber],OvalData[],MATCH(Table2[[#Headers],[Grille Vision Section]],Table2[#Headers],0),0)</f>
        <v>0</v>
      </c>
      <c r="AB285" s="2">
        <f>VLOOKUP([jobnumber],OvalData[],MATCH(Table2[[#Headers],[Grille Amount]],Table2[#Headers],0),0)</f>
        <v>0</v>
      </c>
      <c r="AC285" s="2">
        <f>VLOOKUP([jobnumber],OvalData[],MATCH(Table2[[#Headers],[Grille Center]],Table2[#Headers],0),0)</f>
        <v>0</v>
      </c>
      <c r="AD285" s="2">
        <f>VLOOKUP([jobnumber],OvalData[],MATCH(Table2[[#Headers],[Grille Pattern]],Table2[#Headers],0),0)</f>
        <v>0</v>
      </c>
      <c r="AE285" s="2">
        <f>VLOOKUP([jobnumber],OvalData[],MATCH(Table2[[#Headers],[Grille First Tube]],Table2[#Headers],0),0)</f>
        <v>0</v>
      </c>
      <c r="AF285" s="2">
        <f>VLOOKUP([jobnumber],OvalData[],MATCH(Table2[[#Headers],[Grille Standard Tube]],Table2[#Headers],0),0)</f>
        <v>0</v>
      </c>
      <c r="AG285" s="2">
        <f>VLOOKUP([jobnumber],OvalData[],MATCH(Table2[[#Headers],[Grille Total Links]],Table2[#Headers],0),0)</f>
        <v>0</v>
      </c>
      <c r="AH285" s="2">
        <f>VLOOKUP([jobnumber],OvalData[],MATCH(Table2[[#Headers],[Grille Rods]],Table2[#Headers],0),0)</f>
        <v>0</v>
      </c>
      <c r="AI285" s="2">
        <f>VLOOKUP([jobnumber],OvalData[],MATCH(Table2[[#Headers],[Grille Rod Length]],Table2[#Headers],0),0)</f>
        <v>0</v>
      </c>
      <c r="AJ285" s="2">
        <f>VLOOKUP([jobnumber],OvalData[],MATCH(Table2[[#Headers],[slattype]],Table2[#Headers],0),0)</f>
        <v>2</v>
      </c>
      <c r="AK285" s="2">
        <f>VLOOKUP([jobnumber],OvalData[],MATCH(Table2[[#Headers],[slatgage]],Table2[#Headers],0),0)</f>
        <v>18</v>
      </c>
      <c r="AL285" s="2">
        <f>VLOOKUP([jobnumber],OvalData[],MATCH(Table2[[#Headers],[Numer of Top Slats]],Table2[#Headers],0),0)</f>
        <v>0</v>
      </c>
      <c r="AM285" s="2">
        <f>VLOOKUP([jobnumber],OvalData[],MATCH(Table2[[#Headers],[Number of Bottom Slats]],Table2[#Headers],0),0)</f>
        <v>0</v>
      </c>
      <c r="AN285" s="2">
        <f>VLOOKUP([jobnumber],OvalData[],MATCH(Table2[[#Headers],[Solid Bottom Height]],Table2[#Headers],0),0)</f>
        <v>0</v>
      </c>
      <c r="AO285" s="2" t="str">
        <f>VLOOKUP([jobnumber],OvalData[],MATCH(Table2[[#Headers],[slatlength]],Table2[#Headers],0),0)</f>
        <v xml:space="preserve"> 18 ft.- 5 7/ 8"</v>
      </c>
      <c r="AP285" s="2">
        <f>VLOOKUP([jobnumber],OvalData[],MATCH(Table2[[#Headers],[Bottom Slat Length]],Table2[#Headers],0),0)</f>
        <v>0</v>
      </c>
      <c r="AQ285" s="2">
        <f>VLOOKUP([jobnumber],OvalData[],MATCH(Table2[[#Headers],[Number of Perferated Slats]],Table2[#Headers],0),0)</f>
        <v>0</v>
      </c>
      <c r="AR285" s="2">
        <f>VLOOKUP([jobnumber],OvalData[],MATCH(Table2[[#Headers],[First Preferated Slat From End]],Table2[#Headers],0),0)</f>
        <v>0</v>
      </c>
      <c r="AS285" s="2">
        <f>VLOOKUP([jobnumber],OvalData[],MATCH(Table2[[#Headers],[First Preferated Slat From Bottom]],Table2[#Headers],0),0)</f>
        <v>0</v>
      </c>
      <c r="AT285" s="2">
        <f>VLOOKUP([jobnumber],OvalData[],MATCH(Table2[[#Headers],[Total Number of Slats]],Table2[#Headers],0),0)</f>
        <v>51</v>
      </c>
      <c r="AU285" s="2">
        <f>VLOOKUP([jobnumber],OvalData[],MATCH(Table2[[#Headers],[Bottom Bar Slope]],Table2[#Headers],0),0)</f>
        <v>0</v>
      </c>
      <c r="AV285" s="2">
        <f>VLOOKUP([jobnumber],OvalData[],MATCH(Table2[[#Headers],[Bottom Bar Weight]],Table2[#Headers],0),0)</f>
        <v>80.5</v>
      </c>
      <c r="AW285" s="2" t="str">
        <f>VLOOKUP([jobnumber],OvalData[],MATCH(Table2[[#Headers],[Outer Spring Gage]],Table2[#Headers],0),0)</f>
        <v>Null</v>
      </c>
      <c r="AX285" s="2" t="str">
        <f>VLOOKUP([jobnumber],OvalData[],MATCH(Table2[[#Headers],[Outer Spring OD]],Table2[#Headers],0),0)</f>
        <v>Null</v>
      </c>
      <c r="AY285" s="2" t="str">
        <f>VLOOKUP([jobnumber],OvalData[],MATCH(Table2[[#Headers],[Outer Spring Length]],Table2[#Headers],0),0)</f>
        <v>Null</v>
      </c>
      <c r="AZ285" s="2" t="str">
        <f>VLOOKUP([jobnumber],OvalData[],MATCH(Table2[[#Headers],[Outer Spring Stretch]],Table2[#Headers],0),0)</f>
        <v>Null</v>
      </c>
      <c r="BA285" s="2" t="str">
        <f>VLOOKUP([jobnumber],OvalData[],MATCH(Table2[[#Headers],[Outer Spring Torque]],Table2[#Headers],0),0)</f>
        <v>Null</v>
      </c>
      <c r="BB285" s="2" t="str">
        <f>VLOOKUP([jobnumber],OvalData[],MATCH(Table2[[#Headers],[Outer Spring Max Turns]],Table2[#Headers],0),0)</f>
        <v>Null</v>
      </c>
      <c r="BC285" s="2" t="str">
        <f>VLOOKUP([jobnumber],OvalData[],MATCH(Table2[[#Headers],[Outer Spring Weight]],Table2[#Headers],0),0)</f>
        <v>Null</v>
      </c>
      <c r="BD285" s="2" t="str">
        <f>VLOOKUP([jobnumber],OvalData[],MATCH(Table2[[#Headers],[Inner Spring Gage]],Table2[#Headers],0),0)</f>
        <v>Null</v>
      </c>
      <c r="BE285" s="2" t="str">
        <f>VLOOKUP([jobnumber],OvalData[],MATCH(Table2[[#Headers],[Inner Spring OD]],Table2[#Headers],0),0)</f>
        <v>Null</v>
      </c>
      <c r="BF285" s="2" t="str">
        <f>VLOOKUP([jobnumber],OvalData[],MATCH(Table2[[#Headers],[Inner Spring Length]],Table2[#Headers],0),0)</f>
        <v>Null</v>
      </c>
      <c r="BG285" s="2" t="str">
        <f>VLOOKUP([jobnumber],OvalData[],MATCH(Table2[[#Headers],[Inner Spring Stretch]],Table2[#Headers],0),0)</f>
        <v>Null</v>
      </c>
      <c r="BH285" s="2" t="str">
        <f>VLOOKUP([jobnumber],OvalData[],MATCH(Table2[[#Headers],[Inner Spring Torque]],Table2[#Headers],0),0)</f>
        <v>Null</v>
      </c>
      <c r="BI285" s="2" t="str">
        <f>VLOOKUP([jobnumber],OvalData[],MATCH(Table2[[#Headers],[Inner Spring Max Turns]],Table2[#Headers],0),0)</f>
        <v>Null</v>
      </c>
      <c r="BJ285" s="2" t="str">
        <f>VLOOKUP([jobnumber],OvalData[],MATCH(Table2[[#Headers],[Inner Spring Weight]],Table2[#Headers],0),0)</f>
        <v>Null</v>
      </c>
      <c r="BK285" s="2">
        <f>VLOOKUP([jobnumber],OvalData[],MATCH(Table2[[#Headers],[Cycles]],Table2[#Headers],0),0)</f>
        <v>0</v>
      </c>
      <c r="BL285" s="2">
        <f>VLOOKUP([jobnumber],OvalData[],MATCH(Table2[[#Headers],[Total Spring Torque]],Table2[#Headers],0),0)</f>
        <v>0</v>
      </c>
      <c r="BM285" s="2">
        <f>VLOOKUP([jobnumber],OvalData[],MATCH(Table2[[#Headers],[Total Spring Weight]],Table2[#Headers],0),0)</f>
        <v>0</v>
      </c>
      <c r="BN285" s="2">
        <f>VLOOKUP([jobnumber],OvalData[],MATCH(Table2[[#Headers],[Pipe Weight]],Table2[#Headers],0),0)</f>
        <v>688.24239999999998</v>
      </c>
      <c r="BO285" s="2">
        <f>VLOOKUP([jobnumber],OvalData[],MATCH(Table2[[#Headers],[Max Pipe Deflection]],Table2[#Headers],0),0)</f>
        <v>2309</v>
      </c>
      <c r="BP285" s="2">
        <f>VLOOKUP([jobnumber],OvalData[],MATCH(Table2[[#Headers],[Number Non-Insulated Wrap Slats]],Table2[#Headers],0),0)</f>
        <v>0</v>
      </c>
      <c r="BQ285" s="2">
        <f>VLOOKUP([jobnumber],OvalData[],MATCH(Table2[[#Headers],[Number of Insolated Top Slats]],Table2[#Headers],0),0)</f>
        <v>45</v>
      </c>
      <c r="BR285" s="2">
        <f>VLOOKUP([jobnumber],OvalData[],MATCH(Table2[[#Headers],[Insolated Total Slats]],Table2[#Headers],0),0)</f>
        <v>45</v>
      </c>
      <c r="BS285" s="2">
        <f>VLOOKUP([jobnumber],OvalData[],MATCH(Table2[[#Headers],[Number of Slats]],Table2[#Headers],0),0)</f>
        <v>44.69</v>
      </c>
      <c r="BT285" s="2">
        <f>VLOOKUP([jobnumber],OvalData[],MATCH(Table2[[#Headers],[Wrap]],Table2[#Headers],0),0)</f>
        <v>0</v>
      </c>
      <c r="BU285" s="2">
        <f>VLOOKUP([jobnumber],OvalData[],MATCH(Table2[[#Headers],[Wall Angle Thickness]],Table2[#Headers],0),0)</f>
        <v>0</v>
      </c>
      <c r="BV285" s="2">
        <f>VLOOKUP([jobnumber],OvalData[],MATCH(Table2[[#Headers],[windlocks]],Table2[#Headers],0),0)</f>
        <v>0</v>
      </c>
      <c r="BW285" s="2" t="str">
        <f>VLOOKUP([jobnumber],OvalData[],MATCH(Table2[[#Headers],[bottombartype]],Table2[#Headers],0),0)</f>
        <v>SPECIAL</v>
      </c>
      <c r="BX285" s="2">
        <f>VLOOKUP([jobnumber],OvalData[],MATCH(Table2[[#Headers],[endlockweight]],Table2[#Headers],0),0)</f>
        <v>0.17</v>
      </c>
      <c r="BY285" s="2">
        <f>VLOOKUP([jobnumber],OvalData[],MATCH(Table2[[#Headers],[Endlock Total Weight]],Table2[#Headers],0),0)</f>
        <v>7.5972999999999997</v>
      </c>
      <c r="BZ285" s="2">
        <f>VLOOKUP([jobnumber],OvalData[],MATCH(Table2[[#Headers],[Grille Weight]],Table2[#Headers],0),0)</f>
        <v>0</v>
      </c>
      <c r="CA285" s="2">
        <f>VLOOKUP([jobnumber],OvalData[],MATCH(Table2[[#Headers],[barrelrings]],Table2[#Headers],0),0)</f>
        <v>1</v>
      </c>
    </row>
    <row r="286" spans="2:79">
      <c r="B286" s="2" t="str">
        <f>VLOOKUP([jobnumber],OvalData[],MATCH(Table2[[#Headers],[Hand]],Table2[#Headers],0),0)</f>
        <v>RH</v>
      </c>
      <c r="C286" s="2" t="str">
        <f>VLOOKUP([jobnumber],OvalData[],MATCH(Table2[[#Headers],[Model]],Table2[#Headers],0),0)</f>
        <v>SFMPP</v>
      </c>
      <c r="D286" s="2" t="str">
        <f>VLOOKUP([jobnumber],OvalData[],MATCH(Table2[[#Headers],[width]],Table2[#Headers],0),0)</f>
        <v xml:space="preserve"> 18 ft.- 2"</v>
      </c>
      <c r="E286" s="2" t="str">
        <f>VLOOKUP([jobnumber],OvalData[],MATCH(Table2[[#Headers],[stopheight]],Table2[#Headers],0),0)</f>
        <v xml:space="preserve"> 10 ft.- 0"</v>
      </c>
      <c r="F286" s="2" t="str">
        <f>VLOOKUP([jobnumber],OvalData[],MATCH(Table2[[#Headers],[Between Brackets]],Table2[#Headers],0),0)</f>
        <v xml:space="preserve"> 18 ft.- 7 7/ 8"</v>
      </c>
      <c r="G286" s="2" t="str">
        <f>VLOOKUP([jobnumber],OvalData[],MATCH(Table2[[#Headers],[shell]],Table2[#Headers],0),0)</f>
        <v>6 INCH TUBE</v>
      </c>
      <c r="H286" s="2" t="str">
        <f>VLOOKUP([jobnumber],OvalData[],MATCH(Table2[[#Headers],[pipewidth]],Table2[#Headers],0),0)</f>
        <v xml:space="preserve"> 18 ft.- 1 3/ 8"</v>
      </c>
      <c r="I286" s="2">
        <f>VLOOKUP([jobnumber],OvalData[],MATCH(Table2[[#Headers],[Support Tubes]],Table2[#Headers],0),0)</f>
        <v>0</v>
      </c>
      <c r="J286" s="2">
        <f>VLOOKUP([jobnumber],OvalData[],MATCH(Table2[[#Headers],[Upset]],Table2[#Headers],0),0)</f>
        <v>2</v>
      </c>
      <c r="K286" s="2" t="str">
        <f>VLOOKUP([jobnumber],OvalData[],MATCH(Table2[[#Headers],[Guide Type]],Table2[#Headers],0),0)</f>
        <v>SN2-4 5/8-E</v>
      </c>
      <c r="L286" s="2" t="str">
        <f>VLOOKUP([jobnumber],OvalData[],MATCH(Table2[[#Headers],[Wall Angle]],Table2[#Headers],0),0)</f>
        <v xml:space="preserve"> 11 ft.- 8"</v>
      </c>
      <c r="M286" s="2" t="str">
        <f>VLOOKUP([jobnumber],OvalData[],MATCH(Table2[[#Headers],[Middle Angle]],Table2[#Headers],0),0)</f>
        <v xml:space="preserve"> 10 ft.- 4 1/ 2"</v>
      </c>
      <c r="N286" s="2" t="str">
        <f>VLOOKUP([jobnumber],OvalData[],MATCH(Table2[[#Headers],[Front Angle]],Table2[#Headers],0),0)</f>
        <v xml:space="preserve"> 10 ft.- 3"</v>
      </c>
      <c r="O286" s="2">
        <f>VLOOKUP([jobnumber],OvalData[],MATCH(Table2[[#Headers],[Pipe Center Line]],Table2[#Headers],0),0)</f>
        <v>131</v>
      </c>
      <c r="P286" s="2">
        <f>VLOOKUP([jobnumber],OvalData[],MATCH(Table2[[#Headers],[Heat Expansion Gap]],Table2[#Headers],0),0)</f>
        <v>0</v>
      </c>
      <c r="Q286" s="2">
        <f>VLOOKUP([jobnumber],OvalData[],MATCH(Table2[[#Headers],[Hanging Weight Closed]],Table2[#Headers],0),0)</f>
        <v>795</v>
      </c>
      <c r="R286" s="2">
        <f>VLOOKUP([jobnumber],OvalData[],MATCH(Table2[[#Headers],[Hanging Weight Open]],Table2[#Headers],0),0)</f>
        <v>140</v>
      </c>
      <c r="S286" s="2">
        <f>VLOOKUP([jobnumber],OvalData[],MATCH(Table2[[#Headers],[Initial Lever Arm]],Table2[#Headers],0),0)</f>
        <v>4.25</v>
      </c>
      <c r="T286" s="2">
        <f>VLOOKUP([jobnumber],OvalData[],MATCH(Table2[[#Headers],[Turns to Raise]],Table2[#Headers],0),0)</f>
        <v>3.5859999999999999</v>
      </c>
      <c r="U286" s="2">
        <f>VLOOKUP([jobnumber],OvalData[],MATCH(Table2[[#Headers],[Final Lever Arm]],Table2[#Headers],0),0)</f>
        <v>6.37</v>
      </c>
      <c r="V286" s="2">
        <f>VLOOKUP([jobnumber],OvalData[],MATCH(Table2[[#Headers],[Torque Required Closed]],Table2[#Headers],0),0)</f>
        <v>3377.9</v>
      </c>
      <c r="W286" s="2">
        <f>VLOOKUP([jobnumber],OvalData[],MATCH(Table2[[#Headers],[Torque Required Open]],Table2[#Headers],0),0)</f>
        <v>892</v>
      </c>
      <c r="X286" s="2">
        <f>VLOOKUP([jobnumber],OvalData[],MATCH(Table2[[#Headers],[Pre Turns]],Table2[#Headers],0),0)</f>
        <v>1.3332999999999999</v>
      </c>
      <c r="Y286" s="2">
        <f>VLOOKUP([jobnumber],OvalData[],MATCH(Table2[[#Headers],[Required Torque Per Turn]],Table2[#Headers],0),0)</f>
        <v>688</v>
      </c>
      <c r="Z286" s="2">
        <f>VLOOKUP([jobnumber],OvalData[],MATCH(Table2[[#Headers],[Total Turns]],Table2[#Headers],0),0)</f>
        <v>4.91</v>
      </c>
      <c r="AA286" s="2">
        <f>VLOOKUP([jobnumber],OvalData[],MATCH(Table2[[#Headers],[Grille Vision Section]],Table2[#Headers],0),0)</f>
        <v>0</v>
      </c>
      <c r="AB286" s="2">
        <f>VLOOKUP([jobnumber],OvalData[],MATCH(Table2[[#Headers],[Grille Amount]],Table2[#Headers],0),0)</f>
        <v>0</v>
      </c>
      <c r="AC286" s="2">
        <f>VLOOKUP([jobnumber],OvalData[],MATCH(Table2[[#Headers],[Grille Center]],Table2[#Headers],0),0)</f>
        <v>0</v>
      </c>
      <c r="AD286" s="2">
        <f>VLOOKUP([jobnumber],OvalData[],MATCH(Table2[[#Headers],[Grille Pattern]],Table2[#Headers],0),0)</f>
        <v>0</v>
      </c>
      <c r="AE286" s="2">
        <f>VLOOKUP([jobnumber],OvalData[],MATCH(Table2[[#Headers],[Grille First Tube]],Table2[#Headers],0),0)</f>
        <v>0</v>
      </c>
      <c r="AF286" s="2">
        <f>VLOOKUP([jobnumber],OvalData[],MATCH(Table2[[#Headers],[Grille Standard Tube]],Table2[#Headers],0),0)</f>
        <v>0</v>
      </c>
      <c r="AG286" s="2">
        <f>VLOOKUP([jobnumber],OvalData[],MATCH(Table2[[#Headers],[Grille Total Links]],Table2[#Headers],0),0)</f>
        <v>0</v>
      </c>
      <c r="AH286" s="2">
        <f>VLOOKUP([jobnumber],OvalData[],MATCH(Table2[[#Headers],[Grille Rods]],Table2[#Headers],0),0)</f>
        <v>0</v>
      </c>
      <c r="AI286" s="2">
        <f>VLOOKUP([jobnumber],OvalData[],MATCH(Table2[[#Headers],[Grille Rod Length]],Table2[#Headers],0),0)</f>
        <v>0</v>
      </c>
      <c r="AJ286" s="2">
        <f>VLOOKUP([jobnumber],OvalData[],MATCH(Table2[[#Headers],[slattype]],Table2[#Headers],0),0)</f>
        <v>2</v>
      </c>
      <c r="AK286" s="2">
        <f>VLOOKUP([jobnumber],OvalData[],MATCH(Table2[[#Headers],[slatgage]],Table2[#Headers],0),0)</f>
        <v>18</v>
      </c>
      <c r="AL286" s="2">
        <f>VLOOKUP([jobnumber],OvalData[],MATCH(Table2[[#Headers],[Numer of Top Slats]],Table2[#Headers],0),0)</f>
        <v>0</v>
      </c>
      <c r="AM286" s="2">
        <f>VLOOKUP([jobnumber],OvalData[],MATCH(Table2[[#Headers],[Number of Bottom Slats]],Table2[#Headers],0),0)</f>
        <v>0</v>
      </c>
      <c r="AN286" s="2">
        <f>VLOOKUP([jobnumber],OvalData[],MATCH(Table2[[#Headers],[Solid Bottom Height]],Table2[#Headers],0),0)</f>
        <v>0</v>
      </c>
      <c r="AO286" s="2" t="str">
        <f>VLOOKUP([jobnumber],OvalData[],MATCH(Table2[[#Headers],[slatlength]],Table2[#Headers],0),0)</f>
        <v xml:space="preserve"> 18 ft.- 5 7/ 8"</v>
      </c>
      <c r="AP286" s="2">
        <f>VLOOKUP([jobnumber],OvalData[],MATCH(Table2[[#Headers],[Bottom Slat Length]],Table2[#Headers],0),0)</f>
        <v>0</v>
      </c>
      <c r="AQ286" s="2">
        <f>VLOOKUP([jobnumber],OvalData[],MATCH(Table2[[#Headers],[Number of Perferated Slats]],Table2[#Headers],0),0)</f>
        <v>0</v>
      </c>
      <c r="AR286" s="2">
        <f>VLOOKUP([jobnumber],OvalData[],MATCH(Table2[[#Headers],[First Preferated Slat From End]],Table2[#Headers],0),0)</f>
        <v>0</v>
      </c>
      <c r="AS286" s="2">
        <f>VLOOKUP([jobnumber],OvalData[],MATCH(Table2[[#Headers],[First Preferated Slat From Bottom]],Table2[#Headers],0),0)</f>
        <v>0</v>
      </c>
      <c r="AT286" s="2">
        <f>VLOOKUP([jobnumber],OvalData[],MATCH(Table2[[#Headers],[Total Number of Slats]],Table2[#Headers],0),0)</f>
        <v>51</v>
      </c>
      <c r="AU286" s="2">
        <f>VLOOKUP([jobnumber],OvalData[],MATCH(Table2[[#Headers],[Bottom Bar Slope]],Table2[#Headers],0),0)</f>
        <v>0</v>
      </c>
      <c r="AV286" s="2">
        <f>VLOOKUP([jobnumber],OvalData[],MATCH(Table2[[#Headers],[Bottom Bar Weight]],Table2[#Headers],0),0)</f>
        <v>80.5</v>
      </c>
      <c r="AW286" s="2" t="str">
        <f>VLOOKUP([jobnumber],OvalData[],MATCH(Table2[[#Headers],[Outer Spring Gage]],Table2[#Headers],0),0)</f>
        <v>Null</v>
      </c>
      <c r="AX286" s="2" t="str">
        <f>VLOOKUP([jobnumber],OvalData[],MATCH(Table2[[#Headers],[Outer Spring OD]],Table2[#Headers],0),0)</f>
        <v>Null</v>
      </c>
      <c r="AY286" s="2" t="str">
        <f>VLOOKUP([jobnumber],OvalData[],MATCH(Table2[[#Headers],[Outer Spring Length]],Table2[#Headers],0),0)</f>
        <v>Null</v>
      </c>
      <c r="AZ286" s="2" t="str">
        <f>VLOOKUP([jobnumber],OvalData[],MATCH(Table2[[#Headers],[Outer Spring Stretch]],Table2[#Headers],0),0)</f>
        <v>Null</v>
      </c>
      <c r="BA286" s="2" t="str">
        <f>VLOOKUP([jobnumber],OvalData[],MATCH(Table2[[#Headers],[Outer Spring Torque]],Table2[#Headers],0),0)</f>
        <v>Null</v>
      </c>
      <c r="BB286" s="2" t="str">
        <f>VLOOKUP([jobnumber],OvalData[],MATCH(Table2[[#Headers],[Outer Spring Max Turns]],Table2[#Headers],0),0)</f>
        <v>Null</v>
      </c>
      <c r="BC286" s="2" t="str">
        <f>VLOOKUP([jobnumber],OvalData[],MATCH(Table2[[#Headers],[Outer Spring Weight]],Table2[#Headers],0),0)</f>
        <v>Null</v>
      </c>
      <c r="BD286" s="2" t="str">
        <f>VLOOKUP([jobnumber],OvalData[],MATCH(Table2[[#Headers],[Inner Spring Gage]],Table2[#Headers],0),0)</f>
        <v>Null</v>
      </c>
      <c r="BE286" s="2" t="str">
        <f>VLOOKUP([jobnumber],OvalData[],MATCH(Table2[[#Headers],[Inner Spring OD]],Table2[#Headers],0),0)</f>
        <v>Null</v>
      </c>
      <c r="BF286" s="2" t="str">
        <f>VLOOKUP([jobnumber],OvalData[],MATCH(Table2[[#Headers],[Inner Spring Length]],Table2[#Headers],0),0)</f>
        <v>Null</v>
      </c>
      <c r="BG286" s="2" t="str">
        <f>VLOOKUP([jobnumber],OvalData[],MATCH(Table2[[#Headers],[Inner Spring Stretch]],Table2[#Headers],0),0)</f>
        <v>Null</v>
      </c>
      <c r="BH286" s="2" t="str">
        <f>VLOOKUP([jobnumber],OvalData[],MATCH(Table2[[#Headers],[Inner Spring Torque]],Table2[#Headers],0),0)</f>
        <v>Null</v>
      </c>
      <c r="BI286" s="2" t="str">
        <f>VLOOKUP([jobnumber],OvalData[],MATCH(Table2[[#Headers],[Inner Spring Max Turns]],Table2[#Headers],0),0)</f>
        <v>Null</v>
      </c>
      <c r="BJ286" s="2" t="str">
        <f>VLOOKUP([jobnumber],OvalData[],MATCH(Table2[[#Headers],[Inner Spring Weight]],Table2[#Headers],0),0)</f>
        <v>Null</v>
      </c>
      <c r="BK286" s="2">
        <f>VLOOKUP([jobnumber],OvalData[],MATCH(Table2[[#Headers],[Cycles]],Table2[#Headers],0),0)</f>
        <v>0</v>
      </c>
      <c r="BL286" s="2">
        <f>VLOOKUP([jobnumber],OvalData[],MATCH(Table2[[#Headers],[Total Spring Torque]],Table2[#Headers],0),0)</f>
        <v>0</v>
      </c>
      <c r="BM286" s="2">
        <f>VLOOKUP([jobnumber],OvalData[],MATCH(Table2[[#Headers],[Total Spring Weight]],Table2[#Headers],0),0)</f>
        <v>0</v>
      </c>
      <c r="BN286" s="2">
        <f>VLOOKUP([jobnumber],OvalData[],MATCH(Table2[[#Headers],[Pipe Weight]],Table2[#Headers],0),0)</f>
        <v>688.24239999999998</v>
      </c>
      <c r="BO286" s="2">
        <f>VLOOKUP([jobnumber],OvalData[],MATCH(Table2[[#Headers],[Max Pipe Deflection]],Table2[#Headers],0),0)</f>
        <v>2309</v>
      </c>
      <c r="BP286" s="2">
        <f>VLOOKUP([jobnumber],OvalData[],MATCH(Table2[[#Headers],[Number Non-Insulated Wrap Slats]],Table2[#Headers],0),0)</f>
        <v>0</v>
      </c>
      <c r="BQ286" s="2">
        <f>VLOOKUP([jobnumber],OvalData[],MATCH(Table2[[#Headers],[Number of Insolated Top Slats]],Table2[#Headers],0),0)</f>
        <v>45</v>
      </c>
      <c r="BR286" s="2">
        <f>VLOOKUP([jobnumber],OvalData[],MATCH(Table2[[#Headers],[Insolated Total Slats]],Table2[#Headers],0),0)</f>
        <v>45</v>
      </c>
      <c r="BS286" s="2">
        <f>VLOOKUP([jobnumber],OvalData[],MATCH(Table2[[#Headers],[Number of Slats]],Table2[#Headers],0),0)</f>
        <v>44.69</v>
      </c>
      <c r="BT286" s="2">
        <f>VLOOKUP([jobnumber],OvalData[],MATCH(Table2[[#Headers],[Wrap]],Table2[#Headers],0),0)</f>
        <v>0</v>
      </c>
      <c r="BU286" s="2">
        <f>VLOOKUP([jobnumber],OvalData[],MATCH(Table2[[#Headers],[Wall Angle Thickness]],Table2[#Headers],0),0)</f>
        <v>0</v>
      </c>
      <c r="BV286" s="2">
        <f>VLOOKUP([jobnumber],OvalData[],MATCH(Table2[[#Headers],[windlocks]],Table2[#Headers],0),0)</f>
        <v>0</v>
      </c>
      <c r="BW286" s="2" t="str">
        <f>VLOOKUP([jobnumber],OvalData[],MATCH(Table2[[#Headers],[bottombartype]],Table2[#Headers],0),0)</f>
        <v>SPECIAL</v>
      </c>
      <c r="BX286" s="2">
        <f>VLOOKUP([jobnumber],OvalData[],MATCH(Table2[[#Headers],[endlockweight]],Table2[#Headers],0),0)</f>
        <v>0.17</v>
      </c>
      <c r="BY286" s="2">
        <f>VLOOKUP([jobnumber],OvalData[],MATCH(Table2[[#Headers],[Endlock Total Weight]],Table2[#Headers],0),0)</f>
        <v>7.5972999999999997</v>
      </c>
      <c r="BZ286" s="2">
        <f>VLOOKUP([jobnumber],OvalData[],MATCH(Table2[[#Headers],[Grille Weight]],Table2[#Headers],0),0)</f>
        <v>0</v>
      </c>
      <c r="CA286" s="2">
        <f>VLOOKUP([jobnumber],OvalData[],MATCH(Table2[[#Headers],[barrelrings]],Table2[#Headers],0),0)</f>
        <v>1</v>
      </c>
    </row>
    <row r="287" spans="2:79">
      <c r="B287" s="2" t="str">
        <f>VLOOKUP([jobnumber],OvalData[],MATCH(Table2[[#Headers],[Hand]],Table2[#Headers],0),0)</f>
        <v>RH</v>
      </c>
      <c r="C287" s="2" t="str">
        <f>VLOOKUP([jobnumber],OvalData[],MATCH(Table2[[#Headers],[Model]],Table2[#Headers],0),0)</f>
        <v>SFMPP</v>
      </c>
      <c r="D287" s="2" t="str">
        <f>VLOOKUP([jobnumber],OvalData[],MATCH(Table2[[#Headers],[width]],Table2[#Headers],0),0)</f>
        <v xml:space="preserve"> 18 ft.- 2"</v>
      </c>
      <c r="E287" s="2" t="str">
        <f>VLOOKUP([jobnumber],OvalData[],MATCH(Table2[[#Headers],[stopheight]],Table2[#Headers],0),0)</f>
        <v xml:space="preserve"> 10 ft.- 0"</v>
      </c>
      <c r="F287" s="2" t="str">
        <f>VLOOKUP([jobnumber],OvalData[],MATCH(Table2[[#Headers],[Between Brackets]],Table2[#Headers],0),0)</f>
        <v xml:space="preserve"> 18 ft.- 7 7/ 8"</v>
      </c>
      <c r="G287" s="2" t="str">
        <f>VLOOKUP([jobnumber],OvalData[],MATCH(Table2[[#Headers],[shell]],Table2[#Headers],0),0)</f>
        <v>6 INCH TUBE</v>
      </c>
      <c r="H287" s="2" t="str">
        <f>VLOOKUP([jobnumber],OvalData[],MATCH(Table2[[#Headers],[pipewidth]],Table2[#Headers],0),0)</f>
        <v xml:space="preserve"> 18 ft.- 1 3/ 8"</v>
      </c>
      <c r="I287" s="2">
        <f>VLOOKUP([jobnumber],OvalData[],MATCH(Table2[[#Headers],[Support Tubes]],Table2[#Headers],0),0)</f>
        <v>0</v>
      </c>
      <c r="J287" s="2">
        <f>VLOOKUP([jobnumber],OvalData[],MATCH(Table2[[#Headers],[Upset]],Table2[#Headers],0),0)</f>
        <v>2</v>
      </c>
      <c r="K287" s="2" t="str">
        <f>VLOOKUP([jobnumber],OvalData[],MATCH(Table2[[#Headers],[Guide Type]],Table2[#Headers],0),0)</f>
        <v>SN2-4 5/8-E</v>
      </c>
      <c r="L287" s="2" t="str">
        <f>VLOOKUP([jobnumber],OvalData[],MATCH(Table2[[#Headers],[Wall Angle]],Table2[#Headers],0),0)</f>
        <v xml:space="preserve"> 11 ft.- 8"</v>
      </c>
      <c r="M287" s="2" t="str">
        <f>VLOOKUP([jobnumber],OvalData[],MATCH(Table2[[#Headers],[Middle Angle]],Table2[#Headers],0),0)</f>
        <v xml:space="preserve"> 10 ft.- 4 1/ 2"</v>
      </c>
      <c r="N287" s="2" t="str">
        <f>VLOOKUP([jobnumber],OvalData[],MATCH(Table2[[#Headers],[Front Angle]],Table2[#Headers],0),0)</f>
        <v xml:space="preserve"> 10 ft.- 3"</v>
      </c>
      <c r="O287" s="2">
        <f>VLOOKUP([jobnumber],OvalData[],MATCH(Table2[[#Headers],[Pipe Center Line]],Table2[#Headers],0),0)</f>
        <v>131</v>
      </c>
      <c r="P287" s="2">
        <f>VLOOKUP([jobnumber],OvalData[],MATCH(Table2[[#Headers],[Heat Expansion Gap]],Table2[#Headers],0),0)</f>
        <v>0</v>
      </c>
      <c r="Q287" s="2">
        <f>VLOOKUP([jobnumber],OvalData[],MATCH(Table2[[#Headers],[Hanging Weight Closed]],Table2[#Headers],0),0)</f>
        <v>795</v>
      </c>
      <c r="R287" s="2">
        <f>VLOOKUP([jobnumber],OvalData[],MATCH(Table2[[#Headers],[Hanging Weight Open]],Table2[#Headers],0),0)</f>
        <v>140</v>
      </c>
      <c r="S287" s="2">
        <f>VLOOKUP([jobnumber],OvalData[],MATCH(Table2[[#Headers],[Initial Lever Arm]],Table2[#Headers],0),0)</f>
        <v>4.25</v>
      </c>
      <c r="T287" s="2">
        <f>VLOOKUP([jobnumber],OvalData[],MATCH(Table2[[#Headers],[Turns to Raise]],Table2[#Headers],0),0)</f>
        <v>3.5859999999999999</v>
      </c>
      <c r="U287" s="2">
        <f>VLOOKUP([jobnumber],OvalData[],MATCH(Table2[[#Headers],[Final Lever Arm]],Table2[#Headers],0),0)</f>
        <v>6.37</v>
      </c>
      <c r="V287" s="2">
        <f>VLOOKUP([jobnumber],OvalData[],MATCH(Table2[[#Headers],[Torque Required Closed]],Table2[#Headers],0),0)</f>
        <v>3377.9</v>
      </c>
      <c r="W287" s="2">
        <f>VLOOKUP([jobnumber],OvalData[],MATCH(Table2[[#Headers],[Torque Required Open]],Table2[#Headers],0),0)</f>
        <v>892</v>
      </c>
      <c r="X287" s="2">
        <f>VLOOKUP([jobnumber],OvalData[],MATCH(Table2[[#Headers],[Pre Turns]],Table2[#Headers],0),0)</f>
        <v>1.3332999999999999</v>
      </c>
      <c r="Y287" s="2">
        <f>VLOOKUP([jobnumber],OvalData[],MATCH(Table2[[#Headers],[Required Torque Per Turn]],Table2[#Headers],0),0)</f>
        <v>688</v>
      </c>
      <c r="Z287" s="2">
        <f>VLOOKUP([jobnumber],OvalData[],MATCH(Table2[[#Headers],[Total Turns]],Table2[#Headers],0),0)</f>
        <v>4.91</v>
      </c>
      <c r="AA287" s="2">
        <f>VLOOKUP([jobnumber],OvalData[],MATCH(Table2[[#Headers],[Grille Vision Section]],Table2[#Headers],0),0)</f>
        <v>0</v>
      </c>
      <c r="AB287" s="2">
        <f>VLOOKUP([jobnumber],OvalData[],MATCH(Table2[[#Headers],[Grille Amount]],Table2[#Headers],0),0)</f>
        <v>0</v>
      </c>
      <c r="AC287" s="2">
        <f>VLOOKUP([jobnumber],OvalData[],MATCH(Table2[[#Headers],[Grille Center]],Table2[#Headers],0),0)</f>
        <v>0</v>
      </c>
      <c r="AD287" s="2">
        <f>VLOOKUP([jobnumber],OvalData[],MATCH(Table2[[#Headers],[Grille Pattern]],Table2[#Headers],0),0)</f>
        <v>0</v>
      </c>
      <c r="AE287" s="2">
        <f>VLOOKUP([jobnumber],OvalData[],MATCH(Table2[[#Headers],[Grille First Tube]],Table2[#Headers],0),0)</f>
        <v>0</v>
      </c>
      <c r="AF287" s="2">
        <f>VLOOKUP([jobnumber],OvalData[],MATCH(Table2[[#Headers],[Grille Standard Tube]],Table2[#Headers],0),0)</f>
        <v>0</v>
      </c>
      <c r="AG287" s="2">
        <f>VLOOKUP([jobnumber],OvalData[],MATCH(Table2[[#Headers],[Grille Total Links]],Table2[#Headers],0),0)</f>
        <v>0</v>
      </c>
      <c r="AH287" s="2">
        <f>VLOOKUP([jobnumber],OvalData[],MATCH(Table2[[#Headers],[Grille Rods]],Table2[#Headers],0),0)</f>
        <v>0</v>
      </c>
      <c r="AI287" s="2">
        <f>VLOOKUP([jobnumber],OvalData[],MATCH(Table2[[#Headers],[Grille Rod Length]],Table2[#Headers],0),0)</f>
        <v>0</v>
      </c>
      <c r="AJ287" s="2">
        <f>VLOOKUP([jobnumber],OvalData[],MATCH(Table2[[#Headers],[slattype]],Table2[#Headers],0),0)</f>
        <v>2</v>
      </c>
      <c r="AK287" s="2">
        <f>VLOOKUP([jobnumber],OvalData[],MATCH(Table2[[#Headers],[slatgage]],Table2[#Headers],0),0)</f>
        <v>18</v>
      </c>
      <c r="AL287" s="2">
        <f>VLOOKUP([jobnumber],OvalData[],MATCH(Table2[[#Headers],[Numer of Top Slats]],Table2[#Headers],0),0)</f>
        <v>0</v>
      </c>
      <c r="AM287" s="2">
        <f>VLOOKUP([jobnumber],OvalData[],MATCH(Table2[[#Headers],[Number of Bottom Slats]],Table2[#Headers],0),0)</f>
        <v>0</v>
      </c>
      <c r="AN287" s="2">
        <f>VLOOKUP([jobnumber],OvalData[],MATCH(Table2[[#Headers],[Solid Bottom Height]],Table2[#Headers],0),0)</f>
        <v>0</v>
      </c>
      <c r="AO287" s="2" t="str">
        <f>VLOOKUP([jobnumber],OvalData[],MATCH(Table2[[#Headers],[slatlength]],Table2[#Headers],0),0)</f>
        <v xml:space="preserve"> 18 ft.- 5 7/ 8"</v>
      </c>
      <c r="AP287" s="2">
        <f>VLOOKUP([jobnumber],OvalData[],MATCH(Table2[[#Headers],[Bottom Slat Length]],Table2[#Headers],0),0)</f>
        <v>0</v>
      </c>
      <c r="AQ287" s="2">
        <f>VLOOKUP([jobnumber],OvalData[],MATCH(Table2[[#Headers],[Number of Perferated Slats]],Table2[#Headers],0),0)</f>
        <v>0</v>
      </c>
      <c r="AR287" s="2">
        <f>VLOOKUP([jobnumber],OvalData[],MATCH(Table2[[#Headers],[First Preferated Slat From End]],Table2[#Headers],0),0)</f>
        <v>0</v>
      </c>
      <c r="AS287" s="2">
        <f>VLOOKUP([jobnumber],OvalData[],MATCH(Table2[[#Headers],[First Preferated Slat From Bottom]],Table2[#Headers],0),0)</f>
        <v>0</v>
      </c>
      <c r="AT287" s="2">
        <f>VLOOKUP([jobnumber],OvalData[],MATCH(Table2[[#Headers],[Total Number of Slats]],Table2[#Headers],0),0)</f>
        <v>51</v>
      </c>
      <c r="AU287" s="2">
        <f>VLOOKUP([jobnumber],OvalData[],MATCH(Table2[[#Headers],[Bottom Bar Slope]],Table2[#Headers],0),0)</f>
        <v>0</v>
      </c>
      <c r="AV287" s="2">
        <f>VLOOKUP([jobnumber],OvalData[],MATCH(Table2[[#Headers],[Bottom Bar Weight]],Table2[#Headers],0),0)</f>
        <v>80.5</v>
      </c>
      <c r="AW287" s="2" t="str">
        <f>VLOOKUP([jobnumber],OvalData[],MATCH(Table2[[#Headers],[Outer Spring Gage]],Table2[#Headers],0),0)</f>
        <v>Null</v>
      </c>
      <c r="AX287" s="2" t="str">
        <f>VLOOKUP([jobnumber],OvalData[],MATCH(Table2[[#Headers],[Outer Spring OD]],Table2[#Headers],0),0)</f>
        <v>Null</v>
      </c>
      <c r="AY287" s="2" t="str">
        <f>VLOOKUP([jobnumber],OvalData[],MATCH(Table2[[#Headers],[Outer Spring Length]],Table2[#Headers],0),0)</f>
        <v>Null</v>
      </c>
      <c r="AZ287" s="2" t="str">
        <f>VLOOKUP([jobnumber],OvalData[],MATCH(Table2[[#Headers],[Outer Spring Stretch]],Table2[#Headers],0),0)</f>
        <v>Null</v>
      </c>
      <c r="BA287" s="2" t="str">
        <f>VLOOKUP([jobnumber],OvalData[],MATCH(Table2[[#Headers],[Outer Spring Torque]],Table2[#Headers],0),0)</f>
        <v>Null</v>
      </c>
      <c r="BB287" s="2" t="str">
        <f>VLOOKUP([jobnumber],OvalData[],MATCH(Table2[[#Headers],[Outer Spring Max Turns]],Table2[#Headers],0),0)</f>
        <v>Null</v>
      </c>
      <c r="BC287" s="2" t="str">
        <f>VLOOKUP([jobnumber],OvalData[],MATCH(Table2[[#Headers],[Outer Spring Weight]],Table2[#Headers],0),0)</f>
        <v>Null</v>
      </c>
      <c r="BD287" s="2" t="str">
        <f>VLOOKUP([jobnumber],OvalData[],MATCH(Table2[[#Headers],[Inner Spring Gage]],Table2[#Headers],0),0)</f>
        <v>Null</v>
      </c>
      <c r="BE287" s="2" t="str">
        <f>VLOOKUP([jobnumber],OvalData[],MATCH(Table2[[#Headers],[Inner Spring OD]],Table2[#Headers],0),0)</f>
        <v>Null</v>
      </c>
      <c r="BF287" s="2" t="str">
        <f>VLOOKUP([jobnumber],OvalData[],MATCH(Table2[[#Headers],[Inner Spring Length]],Table2[#Headers],0),0)</f>
        <v>Null</v>
      </c>
      <c r="BG287" s="2" t="str">
        <f>VLOOKUP([jobnumber],OvalData[],MATCH(Table2[[#Headers],[Inner Spring Stretch]],Table2[#Headers],0),0)</f>
        <v>Null</v>
      </c>
      <c r="BH287" s="2" t="str">
        <f>VLOOKUP([jobnumber],OvalData[],MATCH(Table2[[#Headers],[Inner Spring Torque]],Table2[#Headers],0),0)</f>
        <v>Null</v>
      </c>
      <c r="BI287" s="2" t="str">
        <f>VLOOKUP([jobnumber],OvalData[],MATCH(Table2[[#Headers],[Inner Spring Max Turns]],Table2[#Headers],0),0)</f>
        <v>Null</v>
      </c>
      <c r="BJ287" s="2" t="str">
        <f>VLOOKUP([jobnumber],OvalData[],MATCH(Table2[[#Headers],[Inner Spring Weight]],Table2[#Headers],0),0)</f>
        <v>Null</v>
      </c>
      <c r="BK287" s="2">
        <f>VLOOKUP([jobnumber],OvalData[],MATCH(Table2[[#Headers],[Cycles]],Table2[#Headers],0),0)</f>
        <v>0</v>
      </c>
      <c r="BL287" s="2">
        <f>VLOOKUP([jobnumber],OvalData[],MATCH(Table2[[#Headers],[Total Spring Torque]],Table2[#Headers],0),0)</f>
        <v>0</v>
      </c>
      <c r="BM287" s="2">
        <f>VLOOKUP([jobnumber],OvalData[],MATCH(Table2[[#Headers],[Total Spring Weight]],Table2[#Headers],0),0)</f>
        <v>0</v>
      </c>
      <c r="BN287" s="2">
        <f>VLOOKUP([jobnumber],OvalData[],MATCH(Table2[[#Headers],[Pipe Weight]],Table2[#Headers],0),0)</f>
        <v>688.24239999999998</v>
      </c>
      <c r="BO287" s="2">
        <f>VLOOKUP([jobnumber],OvalData[],MATCH(Table2[[#Headers],[Max Pipe Deflection]],Table2[#Headers],0),0)</f>
        <v>2309</v>
      </c>
      <c r="BP287" s="2">
        <f>VLOOKUP([jobnumber],OvalData[],MATCH(Table2[[#Headers],[Number Non-Insulated Wrap Slats]],Table2[#Headers],0),0)</f>
        <v>0</v>
      </c>
      <c r="BQ287" s="2">
        <f>VLOOKUP([jobnumber],OvalData[],MATCH(Table2[[#Headers],[Number of Insolated Top Slats]],Table2[#Headers],0),0)</f>
        <v>45</v>
      </c>
      <c r="BR287" s="2">
        <f>VLOOKUP([jobnumber],OvalData[],MATCH(Table2[[#Headers],[Insolated Total Slats]],Table2[#Headers],0),0)</f>
        <v>45</v>
      </c>
      <c r="BS287" s="2">
        <f>VLOOKUP([jobnumber],OvalData[],MATCH(Table2[[#Headers],[Number of Slats]],Table2[#Headers],0),0)</f>
        <v>44.69</v>
      </c>
      <c r="BT287" s="2">
        <f>VLOOKUP([jobnumber],OvalData[],MATCH(Table2[[#Headers],[Wrap]],Table2[#Headers],0),0)</f>
        <v>0</v>
      </c>
      <c r="BU287" s="2">
        <f>VLOOKUP([jobnumber],OvalData[],MATCH(Table2[[#Headers],[Wall Angle Thickness]],Table2[#Headers],0),0)</f>
        <v>0</v>
      </c>
      <c r="BV287" s="2">
        <f>VLOOKUP([jobnumber],OvalData[],MATCH(Table2[[#Headers],[windlocks]],Table2[#Headers],0),0)</f>
        <v>0</v>
      </c>
      <c r="BW287" s="2" t="str">
        <f>VLOOKUP([jobnumber],OvalData[],MATCH(Table2[[#Headers],[bottombartype]],Table2[#Headers],0),0)</f>
        <v>SPECIAL</v>
      </c>
      <c r="BX287" s="2">
        <f>VLOOKUP([jobnumber],OvalData[],MATCH(Table2[[#Headers],[endlockweight]],Table2[#Headers],0),0)</f>
        <v>0.17</v>
      </c>
      <c r="BY287" s="2">
        <f>VLOOKUP([jobnumber],OvalData[],MATCH(Table2[[#Headers],[Endlock Total Weight]],Table2[#Headers],0),0)</f>
        <v>7.5972999999999997</v>
      </c>
      <c r="BZ287" s="2">
        <f>VLOOKUP([jobnumber],OvalData[],MATCH(Table2[[#Headers],[Grille Weight]],Table2[#Headers],0),0)</f>
        <v>0</v>
      </c>
      <c r="CA287" s="2">
        <f>VLOOKUP([jobnumber],OvalData[],MATCH(Table2[[#Headers],[barrelrings]],Table2[#Headers],0),0)</f>
        <v>1</v>
      </c>
    </row>
    <row r="288" spans="2:79">
      <c r="B288" s="2" t="str">
        <f>VLOOKUP([jobnumber],OvalData[],MATCH(Table2[[#Headers],[Hand]],Table2[#Headers],0),0)</f>
        <v>RH</v>
      </c>
      <c r="C288" s="2" t="str">
        <f>VLOOKUP([jobnumber],OvalData[],MATCH(Table2[[#Headers],[Model]],Table2[#Headers],0),0)</f>
        <v>SFMPP</v>
      </c>
      <c r="D288" s="2" t="str">
        <f>VLOOKUP([jobnumber],OvalData[],MATCH(Table2[[#Headers],[width]],Table2[#Headers],0),0)</f>
        <v xml:space="preserve"> 18 ft.- 2"</v>
      </c>
      <c r="E288" s="2" t="str">
        <f>VLOOKUP([jobnumber],OvalData[],MATCH(Table2[[#Headers],[stopheight]],Table2[#Headers],0),0)</f>
        <v xml:space="preserve"> 10 ft.- 0"</v>
      </c>
      <c r="F288" s="2" t="str">
        <f>VLOOKUP([jobnumber],OvalData[],MATCH(Table2[[#Headers],[Between Brackets]],Table2[#Headers],0),0)</f>
        <v xml:space="preserve"> 18 ft.- 7 7/ 8"</v>
      </c>
      <c r="G288" s="2" t="str">
        <f>VLOOKUP([jobnumber],OvalData[],MATCH(Table2[[#Headers],[shell]],Table2[#Headers],0),0)</f>
        <v>6 INCH TUBE</v>
      </c>
      <c r="H288" s="2" t="str">
        <f>VLOOKUP([jobnumber],OvalData[],MATCH(Table2[[#Headers],[pipewidth]],Table2[#Headers],0),0)</f>
        <v xml:space="preserve"> 18 ft.- 1 3/ 8"</v>
      </c>
      <c r="I288" s="2">
        <f>VLOOKUP([jobnumber],OvalData[],MATCH(Table2[[#Headers],[Support Tubes]],Table2[#Headers],0),0)</f>
        <v>0</v>
      </c>
      <c r="J288" s="2">
        <f>VLOOKUP([jobnumber],OvalData[],MATCH(Table2[[#Headers],[Upset]],Table2[#Headers],0),0)</f>
        <v>2</v>
      </c>
      <c r="K288" s="2" t="str">
        <f>VLOOKUP([jobnumber],OvalData[],MATCH(Table2[[#Headers],[Guide Type]],Table2[#Headers],0),0)</f>
        <v>SN2-4 5/8-E</v>
      </c>
      <c r="L288" s="2" t="str">
        <f>VLOOKUP([jobnumber],OvalData[],MATCH(Table2[[#Headers],[Wall Angle]],Table2[#Headers],0),0)</f>
        <v xml:space="preserve"> 11 ft.- 8"</v>
      </c>
      <c r="M288" s="2" t="str">
        <f>VLOOKUP([jobnumber],OvalData[],MATCH(Table2[[#Headers],[Middle Angle]],Table2[#Headers],0),0)</f>
        <v xml:space="preserve"> 10 ft.- 4 1/ 2"</v>
      </c>
      <c r="N288" s="2" t="str">
        <f>VLOOKUP([jobnumber],OvalData[],MATCH(Table2[[#Headers],[Front Angle]],Table2[#Headers],0),0)</f>
        <v xml:space="preserve"> 10 ft.- 3"</v>
      </c>
      <c r="O288" s="2">
        <f>VLOOKUP([jobnumber],OvalData[],MATCH(Table2[[#Headers],[Pipe Center Line]],Table2[#Headers],0),0)</f>
        <v>131</v>
      </c>
      <c r="P288" s="2">
        <f>VLOOKUP([jobnumber],OvalData[],MATCH(Table2[[#Headers],[Heat Expansion Gap]],Table2[#Headers],0),0)</f>
        <v>0</v>
      </c>
      <c r="Q288" s="2">
        <f>VLOOKUP([jobnumber],OvalData[],MATCH(Table2[[#Headers],[Hanging Weight Closed]],Table2[#Headers],0),0)</f>
        <v>795</v>
      </c>
      <c r="R288" s="2">
        <f>VLOOKUP([jobnumber],OvalData[],MATCH(Table2[[#Headers],[Hanging Weight Open]],Table2[#Headers],0),0)</f>
        <v>140</v>
      </c>
      <c r="S288" s="2">
        <f>VLOOKUP([jobnumber],OvalData[],MATCH(Table2[[#Headers],[Initial Lever Arm]],Table2[#Headers],0),0)</f>
        <v>4.25</v>
      </c>
      <c r="T288" s="2">
        <f>VLOOKUP([jobnumber],OvalData[],MATCH(Table2[[#Headers],[Turns to Raise]],Table2[#Headers],0),0)</f>
        <v>3.5859999999999999</v>
      </c>
      <c r="U288" s="2">
        <f>VLOOKUP([jobnumber],OvalData[],MATCH(Table2[[#Headers],[Final Lever Arm]],Table2[#Headers],0),0)</f>
        <v>6.37</v>
      </c>
      <c r="V288" s="2">
        <f>VLOOKUP([jobnumber],OvalData[],MATCH(Table2[[#Headers],[Torque Required Closed]],Table2[#Headers],0),0)</f>
        <v>3377.9</v>
      </c>
      <c r="W288" s="2">
        <f>VLOOKUP([jobnumber],OvalData[],MATCH(Table2[[#Headers],[Torque Required Open]],Table2[#Headers],0),0)</f>
        <v>892</v>
      </c>
      <c r="X288" s="2">
        <f>VLOOKUP([jobnumber],OvalData[],MATCH(Table2[[#Headers],[Pre Turns]],Table2[#Headers],0),0)</f>
        <v>1.3332999999999999</v>
      </c>
      <c r="Y288" s="2">
        <f>VLOOKUP([jobnumber],OvalData[],MATCH(Table2[[#Headers],[Required Torque Per Turn]],Table2[#Headers],0),0)</f>
        <v>688</v>
      </c>
      <c r="Z288" s="2">
        <f>VLOOKUP([jobnumber],OvalData[],MATCH(Table2[[#Headers],[Total Turns]],Table2[#Headers],0),0)</f>
        <v>4.91</v>
      </c>
      <c r="AA288" s="2">
        <f>VLOOKUP([jobnumber],OvalData[],MATCH(Table2[[#Headers],[Grille Vision Section]],Table2[#Headers],0),0)</f>
        <v>0</v>
      </c>
      <c r="AB288" s="2">
        <f>VLOOKUP([jobnumber],OvalData[],MATCH(Table2[[#Headers],[Grille Amount]],Table2[#Headers],0),0)</f>
        <v>0</v>
      </c>
      <c r="AC288" s="2">
        <f>VLOOKUP([jobnumber],OvalData[],MATCH(Table2[[#Headers],[Grille Center]],Table2[#Headers],0),0)</f>
        <v>0</v>
      </c>
      <c r="AD288" s="2">
        <f>VLOOKUP([jobnumber],OvalData[],MATCH(Table2[[#Headers],[Grille Pattern]],Table2[#Headers],0),0)</f>
        <v>0</v>
      </c>
      <c r="AE288" s="2">
        <f>VLOOKUP([jobnumber],OvalData[],MATCH(Table2[[#Headers],[Grille First Tube]],Table2[#Headers],0),0)</f>
        <v>0</v>
      </c>
      <c r="AF288" s="2">
        <f>VLOOKUP([jobnumber],OvalData[],MATCH(Table2[[#Headers],[Grille Standard Tube]],Table2[#Headers],0),0)</f>
        <v>0</v>
      </c>
      <c r="AG288" s="2">
        <f>VLOOKUP([jobnumber],OvalData[],MATCH(Table2[[#Headers],[Grille Total Links]],Table2[#Headers],0),0)</f>
        <v>0</v>
      </c>
      <c r="AH288" s="2">
        <f>VLOOKUP([jobnumber],OvalData[],MATCH(Table2[[#Headers],[Grille Rods]],Table2[#Headers],0),0)</f>
        <v>0</v>
      </c>
      <c r="AI288" s="2">
        <f>VLOOKUP([jobnumber],OvalData[],MATCH(Table2[[#Headers],[Grille Rod Length]],Table2[#Headers],0),0)</f>
        <v>0</v>
      </c>
      <c r="AJ288" s="2">
        <f>VLOOKUP([jobnumber],OvalData[],MATCH(Table2[[#Headers],[slattype]],Table2[#Headers],0),0)</f>
        <v>2</v>
      </c>
      <c r="AK288" s="2">
        <f>VLOOKUP([jobnumber],OvalData[],MATCH(Table2[[#Headers],[slatgage]],Table2[#Headers],0),0)</f>
        <v>18</v>
      </c>
      <c r="AL288" s="2">
        <f>VLOOKUP([jobnumber],OvalData[],MATCH(Table2[[#Headers],[Numer of Top Slats]],Table2[#Headers],0),0)</f>
        <v>0</v>
      </c>
      <c r="AM288" s="2">
        <f>VLOOKUP([jobnumber],OvalData[],MATCH(Table2[[#Headers],[Number of Bottom Slats]],Table2[#Headers],0),0)</f>
        <v>0</v>
      </c>
      <c r="AN288" s="2">
        <f>VLOOKUP([jobnumber],OvalData[],MATCH(Table2[[#Headers],[Solid Bottom Height]],Table2[#Headers],0),0)</f>
        <v>0</v>
      </c>
      <c r="AO288" s="2" t="str">
        <f>VLOOKUP([jobnumber],OvalData[],MATCH(Table2[[#Headers],[slatlength]],Table2[#Headers],0),0)</f>
        <v xml:space="preserve"> 18 ft.- 5 7/ 8"</v>
      </c>
      <c r="AP288" s="2">
        <f>VLOOKUP([jobnumber],OvalData[],MATCH(Table2[[#Headers],[Bottom Slat Length]],Table2[#Headers],0),0)</f>
        <v>0</v>
      </c>
      <c r="AQ288" s="2">
        <f>VLOOKUP([jobnumber],OvalData[],MATCH(Table2[[#Headers],[Number of Perferated Slats]],Table2[#Headers],0),0)</f>
        <v>0</v>
      </c>
      <c r="AR288" s="2">
        <f>VLOOKUP([jobnumber],OvalData[],MATCH(Table2[[#Headers],[First Preferated Slat From End]],Table2[#Headers],0),0)</f>
        <v>0</v>
      </c>
      <c r="AS288" s="2">
        <f>VLOOKUP([jobnumber],OvalData[],MATCH(Table2[[#Headers],[First Preferated Slat From Bottom]],Table2[#Headers],0),0)</f>
        <v>0</v>
      </c>
      <c r="AT288" s="2">
        <f>VLOOKUP([jobnumber],OvalData[],MATCH(Table2[[#Headers],[Total Number of Slats]],Table2[#Headers],0),0)</f>
        <v>51</v>
      </c>
      <c r="AU288" s="2">
        <f>VLOOKUP([jobnumber],OvalData[],MATCH(Table2[[#Headers],[Bottom Bar Slope]],Table2[#Headers],0),0)</f>
        <v>0</v>
      </c>
      <c r="AV288" s="2">
        <f>VLOOKUP([jobnumber],OvalData[],MATCH(Table2[[#Headers],[Bottom Bar Weight]],Table2[#Headers],0),0)</f>
        <v>80.5</v>
      </c>
      <c r="AW288" s="2" t="str">
        <f>VLOOKUP([jobnumber],OvalData[],MATCH(Table2[[#Headers],[Outer Spring Gage]],Table2[#Headers],0),0)</f>
        <v>Null</v>
      </c>
      <c r="AX288" s="2" t="str">
        <f>VLOOKUP([jobnumber],OvalData[],MATCH(Table2[[#Headers],[Outer Spring OD]],Table2[#Headers],0),0)</f>
        <v>Null</v>
      </c>
      <c r="AY288" s="2" t="str">
        <f>VLOOKUP([jobnumber],OvalData[],MATCH(Table2[[#Headers],[Outer Spring Length]],Table2[#Headers],0),0)</f>
        <v>Null</v>
      </c>
      <c r="AZ288" s="2" t="str">
        <f>VLOOKUP([jobnumber],OvalData[],MATCH(Table2[[#Headers],[Outer Spring Stretch]],Table2[#Headers],0),0)</f>
        <v>Null</v>
      </c>
      <c r="BA288" s="2" t="str">
        <f>VLOOKUP([jobnumber],OvalData[],MATCH(Table2[[#Headers],[Outer Spring Torque]],Table2[#Headers],0),0)</f>
        <v>Null</v>
      </c>
      <c r="BB288" s="2" t="str">
        <f>VLOOKUP([jobnumber],OvalData[],MATCH(Table2[[#Headers],[Outer Spring Max Turns]],Table2[#Headers],0),0)</f>
        <v>Null</v>
      </c>
      <c r="BC288" s="2" t="str">
        <f>VLOOKUP([jobnumber],OvalData[],MATCH(Table2[[#Headers],[Outer Spring Weight]],Table2[#Headers],0),0)</f>
        <v>Null</v>
      </c>
      <c r="BD288" s="2" t="str">
        <f>VLOOKUP([jobnumber],OvalData[],MATCH(Table2[[#Headers],[Inner Spring Gage]],Table2[#Headers],0),0)</f>
        <v>Null</v>
      </c>
      <c r="BE288" s="2" t="str">
        <f>VLOOKUP([jobnumber],OvalData[],MATCH(Table2[[#Headers],[Inner Spring OD]],Table2[#Headers],0),0)</f>
        <v>Null</v>
      </c>
      <c r="BF288" s="2" t="str">
        <f>VLOOKUP([jobnumber],OvalData[],MATCH(Table2[[#Headers],[Inner Spring Length]],Table2[#Headers],0),0)</f>
        <v>Null</v>
      </c>
      <c r="BG288" s="2" t="str">
        <f>VLOOKUP([jobnumber],OvalData[],MATCH(Table2[[#Headers],[Inner Spring Stretch]],Table2[#Headers],0),0)</f>
        <v>Null</v>
      </c>
      <c r="BH288" s="2" t="str">
        <f>VLOOKUP([jobnumber],OvalData[],MATCH(Table2[[#Headers],[Inner Spring Torque]],Table2[#Headers],0),0)</f>
        <v>Null</v>
      </c>
      <c r="BI288" s="2" t="str">
        <f>VLOOKUP([jobnumber],OvalData[],MATCH(Table2[[#Headers],[Inner Spring Max Turns]],Table2[#Headers],0),0)</f>
        <v>Null</v>
      </c>
      <c r="BJ288" s="2" t="str">
        <f>VLOOKUP([jobnumber],OvalData[],MATCH(Table2[[#Headers],[Inner Spring Weight]],Table2[#Headers],0),0)</f>
        <v>Null</v>
      </c>
      <c r="BK288" s="2">
        <f>VLOOKUP([jobnumber],OvalData[],MATCH(Table2[[#Headers],[Cycles]],Table2[#Headers],0),0)</f>
        <v>0</v>
      </c>
      <c r="BL288" s="2">
        <f>VLOOKUP([jobnumber],OvalData[],MATCH(Table2[[#Headers],[Total Spring Torque]],Table2[#Headers],0),0)</f>
        <v>0</v>
      </c>
      <c r="BM288" s="2">
        <f>VLOOKUP([jobnumber],OvalData[],MATCH(Table2[[#Headers],[Total Spring Weight]],Table2[#Headers],0),0)</f>
        <v>0</v>
      </c>
      <c r="BN288" s="2">
        <f>VLOOKUP([jobnumber],OvalData[],MATCH(Table2[[#Headers],[Pipe Weight]],Table2[#Headers],0),0)</f>
        <v>688.24239999999998</v>
      </c>
      <c r="BO288" s="2">
        <f>VLOOKUP([jobnumber],OvalData[],MATCH(Table2[[#Headers],[Max Pipe Deflection]],Table2[#Headers],0),0)</f>
        <v>2309</v>
      </c>
      <c r="BP288" s="2">
        <f>VLOOKUP([jobnumber],OvalData[],MATCH(Table2[[#Headers],[Number Non-Insulated Wrap Slats]],Table2[#Headers],0),0)</f>
        <v>0</v>
      </c>
      <c r="BQ288" s="2">
        <f>VLOOKUP([jobnumber],OvalData[],MATCH(Table2[[#Headers],[Number of Insolated Top Slats]],Table2[#Headers],0),0)</f>
        <v>45</v>
      </c>
      <c r="BR288" s="2">
        <f>VLOOKUP([jobnumber],OvalData[],MATCH(Table2[[#Headers],[Insolated Total Slats]],Table2[#Headers],0),0)</f>
        <v>45</v>
      </c>
      <c r="BS288" s="2">
        <f>VLOOKUP([jobnumber],OvalData[],MATCH(Table2[[#Headers],[Number of Slats]],Table2[#Headers],0),0)</f>
        <v>44.69</v>
      </c>
      <c r="BT288" s="2">
        <f>VLOOKUP([jobnumber],OvalData[],MATCH(Table2[[#Headers],[Wrap]],Table2[#Headers],0),0)</f>
        <v>0</v>
      </c>
      <c r="BU288" s="2">
        <f>VLOOKUP([jobnumber],OvalData[],MATCH(Table2[[#Headers],[Wall Angle Thickness]],Table2[#Headers],0),0)</f>
        <v>0</v>
      </c>
      <c r="BV288" s="2">
        <f>VLOOKUP([jobnumber],OvalData[],MATCH(Table2[[#Headers],[windlocks]],Table2[#Headers],0),0)</f>
        <v>0</v>
      </c>
      <c r="BW288" s="2" t="str">
        <f>VLOOKUP([jobnumber],OvalData[],MATCH(Table2[[#Headers],[bottombartype]],Table2[#Headers],0),0)</f>
        <v>SPECIAL</v>
      </c>
      <c r="BX288" s="2">
        <f>VLOOKUP([jobnumber],OvalData[],MATCH(Table2[[#Headers],[endlockweight]],Table2[#Headers],0),0)</f>
        <v>0.17</v>
      </c>
      <c r="BY288" s="2">
        <f>VLOOKUP([jobnumber],OvalData[],MATCH(Table2[[#Headers],[Endlock Total Weight]],Table2[#Headers],0),0)</f>
        <v>7.5972999999999997</v>
      </c>
      <c r="BZ288" s="2">
        <f>VLOOKUP([jobnumber],OvalData[],MATCH(Table2[[#Headers],[Grille Weight]],Table2[#Headers],0),0)</f>
        <v>0</v>
      </c>
      <c r="CA288" s="2">
        <f>VLOOKUP([jobnumber],OvalData[],MATCH(Table2[[#Headers],[barrelrings]],Table2[#Headers],0),0)</f>
        <v>1</v>
      </c>
    </row>
    <row r="289" spans="2:79">
      <c r="B289" s="2" t="str">
        <f>VLOOKUP([jobnumber],OvalData[],MATCH(Table2[[#Headers],[Hand]],Table2[#Headers],0),0)</f>
        <v>RH</v>
      </c>
      <c r="C289" s="2" t="str">
        <f>VLOOKUP([jobnumber],OvalData[],MATCH(Table2[[#Headers],[Model]],Table2[#Headers],0),0)</f>
        <v>SFMPP</v>
      </c>
      <c r="D289" s="2" t="str">
        <f>VLOOKUP([jobnumber],OvalData[],MATCH(Table2[[#Headers],[width]],Table2[#Headers],0),0)</f>
        <v xml:space="preserve"> 18 ft.- 2"</v>
      </c>
      <c r="E289" s="2" t="str">
        <f>VLOOKUP([jobnumber],OvalData[],MATCH(Table2[[#Headers],[stopheight]],Table2[#Headers],0),0)</f>
        <v xml:space="preserve"> 10 ft.- 0"</v>
      </c>
      <c r="F289" s="2" t="str">
        <f>VLOOKUP([jobnumber],OvalData[],MATCH(Table2[[#Headers],[Between Brackets]],Table2[#Headers],0),0)</f>
        <v xml:space="preserve"> 18 ft.- 7 7/ 8"</v>
      </c>
      <c r="G289" s="2" t="str">
        <f>VLOOKUP([jobnumber],OvalData[],MATCH(Table2[[#Headers],[shell]],Table2[#Headers],0),0)</f>
        <v>6 INCH TUBE</v>
      </c>
      <c r="H289" s="2" t="str">
        <f>VLOOKUP([jobnumber],OvalData[],MATCH(Table2[[#Headers],[pipewidth]],Table2[#Headers],0),0)</f>
        <v xml:space="preserve"> 18 ft.- 1 3/ 8"</v>
      </c>
      <c r="I289" s="2">
        <f>VLOOKUP([jobnumber],OvalData[],MATCH(Table2[[#Headers],[Support Tubes]],Table2[#Headers],0),0)</f>
        <v>0</v>
      </c>
      <c r="J289" s="2">
        <f>VLOOKUP([jobnumber],OvalData[],MATCH(Table2[[#Headers],[Upset]],Table2[#Headers],0),0)</f>
        <v>2</v>
      </c>
      <c r="K289" s="2" t="str">
        <f>VLOOKUP([jobnumber],OvalData[],MATCH(Table2[[#Headers],[Guide Type]],Table2[#Headers],0),0)</f>
        <v>SN2-4 5/8-E</v>
      </c>
      <c r="L289" s="2" t="str">
        <f>VLOOKUP([jobnumber],OvalData[],MATCH(Table2[[#Headers],[Wall Angle]],Table2[#Headers],0),0)</f>
        <v xml:space="preserve"> 11 ft.- 8"</v>
      </c>
      <c r="M289" s="2" t="str">
        <f>VLOOKUP([jobnumber],OvalData[],MATCH(Table2[[#Headers],[Middle Angle]],Table2[#Headers],0),0)</f>
        <v xml:space="preserve"> 10 ft.- 4 1/ 2"</v>
      </c>
      <c r="N289" s="2" t="str">
        <f>VLOOKUP([jobnumber],OvalData[],MATCH(Table2[[#Headers],[Front Angle]],Table2[#Headers],0),0)</f>
        <v xml:space="preserve"> 10 ft.- 3"</v>
      </c>
      <c r="O289" s="2">
        <f>VLOOKUP([jobnumber],OvalData[],MATCH(Table2[[#Headers],[Pipe Center Line]],Table2[#Headers],0),0)</f>
        <v>131</v>
      </c>
      <c r="P289" s="2">
        <f>VLOOKUP([jobnumber],OvalData[],MATCH(Table2[[#Headers],[Heat Expansion Gap]],Table2[#Headers],0),0)</f>
        <v>0</v>
      </c>
      <c r="Q289" s="2">
        <f>VLOOKUP([jobnumber],OvalData[],MATCH(Table2[[#Headers],[Hanging Weight Closed]],Table2[#Headers],0),0)</f>
        <v>795</v>
      </c>
      <c r="R289" s="2">
        <f>VLOOKUP([jobnumber],OvalData[],MATCH(Table2[[#Headers],[Hanging Weight Open]],Table2[#Headers],0),0)</f>
        <v>140</v>
      </c>
      <c r="S289" s="2">
        <f>VLOOKUP([jobnumber],OvalData[],MATCH(Table2[[#Headers],[Initial Lever Arm]],Table2[#Headers],0),0)</f>
        <v>4.25</v>
      </c>
      <c r="T289" s="2">
        <f>VLOOKUP([jobnumber],OvalData[],MATCH(Table2[[#Headers],[Turns to Raise]],Table2[#Headers],0),0)</f>
        <v>3.5859999999999999</v>
      </c>
      <c r="U289" s="2">
        <f>VLOOKUP([jobnumber],OvalData[],MATCH(Table2[[#Headers],[Final Lever Arm]],Table2[#Headers],0),0)</f>
        <v>6.37</v>
      </c>
      <c r="V289" s="2">
        <f>VLOOKUP([jobnumber],OvalData[],MATCH(Table2[[#Headers],[Torque Required Closed]],Table2[#Headers],0),0)</f>
        <v>3377.9</v>
      </c>
      <c r="W289" s="2">
        <f>VLOOKUP([jobnumber],OvalData[],MATCH(Table2[[#Headers],[Torque Required Open]],Table2[#Headers],0),0)</f>
        <v>892</v>
      </c>
      <c r="X289" s="2">
        <f>VLOOKUP([jobnumber],OvalData[],MATCH(Table2[[#Headers],[Pre Turns]],Table2[#Headers],0),0)</f>
        <v>1.3332999999999999</v>
      </c>
      <c r="Y289" s="2">
        <f>VLOOKUP([jobnumber],OvalData[],MATCH(Table2[[#Headers],[Required Torque Per Turn]],Table2[#Headers],0),0)</f>
        <v>688</v>
      </c>
      <c r="Z289" s="2">
        <f>VLOOKUP([jobnumber],OvalData[],MATCH(Table2[[#Headers],[Total Turns]],Table2[#Headers],0),0)</f>
        <v>4.91</v>
      </c>
      <c r="AA289" s="2">
        <f>VLOOKUP([jobnumber],OvalData[],MATCH(Table2[[#Headers],[Grille Vision Section]],Table2[#Headers],0),0)</f>
        <v>0</v>
      </c>
      <c r="AB289" s="2">
        <f>VLOOKUP([jobnumber],OvalData[],MATCH(Table2[[#Headers],[Grille Amount]],Table2[#Headers],0),0)</f>
        <v>0</v>
      </c>
      <c r="AC289" s="2">
        <f>VLOOKUP([jobnumber],OvalData[],MATCH(Table2[[#Headers],[Grille Center]],Table2[#Headers],0),0)</f>
        <v>0</v>
      </c>
      <c r="AD289" s="2">
        <f>VLOOKUP([jobnumber],OvalData[],MATCH(Table2[[#Headers],[Grille Pattern]],Table2[#Headers],0),0)</f>
        <v>0</v>
      </c>
      <c r="AE289" s="2">
        <f>VLOOKUP([jobnumber],OvalData[],MATCH(Table2[[#Headers],[Grille First Tube]],Table2[#Headers],0),0)</f>
        <v>0</v>
      </c>
      <c r="AF289" s="2">
        <f>VLOOKUP([jobnumber],OvalData[],MATCH(Table2[[#Headers],[Grille Standard Tube]],Table2[#Headers],0),0)</f>
        <v>0</v>
      </c>
      <c r="AG289" s="2">
        <f>VLOOKUP([jobnumber],OvalData[],MATCH(Table2[[#Headers],[Grille Total Links]],Table2[#Headers],0),0)</f>
        <v>0</v>
      </c>
      <c r="AH289" s="2">
        <f>VLOOKUP([jobnumber],OvalData[],MATCH(Table2[[#Headers],[Grille Rods]],Table2[#Headers],0),0)</f>
        <v>0</v>
      </c>
      <c r="AI289" s="2">
        <f>VLOOKUP([jobnumber],OvalData[],MATCH(Table2[[#Headers],[Grille Rod Length]],Table2[#Headers],0),0)</f>
        <v>0</v>
      </c>
      <c r="AJ289" s="2">
        <f>VLOOKUP([jobnumber],OvalData[],MATCH(Table2[[#Headers],[slattype]],Table2[#Headers],0),0)</f>
        <v>2</v>
      </c>
      <c r="AK289" s="2">
        <f>VLOOKUP([jobnumber],OvalData[],MATCH(Table2[[#Headers],[slatgage]],Table2[#Headers],0),0)</f>
        <v>18</v>
      </c>
      <c r="AL289" s="2">
        <f>VLOOKUP([jobnumber],OvalData[],MATCH(Table2[[#Headers],[Numer of Top Slats]],Table2[#Headers],0),0)</f>
        <v>0</v>
      </c>
      <c r="AM289" s="2">
        <f>VLOOKUP([jobnumber],OvalData[],MATCH(Table2[[#Headers],[Number of Bottom Slats]],Table2[#Headers],0),0)</f>
        <v>0</v>
      </c>
      <c r="AN289" s="2">
        <f>VLOOKUP([jobnumber],OvalData[],MATCH(Table2[[#Headers],[Solid Bottom Height]],Table2[#Headers],0),0)</f>
        <v>0</v>
      </c>
      <c r="AO289" s="2" t="str">
        <f>VLOOKUP([jobnumber],OvalData[],MATCH(Table2[[#Headers],[slatlength]],Table2[#Headers],0),0)</f>
        <v xml:space="preserve"> 18 ft.- 5 7/ 8"</v>
      </c>
      <c r="AP289" s="2">
        <f>VLOOKUP([jobnumber],OvalData[],MATCH(Table2[[#Headers],[Bottom Slat Length]],Table2[#Headers],0),0)</f>
        <v>0</v>
      </c>
      <c r="AQ289" s="2">
        <f>VLOOKUP([jobnumber],OvalData[],MATCH(Table2[[#Headers],[Number of Perferated Slats]],Table2[#Headers],0),0)</f>
        <v>0</v>
      </c>
      <c r="AR289" s="2">
        <f>VLOOKUP([jobnumber],OvalData[],MATCH(Table2[[#Headers],[First Preferated Slat From End]],Table2[#Headers],0),0)</f>
        <v>0</v>
      </c>
      <c r="AS289" s="2">
        <f>VLOOKUP([jobnumber],OvalData[],MATCH(Table2[[#Headers],[First Preferated Slat From Bottom]],Table2[#Headers],0),0)</f>
        <v>0</v>
      </c>
      <c r="AT289" s="2">
        <f>VLOOKUP([jobnumber],OvalData[],MATCH(Table2[[#Headers],[Total Number of Slats]],Table2[#Headers],0),0)</f>
        <v>51</v>
      </c>
      <c r="AU289" s="2">
        <f>VLOOKUP([jobnumber],OvalData[],MATCH(Table2[[#Headers],[Bottom Bar Slope]],Table2[#Headers],0),0)</f>
        <v>0</v>
      </c>
      <c r="AV289" s="2">
        <f>VLOOKUP([jobnumber],OvalData[],MATCH(Table2[[#Headers],[Bottom Bar Weight]],Table2[#Headers],0),0)</f>
        <v>80.5</v>
      </c>
      <c r="AW289" s="2" t="str">
        <f>VLOOKUP([jobnumber],OvalData[],MATCH(Table2[[#Headers],[Outer Spring Gage]],Table2[#Headers],0),0)</f>
        <v>Null</v>
      </c>
      <c r="AX289" s="2" t="str">
        <f>VLOOKUP([jobnumber],OvalData[],MATCH(Table2[[#Headers],[Outer Spring OD]],Table2[#Headers],0),0)</f>
        <v>Null</v>
      </c>
      <c r="AY289" s="2" t="str">
        <f>VLOOKUP([jobnumber],OvalData[],MATCH(Table2[[#Headers],[Outer Spring Length]],Table2[#Headers],0),0)</f>
        <v>Null</v>
      </c>
      <c r="AZ289" s="2" t="str">
        <f>VLOOKUP([jobnumber],OvalData[],MATCH(Table2[[#Headers],[Outer Spring Stretch]],Table2[#Headers],0),0)</f>
        <v>Null</v>
      </c>
      <c r="BA289" s="2" t="str">
        <f>VLOOKUP([jobnumber],OvalData[],MATCH(Table2[[#Headers],[Outer Spring Torque]],Table2[#Headers],0),0)</f>
        <v>Null</v>
      </c>
      <c r="BB289" s="2" t="str">
        <f>VLOOKUP([jobnumber],OvalData[],MATCH(Table2[[#Headers],[Outer Spring Max Turns]],Table2[#Headers],0),0)</f>
        <v>Null</v>
      </c>
      <c r="BC289" s="2" t="str">
        <f>VLOOKUP([jobnumber],OvalData[],MATCH(Table2[[#Headers],[Outer Spring Weight]],Table2[#Headers],0),0)</f>
        <v>Null</v>
      </c>
      <c r="BD289" s="2" t="str">
        <f>VLOOKUP([jobnumber],OvalData[],MATCH(Table2[[#Headers],[Inner Spring Gage]],Table2[#Headers],0),0)</f>
        <v>Null</v>
      </c>
      <c r="BE289" s="2" t="str">
        <f>VLOOKUP([jobnumber],OvalData[],MATCH(Table2[[#Headers],[Inner Spring OD]],Table2[#Headers],0),0)</f>
        <v>Null</v>
      </c>
      <c r="BF289" s="2" t="str">
        <f>VLOOKUP([jobnumber],OvalData[],MATCH(Table2[[#Headers],[Inner Spring Length]],Table2[#Headers],0),0)</f>
        <v>Null</v>
      </c>
      <c r="BG289" s="2" t="str">
        <f>VLOOKUP([jobnumber],OvalData[],MATCH(Table2[[#Headers],[Inner Spring Stretch]],Table2[#Headers],0),0)</f>
        <v>Null</v>
      </c>
      <c r="BH289" s="2" t="str">
        <f>VLOOKUP([jobnumber],OvalData[],MATCH(Table2[[#Headers],[Inner Spring Torque]],Table2[#Headers],0),0)</f>
        <v>Null</v>
      </c>
      <c r="BI289" s="2" t="str">
        <f>VLOOKUP([jobnumber],OvalData[],MATCH(Table2[[#Headers],[Inner Spring Max Turns]],Table2[#Headers],0),0)</f>
        <v>Null</v>
      </c>
      <c r="BJ289" s="2" t="str">
        <f>VLOOKUP([jobnumber],OvalData[],MATCH(Table2[[#Headers],[Inner Spring Weight]],Table2[#Headers],0),0)</f>
        <v>Null</v>
      </c>
      <c r="BK289" s="2">
        <f>VLOOKUP([jobnumber],OvalData[],MATCH(Table2[[#Headers],[Cycles]],Table2[#Headers],0),0)</f>
        <v>0</v>
      </c>
      <c r="BL289" s="2">
        <f>VLOOKUP([jobnumber],OvalData[],MATCH(Table2[[#Headers],[Total Spring Torque]],Table2[#Headers],0),0)</f>
        <v>0</v>
      </c>
      <c r="BM289" s="2">
        <f>VLOOKUP([jobnumber],OvalData[],MATCH(Table2[[#Headers],[Total Spring Weight]],Table2[#Headers],0),0)</f>
        <v>0</v>
      </c>
      <c r="BN289" s="2">
        <f>VLOOKUP([jobnumber],OvalData[],MATCH(Table2[[#Headers],[Pipe Weight]],Table2[#Headers],0),0)</f>
        <v>688.24239999999998</v>
      </c>
      <c r="BO289" s="2">
        <f>VLOOKUP([jobnumber],OvalData[],MATCH(Table2[[#Headers],[Max Pipe Deflection]],Table2[#Headers],0),0)</f>
        <v>2309</v>
      </c>
      <c r="BP289" s="2">
        <f>VLOOKUP([jobnumber],OvalData[],MATCH(Table2[[#Headers],[Number Non-Insulated Wrap Slats]],Table2[#Headers],0),0)</f>
        <v>0</v>
      </c>
      <c r="BQ289" s="2">
        <f>VLOOKUP([jobnumber],OvalData[],MATCH(Table2[[#Headers],[Number of Insolated Top Slats]],Table2[#Headers],0),0)</f>
        <v>45</v>
      </c>
      <c r="BR289" s="2">
        <f>VLOOKUP([jobnumber],OvalData[],MATCH(Table2[[#Headers],[Insolated Total Slats]],Table2[#Headers],0),0)</f>
        <v>45</v>
      </c>
      <c r="BS289" s="2">
        <f>VLOOKUP([jobnumber],OvalData[],MATCH(Table2[[#Headers],[Number of Slats]],Table2[#Headers],0),0)</f>
        <v>44.69</v>
      </c>
      <c r="BT289" s="2">
        <f>VLOOKUP([jobnumber],OvalData[],MATCH(Table2[[#Headers],[Wrap]],Table2[#Headers],0),0)</f>
        <v>0</v>
      </c>
      <c r="BU289" s="2">
        <f>VLOOKUP([jobnumber],OvalData[],MATCH(Table2[[#Headers],[Wall Angle Thickness]],Table2[#Headers],0),0)</f>
        <v>0</v>
      </c>
      <c r="BV289" s="2">
        <f>VLOOKUP([jobnumber],OvalData[],MATCH(Table2[[#Headers],[windlocks]],Table2[#Headers],0),0)</f>
        <v>0</v>
      </c>
      <c r="BW289" s="2" t="str">
        <f>VLOOKUP([jobnumber],OvalData[],MATCH(Table2[[#Headers],[bottombartype]],Table2[#Headers],0),0)</f>
        <v>SPECIAL</v>
      </c>
      <c r="BX289" s="2">
        <f>VLOOKUP([jobnumber],OvalData[],MATCH(Table2[[#Headers],[endlockweight]],Table2[#Headers],0),0)</f>
        <v>0.17</v>
      </c>
      <c r="BY289" s="2">
        <f>VLOOKUP([jobnumber],OvalData[],MATCH(Table2[[#Headers],[Endlock Total Weight]],Table2[#Headers],0),0)</f>
        <v>7.5972999999999997</v>
      </c>
      <c r="BZ289" s="2">
        <f>VLOOKUP([jobnumber],OvalData[],MATCH(Table2[[#Headers],[Grille Weight]],Table2[#Headers],0),0)</f>
        <v>0</v>
      </c>
      <c r="CA289" s="2">
        <f>VLOOKUP([jobnumber],OvalData[],MATCH(Table2[[#Headers],[barrelrings]],Table2[#Headers],0),0)</f>
        <v>1</v>
      </c>
    </row>
    <row r="290" spans="2:79">
      <c r="B290" s="2" t="str">
        <f>VLOOKUP([jobnumber],OvalData[],MATCH(Table2[[#Headers],[Hand]],Table2[#Headers],0),0)</f>
        <v>RH</v>
      </c>
      <c r="C290" s="2" t="str">
        <f>VLOOKUP([jobnumber],OvalData[],MATCH(Table2[[#Headers],[Model]],Table2[#Headers],0),0)</f>
        <v>SFMPP</v>
      </c>
      <c r="D290" s="2" t="str">
        <f>VLOOKUP([jobnumber],OvalData[],MATCH(Table2[[#Headers],[width]],Table2[#Headers],0),0)</f>
        <v xml:space="preserve"> 18 ft.- 2"</v>
      </c>
      <c r="E290" s="2" t="str">
        <f>VLOOKUP([jobnumber],OvalData[],MATCH(Table2[[#Headers],[stopheight]],Table2[#Headers],0),0)</f>
        <v xml:space="preserve"> 10 ft.- 0"</v>
      </c>
      <c r="F290" s="2" t="str">
        <f>VLOOKUP([jobnumber],OvalData[],MATCH(Table2[[#Headers],[Between Brackets]],Table2[#Headers],0),0)</f>
        <v xml:space="preserve"> 18 ft.- 7 7/ 8"</v>
      </c>
      <c r="G290" s="2" t="str">
        <f>VLOOKUP([jobnumber],OvalData[],MATCH(Table2[[#Headers],[shell]],Table2[#Headers],0),0)</f>
        <v>6 INCH TUBE</v>
      </c>
      <c r="H290" s="2" t="str">
        <f>VLOOKUP([jobnumber],OvalData[],MATCH(Table2[[#Headers],[pipewidth]],Table2[#Headers],0),0)</f>
        <v xml:space="preserve"> 18 ft.- 1 3/ 8"</v>
      </c>
      <c r="I290" s="2">
        <f>VLOOKUP([jobnumber],OvalData[],MATCH(Table2[[#Headers],[Support Tubes]],Table2[#Headers],0),0)</f>
        <v>0</v>
      </c>
      <c r="J290" s="2">
        <f>VLOOKUP([jobnumber],OvalData[],MATCH(Table2[[#Headers],[Upset]],Table2[#Headers],0),0)</f>
        <v>2</v>
      </c>
      <c r="K290" s="2" t="str">
        <f>VLOOKUP([jobnumber],OvalData[],MATCH(Table2[[#Headers],[Guide Type]],Table2[#Headers],0),0)</f>
        <v>SN2-4 5/8-E</v>
      </c>
      <c r="L290" s="2" t="str">
        <f>VLOOKUP([jobnumber],OvalData[],MATCH(Table2[[#Headers],[Wall Angle]],Table2[#Headers],0),0)</f>
        <v xml:space="preserve"> 11 ft.- 8"</v>
      </c>
      <c r="M290" s="2" t="str">
        <f>VLOOKUP([jobnumber],OvalData[],MATCH(Table2[[#Headers],[Middle Angle]],Table2[#Headers],0),0)</f>
        <v xml:space="preserve"> 10 ft.- 4 1/ 2"</v>
      </c>
      <c r="N290" s="2" t="str">
        <f>VLOOKUP([jobnumber],OvalData[],MATCH(Table2[[#Headers],[Front Angle]],Table2[#Headers],0),0)</f>
        <v xml:space="preserve"> 10 ft.- 3"</v>
      </c>
      <c r="O290" s="2">
        <f>VLOOKUP([jobnumber],OvalData[],MATCH(Table2[[#Headers],[Pipe Center Line]],Table2[#Headers],0),0)</f>
        <v>131</v>
      </c>
      <c r="P290" s="2">
        <f>VLOOKUP([jobnumber],OvalData[],MATCH(Table2[[#Headers],[Heat Expansion Gap]],Table2[#Headers],0),0)</f>
        <v>0</v>
      </c>
      <c r="Q290" s="2">
        <f>VLOOKUP([jobnumber],OvalData[],MATCH(Table2[[#Headers],[Hanging Weight Closed]],Table2[#Headers],0),0)</f>
        <v>795</v>
      </c>
      <c r="R290" s="2">
        <f>VLOOKUP([jobnumber],OvalData[],MATCH(Table2[[#Headers],[Hanging Weight Open]],Table2[#Headers],0),0)</f>
        <v>140</v>
      </c>
      <c r="S290" s="2">
        <f>VLOOKUP([jobnumber],OvalData[],MATCH(Table2[[#Headers],[Initial Lever Arm]],Table2[#Headers],0),0)</f>
        <v>4.25</v>
      </c>
      <c r="T290" s="2">
        <f>VLOOKUP([jobnumber],OvalData[],MATCH(Table2[[#Headers],[Turns to Raise]],Table2[#Headers],0),0)</f>
        <v>3.5859999999999999</v>
      </c>
      <c r="U290" s="2">
        <f>VLOOKUP([jobnumber],OvalData[],MATCH(Table2[[#Headers],[Final Lever Arm]],Table2[#Headers],0),0)</f>
        <v>6.37</v>
      </c>
      <c r="V290" s="2">
        <f>VLOOKUP([jobnumber],OvalData[],MATCH(Table2[[#Headers],[Torque Required Closed]],Table2[#Headers],0),0)</f>
        <v>3377.9</v>
      </c>
      <c r="W290" s="2">
        <f>VLOOKUP([jobnumber],OvalData[],MATCH(Table2[[#Headers],[Torque Required Open]],Table2[#Headers],0),0)</f>
        <v>892</v>
      </c>
      <c r="X290" s="2">
        <f>VLOOKUP([jobnumber],OvalData[],MATCH(Table2[[#Headers],[Pre Turns]],Table2[#Headers],0),0)</f>
        <v>1.3332999999999999</v>
      </c>
      <c r="Y290" s="2">
        <f>VLOOKUP([jobnumber],OvalData[],MATCH(Table2[[#Headers],[Required Torque Per Turn]],Table2[#Headers],0),0)</f>
        <v>688</v>
      </c>
      <c r="Z290" s="2">
        <f>VLOOKUP([jobnumber],OvalData[],MATCH(Table2[[#Headers],[Total Turns]],Table2[#Headers],0),0)</f>
        <v>4.91</v>
      </c>
      <c r="AA290" s="2">
        <f>VLOOKUP([jobnumber],OvalData[],MATCH(Table2[[#Headers],[Grille Vision Section]],Table2[#Headers],0),0)</f>
        <v>0</v>
      </c>
      <c r="AB290" s="2">
        <f>VLOOKUP([jobnumber],OvalData[],MATCH(Table2[[#Headers],[Grille Amount]],Table2[#Headers],0),0)</f>
        <v>0</v>
      </c>
      <c r="AC290" s="2">
        <f>VLOOKUP([jobnumber],OvalData[],MATCH(Table2[[#Headers],[Grille Center]],Table2[#Headers],0),0)</f>
        <v>0</v>
      </c>
      <c r="AD290" s="2">
        <f>VLOOKUP([jobnumber],OvalData[],MATCH(Table2[[#Headers],[Grille Pattern]],Table2[#Headers],0),0)</f>
        <v>0</v>
      </c>
      <c r="AE290" s="2">
        <f>VLOOKUP([jobnumber],OvalData[],MATCH(Table2[[#Headers],[Grille First Tube]],Table2[#Headers],0),0)</f>
        <v>0</v>
      </c>
      <c r="AF290" s="2">
        <f>VLOOKUP([jobnumber],OvalData[],MATCH(Table2[[#Headers],[Grille Standard Tube]],Table2[#Headers],0),0)</f>
        <v>0</v>
      </c>
      <c r="AG290" s="2">
        <f>VLOOKUP([jobnumber],OvalData[],MATCH(Table2[[#Headers],[Grille Total Links]],Table2[#Headers],0),0)</f>
        <v>0</v>
      </c>
      <c r="AH290" s="2">
        <f>VLOOKUP([jobnumber],OvalData[],MATCH(Table2[[#Headers],[Grille Rods]],Table2[#Headers],0),0)</f>
        <v>0</v>
      </c>
      <c r="AI290" s="2">
        <f>VLOOKUP([jobnumber],OvalData[],MATCH(Table2[[#Headers],[Grille Rod Length]],Table2[#Headers],0),0)</f>
        <v>0</v>
      </c>
      <c r="AJ290" s="2">
        <f>VLOOKUP([jobnumber],OvalData[],MATCH(Table2[[#Headers],[slattype]],Table2[#Headers],0),0)</f>
        <v>2</v>
      </c>
      <c r="AK290" s="2">
        <f>VLOOKUP([jobnumber],OvalData[],MATCH(Table2[[#Headers],[slatgage]],Table2[#Headers],0),0)</f>
        <v>18</v>
      </c>
      <c r="AL290" s="2">
        <f>VLOOKUP([jobnumber],OvalData[],MATCH(Table2[[#Headers],[Numer of Top Slats]],Table2[#Headers],0),0)</f>
        <v>0</v>
      </c>
      <c r="AM290" s="2">
        <f>VLOOKUP([jobnumber],OvalData[],MATCH(Table2[[#Headers],[Number of Bottom Slats]],Table2[#Headers],0),0)</f>
        <v>0</v>
      </c>
      <c r="AN290" s="2">
        <f>VLOOKUP([jobnumber],OvalData[],MATCH(Table2[[#Headers],[Solid Bottom Height]],Table2[#Headers],0),0)</f>
        <v>0</v>
      </c>
      <c r="AO290" s="2" t="str">
        <f>VLOOKUP([jobnumber],OvalData[],MATCH(Table2[[#Headers],[slatlength]],Table2[#Headers],0),0)</f>
        <v xml:space="preserve"> 18 ft.- 5 7/ 8"</v>
      </c>
      <c r="AP290" s="2">
        <f>VLOOKUP([jobnumber],OvalData[],MATCH(Table2[[#Headers],[Bottom Slat Length]],Table2[#Headers],0),0)</f>
        <v>0</v>
      </c>
      <c r="AQ290" s="2">
        <f>VLOOKUP([jobnumber],OvalData[],MATCH(Table2[[#Headers],[Number of Perferated Slats]],Table2[#Headers],0),0)</f>
        <v>0</v>
      </c>
      <c r="AR290" s="2">
        <f>VLOOKUP([jobnumber],OvalData[],MATCH(Table2[[#Headers],[First Preferated Slat From End]],Table2[#Headers],0),0)</f>
        <v>0</v>
      </c>
      <c r="AS290" s="2">
        <f>VLOOKUP([jobnumber],OvalData[],MATCH(Table2[[#Headers],[First Preferated Slat From Bottom]],Table2[#Headers],0),0)</f>
        <v>0</v>
      </c>
      <c r="AT290" s="2">
        <f>VLOOKUP([jobnumber],OvalData[],MATCH(Table2[[#Headers],[Total Number of Slats]],Table2[#Headers],0),0)</f>
        <v>51</v>
      </c>
      <c r="AU290" s="2">
        <f>VLOOKUP([jobnumber],OvalData[],MATCH(Table2[[#Headers],[Bottom Bar Slope]],Table2[#Headers],0),0)</f>
        <v>0</v>
      </c>
      <c r="AV290" s="2">
        <f>VLOOKUP([jobnumber],OvalData[],MATCH(Table2[[#Headers],[Bottom Bar Weight]],Table2[#Headers],0),0)</f>
        <v>80.5</v>
      </c>
      <c r="AW290" s="2" t="str">
        <f>VLOOKUP([jobnumber],OvalData[],MATCH(Table2[[#Headers],[Outer Spring Gage]],Table2[#Headers],0),0)</f>
        <v>Null</v>
      </c>
      <c r="AX290" s="2" t="str">
        <f>VLOOKUP([jobnumber],OvalData[],MATCH(Table2[[#Headers],[Outer Spring OD]],Table2[#Headers],0),0)</f>
        <v>Null</v>
      </c>
      <c r="AY290" s="2" t="str">
        <f>VLOOKUP([jobnumber],OvalData[],MATCH(Table2[[#Headers],[Outer Spring Length]],Table2[#Headers],0),0)</f>
        <v>Null</v>
      </c>
      <c r="AZ290" s="2" t="str">
        <f>VLOOKUP([jobnumber],OvalData[],MATCH(Table2[[#Headers],[Outer Spring Stretch]],Table2[#Headers],0),0)</f>
        <v>Null</v>
      </c>
      <c r="BA290" s="2" t="str">
        <f>VLOOKUP([jobnumber],OvalData[],MATCH(Table2[[#Headers],[Outer Spring Torque]],Table2[#Headers],0),0)</f>
        <v>Null</v>
      </c>
      <c r="BB290" s="2" t="str">
        <f>VLOOKUP([jobnumber],OvalData[],MATCH(Table2[[#Headers],[Outer Spring Max Turns]],Table2[#Headers],0),0)</f>
        <v>Null</v>
      </c>
      <c r="BC290" s="2" t="str">
        <f>VLOOKUP([jobnumber],OvalData[],MATCH(Table2[[#Headers],[Outer Spring Weight]],Table2[#Headers],0),0)</f>
        <v>Null</v>
      </c>
      <c r="BD290" s="2" t="str">
        <f>VLOOKUP([jobnumber],OvalData[],MATCH(Table2[[#Headers],[Inner Spring Gage]],Table2[#Headers],0),0)</f>
        <v>Null</v>
      </c>
      <c r="BE290" s="2" t="str">
        <f>VLOOKUP([jobnumber],OvalData[],MATCH(Table2[[#Headers],[Inner Spring OD]],Table2[#Headers],0),0)</f>
        <v>Null</v>
      </c>
      <c r="BF290" s="2" t="str">
        <f>VLOOKUP([jobnumber],OvalData[],MATCH(Table2[[#Headers],[Inner Spring Length]],Table2[#Headers],0),0)</f>
        <v>Null</v>
      </c>
      <c r="BG290" s="2" t="str">
        <f>VLOOKUP([jobnumber],OvalData[],MATCH(Table2[[#Headers],[Inner Spring Stretch]],Table2[#Headers],0),0)</f>
        <v>Null</v>
      </c>
      <c r="BH290" s="2" t="str">
        <f>VLOOKUP([jobnumber],OvalData[],MATCH(Table2[[#Headers],[Inner Spring Torque]],Table2[#Headers],0),0)</f>
        <v>Null</v>
      </c>
      <c r="BI290" s="2" t="str">
        <f>VLOOKUP([jobnumber],OvalData[],MATCH(Table2[[#Headers],[Inner Spring Max Turns]],Table2[#Headers],0),0)</f>
        <v>Null</v>
      </c>
      <c r="BJ290" s="2" t="str">
        <f>VLOOKUP([jobnumber],OvalData[],MATCH(Table2[[#Headers],[Inner Spring Weight]],Table2[#Headers],0),0)</f>
        <v>Null</v>
      </c>
      <c r="BK290" s="2">
        <f>VLOOKUP([jobnumber],OvalData[],MATCH(Table2[[#Headers],[Cycles]],Table2[#Headers],0),0)</f>
        <v>0</v>
      </c>
      <c r="BL290" s="2">
        <f>VLOOKUP([jobnumber],OvalData[],MATCH(Table2[[#Headers],[Total Spring Torque]],Table2[#Headers],0),0)</f>
        <v>0</v>
      </c>
      <c r="BM290" s="2">
        <f>VLOOKUP([jobnumber],OvalData[],MATCH(Table2[[#Headers],[Total Spring Weight]],Table2[#Headers],0),0)</f>
        <v>0</v>
      </c>
      <c r="BN290" s="2">
        <f>VLOOKUP([jobnumber],OvalData[],MATCH(Table2[[#Headers],[Pipe Weight]],Table2[#Headers],0),0)</f>
        <v>688.24239999999998</v>
      </c>
      <c r="BO290" s="2">
        <f>VLOOKUP([jobnumber],OvalData[],MATCH(Table2[[#Headers],[Max Pipe Deflection]],Table2[#Headers],0),0)</f>
        <v>2309</v>
      </c>
      <c r="BP290" s="2">
        <f>VLOOKUP([jobnumber],OvalData[],MATCH(Table2[[#Headers],[Number Non-Insulated Wrap Slats]],Table2[#Headers],0),0)</f>
        <v>0</v>
      </c>
      <c r="BQ290" s="2">
        <f>VLOOKUP([jobnumber],OvalData[],MATCH(Table2[[#Headers],[Number of Insolated Top Slats]],Table2[#Headers],0),0)</f>
        <v>45</v>
      </c>
      <c r="BR290" s="2">
        <f>VLOOKUP([jobnumber],OvalData[],MATCH(Table2[[#Headers],[Insolated Total Slats]],Table2[#Headers],0),0)</f>
        <v>45</v>
      </c>
      <c r="BS290" s="2">
        <f>VLOOKUP([jobnumber],OvalData[],MATCH(Table2[[#Headers],[Number of Slats]],Table2[#Headers],0),0)</f>
        <v>44.69</v>
      </c>
      <c r="BT290" s="2">
        <f>VLOOKUP([jobnumber],OvalData[],MATCH(Table2[[#Headers],[Wrap]],Table2[#Headers],0),0)</f>
        <v>0</v>
      </c>
      <c r="BU290" s="2">
        <f>VLOOKUP([jobnumber],OvalData[],MATCH(Table2[[#Headers],[Wall Angle Thickness]],Table2[#Headers],0),0)</f>
        <v>0</v>
      </c>
      <c r="BV290" s="2">
        <f>VLOOKUP([jobnumber],OvalData[],MATCH(Table2[[#Headers],[windlocks]],Table2[#Headers],0),0)</f>
        <v>0</v>
      </c>
      <c r="BW290" s="2" t="str">
        <f>VLOOKUP([jobnumber],OvalData[],MATCH(Table2[[#Headers],[bottombartype]],Table2[#Headers],0),0)</f>
        <v>SPECIAL</v>
      </c>
      <c r="BX290" s="2">
        <f>VLOOKUP([jobnumber],OvalData[],MATCH(Table2[[#Headers],[endlockweight]],Table2[#Headers],0),0)</f>
        <v>0.17</v>
      </c>
      <c r="BY290" s="2">
        <f>VLOOKUP([jobnumber],OvalData[],MATCH(Table2[[#Headers],[Endlock Total Weight]],Table2[#Headers],0),0)</f>
        <v>7.5972999999999997</v>
      </c>
      <c r="BZ290" s="2">
        <f>VLOOKUP([jobnumber],OvalData[],MATCH(Table2[[#Headers],[Grille Weight]],Table2[#Headers],0),0)</f>
        <v>0</v>
      </c>
      <c r="CA290" s="2">
        <f>VLOOKUP([jobnumber],OvalData[],MATCH(Table2[[#Headers],[barrelrings]],Table2[#Headers],0),0)</f>
        <v>1</v>
      </c>
    </row>
    <row r="291" spans="2:79">
      <c r="B291" s="2" t="str">
        <f>VLOOKUP([jobnumber],OvalData[],MATCH(Table2[[#Headers],[Hand]],Table2[#Headers],0),0)</f>
        <v>RH</v>
      </c>
      <c r="C291" s="2" t="str">
        <f>VLOOKUP([jobnumber],OvalData[],MATCH(Table2[[#Headers],[Model]],Table2[#Headers],0),0)</f>
        <v>SFMPP</v>
      </c>
      <c r="D291" s="2" t="str">
        <f>VLOOKUP([jobnumber],OvalData[],MATCH(Table2[[#Headers],[width]],Table2[#Headers],0),0)</f>
        <v xml:space="preserve"> 18 ft.- 2"</v>
      </c>
      <c r="E291" s="2" t="str">
        <f>VLOOKUP([jobnumber],OvalData[],MATCH(Table2[[#Headers],[stopheight]],Table2[#Headers],0),0)</f>
        <v xml:space="preserve"> 10 ft.- 0"</v>
      </c>
      <c r="F291" s="2" t="str">
        <f>VLOOKUP([jobnumber],OvalData[],MATCH(Table2[[#Headers],[Between Brackets]],Table2[#Headers],0),0)</f>
        <v xml:space="preserve"> 18 ft.- 7 7/ 8"</v>
      </c>
      <c r="G291" s="2" t="str">
        <f>VLOOKUP([jobnumber],OvalData[],MATCH(Table2[[#Headers],[shell]],Table2[#Headers],0),0)</f>
        <v>6 INCH TUBE</v>
      </c>
      <c r="H291" s="2" t="str">
        <f>VLOOKUP([jobnumber],OvalData[],MATCH(Table2[[#Headers],[pipewidth]],Table2[#Headers],0),0)</f>
        <v xml:space="preserve"> 18 ft.- 1 3/ 8"</v>
      </c>
      <c r="I291" s="2">
        <f>VLOOKUP([jobnumber],OvalData[],MATCH(Table2[[#Headers],[Support Tubes]],Table2[#Headers],0),0)</f>
        <v>0</v>
      </c>
      <c r="J291" s="2">
        <f>VLOOKUP([jobnumber],OvalData[],MATCH(Table2[[#Headers],[Upset]],Table2[#Headers],0),0)</f>
        <v>2</v>
      </c>
      <c r="K291" s="2" t="str">
        <f>VLOOKUP([jobnumber],OvalData[],MATCH(Table2[[#Headers],[Guide Type]],Table2[#Headers],0),0)</f>
        <v>SN2-4 5/8-E</v>
      </c>
      <c r="L291" s="2" t="str">
        <f>VLOOKUP([jobnumber],OvalData[],MATCH(Table2[[#Headers],[Wall Angle]],Table2[#Headers],0),0)</f>
        <v xml:space="preserve"> 11 ft.- 8"</v>
      </c>
      <c r="M291" s="2" t="str">
        <f>VLOOKUP([jobnumber],OvalData[],MATCH(Table2[[#Headers],[Middle Angle]],Table2[#Headers],0),0)</f>
        <v xml:space="preserve"> 10 ft.- 4 1/ 2"</v>
      </c>
      <c r="N291" s="2" t="str">
        <f>VLOOKUP([jobnumber],OvalData[],MATCH(Table2[[#Headers],[Front Angle]],Table2[#Headers],0),0)</f>
        <v xml:space="preserve"> 10 ft.- 3"</v>
      </c>
      <c r="O291" s="2">
        <f>VLOOKUP([jobnumber],OvalData[],MATCH(Table2[[#Headers],[Pipe Center Line]],Table2[#Headers],0),0)</f>
        <v>131</v>
      </c>
      <c r="P291" s="2">
        <f>VLOOKUP([jobnumber],OvalData[],MATCH(Table2[[#Headers],[Heat Expansion Gap]],Table2[#Headers],0),0)</f>
        <v>0</v>
      </c>
      <c r="Q291" s="2">
        <f>VLOOKUP([jobnumber],OvalData[],MATCH(Table2[[#Headers],[Hanging Weight Closed]],Table2[#Headers],0),0)</f>
        <v>795</v>
      </c>
      <c r="R291" s="2">
        <f>VLOOKUP([jobnumber],OvalData[],MATCH(Table2[[#Headers],[Hanging Weight Open]],Table2[#Headers],0),0)</f>
        <v>140</v>
      </c>
      <c r="S291" s="2">
        <f>VLOOKUP([jobnumber],OvalData[],MATCH(Table2[[#Headers],[Initial Lever Arm]],Table2[#Headers],0),0)</f>
        <v>4.25</v>
      </c>
      <c r="T291" s="2">
        <f>VLOOKUP([jobnumber],OvalData[],MATCH(Table2[[#Headers],[Turns to Raise]],Table2[#Headers],0),0)</f>
        <v>3.5859999999999999</v>
      </c>
      <c r="U291" s="2">
        <f>VLOOKUP([jobnumber],OvalData[],MATCH(Table2[[#Headers],[Final Lever Arm]],Table2[#Headers],0),0)</f>
        <v>6.37</v>
      </c>
      <c r="V291" s="2">
        <f>VLOOKUP([jobnumber],OvalData[],MATCH(Table2[[#Headers],[Torque Required Closed]],Table2[#Headers],0),0)</f>
        <v>3377.9</v>
      </c>
      <c r="W291" s="2">
        <f>VLOOKUP([jobnumber],OvalData[],MATCH(Table2[[#Headers],[Torque Required Open]],Table2[#Headers],0),0)</f>
        <v>892</v>
      </c>
      <c r="X291" s="2">
        <f>VLOOKUP([jobnumber],OvalData[],MATCH(Table2[[#Headers],[Pre Turns]],Table2[#Headers],0),0)</f>
        <v>1.3332999999999999</v>
      </c>
      <c r="Y291" s="2">
        <f>VLOOKUP([jobnumber],OvalData[],MATCH(Table2[[#Headers],[Required Torque Per Turn]],Table2[#Headers],0),0)</f>
        <v>688</v>
      </c>
      <c r="Z291" s="2">
        <f>VLOOKUP([jobnumber],OvalData[],MATCH(Table2[[#Headers],[Total Turns]],Table2[#Headers],0),0)</f>
        <v>4.91</v>
      </c>
      <c r="AA291" s="2">
        <f>VLOOKUP([jobnumber],OvalData[],MATCH(Table2[[#Headers],[Grille Vision Section]],Table2[#Headers],0),0)</f>
        <v>0</v>
      </c>
      <c r="AB291" s="2">
        <f>VLOOKUP([jobnumber],OvalData[],MATCH(Table2[[#Headers],[Grille Amount]],Table2[#Headers],0),0)</f>
        <v>0</v>
      </c>
      <c r="AC291" s="2">
        <f>VLOOKUP([jobnumber],OvalData[],MATCH(Table2[[#Headers],[Grille Center]],Table2[#Headers],0),0)</f>
        <v>0</v>
      </c>
      <c r="AD291" s="2">
        <f>VLOOKUP([jobnumber],OvalData[],MATCH(Table2[[#Headers],[Grille Pattern]],Table2[#Headers],0),0)</f>
        <v>0</v>
      </c>
      <c r="AE291" s="2">
        <f>VLOOKUP([jobnumber],OvalData[],MATCH(Table2[[#Headers],[Grille First Tube]],Table2[#Headers],0),0)</f>
        <v>0</v>
      </c>
      <c r="AF291" s="2">
        <f>VLOOKUP([jobnumber],OvalData[],MATCH(Table2[[#Headers],[Grille Standard Tube]],Table2[#Headers],0),0)</f>
        <v>0</v>
      </c>
      <c r="AG291" s="2">
        <f>VLOOKUP([jobnumber],OvalData[],MATCH(Table2[[#Headers],[Grille Total Links]],Table2[#Headers],0),0)</f>
        <v>0</v>
      </c>
      <c r="AH291" s="2">
        <f>VLOOKUP([jobnumber],OvalData[],MATCH(Table2[[#Headers],[Grille Rods]],Table2[#Headers],0),0)</f>
        <v>0</v>
      </c>
      <c r="AI291" s="2">
        <f>VLOOKUP([jobnumber],OvalData[],MATCH(Table2[[#Headers],[Grille Rod Length]],Table2[#Headers],0),0)</f>
        <v>0</v>
      </c>
      <c r="AJ291" s="2">
        <f>VLOOKUP([jobnumber],OvalData[],MATCH(Table2[[#Headers],[slattype]],Table2[#Headers],0),0)</f>
        <v>2</v>
      </c>
      <c r="AK291" s="2">
        <f>VLOOKUP([jobnumber],OvalData[],MATCH(Table2[[#Headers],[slatgage]],Table2[#Headers],0),0)</f>
        <v>18</v>
      </c>
      <c r="AL291" s="2">
        <f>VLOOKUP([jobnumber],OvalData[],MATCH(Table2[[#Headers],[Numer of Top Slats]],Table2[#Headers],0),0)</f>
        <v>0</v>
      </c>
      <c r="AM291" s="2">
        <f>VLOOKUP([jobnumber],OvalData[],MATCH(Table2[[#Headers],[Number of Bottom Slats]],Table2[#Headers],0),0)</f>
        <v>0</v>
      </c>
      <c r="AN291" s="2">
        <f>VLOOKUP([jobnumber],OvalData[],MATCH(Table2[[#Headers],[Solid Bottom Height]],Table2[#Headers],0),0)</f>
        <v>0</v>
      </c>
      <c r="AO291" s="2" t="str">
        <f>VLOOKUP([jobnumber],OvalData[],MATCH(Table2[[#Headers],[slatlength]],Table2[#Headers],0),0)</f>
        <v xml:space="preserve"> 18 ft.- 5 7/ 8"</v>
      </c>
      <c r="AP291" s="2">
        <f>VLOOKUP([jobnumber],OvalData[],MATCH(Table2[[#Headers],[Bottom Slat Length]],Table2[#Headers],0),0)</f>
        <v>0</v>
      </c>
      <c r="AQ291" s="2">
        <f>VLOOKUP([jobnumber],OvalData[],MATCH(Table2[[#Headers],[Number of Perferated Slats]],Table2[#Headers],0),0)</f>
        <v>0</v>
      </c>
      <c r="AR291" s="2">
        <f>VLOOKUP([jobnumber],OvalData[],MATCH(Table2[[#Headers],[First Preferated Slat From End]],Table2[#Headers],0),0)</f>
        <v>0</v>
      </c>
      <c r="AS291" s="2">
        <f>VLOOKUP([jobnumber],OvalData[],MATCH(Table2[[#Headers],[First Preferated Slat From Bottom]],Table2[#Headers],0),0)</f>
        <v>0</v>
      </c>
      <c r="AT291" s="2">
        <f>VLOOKUP([jobnumber],OvalData[],MATCH(Table2[[#Headers],[Total Number of Slats]],Table2[#Headers],0),0)</f>
        <v>51</v>
      </c>
      <c r="AU291" s="2">
        <f>VLOOKUP([jobnumber],OvalData[],MATCH(Table2[[#Headers],[Bottom Bar Slope]],Table2[#Headers],0),0)</f>
        <v>0</v>
      </c>
      <c r="AV291" s="2">
        <f>VLOOKUP([jobnumber],OvalData[],MATCH(Table2[[#Headers],[Bottom Bar Weight]],Table2[#Headers],0),0)</f>
        <v>80.5</v>
      </c>
      <c r="AW291" s="2" t="str">
        <f>VLOOKUP([jobnumber],OvalData[],MATCH(Table2[[#Headers],[Outer Spring Gage]],Table2[#Headers],0),0)</f>
        <v>Null</v>
      </c>
      <c r="AX291" s="2" t="str">
        <f>VLOOKUP([jobnumber],OvalData[],MATCH(Table2[[#Headers],[Outer Spring OD]],Table2[#Headers],0),0)</f>
        <v>Null</v>
      </c>
      <c r="AY291" s="2" t="str">
        <f>VLOOKUP([jobnumber],OvalData[],MATCH(Table2[[#Headers],[Outer Spring Length]],Table2[#Headers],0),0)</f>
        <v>Null</v>
      </c>
      <c r="AZ291" s="2" t="str">
        <f>VLOOKUP([jobnumber],OvalData[],MATCH(Table2[[#Headers],[Outer Spring Stretch]],Table2[#Headers],0),0)</f>
        <v>Null</v>
      </c>
      <c r="BA291" s="2" t="str">
        <f>VLOOKUP([jobnumber],OvalData[],MATCH(Table2[[#Headers],[Outer Spring Torque]],Table2[#Headers],0),0)</f>
        <v>Null</v>
      </c>
      <c r="BB291" s="2" t="str">
        <f>VLOOKUP([jobnumber],OvalData[],MATCH(Table2[[#Headers],[Outer Spring Max Turns]],Table2[#Headers],0),0)</f>
        <v>Null</v>
      </c>
      <c r="BC291" s="2" t="str">
        <f>VLOOKUP([jobnumber],OvalData[],MATCH(Table2[[#Headers],[Outer Spring Weight]],Table2[#Headers],0),0)</f>
        <v>Null</v>
      </c>
      <c r="BD291" s="2" t="str">
        <f>VLOOKUP([jobnumber],OvalData[],MATCH(Table2[[#Headers],[Inner Spring Gage]],Table2[#Headers],0),0)</f>
        <v>Null</v>
      </c>
      <c r="BE291" s="2" t="str">
        <f>VLOOKUP([jobnumber],OvalData[],MATCH(Table2[[#Headers],[Inner Spring OD]],Table2[#Headers],0),0)</f>
        <v>Null</v>
      </c>
      <c r="BF291" s="2" t="str">
        <f>VLOOKUP([jobnumber],OvalData[],MATCH(Table2[[#Headers],[Inner Spring Length]],Table2[#Headers],0),0)</f>
        <v>Null</v>
      </c>
      <c r="BG291" s="2" t="str">
        <f>VLOOKUP([jobnumber],OvalData[],MATCH(Table2[[#Headers],[Inner Spring Stretch]],Table2[#Headers],0),0)</f>
        <v>Null</v>
      </c>
      <c r="BH291" s="2" t="str">
        <f>VLOOKUP([jobnumber],OvalData[],MATCH(Table2[[#Headers],[Inner Spring Torque]],Table2[#Headers],0),0)</f>
        <v>Null</v>
      </c>
      <c r="BI291" s="2" t="str">
        <f>VLOOKUP([jobnumber],OvalData[],MATCH(Table2[[#Headers],[Inner Spring Max Turns]],Table2[#Headers],0),0)</f>
        <v>Null</v>
      </c>
      <c r="BJ291" s="2" t="str">
        <f>VLOOKUP([jobnumber],OvalData[],MATCH(Table2[[#Headers],[Inner Spring Weight]],Table2[#Headers],0),0)</f>
        <v>Null</v>
      </c>
      <c r="BK291" s="2">
        <f>VLOOKUP([jobnumber],OvalData[],MATCH(Table2[[#Headers],[Cycles]],Table2[#Headers],0),0)</f>
        <v>0</v>
      </c>
      <c r="BL291" s="2">
        <f>VLOOKUP([jobnumber],OvalData[],MATCH(Table2[[#Headers],[Total Spring Torque]],Table2[#Headers],0),0)</f>
        <v>0</v>
      </c>
      <c r="BM291" s="2">
        <f>VLOOKUP([jobnumber],OvalData[],MATCH(Table2[[#Headers],[Total Spring Weight]],Table2[#Headers],0),0)</f>
        <v>0</v>
      </c>
      <c r="BN291" s="2">
        <f>VLOOKUP([jobnumber],OvalData[],MATCH(Table2[[#Headers],[Pipe Weight]],Table2[#Headers],0),0)</f>
        <v>688.24239999999998</v>
      </c>
      <c r="BO291" s="2">
        <f>VLOOKUP([jobnumber],OvalData[],MATCH(Table2[[#Headers],[Max Pipe Deflection]],Table2[#Headers],0),0)</f>
        <v>2309</v>
      </c>
      <c r="BP291" s="2">
        <f>VLOOKUP([jobnumber],OvalData[],MATCH(Table2[[#Headers],[Number Non-Insulated Wrap Slats]],Table2[#Headers],0),0)</f>
        <v>0</v>
      </c>
      <c r="BQ291" s="2">
        <f>VLOOKUP([jobnumber],OvalData[],MATCH(Table2[[#Headers],[Number of Insolated Top Slats]],Table2[#Headers],0),0)</f>
        <v>45</v>
      </c>
      <c r="BR291" s="2">
        <f>VLOOKUP([jobnumber],OvalData[],MATCH(Table2[[#Headers],[Insolated Total Slats]],Table2[#Headers],0),0)</f>
        <v>45</v>
      </c>
      <c r="BS291" s="2">
        <f>VLOOKUP([jobnumber],OvalData[],MATCH(Table2[[#Headers],[Number of Slats]],Table2[#Headers],0),0)</f>
        <v>44.69</v>
      </c>
      <c r="BT291" s="2">
        <f>VLOOKUP([jobnumber],OvalData[],MATCH(Table2[[#Headers],[Wrap]],Table2[#Headers],0),0)</f>
        <v>0</v>
      </c>
      <c r="BU291" s="2">
        <f>VLOOKUP([jobnumber],OvalData[],MATCH(Table2[[#Headers],[Wall Angle Thickness]],Table2[#Headers],0),0)</f>
        <v>0</v>
      </c>
      <c r="BV291" s="2">
        <f>VLOOKUP([jobnumber],OvalData[],MATCH(Table2[[#Headers],[windlocks]],Table2[#Headers],0),0)</f>
        <v>0</v>
      </c>
      <c r="BW291" s="2" t="str">
        <f>VLOOKUP([jobnumber],OvalData[],MATCH(Table2[[#Headers],[bottombartype]],Table2[#Headers],0),0)</f>
        <v>SPECIAL</v>
      </c>
      <c r="BX291" s="2">
        <f>VLOOKUP([jobnumber],OvalData[],MATCH(Table2[[#Headers],[endlockweight]],Table2[#Headers],0),0)</f>
        <v>0.17</v>
      </c>
      <c r="BY291" s="2">
        <f>VLOOKUP([jobnumber],OvalData[],MATCH(Table2[[#Headers],[Endlock Total Weight]],Table2[#Headers],0),0)</f>
        <v>7.5972999999999997</v>
      </c>
      <c r="BZ291" s="2">
        <f>VLOOKUP([jobnumber],OvalData[],MATCH(Table2[[#Headers],[Grille Weight]],Table2[#Headers],0),0)</f>
        <v>0</v>
      </c>
      <c r="CA291" s="2">
        <f>VLOOKUP([jobnumber],OvalData[],MATCH(Table2[[#Headers],[barrelrings]],Table2[#Headers],0),0)</f>
        <v>1</v>
      </c>
    </row>
    <row r="292" spans="2:79">
      <c r="B292" s="2" t="str">
        <f>VLOOKUP([jobnumber],OvalData[],MATCH(Table2[[#Headers],[Hand]],Table2[#Headers],0),0)</f>
        <v>RH</v>
      </c>
      <c r="C292" s="2" t="str">
        <f>VLOOKUP([jobnumber],OvalData[],MATCH(Table2[[#Headers],[Model]],Table2[#Headers],0),0)</f>
        <v>SFMPP</v>
      </c>
      <c r="D292" s="2" t="str">
        <f>VLOOKUP([jobnumber],OvalData[],MATCH(Table2[[#Headers],[width]],Table2[#Headers],0),0)</f>
        <v xml:space="preserve"> 18 ft.- 2"</v>
      </c>
      <c r="E292" s="2" t="str">
        <f>VLOOKUP([jobnumber],OvalData[],MATCH(Table2[[#Headers],[stopheight]],Table2[#Headers],0),0)</f>
        <v xml:space="preserve"> 10 ft.- 0"</v>
      </c>
      <c r="F292" s="2" t="str">
        <f>VLOOKUP([jobnumber],OvalData[],MATCH(Table2[[#Headers],[Between Brackets]],Table2[#Headers],0),0)</f>
        <v xml:space="preserve"> 18 ft.- 7 7/ 8"</v>
      </c>
      <c r="G292" s="2" t="str">
        <f>VLOOKUP([jobnumber],OvalData[],MATCH(Table2[[#Headers],[shell]],Table2[#Headers],0),0)</f>
        <v>6 INCH TUBE</v>
      </c>
      <c r="H292" s="2" t="str">
        <f>VLOOKUP([jobnumber],OvalData[],MATCH(Table2[[#Headers],[pipewidth]],Table2[#Headers],0),0)</f>
        <v xml:space="preserve"> 18 ft.- 1 3/ 8"</v>
      </c>
      <c r="I292" s="2">
        <f>VLOOKUP([jobnumber],OvalData[],MATCH(Table2[[#Headers],[Support Tubes]],Table2[#Headers],0),0)</f>
        <v>0</v>
      </c>
      <c r="J292" s="2">
        <f>VLOOKUP([jobnumber],OvalData[],MATCH(Table2[[#Headers],[Upset]],Table2[#Headers],0),0)</f>
        <v>2</v>
      </c>
      <c r="K292" s="2" t="str">
        <f>VLOOKUP([jobnumber],OvalData[],MATCH(Table2[[#Headers],[Guide Type]],Table2[#Headers],0),0)</f>
        <v>SN2-4 5/8-E</v>
      </c>
      <c r="L292" s="2" t="str">
        <f>VLOOKUP([jobnumber],OvalData[],MATCH(Table2[[#Headers],[Wall Angle]],Table2[#Headers],0),0)</f>
        <v xml:space="preserve"> 11 ft.- 8"</v>
      </c>
      <c r="M292" s="2" t="str">
        <f>VLOOKUP([jobnumber],OvalData[],MATCH(Table2[[#Headers],[Middle Angle]],Table2[#Headers],0),0)</f>
        <v xml:space="preserve"> 10 ft.- 4 1/ 2"</v>
      </c>
      <c r="N292" s="2" t="str">
        <f>VLOOKUP([jobnumber],OvalData[],MATCH(Table2[[#Headers],[Front Angle]],Table2[#Headers],0),0)</f>
        <v xml:space="preserve"> 10 ft.- 3"</v>
      </c>
      <c r="O292" s="2">
        <f>VLOOKUP([jobnumber],OvalData[],MATCH(Table2[[#Headers],[Pipe Center Line]],Table2[#Headers],0),0)</f>
        <v>131</v>
      </c>
      <c r="P292" s="2">
        <f>VLOOKUP([jobnumber],OvalData[],MATCH(Table2[[#Headers],[Heat Expansion Gap]],Table2[#Headers],0),0)</f>
        <v>0</v>
      </c>
      <c r="Q292" s="2">
        <f>VLOOKUP([jobnumber],OvalData[],MATCH(Table2[[#Headers],[Hanging Weight Closed]],Table2[#Headers],0),0)</f>
        <v>795</v>
      </c>
      <c r="R292" s="2">
        <f>VLOOKUP([jobnumber],OvalData[],MATCH(Table2[[#Headers],[Hanging Weight Open]],Table2[#Headers],0),0)</f>
        <v>140</v>
      </c>
      <c r="S292" s="2">
        <f>VLOOKUP([jobnumber],OvalData[],MATCH(Table2[[#Headers],[Initial Lever Arm]],Table2[#Headers],0),0)</f>
        <v>4.25</v>
      </c>
      <c r="T292" s="2">
        <f>VLOOKUP([jobnumber],OvalData[],MATCH(Table2[[#Headers],[Turns to Raise]],Table2[#Headers],0),0)</f>
        <v>3.5859999999999999</v>
      </c>
      <c r="U292" s="2">
        <f>VLOOKUP([jobnumber],OvalData[],MATCH(Table2[[#Headers],[Final Lever Arm]],Table2[#Headers],0),0)</f>
        <v>6.37</v>
      </c>
      <c r="V292" s="2">
        <f>VLOOKUP([jobnumber],OvalData[],MATCH(Table2[[#Headers],[Torque Required Closed]],Table2[#Headers],0),0)</f>
        <v>3377.9</v>
      </c>
      <c r="W292" s="2">
        <f>VLOOKUP([jobnumber],OvalData[],MATCH(Table2[[#Headers],[Torque Required Open]],Table2[#Headers],0),0)</f>
        <v>892</v>
      </c>
      <c r="X292" s="2">
        <f>VLOOKUP([jobnumber],OvalData[],MATCH(Table2[[#Headers],[Pre Turns]],Table2[#Headers],0),0)</f>
        <v>1.3332999999999999</v>
      </c>
      <c r="Y292" s="2">
        <f>VLOOKUP([jobnumber],OvalData[],MATCH(Table2[[#Headers],[Required Torque Per Turn]],Table2[#Headers],0),0)</f>
        <v>688</v>
      </c>
      <c r="Z292" s="2">
        <f>VLOOKUP([jobnumber],OvalData[],MATCH(Table2[[#Headers],[Total Turns]],Table2[#Headers],0),0)</f>
        <v>4.91</v>
      </c>
      <c r="AA292" s="2">
        <f>VLOOKUP([jobnumber],OvalData[],MATCH(Table2[[#Headers],[Grille Vision Section]],Table2[#Headers],0),0)</f>
        <v>0</v>
      </c>
      <c r="AB292" s="2">
        <f>VLOOKUP([jobnumber],OvalData[],MATCH(Table2[[#Headers],[Grille Amount]],Table2[#Headers],0),0)</f>
        <v>0</v>
      </c>
      <c r="AC292" s="2">
        <f>VLOOKUP([jobnumber],OvalData[],MATCH(Table2[[#Headers],[Grille Center]],Table2[#Headers],0),0)</f>
        <v>0</v>
      </c>
      <c r="AD292" s="2">
        <f>VLOOKUP([jobnumber],OvalData[],MATCH(Table2[[#Headers],[Grille Pattern]],Table2[#Headers],0),0)</f>
        <v>0</v>
      </c>
      <c r="AE292" s="2">
        <f>VLOOKUP([jobnumber],OvalData[],MATCH(Table2[[#Headers],[Grille First Tube]],Table2[#Headers],0),0)</f>
        <v>0</v>
      </c>
      <c r="AF292" s="2">
        <f>VLOOKUP([jobnumber],OvalData[],MATCH(Table2[[#Headers],[Grille Standard Tube]],Table2[#Headers],0),0)</f>
        <v>0</v>
      </c>
      <c r="AG292" s="2">
        <f>VLOOKUP([jobnumber],OvalData[],MATCH(Table2[[#Headers],[Grille Total Links]],Table2[#Headers],0),0)</f>
        <v>0</v>
      </c>
      <c r="AH292" s="2">
        <f>VLOOKUP([jobnumber],OvalData[],MATCH(Table2[[#Headers],[Grille Rods]],Table2[#Headers],0),0)</f>
        <v>0</v>
      </c>
      <c r="AI292" s="2">
        <f>VLOOKUP([jobnumber],OvalData[],MATCH(Table2[[#Headers],[Grille Rod Length]],Table2[#Headers],0),0)</f>
        <v>0</v>
      </c>
      <c r="AJ292" s="2">
        <f>VLOOKUP([jobnumber],OvalData[],MATCH(Table2[[#Headers],[slattype]],Table2[#Headers],0),0)</f>
        <v>2</v>
      </c>
      <c r="AK292" s="2">
        <f>VLOOKUP([jobnumber],OvalData[],MATCH(Table2[[#Headers],[slatgage]],Table2[#Headers],0),0)</f>
        <v>18</v>
      </c>
      <c r="AL292" s="2">
        <f>VLOOKUP([jobnumber],OvalData[],MATCH(Table2[[#Headers],[Numer of Top Slats]],Table2[#Headers],0),0)</f>
        <v>0</v>
      </c>
      <c r="AM292" s="2">
        <f>VLOOKUP([jobnumber],OvalData[],MATCH(Table2[[#Headers],[Number of Bottom Slats]],Table2[#Headers],0),0)</f>
        <v>0</v>
      </c>
      <c r="AN292" s="2">
        <f>VLOOKUP([jobnumber],OvalData[],MATCH(Table2[[#Headers],[Solid Bottom Height]],Table2[#Headers],0),0)</f>
        <v>0</v>
      </c>
      <c r="AO292" s="2" t="str">
        <f>VLOOKUP([jobnumber],OvalData[],MATCH(Table2[[#Headers],[slatlength]],Table2[#Headers],0),0)</f>
        <v xml:space="preserve"> 18 ft.- 5 7/ 8"</v>
      </c>
      <c r="AP292" s="2">
        <f>VLOOKUP([jobnumber],OvalData[],MATCH(Table2[[#Headers],[Bottom Slat Length]],Table2[#Headers],0),0)</f>
        <v>0</v>
      </c>
      <c r="AQ292" s="2">
        <f>VLOOKUP([jobnumber],OvalData[],MATCH(Table2[[#Headers],[Number of Perferated Slats]],Table2[#Headers],0),0)</f>
        <v>0</v>
      </c>
      <c r="AR292" s="2">
        <f>VLOOKUP([jobnumber],OvalData[],MATCH(Table2[[#Headers],[First Preferated Slat From End]],Table2[#Headers],0),0)</f>
        <v>0</v>
      </c>
      <c r="AS292" s="2">
        <f>VLOOKUP([jobnumber],OvalData[],MATCH(Table2[[#Headers],[First Preferated Slat From Bottom]],Table2[#Headers],0),0)</f>
        <v>0</v>
      </c>
      <c r="AT292" s="2">
        <f>VLOOKUP([jobnumber],OvalData[],MATCH(Table2[[#Headers],[Total Number of Slats]],Table2[#Headers],0),0)</f>
        <v>51</v>
      </c>
      <c r="AU292" s="2">
        <f>VLOOKUP([jobnumber],OvalData[],MATCH(Table2[[#Headers],[Bottom Bar Slope]],Table2[#Headers],0),0)</f>
        <v>0</v>
      </c>
      <c r="AV292" s="2">
        <f>VLOOKUP([jobnumber],OvalData[],MATCH(Table2[[#Headers],[Bottom Bar Weight]],Table2[#Headers],0),0)</f>
        <v>80.5</v>
      </c>
      <c r="AW292" s="2" t="str">
        <f>VLOOKUP([jobnumber],OvalData[],MATCH(Table2[[#Headers],[Outer Spring Gage]],Table2[#Headers],0),0)</f>
        <v>Null</v>
      </c>
      <c r="AX292" s="2" t="str">
        <f>VLOOKUP([jobnumber],OvalData[],MATCH(Table2[[#Headers],[Outer Spring OD]],Table2[#Headers],0),0)</f>
        <v>Null</v>
      </c>
      <c r="AY292" s="2" t="str">
        <f>VLOOKUP([jobnumber],OvalData[],MATCH(Table2[[#Headers],[Outer Spring Length]],Table2[#Headers],0),0)</f>
        <v>Null</v>
      </c>
      <c r="AZ292" s="2" t="str">
        <f>VLOOKUP([jobnumber],OvalData[],MATCH(Table2[[#Headers],[Outer Spring Stretch]],Table2[#Headers],0),0)</f>
        <v>Null</v>
      </c>
      <c r="BA292" s="2" t="str">
        <f>VLOOKUP([jobnumber],OvalData[],MATCH(Table2[[#Headers],[Outer Spring Torque]],Table2[#Headers],0),0)</f>
        <v>Null</v>
      </c>
      <c r="BB292" s="2" t="str">
        <f>VLOOKUP([jobnumber],OvalData[],MATCH(Table2[[#Headers],[Outer Spring Max Turns]],Table2[#Headers],0),0)</f>
        <v>Null</v>
      </c>
      <c r="BC292" s="2" t="str">
        <f>VLOOKUP([jobnumber],OvalData[],MATCH(Table2[[#Headers],[Outer Spring Weight]],Table2[#Headers],0),0)</f>
        <v>Null</v>
      </c>
      <c r="BD292" s="2" t="str">
        <f>VLOOKUP([jobnumber],OvalData[],MATCH(Table2[[#Headers],[Inner Spring Gage]],Table2[#Headers],0),0)</f>
        <v>Null</v>
      </c>
      <c r="BE292" s="2" t="str">
        <f>VLOOKUP([jobnumber],OvalData[],MATCH(Table2[[#Headers],[Inner Spring OD]],Table2[#Headers],0),0)</f>
        <v>Null</v>
      </c>
      <c r="BF292" s="2" t="str">
        <f>VLOOKUP([jobnumber],OvalData[],MATCH(Table2[[#Headers],[Inner Spring Length]],Table2[#Headers],0),0)</f>
        <v>Null</v>
      </c>
      <c r="BG292" s="2" t="str">
        <f>VLOOKUP([jobnumber],OvalData[],MATCH(Table2[[#Headers],[Inner Spring Stretch]],Table2[#Headers],0),0)</f>
        <v>Null</v>
      </c>
      <c r="BH292" s="2" t="str">
        <f>VLOOKUP([jobnumber],OvalData[],MATCH(Table2[[#Headers],[Inner Spring Torque]],Table2[#Headers],0),0)</f>
        <v>Null</v>
      </c>
      <c r="BI292" s="2" t="str">
        <f>VLOOKUP([jobnumber],OvalData[],MATCH(Table2[[#Headers],[Inner Spring Max Turns]],Table2[#Headers],0),0)</f>
        <v>Null</v>
      </c>
      <c r="BJ292" s="2" t="str">
        <f>VLOOKUP([jobnumber],OvalData[],MATCH(Table2[[#Headers],[Inner Spring Weight]],Table2[#Headers],0),0)</f>
        <v>Null</v>
      </c>
      <c r="BK292" s="2">
        <f>VLOOKUP([jobnumber],OvalData[],MATCH(Table2[[#Headers],[Cycles]],Table2[#Headers],0),0)</f>
        <v>0</v>
      </c>
      <c r="BL292" s="2">
        <f>VLOOKUP([jobnumber],OvalData[],MATCH(Table2[[#Headers],[Total Spring Torque]],Table2[#Headers],0),0)</f>
        <v>0</v>
      </c>
      <c r="BM292" s="2">
        <f>VLOOKUP([jobnumber],OvalData[],MATCH(Table2[[#Headers],[Total Spring Weight]],Table2[#Headers],0),0)</f>
        <v>0</v>
      </c>
      <c r="BN292" s="2">
        <f>VLOOKUP([jobnumber],OvalData[],MATCH(Table2[[#Headers],[Pipe Weight]],Table2[#Headers],0),0)</f>
        <v>688.24239999999998</v>
      </c>
      <c r="BO292" s="2">
        <f>VLOOKUP([jobnumber],OvalData[],MATCH(Table2[[#Headers],[Max Pipe Deflection]],Table2[#Headers],0),0)</f>
        <v>2309</v>
      </c>
      <c r="BP292" s="2">
        <f>VLOOKUP([jobnumber],OvalData[],MATCH(Table2[[#Headers],[Number Non-Insulated Wrap Slats]],Table2[#Headers],0),0)</f>
        <v>0</v>
      </c>
      <c r="BQ292" s="2">
        <f>VLOOKUP([jobnumber],OvalData[],MATCH(Table2[[#Headers],[Number of Insolated Top Slats]],Table2[#Headers],0),0)</f>
        <v>45</v>
      </c>
      <c r="BR292" s="2">
        <f>VLOOKUP([jobnumber],OvalData[],MATCH(Table2[[#Headers],[Insolated Total Slats]],Table2[#Headers],0),0)</f>
        <v>45</v>
      </c>
      <c r="BS292" s="2">
        <f>VLOOKUP([jobnumber],OvalData[],MATCH(Table2[[#Headers],[Number of Slats]],Table2[#Headers],0),0)</f>
        <v>44.69</v>
      </c>
      <c r="BT292" s="2">
        <f>VLOOKUP([jobnumber],OvalData[],MATCH(Table2[[#Headers],[Wrap]],Table2[#Headers],0),0)</f>
        <v>0</v>
      </c>
      <c r="BU292" s="2">
        <f>VLOOKUP([jobnumber],OvalData[],MATCH(Table2[[#Headers],[Wall Angle Thickness]],Table2[#Headers],0),0)</f>
        <v>0</v>
      </c>
      <c r="BV292" s="2">
        <f>VLOOKUP([jobnumber],OvalData[],MATCH(Table2[[#Headers],[windlocks]],Table2[#Headers],0),0)</f>
        <v>0</v>
      </c>
      <c r="BW292" s="2" t="str">
        <f>VLOOKUP([jobnumber],OvalData[],MATCH(Table2[[#Headers],[bottombartype]],Table2[#Headers],0),0)</f>
        <v>SPECIAL</v>
      </c>
      <c r="BX292" s="2">
        <f>VLOOKUP([jobnumber],OvalData[],MATCH(Table2[[#Headers],[endlockweight]],Table2[#Headers],0),0)</f>
        <v>0.17</v>
      </c>
      <c r="BY292" s="2">
        <f>VLOOKUP([jobnumber],OvalData[],MATCH(Table2[[#Headers],[Endlock Total Weight]],Table2[#Headers],0),0)</f>
        <v>7.5972999999999997</v>
      </c>
      <c r="BZ292" s="2">
        <f>VLOOKUP([jobnumber],OvalData[],MATCH(Table2[[#Headers],[Grille Weight]],Table2[#Headers],0),0)</f>
        <v>0</v>
      </c>
      <c r="CA292" s="2">
        <f>VLOOKUP([jobnumber],OvalData[],MATCH(Table2[[#Headers],[barrelrings]],Table2[#Headers],0),0)</f>
        <v>1</v>
      </c>
    </row>
    <row r="293" spans="2:79">
      <c r="B293" s="2" t="str">
        <f>VLOOKUP([jobnumber],OvalData[],MATCH(Table2[[#Headers],[Hand]],Table2[#Headers],0),0)</f>
        <v>RH</v>
      </c>
      <c r="C293" s="2" t="str">
        <f>VLOOKUP([jobnumber],OvalData[],MATCH(Table2[[#Headers],[Model]],Table2[#Headers],0),0)</f>
        <v>SFMPP</v>
      </c>
      <c r="D293" s="2" t="str">
        <f>VLOOKUP([jobnumber],OvalData[],MATCH(Table2[[#Headers],[width]],Table2[#Headers],0),0)</f>
        <v xml:space="preserve"> 18 ft.- 2"</v>
      </c>
      <c r="E293" s="2" t="str">
        <f>VLOOKUP([jobnumber],OvalData[],MATCH(Table2[[#Headers],[stopheight]],Table2[#Headers],0),0)</f>
        <v xml:space="preserve"> 10 ft.- 0"</v>
      </c>
      <c r="F293" s="2" t="str">
        <f>VLOOKUP([jobnumber],OvalData[],MATCH(Table2[[#Headers],[Between Brackets]],Table2[#Headers],0),0)</f>
        <v xml:space="preserve"> 18 ft.- 7 7/ 8"</v>
      </c>
      <c r="G293" s="2" t="str">
        <f>VLOOKUP([jobnumber],OvalData[],MATCH(Table2[[#Headers],[shell]],Table2[#Headers],0),0)</f>
        <v>6 INCH TUBE</v>
      </c>
      <c r="H293" s="2" t="str">
        <f>VLOOKUP([jobnumber],OvalData[],MATCH(Table2[[#Headers],[pipewidth]],Table2[#Headers],0),0)</f>
        <v xml:space="preserve"> 18 ft.- 1 3/ 8"</v>
      </c>
      <c r="I293" s="2">
        <f>VLOOKUP([jobnumber],OvalData[],MATCH(Table2[[#Headers],[Support Tubes]],Table2[#Headers],0),0)</f>
        <v>0</v>
      </c>
      <c r="J293" s="2">
        <f>VLOOKUP([jobnumber],OvalData[],MATCH(Table2[[#Headers],[Upset]],Table2[#Headers],0),0)</f>
        <v>2</v>
      </c>
      <c r="K293" s="2" t="str">
        <f>VLOOKUP([jobnumber],OvalData[],MATCH(Table2[[#Headers],[Guide Type]],Table2[#Headers],0),0)</f>
        <v>SN2-4 5/8-E</v>
      </c>
      <c r="L293" s="2" t="str">
        <f>VLOOKUP([jobnumber],OvalData[],MATCH(Table2[[#Headers],[Wall Angle]],Table2[#Headers],0),0)</f>
        <v xml:space="preserve"> 11 ft.- 8"</v>
      </c>
      <c r="M293" s="2" t="str">
        <f>VLOOKUP([jobnumber],OvalData[],MATCH(Table2[[#Headers],[Middle Angle]],Table2[#Headers],0),0)</f>
        <v xml:space="preserve"> 10 ft.- 4 1/ 2"</v>
      </c>
      <c r="N293" s="2" t="str">
        <f>VLOOKUP([jobnumber],OvalData[],MATCH(Table2[[#Headers],[Front Angle]],Table2[#Headers],0),0)</f>
        <v xml:space="preserve"> 10 ft.- 3"</v>
      </c>
      <c r="O293" s="2">
        <f>VLOOKUP([jobnumber],OvalData[],MATCH(Table2[[#Headers],[Pipe Center Line]],Table2[#Headers],0),0)</f>
        <v>131</v>
      </c>
      <c r="P293" s="2">
        <f>VLOOKUP([jobnumber],OvalData[],MATCH(Table2[[#Headers],[Heat Expansion Gap]],Table2[#Headers],0),0)</f>
        <v>0</v>
      </c>
      <c r="Q293" s="2">
        <f>VLOOKUP([jobnumber],OvalData[],MATCH(Table2[[#Headers],[Hanging Weight Closed]],Table2[#Headers],0),0)</f>
        <v>795</v>
      </c>
      <c r="R293" s="2">
        <f>VLOOKUP([jobnumber],OvalData[],MATCH(Table2[[#Headers],[Hanging Weight Open]],Table2[#Headers],0),0)</f>
        <v>140</v>
      </c>
      <c r="S293" s="2">
        <f>VLOOKUP([jobnumber],OvalData[],MATCH(Table2[[#Headers],[Initial Lever Arm]],Table2[#Headers],0),0)</f>
        <v>4.25</v>
      </c>
      <c r="T293" s="2">
        <f>VLOOKUP([jobnumber],OvalData[],MATCH(Table2[[#Headers],[Turns to Raise]],Table2[#Headers],0),0)</f>
        <v>3.5859999999999999</v>
      </c>
      <c r="U293" s="2">
        <f>VLOOKUP([jobnumber],OvalData[],MATCH(Table2[[#Headers],[Final Lever Arm]],Table2[#Headers],0),0)</f>
        <v>6.37</v>
      </c>
      <c r="V293" s="2">
        <f>VLOOKUP([jobnumber],OvalData[],MATCH(Table2[[#Headers],[Torque Required Closed]],Table2[#Headers],0),0)</f>
        <v>3377.9</v>
      </c>
      <c r="W293" s="2">
        <f>VLOOKUP([jobnumber],OvalData[],MATCH(Table2[[#Headers],[Torque Required Open]],Table2[#Headers],0),0)</f>
        <v>892</v>
      </c>
      <c r="X293" s="2">
        <f>VLOOKUP([jobnumber],OvalData[],MATCH(Table2[[#Headers],[Pre Turns]],Table2[#Headers],0),0)</f>
        <v>1.3332999999999999</v>
      </c>
      <c r="Y293" s="2">
        <f>VLOOKUP([jobnumber],OvalData[],MATCH(Table2[[#Headers],[Required Torque Per Turn]],Table2[#Headers],0),0)</f>
        <v>688</v>
      </c>
      <c r="Z293" s="2">
        <f>VLOOKUP([jobnumber],OvalData[],MATCH(Table2[[#Headers],[Total Turns]],Table2[#Headers],0),0)</f>
        <v>4.91</v>
      </c>
      <c r="AA293" s="2">
        <f>VLOOKUP([jobnumber],OvalData[],MATCH(Table2[[#Headers],[Grille Vision Section]],Table2[#Headers],0),0)</f>
        <v>0</v>
      </c>
      <c r="AB293" s="2">
        <f>VLOOKUP([jobnumber],OvalData[],MATCH(Table2[[#Headers],[Grille Amount]],Table2[#Headers],0),0)</f>
        <v>0</v>
      </c>
      <c r="AC293" s="2">
        <f>VLOOKUP([jobnumber],OvalData[],MATCH(Table2[[#Headers],[Grille Center]],Table2[#Headers],0),0)</f>
        <v>0</v>
      </c>
      <c r="AD293" s="2">
        <f>VLOOKUP([jobnumber],OvalData[],MATCH(Table2[[#Headers],[Grille Pattern]],Table2[#Headers],0),0)</f>
        <v>0</v>
      </c>
      <c r="AE293" s="2">
        <f>VLOOKUP([jobnumber],OvalData[],MATCH(Table2[[#Headers],[Grille First Tube]],Table2[#Headers],0),0)</f>
        <v>0</v>
      </c>
      <c r="AF293" s="2">
        <f>VLOOKUP([jobnumber],OvalData[],MATCH(Table2[[#Headers],[Grille Standard Tube]],Table2[#Headers],0),0)</f>
        <v>0</v>
      </c>
      <c r="AG293" s="2">
        <f>VLOOKUP([jobnumber],OvalData[],MATCH(Table2[[#Headers],[Grille Total Links]],Table2[#Headers],0),0)</f>
        <v>0</v>
      </c>
      <c r="AH293" s="2">
        <f>VLOOKUP([jobnumber],OvalData[],MATCH(Table2[[#Headers],[Grille Rods]],Table2[#Headers],0),0)</f>
        <v>0</v>
      </c>
      <c r="AI293" s="2">
        <f>VLOOKUP([jobnumber],OvalData[],MATCH(Table2[[#Headers],[Grille Rod Length]],Table2[#Headers],0),0)</f>
        <v>0</v>
      </c>
      <c r="AJ293" s="2">
        <f>VLOOKUP([jobnumber],OvalData[],MATCH(Table2[[#Headers],[slattype]],Table2[#Headers],0),0)</f>
        <v>2</v>
      </c>
      <c r="AK293" s="2">
        <f>VLOOKUP([jobnumber],OvalData[],MATCH(Table2[[#Headers],[slatgage]],Table2[#Headers],0),0)</f>
        <v>18</v>
      </c>
      <c r="AL293" s="2">
        <f>VLOOKUP([jobnumber],OvalData[],MATCH(Table2[[#Headers],[Numer of Top Slats]],Table2[#Headers],0),0)</f>
        <v>0</v>
      </c>
      <c r="AM293" s="2">
        <f>VLOOKUP([jobnumber],OvalData[],MATCH(Table2[[#Headers],[Number of Bottom Slats]],Table2[#Headers],0),0)</f>
        <v>0</v>
      </c>
      <c r="AN293" s="2">
        <f>VLOOKUP([jobnumber],OvalData[],MATCH(Table2[[#Headers],[Solid Bottom Height]],Table2[#Headers],0),0)</f>
        <v>0</v>
      </c>
      <c r="AO293" s="2" t="str">
        <f>VLOOKUP([jobnumber],OvalData[],MATCH(Table2[[#Headers],[slatlength]],Table2[#Headers],0),0)</f>
        <v xml:space="preserve"> 18 ft.- 5 7/ 8"</v>
      </c>
      <c r="AP293" s="2">
        <f>VLOOKUP([jobnumber],OvalData[],MATCH(Table2[[#Headers],[Bottom Slat Length]],Table2[#Headers],0),0)</f>
        <v>0</v>
      </c>
      <c r="AQ293" s="2">
        <f>VLOOKUP([jobnumber],OvalData[],MATCH(Table2[[#Headers],[Number of Perferated Slats]],Table2[#Headers],0),0)</f>
        <v>0</v>
      </c>
      <c r="AR293" s="2">
        <f>VLOOKUP([jobnumber],OvalData[],MATCH(Table2[[#Headers],[First Preferated Slat From End]],Table2[#Headers],0),0)</f>
        <v>0</v>
      </c>
      <c r="AS293" s="2">
        <f>VLOOKUP([jobnumber],OvalData[],MATCH(Table2[[#Headers],[First Preferated Slat From Bottom]],Table2[#Headers],0),0)</f>
        <v>0</v>
      </c>
      <c r="AT293" s="2">
        <f>VLOOKUP([jobnumber],OvalData[],MATCH(Table2[[#Headers],[Total Number of Slats]],Table2[#Headers],0),0)</f>
        <v>51</v>
      </c>
      <c r="AU293" s="2">
        <f>VLOOKUP([jobnumber],OvalData[],MATCH(Table2[[#Headers],[Bottom Bar Slope]],Table2[#Headers],0),0)</f>
        <v>0</v>
      </c>
      <c r="AV293" s="2">
        <f>VLOOKUP([jobnumber],OvalData[],MATCH(Table2[[#Headers],[Bottom Bar Weight]],Table2[#Headers],0),0)</f>
        <v>80.5</v>
      </c>
      <c r="AW293" s="2" t="str">
        <f>VLOOKUP([jobnumber],OvalData[],MATCH(Table2[[#Headers],[Outer Spring Gage]],Table2[#Headers],0),0)</f>
        <v>Null</v>
      </c>
      <c r="AX293" s="2" t="str">
        <f>VLOOKUP([jobnumber],OvalData[],MATCH(Table2[[#Headers],[Outer Spring OD]],Table2[#Headers],0),0)</f>
        <v>Null</v>
      </c>
      <c r="AY293" s="2" t="str">
        <f>VLOOKUP([jobnumber],OvalData[],MATCH(Table2[[#Headers],[Outer Spring Length]],Table2[#Headers],0),0)</f>
        <v>Null</v>
      </c>
      <c r="AZ293" s="2" t="str">
        <f>VLOOKUP([jobnumber],OvalData[],MATCH(Table2[[#Headers],[Outer Spring Stretch]],Table2[#Headers],0),0)</f>
        <v>Null</v>
      </c>
      <c r="BA293" s="2" t="str">
        <f>VLOOKUP([jobnumber],OvalData[],MATCH(Table2[[#Headers],[Outer Spring Torque]],Table2[#Headers],0),0)</f>
        <v>Null</v>
      </c>
      <c r="BB293" s="2" t="str">
        <f>VLOOKUP([jobnumber],OvalData[],MATCH(Table2[[#Headers],[Outer Spring Max Turns]],Table2[#Headers],0),0)</f>
        <v>Null</v>
      </c>
      <c r="BC293" s="2" t="str">
        <f>VLOOKUP([jobnumber],OvalData[],MATCH(Table2[[#Headers],[Outer Spring Weight]],Table2[#Headers],0),0)</f>
        <v>Null</v>
      </c>
      <c r="BD293" s="2" t="str">
        <f>VLOOKUP([jobnumber],OvalData[],MATCH(Table2[[#Headers],[Inner Spring Gage]],Table2[#Headers],0),0)</f>
        <v>Null</v>
      </c>
      <c r="BE293" s="2" t="str">
        <f>VLOOKUP([jobnumber],OvalData[],MATCH(Table2[[#Headers],[Inner Spring OD]],Table2[#Headers],0),0)</f>
        <v>Null</v>
      </c>
      <c r="BF293" s="2" t="str">
        <f>VLOOKUP([jobnumber],OvalData[],MATCH(Table2[[#Headers],[Inner Spring Length]],Table2[#Headers],0),0)</f>
        <v>Null</v>
      </c>
      <c r="BG293" s="2" t="str">
        <f>VLOOKUP([jobnumber],OvalData[],MATCH(Table2[[#Headers],[Inner Spring Stretch]],Table2[#Headers],0),0)</f>
        <v>Null</v>
      </c>
      <c r="BH293" s="2" t="str">
        <f>VLOOKUP([jobnumber],OvalData[],MATCH(Table2[[#Headers],[Inner Spring Torque]],Table2[#Headers],0),0)</f>
        <v>Null</v>
      </c>
      <c r="BI293" s="2" t="str">
        <f>VLOOKUP([jobnumber],OvalData[],MATCH(Table2[[#Headers],[Inner Spring Max Turns]],Table2[#Headers],0),0)</f>
        <v>Null</v>
      </c>
      <c r="BJ293" s="2" t="str">
        <f>VLOOKUP([jobnumber],OvalData[],MATCH(Table2[[#Headers],[Inner Spring Weight]],Table2[#Headers],0),0)</f>
        <v>Null</v>
      </c>
      <c r="BK293" s="2">
        <f>VLOOKUP([jobnumber],OvalData[],MATCH(Table2[[#Headers],[Cycles]],Table2[#Headers],0),0)</f>
        <v>0</v>
      </c>
      <c r="BL293" s="2">
        <f>VLOOKUP([jobnumber],OvalData[],MATCH(Table2[[#Headers],[Total Spring Torque]],Table2[#Headers],0),0)</f>
        <v>0</v>
      </c>
      <c r="BM293" s="2">
        <f>VLOOKUP([jobnumber],OvalData[],MATCH(Table2[[#Headers],[Total Spring Weight]],Table2[#Headers],0),0)</f>
        <v>0</v>
      </c>
      <c r="BN293" s="2">
        <f>VLOOKUP([jobnumber],OvalData[],MATCH(Table2[[#Headers],[Pipe Weight]],Table2[#Headers],0),0)</f>
        <v>688.24239999999998</v>
      </c>
      <c r="BO293" s="2">
        <f>VLOOKUP([jobnumber],OvalData[],MATCH(Table2[[#Headers],[Max Pipe Deflection]],Table2[#Headers],0),0)</f>
        <v>2309</v>
      </c>
      <c r="BP293" s="2">
        <f>VLOOKUP([jobnumber],OvalData[],MATCH(Table2[[#Headers],[Number Non-Insulated Wrap Slats]],Table2[#Headers],0),0)</f>
        <v>0</v>
      </c>
      <c r="BQ293" s="2">
        <f>VLOOKUP([jobnumber],OvalData[],MATCH(Table2[[#Headers],[Number of Insolated Top Slats]],Table2[#Headers],0),0)</f>
        <v>45</v>
      </c>
      <c r="BR293" s="2">
        <f>VLOOKUP([jobnumber],OvalData[],MATCH(Table2[[#Headers],[Insolated Total Slats]],Table2[#Headers],0),0)</f>
        <v>45</v>
      </c>
      <c r="BS293" s="2">
        <f>VLOOKUP([jobnumber],OvalData[],MATCH(Table2[[#Headers],[Number of Slats]],Table2[#Headers],0),0)</f>
        <v>44.69</v>
      </c>
      <c r="BT293" s="2">
        <f>VLOOKUP([jobnumber],OvalData[],MATCH(Table2[[#Headers],[Wrap]],Table2[#Headers],0),0)</f>
        <v>0</v>
      </c>
      <c r="BU293" s="2">
        <f>VLOOKUP([jobnumber],OvalData[],MATCH(Table2[[#Headers],[Wall Angle Thickness]],Table2[#Headers],0),0)</f>
        <v>0</v>
      </c>
      <c r="BV293" s="2">
        <f>VLOOKUP([jobnumber],OvalData[],MATCH(Table2[[#Headers],[windlocks]],Table2[#Headers],0),0)</f>
        <v>0</v>
      </c>
      <c r="BW293" s="2" t="str">
        <f>VLOOKUP([jobnumber],OvalData[],MATCH(Table2[[#Headers],[bottombartype]],Table2[#Headers],0),0)</f>
        <v>SPECIAL</v>
      </c>
      <c r="BX293" s="2">
        <f>VLOOKUP([jobnumber],OvalData[],MATCH(Table2[[#Headers],[endlockweight]],Table2[#Headers],0),0)</f>
        <v>0.17</v>
      </c>
      <c r="BY293" s="2">
        <f>VLOOKUP([jobnumber],OvalData[],MATCH(Table2[[#Headers],[Endlock Total Weight]],Table2[#Headers],0),0)</f>
        <v>7.5972999999999997</v>
      </c>
      <c r="BZ293" s="2">
        <f>VLOOKUP([jobnumber],OvalData[],MATCH(Table2[[#Headers],[Grille Weight]],Table2[#Headers],0),0)</f>
        <v>0</v>
      </c>
      <c r="CA293" s="2">
        <f>VLOOKUP([jobnumber],OvalData[],MATCH(Table2[[#Headers],[barrelrings]],Table2[#Headers],0),0)</f>
        <v>1</v>
      </c>
    </row>
    <row r="294" spans="2:79">
      <c r="B294" s="2" t="str">
        <f>VLOOKUP([jobnumber],OvalData[],MATCH(Table2[[#Headers],[Hand]],Table2[#Headers],0),0)</f>
        <v>RH</v>
      </c>
      <c r="C294" s="2" t="str">
        <f>VLOOKUP([jobnumber],OvalData[],MATCH(Table2[[#Headers],[Model]],Table2[#Headers],0),0)</f>
        <v>SFMPP</v>
      </c>
      <c r="D294" s="2" t="str">
        <f>VLOOKUP([jobnumber],OvalData[],MATCH(Table2[[#Headers],[width]],Table2[#Headers],0),0)</f>
        <v xml:space="preserve"> 18 ft.- 2"</v>
      </c>
      <c r="E294" s="2" t="str">
        <f>VLOOKUP([jobnumber],OvalData[],MATCH(Table2[[#Headers],[stopheight]],Table2[#Headers],0),0)</f>
        <v xml:space="preserve"> 10 ft.- 0"</v>
      </c>
      <c r="F294" s="2" t="str">
        <f>VLOOKUP([jobnumber],OvalData[],MATCH(Table2[[#Headers],[Between Brackets]],Table2[#Headers],0),0)</f>
        <v xml:space="preserve"> 18 ft.- 7 7/ 8"</v>
      </c>
      <c r="G294" s="2" t="str">
        <f>VLOOKUP([jobnumber],OvalData[],MATCH(Table2[[#Headers],[shell]],Table2[#Headers],0),0)</f>
        <v>6 INCH TUBE</v>
      </c>
      <c r="H294" s="2" t="str">
        <f>VLOOKUP([jobnumber],OvalData[],MATCH(Table2[[#Headers],[pipewidth]],Table2[#Headers],0),0)</f>
        <v xml:space="preserve"> 18 ft.- 1 3/ 8"</v>
      </c>
      <c r="I294" s="2">
        <f>VLOOKUP([jobnumber],OvalData[],MATCH(Table2[[#Headers],[Support Tubes]],Table2[#Headers],0),0)</f>
        <v>0</v>
      </c>
      <c r="J294" s="2">
        <f>VLOOKUP([jobnumber],OvalData[],MATCH(Table2[[#Headers],[Upset]],Table2[#Headers],0),0)</f>
        <v>2</v>
      </c>
      <c r="K294" s="2" t="str">
        <f>VLOOKUP([jobnumber],OvalData[],MATCH(Table2[[#Headers],[Guide Type]],Table2[#Headers],0),0)</f>
        <v>SN2-4 5/8-E</v>
      </c>
      <c r="L294" s="2" t="str">
        <f>VLOOKUP([jobnumber],OvalData[],MATCH(Table2[[#Headers],[Wall Angle]],Table2[#Headers],0),0)</f>
        <v xml:space="preserve"> 11 ft.- 8"</v>
      </c>
      <c r="M294" s="2" t="str">
        <f>VLOOKUP([jobnumber],OvalData[],MATCH(Table2[[#Headers],[Middle Angle]],Table2[#Headers],0),0)</f>
        <v xml:space="preserve"> 10 ft.- 4 1/ 2"</v>
      </c>
      <c r="N294" s="2" t="str">
        <f>VLOOKUP([jobnumber],OvalData[],MATCH(Table2[[#Headers],[Front Angle]],Table2[#Headers],0),0)</f>
        <v xml:space="preserve"> 10 ft.- 3"</v>
      </c>
      <c r="O294" s="2">
        <f>VLOOKUP([jobnumber],OvalData[],MATCH(Table2[[#Headers],[Pipe Center Line]],Table2[#Headers],0),0)</f>
        <v>131</v>
      </c>
      <c r="P294" s="2">
        <f>VLOOKUP([jobnumber],OvalData[],MATCH(Table2[[#Headers],[Heat Expansion Gap]],Table2[#Headers],0),0)</f>
        <v>0</v>
      </c>
      <c r="Q294" s="2">
        <f>VLOOKUP([jobnumber],OvalData[],MATCH(Table2[[#Headers],[Hanging Weight Closed]],Table2[#Headers],0),0)</f>
        <v>795</v>
      </c>
      <c r="R294" s="2">
        <f>VLOOKUP([jobnumber],OvalData[],MATCH(Table2[[#Headers],[Hanging Weight Open]],Table2[#Headers],0),0)</f>
        <v>140</v>
      </c>
      <c r="S294" s="2">
        <f>VLOOKUP([jobnumber],OvalData[],MATCH(Table2[[#Headers],[Initial Lever Arm]],Table2[#Headers],0),0)</f>
        <v>4.25</v>
      </c>
      <c r="T294" s="2">
        <f>VLOOKUP([jobnumber],OvalData[],MATCH(Table2[[#Headers],[Turns to Raise]],Table2[#Headers],0),0)</f>
        <v>3.5859999999999999</v>
      </c>
      <c r="U294" s="2">
        <f>VLOOKUP([jobnumber],OvalData[],MATCH(Table2[[#Headers],[Final Lever Arm]],Table2[#Headers],0),0)</f>
        <v>6.37</v>
      </c>
      <c r="V294" s="2">
        <f>VLOOKUP([jobnumber],OvalData[],MATCH(Table2[[#Headers],[Torque Required Closed]],Table2[#Headers],0),0)</f>
        <v>3377.9</v>
      </c>
      <c r="W294" s="2">
        <f>VLOOKUP([jobnumber],OvalData[],MATCH(Table2[[#Headers],[Torque Required Open]],Table2[#Headers],0),0)</f>
        <v>892</v>
      </c>
      <c r="X294" s="2">
        <f>VLOOKUP([jobnumber],OvalData[],MATCH(Table2[[#Headers],[Pre Turns]],Table2[#Headers],0),0)</f>
        <v>1.3332999999999999</v>
      </c>
      <c r="Y294" s="2">
        <f>VLOOKUP([jobnumber],OvalData[],MATCH(Table2[[#Headers],[Required Torque Per Turn]],Table2[#Headers],0),0)</f>
        <v>688</v>
      </c>
      <c r="Z294" s="2">
        <f>VLOOKUP([jobnumber],OvalData[],MATCH(Table2[[#Headers],[Total Turns]],Table2[#Headers],0),0)</f>
        <v>4.91</v>
      </c>
      <c r="AA294" s="2">
        <f>VLOOKUP([jobnumber],OvalData[],MATCH(Table2[[#Headers],[Grille Vision Section]],Table2[#Headers],0),0)</f>
        <v>0</v>
      </c>
      <c r="AB294" s="2">
        <f>VLOOKUP([jobnumber],OvalData[],MATCH(Table2[[#Headers],[Grille Amount]],Table2[#Headers],0),0)</f>
        <v>0</v>
      </c>
      <c r="AC294" s="2">
        <f>VLOOKUP([jobnumber],OvalData[],MATCH(Table2[[#Headers],[Grille Center]],Table2[#Headers],0),0)</f>
        <v>0</v>
      </c>
      <c r="AD294" s="2">
        <f>VLOOKUP([jobnumber],OvalData[],MATCH(Table2[[#Headers],[Grille Pattern]],Table2[#Headers],0),0)</f>
        <v>0</v>
      </c>
      <c r="AE294" s="2">
        <f>VLOOKUP([jobnumber],OvalData[],MATCH(Table2[[#Headers],[Grille First Tube]],Table2[#Headers],0),0)</f>
        <v>0</v>
      </c>
      <c r="AF294" s="2">
        <f>VLOOKUP([jobnumber],OvalData[],MATCH(Table2[[#Headers],[Grille Standard Tube]],Table2[#Headers],0),0)</f>
        <v>0</v>
      </c>
      <c r="AG294" s="2">
        <f>VLOOKUP([jobnumber],OvalData[],MATCH(Table2[[#Headers],[Grille Total Links]],Table2[#Headers],0),0)</f>
        <v>0</v>
      </c>
      <c r="AH294" s="2">
        <f>VLOOKUP([jobnumber],OvalData[],MATCH(Table2[[#Headers],[Grille Rods]],Table2[#Headers],0),0)</f>
        <v>0</v>
      </c>
      <c r="AI294" s="2">
        <f>VLOOKUP([jobnumber],OvalData[],MATCH(Table2[[#Headers],[Grille Rod Length]],Table2[#Headers],0),0)</f>
        <v>0</v>
      </c>
      <c r="AJ294" s="2">
        <f>VLOOKUP([jobnumber],OvalData[],MATCH(Table2[[#Headers],[slattype]],Table2[#Headers],0),0)</f>
        <v>2</v>
      </c>
      <c r="AK294" s="2">
        <f>VLOOKUP([jobnumber],OvalData[],MATCH(Table2[[#Headers],[slatgage]],Table2[#Headers],0),0)</f>
        <v>18</v>
      </c>
      <c r="AL294" s="2">
        <f>VLOOKUP([jobnumber],OvalData[],MATCH(Table2[[#Headers],[Numer of Top Slats]],Table2[#Headers],0),0)</f>
        <v>0</v>
      </c>
      <c r="AM294" s="2">
        <f>VLOOKUP([jobnumber],OvalData[],MATCH(Table2[[#Headers],[Number of Bottom Slats]],Table2[#Headers],0),0)</f>
        <v>0</v>
      </c>
      <c r="AN294" s="2">
        <f>VLOOKUP([jobnumber],OvalData[],MATCH(Table2[[#Headers],[Solid Bottom Height]],Table2[#Headers],0),0)</f>
        <v>0</v>
      </c>
      <c r="AO294" s="2" t="str">
        <f>VLOOKUP([jobnumber],OvalData[],MATCH(Table2[[#Headers],[slatlength]],Table2[#Headers],0),0)</f>
        <v xml:space="preserve"> 18 ft.- 5 7/ 8"</v>
      </c>
      <c r="AP294" s="2">
        <f>VLOOKUP([jobnumber],OvalData[],MATCH(Table2[[#Headers],[Bottom Slat Length]],Table2[#Headers],0),0)</f>
        <v>0</v>
      </c>
      <c r="AQ294" s="2">
        <f>VLOOKUP([jobnumber],OvalData[],MATCH(Table2[[#Headers],[Number of Perferated Slats]],Table2[#Headers],0),0)</f>
        <v>0</v>
      </c>
      <c r="AR294" s="2">
        <f>VLOOKUP([jobnumber],OvalData[],MATCH(Table2[[#Headers],[First Preferated Slat From End]],Table2[#Headers],0),0)</f>
        <v>0</v>
      </c>
      <c r="AS294" s="2">
        <f>VLOOKUP([jobnumber],OvalData[],MATCH(Table2[[#Headers],[First Preferated Slat From Bottom]],Table2[#Headers],0),0)</f>
        <v>0</v>
      </c>
      <c r="AT294" s="2">
        <f>VLOOKUP([jobnumber],OvalData[],MATCH(Table2[[#Headers],[Total Number of Slats]],Table2[#Headers],0),0)</f>
        <v>51</v>
      </c>
      <c r="AU294" s="2">
        <f>VLOOKUP([jobnumber],OvalData[],MATCH(Table2[[#Headers],[Bottom Bar Slope]],Table2[#Headers],0),0)</f>
        <v>0</v>
      </c>
      <c r="AV294" s="2">
        <f>VLOOKUP([jobnumber],OvalData[],MATCH(Table2[[#Headers],[Bottom Bar Weight]],Table2[#Headers],0),0)</f>
        <v>80.5</v>
      </c>
      <c r="AW294" s="2" t="str">
        <f>VLOOKUP([jobnumber],OvalData[],MATCH(Table2[[#Headers],[Outer Spring Gage]],Table2[#Headers],0),0)</f>
        <v>Null</v>
      </c>
      <c r="AX294" s="2" t="str">
        <f>VLOOKUP([jobnumber],OvalData[],MATCH(Table2[[#Headers],[Outer Spring OD]],Table2[#Headers],0),0)</f>
        <v>Null</v>
      </c>
      <c r="AY294" s="2" t="str">
        <f>VLOOKUP([jobnumber],OvalData[],MATCH(Table2[[#Headers],[Outer Spring Length]],Table2[#Headers],0),0)</f>
        <v>Null</v>
      </c>
      <c r="AZ294" s="2" t="str">
        <f>VLOOKUP([jobnumber],OvalData[],MATCH(Table2[[#Headers],[Outer Spring Stretch]],Table2[#Headers],0),0)</f>
        <v>Null</v>
      </c>
      <c r="BA294" s="2" t="str">
        <f>VLOOKUP([jobnumber],OvalData[],MATCH(Table2[[#Headers],[Outer Spring Torque]],Table2[#Headers],0),0)</f>
        <v>Null</v>
      </c>
      <c r="BB294" s="2" t="str">
        <f>VLOOKUP([jobnumber],OvalData[],MATCH(Table2[[#Headers],[Outer Spring Max Turns]],Table2[#Headers],0),0)</f>
        <v>Null</v>
      </c>
      <c r="BC294" s="2" t="str">
        <f>VLOOKUP([jobnumber],OvalData[],MATCH(Table2[[#Headers],[Outer Spring Weight]],Table2[#Headers],0),0)</f>
        <v>Null</v>
      </c>
      <c r="BD294" s="2" t="str">
        <f>VLOOKUP([jobnumber],OvalData[],MATCH(Table2[[#Headers],[Inner Spring Gage]],Table2[#Headers],0),0)</f>
        <v>Null</v>
      </c>
      <c r="BE294" s="2" t="str">
        <f>VLOOKUP([jobnumber],OvalData[],MATCH(Table2[[#Headers],[Inner Spring OD]],Table2[#Headers],0),0)</f>
        <v>Null</v>
      </c>
      <c r="BF294" s="2" t="str">
        <f>VLOOKUP([jobnumber],OvalData[],MATCH(Table2[[#Headers],[Inner Spring Length]],Table2[#Headers],0),0)</f>
        <v>Null</v>
      </c>
      <c r="BG294" s="2" t="str">
        <f>VLOOKUP([jobnumber],OvalData[],MATCH(Table2[[#Headers],[Inner Spring Stretch]],Table2[#Headers],0),0)</f>
        <v>Null</v>
      </c>
      <c r="BH294" s="2" t="str">
        <f>VLOOKUP([jobnumber],OvalData[],MATCH(Table2[[#Headers],[Inner Spring Torque]],Table2[#Headers],0),0)</f>
        <v>Null</v>
      </c>
      <c r="BI294" s="2" t="str">
        <f>VLOOKUP([jobnumber],OvalData[],MATCH(Table2[[#Headers],[Inner Spring Max Turns]],Table2[#Headers],0),0)</f>
        <v>Null</v>
      </c>
      <c r="BJ294" s="2" t="str">
        <f>VLOOKUP([jobnumber],OvalData[],MATCH(Table2[[#Headers],[Inner Spring Weight]],Table2[#Headers],0),0)</f>
        <v>Null</v>
      </c>
      <c r="BK294" s="2">
        <f>VLOOKUP([jobnumber],OvalData[],MATCH(Table2[[#Headers],[Cycles]],Table2[#Headers],0),0)</f>
        <v>0</v>
      </c>
      <c r="BL294" s="2">
        <f>VLOOKUP([jobnumber],OvalData[],MATCH(Table2[[#Headers],[Total Spring Torque]],Table2[#Headers],0),0)</f>
        <v>0</v>
      </c>
      <c r="BM294" s="2">
        <f>VLOOKUP([jobnumber],OvalData[],MATCH(Table2[[#Headers],[Total Spring Weight]],Table2[#Headers],0),0)</f>
        <v>0</v>
      </c>
      <c r="BN294" s="2">
        <f>VLOOKUP([jobnumber],OvalData[],MATCH(Table2[[#Headers],[Pipe Weight]],Table2[#Headers],0),0)</f>
        <v>688.24239999999998</v>
      </c>
      <c r="BO294" s="2">
        <f>VLOOKUP([jobnumber],OvalData[],MATCH(Table2[[#Headers],[Max Pipe Deflection]],Table2[#Headers],0),0)</f>
        <v>2309</v>
      </c>
      <c r="BP294" s="2">
        <f>VLOOKUP([jobnumber],OvalData[],MATCH(Table2[[#Headers],[Number Non-Insulated Wrap Slats]],Table2[#Headers],0),0)</f>
        <v>0</v>
      </c>
      <c r="BQ294" s="2">
        <f>VLOOKUP([jobnumber],OvalData[],MATCH(Table2[[#Headers],[Number of Insolated Top Slats]],Table2[#Headers],0),0)</f>
        <v>45</v>
      </c>
      <c r="BR294" s="2">
        <f>VLOOKUP([jobnumber],OvalData[],MATCH(Table2[[#Headers],[Insolated Total Slats]],Table2[#Headers],0),0)</f>
        <v>45</v>
      </c>
      <c r="BS294" s="2">
        <f>VLOOKUP([jobnumber],OvalData[],MATCH(Table2[[#Headers],[Number of Slats]],Table2[#Headers],0),0)</f>
        <v>44.69</v>
      </c>
      <c r="BT294" s="2">
        <f>VLOOKUP([jobnumber],OvalData[],MATCH(Table2[[#Headers],[Wrap]],Table2[#Headers],0),0)</f>
        <v>0</v>
      </c>
      <c r="BU294" s="2">
        <f>VLOOKUP([jobnumber],OvalData[],MATCH(Table2[[#Headers],[Wall Angle Thickness]],Table2[#Headers],0),0)</f>
        <v>0</v>
      </c>
      <c r="BV294" s="2">
        <f>VLOOKUP([jobnumber],OvalData[],MATCH(Table2[[#Headers],[windlocks]],Table2[#Headers],0),0)</f>
        <v>0</v>
      </c>
      <c r="BW294" s="2" t="str">
        <f>VLOOKUP([jobnumber],OvalData[],MATCH(Table2[[#Headers],[bottombartype]],Table2[#Headers],0),0)</f>
        <v>SPECIAL</v>
      </c>
      <c r="BX294" s="2">
        <f>VLOOKUP([jobnumber],OvalData[],MATCH(Table2[[#Headers],[endlockweight]],Table2[#Headers],0),0)</f>
        <v>0.17</v>
      </c>
      <c r="BY294" s="2">
        <f>VLOOKUP([jobnumber],OvalData[],MATCH(Table2[[#Headers],[Endlock Total Weight]],Table2[#Headers],0),0)</f>
        <v>7.5972999999999997</v>
      </c>
      <c r="BZ294" s="2">
        <f>VLOOKUP([jobnumber],OvalData[],MATCH(Table2[[#Headers],[Grille Weight]],Table2[#Headers],0),0)</f>
        <v>0</v>
      </c>
      <c r="CA294" s="2">
        <f>VLOOKUP([jobnumber],OvalData[],MATCH(Table2[[#Headers],[barrelrings]],Table2[#Headers],0),0)</f>
        <v>1</v>
      </c>
    </row>
    <row r="295" spans="2:79">
      <c r="B295" s="2" t="str">
        <f>VLOOKUP([jobnumber],OvalData[],MATCH(Table2[[#Headers],[Hand]],Table2[#Headers],0),0)</f>
        <v>RH</v>
      </c>
      <c r="C295" s="2" t="str">
        <f>VLOOKUP([jobnumber],OvalData[],MATCH(Table2[[#Headers],[Model]],Table2[#Headers],0),0)</f>
        <v>SFMPP</v>
      </c>
      <c r="D295" s="2" t="str">
        <f>VLOOKUP([jobnumber],OvalData[],MATCH(Table2[[#Headers],[width]],Table2[#Headers],0),0)</f>
        <v xml:space="preserve"> 18 ft.- 2"</v>
      </c>
      <c r="E295" s="2" t="str">
        <f>VLOOKUP([jobnumber],OvalData[],MATCH(Table2[[#Headers],[stopheight]],Table2[#Headers],0),0)</f>
        <v xml:space="preserve"> 10 ft.- 0"</v>
      </c>
      <c r="F295" s="2" t="str">
        <f>VLOOKUP([jobnumber],OvalData[],MATCH(Table2[[#Headers],[Between Brackets]],Table2[#Headers],0),0)</f>
        <v xml:space="preserve"> 18 ft.- 7 7/ 8"</v>
      </c>
      <c r="G295" s="2" t="str">
        <f>VLOOKUP([jobnumber],OvalData[],MATCH(Table2[[#Headers],[shell]],Table2[#Headers],0),0)</f>
        <v>6 INCH TUBE</v>
      </c>
      <c r="H295" s="2" t="str">
        <f>VLOOKUP([jobnumber],OvalData[],MATCH(Table2[[#Headers],[pipewidth]],Table2[#Headers],0),0)</f>
        <v xml:space="preserve"> 18 ft.- 1 3/ 8"</v>
      </c>
      <c r="I295" s="2">
        <f>VLOOKUP([jobnumber],OvalData[],MATCH(Table2[[#Headers],[Support Tubes]],Table2[#Headers],0),0)</f>
        <v>0</v>
      </c>
      <c r="J295" s="2">
        <f>VLOOKUP([jobnumber],OvalData[],MATCH(Table2[[#Headers],[Upset]],Table2[#Headers],0),0)</f>
        <v>2</v>
      </c>
      <c r="K295" s="2" t="str">
        <f>VLOOKUP([jobnumber],OvalData[],MATCH(Table2[[#Headers],[Guide Type]],Table2[#Headers],0),0)</f>
        <v>SN2-4 5/8-E</v>
      </c>
      <c r="L295" s="2" t="str">
        <f>VLOOKUP([jobnumber],OvalData[],MATCH(Table2[[#Headers],[Wall Angle]],Table2[#Headers],0),0)</f>
        <v xml:space="preserve"> 11 ft.- 8"</v>
      </c>
      <c r="M295" s="2" t="str">
        <f>VLOOKUP([jobnumber],OvalData[],MATCH(Table2[[#Headers],[Middle Angle]],Table2[#Headers],0),0)</f>
        <v xml:space="preserve"> 10 ft.- 4 1/ 2"</v>
      </c>
      <c r="N295" s="2" t="str">
        <f>VLOOKUP([jobnumber],OvalData[],MATCH(Table2[[#Headers],[Front Angle]],Table2[#Headers],0),0)</f>
        <v xml:space="preserve"> 10 ft.- 3"</v>
      </c>
      <c r="O295" s="2">
        <f>VLOOKUP([jobnumber],OvalData[],MATCH(Table2[[#Headers],[Pipe Center Line]],Table2[#Headers],0),0)</f>
        <v>131</v>
      </c>
      <c r="P295" s="2">
        <f>VLOOKUP([jobnumber],OvalData[],MATCH(Table2[[#Headers],[Heat Expansion Gap]],Table2[#Headers],0),0)</f>
        <v>0</v>
      </c>
      <c r="Q295" s="2">
        <f>VLOOKUP([jobnumber],OvalData[],MATCH(Table2[[#Headers],[Hanging Weight Closed]],Table2[#Headers],0),0)</f>
        <v>795</v>
      </c>
      <c r="R295" s="2">
        <f>VLOOKUP([jobnumber],OvalData[],MATCH(Table2[[#Headers],[Hanging Weight Open]],Table2[#Headers],0),0)</f>
        <v>140</v>
      </c>
      <c r="S295" s="2">
        <f>VLOOKUP([jobnumber],OvalData[],MATCH(Table2[[#Headers],[Initial Lever Arm]],Table2[#Headers],0),0)</f>
        <v>4.25</v>
      </c>
      <c r="T295" s="2">
        <f>VLOOKUP([jobnumber],OvalData[],MATCH(Table2[[#Headers],[Turns to Raise]],Table2[#Headers],0),0)</f>
        <v>3.5859999999999999</v>
      </c>
      <c r="U295" s="2">
        <f>VLOOKUP([jobnumber],OvalData[],MATCH(Table2[[#Headers],[Final Lever Arm]],Table2[#Headers],0),0)</f>
        <v>6.37</v>
      </c>
      <c r="V295" s="2">
        <f>VLOOKUP([jobnumber],OvalData[],MATCH(Table2[[#Headers],[Torque Required Closed]],Table2[#Headers],0),0)</f>
        <v>3377.9</v>
      </c>
      <c r="W295" s="2">
        <f>VLOOKUP([jobnumber],OvalData[],MATCH(Table2[[#Headers],[Torque Required Open]],Table2[#Headers],0),0)</f>
        <v>892</v>
      </c>
      <c r="X295" s="2">
        <f>VLOOKUP([jobnumber],OvalData[],MATCH(Table2[[#Headers],[Pre Turns]],Table2[#Headers],0),0)</f>
        <v>1.3332999999999999</v>
      </c>
      <c r="Y295" s="2">
        <f>VLOOKUP([jobnumber],OvalData[],MATCH(Table2[[#Headers],[Required Torque Per Turn]],Table2[#Headers],0),0)</f>
        <v>688</v>
      </c>
      <c r="Z295" s="2">
        <f>VLOOKUP([jobnumber],OvalData[],MATCH(Table2[[#Headers],[Total Turns]],Table2[#Headers],0),0)</f>
        <v>4.91</v>
      </c>
      <c r="AA295" s="2">
        <f>VLOOKUP([jobnumber],OvalData[],MATCH(Table2[[#Headers],[Grille Vision Section]],Table2[#Headers],0),0)</f>
        <v>0</v>
      </c>
      <c r="AB295" s="2">
        <f>VLOOKUP([jobnumber],OvalData[],MATCH(Table2[[#Headers],[Grille Amount]],Table2[#Headers],0),0)</f>
        <v>0</v>
      </c>
      <c r="AC295" s="2">
        <f>VLOOKUP([jobnumber],OvalData[],MATCH(Table2[[#Headers],[Grille Center]],Table2[#Headers],0),0)</f>
        <v>0</v>
      </c>
      <c r="AD295" s="2">
        <f>VLOOKUP([jobnumber],OvalData[],MATCH(Table2[[#Headers],[Grille Pattern]],Table2[#Headers],0),0)</f>
        <v>0</v>
      </c>
      <c r="AE295" s="2">
        <f>VLOOKUP([jobnumber],OvalData[],MATCH(Table2[[#Headers],[Grille First Tube]],Table2[#Headers],0),0)</f>
        <v>0</v>
      </c>
      <c r="AF295" s="2">
        <f>VLOOKUP([jobnumber],OvalData[],MATCH(Table2[[#Headers],[Grille Standard Tube]],Table2[#Headers],0),0)</f>
        <v>0</v>
      </c>
      <c r="AG295" s="2">
        <f>VLOOKUP([jobnumber],OvalData[],MATCH(Table2[[#Headers],[Grille Total Links]],Table2[#Headers],0),0)</f>
        <v>0</v>
      </c>
      <c r="AH295" s="2">
        <f>VLOOKUP([jobnumber],OvalData[],MATCH(Table2[[#Headers],[Grille Rods]],Table2[#Headers],0),0)</f>
        <v>0</v>
      </c>
      <c r="AI295" s="2">
        <f>VLOOKUP([jobnumber],OvalData[],MATCH(Table2[[#Headers],[Grille Rod Length]],Table2[#Headers],0),0)</f>
        <v>0</v>
      </c>
      <c r="AJ295" s="2">
        <f>VLOOKUP([jobnumber],OvalData[],MATCH(Table2[[#Headers],[slattype]],Table2[#Headers],0),0)</f>
        <v>2</v>
      </c>
      <c r="AK295" s="2">
        <f>VLOOKUP([jobnumber],OvalData[],MATCH(Table2[[#Headers],[slatgage]],Table2[#Headers],0),0)</f>
        <v>18</v>
      </c>
      <c r="AL295" s="2">
        <f>VLOOKUP([jobnumber],OvalData[],MATCH(Table2[[#Headers],[Numer of Top Slats]],Table2[#Headers],0),0)</f>
        <v>0</v>
      </c>
      <c r="AM295" s="2">
        <f>VLOOKUP([jobnumber],OvalData[],MATCH(Table2[[#Headers],[Number of Bottom Slats]],Table2[#Headers],0),0)</f>
        <v>0</v>
      </c>
      <c r="AN295" s="2">
        <f>VLOOKUP([jobnumber],OvalData[],MATCH(Table2[[#Headers],[Solid Bottom Height]],Table2[#Headers],0),0)</f>
        <v>0</v>
      </c>
      <c r="AO295" s="2" t="str">
        <f>VLOOKUP([jobnumber],OvalData[],MATCH(Table2[[#Headers],[slatlength]],Table2[#Headers],0),0)</f>
        <v xml:space="preserve"> 18 ft.- 5 7/ 8"</v>
      </c>
      <c r="AP295" s="2">
        <f>VLOOKUP([jobnumber],OvalData[],MATCH(Table2[[#Headers],[Bottom Slat Length]],Table2[#Headers],0),0)</f>
        <v>0</v>
      </c>
      <c r="AQ295" s="2">
        <f>VLOOKUP([jobnumber],OvalData[],MATCH(Table2[[#Headers],[Number of Perferated Slats]],Table2[#Headers],0),0)</f>
        <v>0</v>
      </c>
      <c r="AR295" s="2">
        <f>VLOOKUP([jobnumber],OvalData[],MATCH(Table2[[#Headers],[First Preferated Slat From End]],Table2[#Headers],0),0)</f>
        <v>0</v>
      </c>
      <c r="AS295" s="2">
        <f>VLOOKUP([jobnumber],OvalData[],MATCH(Table2[[#Headers],[First Preferated Slat From Bottom]],Table2[#Headers],0),0)</f>
        <v>0</v>
      </c>
      <c r="AT295" s="2">
        <f>VLOOKUP([jobnumber],OvalData[],MATCH(Table2[[#Headers],[Total Number of Slats]],Table2[#Headers],0),0)</f>
        <v>51</v>
      </c>
      <c r="AU295" s="2">
        <f>VLOOKUP([jobnumber],OvalData[],MATCH(Table2[[#Headers],[Bottom Bar Slope]],Table2[#Headers],0),0)</f>
        <v>0</v>
      </c>
      <c r="AV295" s="2">
        <f>VLOOKUP([jobnumber],OvalData[],MATCH(Table2[[#Headers],[Bottom Bar Weight]],Table2[#Headers],0),0)</f>
        <v>80.5</v>
      </c>
      <c r="AW295" s="2" t="str">
        <f>VLOOKUP([jobnumber],OvalData[],MATCH(Table2[[#Headers],[Outer Spring Gage]],Table2[#Headers],0),0)</f>
        <v>Null</v>
      </c>
      <c r="AX295" s="2" t="str">
        <f>VLOOKUP([jobnumber],OvalData[],MATCH(Table2[[#Headers],[Outer Spring OD]],Table2[#Headers],0),0)</f>
        <v>Null</v>
      </c>
      <c r="AY295" s="2" t="str">
        <f>VLOOKUP([jobnumber],OvalData[],MATCH(Table2[[#Headers],[Outer Spring Length]],Table2[#Headers],0),0)</f>
        <v>Null</v>
      </c>
      <c r="AZ295" s="2" t="str">
        <f>VLOOKUP([jobnumber],OvalData[],MATCH(Table2[[#Headers],[Outer Spring Stretch]],Table2[#Headers],0),0)</f>
        <v>Null</v>
      </c>
      <c r="BA295" s="2" t="str">
        <f>VLOOKUP([jobnumber],OvalData[],MATCH(Table2[[#Headers],[Outer Spring Torque]],Table2[#Headers],0),0)</f>
        <v>Null</v>
      </c>
      <c r="BB295" s="2" t="str">
        <f>VLOOKUP([jobnumber],OvalData[],MATCH(Table2[[#Headers],[Outer Spring Max Turns]],Table2[#Headers],0),0)</f>
        <v>Null</v>
      </c>
      <c r="BC295" s="2" t="str">
        <f>VLOOKUP([jobnumber],OvalData[],MATCH(Table2[[#Headers],[Outer Spring Weight]],Table2[#Headers],0),0)</f>
        <v>Null</v>
      </c>
      <c r="BD295" s="2" t="str">
        <f>VLOOKUP([jobnumber],OvalData[],MATCH(Table2[[#Headers],[Inner Spring Gage]],Table2[#Headers],0),0)</f>
        <v>Null</v>
      </c>
      <c r="BE295" s="2" t="str">
        <f>VLOOKUP([jobnumber],OvalData[],MATCH(Table2[[#Headers],[Inner Spring OD]],Table2[#Headers],0),0)</f>
        <v>Null</v>
      </c>
      <c r="BF295" s="2" t="str">
        <f>VLOOKUP([jobnumber],OvalData[],MATCH(Table2[[#Headers],[Inner Spring Length]],Table2[#Headers],0),0)</f>
        <v>Null</v>
      </c>
      <c r="BG295" s="2" t="str">
        <f>VLOOKUP([jobnumber],OvalData[],MATCH(Table2[[#Headers],[Inner Spring Stretch]],Table2[#Headers],0),0)</f>
        <v>Null</v>
      </c>
      <c r="BH295" s="2" t="str">
        <f>VLOOKUP([jobnumber],OvalData[],MATCH(Table2[[#Headers],[Inner Spring Torque]],Table2[#Headers],0),0)</f>
        <v>Null</v>
      </c>
      <c r="BI295" s="2" t="str">
        <f>VLOOKUP([jobnumber],OvalData[],MATCH(Table2[[#Headers],[Inner Spring Max Turns]],Table2[#Headers],0),0)</f>
        <v>Null</v>
      </c>
      <c r="BJ295" s="2" t="str">
        <f>VLOOKUP([jobnumber],OvalData[],MATCH(Table2[[#Headers],[Inner Spring Weight]],Table2[#Headers],0),0)</f>
        <v>Null</v>
      </c>
      <c r="BK295" s="2">
        <f>VLOOKUP([jobnumber],OvalData[],MATCH(Table2[[#Headers],[Cycles]],Table2[#Headers],0),0)</f>
        <v>0</v>
      </c>
      <c r="BL295" s="2">
        <f>VLOOKUP([jobnumber],OvalData[],MATCH(Table2[[#Headers],[Total Spring Torque]],Table2[#Headers],0),0)</f>
        <v>0</v>
      </c>
      <c r="BM295" s="2">
        <f>VLOOKUP([jobnumber],OvalData[],MATCH(Table2[[#Headers],[Total Spring Weight]],Table2[#Headers],0),0)</f>
        <v>0</v>
      </c>
      <c r="BN295" s="2">
        <f>VLOOKUP([jobnumber],OvalData[],MATCH(Table2[[#Headers],[Pipe Weight]],Table2[#Headers],0),0)</f>
        <v>688.24239999999998</v>
      </c>
      <c r="BO295" s="2">
        <f>VLOOKUP([jobnumber],OvalData[],MATCH(Table2[[#Headers],[Max Pipe Deflection]],Table2[#Headers],0),0)</f>
        <v>2309</v>
      </c>
      <c r="BP295" s="2">
        <f>VLOOKUP([jobnumber],OvalData[],MATCH(Table2[[#Headers],[Number Non-Insulated Wrap Slats]],Table2[#Headers],0),0)</f>
        <v>0</v>
      </c>
      <c r="BQ295" s="2">
        <f>VLOOKUP([jobnumber],OvalData[],MATCH(Table2[[#Headers],[Number of Insolated Top Slats]],Table2[#Headers],0),0)</f>
        <v>45</v>
      </c>
      <c r="BR295" s="2">
        <f>VLOOKUP([jobnumber],OvalData[],MATCH(Table2[[#Headers],[Insolated Total Slats]],Table2[#Headers],0),0)</f>
        <v>45</v>
      </c>
      <c r="BS295" s="2">
        <f>VLOOKUP([jobnumber],OvalData[],MATCH(Table2[[#Headers],[Number of Slats]],Table2[#Headers],0),0)</f>
        <v>44.69</v>
      </c>
      <c r="BT295" s="2">
        <f>VLOOKUP([jobnumber],OvalData[],MATCH(Table2[[#Headers],[Wrap]],Table2[#Headers],0),0)</f>
        <v>0</v>
      </c>
      <c r="BU295" s="2">
        <f>VLOOKUP([jobnumber],OvalData[],MATCH(Table2[[#Headers],[Wall Angle Thickness]],Table2[#Headers],0),0)</f>
        <v>0</v>
      </c>
      <c r="BV295" s="2">
        <f>VLOOKUP([jobnumber],OvalData[],MATCH(Table2[[#Headers],[windlocks]],Table2[#Headers],0),0)</f>
        <v>0</v>
      </c>
      <c r="BW295" s="2" t="str">
        <f>VLOOKUP([jobnumber],OvalData[],MATCH(Table2[[#Headers],[bottombartype]],Table2[#Headers],0),0)</f>
        <v>SPECIAL</v>
      </c>
      <c r="BX295" s="2">
        <f>VLOOKUP([jobnumber],OvalData[],MATCH(Table2[[#Headers],[endlockweight]],Table2[#Headers],0),0)</f>
        <v>0.17</v>
      </c>
      <c r="BY295" s="2">
        <f>VLOOKUP([jobnumber],OvalData[],MATCH(Table2[[#Headers],[Endlock Total Weight]],Table2[#Headers],0),0)</f>
        <v>7.5972999999999997</v>
      </c>
      <c r="BZ295" s="2">
        <f>VLOOKUP([jobnumber],OvalData[],MATCH(Table2[[#Headers],[Grille Weight]],Table2[#Headers],0),0)</f>
        <v>0</v>
      </c>
      <c r="CA295" s="2">
        <f>VLOOKUP([jobnumber],OvalData[],MATCH(Table2[[#Headers],[barrelrings]],Table2[#Headers],0),0)</f>
        <v>1</v>
      </c>
    </row>
    <row r="296" spans="2:79">
      <c r="B296" s="2" t="str">
        <f>VLOOKUP([jobnumber],OvalData[],MATCH(Table2[[#Headers],[Hand]],Table2[#Headers],0),0)</f>
        <v>RH</v>
      </c>
      <c r="C296" s="2" t="str">
        <f>VLOOKUP([jobnumber],OvalData[],MATCH(Table2[[#Headers],[Model]],Table2[#Headers],0),0)</f>
        <v>SFMPP</v>
      </c>
      <c r="D296" s="2" t="str">
        <f>VLOOKUP([jobnumber],OvalData[],MATCH(Table2[[#Headers],[width]],Table2[#Headers],0),0)</f>
        <v xml:space="preserve"> 18 ft.- 2"</v>
      </c>
      <c r="E296" s="2" t="str">
        <f>VLOOKUP([jobnumber],OvalData[],MATCH(Table2[[#Headers],[stopheight]],Table2[#Headers],0),0)</f>
        <v xml:space="preserve"> 10 ft.- 0"</v>
      </c>
      <c r="F296" s="2" t="str">
        <f>VLOOKUP([jobnumber],OvalData[],MATCH(Table2[[#Headers],[Between Brackets]],Table2[#Headers],0),0)</f>
        <v xml:space="preserve"> 18 ft.- 7 7/ 8"</v>
      </c>
      <c r="G296" s="2" t="str">
        <f>VLOOKUP([jobnumber],OvalData[],MATCH(Table2[[#Headers],[shell]],Table2[#Headers],0),0)</f>
        <v>6 INCH TUBE</v>
      </c>
      <c r="H296" s="2" t="str">
        <f>VLOOKUP([jobnumber],OvalData[],MATCH(Table2[[#Headers],[pipewidth]],Table2[#Headers],0),0)</f>
        <v xml:space="preserve"> 18 ft.- 1 3/ 8"</v>
      </c>
      <c r="I296" s="2">
        <f>VLOOKUP([jobnumber],OvalData[],MATCH(Table2[[#Headers],[Support Tubes]],Table2[#Headers],0),0)</f>
        <v>0</v>
      </c>
      <c r="J296" s="2">
        <f>VLOOKUP([jobnumber],OvalData[],MATCH(Table2[[#Headers],[Upset]],Table2[#Headers],0),0)</f>
        <v>2</v>
      </c>
      <c r="K296" s="2" t="str">
        <f>VLOOKUP([jobnumber],OvalData[],MATCH(Table2[[#Headers],[Guide Type]],Table2[#Headers],0),0)</f>
        <v>SN2-4 5/8-E</v>
      </c>
      <c r="L296" s="2" t="str">
        <f>VLOOKUP([jobnumber],OvalData[],MATCH(Table2[[#Headers],[Wall Angle]],Table2[#Headers],0),0)</f>
        <v xml:space="preserve"> 11 ft.- 8"</v>
      </c>
      <c r="M296" s="2" t="str">
        <f>VLOOKUP([jobnumber],OvalData[],MATCH(Table2[[#Headers],[Middle Angle]],Table2[#Headers],0),0)</f>
        <v xml:space="preserve"> 10 ft.- 4 1/ 2"</v>
      </c>
      <c r="N296" s="2" t="str">
        <f>VLOOKUP([jobnumber],OvalData[],MATCH(Table2[[#Headers],[Front Angle]],Table2[#Headers],0),0)</f>
        <v xml:space="preserve"> 10 ft.- 3"</v>
      </c>
      <c r="O296" s="2">
        <f>VLOOKUP([jobnumber],OvalData[],MATCH(Table2[[#Headers],[Pipe Center Line]],Table2[#Headers],0),0)</f>
        <v>131</v>
      </c>
      <c r="P296" s="2">
        <f>VLOOKUP([jobnumber],OvalData[],MATCH(Table2[[#Headers],[Heat Expansion Gap]],Table2[#Headers],0),0)</f>
        <v>0</v>
      </c>
      <c r="Q296" s="2">
        <f>VLOOKUP([jobnumber],OvalData[],MATCH(Table2[[#Headers],[Hanging Weight Closed]],Table2[#Headers],0),0)</f>
        <v>795</v>
      </c>
      <c r="R296" s="2">
        <f>VLOOKUP([jobnumber],OvalData[],MATCH(Table2[[#Headers],[Hanging Weight Open]],Table2[#Headers],0),0)</f>
        <v>140</v>
      </c>
      <c r="S296" s="2">
        <f>VLOOKUP([jobnumber],OvalData[],MATCH(Table2[[#Headers],[Initial Lever Arm]],Table2[#Headers],0),0)</f>
        <v>4.25</v>
      </c>
      <c r="T296" s="2">
        <f>VLOOKUP([jobnumber],OvalData[],MATCH(Table2[[#Headers],[Turns to Raise]],Table2[#Headers],0),0)</f>
        <v>3.5859999999999999</v>
      </c>
      <c r="U296" s="2">
        <f>VLOOKUP([jobnumber],OvalData[],MATCH(Table2[[#Headers],[Final Lever Arm]],Table2[#Headers],0),0)</f>
        <v>6.37</v>
      </c>
      <c r="V296" s="2">
        <f>VLOOKUP([jobnumber],OvalData[],MATCH(Table2[[#Headers],[Torque Required Closed]],Table2[#Headers],0),0)</f>
        <v>3377.9</v>
      </c>
      <c r="W296" s="2">
        <f>VLOOKUP([jobnumber],OvalData[],MATCH(Table2[[#Headers],[Torque Required Open]],Table2[#Headers],0),0)</f>
        <v>892</v>
      </c>
      <c r="X296" s="2">
        <f>VLOOKUP([jobnumber],OvalData[],MATCH(Table2[[#Headers],[Pre Turns]],Table2[#Headers],0),0)</f>
        <v>1.3332999999999999</v>
      </c>
      <c r="Y296" s="2">
        <f>VLOOKUP([jobnumber],OvalData[],MATCH(Table2[[#Headers],[Required Torque Per Turn]],Table2[#Headers],0),0)</f>
        <v>688</v>
      </c>
      <c r="Z296" s="2">
        <f>VLOOKUP([jobnumber],OvalData[],MATCH(Table2[[#Headers],[Total Turns]],Table2[#Headers],0),0)</f>
        <v>4.91</v>
      </c>
      <c r="AA296" s="2">
        <f>VLOOKUP([jobnumber],OvalData[],MATCH(Table2[[#Headers],[Grille Vision Section]],Table2[#Headers],0),0)</f>
        <v>0</v>
      </c>
      <c r="AB296" s="2">
        <f>VLOOKUP([jobnumber],OvalData[],MATCH(Table2[[#Headers],[Grille Amount]],Table2[#Headers],0),0)</f>
        <v>0</v>
      </c>
      <c r="AC296" s="2">
        <f>VLOOKUP([jobnumber],OvalData[],MATCH(Table2[[#Headers],[Grille Center]],Table2[#Headers],0),0)</f>
        <v>0</v>
      </c>
      <c r="AD296" s="2">
        <f>VLOOKUP([jobnumber],OvalData[],MATCH(Table2[[#Headers],[Grille Pattern]],Table2[#Headers],0),0)</f>
        <v>0</v>
      </c>
      <c r="AE296" s="2">
        <f>VLOOKUP([jobnumber],OvalData[],MATCH(Table2[[#Headers],[Grille First Tube]],Table2[#Headers],0),0)</f>
        <v>0</v>
      </c>
      <c r="AF296" s="2">
        <f>VLOOKUP([jobnumber],OvalData[],MATCH(Table2[[#Headers],[Grille Standard Tube]],Table2[#Headers],0),0)</f>
        <v>0</v>
      </c>
      <c r="AG296" s="2">
        <f>VLOOKUP([jobnumber],OvalData[],MATCH(Table2[[#Headers],[Grille Total Links]],Table2[#Headers],0),0)</f>
        <v>0</v>
      </c>
      <c r="AH296" s="2">
        <f>VLOOKUP([jobnumber],OvalData[],MATCH(Table2[[#Headers],[Grille Rods]],Table2[#Headers],0),0)</f>
        <v>0</v>
      </c>
      <c r="AI296" s="2">
        <f>VLOOKUP([jobnumber],OvalData[],MATCH(Table2[[#Headers],[Grille Rod Length]],Table2[#Headers],0),0)</f>
        <v>0</v>
      </c>
      <c r="AJ296" s="2">
        <f>VLOOKUP([jobnumber],OvalData[],MATCH(Table2[[#Headers],[slattype]],Table2[#Headers],0),0)</f>
        <v>2</v>
      </c>
      <c r="AK296" s="2">
        <f>VLOOKUP([jobnumber],OvalData[],MATCH(Table2[[#Headers],[slatgage]],Table2[#Headers],0),0)</f>
        <v>18</v>
      </c>
      <c r="AL296" s="2">
        <f>VLOOKUP([jobnumber],OvalData[],MATCH(Table2[[#Headers],[Numer of Top Slats]],Table2[#Headers],0),0)</f>
        <v>0</v>
      </c>
      <c r="AM296" s="2">
        <f>VLOOKUP([jobnumber],OvalData[],MATCH(Table2[[#Headers],[Number of Bottom Slats]],Table2[#Headers],0),0)</f>
        <v>0</v>
      </c>
      <c r="AN296" s="2">
        <f>VLOOKUP([jobnumber],OvalData[],MATCH(Table2[[#Headers],[Solid Bottom Height]],Table2[#Headers],0),0)</f>
        <v>0</v>
      </c>
      <c r="AO296" s="2" t="str">
        <f>VLOOKUP([jobnumber],OvalData[],MATCH(Table2[[#Headers],[slatlength]],Table2[#Headers],0),0)</f>
        <v xml:space="preserve"> 18 ft.- 5 7/ 8"</v>
      </c>
      <c r="AP296" s="2">
        <f>VLOOKUP([jobnumber],OvalData[],MATCH(Table2[[#Headers],[Bottom Slat Length]],Table2[#Headers],0),0)</f>
        <v>0</v>
      </c>
      <c r="AQ296" s="2">
        <f>VLOOKUP([jobnumber],OvalData[],MATCH(Table2[[#Headers],[Number of Perferated Slats]],Table2[#Headers],0),0)</f>
        <v>0</v>
      </c>
      <c r="AR296" s="2">
        <f>VLOOKUP([jobnumber],OvalData[],MATCH(Table2[[#Headers],[First Preferated Slat From End]],Table2[#Headers],0),0)</f>
        <v>0</v>
      </c>
      <c r="AS296" s="2">
        <f>VLOOKUP([jobnumber],OvalData[],MATCH(Table2[[#Headers],[First Preferated Slat From Bottom]],Table2[#Headers],0),0)</f>
        <v>0</v>
      </c>
      <c r="AT296" s="2">
        <f>VLOOKUP([jobnumber],OvalData[],MATCH(Table2[[#Headers],[Total Number of Slats]],Table2[#Headers],0),0)</f>
        <v>51</v>
      </c>
      <c r="AU296" s="2">
        <f>VLOOKUP([jobnumber],OvalData[],MATCH(Table2[[#Headers],[Bottom Bar Slope]],Table2[#Headers],0),0)</f>
        <v>0</v>
      </c>
      <c r="AV296" s="2">
        <f>VLOOKUP([jobnumber],OvalData[],MATCH(Table2[[#Headers],[Bottom Bar Weight]],Table2[#Headers],0),0)</f>
        <v>80.5</v>
      </c>
      <c r="AW296" s="2" t="str">
        <f>VLOOKUP([jobnumber],OvalData[],MATCH(Table2[[#Headers],[Outer Spring Gage]],Table2[#Headers],0),0)</f>
        <v>Null</v>
      </c>
      <c r="AX296" s="2" t="str">
        <f>VLOOKUP([jobnumber],OvalData[],MATCH(Table2[[#Headers],[Outer Spring OD]],Table2[#Headers],0),0)</f>
        <v>Null</v>
      </c>
      <c r="AY296" s="2" t="str">
        <f>VLOOKUP([jobnumber],OvalData[],MATCH(Table2[[#Headers],[Outer Spring Length]],Table2[#Headers],0),0)</f>
        <v>Null</v>
      </c>
      <c r="AZ296" s="2" t="str">
        <f>VLOOKUP([jobnumber],OvalData[],MATCH(Table2[[#Headers],[Outer Spring Stretch]],Table2[#Headers],0),0)</f>
        <v>Null</v>
      </c>
      <c r="BA296" s="2" t="str">
        <f>VLOOKUP([jobnumber],OvalData[],MATCH(Table2[[#Headers],[Outer Spring Torque]],Table2[#Headers],0),0)</f>
        <v>Null</v>
      </c>
      <c r="BB296" s="2" t="str">
        <f>VLOOKUP([jobnumber],OvalData[],MATCH(Table2[[#Headers],[Outer Spring Max Turns]],Table2[#Headers],0),0)</f>
        <v>Null</v>
      </c>
      <c r="BC296" s="2" t="str">
        <f>VLOOKUP([jobnumber],OvalData[],MATCH(Table2[[#Headers],[Outer Spring Weight]],Table2[#Headers],0),0)</f>
        <v>Null</v>
      </c>
      <c r="BD296" s="2" t="str">
        <f>VLOOKUP([jobnumber],OvalData[],MATCH(Table2[[#Headers],[Inner Spring Gage]],Table2[#Headers],0),0)</f>
        <v>Null</v>
      </c>
      <c r="BE296" s="2" t="str">
        <f>VLOOKUP([jobnumber],OvalData[],MATCH(Table2[[#Headers],[Inner Spring OD]],Table2[#Headers],0),0)</f>
        <v>Null</v>
      </c>
      <c r="BF296" s="2" t="str">
        <f>VLOOKUP([jobnumber],OvalData[],MATCH(Table2[[#Headers],[Inner Spring Length]],Table2[#Headers],0),0)</f>
        <v>Null</v>
      </c>
      <c r="BG296" s="2" t="str">
        <f>VLOOKUP([jobnumber],OvalData[],MATCH(Table2[[#Headers],[Inner Spring Stretch]],Table2[#Headers],0),0)</f>
        <v>Null</v>
      </c>
      <c r="BH296" s="2" t="str">
        <f>VLOOKUP([jobnumber],OvalData[],MATCH(Table2[[#Headers],[Inner Spring Torque]],Table2[#Headers],0),0)</f>
        <v>Null</v>
      </c>
      <c r="BI296" s="2" t="str">
        <f>VLOOKUP([jobnumber],OvalData[],MATCH(Table2[[#Headers],[Inner Spring Max Turns]],Table2[#Headers],0),0)</f>
        <v>Null</v>
      </c>
      <c r="BJ296" s="2" t="str">
        <f>VLOOKUP([jobnumber],OvalData[],MATCH(Table2[[#Headers],[Inner Spring Weight]],Table2[#Headers],0),0)</f>
        <v>Null</v>
      </c>
      <c r="BK296" s="2">
        <f>VLOOKUP([jobnumber],OvalData[],MATCH(Table2[[#Headers],[Cycles]],Table2[#Headers],0),0)</f>
        <v>0</v>
      </c>
      <c r="BL296" s="2">
        <f>VLOOKUP([jobnumber],OvalData[],MATCH(Table2[[#Headers],[Total Spring Torque]],Table2[#Headers],0),0)</f>
        <v>0</v>
      </c>
      <c r="BM296" s="2">
        <f>VLOOKUP([jobnumber],OvalData[],MATCH(Table2[[#Headers],[Total Spring Weight]],Table2[#Headers],0),0)</f>
        <v>0</v>
      </c>
      <c r="BN296" s="2">
        <f>VLOOKUP([jobnumber],OvalData[],MATCH(Table2[[#Headers],[Pipe Weight]],Table2[#Headers],0),0)</f>
        <v>688.24239999999998</v>
      </c>
      <c r="BO296" s="2">
        <f>VLOOKUP([jobnumber],OvalData[],MATCH(Table2[[#Headers],[Max Pipe Deflection]],Table2[#Headers],0),0)</f>
        <v>2309</v>
      </c>
      <c r="BP296" s="2">
        <f>VLOOKUP([jobnumber],OvalData[],MATCH(Table2[[#Headers],[Number Non-Insulated Wrap Slats]],Table2[#Headers],0),0)</f>
        <v>0</v>
      </c>
      <c r="BQ296" s="2">
        <f>VLOOKUP([jobnumber],OvalData[],MATCH(Table2[[#Headers],[Number of Insolated Top Slats]],Table2[#Headers],0),0)</f>
        <v>45</v>
      </c>
      <c r="BR296" s="2">
        <f>VLOOKUP([jobnumber],OvalData[],MATCH(Table2[[#Headers],[Insolated Total Slats]],Table2[#Headers],0),0)</f>
        <v>45</v>
      </c>
      <c r="BS296" s="2">
        <f>VLOOKUP([jobnumber],OvalData[],MATCH(Table2[[#Headers],[Number of Slats]],Table2[#Headers],0),0)</f>
        <v>44.69</v>
      </c>
      <c r="BT296" s="2">
        <f>VLOOKUP([jobnumber],OvalData[],MATCH(Table2[[#Headers],[Wrap]],Table2[#Headers],0),0)</f>
        <v>0</v>
      </c>
      <c r="BU296" s="2">
        <f>VLOOKUP([jobnumber],OvalData[],MATCH(Table2[[#Headers],[Wall Angle Thickness]],Table2[#Headers],0),0)</f>
        <v>0</v>
      </c>
      <c r="BV296" s="2">
        <f>VLOOKUP([jobnumber],OvalData[],MATCH(Table2[[#Headers],[windlocks]],Table2[#Headers],0),0)</f>
        <v>0</v>
      </c>
      <c r="BW296" s="2" t="str">
        <f>VLOOKUP([jobnumber],OvalData[],MATCH(Table2[[#Headers],[bottombartype]],Table2[#Headers],0),0)</f>
        <v>SPECIAL</v>
      </c>
      <c r="BX296" s="2">
        <f>VLOOKUP([jobnumber],OvalData[],MATCH(Table2[[#Headers],[endlockweight]],Table2[#Headers],0),0)</f>
        <v>0.17</v>
      </c>
      <c r="BY296" s="2">
        <f>VLOOKUP([jobnumber],OvalData[],MATCH(Table2[[#Headers],[Endlock Total Weight]],Table2[#Headers],0),0)</f>
        <v>7.5972999999999997</v>
      </c>
      <c r="BZ296" s="2">
        <f>VLOOKUP([jobnumber],OvalData[],MATCH(Table2[[#Headers],[Grille Weight]],Table2[#Headers],0),0)</f>
        <v>0</v>
      </c>
      <c r="CA296" s="2">
        <f>VLOOKUP([jobnumber],OvalData[],MATCH(Table2[[#Headers],[barrelrings]],Table2[#Headers],0),0)</f>
        <v>1</v>
      </c>
    </row>
    <row r="297" spans="2:79">
      <c r="B297" s="2" t="str">
        <f>VLOOKUP([jobnumber],OvalData[],MATCH(Table2[[#Headers],[Hand]],Table2[#Headers],0),0)</f>
        <v>RH</v>
      </c>
      <c r="C297" s="2" t="str">
        <f>VLOOKUP([jobnumber],OvalData[],MATCH(Table2[[#Headers],[Model]],Table2[#Headers],0),0)</f>
        <v>SFMPP</v>
      </c>
      <c r="D297" s="2" t="str">
        <f>VLOOKUP([jobnumber],OvalData[],MATCH(Table2[[#Headers],[width]],Table2[#Headers],0),0)</f>
        <v xml:space="preserve"> 18 ft.- 2"</v>
      </c>
      <c r="E297" s="2" t="str">
        <f>VLOOKUP([jobnumber],OvalData[],MATCH(Table2[[#Headers],[stopheight]],Table2[#Headers],0),0)</f>
        <v xml:space="preserve"> 10 ft.- 0"</v>
      </c>
      <c r="F297" s="2" t="str">
        <f>VLOOKUP([jobnumber],OvalData[],MATCH(Table2[[#Headers],[Between Brackets]],Table2[#Headers],0),0)</f>
        <v xml:space="preserve"> 18 ft.- 7 7/ 8"</v>
      </c>
      <c r="G297" s="2" t="str">
        <f>VLOOKUP([jobnumber],OvalData[],MATCH(Table2[[#Headers],[shell]],Table2[#Headers],0),0)</f>
        <v>6 INCH TUBE</v>
      </c>
      <c r="H297" s="2" t="str">
        <f>VLOOKUP([jobnumber],OvalData[],MATCH(Table2[[#Headers],[pipewidth]],Table2[#Headers],0),0)</f>
        <v xml:space="preserve"> 18 ft.- 1 3/ 8"</v>
      </c>
      <c r="I297" s="2">
        <f>VLOOKUP([jobnumber],OvalData[],MATCH(Table2[[#Headers],[Support Tubes]],Table2[#Headers],0),0)</f>
        <v>0</v>
      </c>
      <c r="J297" s="2">
        <f>VLOOKUP([jobnumber],OvalData[],MATCH(Table2[[#Headers],[Upset]],Table2[#Headers],0),0)</f>
        <v>2</v>
      </c>
      <c r="K297" s="2" t="str">
        <f>VLOOKUP([jobnumber],OvalData[],MATCH(Table2[[#Headers],[Guide Type]],Table2[#Headers],0),0)</f>
        <v>SN2-4 5/8-E</v>
      </c>
      <c r="L297" s="2" t="str">
        <f>VLOOKUP([jobnumber],OvalData[],MATCH(Table2[[#Headers],[Wall Angle]],Table2[#Headers],0),0)</f>
        <v xml:space="preserve"> 11 ft.- 8"</v>
      </c>
      <c r="M297" s="2" t="str">
        <f>VLOOKUP([jobnumber],OvalData[],MATCH(Table2[[#Headers],[Middle Angle]],Table2[#Headers],0),0)</f>
        <v xml:space="preserve"> 10 ft.- 4 1/ 2"</v>
      </c>
      <c r="N297" s="2" t="str">
        <f>VLOOKUP([jobnumber],OvalData[],MATCH(Table2[[#Headers],[Front Angle]],Table2[#Headers],0),0)</f>
        <v xml:space="preserve"> 10 ft.- 3"</v>
      </c>
      <c r="O297" s="2">
        <f>VLOOKUP([jobnumber],OvalData[],MATCH(Table2[[#Headers],[Pipe Center Line]],Table2[#Headers],0),0)</f>
        <v>131</v>
      </c>
      <c r="P297" s="2">
        <f>VLOOKUP([jobnumber],OvalData[],MATCH(Table2[[#Headers],[Heat Expansion Gap]],Table2[#Headers],0),0)</f>
        <v>0</v>
      </c>
      <c r="Q297" s="2">
        <f>VLOOKUP([jobnumber],OvalData[],MATCH(Table2[[#Headers],[Hanging Weight Closed]],Table2[#Headers],0),0)</f>
        <v>795</v>
      </c>
      <c r="R297" s="2">
        <f>VLOOKUP([jobnumber],OvalData[],MATCH(Table2[[#Headers],[Hanging Weight Open]],Table2[#Headers],0),0)</f>
        <v>140</v>
      </c>
      <c r="S297" s="2">
        <f>VLOOKUP([jobnumber],OvalData[],MATCH(Table2[[#Headers],[Initial Lever Arm]],Table2[#Headers],0),0)</f>
        <v>4.25</v>
      </c>
      <c r="T297" s="2">
        <f>VLOOKUP([jobnumber],OvalData[],MATCH(Table2[[#Headers],[Turns to Raise]],Table2[#Headers],0),0)</f>
        <v>3.5859999999999999</v>
      </c>
      <c r="U297" s="2">
        <f>VLOOKUP([jobnumber],OvalData[],MATCH(Table2[[#Headers],[Final Lever Arm]],Table2[#Headers],0),0)</f>
        <v>6.37</v>
      </c>
      <c r="V297" s="2">
        <f>VLOOKUP([jobnumber],OvalData[],MATCH(Table2[[#Headers],[Torque Required Closed]],Table2[#Headers],0),0)</f>
        <v>3377.9</v>
      </c>
      <c r="W297" s="2">
        <f>VLOOKUP([jobnumber],OvalData[],MATCH(Table2[[#Headers],[Torque Required Open]],Table2[#Headers],0),0)</f>
        <v>892</v>
      </c>
      <c r="X297" s="2">
        <f>VLOOKUP([jobnumber],OvalData[],MATCH(Table2[[#Headers],[Pre Turns]],Table2[#Headers],0),0)</f>
        <v>1.3332999999999999</v>
      </c>
      <c r="Y297" s="2">
        <f>VLOOKUP([jobnumber],OvalData[],MATCH(Table2[[#Headers],[Required Torque Per Turn]],Table2[#Headers],0),0)</f>
        <v>688</v>
      </c>
      <c r="Z297" s="2">
        <f>VLOOKUP([jobnumber],OvalData[],MATCH(Table2[[#Headers],[Total Turns]],Table2[#Headers],0),0)</f>
        <v>4.91</v>
      </c>
      <c r="AA297" s="2">
        <f>VLOOKUP([jobnumber],OvalData[],MATCH(Table2[[#Headers],[Grille Vision Section]],Table2[#Headers],0),0)</f>
        <v>0</v>
      </c>
      <c r="AB297" s="2">
        <f>VLOOKUP([jobnumber],OvalData[],MATCH(Table2[[#Headers],[Grille Amount]],Table2[#Headers],0),0)</f>
        <v>0</v>
      </c>
      <c r="AC297" s="2">
        <f>VLOOKUP([jobnumber],OvalData[],MATCH(Table2[[#Headers],[Grille Center]],Table2[#Headers],0),0)</f>
        <v>0</v>
      </c>
      <c r="AD297" s="2">
        <f>VLOOKUP([jobnumber],OvalData[],MATCH(Table2[[#Headers],[Grille Pattern]],Table2[#Headers],0),0)</f>
        <v>0</v>
      </c>
      <c r="AE297" s="2">
        <f>VLOOKUP([jobnumber],OvalData[],MATCH(Table2[[#Headers],[Grille First Tube]],Table2[#Headers],0),0)</f>
        <v>0</v>
      </c>
      <c r="AF297" s="2">
        <f>VLOOKUP([jobnumber],OvalData[],MATCH(Table2[[#Headers],[Grille Standard Tube]],Table2[#Headers],0),0)</f>
        <v>0</v>
      </c>
      <c r="AG297" s="2">
        <f>VLOOKUP([jobnumber],OvalData[],MATCH(Table2[[#Headers],[Grille Total Links]],Table2[#Headers],0),0)</f>
        <v>0</v>
      </c>
      <c r="AH297" s="2">
        <f>VLOOKUP([jobnumber],OvalData[],MATCH(Table2[[#Headers],[Grille Rods]],Table2[#Headers],0),0)</f>
        <v>0</v>
      </c>
      <c r="AI297" s="2">
        <f>VLOOKUP([jobnumber],OvalData[],MATCH(Table2[[#Headers],[Grille Rod Length]],Table2[#Headers],0),0)</f>
        <v>0</v>
      </c>
      <c r="AJ297" s="2">
        <f>VLOOKUP([jobnumber],OvalData[],MATCH(Table2[[#Headers],[slattype]],Table2[#Headers],0),0)</f>
        <v>2</v>
      </c>
      <c r="AK297" s="2">
        <f>VLOOKUP([jobnumber],OvalData[],MATCH(Table2[[#Headers],[slatgage]],Table2[#Headers],0),0)</f>
        <v>18</v>
      </c>
      <c r="AL297" s="2">
        <f>VLOOKUP([jobnumber],OvalData[],MATCH(Table2[[#Headers],[Numer of Top Slats]],Table2[#Headers],0),0)</f>
        <v>0</v>
      </c>
      <c r="AM297" s="2">
        <f>VLOOKUP([jobnumber],OvalData[],MATCH(Table2[[#Headers],[Number of Bottom Slats]],Table2[#Headers],0),0)</f>
        <v>0</v>
      </c>
      <c r="AN297" s="2">
        <f>VLOOKUP([jobnumber],OvalData[],MATCH(Table2[[#Headers],[Solid Bottom Height]],Table2[#Headers],0),0)</f>
        <v>0</v>
      </c>
      <c r="AO297" s="2" t="str">
        <f>VLOOKUP([jobnumber],OvalData[],MATCH(Table2[[#Headers],[slatlength]],Table2[#Headers],0),0)</f>
        <v xml:space="preserve"> 18 ft.- 5 7/ 8"</v>
      </c>
      <c r="AP297" s="2">
        <f>VLOOKUP([jobnumber],OvalData[],MATCH(Table2[[#Headers],[Bottom Slat Length]],Table2[#Headers],0),0)</f>
        <v>0</v>
      </c>
      <c r="AQ297" s="2">
        <f>VLOOKUP([jobnumber],OvalData[],MATCH(Table2[[#Headers],[Number of Perferated Slats]],Table2[#Headers],0),0)</f>
        <v>0</v>
      </c>
      <c r="AR297" s="2">
        <f>VLOOKUP([jobnumber],OvalData[],MATCH(Table2[[#Headers],[First Preferated Slat From End]],Table2[#Headers],0),0)</f>
        <v>0</v>
      </c>
      <c r="AS297" s="2">
        <f>VLOOKUP([jobnumber],OvalData[],MATCH(Table2[[#Headers],[First Preferated Slat From Bottom]],Table2[#Headers],0),0)</f>
        <v>0</v>
      </c>
      <c r="AT297" s="2">
        <f>VLOOKUP([jobnumber],OvalData[],MATCH(Table2[[#Headers],[Total Number of Slats]],Table2[#Headers],0),0)</f>
        <v>51</v>
      </c>
      <c r="AU297" s="2">
        <f>VLOOKUP([jobnumber],OvalData[],MATCH(Table2[[#Headers],[Bottom Bar Slope]],Table2[#Headers],0),0)</f>
        <v>0</v>
      </c>
      <c r="AV297" s="2">
        <f>VLOOKUP([jobnumber],OvalData[],MATCH(Table2[[#Headers],[Bottom Bar Weight]],Table2[#Headers],0),0)</f>
        <v>80.5</v>
      </c>
      <c r="AW297" s="2" t="str">
        <f>VLOOKUP([jobnumber],OvalData[],MATCH(Table2[[#Headers],[Outer Spring Gage]],Table2[#Headers],0),0)</f>
        <v>Null</v>
      </c>
      <c r="AX297" s="2" t="str">
        <f>VLOOKUP([jobnumber],OvalData[],MATCH(Table2[[#Headers],[Outer Spring OD]],Table2[#Headers],0),0)</f>
        <v>Null</v>
      </c>
      <c r="AY297" s="2" t="str">
        <f>VLOOKUP([jobnumber],OvalData[],MATCH(Table2[[#Headers],[Outer Spring Length]],Table2[#Headers],0),0)</f>
        <v>Null</v>
      </c>
      <c r="AZ297" s="2" t="str">
        <f>VLOOKUP([jobnumber],OvalData[],MATCH(Table2[[#Headers],[Outer Spring Stretch]],Table2[#Headers],0),0)</f>
        <v>Null</v>
      </c>
      <c r="BA297" s="2" t="str">
        <f>VLOOKUP([jobnumber],OvalData[],MATCH(Table2[[#Headers],[Outer Spring Torque]],Table2[#Headers],0),0)</f>
        <v>Null</v>
      </c>
      <c r="BB297" s="2" t="str">
        <f>VLOOKUP([jobnumber],OvalData[],MATCH(Table2[[#Headers],[Outer Spring Max Turns]],Table2[#Headers],0),0)</f>
        <v>Null</v>
      </c>
      <c r="BC297" s="2" t="str">
        <f>VLOOKUP([jobnumber],OvalData[],MATCH(Table2[[#Headers],[Outer Spring Weight]],Table2[#Headers],0),0)</f>
        <v>Null</v>
      </c>
      <c r="BD297" s="2" t="str">
        <f>VLOOKUP([jobnumber],OvalData[],MATCH(Table2[[#Headers],[Inner Spring Gage]],Table2[#Headers],0),0)</f>
        <v>Null</v>
      </c>
      <c r="BE297" s="2" t="str">
        <f>VLOOKUP([jobnumber],OvalData[],MATCH(Table2[[#Headers],[Inner Spring OD]],Table2[#Headers],0),0)</f>
        <v>Null</v>
      </c>
      <c r="BF297" s="2" t="str">
        <f>VLOOKUP([jobnumber],OvalData[],MATCH(Table2[[#Headers],[Inner Spring Length]],Table2[#Headers],0),0)</f>
        <v>Null</v>
      </c>
      <c r="BG297" s="2" t="str">
        <f>VLOOKUP([jobnumber],OvalData[],MATCH(Table2[[#Headers],[Inner Spring Stretch]],Table2[#Headers],0),0)</f>
        <v>Null</v>
      </c>
      <c r="BH297" s="2" t="str">
        <f>VLOOKUP([jobnumber],OvalData[],MATCH(Table2[[#Headers],[Inner Spring Torque]],Table2[#Headers],0),0)</f>
        <v>Null</v>
      </c>
      <c r="BI297" s="2" t="str">
        <f>VLOOKUP([jobnumber],OvalData[],MATCH(Table2[[#Headers],[Inner Spring Max Turns]],Table2[#Headers],0),0)</f>
        <v>Null</v>
      </c>
      <c r="BJ297" s="2" t="str">
        <f>VLOOKUP([jobnumber],OvalData[],MATCH(Table2[[#Headers],[Inner Spring Weight]],Table2[#Headers],0),0)</f>
        <v>Null</v>
      </c>
      <c r="BK297" s="2">
        <f>VLOOKUP([jobnumber],OvalData[],MATCH(Table2[[#Headers],[Cycles]],Table2[#Headers],0),0)</f>
        <v>0</v>
      </c>
      <c r="BL297" s="2">
        <f>VLOOKUP([jobnumber],OvalData[],MATCH(Table2[[#Headers],[Total Spring Torque]],Table2[#Headers],0),0)</f>
        <v>0</v>
      </c>
      <c r="BM297" s="2">
        <f>VLOOKUP([jobnumber],OvalData[],MATCH(Table2[[#Headers],[Total Spring Weight]],Table2[#Headers],0),0)</f>
        <v>0</v>
      </c>
      <c r="BN297" s="2">
        <f>VLOOKUP([jobnumber],OvalData[],MATCH(Table2[[#Headers],[Pipe Weight]],Table2[#Headers],0),0)</f>
        <v>688.24239999999998</v>
      </c>
      <c r="BO297" s="2">
        <f>VLOOKUP([jobnumber],OvalData[],MATCH(Table2[[#Headers],[Max Pipe Deflection]],Table2[#Headers],0),0)</f>
        <v>2309</v>
      </c>
      <c r="BP297" s="2">
        <f>VLOOKUP([jobnumber],OvalData[],MATCH(Table2[[#Headers],[Number Non-Insulated Wrap Slats]],Table2[#Headers],0),0)</f>
        <v>0</v>
      </c>
      <c r="BQ297" s="2">
        <f>VLOOKUP([jobnumber],OvalData[],MATCH(Table2[[#Headers],[Number of Insolated Top Slats]],Table2[#Headers],0),0)</f>
        <v>45</v>
      </c>
      <c r="BR297" s="2">
        <f>VLOOKUP([jobnumber],OvalData[],MATCH(Table2[[#Headers],[Insolated Total Slats]],Table2[#Headers],0),0)</f>
        <v>45</v>
      </c>
      <c r="BS297" s="2">
        <f>VLOOKUP([jobnumber],OvalData[],MATCH(Table2[[#Headers],[Number of Slats]],Table2[#Headers],0),0)</f>
        <v>44.69</v>
      </c>
      <c r="BT297" s="2">
        <f>VLOOKUP([jobnumber],OvalData[],MATCH(Table2[[#Headers],[Wrap]],Table2[#Headers],0),0)</f>
        <v>0</v>
      </c>
      <c r="BU297" s="2">
        <f>VLOOKUP([jobnumber],OvalData[],MATCH(Table2[[#Headers],[Wall Angle Thickness]],Table2[#Headers],0),0)</f>
        <v>0</v>
      </c>
      <c r="BV297" s="2">
        <f>VLOOKUP([jobnumber],OvalData[],MATCH(Table2[[#Headers],[windlocks]],Table2[#Headers],0),0)</f>
        <v>0</v>
      </c>
      <c r="BW297" s="2" t="str">
        <f>VLOOKUP([jobnumber],OvalData[],MATCH(Table2[[#Headers],[bottombartype]],Table2[#Headers],0),0)</f>
        <v>SPECIAL</v>
      </c>
      <c r="BX297" s="2">
        <f>VLOOKUP([jobnumber],OvalData[],MATCH(Table2[[#Headers],[endlockweight]],Table2[#Headers],0),0)</f>
        <v>0.17</v>
      </c>
      <c r="BY297" s="2">
        <f>VLOOKUP([jobnumber],OvalData[],MATCH(Table2[[#Headers],[Endlock Total Weight]],Table2[#Headers],0),0)</f>
        <v>7.5972999999999997</v>
      </c>
      <c r="BZ297" s="2">
        <f>VLOOKUP([jobnumber],OvalData[],MATCH(Table2[[#Headers],[Grille Weight]],Table2[#Headers],0),0)</f>
        <v>0</v>
      </c>
      <c r="CA297" s="2">
        <f>VLOOKUP([jobnumber],OvalData[],MATCH(Table2[[#Headers],[barrelrings]],Table2[#Headers],0),0)</f>
        <v>1</v>
      </c>
    </row>
    <row r="298" spans="2:79">
      <c r="B298" s="2" t="str">
        <f>VLOOKUP([jobnumber],OvalData[],MATCH(Table2[[#Headers],[Hand]],Table2[#Headers],0),0)</f>
        <v>RH</v>
      </c>
      <c r="C298" s="2" t="str">
        <f>VLOOKUP([jobnumber],OvalData[],MATCH(Table2[[#Headers],[Model]],Table2[#Headers],0),0)</f>
        <v>SFMPP</v>
      </c>
      <c r="D298" s="2" t="str">
        <f>VLOOKUP([jobnumber],OvalData[],MATCH(Table2[[#Headers],[width]],Table2[#Headers],0),0)</f>
        <v xml:space="preserve"> 18 ft.- 2"</v>
      </c>
      <c r="E298" s="2" t="str">
        <f>VLOOKUP([jobnumber],OvalData[],MATCH(Table2[[#Headers],[stopheight]],Table2[#Headers],0),0)</f>
        <v xml:space="preserve"> 10 ft.- 0"</v>
      </c>
      <c r="F298" s="2" t="str">
        <f>VLOOKUP([jobnumber],OvalData[],MATCH(Table2[[#Headers],[Between Brackets]],Table2[#Headers],0),0)</f>
        <v xml:space="preserve"> 18 ft.- 7 7/ 8"</v>
      </c>
      <c r="G298" s="2" t="str">
        <f>VLOOKUP([jobnumber],OvalData[],MATCH(Table2[[#Headers],[shell]],Table2[#Headers],0),0)</f>
        <v>6 INCH TUBE</v>
      </c>
      <c r="H298" s="2" t="str">
        <f>VLOOKUP([jobnumber],OvalData[],MATCH(Table2[[#Headers],[pipewidth]],Table2[#Headers],0),0)</f>
        <v xml:space="preserve"> 18 ft.- 1 3/ 8"</v>
      </c>
      <c r="I298" s="2">
        <f>VLOOKUP([jobnumber],OvalData[],MATCH(Table2[[#Headers],[Support Tubes]],Table2[#Headers],0),0)</f>
        <v>0</v>
      </c>
      <c r="J298" s="2">
        <f>VLOOKUP([jobnumber],OvalData[],MATCH(Table2[[#Headers],[Upset]],Table2[#Headers],0),0)</f>
        <v>2</v>
      </c>
      <c r="K298" s="2" t="str">
        <f>VLOOKUP([jobnumber],OvalData[],MATCH(Table2[[#Headers],[Guide Type]],Table2[#Headers],0),0)</f>
        <v>SN2-4 5/8-E</v>
      </c>
      <c r="L298" s="2" t="str">
        <f>VLOOKUP([jobnumber],OvalData[],MATCH(Table2[[#Headers],[Wall Angle]],Table2[#Headers],0),0)</f>
        <v xml:space="preserve"> 11 ft.- 8"</v>
      </c>
      <c r="M298" s="2" t="str">
        <f>VLOOKUP([jobnumber],OvalData[],MATCH(Table2[[#Headers],[Middle Angle]],Table2[#Headers],0),0)</f>
        <v xml:space="preserve"> 10 ft.- 4 1/ 2"</v>
      </c>
      <c r="N298" s="2" t="str">
        <f>VLOOKUP([jobnumber],OvalData[],MATCH(Table2[[#Headers],[Front Angle]],Table2[#Headers],0),0)</f>
        <v xml:space="preserve"> 10 ft.- 3"</v>
      </c>
      <c r="O298" s="2">
        <f>VLOOKUP([jobnumber],OvalData[],MATCH(Table2[[#Headers],[Pipe Center Line]],Table2[#Headers],0),0)</f>
        <v>131</v>
      </c>
      <c r="P298" s="2">
        <f>VLOOKUP([jobnumber],OvalData[],MATCH(Table2[[#Headers],[Heat Expansion Gap]],Table2[#Headers],0),0)</f>
        <v>0</v>
      </c>
      <c r="Q298" s="2">
        <f>VLOOKUP([jobnumber],OvalData[],MATCH(Table2[[#Headers],[Hanging Weight Closed]],Table2[#Headers],0),0)</f>
        <v>795</v>
      </c>
      <c r="R298" s="2">
        <f>VLOOKUP([jobnumber],OvalData[],MATCH(Table2[[#Headers],[Hanging Weight Open]],Table2[#Headers],0),0)</f>
        <v>140</v>
      </c>
      <c r="S298" s="2">
        <f>VLOOKUP([jobnumber],OvalData[],MATCH(Table2[[#Headers],[Initial Lever Arm]],Table2[#Headers],0),0)</f>
        <v>4.25</v>
      </c>
      <c r="T298" s="2">
        <f>VLOOKUP([jobnumber],OvalData[],MATCH(Table2[[#Headers],[Turns to Raise]],Table2[#Headers],0),0)</f>
        <v>3.5859999999999999</v>
      </c>
      <c r="U298" s="2">
        <f>VLOOKUP([jobnumber],OvalData[],MATCH(Table2[[#Headers],[Final Lever Arm]],Table2[#Headers],0),0)</f>
        <v>6.37</v>
      </c>
      <c r="V298" s="2">
        <f>VLOOKUP([jobnumber],OvalData[],MATCH(Table2[[#Headers],[Torque Required Closed]],Table2[#Headers],0),0)</f>
        <v>3377.9</v>
      </c>
      <c r="W298" s="2">
        <f>VLOOKUP([jobnumber],OvalData[],MATCH(Table2[[#Headers],[Torque Required Open]],Table2[#Headers],0),0)</f>
        <v>892</v>
      </c>
      <c r="X298" s="2">
        <f>VLOOKUP([jobnumber],OvalData[],MATCH(Table2[[#Headers],[Pre Turns]],Table2[#Headers],0),0)</f>
        <v>1.3332999999999999</v>
      </c>
      <c r="Y298" s="2">
        <f>VLOOKUP([jobnumber],OvalData[],MATCH(Table2[[#Headers],[Required Torque Per Turn]],Table2[#Headers],0),0)</f>
        <v>688</v>
      </c>
      <c r="Z298" s="2">
        <f>VLOOKUP([jobnumber],OvalData[],MATCH(Table2[[#Headers],[Total Turns]],Table2[#Headers],0),0)</f>
        <v>4.91</v>
      </c>
      <c r="AA298" s="2">
        <f>VLOOKUP([jobnumber],OvalData[],MATCH(Table2[[#Headers],[Grille Vision Section]],Table2[#Headers],0),0)</f>
        <v>0</v>
      </c>
      <c r="AB298" s="2">
        <f>VLOOKUP([jobnumber],OvalData[],MATCH(Table2[[#Headers],[Grille Amount]],Table2[#Headers],0),0)</f>
        <v>0</v>
      </c>
      <c r="AC298" s="2">
        <f>VLOOKUP([jobnumber],OvalData[],MATCH(Table2[[#Headers],[Grille Center]],Table2[#Headers],0),0)</f>
        <v>0</v>
      </c>
      <c r="AD298" s="2">
        <f>VLOOKUP([jobnumber],OvalData[],MATCH(Table2[[#Headers],[Grille Pattern]],Table2[#Headers],0),0)</f>
        <v>0</v>
      </c>
      <c r="AE298" s="2">
        <f>VLOOKUP([jobnumber],OvalData[],MATCH(Table2[[#Headers],[Grille First Tube]],Table2[#Headers],0),0)</f>
        <v>0</v>
      </c>
      <c r="AF298" s="2">
        <f>VLOOKUP([jobnumber],OvalData[],MATCH(Table2[[#Headers],[Grille Standard Tube]],Table2[#Headers],0),0)</f>
        <v>0</v>
      </c>
      <c r="AG298" s="2">
        <f>VLOOKUP([jobnumber],OvalData[],MATCH(Table2[[#Headers],[Grille Total Links]],Table2[#Headers],0),0)</f>
        <v>0</v>
      </c>
      <c r="AH298" s="2">
        <f>VLOOKUP([jobnumber],OvalData[],MATCH(Table2[[#Headers],[Grille Rods]],Table2[#Headers],0),0)</f>
        <v>0</v>
      </c>
      <c r="AI298" s="2">
        <f>VLOOKUP([jobnumber],OvalData[],MATCH(Table2[[#Headers],[Grille Rod Length]],Table2[#Headers],0),0)</f>
        <v>0</v>
      </c>
      <c r="AJ298" s="2">
        <f>VLOOKUP([jobnumber],OvalData[],MATCH(Table2[[#Headers],[slattype]],Table2[#Headers],0),0)</f>
        <v>2</v>
      </c>
      <c r="AK298" s="2">
        <f>VLOOKUP([jobnumber],OvalData[],MATCH(Table2[[#Headers],[slatgage]],Table2[#Headers],0),0)</f>
        <v>18</v>
      </c>
      <c r="AL298" s="2">
        <f>VLOOKUP([jobnumber],OvalData[],MATCH(Table2[[#Headers],[Numer of Top Slats]],Table2[#Headers],0),0)</f>
        <v>0</v>
      </c>
      <c r="AM298" s="2">
        <f>VLOOKUP([jobnumber],OvalData[],MATCH(Table2[[#Headers],[Number of Bottom Slats]],Table2[#Headers],0),0)</f>
        <v>0</v>
      </c>
      <c r="AN298" s="2">
        <f>VLOOKUP([jobnumber],OvalData[],MATCH(Table2[[#Headers],[Solid Bottom Height]],Table2[#Headers],0),0)</f>
        <v>0</v>
      </c>
      <c r="AO298" s="2" t="str">
        <f>VLOOKUP([jobnumber],OvalData[],MATCH(Table2[[#Headers],[slatlength]],Table2[#Headers],0),0)</f>
        <v xml:space="preserve"> 18 ft.- 5 7/ 8"</v>
      </c>
      <c r="AP298" s="2">
        <f>VLOOKUP([jobnumber],OvalData[],MATCH(Table2[[#Headers],[Bottom Slat Length]],Table2[#Headers],0),0)</f>
        <v>0</v>
      </c>
      <c r="AQ298" s="2">
        <f>VLOOKUP([jobnumber],OvalData[],MATCH(Table2[[#Headers],[Number of Perferated Slats]],Table2[#Headers],0),0)</f>
        <v>0</v>
      </c>
      <c r="AR298" s="2">
        <f>VLOOKUP([jobnumber],OvalData[],MATCH(Table2[[#Headers],[First Preferated Slat From End]],Table2[#Headers],0),0)</f>
        <v>0</v>
      </c>
      <c r="AS298" s="2">
        <f>VLOOKUP([jobnumber],OvalData[],MATCH(Table2[[#Headers],[First Preferated Slat From Bottom]],Table2[#Headers],0),0)</f>
        <v>0</v>
      </c>
      <c r="AT298" s="2">
        <f>VLOOKUP([jobnumber],OvalData[],MATCH(Table2[[#Headers],[Total Number of Slats]],Table2[#Headers],0),0)</f>
        <v>51</v>
      </c>
      <c r="AU298" s="2">
        <f>VLOOKUP([jobnumber],OvalData[],MATCH(Table2[[#Headers],[Bottom Bar Slope]],Table2[#Headers],0),0)</f>
        <v>0</v>
      </c>
      <c r="AV298" s="2">
        <f>VLOOKUP([jobnumber],OvalData[],MATCH(Table2[[#Headers],[Bottom Bar Weight]],Table2[#Headers],0),0)</f>
        <v>80.5</v>
      </c>
      <c r="AW298" s="2" t="str">
        <f>VLOOKUP([jobnumber],OvalData[],MATCH(Table2[[#Headers],[Outer Spring Gage]],Table2[#Headers],0),0)</f>
        <v>Null</v>
      </c>
      <c r="AX298" s="2" t="str">
        <f>VLOOKUP([jobnumber],OvalData[],MATCH(Table2[[#Headers],[Outer Spring OD]],Table2[#Headers],0),0)</f>
        <v>Null</v>
      </c>
      <c r="AY298" s="2" t="str">
        <f>VLOOKUP([jobnumber],OvalData[],MATCH(Table2[[#Headers],[Outer Spring Length]],Table2[#Headers],0),0)</f>
        <v>Null</v>
      </c>
      <c r="AZ298" s="2" t="str">
        <f>VLOOKUP([jobnumber],OvalData[],MATCH(Table2[[#Headers],[Outer Spring Stretch]],Table2[#Headers],0),0)</f>
        <v>Null</v>
      </c>
      <c r="BA298" s="2" t="str">
        <f>VLOOKUP([jobnumber],OvalData[],MATCH(Table2[[#Headers],[Outer Spring Torque]],Table2[#Headers],0),0)</f>
        <v>Null</v>
      </c>
      <c r="BB298" s="2" t="str">
        <f>VLOOKUP([jobnumber],OvalData[],MATCH(Table2[[#Headers],[Outer Spring Max Turns]],Table2[#Headers],0),0)</f>
        <v>Null</v>
      </c>
      <c r="BC298" s="2" t="str">
        <f>VLOOKUP([jobnumber],OvalData[],MATCH(Table2[[#Headers],[Outer Spring Weight]],Table2[#Headers],0),0)</f>
        <v>Null</v>
      </c>
      <c r="BD298" s="2" t="str">
        <f>VLOOKUP([jobnumber],OvalData[],MATCH(Table2[[#Headers],[Inner Spring Gage]],Table2[#Headers],0),0)</f>
        <v>Null</v>
      </c>
      <c r="BE298" s="2" t="str">
        <f>VLOOKUP([jobnumber],OvalData[],MATCH(Table2[[#Headers],[Inner Spring OD]],Table2[#Headers],0),0)</f>
        <v>Null</v>
      </c>
      <c r="BF298" s="2" t="str">
        <f>VLOOKUP([jobnumber],OvalData[],MATCH(Table2[[#Headers],[Inner Spring Length]],Table2[#Headers],0),0)</f>
        <v>Null</v>
      </c>
      <c r="BG298" s="2" t="str">
        <f>VLOOKUP([jobnumber],OvalData[],MATCH(Table2[[#Headers],[Inner Spring Stretch]],Table2[#Headers],0),0)</f>
        <v>Null</v>
      </c>
      <c r="BH298" s="2" t="str">
        <f>VLOOKUP([jobnumber],OvalData[],MATCH(Table2[[#Headers],[Inner Spring Torque]],Table2[#Headers],0),0)</f>
        <v>Null</v>
      </c>
      <c r="BI298" s="2" t="str">
        <f>VLOOKUP([jobnumber],OvalData[],MATCH(Table2[[#Headers],[Inner Spring Max Turns]],Table2[#Headers],0),0)</f>
        <v>Null</v>
      </c>
      <c r="BJ298" s="2" t="str">
        <f>VLOOKUP([jobnumber],OvalData[],MATCH(Table2[[#Headers],[Inner Spring Weight]],Table2[#Headers],0),0)</f>
        <v>Null</v>
      </c>
      <c r="BK298" s="2">
        <f>VLOOKUP([jobnumber],OvalData[],MATCH(Table2[[#Headers],[Cycles]],Table2[#Headers],0),0)</f>
        <v>0</v>
      </c>
      <c r="BL298" s="2">
        <f>VLOOKUP([jobnumber],OvalData[],MATCH(Table2[[#Headers],[Total Spring Torque]],Table2[#Headers],0),0)</f>
        <v>0</v>
      </c>
      <c r="BM298" s="2">
        <f>VLOOKUP([jobnumber],OvalData[],MATCH(Table2[[#Headers],[Total Spring Weight]],Table2[#Headers],0),0)</f>
        <v>0</v>
      </c>
      <c r="BN298" s="2">
        <f>VLOOKUP([jobnumber],OvalData[],MATCH(Table2[[#Headers],[Pipe Weight]],Table2[#Headers],0),0)</f>
        <v>688.24239999999998</v>
      </c>
      <c r="BO298" s="2">
        <f>VLOOKUP([jobnumber],OvalData[],MATCH(Table2[[#Headers],[Max Pipe Deflection]],Table2[#Headers],0),0)</f>
        <v>2309</v>
      </c>
      <c r="BP298" s="2">
        <f>VLOOKUP([jobnumber],OvalData[],MATCH(Table2[[#Headers],[Number Non-Insulated Wrap Slats]],Table2[#Headers],0),0)</f>
        <v>0</v>
      </c>
      <c r="BQ298" s="2">
        <f>VLOOKUP([jobnumber],OvalData[],MATCH(Table2[[#Headers],[Number of Insolated Top Slats]],Table2[#Headers],0),0)</f>
        <v>45</v>
      </c>
      <c r="BR298" s="2">
        <f>VLOOKUP([jobnumber],OvalData[],MATCH(Table2[[#Headers],[Insolated Total Slats]],Table2[#Headers],0),0)</f>
        <v>45</v>
      </c>
      <c r="BS298" s="2">
        <f>VLOOKUP([jobnumber],OvalData[],MATCH(Table2[[#Headers],[Number of Slats]],Table2[#Headers],0),0)</f>
        <v>44.69</v>
      </c>
      <c r="BT298" s="2">
        <f>VLOOKUP([jobnumber],OvalData[],MATCH(Table2[[#Headers],[Wrap]],Table2[#Headers],0),0)</f>
        <v>0</v>
      </c>
      <c r="BU298" s="2">
        <f>VLOOKUP([jobnumber],OvalData[],MATCH(Table2[[#Headers],[Wall Angle Thickness]],Table2[#Headers],0),0)</f>
        <v>0</v>
      </c>
      <c r="BV298" s="2">
        <f>VLOOKUP([jobnumber],OvalData[],MATCH(Table2[[#Headers],[windlocks]],Table2[#Headers],0),0)</f>
        <v>0</v>
      </c>
      <c r="BW298" s="2" t="str">
        <f>VLOOKUP([jobnumber],OvalData[],MATCH(Table2[[#Headers],[bottombartype]],Table2[#Headers],0),0)</f>
        <v>SPECIAL</v>
      </c>
      <c r="BX298" s="2">
        <f>VLOOKUP([jobnumber],OvalData[],MATCH(Table2[[#Headers],[endlockweight]],Table2[#Headers],0),0)</f>
        <v>0.17</v>
      </c>
      <c r="BY298" s="2">
        <f>VLOOKUP([jobnumber],OvalData[],MATCH(Table2[[#Headers],[Endlock Total Weight]],Table2[#Headers],0),0)</f>
        <v>7.5972999999999997</v>
      </c>
      <c r="BZ298" s="2">
        <f>VLOOKUP([jobnumber],OvalData[],MATCH(Table2[[#Headers],[Grille Weight]],Table2[#Headers],0),0)</f>
        <v>0</v>
      </c>
      <c r="CA298" s="2">
        <f>VLOOKUP([jobnumber],OvalData[],MATCH(Table2[[#Headers],[barrelrings]],Table2[#Headers],0),0)</f>
        <v>1</v>
      </c>
    </row>
    <row r="299" spans="2:79">
      <c r="B299" s="2" t="str">
        <f>VLOOKUP([jobnumber],OvalData[],MATCH(Table2[[#Headers],[Hand]],Table2[#Headers],0),0)</f>
        <v>RH</v>
      </c>
      <c r="C299" s="2" t="str">
        <f>VLOOKUP([jobnumber],OvalData[],MATCH(Table2[[#Headers],[Model]],Table2[#Headers],0),0)</f>
        <v>SFMPP</v>
      </c>
      <c r="D299" s="2" t="str">
        <f>VLOOKUP([jobnumber],OvalData[],MATCH(Table2[[#Headers],[width]],Table2[#Headers],0),0)</f>
        <v xml:space="preserve"> 18 ft.- 2"</v>
      </c>
      <c r="E299" s="2" t="str">
        <f>VLOOKUP([jobnumber],OvalData[],MATCH(Table2[[#Headers],[stopheight]],Table2[#Headers],0),0)</f>
        <v xml:space="preserve"> 10 ft.- 0"</v>
      </c>
      <c r="F299" s="2" t="str">
        <f>VLOOKUP([jobnumber],OvalData[],MATCH(Table2[[#Headers],[Between Brackets]],Table2[#Headers],0),0)</f>
        <v xml:space="preserve"> 18 ft.- 7 7/ 8"</v>
      </c>
      <c r="G299" s="2" t="str">
        <f>VLOOKUP([jobnumber],OvalData[],MATCH(Table2[[#Headers],[shell]],Table2[#Headers],0),0)</f>
        <v>6 INCH TUBE</v>
      </c>
      <c r="H299" s="2" t="str">
        <f>VLOOKUP([jobnumber],OvalData[],MATCH(Table2[[#Headers],[pipewidth]],Table2[#Headers],0),0)</f>
        <v xml:space="preserve"> 18 ft.- 1 3/ 8"</v>
      </c>
      <c r="I299" s="2">
        <f>VLOOKUP([jobnumber],OvalData[],MATCH(Table2[[#Headers],[Support Tubes]],Table2[#Headers],0),0)</f>
        <v>0</v>
      </c>
      <c r="J299" s="2">
        <f>VLOOKUP([jobnumber],OvalData[],MATCH(Table2[[#Headers],[Upset]],Table2[#Headers],0),0)</f>
        <v>2</v>
      </c>
      <c r="K299" s="2" t="str">
        <f>VLOOKUP([jobnumber],OvalData[],MATCH(Table2[[#Headers],[Guide Type]],Table2[#Headers],0),0)</f>
        <v>SN2-4 5/8-E</v>
      </c>
      <c r="L299" s="2" t="str">
        <f>VLOOKUP([jobnumber],OvalData[],MATCH(Table2[[#Headers],[Wall Angle]],Table2[#Headers],0),0)</f>
        <v xml:space="preserve"> 11 ft.- 8"</v>
      </c>
      <c r="M299" s="2" t="str">
        <f>VLOOKUP([jobnumber],OvalData[],MATCH(Table2[[#Headers],[Middle Angle]],Table2[#Headers],0),0)</f>
        <v xml:space="preserve"> 10 ft.- 4 1/ 2"</v>
      </c>
      <c r="N299" s="2" t="str">
        <f>VLOOKUP([jobnumber],OvalData[],MATCH(Table2[[#Headers],[Front Angle]],Table2[#Headers],0),0)</f>
        <v xml:space="preserve"> 10 ft.- 3"</v>
      </c>
      <c r="O299" s="2">
        <f>VLOOKUP([jobnumber],OvalData[],MATCH(Table2[[#Headers],[Pipe Center Line]],Table2[#Headers],0),0)</f>
        <v>131</v>
      </c>
      <c r="P299" s="2">
        <f>VLOOKUP([jobnumber],OvalData[],MATCH(Table2[[#Headers],[Heat Expansion Gap]],Table2[#Headers],0),0)</f>
        <v>0</v>
      </c>
      <c r="Q299" s="2">
        <f>VLOOKUP([jobnumber],OvalData[],MATCH(Table2[[#Headers],[Hanging Weight Closed]],Table2[#Headers],0),0)</f>
        <v>795</v>
      </c>
      <c r="R299" s="2">
        <f>VLOOKUP([jobnumber],OvalData[],MATCH(Table2[[#Headers],[Hanging Weight Open]],Table2[#Headers],0),0)</f>
        <v>140</v>
      </c>
      <c r="S299" s="2">
        <f>VLOOKUP([jobnumber],OvalData[],MATCH(Table2[[#Headers],[Initial Lever Arm]],Table2[#Headers],0),0)</f>
        <v>4.25</v>
      </c>
      <c r="T299" s="2">
        <f>VLOOKUP([jobnumber],OvalData[],MATCH(Table2[[#Headers],[Turns to Raise]],Table2[#Headers],0),0)</f>
        <v>3.5859999999999999</v>
      </c>
      <c r="U299" s="2">
        <f>VLOOKUP([jobnumber],OvalData[],MATCH(Table2[[#Headers],[Final Lever Arm]],Table2[#Headers],0),0)</f>
        <v>6.37</v>
      </c>
      <c r="V299" s="2">
        <f>VLOOKUP([jobnumber],OvalData[],MATCH(Table2[[#Headers],[Torque Required Closed]],Table2[#Headers],0),0)</f>
        <v>3377.9</v>
      </c>
      <c r="W299" s="2">
        <f>VLOOKUP([jobnumber],OvalData[],MATCH(Table2[[#Headers],[Torque Required Open]],Table2[#Headers],0),0)</f>
        <v>892</v>
      </c>
      <c r="X299" s="2">
        <f>VLOOKUP([jobnumber],OvalData[],MATCH(Table2[[#Headers],[Pre Turns]],Table2[#Headers],0),0)</f>
        <v>1.3332999999999999</v>
      </c>
      <c r="Y299" s="2">
        <f>VLOOKUP([jobnumber],OvalData[],MATCH(Table2[[#Headers],[Required Torque Per Turn]],Table2[#Headers],0),0)</f>
        <v>688</v>
      </c>
      <c r="Z299" s="2">
        <f>VLOOKUP([jobnumber],OvalData[],MATCH(Table2[[#Headers],[Total Turns]],Table2[#Headers],0),0)</f>
        <v>4.91</v>
      </c>
      <c r="AA299" s="2">
        <f>VLOOKUP([jobnumber],OvalData[],MATCH(Table2[[#Headers],[Grille Vision Section]],Table2[#Headers],0),0)</f>
        <v>0</v>
      </c>
      <c r="AB299" s="2">
        <f>VLOOKUP([jobnumber],OvalData[],MATCH(Table2[[#Headers],[Grille Amount]],Table2[#Headers],0),0)</f>
        <v>0</v>
      </c>
      <c r="AC299" s="2">
        <f>VLOOKUP([jobnumber],OvalData[],MATCH(Table2[[#Headers],[Grille Center]],Table2[#Headers],0),0)</f>
        <v>0</v>
      </c>
      <c r="AD299" s="2">
        <f>VLOOKUP([jobnumber],OvalData[],MATCH(Table2[[#Headers],[Grille Pattern]],Table2[#Headers],0),0)</f>
        <v>0</v>
      </c>
      <c r="AE299" s="2">
        <f>VLOOKUP([jobnumber],OvalData[],MATCH(Table2[[#Headers],[Grille First Tube]],Table2[#Headers],0),0)</f>
        <v>0</v>
      </c>
      <c r="AF299" s="2">
        <f>VLOOKUP([jobnumber],OvalData[],MATCH(Table2[[#Headers],[Grille Standard Tube]],Table2[#Headers],0),0)</f>
        <v>0</v>
      </c>
      <c r="AG299" s="2">
        <f>VLOOKUP([jobnumber],OvalData[],MATCH(Table2[[#Headers],[Grille Total Links]],Table2[#Headers],0),0)</f>
        <v>0</v>
      </c>
      <c r="AH299" s="2">
        <f>VLOOKUP([jobnumber],OvalData[],MATCH(Table2[[#Headers],[Grille Rods]],Table2[#Headers],0),0)</f>
        <v>0</v>
      </c>
      <c r="AI299" s="2">
        <f>VLOOKUP([jobnumber],OvalData[],MATCH(Table2[[#Headers],[Grille Rod Length]],Table2[#Headers],0),0)</f>
        <v>0</v>
      </c>
      <c r="AJ299" s="2">
        <f>VLOOKUP([jobnumber],OvalData[],MATCH(Table2[[#Headers],[slattype]],Table2[#Headers],0),0)</f>
        <v>2</v>
      </c>
      <c r="AK299" s="2">
        <f>VLOOKUP([jobnumber],OvalData[],MATCH(Table2[[#Headers],[slatgage]],Table2[#Headers],0),0)</f>
        <v>18</v>
      </c>
      <c r="AL299" s="2">
        <f>VLOOKUP([jobnumber],OvalData[],MATCH(Table2[[#Headers],[Numer of Top Slats]],Table2[#Headers],0),0)</f>
        <v>0</v>
      </c>
      <c r="AM299" s="2">
        <f>VLOOKUP([jobnumber],OvalData[],MATCH(Table2[[#Headers],[Number of Bottom Slats]],Table2[#Headers],0),0)</f>
        <v>0</v>
      </c>
      <c r="AN299" s="2">
        <f>VLOOKUP([jobnumber],OvalData[],MATCH(Table2[[#Headers],[Solid Bottom Height]],Table2[#Headers],0),0)</f>
        <v>0</v>
      </c>
      <c r="AO299" s="2" t="str">
        <f>VLOOKUP([jobnumber],OvalData[],MATCH(Table2[[#Headers],[slatlength]],Table2[#Headers],0),0)</f>
        <v xml:space="preserve"> 18 ft.- 5 7/ 8"</v>
      </c>
      <c r="AP299" s="2">
        <f>VLOOKUP([jobnumber],OvalData[],MATCH(Table2[[#Headers],[Bottom Slat Length]],Table2[#Headers],0),0)</f>
        <v>0</v>
      </c>
      <c r="AQ299" s="2">
        <f>VLOOKUP([jobnumber],OvalData[],MATCH(Table2[[#Headers],[Number of Perferated Slats]],Table2[#Headers],0),0)</f>
        <v>0</v>
      </c>
      <c r="AR299" s="2">
        <f>VLOOKUP([jobnumber],OvalData[],MATCH(Table2[[#Headers],[First Preferated Slat From End]],Table2[#Headers],0),0)</f>
        <v>0</v>
      </c>
      <c r="AS299" s="2">
        <f>VLOOKUP([jobnumber],OvalData[],MATCH(Table2[[#Headers],[First Preferated Slat From Bottom]],Table2[#Headers],0),0)</f>
        <v>0</v>
      </c>
      <c r="AT299" s="2">
        <f>VLOOKUP([jobnumber],OvalData[],MATCH(Table2[[#Headers],[Total Number of Slats]],Table2[#Headers],0),0)</f>
        <v>51</v>
      </c>
      <c r="AU299" s="2">
        <f>VLOOKUP([jobnumber],OvalData[],MATCH(Table2[[#Headers],[Bottom Bar Slope]],Table2[#Headers],0),0)</f>
        <v>0</v>
      </c>
      <c r="AV299" s="2">
        <f>VLOOKUP([jobnumber],OvalData[],MATCH(Table2[[#Headers],[Bottom Bar Weight]],Table2[#Headers],0),0)</f>
        <v>80.5</v>
      </c>
      <c r="AW299" s="2" t="str">
        <f>VLOOKUP([jobnumber],OvalData[],MATCH(Table2[[#Headers],[Outer Spring Gage]],Table2[#Headers],0),0)</f>
        <v>Null</v>
      </c>
      <c r="AX299" s="2" t="str">
        <f>VLOOKUP([jobnumber],OvalData[],MATCH(Table2[[#Headers],[Outer Spring OD]],Table2[#Headers],0),0)</f>
        <v>Null</v>
      </c>
      <c r="AY299" s="2" t="str">
        <f>VLOOKUP([jobnumber],OvalData[],MATCH(Table2[[#Headers],[Outer Spring Length]],Table2[#Headers],0),0)</f>
        <v>Null</v>
      </c>
      <c r="AZ299" s="2" t="str">
        <f>VLOOKUP([jobnumber],OvalData[],MATCH(Table2[[#Headers],[Outer Spring Stretch]],Table2[#Headers],0),0)</f>
        <v>Null</v>
      </c>
      <c r="BA299" s="2" t="str">
        <f>VLOOKUP([jobnumber],OvalData[],MATCH(Table2[[#Headers],[Outer Spring Torque]],Table2[#Headers],0),0)</f>
        <v>Null</v>
      </c>
      <c r="BB299" s="2" t="str">
        <f>VLOOKUP([jobnumber],OvalData[],MATCH(Table2[[#Headers],[Outer Spring Max Turns]],Table2[#Headers],0),0)</f>
        <v>Null</v>
      </c>
      <c r="BC299" s="2" t="str">
        <f>VLOOKUP([jobnumber],OvalData[],MATCH(Table2[[#Headers],[Outer Spring Weight]],Table2[#Headers],0),0)</f>
        <v>Null</v>
      </c>
      <c r="BD299" s="2" t="str">
        <f>VLOOKUP([jobnumber],OvalData[],MATCH(Table2[[#Headers],[Inner Spring Gage]],Table2[#Headers],0),0)</f>
        <v>Null</v>
      </c>
      <c r="BE299" s="2" t="str">
        <f>VLOOKUP([jobnumber],OvalData[],MATCH(Table2[[#Headers],[Inner Spring OD]],Table2[#Headers],0),0)</f>
        <v>Null</v>
      </c>
      <c r="BF299" s="2" t="str">
        <f>VLOOKUP([jobnumber],OvalData[],MATCH(Table2[[#Headers],[Inner Spring Length]],Table2[#Headers],0),0)</f>
        <v>Null</v>
      </c>
      <c r="BG299" s="2" t="str">
        <f>VLOOKUP([jobnumber],OvalData[],MATCH(Table2[[#Headers],[Inner Spring Stretch]],Table2[#Headers],0),0)</f>
        <v>Null</v>
      </c>
      <c r="BH299" s="2" t="str">
        <f>VLOOKUP([jobnumber],OvalData[],MATCH(Table2[[#Headers],[Inner Spring Torque]],Table2[#Headers],0),0)</f>
        <v>Null</v>
      </c>
      <c r="BI299" s="2" t="str">
        <f>VLOOKUP([jobnumber],OvalData[],MATCH(Table2[[#Headers],[Inner Spring Max Turns]],Table2[#Headers],0),0)</f>
        <v>Null</v>
      </c>
      <c r="BJ299" s="2" t="str">
        <f>VLOOKUP([jobnumber],OvalData[],MATCH(Table2[[#Headers],[Inner Spring Weight]],Table2[#Headers],0),0)</f>
        <v>Null</v>
      </c>
      <c r="BK299" s="2">
        <f>VLOOKUP([jobnumber],OvalData[],MATCH(Table2[[#Headers],[Cycles]],Table2[#Headers],0),0)</f>
        <v>0</v>
      </c>
      <c r="BL299" s="2">
        <f>VLOOKUP([jobnumber],OvalData[],MATCH(Table2[[#Headers],[Total Spring Torque]],Table2[#Headers],0),0)</f>
        <v>0</v>
      </c>
      <c r="BM299" s="2">
        <f>VLOOKUP([jobnumber],OvalData[],MATCH(Table2[[#Headers],[Total Spring Weight]],Table2[#Headers],0),0)</f>
        <v>0</v>
      </c>
      <c r="BN299" s="2">
        <f>VLOOKUP([jobnumber],OvalData[],MATCH(Table2[[#Headers],[Pipe Weight]],Table2[#Headers],0),0)</f>
        <v>688.24239999999998</v>
      </c>
      <c r="BO299" s="2">
        <f>VLOOKUP([jobnumber],OvalData[],MATCH(Table2[[#Headers],[Max Pipe Deflection]],Table2[#Headers],0),0)</f>
        <v>2309</v>
      </c>
      <c r="BP299" s="2">
        <f>VLOOKUP([jobnumber],OvalData[],MATCH(Table2[[#Headers],[Number Non-Insulated Wrap Slats]],Table2[#Headers],0),0)</f>
        <v>0</v>
      </c>
      <c r="BQ299" s="2">
        <f>VLOOKUP([jobnumber],OvalData[],MATCH(Table2[[#Headers],[Number of Insolated Top Slats]],Table2[#Headers],0),0)</f>
        <v>45</v>
      </c>
      <c r="BR299" s="2">
        <f>VLOOKUP([jobnumber],OvalData[],MATCH(Table2[[#Headers],[Insolated Total Slats]],Table2[#Headers],0),0)</f>
        <v>45</v>
      </c>
      <c r="BS299" s="2">
        <f>VLOOKUP([jobnumber],OvalData[],MATCH(Table2[[#Headers],[Number of Slats]],Table2[#Headers],0),0)</f>
        <v>44.69</v>
      </c>
      <c r="BT299" s="2">
        <f>VLOOKUP([jobnumber],OvalData[],MATCH(Table2[[#Headers],[Wrap]],Table2[#Headers],0),0)</f>
        <v>0</v>
      </c>
      <c r="BU299" s="2">
        <f>VLOOKUP([jobnumber],OvalData[],MATCH(Table2[[#Headers],[Wall Angle Thickness]],Table2[#Headers],0),0)</f>
        <v>0</v>
      </c>
      <c r="BV299" s="2">
        <f>VLOOKUP([jobnumber],OvalData[],MATCH(Table2[[#Headers],[windlocks]],Table2[#Headers],0),0)</f>
        <v>0</v>
      </c>
      <c r="BW299" s="2" t="str">
        <f>VLOOKUP([jobnumber],OvalData[],MATCH(Table2[[#Headers],[bottombartype]],Table2[#Headers],0),0)</f>
        <v>SPECIAL</v>
      </c>
      <c r="BX299" s="2">
        <f>VLOOKUP([jobnumber],OvalData[],MATCH(Table2[[#Headers],[endlockweight]],Table2[#Headers],0),0)</f>
        <v>0.17</v>
      </c>
      <c r="BY299" s="2">
        <f>VLOOKUP([jobnumber],OvalData[],MATCH(Table2[[#Headers],[Endlock Total Weight]],Table2[#Headers],0),0)</f>
        <v>7.5972999999999997</v>
      </c>
      <c r="BZ299" s="2">
        <f>VLOOKUP([jobnumber],OvalData[],MATCH(Table2[[#Headers],[Grille Weight]],Table2[#Headers],0),0)</f>
        <v>0</v>
      </c>
      <c r="CA299" s="2">
        <f>VLOOKUP([jobnumber],OvalData[],MATCH(Table2[[#Headers],[barrelrings]],Table2[#Headers],0),0)</f>
        <v>1</v>
      </c>
    </row>
    <row r="300" spans="2:79">
      <c r="B300" s="2" t="str">
        <f>VLOOKUP([jobnumber],OvalData[],MATCH(Table2[[#Headers],[Hand]],Table2[#Headers],0),0)</f>
        <v>RH</v>
      </c>
      <c r="C300" s="2" t="str">
        <f>VLOOKUP([jobnumber],OvalData[],MATCH(Table2[[#Headers],[Model]],Table2[#Headers],0),0)</f>
        <v>SFMPP</v>
      </c>
      <c r="D300" s="2" t="str">
        <f>VLOOKUP([jobnumber],OvalData[],MATCH(Table2[[#Headers],[width]],Table2[#Headers],0),0)</f>
        <v xml:space="preserve"> 18 ft.- 2"</v>
      </c>
      <c r="E300" s="2" t="str">
        <f>VLOOKUP([jobnumber],OvalData[],MATCH(Table2[[#Headers],[stopheight]],Table2[#Headers],0),0)</f>
        <v xml:space="preserve"> 10 ft.- 0"</v>
      </c>
      <c r="F300" s="2" t="str">
        <f>VLOOKUP([jobnumber],OvalData[],MATCH(Table2[[#Headers],[Between Brackets]],Table2[#Headers],0),0)</f>
        <v xml:space="preserve"> 18 ft.- 7 7/ 8"</v>
      </c>
      <c r="G300" s="2" t="str">
        <f>VLOOKUP([jobnumber],OvalData[],MATCH(Table2[[#Headers],[shell]],Table2[#Headers],0),0)</f>
        <v>6 INCH TUBE</v>
      </c>
      <c r="H300" s="2" t="str">
        <f>VLOOKUP([jobnumber],OvalData[],MATCH(Table2[[#Headers],[pipewidth]],Table2[#Headers],0),0)</f>
        <v xml:space="preserve"> 18 ft.- 1 3/ 8"</v>
      </c>
      <c r="I300" s="2">
        <f>VLOOKUP([jobnumber],OvalData[],MATCH(Table2[[#Headers],[Support Tubes]],Table2[#Headers],0),0)</f>
        <v>0</v>
      </c>
      <c r="J300" s="2">
        <f>VLOOKUP([jobnumber],OvalData[],MATCH(Table2[[#Headers],[Upset]],Table2[#Headers],0),0)</f>
        <v>2</v>
      </c>
      <c r="K300" s="2" t="str">
        <f>VLOOKUP([jobnumber],OvalData[],MATCH(Table2[[#Headers],[Guide Type]],Table2[#Headers],0),0)</f>
        <v>SN2-4 5/8-E</v>
      </c>
      <c r="L300" s="2" t="str">
        <f>VLOOKUP([jobnumber],OvalData[],MATCH(Table2[[#Headers],[Wall Angle]],Table2[#Headers],0),0)</f>
        <v xml:space="preserve"> 11 ft.- 8"</v>
      </c>
      <c r="M300" s="2" t="str">
        <f>VLOOKUP([jobnumber],OvalData[],MATCH(Table2[[#Headers],[Middle Angle]],Table2[#Headers],0),0)</f>
        <v xml:space="preserve"> 10 ft.- 4 1/ 2"</v>
      </c>
      <c r="N300" s="2" t="str">
        <f>VLOOKUP([jobnumber],OvalData[],MATCH(Table2[[#Headers],[Front Angle]],Table2[#Headers],0),0)</f>
        <v xml:space="preserve"> 10 ft.- 3"</v>
      </c>
      <c r="O300" s="2">
        <f>VLOOKUP([jobnumber],OvalData[],MATCH(Table2[[#Headers],[Pipe Center Line]],Table2[#Headers],0),0)</f>
        <v>131</v>
      </c>
      <c r="P300" s="2">
        <f>VLOOKUP([jobnumber],OvalData[],MATCH(Table2[[#Headers],[Heat Expansion Gap]],Table2[#Headers],0),0)</f>
        <v>0</v>
      </c>
      <c r="Q300" s="2">
        <f>VLOOKUP([jobnumber],OvalData[],MATCH(Table2[[#Headers],[Hanging Weight Closed]],Table2[#Headers],0),0)</f>
        <v>795</v>
      </c>
      <c r="R300" s="2">
        <f>VLOOKUP([jobnumber],OvalData[],MATCH(Table2[[#Headers],[Hanging Weight Open]],Table2[#Headers],0),0)</f>
        <v>140</v>
      </c>
      <c r="S300" s="2">
        <f>VLOOKUP([jobnumber],OvalData[],MATCH(Table2[[#Headers],[Initial Lever Arm]],Table2[#Headers],0),0)</f>
        <v>4.25</v>
      </c>
      <c r="T300" s="2">
        <f>VLOOKUP([jobnumber],OvalData[],MATCH(Table2[[#Headers],[Turns to Raise]],Table2[#Headers],0),0)</f>
        <v>3.5859999999999999</v>
      </c>
      <c r="U300" s="2">
        <f>VLOOKUP([jobnumber],OvalData[],MATCH(Table2[[#Headers],[Final Lever Arm]],Table2[#Headers],0),0)</f>
        <v>6.37</v>
      </c>
      <c r="V300" s="2">
        <f>VLOOKUP([jobnumber],OvalData[],MATCH(Table2[[#Headers],[Torque Required Closed]],Table2[#Headers],0),0)</f>
        <v>3377.9</v>
      </c>
      <c r="W300" s="2">
        <f>VLOOKUP([jobnumber],OvalData[],MATCH(Table2[[#Headers],[Torque Required Open]],Table2[#Headers],0),0)</f>
        <v>892</v>
      </c>
      <c r="X300" s="2">
        <f>VLOOKUP([jobnumber],OvalData[],MATCH(Table2[[#Headers],[Pre Turns]],Table2[#Headers],0),0)</f>
        <v>1.3332999999999999</v>
      </c>
      <c r="Y300" s="2">
        <f>VLOOKUP([jobnumber],OvalData[],MATCH(Table2[[#Headers],[Required Torque Per Turn]],Table2[#Headers],0),0)</f>
        <v>688</v>
      </c>
      <c r="Z300" s="2">
        <f>VLOOKUP([jobnumber],OvalData[],MATCH(Table2[[#Headers],[Total Turns]],Table2[#Headers],0),0)</f>
        <v>4.91</v>
      </c>
      <c r="AA300" s="2">
        <f>VLOOKUP([jobnumber],OvalData[],MATCH(Table2[[#Headers],[Grille Vision Section]],Table2[#Headers],0),0)</f>
        <v>0</v>
      </c>
      <c r="AB300" s="2">
        <f>VLOOKUP([jobnumber],OvalData[],MATCH(Table2[[#Headers],[Grille Amount]],Table2[#Headers],0),0)</f>
        <v>0</v>
      </c>
      <c r="AC300" s="2">
        <f>VLOOKUP([jobnumber],OvalData[],MATCH(Table2[[#Headers],[Grille Center]],Table2[#Headers],0),0)</f>
        <v>0</v>
      </c>
      <c r="AD300" s="2">
        <f>VLOOKUP([jobnumber],OvalData[],MATCH(Table2[[#Headers],[Grille Pattern]],Table2[#Headers],0),0)</f>
        <v>0</v>
      </c>
      <c r="AE300" s="2">
        <f>VLOOKUP([jobnumber],OvalData[],MATCH(Table2[[#Headers],[Grille First Tube]],Table2[#Headers],0),0)</f>
        <v>0</v>
      </c>
      <c r="AF300" s="2">
        <f>VLOOKUP([jobnumber],OvalData[],MATCH(Table2[[#Headers],[Grille Standard Tube]],Table2[#Headers],0),0)</f>
        <v>0</v>
      </c>
      <c r="AG300" s="2">
        <f>VLOOKUP([jobnumber],OvalData[],MATCH(Table2[[#Headers],[Grille Total Links]],Table2[#Headers],0),0)</f>
        <v>0</v>
      </c>
      <c r="AH300" s="2">
        <f>VLOOKUP([jobnumber],OvalData[],MATCH(Table2[[#Headers],[Grille Rods]],Table2[#Headers],0),0)</f>
        <v>0</v>
      </c>
      <c r="AI300" s="2">
        <f>VLOOKUP([jobnumber],OvalData[],MATCH(Table2[[#Headers],[Grille Rod Length]],Table2[#Headers],0),0)</f>
        <v>0</v>
      </c>
      <c r="AJ300" s="2">
        <f>VLOOKUP([jobnumber],OvalData[],MATCH(Table2[[#Headers],[slattype]],Table2[#Headers],0),0)</f>
        <v>2</v>
      </c>
      <c r="AK300" s="2">
        <f>VLOOKUP([jobnumber],OvalData[],MATCH(Table2[[#Headers],[slatgage]],Table2[#Headers],0),0)</f>
        <v>18</v>
      </c>
      <c r="AL300" s="2">
        <f>VLOOKUP([jobnumber],OvalData[],MATCH(Table2[[#Headers],[Numer of Top Slats]],Table2[#Headers],0),0)</f>
        <v>0</v>
      </c>
      <c r="AM300" s="2">
        <f>VLOOKUP([jobnumber],OvalData[],MATCH(Table2[[#Headers],[Number of Bottom Slats]],Table2[#Headers],0),0)</f>
        <v>0</v>
      </c>
      <c r="AN300" s="2">
        <f>VLOOKUP([jobnumber],OvalData[],MATCH(Table2[[#Headers],[Solid Bottom Height]],Table2[#Headers],0),0)</f>
        <v>0</v>
      </c>
      <c r="AO300" s="2" t="str">
        <f>VLOOKUP([jobnumber],OvalData[],MATCH(Table2[[#Headers],[slatlength]],Table2[#Headers],0),0)</f>
        <v xml:space="preserve"> 18 ft.- 5 7/ 8"</v>
      </c>
      <c r="AP300" s="2">
        <f>VLOOKUP([jobnumber],OvalData[],MATCH(Table2[[#Headers],[Bottom Slat Length]],Table2[#Headers],0),0)</f>
        <v>0</v>
      </c>
      <c r="AQ300" s="2">
        <f>VLOOKUP([jobnumber],OvalData[],MATCH(Table2[[#Headers],[Number of Perferated Slats]],Table2[#Headers],0),0)</f>
        <v>0</v>
      </c>
      <c r="AR300" s="2">
        <f>VLOOKUP([jobnumber],OvalData[],MATCH(Table2[[#Headers],[First Preferated Slat From End]],Table2[#Headers],0),0)</f>
        <v>0</v>
      </c>
      <c r="AS300" s="2">
        <f>VLOOKUP([jobnumber],OvalData[],MATCH(Table2[[#Headers],[First Preferated Slat From Bottom]],Table2[#Headers],0),0)</f>
        <v>0</v>
      </c>
      <c r="AT300" s="2">
        <f>VLOOKUP([jobnumber],OvalData[],MATCH(Table2[[#Headers],[Total Number of Slats]],Table2[#Headers],0),0)</f>
        <v>51</v>
      </c>
      <c r="AU300" s="2">
        <f>VLOOKUP([jobnumber],OvalData[],MATCH(Table2[[#Headers],[Bottom Bar Slope]],Table2[#Headers],0),0)</f>
        <v>0</v>
      </c>
      <c r="AV300" s="2">
        <f>VLOOKUP([jobnumber],OvalData[],MATCH(Table2[[#Headers],[Bottom Bar Weight]],Table2[#Headers],0),0)</f>
        <v>80.5</v>
      </c>
      <c r="AW300" s="2" t="str">
        <f>VLOOKUP([jobnumber],OvalData[],MATCH(Table2[[#Headers],[Outer Spring Gage]],Table2[#Headers],0),0)</f>
        <v>Null</v>
      </c>
      <c r="AX300" s="2" t="str">
        <f>VLOOKUP([jobnumber],OvalData[],MATCH(Table2[[#Headers],[Outer Spring OD]],Table2[#Headers],0),0)</f>
        <v>Null</v>
      </c>
      <c r="AY300" s="2" t="str">
        <f>VLOOKUP([jobnumber],OvalData[],MATCH(Table2[[#Headers],[Outer Spring Length]],Table2[#Headers],0),0)</f>
        <v>Null</v>
      </c>
      <c r="AZ300" s="2" t="str">
        <f>VLOOKUP([jobnumber],OvalData[],MATCH(Table2[[#Headers],[Outer Spring Stretch]],Table2[#Headers],0),0)</f>
        <v>Null</v>
      </c>
      <c r="BA300" s="2" t="str">
        <f>VLOOKUP([jobnumber],OvalData[],MATCH(Table2[[#Headers],[Outer Spring Torque]],Table2[#Headers],0),0)</f>
        <v>Null</v>
      </c>
      <c r="BB300" s="2" t="str">
        <f>VLOOKUP([jobnumber],OvalData[],MATCH(Table2[[#Headers],[Outer Spring Max Turns]],Table2[#Headers],0),0)</f>
        <v>Null</v>
      </c>
      <c r="BC300" s="2" t="str">
        <f>VLOOKUP([jobnumber],OvalData[],MATCH(Table2[[#Headers],[Outer Spring Weight]],Table2[#Headers],0),0)</f>
        <v>Null</v>
      </c>
      <c r="BD300" s="2" t="str">
        <f>VLOOKUP([jobnumber],OvalData[],MATCH(Table2[[#Headers],[Inner Spring Gage]],Table2[#Headers],0),0)</f>
        <v>Null</v>
      </c>
      <c r="BE300" s="2" t="str">
        <f>VLOOKUP([jobnumber],OvalData[],MATCH(Table2[[#Headers],[Inner Spring OD]],Table2[#Headers],0),0)</f>
        <v>Null</v>
      </c>
      <c r="BF300" s="2" t="str">
        <f>VLOOKUP([jobnumber],OvalData[],MATCH(Table2[[#Headers],[Inner Spring Length]],Table2[#Headers],0),0)</f>
        <v>Null</v>
      </c>
      <c r="BG300" s="2" t="str">
        <f>VLOOKUP([jobnumber],OvalData[],MATCH(Table2[[#Headers],[Inner Spring Stretch]],Table2[#Headers],0),0)</f>
        <v>Null</v>
      </c>
      <c r="BH300" s="2" t="str">
        <f>VLOOKUP([jobnumber],OvalData[],MATCH(Table2[[#Headers],[Inner Spring Torque]],Table2[#Headers],0),0)</f>
        <v>Null</v>
      </c>
      <c r="BI300" s="2" t="str">
        <f>VLOOKUP([jobnumber],OvalData[],MATCH(Table2[[#Headers],[Inner Spring Max Turns]],Table2[#Headers],0),0)</f>
        <v>Null</v>
      </c>
      <c r="BJ300" s="2" t="str">
        <f>VLOOKUP([jobnumber],OvalData[],MATCH(Table2[[#Headers],[Inner Spring Weight]],Table2[#Headers],0),0)</f>
        <v>Null</v>
      </c>
      <c r="BK300" s="2">
        <f>VLOOKUP([jobnumber],OvalData[],MATCH(Table2[[#Headers],[Cycles]],Table2[#Headers],0),0)</f>
        <v>0</v>
      </c>
      <c r="BL300" s="2">
        <f>VLOOKUP([jobnumber],OvalData[],MATCH(Table2[[#Headers],[Total Spring Torque]],Table2[#Headers],0),0)</f>
        <v>0</v>
      </c>
      <c r="BM300" s="2">
        <f>VLOOKUP([jobnumber],OvalData[],MATCH(Table2[[#Headers],[Total Spring Weight]],Table2[#Headers],0),0)</f>
        <v>0</v>
      </c>
      <c r="BN300" s="2">
        <f>VLOOKUP([jobnumber],OvalData[],MATCH(Table2[[#Headers],[Pipe Weight]],Table2[#Headers],0),0)</f>
        <v>688.24239999999998</v>
      </c>
      <c r="BO300" s="2">
        <f>VLOOKUP([jobnumber],OvalData[],MATCH(Table2[[#Headers],[Max Pipe Deflection]],Table2[#Headers],0),0)</f>
        <v>2309</v>
      </c>
      <c r="BP300" s="2">
        <f>VLOOKUP([jobnumber],OvalData[],MATCH(Table2[[#Headers],[Number Non-Insulated Wrap Slats]],Table2[#Headers],0),0)</f>
        <v>0</v>
      </c>
      <c r="BQ300" s="2">
        <f>VLOOKUP([jobnumber],OvalData[],MATCH(Table2[[#Headers],[Number of Insolated Top Slats]],Table2[#Headers],0),0)</f>
        <v>45</v>
      </c>
      <c r="BR300" s="2">
        <f>VLOOKUP([jobnumber],OvalData[],MATCH(Table2[[#Headers],[Insolated Total Slats]],Table2[#Headers],0),0)</f>
        <v>45</v>
      </c>
      <c r="BS300" s="2">
        <f>VLOOKUP([jobnumber],OvalData[],MATCH(Table2[[#Headers],[Number of Slats]],Table2[#Headers],0),0)</f>
        <v>44.69</v>
      </c>
      <c r="BT300" s="2">
        <f>VLOOKUP([jobnumber],OvalData[],MATCH(Table2[[#Headers],[Wrap]],Table2[#Headers],0),0)</f>
        <v>0</v>
      </c>
      <c r="BU300" s="2">
        <f>VLOOKUP([jobnumber],OvalData[],MATCH(Table2[[#Headers],[Wall Angle Thickness]],Table2[#Headers],0),0)</f>
        <v>0</v>
      </c>
      <c r="BV300" s="2">
        <f>VLOOKUP([jobnumber],OvalData[],MATCH(Table2[[#Headers],[windlocks]],Table2[#Headers],0),0)</f>
        <v>0</v>
      </c>
      <c r="BW300" s="2" t="str">
        <f>VLOOKUP([jobnumber],OvalData[],MATCH(Table2[[#Headers],[bottombartype]],Table2[#Headers],0),0)</f>
        <v>SPECIAL</v>
      </c>
      <c r="BX300" s="2">
        <f>VLOOKUP([jobnumber],OvalData[],MATCH(Table2[[#Headers],[endlockweight]],Table2[#Headers],0),0)</f>
        <v>0.17</v>
      </c>
      <c r="BY300" s="2">
        <f>VLOOKUP([jobnumber],OvalData[],MATCH(Table2[[#Headers],[Endlock Total Weight]],Table2[#Headers],0),0)</f>
        <v>7.5972999999999997</v>
      </c>
      <c r="BZ300" s="2">
        <f>VLOOKUP([jobnumber],OvalData[],MATCH(Table2[[#Headers],[Grille Weight]],Table2[#Headers],0),0)</f>
        <v>0</v>
      </c>
      <c r="CA300" s="2">
        <f>VLOOKUP([jobnumber],OvalData[],MATCH(Table2[[#Headers],[barrelrings]],Table2[#Headers],0),0)</f>
        <v>1</v>
      </c>
    </row>
    <row r="301" spans="2:79">
      <c r="B301" s="2" t="str">
        <f>VLOOKUP([jobnumber],OvalData[],MATCH(Table2[[#Headers],[Hand]],Table2[#Headers],0),0)</f>
        <v>RH</v>
      </c>
      <c r="C301" s="2" t="str">
        <f>VLOOKUP([jobnumber],OvalData[],MATCH(Table2[[#Headers],[Model]],Table2[#Headers],0),0)</f>
        <v>SFMPP</v>
      </c>
      <c r="D301" s="2" t="str">
        <f>VLOOKUP([jobnumber],OvalData[],MATCH(Table2[[#Headers],[width]],Table2[#Headers],0),0)</f>
        <v xml:space="preserve"> 18 ft.- 2"</v>
      </c>
      <c r="E301" s="2" t="str">
        <f>VLOOKUP([jobnumber],OvalData[],MATCH(Table2[[#Headers],[stopheight]],Table2[#Headers],0),0)</f>
        <v xml:space="preserve"> 10 ft.- 0"</v>
      </c>
      <c r="F301" s="2" t="str">
        <f>VLOOKUP([jobnumber],OvalData[],MATCH(Table2[[#Headers],[Between Brackets]],Table2[#Headers],0),0)</f>
        <v xml:space="preserve"> 18 ft.- 7 7/ 8"</v>
      </c>
      <c r="G301" s="2" t="str">
        <f>VLOOKUP([jobnumber],OvalData[],MATCH(Table2[[#Headers],[shell]],Table2[#Headers],0),0)</f>
        <v>6 INCH TUBE</v>
      </c>
      <c r="H301" s="2" t="str">
        <f>VLOOKUP([jobnumber],OvalData[],MATCH(Table2[[#Headers],[pipewidth]],Table2[#Headers],0),0)</f>
        <v xml:space="preserve"> 18 ft.- 1 3/ 8"</v>
      </c>
      <c r="I301" s="2">
        <f>VLOOKUP([jobnumber],OvalData[],MATCH(Table2[[#Headers],[Support Tubes]],Table2[#Headers],0),0)</f>
        <v>0</v>
      </c>
      <c r="J301" s="2">
        <f>VLOOKUP([jobnumber],OvalData[],MATCH(Table2[[#Headers],[Upset]],Table2[#Headers],0),0)</f>
        <v>2</v>
      </c>
      <c r="K301" s="2" t="str">
        <f>VLOOKUP([jobnumber],OvalData[],MATCH(Table2[[#Headers],[Guide Type]],Table2[#Headers],0),0)</f>
        <v>SN2-4 5/8-E</v>
      </c>
      <c r="L301" s="2" t="str">
        <f>VLOOKUP([jobnumber],OvalData[],MATCH(Table2[[#Headers],[Wall Angle]],Table2[#Headers],0),0)</f>
        <v xml:space="preserve"> 11 ft.- 8"</v>
      </c>
      <c r="M301" s="2" t="str">
        <f>VLOOKUP([jobnumber],OvalData[],MATCH(Table2[[#Headers],[Middle Angle]],Table2[#Headers],0),0)</f>
        <v xml:space="preserve"> 10 ft.- 4 1/ 2"</v>
      </c>
      <c r="N301" s="2" t="str">
        <f>VLOOKUP([jobnumber],OvalData[],MATCH(Table2[[#Headers],[Front Angle]],Table2[#Headers],0),0)</f>
        <v xml:space="preserve"> 10 ft.- 3"</v>
      </c>
      <c r="O301" s="2">
        <f>VLOOKUP([jobnumber],OvalData[],MATCH(Table2[[#Headers],[Pipe Center Line]],Table2[#Headers],0),0)</f>
        <v>131</v>
      </c>
      <c r="P301" s="2">
        <f>VLOOKUP([jobnumber],OvalData[],MATCH(Table2[[#Headers],[Heat Expansion Gap]],Table2[#Headers],0),0)</f>
        <v>0</v>
      </c>
      <c r="Q301" s="2">
        <f>VLOOKUP([jobnumber],OvalData[],MATCH(Table2[[#Headers],[Hanging Weight Closed]],Table2[#Headers],0),0)</f>
        <v>795</v>
      </c>
      <c r="R301" s="2">
        <f>VLOOKUP([jobnumber],OvalData[],MATCH(Table2[[#Headers],[Hanging Weight Open]],Table2[#Headers],0),0)</f>
        <v>140</v>
      </c>
      <c r="S301" s="2">
        <f>VLOOKUP([jobnumber],OvalData[],MATCH(Table2[[#Headers],[Initial Lever Arm]],Table2[#Headers],0),0)</f>
        <v>4.25</v>
      </c>
      <c r="T301" s="2">
        <f>VLOOKUP([jobnumber],OvalData[],MATCH(Table2[[#Headers],[Turns to Raise]],Table2[#Headers],0),0)</f>
        <v>3.5859999999999999</v>
      </c>
      <c r="U301" s="2">
        <f>VLOOKUP([jobnumber],OvalData[],MATCH(Table2[[#Headers],[Final Lever Arm]],Table2[#Headers],0),0)</f>
        <v>6.37</v>
      </c>
      <c r="V301" s="2">
        <f>VLOOKUP([jobnumber],OvalData[],MATCH(Table2[[#Headers],[Torque Required Closed]],Table2[#Headers],0),0)</f>
        <v>3377.9</v>
      </c>
      <c r="W301" s="2">
        <f>VLOOKUP([jobnumber],OvalData[],MATCH(Table2[[#Headers],[Torque Required Open]],Table2[#Headers],0),0)</f>
        <v>892</v>
      </c>
      <c r="X301" s="2">
        <f>VLOOKUP([jobnumber],OvalData[],MATCH(Table2[[#Headers],[Pre Turns]],Table2[#Headers],0),0)</f>
        <v>1.3332999999999999</v>
      </c>
      <c r="Y301" s="2">
        <f>VLOOKUP([jobnumber],OvalData[],MATCH(Table2[[#Headers],[Required Torque Per Turn]],Table2[#Headers],0),0)</f>
        <v>688</v>
      </c>
      <c r="Z301" s="2">
        <f>VLOOKUP([jobnumber],OvalData[],MATCH(Table2[[#Headers],[Total Turns]],Table2[#Headers],0),0)</f>
        <v>4.91</v>
      </c>
      <c r="AA301" s="2">
        <f>VLOOKUP([jobnumber],OvalData[],MATCH(Table2[[#Headers],[Grille Vision Section]],Table2[#Headers],0),0)</f>
        <v>0</v>
      </c>
      <c r="AB301" s="2">
        <f>VLOOKUP([jobnumber],OvalData[],MATCH(Table2[[#Headers],[Grille Amount]],Table2[#Headers],0),0)</f>
        <v>0</v>
      </c>
      <c r="AC301" s="2">
        <f>VLOOKUP([jobnumber],OvalData[],MATCH(Table2[[#Headers],[Grille Center]],Table2[#Headers],0),0)</f>
        <v>0</v>
      </c>
      <c r="AD301" s="2">
        <f>VLOOKUP([jobnumber],OvalData[],MATCH(Table2[[#Headers],[Grille Pattern]],Table2[#Headers],0),0)</f>
        <v>0</v>
      </c>
      <c r="AE301" s="2">
        <f>VLOOKUP([jobnumber],OvalData[],MATCH(Table2[[#Headers],[Grille First Tube]],Table2[#Headers],0),0)</f>
        <v>0</v>
      </c>
      <c r="AF301" s="2">
        <f>VLOOKUP([jobnumber],OvalData[],MATCH(Table2[[#Headers],[Grille Standard Tube]],Table2[#Headers],0),0)</f>
        <v>0</v>
      </c>
      <c r="AG301" s="2">
        <f>VLOOKUP([jobnumber],OvalData[],MATCH(Table2[[#Headers],[Grille Total Links]],Table2[#Headers],0),0)</f>
        <v>0</v>
      </c>
      <c r="AH301" s="2">
        <f>VLOOKUP([jobnumber],OvalData[],MATCH(Table2[[#Headers],[Grille Rods]],Table2[#Headers],0),0)</f>
        <v>0</v>
      </c>
      <c r="AI301" s="2">
        <f>VLOOKUP([jobnumber],OvalData[],MATCH(Table2[[#Headers],[Grille Rod Length]],Table2[#Headers],0),0)</f>
        <v>0</v>
      </c>
      <c r="AJ301" s="2">
        <f>VLOOKUP([jobnumber],OvalData[],MATCH(Table2[[#Headers],[slattype]],Table2[#Headers],0),0)</f>
        <v>2</v>
      </c>
      <c r="AK301" s="2">
        <f>VLOOKUP([jobnumber],OvalData[],MATCH(Table2[[#Headers],[slatgage]],Table2[#Headers],0),0)</f>
        <v>18</v>
      </c>
      <c r="AL301" s="2">
        <f>VLOOKUP([jobnumber],OvalData[],MATCH(Table2[[#Headers],[Numer of Top Slats]],Table2[#Headers],0),0)</f>
        <v>0</v>
      </c>
      <c r="AM301" s="2">
        <f>VLOOKUP([jobnumber],OvalData[],MATCH(Table2[[#Headers],[Number of Bottom Slats]],Table2[#Headers],0),0)</f>
        <v>0</v>
      </c>
      <c r="AN301" s="2">
        <f>VLOOKUP([jobnumber],OvalData[],MATCH(Table2[[#Headers],[Solid Bottom Height]],Table2[#Headers],0),0)</f>
        <v>0</v>
      </c>
      <c r="AO301" s="2" t="str">
        <f>VLOOKUP([jobnumber],OvalData[],MATCH(Table2[[#Headers],[slatlength]],Table2[#Headers],0),0)</f>
        <v xml:space="preserve"> 18 ft.- 5 7/ 8"</v>
      </c>
      <c r="AP301" s="2">
        <f>VLOOKUP([jobnumber],OvalData[],MATCH(Table2[[#Headers],[Bottom Slat Length]],Table2[#Headers],0),0)</f>
        <v>0</v>
      </c>
      <c r="AQ301" s="2">
        <f>VLOOKUP([jobnumber],OvalData[],MATCH(Table2[[#Headers],[Number of Perferated Slats]],Table2[#Headers],0),0)</f>
        <v>0</v>
      </c>
      <c r="AR301" s="2">
        <f>VLOOKUP([jobnumber],OvalData[],MATCH(Table2[[#Headers],[First Preferated Slat From End]],Table2[#Headers],0),0)</f>
        <v>0</v>
      </c>
      <c r="AS301" s="2">
        <f>VLOOKUP([jobnumber],OvalData[],MATCH(Table2[[#Headers],[First Preferated Slat From Bottom]],Table2[#Headers],0),0)</f>
        <v>0</v>
      </c>
      <c r="AT301" s="2">
        <f>VLOOKUP([jobnumber],OvalData[],MATCH(Table2[[#Headers],[Total Number of Slats]],Table2[#Headers],0),0)</f>
        <v>51</v>
      </c>
      <c r="AU301" s="2">
        <f>VLOOKUP([jobnumber],OvalData[],MATCH(Table2[[#Headers],[Bottom Bar Slope]],Table2[#Headers],0),0)</f>
        <v>0</v>
      </c>
      <c r="AV301" s="2">
        <f>VLOOKUP([jobnumber],OvalData[],MATCH(Table2[[#Headers],[Bottom Bar Weight]],Table2[#Headers],0),0)</f>
        <v>80.5</v>
      </c>
      <c r="AW301" s="2" t="str">
        <f>VLOOKUP([jobnumber],OvalData[],MATCH(Table2[[#Headers],[Outer Spring Gage]],Table2[#Headers],0),0)</f>
        <v>Null</v>
      </c>
      <c r="AX301" s="2" t="str">
        <f>VLOOKUP([jobnumber],OvalData[],MATCH(Table2[[#Headers],[Outer Spring OD]],Table2[#Headers],0),0)</f>
        <v>Null</v>
      </c>
      <c r="AY301" s="2" t="str">
        <f>VLOOKUP([jobnumber],OvalData[],MATCH(Table2[[#Headers],[Outer Spring Length]],Table2[#Headers],0),0)</f>
        <v>Null</v>
      </c>
      <c r="AZ301" s="2" t="str">
        <f>VLOOKUP([jobnumber],OvalData[],MATCH(Table2[[#Headers],[Outer Spring Stretch]],Table2[#Headers],0),0)</f>
        <v>Null</v>
      </c>
      <c r="BA301" s="2" t="str">
        <f>VLOOKUP([jobnumber],OvalData[],MATCH(Table2[[#Headers],[Outer Spring Torque]],Table2[#Headers],0),0)</f>
        <v>Null</v>
      </c>
      <c r="BB301" s="2" t="str">
        <f>VLOOKUP([jobnumber],OvalData[],MATCH(Table2[[#Headers],[Outer Spring Max Turns]],Table2[#Headers],0),0)</f>
        <v>Null</v>
      </c>
      <c r="BC301" s="2" t="str">
        <f>VLOOKUP([jobnumber],OvalData[],MATCH(Table2[[#Headers],[Outer Spring Weight]],Table2[#Headers],0),0)</f>
        <v>Null</v>
      </c>
      <c r="BD301" s="2" t="str">
        <f>VLOOKUP([jobnumber],OvalData[],MATCH(Table2[[#Headers],[Inner Spring Gage]],Table2[#Headers],0),0)</f>
        <v>Null</v>
      </c>
      <c r="BE301" s="2" t="str">
        <f>VLOOKUP([jobnumber],OvalData[],MATCH(Table2[[#Headers],[Inner Spring OD]],Table2[#Headers],0),0)</f>
        <v>Null</v>
      </c>
      <c r="BF301" s="2" t="str">
        <f>VLOOKUP([jobnumber],OvalData[],MATCH(Table2[[#Headers],[Inner Spring Length]],Table2[#Headers],0),0)</f>
        <v>Null</v>
      </c>
      <c r="BG301" s="2" t="str">
        <f>VLOOKUP([jobnumber],OvalData[],MATCH(Table2[[#Headers],[Inner Spring Stretch]],Table2[#Headers],0),0)</f>
        <v>Null</v>
      </c>
      <c r="BH301" s="2" t="str">
        <f>VLOOKUP([jobnumber],OvalData[],MATCH(Table2[[#Headers],[Inner Spring Torque]],Table2[#Headers],0),0)</f>
        <v>Null</v>
      </c>
      <c r="BI301" s="2" t="str">
        <f>VLOOKUP([jobnumber],OvalData[],MATCH(Table2[[#Headers],[Inner Spring Max Turns]],Table2[#Headers],0),0)</f>
        <v>Null</v>
      </c>
      <c r="BJ301" s="2" t="str">
        <f>VLOOKUP([jobnumber],OvalData[],MATCH(Table2[[#Headers],[Inner Spring Weight]],Table2[#Headers],0),0)</f>
        <v>Null</v>
      </c>
      <c r="BK301" s="2">
        <f>VLOOKUP([jobnumber],OvalData[],MATCH(Table2[[#Headers],[Cycles]],Table2[#Headers],0),0)</f>
        <v>0</v>
      </c>
      <c r="BL301" s="2">
        <f>VLOOKUP([jobnumber],OvalData[],MATCH(Table2[[#Headers],[Total Spring Torque]],Table2[#Headers],0),0)</f>
        <v>0</v>
      </c>
      <c r="BM301" s="2">
        <f>VLOOKUP([jobnumber],OvalData[],MATCH(Table2[[#Headers],[Total Spring Weight]],Table2[#Headers],0),0)</f>
        <v>0</v>
      </c>
      <c r="BN301" s="2">
        <f>VLOOKUP([jobnumber],OvalData[],MATCH(Table2[[#Headers],[Pipe Weight]],Table2[#Headers],0),0)</f>
        <v>688.24239999999998</v>
      </c>
      <c r="BO301" s="2">
        <f>VLOOKUP([jobnumber],OvalData[],MATCH(Table2[[#Headers],[Max Pipe Deflection]],Table2[#Headers],0),0)</f>
        <v>2309</v>
      </c>
      <c r="BP301" s="2">
        <f>VLOOKUP([jobnumber],OvalData[],MATCH(Table2[[#Headers],[Number Non-Insulated Wrap Slats]],Table2[#Headers],0),0)</f>
        <v>0</v>
      </c>
      <c r="BQ301" s="2">
        <f>VLOOKUP([jobnumber],OvalData[],MATCH(Table2[[#Headers],[Number of Insolated Top Slats]],Table2[#Headers],0),0)</f>
        <v>45</v>
      </c>
      <c r="BR301" s="2">
        <f>VLOOKUP([jobnumber],OvalData[],MATCH(Table2[[#Headers],[Insolated Total Slats]],Table2[#Headers],0),0)</f>
        <v>45</v>
      </c>
      <c r="BS301" s="2">
        <f>VLOOKUP([jobnumber],OvalData[],MATCH(Table2[[#Headers],[Number of Slats]],Table2[#Headers],0),0)</f>
        <v>44.69</v>
      </c>
      <c r="BT301" s="2">
        <f>VLOOKUP([jobnumber],OvalData[],MATCH(Table2[[#Headers],[Wrap]],Table2[#Headers],0),0)</f>
        <v>0</v>
      </c>
      <c r="BU301" s="2">
        <f>VLOOKUP([jobnumber],OvalData[],MATCH(Table2[[#Headers],[Wall Angle Thickness]],Table2[#Headers],0),0)</f>
        <v>0</v>
      </c>
      <c r="BV301" s="2">
        <f>VLOOKUP([jobnumber],OvalData[],MATCH(Table2[[#Headers],[windlocks]],Table2[#Headers],0),0)</f>
        <v>0</v>
      </c>
      <c r="BW301" s="2" t="str">
        <f>VLOOKUP([jobnumber],OvalData[],MATCH(Table2[[#Headers],[bottombartype]],Table2[#Headers],0),0)</f>
        <v>SPECIAL</v>
      </c>
      <c r="BX301" s="2">
        <f>VLOOKUP([jobnumber],OvalData[],MATCH(Table2[[#Headers],[endlockweight]],Table2[#Headers],0),0)</f>
        <v>0.17</v>
      </c>
      <c r="BY301" s="2">
        <f>VLOOKUP([jobnumber],OvalData[],MATCH(Table2[[#Headers],[Endlock Total Weight]],Table2[#Headers],0),0)</f>
        <v>7.5972999999999997</v>
      </c>
      <c r="BZ301" s="2">
        <f>VLOOKUP([jobnumber],OvalData[],MATCH(Table2[[#Headers],[Grille Weight]],Table2[#Headers],0),0)</f>
        <v>0</v>
      </c>
      <c r="CA301" s="2">
        <f>VLOOKUP([jobnumber],OvalData[],MATCH(Table2[[#Headers],[barrelrings]],Table2[#Headers],0),0)</f>
        <v>1</v>
      </c>
    </row>
    <row r="302" spans="2:79">
      <c r="B302" s="2" t="str">
        <f>VLOOKUP([jobnumber],OvalData[],MATCH(Table2[[#Headers],[Hand]],Table2[#Headers],0),0)</f>
        <v>RH</v>
      </c>
      <c r="C302" s="2" t="str">
        <f>VLOOKUP([jobnumber],OvalData[],MATCH(Table2[[#Headers],[Model]],Table2[#Headers],0),0)</f>
        <v>SFMPP</v>
      </c>
      <c r="D302" s="2" t="str">
        <f>VLOOKUP([jobnumber],OvalData[],MATCH(Table2[[#Headers],[width]],Table2[#Headers],0),0)</f>
        <v xml:space="preserve"> 18 ft.- 2"</v>
      </c>
      <c r="E302" s="2" t="str">
        <f>VLOOKUP([jobnumber],OvalData[],MATCH(Table2[[#Headers],[stopheight]],Table2[#Headers],0),0)</f>
        <v xml:space="preserve"> 10 ft.- 0"</v>
      </c>
      <c r="F302" s="2" t="str">
        <f>VLOOKUP([jobnumber],OvalData[],MATCH(Table2[[#Headers],[Between Brackets]],Table2[#Headers],0),0)</f>
        <v xml:space="preserve"> 18 ft.- 7 7/ 8"</v>
      </c>
      <c r="G302" s="2" t="str">
        <f>VLOOKUP([jobnumber],OvalData[],MATCH(Table2[[#Headers],[shell]],Table2[#Headers],0),0)</f>
        <v>6 INCH TUBE</v>
      </c>
      <c r="H302" s="2" t="str">
        <f>VLOOKUP([jobnumber],OvalData[],MATCH(Table2[[#Headers],[pipewidth]],Table2[#Headers],0),0)</f>
        <v xml:space="preserve"> 18 ft.- 1 3/ 8"</v>
      </c>
      <c r="I302" s="2">
        <f>VLOOKUP([jobnumber],OvalData[],MATCH(Table2[[#Headers],[Support Tubes]],Table2[#Headers],0),0)</f>
        <v>0</v>
      </c>
      <c r="J302" s="2">
        <f>VLOOKUP([jobnumber],OvalData[],MATCH(Table2[[#Headers],[Upset]],Table2[#Headers],0),0)</f>
        <v>2</v>
      </c>
      <c r="K302" s="2" t="str">
        <f>VLOOKUP([jobnumber],OvalData[],MATCH(Table2[[#Headers],[Guide Type]],Table2[#Headers],0),0)</f>
        <v>SN2-4 5/8-E</v>
      </c>
      <c r="L302" s="2" t="str">
        <f>VLOOKUP([jobnumber],OvalData[],MATCH(Table2[[#Headers],[Wall Angle]],Table2[#Headers],0),0)</f>
        <v xml:space="preserve"> 11 ft.- 8"</v>
      </c>
      <c r="M302" s="2" t="str">
        <f>VLOOKUP([jobnumber],OvalData[],MATCH(Table2[[#Headers],[Middle Angle]],Table2[#Headers],0),0)</f>
        <v xml:space="preserve"> 10 ft.- 4 1/ 2"</v>
      </c>
      <c r="N302" s="2" t="str">
        <f>VLOOKUP([jobnumber],OvalData[],MATCH(Table2[[#Headers],[Front Angle]],Table2[#Headers],0),0)</f>
        <v xml:space="preserve"> 10 ft.- 3"</v>
      </c>
      <c r="O302" s="2">
        <f>VLOOKUP([jobnumber],OvalData[],MATCH(Table2[[#Headers],[Pipe Center Line]],Table2[#Headers],0),0)</f>
        <v>131</v>
      </c>
      <c r="P302" s="2">
        <f>VLOOKUP([jobnumber],OvalData[],MATCH(Table2[[#Headers],[Heat Expansion Gap]],Table2[#Headers],0),0)</f>
        <v>0</v>
      </c>
      <c r="Q302" s="2">
        <f>VLOOKUP([jobnumber],OvalData[],MATCH(Table2[[#Headers],[Hanging Weight Closed]],Table2[#Headers],0),0)</f>
        <v>795</v>
      </c>
      <c r="R302" s="2">
        <f>VLOOKUP([jobnumber],OvalData[],MATCH(Table2[[#Headers],[Hanging Weight Open]],Table2[#Headers],0),0)</f>
        <v>140</v>
      </c>
      <c r="S302" s="2">
        <f>VLOOKUP([jobnumber],OvalData[],MATCH(Table2[[#Headers],[Initial Lever Arm]],Table2[#Headers],0),0)</f>
        <v>4.25</v>
      </c>
      <c r="T302" s="2">
        <f>VLOOKUP([jobnumber],OvalData[],MATCH(Table2[[#Headers],[Turns to Raise]],Table2[#Headers],0),0)</f>
        <v>3.5859999999999999</v>
      </c>
      <c r="U302" s="2">
        <f>VLOOKUP([jobnumber],OvalData[],MATCH(Table2[[#Headers],[Final Lever Arm]],Table2[#Headers],0),0)</f>
        <v>6.37</v>
      </c>
      <c r="V302" s="2">
        <f>VLOOKUP([jobnumber],OvalData[],MATCH(Table2[[#Headers],[Torque Required Closed]],Table2[#Headers],0),0)</f>
        <v>3377.9</v>
      </c>
      <c r="W302" s="2">
        <f>VLOOKUP([jobnumber],OvalData[],MATCH(Table2[[#Headers],[Torque Required Open]],Table2[#Headers],0),0)</f>
        <v>892</v>
      </c>
      <c r="X302" s="2">
        <f>VLOOKUP([jobnumber],OvalData[],MATCH(Table2[[#Headers],[Pre Turns]],Table2[#Headers],0),0)</f>
        <v>1.3332999999999999</v>
      </c>
      <c r="Y302" s="2">
        <f>VLOOKUP([jobnumber],OvalData[],MATCH(Table2[[#Headers],[Required Torque Per Turn]],Table2[#Headers],0),0)</f>
        <v>688</v>
      </c>
      <c r="Z302" s="2">
        <f>VLOOKUP([jobnumber],OvalData[],MATCH(Table2[[#Headers],[Total Turns]],Table2[#Headers],0),0)</f>
        <v>4.91</v>
      </c>
      <c r="AA302" s="2">
        <f>VLOOKUP([jobnumber],OvalData[],MATCH(Table2[[#Headers],[Grille Vision Section]],Table2[#Headers],0),0)</f>
        <v>0</v>
      </c>
      <c r="AB302" s="2">
        <f>VLOOKUP([jobnumber],OvalData[],MATCH(Table2[[#Headers],[Grille Amount]],Table2[#Headers],0),0)</f>
        <v>0</v>
      </c>
      <c r="AC302" s="2">
        <f>VLOOKUP([jobnumber],OvalData[],MATCH(Table2[[#Headers],[Grille Center]],Table2[#Headers],0),0)</f>
        <v>0</v>
      </c>
      <c r="AD302" s="2">
        <f>VLOOKUP([jobnumber],OvalData[],MATCH(Table2[[#Headers],[Grille Pattern]],Table2[#Headers],0),0)</f>
        <v>0</v>
      </c>
      <c r="AE302" s="2">
        <f>VLOOKUP([jobnumber],OvalData[],MATCH(Table2[[#Headers],[Grille First Tube]],Table2[#Headers],0),0)</f>
        <v>0</v>
      </c>
      <c r="AF302" s="2">
        <f>VLOOKUP([jobnumber],OvalData[],MATCH(Table2[[#Headers],[Grille Standard Tube]],Table2[#Headers],0),0)</f>
        <v>0</v>
      </c>
      <c r="AG302" s="2">
        <f>VLOOKUP([jobnumber],OvalData[],MATCH(Table2[[#Headers],[Grille Total Links]],Table2[#Headers],0),0)</f>
        <v>0</v>
      </c>
      <c r="AH302" s="2">
        <f>VLOOKUP([jobnumber],OvalData[],MATCH(Table2[[#Headers],[Grille Rods]],Table2[#Headers],0),0)</f>
        <v>0</v>
      </c>
      <c r="AI302" s="2">
        <f>VLOOKUP([jobnumber],OvalData[],MATCH(Table2[[#Headers],[Grille Rod Length]],Table2[#Headers],0),0)</f>
        <v>0</v>
      </c>
      <c r="AJ302" s="2">
        <f>VLOOKUP([jobnumber],OvalData[],MATCH(Table2[[#Headers],[slattype]],Table2[#Headers],0),0)</f>
        <v>2</v>
      </c>
      <c r="AK302" s="2">
        <f>VLOOKUP([jobnumber],OvalData[],MATCH(Table2[[#Headers],[slatgage]],Table2[#Headers],0),0)</f>
        <v>18</v>
      </c>
      <c r="AL302" s="2">
        <f>VLOOKUP([jobnumber],OvalData[],MATCH(Table2[[#Headers],[Numer of Top Slats]],Table2[#Headers],0),0)</f>
        <v>0</v>
      </c>
      <c r="AM302" s="2">
        <f>VLOOKUP([jobnumber],OvalData[],MATCH(Table2[[#Headers],[Number of Bottom Slats]],Table2[#Headers],0),0)</f>
        <v>0</v>
      </c>
      <c r="AN302" s="2">
        <f>VLOOKUP([jobnumber],OvalData[],MATCH(Table2[[#Headers],[Solid Bottom Height]],Table2[#Headers],0),0)</f>
        <v>0</v>
      </c>
      <c r="AO302" s="2" t="str">
        <f>VLOOKUP([jobnumber],OvalData[],MATCH(Table2[[#Headers],[slatlength]],Table2[#Headers],0),0)</f>
        <v xml:space="preserve"> 18 ft.- 5 7/ 8"</v>
      </c>
      <c r="AP302" s="2">
        <f>VLOOKUP([jobnumber],OvalData[],MATCH(Table2[[#Headers],[Bottom Slat Length]],Table2[#Headers],0),0)</f>
        <v>0</v>
      </c>
      <c r="AQ302" s="2">
        <f>VLOOKUP([jobnumber],OvalData[],MATCH(Table2[[#Headers],[Number of Perferated Slats]],Table2[#Headers],0),0)</f>
        <v>0</v>
      </c>
      <c r="AR302" s="2">
        <f>VLOOKUP([jobnumber],OvalData[],MATCH(Table2[[#Headers],[First Preferated Slat From End]],Table2[#Headers],0),0)</f>
        <v>0</v>
      </c>
      <c r="AS302" s="2">
        <f>VLOOKUP([jobnumber],OvalData[],MATCH(Table2[[#Headers],[First Preferated Slat From Bottom]],Table2[#Headers],0),0)</f>
        <v>0</v>
      </c>
      <c r="AT302" s="2">
        <f>VLOOKUP([jobnumber],OvalData[],MATCH(Table2[[#Headers],[Total Number of Slats]],Table2[#Headers],0),0)</f>
        <v>51</v>
      </c>
      <c r="AU302" s="2">
        <f>VLOOKUP([jobnumber],OvalData[],MATCH(Table2[[#Headers],[Bottom Bar Slope]],Table2[#Headers],0),0)</f>
        <v>0</v>
      </c>
      <c r="AV302" s="2">
        <f>VLOOKUP([jobnumber],OvalData[],MATCH(Table2[[#Headers],[Bottom Bar Weight]],Table2[#Headers],0),0)</f>
        <v>80.5</v>
      </c>
      <c r="AW302" s="2" t="str">
        <f>VLOOKUP([jobnumber],OvalData[],MATCH(Table2[[#Headers],[Outer Spring Gage]],Table2[#Headers],0),0)</f>
        <v>Null</v>
      </c>
      <c r="AX302" s="2" t="str">
        <f>VLOOKUP([jobnumber],OvalData[],MATCH(Table2[[#Headers],[Outer Spring OD]],Table2[#Headers],0),0)</f>
        <v>Null</v>
      </c>
      <c r="AY302" s="2" t="str">
        <f>VLOOKUP([jobnumber],OvalData[],MATCH(Table2[[#Headers],[Outer Spring Length]],Table2[#Headers],0),0)</f>
        <v>Null</v>
      </c>
      <c r="AZ302" s="2" t="str">
        <f>VLOOKUP([jobnumber],OvalData[],MATCH(Table2[[#Headers],[Outer Spring Stretch]],Table2[#Headers],0),0)</f>
        <v>Null</v>
      </c>
      <c r="BA302" s="2" t="str">
        <f>VLOOKUP([jobnumber],OvalData[],MATCH(Table2[[#Headers],[Outer Spring Torque]],Table2[#Headers],0),0)</f>
        <v>Null</v>
      </c>
      <c r="BB302" s="2" t="str">
        <f>VLOOKUP([jobnumber],OvalData[],MATCH(Table2[[#Headers],[Outer Spring Max Turns]],Table2[#Headers],0),0)</f>
        <v>Null</v>
      </c>
      <c r="BC302" s="2" t="str">
        <f>VLOOKUP([jobnumber],OvalData[],MATCH(Table2[[#Headers],[Outer Spring Weight]],Table2[#Headers],0),0)</f>
        <v>Null</v>
      </c>
      <c r="BD302" s="2" t="str">
        <f>VLOOKUP([jobnumber],OvalData[],MATCH(Table2[[#Headers],[Inner Spring Gage]],Table2[#Headers],0),0)</f>
        <v>Null</v>
      </c>
      <c r="BE302" s="2" t="str">
        <f>VLOOKUP([jobnumber],OvalData[],MATCH(Table2[[#Headers],[Inner Spring OD]],Table2[#Headers],0),0)</f>
        <v>Null</v>
      </c>
      <c r="BF302" s="2" t="str">
        <f>VLOOKUP([jobnumber],OvalData[],MATCH(Table2[[#Headers],[Inner Spring Length]],Table2[#Headers],0),0)</f>
        <v>Null</v>
      </c>
      <c r="BG302" s="2" t="str">
        <f>VLOOKUP([jobnumber],OvalData[],MATCH(Table2[[#Headers],[Inner Spring Stretch]],Table2[#Headers],0),0)</f>
        <v>Null</v>
      </c>
      <c r="BH302" s="2" t="str">
        <f>VLOOKUP([jobnumber],OvalData[],MATCH(Table2[[#Headers],[Inner Spring Torque]],Table2[#Headers],0),0)</f>
        <v>Null</v>
      </c>
      <c r="BI302" s="2" t="str">
        <f>VLOOKUP([jobnumber],OvalData[],MATCH(Table2[[#Headers],[Inner Spring Max Turns]],Table2[#Headers],0),0)</f>
        <v>Null</v>
      </c>
      <c r="BJ302" s="2" t="str">
        <f>VLOOKUP([jobnumber],OvalData[],MATCH(Table2[[#Headers],[Inner Spring Weight]],Table2[#Headers],0),0)</f>
        <v>Null</v>
      </c>
      <c r="BK302" s="2">
        <f>VLOOKUP([jobnumber],OvalData[],MATCH(Table2[[#Headers],[Cycles]],Table2[#Headers],0),0)</f>
        <v>0</v>
      </c>
      <c r="BL302" s="2">
        <f>VLOOKUP([jobnumber],OvalData[],MATCH(Table2[[#Headers],[Total Spring Torque]],Table2[#Headers],0),0)</f>
        <v>0</v>
      </c>
      <c r="BM302" s="2">
        <f>VLOOKUP([jobnumber],OvalData[],MATCH(Table2[[#Headers],[Total Spring Weight]],Table2[#Headers],0),0)</f>
        <v>0</v>
      </c>
      <c r="BN302" s="2">
        <f>VLOOKUP([jobnumber],OvalData[],MATCH(Table2[[#Headers],[Pipe Weight]],Table2[#Headers],0),0)</f>
        <v>688.24239999999998</v>
      </c>
      <c r="BO302" s="2">
        <f>VLOOKUP([jobnumber],OvalData[],MATCH(Table2[[#Headers],[Max Pipe Deflection]],Table2[#Headers],0),0)</f>
        <v>2309</v>
      </c>
      <c r="BP302" s="2">
        <f>VLOOKUP([jobnumber],OvalData[],MATCH(Table2[[#Headers],[Number Non-Insulated Wrap Slats]],Table2[#Headers],0),0)</f>
        <v>0</v>
      </c>
      <c r="BQ302" s="2">
        <f>VLOOKUP([jobnumber],OvalData[],MATCH(Table2[[#Headers],[Number of Insolated Top Slats]],Table2[#Headers],0),0)</f>
        <v>45</v>
      </c>
      <c r="BR302" s="2">
        <f>VLOOKUP([jobnumber],OvalData[],MATCH(Table2[[#Headers],[Insolated Total Slats]],Table2[#Headers],0),0)</f>
        <v>45</v>
      </c>
      <c r="BS302" s="2">
        <f>VLOOKUP([jobnumber],OvalData[],MATCH(Table2[[#Headers],[Number of Slats]],Table2[#Headers],0),0)</f>
        <v>44.69</v>
      </c>
      <c r="BT302" s="2">
        <f>VLOOKUP([jobnumber],OvalData[],MATCH(Table2[[#Headers],[Wrap]],Table2[#Headers],0),0)</f>
        <v>0</v>
      </c>
      <c r="BU302" s="2">
        <f>VLOOKUP([jobnumber],OvalData[],MATCH(Table2[[#Headers],[Wall Angle Thickness]],Table2[#Headers],0),0)</f>
        <v>0</v>
      </c>
      <c r="BV302" s="2">
        <f>VLOOKUP([jobnumber],OvalData[],MATCH(Table2[[#Headers],[windlocks]],Table2[#Headers],0),0)</f>
        <v>0</v>
      </c>
      <c r="BW302" s="2" t="str">
        <f>VLOOKUP([jobnumber],OvalData[],MATCH(Table2[[#Headers],[bottombartype]],Table2[#Headers],0),0)</f>
        <v>SPECIAL</v>
      </c>
      <c r="BX302" s="2">
        <f>VLOOKUP([jobnumber],OvalData[],MATCH(Table2[[#Headers],[endlockweight]],Table2[#Headers],0),0)</f>
        <v>0.17</v>
      </c>
      <c r="BY302" s="2">
        <f>VLOOKUP([jobnumber],OvalData[],MATCH(Table2[[#Headers],[Endlock Total Weight]],Table2[#Headers],0),0)</f>
        <v>7.5972999999999997</v>
      </c>
      <c r="BZ302" s="2">
        <f>VLOOKUP([jobnumber],OvalData[],MATCH(Table2[[#Headers],[Grille Weight]],Table2[#Headers],0),0)</f>
        <v>0</v>
      </c>
      <c r="CA302" s="2">
        <f>VLOOKUP([jobnumber],OvalData[],MATCH(Table2[[#Headers],[barrelrings]],Table2[#Headers],0),0)</f>
        <v>1</v>
      </c>
    </row>
    <row r="303" spans="2:79">
      <c r="B303" s="2" t="str">
        <f>VLOOKUP([jobnumber],OvalData[],MATCH(Table2[[#Headers],[Hand]],Table2[#Headers],0),0)</f>
        <v>RH</v>
      </c>
      <c r="C303" s="2" t="str">
        <f>VLOOKUP([jobnumber],OvalData[],MATCH(Table2[[#Headers],[Model]],Table2[#Headers],0),0)</f>
        <v>SFMPP</v>
      </c>
      <c r="D303" s="2" t="str">
        <f>VLOOKUP([jobnumber],OvalData[],MATCH(Table2[[#Headers],[width]],Table2[#Headers],0),0)</f>
        <v xml:space="preserve"> 18 ft.- 2"</v>
      </c>
      <c r="E303" s="2" t="str">
        <f>VLOOKUP([jobnumber],OvalData[],MATCH(Table2[[#Headers],[stopheight]],Table2[#Headers],0),0)</f>
        <v xml:space="preserve"> 10 ft.- 0"</v>
      </c>
      <c r="F303" s="2" t="str">
        <f>VLOOKUP([jobnumber],OvalData[],MATCH(Table2[[#Headers],[Between Brackets]],Table2[#Headers],0),0)</f>
        <v xml:space="preserve"> 18 ft.- 7 7/ 8"</v>
      </c>
      <c r="G303" s="2" t="str">
        <f>VLOOKUP([jobnumber],OvalData[],MATCH(Table2[[#Headers],[shell]],Table2[#Headers],0),0)</f>
        <v>6 INCH TUBE</v>
      </c>
      <c r="H303" s="2" t="str">
        <f>VLOOKUP([jobnumber],OvalData[],MATCH(Table2[[#Headers],[pipewidth]],Table2[#Headers],0),0)</f>
        <v xml:space="preserve"> 18 ft.- 1 3/ 8"</v>
      </c>
      <c r="I303" s="2">
        <f>VLOOKUP([jobnumber],OvalData[],MATCH(Table2[[#Headers],[Support Tubes]],Table2[#Headers],0),0)</f>
        <v>0</v>
      </c>
      <c r="J303" s="2">
        <f>VLOOKUP([jobnumber],OvalData[],MATCH(Table2[[#Headers],[Upset]],Table2[#Headers],0),0)</f>
        <v>2</v>
      </c>
      <c r="K303" s="2" t="str">
        <f>VLOOKUP([jobnumber],OvalData[],MATCH(Table2[[#Headers],[Guide Type]],Table2[#Headers],0),0)</f>
        <v>SN2-4 5/8-E</v>
      </c>
      <c r="L303" s="2" t="str">
        <f>VLOOKUP([jobnumber],OvalData[],MATCH(Table2[[#Headers],[Wall Angle]],Table2[#Headers],0),0)</f>
        <v xml:space="preserve"> 11 ft.- 8"</v>
      </c>
      <c r="M303" s="2" t="str">
        <f>VLOOKUP([jobnumber],OvalData[],MATCH(Table2[[#Headers],[Middle Angle]],Table2[#Headers],0),0)</f>
        <v xml:space="preserve"> 10 ft.- 4 1/ 2"</v>
      </c>
      <c r="N303" s="2" t="str">
        <f>VLOOKUP([jobnumber],OvalData[],MATCH(Table2[[#Headers],[Front Angle]],Table2[#Headers],0),0)</f>
        <v xml:space="preserve"> 10 ft.- 3"</v>
      </c>
      <c r="O303" s="2">
        <f>VLOOKUP([jobnumber],OvalData[],MATCH(Table2[[#Headers],[Pipe Center Line]],Table2[#Headers],0),0)</f>
        <v>131</v>
      </c>
      <c r="P303" s="2">
        <f>VLOOKUP([jobnumber],OvalData[],MATCH(Table2[[#Headers],[Heat Expansion Gap]],Table2[#Headers],0),0)</f>
        <v>0</v>
      </c>
      <c r="Q303" s="2">
        <f>VLOOKUP([jobnumber],OvalData[],MATCH(Table2[[#Headers],[Hanging Weight Closed]],Table2[#Headers],0),0)</f>
        <v>795</v>
      </c>
      <c r="R303" s="2">
        <f>VLOOKUP([jobnumber],OvalData[],MATCH(Table2[[#Headers],[Hanging Weight Open]],Table2[#Headers],0),0)</f>
        <v>140</v>
      </c>
      <c r="S303" s="2">
        <f>VLOOKUP([jobnumber],OvalData[],MATCH(Table2[[#Headers],[Initial Lever Arm]],Table2[#Headers],0),0)</f>
        <v>4.25</v>
      </c>
      <c r="T303" s="2">
        <f>VLOOKUP([jobnumber],OvalData[],MATCH(Table2[[#Headers],[Turns to Raise]],Table2[#Headers],0),0)</f>
        <v>3.5859999999999999</v>
      </c>
      <c r="U303" s="2">
        <f>VLOOKUP([jobnumber],OvalData[],MATCH(Table2[[#Headers],[Final Lever Arm]],Table2[#Headers],0),0)</f>
        <v>6.37</v>
      </c>
      <c r="V303" s="2">
        <f>VLOOKUP([jobnumber],OvalData[],MATCH(Table2[[#Headers],[Torque Required Closed]],Table2[#Headers],0),0)</f>
        <v>3377.9</v>
      </c>
      <c r="W303" s="2">
        <f>VLOOKUP([jobnumber],OvalData[],MATCH(Table2[[#Headers],[Torque Required Open]],Table2[#Headers],0),0)</f>
        <v>892</v>
      </c>
      <c r="X303" s="2">
        <f>VLOOKUP([jobnumber],OvalData[],MATCH(Table2[[#Headers],[Pre Turns]],Table2[#Headers],0),0)</f>
        <v>1.3332999999999999</v>
      </c>
      <c r="Y303" s="2">
        <f>VLOOKUP([jobnumber],OvalData[],MATCH(Table2[[#Headers],[Required Torque Per Turn]],Table2[#Headers],0),0)</f>
        <v>688</v>
      </c>
      <c r="Z303" s="2">
        <f>VLOOKUP([jobnumber],OvalData[],MATCH(Table2[[#Headers],[Total Turns]],Table2[#Headers],0),0)</f>
        <v>4.91</v>
      </c>
      <c r="AA303" s="2">
        <f>VLOOKUP([jobnumber],OvalData[],MATCH(Table2[[#Headers],[Grille Vision Section]],Table2[#Headers],0),0)</f>
        <v>0</v>
      </c>
      <c r="AB303" s="2">
        <f>VLOOKUP([jobnumber],OvalData[],MATCH(Table2[[#Headers],[Grille Amount]],Table2[#Headers],0),0)</f>
        <v>0</v>
      </c>
      <c r="AC303" s="2">
        <f>VLOOKUP([jobnumber],OvalData[],MATCH(Table2[[#Headers],[Grille Center]],Table2[#Headers],0),0)</f>
        <v>0</v>
      </c>
      <c r="AD303" s="2">
        <f>VLOOKUP([jobnumber],OvalData[],MATCH(Table2[[#Headers],[Grille Pattern]],Table2[#Headers],0),0)</f>
        <v>0</v>
      </c>
      <c r="AE303" s="2">
        <f>VLOOKUP([jobnumber],OvalData[],MATCH(Table2[[#Headers],[Grille First Tube]],Table2[#Headers],0),0)</f>
        <v>0</v>
      </c>
      <c r="AF303" s="2">
        <f>VLOOKUP([jobnumber],OvalData[],MATCH(Table2[[#Headers],[Grille Standard Tube]],Table2[#Headers],0),0)</f>
        <v>0</v>
      </c>
      <c r="AG303" s="2">
        <f>VLOOKUP([jobnumber],OvalData[],MATCH(Table2[[#Headers],[Grille Total Links]],Table2[#Headers],0),0)</f>
        <v>0</v>
      </c>
      <c r="AH303" s="2">
        <f>VLOOKUP([jobnumber],OvalData[],MATCH(Table2[[#Headers],[Grille Rods]],Table2[#Headers],0),0)</f>
        <v>0</v>
      </c>
      <c r="AI303" s="2">
        <f>VLOOKUP([jobnumber],OvalData[],MATCH(Table2[[#Headers],[Grille Rod Length]],Table2[#Headers],0),0)</f>
        <v>0</v>
      </c>
      <c r="AJ303" s="2">
        <f>VLOOKUP([jobnumber],OvalData[],MATCH(Table2[[#Headers],[slattype]],Table2[#Headers],0),0)</f>
        <v>2</v>
      </c>
      <c r="AK303" s="2">
        <f>VLOOKUP([jobnumber],OvalData[],MATCH(Table2[[#Headers],[slatgage]],Table2[#Headers],0),0)</f>
        <v>18</v>
      </c>
      <c r="AL303" s="2">
        <f>VLOOKUP([jobnumber],OvalData[],MATCH(Table2[[#Headers],[Numer of Top Slats]],Table2[#Headers],0),0)</f>
        <v>0</v>
      </c>
      <c r="AM303" s="2">
        <f>VLOOKUP([jobnumber],OvalData[],MATCH(Table2[[#Headers],[Number of Bottom Slats]],Table2[#Headers],0),0)</f>
        <v>0</v>
      </c>
      <c r="AN303" s="2">
        <f>VLOOKUP([jobnumber],OvalData[],MATCH(Table2[[#Headers],[Solid Bottom Height]],Table2[#Headers],0),0)</f>
        <v>0</v>
      </c>
      <c r="AO303" s="2" t="str">
        <f>VLOOKUP([jobnumber],OvalData[],MATCH(Table2[[#Headers],[slatlength]],Table2[#Headers],0),0)</f>
        <v xml:space="preserve"> 18 ft.- 5 7/ 8"</v>
      </c>
      <c r="AP303" s="2">
        <f>VLOOKUP([jobnumber],OvalData[],MATCH(Table2[[#Headers],[Bottom Slat Length]],Table2[#Headers],0),0)</f>
        <v>0</v>
      </c>
      <c r="AQ303" s="2">
        <f>VLOOKUP([jobnumber],OvalData[],MATCH(Table2[[#Headers],[Number of Perferated Slats]],Table2[#Headers],0),0)</f>
        <v>0</v>
      </c>
      <c r="AR303" s="2">
        <f>VLOOKUP([jobnumber],OvalData[],MATCH(Table2[[#Headers],[First Preferated Slat From End]],Table2[#Headers],0),0)</f>
        <v>0</v>
      </c>
      <c r="AS303" s="2">
        <f>VLOOKUP([jobnumber],OvalData[],MATCH(Table2[[#Headers],[First Preferated Slat From Bottom]],Table2[#Headers],0),0)</f>
        <v>0</v>
      </c>
      <c r="AT303" s="2">
        <f>VLOOKUP([jobnumber],OvalData[],MATCH(Table2[[#Headers],[Total Number of Slats]],Table2[#Headers],0),0)</f>
        <v>51</v>
      </c>
      <c r="AU303" s="2">
        <f>VLOOKUP([jobnumber],OvalData[],MATCH(Table2[[#Headers],[Bottom Bar Slope]],Table2[#Headers],0),0)</f>
        <v>0</v>
      </c>
      <c r="AV303" s="2">
        <f>VLOOKUP([jobnumber],OvalData[],MATCH(Table2[[#Headers],[Bottom Bar Weight]],Table2[#Headers],0),0)</f>
        <v>80.5</v>
      </c>
      <c r="AW303" s="2" t="str">
        <f>VLOOKUP([jobnumber],OvalData[],MATCH(Table2[[#Headers],[Outer Spring Gage]],Table2[#Headers],0),0)</f>
        <v>Null</v>
      </c>
      <c r="AX303" s="2" t="str">
        <f>VLOOKUP([jobnumber],OvalData[],MATCH(Table2[[#Headers],[Outer Spring OD]],Table2[#Headers],0),0)</f>
        <v>Null</v>
      </c>
      <c r="AY303" s="2" t="str">
        <f>VLOOKUP([jobnumber],OvalData[],MATCH(Table2[[#Headers],[Outer Spring Length]],Table2[#Headers],0),0)</f>
        <v>Null</v>
      </c>
      <c r="AZ303" s="2" t="str">
        <f>VLOOKUP([jobnumber],OvalData[],MATCH(Table2[[#Headers],[Outer Spring Stretch]],Table2[#Headers],0),0)</f>
        <v>Null</v>
      </c>
      <c r="BA303" s="2" t="str">
        <f>VLOOKUP([jobnumber],OvalData[],MATCH(Table2[[#Headers],[Outer Spring Torque]],Table2[#Headers],0),0)</f>
        <v>Null</v>
      </c>
      <c r="BB303" s="2" t="str">
        <f>VLOOKUP([jobnumber],OvalData[],MATCH(Table2[[#Headers],[Outer Spring Max Turns]],Table2[#Headers],0),0)</f>
        <v>Null</v>
      </c>
      <c r="BC303" s="2" t="str">
        <f>VLOOKUP([jobnumber],OvalData[],MATCH(Table2[[#Headers],[Outer Spring Weight]],Table2[#Headers],0),0)</f>
        <v>Null</v>
      </c>
      <c r="BD303" s="2" t="str">
        <f>VLOOKUP([jobnumber],OvalData[],MATCH(Table2[[#Headers],[Inner Spring Gage]],Table2[#Headers],0),0)</f>
        <v>Null</v>
      </c>
      <c r="BE303" s="2" t="str">
        <f>VLOOKUP([jobnumber],OvalData[],MATCH(Table2[[#Headers],[Inner Spring OD]],Table2[#Headers],0),0)</f>
        <v>Null</v>
      </c>
      <c r="BF303" s="2" t="str">
        <f>VLOOKUP([jobnumber],OvalData[],MATCH(Table2[[#Headers],[Inner Spring Length]],Table2[#Headers],0),0)</f>
        <v>Null</v>
      </c>
      <c r="BG303" s="2" t="str">
        <f>VLOOKUP([jobnumber],OvalData[],MATCH(Table2[[#Headers],[Inner Spring Stretch]],Table2[#Headers],0),0)</f>
        <v>Null</v>
      </c>
      <c r="BH303" s="2" t="str">
        <f>VLOOKUP([jobnumber],OvalData[],MATCH(Table2[[#Headers],[Inner Spring Torque]],Table2[#Headers],0),0)</f>
        <v>Null</v>
      </c>
      <c r="BI303" s="2" t="str">
        <f>VLOOKUP([jobnumber],OvalData[],MATCH(Table2[[#Headers],[Inner Spring Max Turns]],Table2[#Headers],0),0)</f>
        <v>Null</v>
      </c>
      <c r="BJ303" s="2" t="str">
        <f>VLOOKUP([jobnumber],OvalData[],MATCH(Table2[[#Headers],[Inner Spring Weight]],Table2[#Headers],0),0)</f>
        <v>Null</v>
      </c>
      <c r="BK303" s="2">
        <f>VLOOKUP([jobnumber],OvalData[],MATCH(Table2[[#Headers],[Cycles]],Table2[#Headers],0),0)</f>
        <v>0</v>
      </c>
      <c r="BL303" s="2">
        <f>VLOOKUP([jobnumber],OvalData[],MATCH(Table2[[#Headers],[Total Spring Torque]],Table2[#Headers],0),0)</f>
        <v>0</v>
      </c>
      <c r="BM303" s="2">
        <f>VLOOKUP([jobnumber],OvalData[],MATCH(Table2[[#Headers],[Total Spring Weight]],Table2[#Headers],0),0)</f>
        <v>0</v>
      </c>
      <c r="BN303" s="2">
        <f>VLOOKUP([jobnumber],OvalData[],MATCH(Table2[[#Headers],[Pipe Weight]],Table2[#Headers],0),0)</f>
        <v>688.24239999999998</v>
      </c>
      <c r="BO303" s="2">
        <f>VLOOKUP([jobnumber],OvalData[],MATCH(Table2[[#Headers],[Max Pipe Deflection]],Table2[#Headers],0),0)</f>
        <v>2309</v>
      </c>
      <c r="BP303" s="2">
        <f>VLOOKUP([jobnumber],OvalData[],MATCH(Table2[[#Headers],[Number Non-Insulated Wrap Slats]],Table2[#Headers],0),0)</f>
        <v>0</v>
      </c>
      <c r="BQ303" s="2">
        <f>VLOOKUP([jobnumber],OvalData[],MATCH(Table2[[#Headers],[Number of Insolated Top Slats]],Table2[#Headers],0),0)</f>
        <v>45</v>
      </c>
      <c r="BR303" s="2">
        <f>VLOOKUP([jobnumber],OvalData[],MATCH(Table2[[#Headers],[Insolated Total Slats]],Table2[#Headers],0),0)</f>
        <v>45</v>
      </c>
      <c r="BS303" s="2">
        <f>VLOOKUP([jobnumber],OvalData[],MATCH(Table2[[#Headers],[Number of Slats]],Table2[#Headers],0),0)</f>
        <v>44.69</v>
      </c>
      <c r="BT303" s="2">
        <f>VLOOKUP([jobnumber],OvalData[],MATCH(Table2[[#Headers],[Wrap]],Table2[#Headers],0),0)</f>
        <v>0</v>
      </c>
      <c r="BU303" s="2">
        <f>VLOOKUP([jobnumber],OvalData[],MATCH(Table2[[#Headers],[Wall Angle Thickness]],Table2[#Headers],0),0)</f>
        <v>0</v>
      </c>
      <c r="BV303" s="2">
        <f>VLOOKUP([jobnumber],OvalData[],MATCH(Table2[[#Headers],[windlocks]],Table2[#Headers],0),0)</f>
        <v>0</v>
      </c>
      <c r="BW303" s="2" t="str">
        <f>VLOOKUP([jobnumber],OvalData[],MATCH(Table2[[#Headers],[bottombartype]],Table2[#Headers],0),0)</f>
        <v>SPECIAL</v>
      </c>
      <c r="BX303" s="2">
        <f>VLOOKUP([jobnumber],OvalData[],MATCH(Table2[[#Headers],[endlockweight]],Table2[#Headers],0),0)</f>
        <v>0.17</v>
      </c>
      <c r="BY303" s="2">
        <f>VLOOKUP([jobnumber],OvalData[],MATCH(Table2[[#Headers],[Endlock Total Weight]],Table2[#Headers],0),0)</f>
        <v>7.5972999999999997</v>
      </c>
      <c r="BZ303" s="2">
        <f>VLOOKUP([jobnumber],OvalData[],MATCH(Table2[[#Headers],[Grille Weight]],Table2[#Headers],0),0)</f>
        <v>0</v>
      </c>
      <c r="CA303" s="2">
        <f>VLOOKUP([jobnumber],OvalData[],MATCH(Table2[[#Headers],[barrelrings]],Table2[#Headers],0),0)</f>
        <v>1</v>
      </c>
    </row>
    <row r="304" spans="2:79">
      <c r="B304" s="2" t="str">
        <f>VLOOKUP([jobnumber],OvalData[],MATCH(Table2[[#Headers],[Hand]],Table2[#Headers],0),0)</f>
        <v>RH</v>
      </c>
      <c r="C304" s="2" t="str">
        <f>VLOOKUP([jobnumber],OvalData[],MATCH(Table2[[#Headers],[Model]],Table2[#Headers],0),0)</f>
        <v>SFMPP</v>
      </c>
      <c r="D304" s="2" t="str">
        <f>VLOOKUP([jobnumber],OvalData[],MATCH(Table2[[#Headers],[width]],Table2[#Headers],0),0)</f>
        <v xml:space="preserve"> 18 ft.- 2"</v>
      </c>
      <c r="E304" s="2" t="str">
        <f>VLOOKUP([jobnumber],OvalData[],MATCH(Table2[[#Headers],[stopheight]],Table2[#Headers],0),0)</f>
        <v xml:space="preserve"> 10 ft.- 0"</v>
      </c>
      <c r="F304" s="2" t="str">
        <f>VLOOKUP([jobnumber],OvalData[],MATCH(Table2[[#Headers],[Between Brackets]],Table2[#Headers],0),0)</f>
        <v xml:space="preserve"> 18 ft.- 7 7/ 8"</v>
      </c>
      <c r="G304" s="2" t="str">
        <f>VLOOKUP([jobnumber],OvalData[],MATCH(Table2[[#Headers],[shell]],Table2[#Headers],0),0)</f>
        <v>6 INCH TUBE</v>
      </c>
      <c r="H304" s="2" t="str">
        <f>VLOOKUP([jobnumber],OvalData[],MATCH(Table2[[#Headers],[pipewidth]],Table2[#Headers],0),0)</f>
        <v xml:space="preserve"> 18 ft.- 1 3/ 8"</v>
      </c>
      <c r="I304" s="2">
        <f>VLOOKUP([jobnumber],OvalData[],MATCH(Table2[[#Headers],[Support Tubes]],Table2[#Headers],0),0)</f>
        <v>0</v>
      </c>
      <c r="J304" s="2">
        <f>VLOOKUP([jobnumber],OvalData[],MATCH(Table2[[#Headers],[Upset]],Table2[#Headers],0),0)</f>
        <v>2</v>
      </c>
      <c r="K304" s="2" t="str">
        <f>VLOOKUP([jobnumber],OvalData[],MATCH(Table2[[#Headers],[Guide Type]],Table2[#Headers],0),0)</f>
        <v>SN2-4 5/8-E</v>
      </c>
      <c r="L304" s="2" t="str">
        <f>VLOOKUP([jobnumber],OvalData[],MATCH(Table2[[#Headers],[Wall Angle]],Table2[#Headers],0),0)</f>
        <v xml:space="preserve"> 11 ft.- 8"</v>
      </c>
      <c r="M304" s="2" t="str">
        <f>VLOOKUP([jobnumber],OvalData[],MATCH(Table2[[#Headers],[Middle Angle]],Table2[#Headers],0),0)</f>
        <v xml:space="preserve"> 10 ft.- 4 1/ 2"</v>
      </c>
      <c r="N304" s="2" t="str">
        <f>VLOOKUP([jobnumber],OvalData[],MATCH(Table2[[#Headers],[Front Angle]],Table2[#Headers],0),0)</f>
        <v xml:space="preserve"> 10 ft.- 3"</v>
      </c>
      <c r="O304" s="2">
        <f>VLOOKUP([jobnumber],OvalData[],MATCH(Table2[[#Headers],[Pipe Center Line]],Table2[#Headers],0),0)</f>
        <v>131</v>
      </c>
      <c r="P304" s="2">
        <f>VLOOKUP([jobnumber],OvalData[],MATCH(Table2[[#Headers],[Heat Expansion Gap]],Table2[#Headers],0),0)</f>
        <v>0</v>
      </c>
      <c r="Q304" s="2">
        <f>VLOOKUP([jobnumber],OvalData[],MATCH(Table2[[#Headers],[Hanging Weight Closed]],Table2[#Headers],0),0)</f>
        <v>795</v>
      </c>
      <c r="R304" s="2">
        <f>VLOOKUP([jobnumber],OvalData[],MATCH(Table2[[#Headers],[Hanging Weight Open]],Table2[#Headers],0),0)</f>
        <v>140</v>
      </c>
      <c r="S304" s="2">
        <f>VLOOKUP([jobnumber],OvalData[],MATCH(Table2[[#Headers],[Initial Lever Arm]],Table2[#Headers],0),0)</f>
        <v>4.25</v>
      </c>
      <c r="T304" s="2">
        <f>VLOOKUP([jobnumber],OvalData[],MATCH(Table2[[#Headers],[Turns to Raise]],Table2[#Headers],0),0)</f>
        <v>3.5859999999999999</v>
      </c>
      <c r="U304" s="2">
        <f>VLOOKUP([jobnumber],OvalData[],MATCH(Table2[[#Headers],[Final Lever Arm]],Table2[#Headers],0),0)</f>
        <v>6.37</v>
      </c>
      <c r="V304" s="2">
        <f>VLOOKUP([jobnumber],OvalData[],MATCH(Table2[[#Headers],[Torque Required Closed]],Table2[#Headers],0),0)</f>
        <v>3377.9</v>
      </c>
      <c r="W304" s="2">
        <f>VLOOKUP([jobnumber],OvalData[],MATCH(Table2[[#Headers],[Torque Required Open]],Table2[#Headers],0),0)</f>
        <v>892</v>
      </c>
      <c r="X304" s="2">
        <f>VLOOKUP([jobnumber],OvalData[],MATCH(Table2[[#Headers],[Pre Turns]],Table2[#Headers],0),0)</f>
        <v>1.3332999999999999</v>
      </c>
      <c r="Y304" s="2">
        <f>VLOOKUP([jobnumber],OvalData[],MATCH(Table2[[#Headers],[Required Torque Per Turn]],Table2[#Headers],0),0)</f>
        <v>688</v>
      </c>
      <c r="Z304" s="2">
        <f>VLOOKUP([jobnumber],OvalData[],MATCH(Table2[[#Headers],[Total Turns]],Table2[#Headers],0),0)</f>
        <v>4.91</v>
      </c>
      <c r="AA304" s="2">
        <f>VLOOKUP([jobnumber],OvalData[],MATCH(Table2[[#Headers],[Grille Vision Section]],Table2[#Headers],0),0)</f>
        <v>0</v>
      </c>
      <c r="AB304" s="2">
        <f>VLOOKUP([jobnumber],OvalData[],MATCH(Table2[[#Headers],[Grille Amount]],Table2[#Headers],0),0)</f>
        <v>0</v>
      </c>
      <c r="AC304" s="2">
        <f>VLOOKUP([jobnumber],OvalData[],MATCH(Table2[[#Headers],[Grille Center]],Table2[#Headers],0),0)</f>
        <v>0</v>
      </c>
      <c r="AD304" s="2">
        <f>VLOOKUP([jobnumber],OvalData[],MATCH(Table2[[#Headers],[Grille Pattern]],Table2[#Headers],0),0)</f>
        <v>0</v>
      </c>
      <c r="AE304" s="2">
        <f>VLOOKUP([jobnumber],OvalData[],MATCH(Table2[[#Headers],[Grille First Tube]],Table2[#Headers],0),0)</f>
        <v>0</v>
      </c>
      <c r="AF304" s="2">
        <f>VLOOKUP([jobnumber],OvalData[],MATCH(Table2[[#Headers],[Grille Standard Tube]],Table2[#Headers],0),0)</f>
        <v>0</v>
      </c>
      <c r="AG304" s="2">
        <f>VLOOKUP([jobnumber],OvalData[],MATCH(Table2[[#Headers],[Grille Total Links]],Table2[#Headers],0),0)</f>
        <v>0</v>
      </c>
      <c r="AH304" s="2">
        <f>VLOOKUP([jobnumber],OvalData[],MATCH(Table2[[#Headers],[Grille Rods]],Table2[#Headers],0),0)</f>
        <v>0</v>
      </c>
      <c r="AI304" s="2">
        <f>VLOOKUP([jobnumber],OvalData[],MATCH(Table2[[#Headers],[Grille Rod Length]],Table2[#Headers],0),0)</f>
        <v>0</v>
      </c>
      <c r="AJ304" s="2">
        <f>VLOOKUP([jobnumber],OvalData[],MATCH(Table2[[#Headers],[slattype]],Table2[#Headers],0),0)</f>
        <v>2</v>
      </c>
      <c r="AK304" s="2">
        <f>VLOOKUP([jobnumber],OvalData[],MATCH(Table2[[#Headers],[slatgage]],Table2[#Headers],0),0)</f>
        <v>18</v>
      </c>
      <c r="AL304" s="2">
        <f>VLOOKUP([jobnumber],OvalData[],MATCH(Table2[[#Headers],[Numer of Top Slats]],Table2[#Headers],0),0)</f>
        <v>0</v>
      </c>
      <c r="AM304" s="2">
        <f>VLOOKUP([jobnumber],OvalData[],MATCH(Table2[[#Headers],[Number of Bottom Slats]],Table2[#Headers],0),0)</f>
        <v>0</v>
      </c>
      <c r="AN304" s="2">
        <f>VLOOKUP([jobnumber],OvalData[],MATCH(Table2[[#Headers],[Solid Bottom Height]],Table2[#Headers],0),0)</f>
        <v>0</v>
      </c>
      <c r="AO304" s="2" t="str">
        <f>VLOOKUP([jobnumber],OvalData[],MATCH(Table2[[#Headers],[slatlength]],Table2[#Headers],0),0)</f>
        <v xml:space="preserve"> 18 ft.- 5 7/ 8"</v>
      </c>
      <c r="AP304" s="2">
        <f>VLOOKUP([jobnumber],OvalData[],MATCH(Table2[[#Headers],[Bottom Slat Length]],Table2[#Headers],0),0)</f>
        <v>0</v>
      </c>
      <c r="AQ304" s="2">
        <f>VLOOKUP([jobnumber],OvalData[],MATCH(Table2[[#Headers],[Number of Perferated Slats]],Table2[#Headers],0),0)</f>
        <v>0</v>
      </c>
      <c r="AR304" s="2">
        <f>VLOOKUP([jobnumber],OvalData[],MATCH(Table2[[#Headers],[First Preferated Slat From End]],Table2[#Headers],0),0)</f>
        <v>0</v>
      </c>
      <c r="AS304" s="2">
        <f>VLOOKUP([jobnumber],OvalData[],MATCH(Table2[[#Headers],[First Preferated Slat From Bottom]],Table2[#Headers],0),0)</f>
        <v>0</v>
      </c>
      <c r="AT304" s="2">
        <f>VLOOKUP([jobnumber],OvalData[],MATCH(Table2[[#Headers],[Total Number of Slats]],Table2[#Headers],0),0)</f>
        <v>51</v>
      </c>
      <c r="AU304" s="2">
        <f>VLOOKUP([jobnumber],OvalData[],MATCH(Table2[[#Headers],[Bottom Bar Slope]],Table2[#Headers],0),0)</f>
        <v>0</v>
      </c>
      <c r="AV304" s="2">
        <f>VLOOKUP([jobnumber],OvalData[],MATCH(Table2[[#Headers],[Bottom Bar Weight]],Table2[#Headers],0),0)</f>
        <v>80.5</v>
      </c>
      <c r="AW304" s="2" t="str">
        <f>VLOOKUP([jobnumber],OvalData[],MATCH(Table2[[#Headers],[Outer Spring Gage]],Table2[#Headers],0),0)</f>
        <v>Null</v>
      </c>
      <c r="AX304" s="2" t="str">
        <f>VLOOKUP([jobnumber],OvalData[],MATCH(Table2[[#Headers],[Outer Spring OD]],Table2[#Headers],0),0)</f>
        <v>Null</v>
      </c>
      <c r="AY304" s="2" t="str">
        <f>VLOOKUP([jobnumber],OvalData[],MATCH(Table2[[#Headers],[Outer Spring Length]],Table2[#Headers],0),0)</f>
        <v>Null</v>
      </c>
      <c r="AZ304" s="2" t="str">
        <f>VLOOKUP([jobnumber],OvalData[],MATCH(Table2[[#Headers],[Outer Spring Stretch]],Table2[#Headers],0),0)</f>
        <v>Null</v>
      </c>
      <c r="BA304" s="2" t="str">
        <f>VLOOKUP([jobnumber],OvalData[],MATCH(Table2[[#Headers],[Outer Spring Torque]],Table2[#Headers],0),0)</f>
        <v>Null</v>
      </c>
      <c r="BB304" s="2" t="str">
        <f>VLOOKUP([jobnumber],OvalData[],MATCH(Table2[[#Headers],[Outer Spring Max Turns]],Table2[#Headers],0),0)</f>
        <v>Null</v>
      </c>
      <c r="BC304" s="2" t="str">
        <f>VLOOKUP([jobnumber],OvalData[],MATCH(Table2[[#Headers],[Outer Spring Weight]],Table2[#Headers],0),0)</f>
        <v>Null</v>
      </c>
      <c r="BD304" s="2" t="str">
        <f>VLOOKUP([jobnumber],OvalData[],MATCH(Table2[[#Headers],[Inner Spring Gage]],Table2[#Headers],0),0)</f>
        <v>Null</v>
      </c>
      <c r="BE304" s="2" t="str">
        <f>VLOOKUP([jobnumber],OvalData[],MATCH(Table2[[#Headers],[Inner Spring OD]],Table2[#Headers],0),0)</f>
        <v>Null</v>
      </c>
      <c r="BF304" s="2" t="str">
        <f>VLOOKUP([jobnumber],OvalData[],MATCH(Table2[[#Headers],[Inner Spring Length]],Table2[#Headers],0),0)</f>
        <v>Null</v>
      </c>
      <c r="BG304" s="2" t="str">
        <f>VLOOKUP([jobnumber],OvalData[],MATCH(Table2[[#Headers],[Inner Spring Stretch]],Table2[#Headers],0),0)</f>
        <v>Null</v>
      </c>
      <c r="BH304" s="2" t="str">
        <f>VLOOKUP([jobnumber],OvalData[],MATCH(Table2[[#Headers],[Inner Spring Torque]],Table2[#Headers],0),0)</f>
        <v>Null</v>
      </c>
      <c r="BI304" s="2" t="str">
        <f>VLOOKUP([jobnumber],OvalData[],MATCH(Table2[[#Headers],[Inner Spring Max Turns]],Table2[#Headers],0),0)</f>
        <v>Null</v>
      </c>
      <c r="BJ304" s="2" t="str">
        <f>VLOOKUP([jobnumber],OvalData[],MATCH(Table2[[#Headers],[Inner Spring Weight]],Table2[#Headers],0),0)</f>
        <v>Null</v>
      </c>
      <c r="BK304" s="2">
        <f>VLOOKUP([jobnumber],OvalData[],MATCH(Table2[[#Headers],[Cycles]],Table2[#Headers],0),0)</f>
        <v>0</v>
      </c>
      <c r="BL304" s="2">
        <f>VLOOKUP([jobnumber],OvalData[],MATCH(Table2[[#Headers],[Total Spring Torque]],Table2[#Headers],0),0)</f>
        <v>0</v>
      </c>
      <c r="BM304" s="2">
        <f>VLOOKUP([jobnumber],OvalData[],MATCH(Table2[[#Headers],[Total Spring Weight]],Table2[#Headers],0),0)</f>
        <v>0</v>
      </c>
      <c r="BN304" s="2">
        <f>VLOOKUP([jobnumber],OvalData[],MATCH(Table2[[#Headers],[Pipe Weight]],Table2[#Headers],0),0)</f>
        <v>688.24239999999998</v>
      </c>
      <c r="BO304" s="2">
        <f>VLOOKUP([jobnumber],OvalData[],MATCH(Table2[[#Headers],[Max Pipe Deflection]],Table2[#Headers],0),0)</f>
        <v>2309</v>
      </c>
      <c r="BP304" s="2">
        <f>VLOOKUP([jobnumber],OvalData[],MATCH(Table2[[#Headers],[Number Non-Insulated Wrap Slats]],Table2[#Headers],0),0)</f>
        <v>0</v>
      </c>
      <c r="BQ304" s="2">
        <f>VLOOKUP([jobnumber],OvalData[],MATCH(Table2[[#Headers],[Number of Insolated Top Slats]],Table2[#Headers],0),0)</f>
        <v>45</v>
      </c>
      <c r="BR304" s="2">
        <f>VLOOKUP([jobnumber],OvalData[],MATCH(Table2[[#Headers],[Insolated Total Slats]],Table2[#Headers],0),0)</f>
        <v>45</v>
      </c>
      <c r="BS304" s="2">
        <f>VLOOKUP([jobnumber],OvalData[],MATCH(Table2[[#Headers],[Number of Slats]],Table2[#Headers],0),0)</f>
        <v>44.69</v>
      </c>
      <c r="BT304" s="2">
        <f>VLOOKUP([jobnumber],OvalData[],MATCH(Table2[[#Headers],[Wrap]],Table2[#Headers],0),0)</f>
        <v>0</v>
      </c>
      <c r="BU304" s="2">
        <f>VLOOKUP([jobnumber],OvalData[],MATCH(Table2[[#Headers],[Wall Angle Thickness]],Table2[#Headers],0),0)</f>
        <v>0</v>
      </c>
      <c r="BV304" s="2">
        <f>VLOOKUP([jobnumber],OvalData[],MATCH(Table2[[#Headers],[windlocks]],Table2[#Headers],0),0)</f>
        <v>0</v>
      </c>
      <c r="BW304" s="2" t="str">
        <f>VLOOKUP([jobnumber],OvalData[],MATCH(Table2[[#Headers],[bottombartype]],Table2[#Headers],0),0)</f>
        <v>SPECIAL</v>
      </c>
      <c r="BX304" s="2">
        <f>VLOOKUP([jobnumber],OvalData[],MATCH(Table2[[#Headers],[endlockweight]],Table2[#Headers],0),0)</f>
        <v>0.17</v>
      </c>
      <c r="BY304" s="2">
        <f>VLOOKUP([jobnumber],OvalData[],MATCH(Table2[[#Headers],[Endlock Total Weight]],Table2[#Headers],0),0)</f>
        <v>7.5972999999999997</v>
      </c>
      <c r="BZ304" s="2">
        <f>VLOOKUP([jobnumber],OvalData[],MATCH(Table2[[#Headers],[Grille Weight]],Table2[#Headers],0),0)</f>
        <v>0</v>
      </c>
      <c r="CA304" s="2">
        <f>VLOOKUP([jobnumber],OvalData[],MATCH(Table2[[#Headers],[barrelrings]],Table2[#Headers],0),0)</f>
        <v>1</v>
      </c>
    </row>
    <row r="305" spans="2:79">
      <c r="B305" s="2" t="str">
        <f>VLOOKUP([jobnumber],OvalData[],MATCH(Table2[[#Headers],[Hand]],Table2[#Headers],0),0)</f>
        <v>RH</v>
      </c>
      <c r="C305" s="2" t="str">
        <f>VLOOKUP([jobnumber],OvalData[],MATCH(Table2[[#Headers],[Model]],Table2[#Headers],0),0)</f>
        <v>SFMPP</v>
      </c>
      <c r="D305" s="2" t="str">
        <f>VLOOKUP([jobnumber],OvalData[],MATCH(Table2[[#Headers],[width]],Table2[#Headers],0),0)</f>
        <v xml:space="preserve"> 18 ft.- 2"</v>
      </c>
      <c r="E305" s="2" t="str">
        <f>VLOOKUP([jobnumber],OvalData[],MATCH(Table2[[#Headers],[stopheight]],Table2[#Headers],0),0)</f>
        <v xml:space="preserve"> 10 ft.- 0"</v>
      </c>
      <c r="F305" s="2" t="str">
        <f>VLOOKUP([jobnumber],OvalData[],MATCH(Table2[[#Headers],[Between Brackets]],Table2[#Headers],0),0)</f>
        <v xml:space="preserve"> 18 ft.- 7 7/ 8"</v>
      </c>
      <c r="G305" s="2" t="str">
        <f>VLOOKUP([jobnumber],OvalData[],MATCH(Table2[[#Headers],[shell]],Table2[#Headers],0),0)</f>
        <v>6 INCH TUBE</v>
      </c>
      <c r="H305" s="2" t="str">
        <f>VLOOKUP([jobnumber],OvalData[],MATCH(Table2[[#Headers],[pipewidth]],Table2[#Headers],0),0)</f>
        <v xml:space="preserve"> 18 ft.- 1 3/ 8"</v>
      </c>
      <c r="I305" s="2">
        <f>VLOOKUP([jobnumber],OvalData[],MATCH(Table2[[#Headers],[Support Tubes]],Table2[#Headers],0),0)</f>
        <v>0</v>
      </c>
      <c r="J305" s="2">
        <f>VLOOKUP([jobnumber],OvalData[],MATCH(Table2[[#Headers],[Upset]],Table2[#Headers],0),0)</f>
        <v>2</v>
      </c>
      <c r="K305" s="2" t="str">
        <f>VLOOKUP([jobnumber],OvalData[],MATCH(Table2[[#Headers],[Guide Type]],Table2[#Headers],0),0)</f>
        <v>SN2-4 5/8-E</v>
      </c>
      <c r="L305" s="2" t="str">
        <f>VLOOKUP([jobnumber],OvalData[],MATCH(Table2[[#Headers],[Wall Angle]],Table2[#Headers],0),0)</f>
        <v xml:space="preserve"> 11 ft.- 8"</v>
      </c>
      <c r="M305" s="2" t="str">
        <f>VLOOKUP([jobnumber],OvalData[],MATCH(Table2[[#Headers],[Middle Angle]],Table2[#Headers],0),0)</f>
        <v xml:space="preserve"> 10 ft.- 4 1/ 2"</v>
      </c>
      <c r="N305" s="2" t="str">
        <f>VLOOKUP([jobnumber],OvalData[],MATCH(Table2[[#Headers],[Front Angle]],Table2[#Headers],0),0)</f>
        <v xml:space="preserve"> 10 ft.- 3"</v>
      </c>
      <c r="O305" s="2">
        <f>VLOOKUP([jobnumber],OvalData[],MATCH(Table2[[#Headers],[Pipe Center Line]],Table2[#Headers],0),0)</f>
        <v>131</v>
      </c>
      <c r="P305" s="2">
        <f>VLOOKUP([jobnumber],OvalData[],MATCH(Table2[[#Headers],[Heat Expansion Gap]],Table2[#Headers],0),0)</f>
        <v>0</v>
      </c>
      <c r="Q305" s="2">
        <f>VLOOKUP([jobnumber],OvalData[],MATCH(Table2[[#Headers],[Hanging Weight Closed]],Table2[#Headers],0),0)</f>
        <v>795</v>
      </c>
      <c r="R305" s="2">
        <f>VLOOKUP([jobnumber],OvalData[],MATCH(Table2[[#Headers],[Hanging Weight Open]],Table2[#Headers],0),0)</f>
        <v>140</v>
      </c>
      <c r="S305" s="2">
        <f>VLOOKUP([jobnumber],OvalData[],MATCH(Table2[[#Headers],[Initial Lever Arm]],Table2[#Headers],0),0)</f>
        <v>4.25</v>
      </c>
      <c r="T305" s="2">
        <f>VLOOKUP([jobnumber],OvalData[],MATCH(Table2[[#Headers],[Turns to Raise]],Table2[#Headers],0),0)</f>
        <v>3.5859999999999999</v>
      </c>
      <c r="U305" s="2">
        <f>VLOOKUP([jobnumber],OvalData[],MATCH(Table2[[#Headers],[Final Lever Arm]],Table2[#Headers],0),0)</f>
        <v>6.37</v>
      </c>
      <c r="V305" s="2">
        <f>VLOOKUP([jobnumber],OvalData[],MATCH(Table2[[#Headers],[Torque Required Closed]],Table2[#Headers],0),0)</f>
        <v>3377.9</v>
      </c>
      <c r="W305" s="2">
        <f>VLOOKUP([jobnumber],OvalData[],MATCH(Table2[[#Headers],[Torque Required Open]],Table2[#Headers],0),0)</f>
        <v>892</v>
      </c>
      <c r="X305" s="2">
        <f>VLOOKUP([jobnumber],OvalData[],MATCH(Table2[[#Headers],[Pre Turns]],Table2[#Headers],0),0)</f>
        <v>1.3332999999999999</v>
      </c>
      <c r="Y305" s="2">
        <f>VLOOKUP([jobnumber],OvalData[],MATCH(Table2[[#Headers],[Required Torque Per Turn]],Table2[#Headers],0),0)</f>
        <v>688</v>
      </c>
      <c r="Z305" s="2">
        <f>VLOOKUP([jobnumber],OvalData[],MATCH(Table2[[#Headers],[Total Turns]],Table2[#Headers],0),0)</f>
        <v>4.91</v>
      </c>
      <c r="AA305" s="2">
        <f>VLOOKUP([jobnumber],OvalData[],MATCH(Table2[[#Headers],[Grille Vision Section]],Table2[#Headers],0),0)</f>
        <v>0</v>
      </c>
      <c r="AB305" s="2">
        <f>VLOOKUP([jobnumber],OvalData[],MATCH(Table2[[#Headers],[Grille Amount]],Table2[#Headers],0),0)</f>
        <v>0</v>
      </c>
      <c r="AC305" s="2">
        <f>VLOOKUP([jobnumber],OvalData[],MATCH(Table2[[#Headers],[Grille Center]],Table2[#Headers],0),0)</f>
        <v>0</v>
      </c>
      <c r="AD305" s="2">
        <f>VLOOKUP([jobnumber],OvalData[],MATCH(Table2[[#Headers],[Grille Pattern]],Table2[#Headers],0),0)</f>
        <v>0</v>
      </c>
      <c r="AE305" s="2">
        <f>VLOOKUP([jobnumber],OvalData[],MATCH(Table2[[#Headers],[Grille First Tube]],Table2[#Headers],0),0)</f>
        <v>0</v>
      </c>
      <c r="AF305" s="2">
        <f>VLOOKUP([jobnumber],OvalData[],MATCH(Table2[[#Headers],[Grille Standard Tube]],Table2[#Headers],0),0)</f>
        <v>0</v>
      </c>
      <c r="AG305" s="2">
        <f>VLOOKUP([jobnumber],OvalData[],MATCH(Table2[[#Headers],[Grille Total Links]],Table2[#Headers],0),0)</f>
        <v>0</v>
      </c>
      <c r="AH305" s="2">
        <f>VLOOKUP([jobnumber],OvalData[],MATCH(Table2[[#Headers],[Grille Rods]],Table2[#Headers],0),0)</f>
        <v>0</v>
      </c>
      <c r="AI305" s="2">
        <f>VLOOKUP([jobnumber],OvalData[],MATCH(Table2[[#Headers],[Grille Rod Length]],Table2[#Headers],0),0)</f>
        <v>0</v>
      </c>
      <c r="AJ305" s="2">
        <f>VLOOKUP([jobnumber],OvalData[],MATCH(Table2[[#Headers],[slattype]],Table2[#Headers],0),0)</f>
        <v>2</v>
      </c>
      <c r="AK305" s="2">
        <f>VLOOKUP([jobnumber],OvalData[],MATCH(Table2[[#Headers],[slatgage]],Table2[#Headers],0),0)</f>
        <v>18</v>
      </c>
      <c r="AL305" s="2">
        <f>VLOOKUP([jobnumber],OvalData[],MATCH(Table2[[#Headers],[Numer of Top Slats]],Table2[#Headers],0),0)</f>
        <v>0</v>
      </c>
      <c r="AM305" s="2">
        <f>VLOOKUP([jobnumber],OvalData[],MATCH(Table2[[#Headers],[Number of Bottom Slats]],Table2[#Headers],0),0)</f>
        <v>0</v>
      </c>
      <c r="AN305" s="2">
        <f>VLOOKUP([jobnumber],OvalData[],MATCH(Table2[[#Headers],[Solid Bottom Height]],Table2[#Headers],0),0)</f>
        <v>0</v>
      </c>
      <c r="AO305" s="2" t="str">
        <f>VLOOKUP([jobnumber],OvalData[],MATCH(Table2[[#Headers],[slatlength]],Table2[#Headers],0),0)</f>
        <v xml:space="preserve"> 18 ft.- 5 7/ 8"</v>
      </c>
      <c r="AP305" s="2">
        <f>VLOOKUP([jobnumber],OvalData[],MATCH(Table2[[#Headers],[Bottom Slat Length]],Table2[#Headers],0),0)</f>
        <v>0</v>
      </c>
      <c r="AQ305" s="2">
        <f>VLOOKUP([jobnumber],OvalData[],MATCH(Table2[[#Headers],[Number of Perferated Slats]],Table2[#Headers],0),0)</f>
        <v>0</v>
      </c>
      <c r="AR305" s="2">
        <f>VLOOKUP([jobnumber],OvalData[],MATCH(Table2[[#Headers],[First Preferated Slat From End]],Table2[#Headers],0),0)</f>
        <v>0</v>
      </c>
      <c r="AS305" s="2">
        <f>VLOOKUP([jobnumber],OvalData[],MATCH(Table2[[#Headers],[First Preferated Slat From Bottom]],Table2[#Headers],0),0)</f>
        <v>0</v>
      </c>
      <c r="AT305" s="2">
        <f>VLOOKUP([jobnumber],OvalData[],MATCH(Table2[[#Headers],[Total Number of Slats]],Table2[#Headers],0),0)</f>
        <v>51</v>
      </c>
      <c r="AU305" s="2">
        <f>VLOOKUP([jobnumber],OvalData[],MATCH(Table2[[#Headers],[Bottom Bar Slope]],Table2[#Headers],0),0)</f>
        <v>0</v>
      </c>
      <c r="AV305" s="2">
        <f>VLOOKUP([jobnumber],OvalData[],MATCH(Table2[[#Headers],[Bottom Bar Weight]],Table2[#Headers],0),0)</f>
        <v>80.5</v>
      </c>
      <c r="AW305" s="2" t="str">
        <f>VLOOKUP([jobnumber],OvalData[],MATCH(Table2[[#Headers],[Outer Spring Gage]],Table2[#Headers],0),0)</f>
        <v>Null</v>
      </c>
      <c r="AX305" s="2" t="str">
        <f>VLOOKUP([jobnumber],OvalData[],MATCH(Table2[[#Headers],[Outer Spring OD]],Table2[#Headers],0),0)</f>
        <v>Null</v>
      </c>
      <c r="AY305" s="2" t="str">
        <f>VLOOKUP([jobnumber],OvalData[],MATCH(Table2[[#Headers],[Outer Spring Length]],Table2[#Headers],0),0)</f>
        <v>Null</v>
      </c>
      <c r="AZ305" s="2" t="str">
        <f>VLOOKUP([jobnumber],OvalData[],MATCH(Table2[[#Headers],[Outer Spring Stretch]],Table2[#Headers],0),0)</f>
        <v>Null</v>
      </c>
      <c r="BA305" s="2" t="str">
        <f>VLOOKUP([jobnumber],OvalData[],MATCH(Table2[[#Headers],[Outer Spring Torque]],Table2[#Headers],0),0)</f>
        <v>Null</v>
      </c>
      <c r="BB305" s="2" t="str">
        <f>VLOOKUP([jobnumber],OvalData[],MATCH(Table2[[#Headers],[Outer Spring Max Turns]],Table2[#Headers],0),0)</f>
        <v>Null</v>
      </c>
      <c r="BC305" s="2" t="str">
        <f>VLOOKUP([jobnumber],OvalData[],MATCH(Table2[[#Headers],[Outer Spring Weight]],Table2[#Headers],0),0)</f>
        <v>Null</v>
      </c>
      <c r="BD305" s="2" t="str">
        <f>VLOOKUP([jobnumber],OvalData[],MATCH(Table2[[#Headers],[Inner Spring Gage]],Table2[#Headers],0),0)</f>
        <v>Null</v>
      </c>
      <c r="BE305" s="2" t="str">
        <f>VLOOKUP([jobnumber],OvalData[],MATCH(Table2[[#Headers],[Inner Spring OD]],Table2[#Headers],0),0)</f>
        <v>Null</v>
      </c>
      <c r="BF305" s="2" t="str">
        <f>VLOOKUP([jobnumber],OvalData[],MATCH(Table2[[#Headers],[Inner Spring Length]],Table2[#Headers],0),0)</f>
        <v>Null</v>
      </c>
      <c r="BG305" s="2" t="str">
        <f>VLOOKUP([jobnumber],OvalData[],MATCH(Table2[[#Headers],[Inner Spring Stretch]],Table2[#Headers],0),0)</f>
        <v>Null</v>
      </c>
      <c r="BH305" s="2" t="str">
        <f>VLOOKUP([jobnumber],OvalData[],MATCH(Table2[[#Headers],[Inner Spring Torque]],Table2[#Headers],0),0)</f>
        <v>Null</v>
      </c>
      <c r="BI305" s="2" t="str">
        <f>VLOOKUP([jobnumber],OvalData[],MATCH(Table2[[#Headers],[Inner Spring Max Turns]],Table2[#Headers],0),0)</f>
        <v>Null</v>
      </c>
      <c r="BJ305" s="2" t="str">
        <f>VLOOKUP([jobnumber],OvalData[],MATCH(Table2[[#Headers],[Inner Spring Weight]],Table2[#Headers],0),0)</f>
        <v>Null</v>
      </c>
      <c r="BK305" s="2">
        <f>VLOOKUP([jobnumber],OvalData[],MATCH(Table2[[#Headers],[Cycles]],Table2[#Headers],0),0)</f>
        <v>0</v>
      </c>
      <c r="BL305" s="2">
        <f>VLOOKUP([jobnumber],OvalData[],MATCH(Table2[[#Headers],[Total Spring Torque]],Table2[#Headers],0),0)</f>
        <v>0</v>
      </c>
      <c r="BM305" s="2">
        <f>VLOOKUP([jobnumber],OvalData[],MATCH(Table2[[#Headers],[Total Spring Weight]],Table2[#Headers],0),0)</f>
        <v>0</v>
      </c>
      <c r="BN305" s="2">
        <f>VLOOKUP([jobnumber],OvalData[],MATCH(Table2[[#Headers],[Pipe Weight]],Table2[#Headers],0),0)</f>
        <v>688.24239999999998</v>
      </c>
      <c r="BO305" s="2">
        <f>VLOOKUP([jobnumber],OvalData[],MATCH(Table2[[#Headers],[Max Pipe Deflection]],Table2[#Headers],0),0)</f>
        <v>2309</v>
      </c>
      <c r="BP305" s="2">
        <f>VLOOKUP([jobnumber],OvalData[],MATCH(Table2[[#Headers],[Number Non-Insulated Wrap Slats]],Table2[#Headers],0),0)</f>
        <v>0</v>
      </c>
      <c r="BQ305" s="2">
        <f>VLOOKUP([jobnumber],OvalData[],MATCH(Table2[[#Headers],[Number of Insolated Top Slats]],Table2[#Headers],0),0)</f>
        <v>45</v>
      </c>
      <c r="BR305" s="2">
        <f>VLOOKUP([jobnumber],OvalData[],MATCH(Table2[[#Headers],[Insolated Total Slats]],Table2[#Headers],0),0)</f>
        <v>45</v>
      </c>
      <c r="BS305" s="2">
        <f>VLOOKUP([jobnumber],OvalData[],MATCH(Table2[[#Headers],[Number of Slats]],Table2[#Headers],0),0)</f>
        <v>44.69</v>
      </c>
      <c r="BT305" s="2">
        <f>VLOOKUP([jobnumber],OvalData[],MATCH(Table2[[#Headers],[Wrap]],Table2[#Headers],0),0)</f>
        <v>0</v>
      </c>
      <c r="BU305" s="2">
        <f>VLOOKUP([jobnumber],OvalData[],MATCH(Table2[[#Headers],[Wall Angle Thickness]],Table2[#Headers],0),0)</f>
        <v>0</v>
      </c>
      <c r="BV305" s="2">
        <f>VLOOKUP([jobnumber],OvalData[],MATCH(Table2[[#Headers],[windlocks]],Table2[#Headers],0),0)</f>
        <v>0</v>
      </c>
      <c r="BW305" s="2" t="str">
        <f>VLOOKUP([jobnumber],OvalData[],MATCH(Table2[[#Headers],[bottombartype]],Table2[#Headers],0),0)</f>
        <v>SPECIAL</v>
      </c>
      <c r="BX305" s="2">
        <f>VLOOKUP([jobnumber],OvalData[],MATCH(Table2[[#Headers],[endlockweight]],Table2[#Headers],0),0)</f>
        <v>0.17</v>
      </c>
      <c r="BY305" s="2">
        <f>VLOOKUP([jobnumber],OvalData[],MATCH(Table2[[#Headers],[Endlock Total Weight]],Table2[#Headers],0),0)</f>
        <v>7.5972999999999997</v>
      </c>
      <c r="BZ305" s="2">
        <f>VLOOKUP([jobnumber],OvalData[],MATCH(Table2[[#Headers],[Grille Weight]],Table2[#Headers],0),0)</f>
        <v>0</v>
      </c>
      <c r="CA305" s="2">
        <f>VLOOKUP([jobnumber],OvalData[],MATCH(Table2[[#Headers],[barrelrings]],Table2[#Headers],0),0)</f>
        <v>1</v>
      </c>
    </row>
    <row r="306" spans="2:79">
      <c r="B306" s="2" t="str">
        <f>VLOOKUP([jobnumber],OvalData[],MATCH(Table2[[#Headers],[Hand]],Table2[#Headers],0),0)</f>
        <v>RH</v>
      </c>
      <c r="C306" s="2" t="str">
        <f>VLOOKUP([jobnumber],OvalData[],MATCH(Table2[[#Headers],[Model]],Table2[#Headers],0),0)</f>
        <v>SFMPP</v>
      </c>
      <c r="D306" s="2" t="str">
        <f>VLOOKUP([jobnumber],OvalData[],MATCH(Table2[[#Headers],[width]],Table2[#Headers],0),0)</f>
        <v xml:space="preserve"> 18 ft.- 2"</v>
      </c>
      <c r="E306" s="2" t="str">
        <f>VLOOKUP([jobnumber],OvalData[],MATCH(Table2[[#Headers],[stopheight]],Table2[#Headers],0),0)</f>
        <v xml:space="preserve"> 10 ft.- 0"</v>
      </c>
      <c r="F306" s="2" t="str">
        <f>VLOOKUP([jobnumber],OvalData[],MATCH(Table2[[#Headers],[Between Brackets]],Table2[#Headers],0),0)</f>
        <v xml:space="preserve"> 18 ft.- 7 7/ 8"</v>
      </c>
      <c r="G306" s="2" t="str">
        <f>VLOOKUP([jobnumber],OvalData[],MATCH(Table2[[#Headers],[shell]],Table2[#Headers],0),0)</f>
        <v>6 INCH TUBE</v>
      </c>
      <c r="H306" s="2" t="str">
        <f>VLOOKUP([jobnumber],OvalData[],MATCH(Table2[[#Headers],[pipewidth]],Table2[#Headers],0),0)</f>
        <v xml:space="preserve"> 18 ft.- 1 3/ 8"</v>
      </c>
      <c r="I306" s="2">
        <f>VLOOKUP([jobnumber],OvalData[],MATCH(Table2[[#Headers],[Support Tubes]],Table2[#Headers],0),0)</f>
        <v>0</v>
      </c>
      <c r="J306" s="2">
        <f>VLOOKUP([jobnumber],OvalData[],MATCH(Table2[[#Headers],[Upset]],Table2[#Headers],0),0)</f>
        <v>2</v>
      </c>
      <c r="K306" s="2" t="str">
        <f>VLOOKUP([jobnumber],OvalData[],MATCH(Table2[[#Headers],[Guide Type]],Table2[#Headers],0),0)</f>
        <v>SN2-4 5/8-E</v>
      </c>
      <c r="L306" s="2" t="str">
        <f>VLOOKUP([jobnumber],OvalData[],MATCH(Table2[[#Headers],[Wall Angle]],Table2[#Headers],0),0)</f>
        <v xml:space="preserve"> 11 ft.- 8"</v>
      </c>
      <c r="M306" s="2" t="str">
        <f>VLOOKUP([jobnumber],OvalData[],MATCH(Table2[[#Headers],[Middle Angle]],Table2[#Headers],0),0)</f>
        <v xml:space="preserve"> 10 ft.- 4 1/ 2"</v>
      </c>
      <c r="N306" s="2" t="str">
        <f>VLOOKUP([jobnumber],OvalData[],MATCH(Table2[[#Headers],[Front Angle]],Table2[#Headers],0),0)</f>
        <v xml:space="preserve"> 10 ft.- 3"</v>
      </c>
      <c r="O306" s="2">
        <f>VLOOKUP([jobnumber],OvalData[],MATCH(Table2[[#Headers],[Pipe Center Line]],Table2[#Headers],0),0)</f>
        <v>131</v>
      </c>
      <c r="P306" s="2">
        <f>VLOOKUP([jobnumber],OvalData[],MATCH(Table2[[#Headers],[Heat Expansion Gap]],Table2[#Headers],0),0)</f>
        <v>0</v>
      </c>
      <c r="Q306" s="2">
        <f>VLOOKUP([jobnumber],OvalData[],MATCH(Table2[[#Headers],[Hanging Weight Closed]],Table2[#Headers],0),0)</f>
        <v>795</v>
      </c>
      <c r="R306" s="2">
        <f>VLOOKUP([jobnumber],OvalData[],MATCH(Table2[[#Headers],[Hanging Weight Open]],Table2[#Headers],0),0)</f>
        <v>140</v>
      </c>
      <c r="S306" s="2">
        <f>VLOOKUP([jobnumber],OvalData[],MATCH(Table2[[#Headers],[Initial Lever Arm]],Table2[#Headers],0),0)</f>
        <v>4.25</v>
      </c>
      <c r="T306" s="2">
        <f>VLOOKUP([jobnumber],OvalData[],MATCH(Table2[[#Headers],[Turns to Raise]],Table2[#Headers],0),0)</f>
        <v>3.5859999999999999</v>
      </c>
      <c r="U306" s="2">
        <f>VLOOKUP([jobnumber],OvalData[],MATCH(Table2[[#Headers],[Final Lever Arm]],Table2[#Headers],0),0)</f>
        <v>6.37</v>
      </c>
      <c r="V306" s="2">
        <f>VLOOKUP([jobnumber],OvalData[],MATCH(Table2[[#Headers],[Torque Required Closed]],Table2[#Headers],0),0)</f>
        <v>3377.9</v>
      </c>
      <c r="W306" s="2">
        <f>VLOOKUP([jobnumber],OvalData[],MATCH(Table2[[#Headers],[Torque Required Open]],Table2[#Headers],0),0)</f>
        <v>892</v>
      </c>
      <c r="X306" s="2">
        <f>VLOOKUP([jobnumber],OvalData[],MATCH(Table2[[#Headers],[Pre Turns]],Table2[#Headers],0),0)</f>
        <v>1.3332999999999999</v>
      </c>
      <c r="Y306" s="2">
        <f>VLOOKUP([jobnumber],OvalData[],MATCH(Table2[[#Headers],[Required Torque Per Turn]],Table2[#Headers],0),0)</f>
        <v>688</v>
      </c>
      <c r="Z306" s="2">
        <f>VLOOKUP([jobnumber],OvalData[],MATCH(Table2[[#Headers],[Total Turns]],Table2[#Headers],0),0)</f>
        <v>4.91</v>
      </c>
      <c r="AA306" s="2">
        <f>VLOOKUP([jobnumber],OvalData[],MATCH(Table2[[#Headers],[Grille Vision Section]],Table2[#Headers],0),0)</f>
        <v>0</v>
      </c>
      <c r="AB306" s="2">
        <f>VLOOKUP([jobnumber],OvalData[],MATCH(Table2[[#Headers],[Grille Amount]],Table2[#Headers],0),0)</f>
        <v>0</v>
      </c>
      <c r="AC306" s="2">
        <f>VLOOKUP([jobnumber],OvalData[],MATCH(Table2[[#Headers],[Grille Center]],Table2[#Headers],0),0)</f>
        <v>0</v>
      </c>
      <c r="AD306" s="2">
        <f>VLOOKUP([jobnumber],OvalData[],MATCH(Table2[[#Headers],[Grille Pattern]],Table2[#Headers],0),0)</f>
        <v>0</v>
      </c>
      <c r="AE306" s="2">
        <f>VLOOKUP([jobnumber],OvalData[],MATCH(Table2[[#Headers],[Grille First Tube]],Table2[#Headers],0),0)</f>
        <v>0</v>
      </c>
      <c r="AF306" s="2">
        <f>VLOOKUP([jobnumber],OvalData[],MATCH(Table2[[#Headers],[Grille Standard Tube]],Table2[#Headers],0),0)</f>
        <v>0</v>
      </c>
      <c r="AG306" s="2">
        <f>VLOOKUP([jobnumber],OvalData[],MATCH(Table2[[#Headers],[Grille Total Links]],Table2[#Headers],0),0)</f>
        <v>0</v>
      </c>
      <c r="AH306" s="2">
        <f>VLOOKUP([jobnumber],OvalData[],MATCH(Table2[[#Headers],[Grille Rods]],Table2[#Headers],0),0)</f>
        <v>0</v>
      </c>
      <c r="AI306" s="2">
        <f>VLOOKUP([jobnumber],OvalData[],MATCH(Table2[[#Headers],[Grille Rod Length]],Table2[#Headers],0),0)</f>
        <v>0</v>
      </c>
      <c r="AJ306" s="2">
        <f>VLOOKUP([jobnumber],OvalData[],MATCH(Table2[[#Headers],[slattype]],Table2[#Headers],0),0)</f>
        <v>2</v>
      </c>
      <c r="AK306" s="2">
        <f>VLOOKUP([jobnumber],OvalData[],MATCH(Table2[[#Headers],[slatgage]],Table2[#Headers],0),0)</f>
        <v>18</v>
      </c>
      <c r="AL306" s="2">
        <f>VLOOKUP([jobnumber],OvalData[],MATCH(Table2[[#Headers],[Numer of Top Slats]],Table2[#Headers],0),0)</f>
        <v>0</v>
      </c>
      <c r="AM306" s="2">
        <f>VLOOKUP([jobnumber],OvalData[],MATCH(Table2[[#Headers],[Number of Bottom Slats]],Table2[#Headers],0),0)</f>
        <v>0</v>
      </c>
      <c r="AN306" s="2">
        <f>VLOOKUP([jobnumber],OvalData[],MATCH(Table2[[#Headers],[Solid Bottom Height]],Table2[#Headers],0),0)</f>
        <v>0</v>
      </c>
      <c r="AO306" s="2" t="str">
        <f>VLOOKUP([jobnumber],OvalData[],MATCH(Table2[[#Headers],[slatlength]],Table2[#Headers],0),0)</f>
        <v xml:space="preserve"> 18 ft.- 5 7/ 8"</v>
      </c>
      <c r="AP306" s="2">
        <f>VLOOKUP([jobnumber],OvalData[],MATCH(Table2[[#Headers],[Bottom Slat Length]],Table2[#Headers],0),0)</f>
        <v>0</v>
      </c>
      <c r="AQ306" s="2">
        <f>VLOOKUP([jobnumber],OvalData[],MATCH(Table2[[#Headers],[Number of Perferated Slats]],Table2[#Headers],0),0)</f>
        <v>0</v>
      </c>
      <c r="AR306" s="2">
        <f>VLOOKUP([jobnumber],OvalData[],MATCH(Table2[[#Headers],[First Preferated Slat From End]],Table2[#Headers],0),0)</f>
        <v>0</v>
      </c>
      <c r="AS306" s="2">
        <f>VLOOKUP([jobnumber],OvalData[],MATCH(Table2[[#Headers],[First Preferated Slat From Bottom]],Table2[#Headers],0),0)</f>
        <v>0</v>
      </c>
      <c r="AT306" s="2">
        <f>VLOOKUP([jobnumber],OvalData[],MATCH(Table2[[#Headers],[Total Number of Slats]],Table2[#Headers],0),0)</f>
        <v>51</v>
      </c>
      <c r="AU306" s="2">
        <f>VLOOKUP([jobnumber],OvalData[],MATCH(Table2[[#Headers],[Bottom Bar Slope]],Table2[#Headers],0),0)</f>
        <v>0</v>
      </c>
      <c r="AV306" s="2">
        <f>VLOOKUP([jobnumber],OvalData[],MATCH(Table2[[#Headers],[Bottom Bar Weight]],Table2[#Headers],0),0)</f>
        <v>80.5</v>
      </c>
      <c r="AW306" s="2" t="str">
        <f>VLOOKUP([jobnumber],OvalData[],MATCH(Table2[[#Headers],[Outer Spring Gage]],Table2[#Headers],0),0)</f>
        <v>Null</v>
      </c>
      <c r="AX306" s="2" t="str">
        <f>VLOOKUP([jobnumber],OvalData[],MATCH(Table2[[#Headers],[Outer Spring OD]],Table2[#Headers],0),0)</f>
        <v>Null</v>
      </c>
      <c r="AY306" s="2" t="str">
        <f>VLOOKUP([jobnumber],OvalData[],MATCH(Table2[[#Headers],[Outer Spring Length]],Table2[#Headers],0),0)</f>
        <v>Null</v>
      </c>
      <c r="AZ306" s="2" t="str">
        <f>VLOOKUP([jobnumber],OvalData[],MATCH(Table2[[#Headers],[Outer Spring Stretch]],Table2[#Headers],0),0)</f>
        <v>Null</v>
      </c>
      <c r="BA306" s="2" t="str">
        <f>VLOOKUP([jobnumber],OvalData[],MATCH(Table2[[#Headers],[Outer Spring Torque]],Table2[#Headers],0),0)</f>
        <v>Null</v>
      </c>
      <c r="BB306" s="2" t="str">
        <f>VLOOKUP([jobnumber],OvalData[],MATCH(Table2[[#Headers],[Outer Spring Max Turns]],Table2[#Headers],0),0)</f>
        <v>Null</v>
      </c>
      <c r="BC306" s="2" t="str">
        <f>VLOOKUP([jobnumber],OvalData[],MATCH(Table2[[#Headers],[Outer Spring Weight]],Table2[#Headers],0),0)</f>
        <v>Null</v>
      </c>
      <c r="BD306" s="2" t="str">
        <f>VLOOKUP([jobnumber],OvalData[],MATCH(Table2[[#Headers],[Inner Spring Gage]],Table2[#Headers],0),0)</f>
        <v>Null</v>
      </c>
      <c r="BE306" s="2" t="str">
        <f>VLOOKUP([jobnumber],OvalData[],MATCH(Table2[[#Headers],[Inner Spring OD]],Table2[#Headers],0),0)</f>
        <v>Null</v>
      </c>
      <c r="BF306" s="2" t="str">
        <f>VLOOKUP([jobnumber],OvalData[],MATCH(Table2[[#Headers],[Inner Spring Length]],Table2[#Headers],0),0)</f>
        <v>Null</v>
      </c>
      <c r="BG306" s="2" t="str">
        <f>VLOOKUP([jobnumber],OvalData[],MATCH(Table2[[#Headers],[Inner Spring Stretch]],Table2[#Headers],0),0)</f>
        <v>Null</v>
      </c>
      <c r="BH306" s="2" t="str">
        <f>VLOOKUP([jobnumber],OvalData[],MATCH(Table2[[#Headers],[Inner Spring Torque]],Table2[#Headers],0),0)</f>
        <v>Null</v>
      </c>
      <c r="BI306" s="2" t="str">
        <f>VLOOKUP([jobnumber],OvalData[],MATCH(Table2[[#Headers],[Inner Spring Max Turns]],Table2[#Headers],0),0)</f>
        <v>Null</v>
      </c>
      <c r="BJ306" s="2" t="str">
        <f>VLOOKUP([jobnumber],OvalData[],MATCH(Table2[[#Headers],[Inner Spring Weight]],Table2[#Headers],0),0)</f>
        <v>Null</v>
      </c>
      <c r="BK306" s="2">
        <f>VLOOKUP([jobnumber],OvalData[],MATCH(Table2[[#Headers],[Cycles]],Table2[#Headers],0),0)</f>
        <v>0</v>
      </c>
      <c r="BL306" s="2">
        <f>VLOOKUP([jobnumber],OvalData[],MATCH(Table2[[#Headers],[Total Spring Torque]],Table2[#Headers],0),0)</f>
        <v>0</v>
      </c>
      <c r="BM306" s="2">
        <f>VLOOKUP([jobnumber],OvalData[],MATCH(Table2[[#Headers],[Total Spring Weight]],Table2[#Headers],0),0)</f>
        <v>0</v>
      </c>
      <c r="BN306" s="2">
        <f>VLOOKUP([jobnumber],OvalData[],MATCH(Table2[[#Headers],[Pipe Weight]],Table2[#Headers],0),0)</f>
        <v>688.24239999999998</v>
      </c>
      <c r="BO306" s="2">
        <f>VLOOKUP([jobnumber],OvalData[],MATCH(Table2[[#Headers],[Max Pipe Deflection]],Table2[#Headers],0),0)</f>
        <v>2309</v>
      </c>
      <c r="BP306" s="2">
        <f>VLOOKUP([jobnumber],OvalData[],MATCH(Table2[[#Headers],[Number Non-Insulated Wrap Slats]],Table2[#Headers],0),0)</f>
        <v>0</v>
      </c>
      <c r="BQ306" s="2">
        <f>VLOOKUP([jobnumber],OvalData[],MATCH(Table2[[#Headers],[Number of Insolated Top Slats]],Table2[#Headers],0),0)</f>
        <v>45</v>
      </c>
      <c r="BR306" s="2">
        <f>VLOOKUP([jobnumber],OvalData[],MATCH(Table2[[#Headers],[Insolated Total Slats]],Table2[#Headers],0),0)</f>
        <v>45</v>
      </c>
      <c r="BS306" s="2">
        <f>VLOOKUP([jobnumber],OvalData[],MATCH(Table2[[#Headers],[Number of Slats]],Table2[#Headers],0),0)</f>
        <v>44.69</v>
      </c>
      <c r="BT306" s="2">
        <f>VLOOKUP([jobnumber],OvalData[],MATCH(Table2[[#Headers],[Wrap]],Table2[#Headers],0),0)</f>
        <v>0</v>
      </c>
      <c r="BU306" s="2">
        <f>VLOOKUP([jobnumber],OvalData[],MATCH(Table2[[#Headers],[Wall Angle Thickness]],Table2[#Headers],0),0)</f>
        <v>0</v>
      </c>
      <c r="BV306" s="2">
        <f>VLOOKUP([jobnumber],OvalData[],MATCH(Table2[[#Headers],[windlocks]],Table2[#Headers],0),0)</f>
        <v>0</v>
      </c>
      <c r="BW306" s="2" t="str">
        <f>VLOOKUP([jobnumber],OvalData[],MATCH(Table2[[#Headers],[bottombartype]],Table2[#Headers],0),0)</f>
        <v>SPECIAL</v>
      </c>
      <c r="BX306" s="2">
        <f>VLOOKUP([jobnumber],OvalData[],MATCH(Table2[[#Headers],[endlockweight]],Table2[#Headers],0),0)</f>
        <v>0.17</v>
      </c>
      <c r="BY306" s="2">
        <f>VLOOKUP([jobnumber],OvalData[],MATCH(Table2[[#Headers],[Endlock Total Weight]],Table2[#Headers],0),0)</f>
        <v>7.5972999999999997</v>
      </c>
      <c r="BZ306" s="2">
        <f>VLOOKUP([jobnumber],OvalData[],MATCH(Table2[[#Headers],[Grille Weight]],Table2[#Headers],0),0)</f>
        <v>0</v>
      </c>
      <c r="CA306" s="2">
        <f>VLOOKUP([jobnumber],OvalData[],MATCH(Table2[[#Headers],[barrelrings]],Table2[#Headers],0),0)</f>
        <v>1</v>
      </c>
    </row>
    <row r="307" spans="2:79">
      <c r="B307" s="2" t="str">
        <f>VLOOKUP([jobnumber],OvalData[],MATCH(Table2[[#Headers],[Hand]],Table2[#Headers],0),0)</f>
        <v>RH</v>
      </c>
      <c r="C307" s="2" t="str">
        <f>VLOOKUP([jobnumber],OvalData[],MATCH(Table2[[#Headers],[Model]],Table2[#Headers],0),0)</f>
        <v>SFMPP</v>
      </c>
      <c r="D307" s="2" t="str">
        <f>VLOOKUP([jobnumber],OvalData[],MATCH(Table2[[#Headers],[width]],Table2[#Headers],0),0)</f>
        <v xml:space="preserve"> 18 ft.- 2"</v>
      </c>
      <c r="E307" s="2" t="str">
        <f>VLOOKUP([jobnumber],OvalData[],MATCH(Table2[[#Headers],[stopheight]],Table2[#Headers],0),0)</f>
        <v xml:space="preserve"> 10 ft.- 0"</v>
      </c>
      <c r="F307" s="2" t="str">
        <f>VLOOKUP([jobnumber],OvalData[],MATCH(Table2[[#Headers],[Between Brackets]],Table2[#Headers],0),0)</f>
        <v xml:space="preserve"> 18 ft.- 7 7/ 8"</v>
      </c>
      <c r="G307" s="2" t="str">
        <f>VLOOKUP([jobnumber],OvalData[],MATCH(Table2[[#Headers],[shell]],Table2[#Headers],0),0)</f>
        <v>6 INCH TUBE</v>
      </c>
      <c r="H307" s="2" t="str">
        <f>VLOOKUP([jobnumber],OvalData[],MATCH(Table2[[#Headers],[pipewidth]],Table2[#Headers],0),0)</f>
        <v xml:space="preserve"> 18 ft.- 1 3/ 8"</v>
      </c>
      <c r="I307" s="2">
        <f>VLOOKUP([jobnumber],OvalData[],MATCH(Table2[[#Headers],[Support Tubes]],Table2[#Headers],0),0)</f>
        <v>0</v>
      </c>
      <c r="J307" s="2">
        <f>VLOOKUP([jobnumber],OvalData[],MATCH(Table2[[#Headers],[Upset]],Table2[#Headers],0),0)</f>
        <v>2</v>
      </c>
      <c r="K307" s="2" t="str">
        <f>VLOOKUP([jobnumber],OvalData[],MATCH(Table2[[#Headers],[Guide Type]],Table2[#Headers],0),0)</f>
        <v>SN2-4 5/8-E</v>
      </c>
      <c r="L307" s="2" t="str">
        <f>VLOOKUP([jobnumber],OvalData[],MATCH(Table2[[#Headers],[Wall Angle]],Table2[#Headers],0),0)</f>
        <v xml:space="preserve"> 11 ft.- 8"</v>
      </c>
      <c r="M307" s="2" t="str">
        <f>VLOOKUP([jobnumber],OvalData[],MATCH(Table2[[#Headers],[Middle Angle]],Table2[#Headers],0),0)</f>
        <v xml:space="preserve"> 10 ft.- 4 1/ 2"</v>
      </c>
      <c r="N307" s="2" t="str">
        <f>VLOOKUP([jobnumber],OvalData[],MATCH(Table2[[#Headers],[Front Angle]],Table2[#Headers],0),0)</f>
        <v xml:space="preserve"> 10 ft.- 3"</v>
      </c>
      <c r="O307" s="2">
        <f>VLOOKUP([jobnumber],OvalData[],MATCH(Table2[[#Headers],[Pipe Center Line]],Table2[#Headers],0),0)</f>
        <v>131</v>
      </c>
      <c r="P307" s="2">
        <f>VLOOKUP([jobnumber],OvalData[],MATCH(Table2[[#Headers],[Heat Expansion Gap]],Table2[#Headers],0),0)</f>
        <v>0</v>
      </c>
      <c r="Q307" s="2">
        <f>VLOOKUP([jobnumber],OvalData[],MATCH(Table2[[#Headers],[Hanging Weight Closed]],Table2[#Headers],0),0)</f>
        <v>795</v>
      </c>
      <c r="R307" s="2">
        <f>VLOOKUP([jobnumber],OvalData[],MATCH(Table2[[#Headers],[Hanging Weight Open]],Table2[#Headers],0),0)</f>
        <v>140</v>
      </c>
      <c r="S307" s="2">
        <f>VLOOKUP([jobnumber],OvalData[],MATCH(Table2[[#Headers],[Initial Lever Arm]],Table2[#Headers],0),0)</f>
        <v>4.25</v>
      </c>
      <c r="T307" s="2">
        <f>VLOOKUP([jobnumber],OvalData[],MATCH(Table2[[#Headers],[Turns to Raise]],Table2[#Headers],0),0)</f>
        <v>3.5859999999999999</v>
      </c>
      <c r="U307" s="2">
        <f>VLOOKUP([jobnumber],OvalData[],MATCH(Table2[[#Headers],[Final Lever Arm]],Table2[#Headers],0),0)</f>
        <v>6.37</v>
      </c>
      <c r="V307" s="2">
        <f>VLOOKUP([jobnumber],OvalData[],MATCH(Table2[[#Headers],[Torque Required Closed]],Table2[#Headers],0),0)</f>
        <v>3377.9</v>
      </c>
      <c r="W307" s="2">
        <f>VLOOKUP([jobnumber],OvalData[],MATCH(Table2[[#Headers],[Torque Required Open]],Table2[#Headers],0),0)</f>
        <v>892</v>
      </c>
      <c r="X307" s="2">
        <f>VLOOKUP([jobnumber],OvalData[],MATCH(Table2[[#Headers],[Pre Turns]],Table2[#Headers],0),0)</f>
        <v>1.3332999999999999</v>
      </c>
      <c r="Y307" s="2">
        <f>VLOOKUP([jobnumber],OvalData[],MATCH(Table2[[#Headers],[Required Torque Per Turn]],Table2[#Headers],0),0)</f>
        <v>688</v>
      </c>
      <c r="Z307" s="2">
        <f>VLOOKUP([jobnumber],OvalData[],MATCH(Table2[[#Headers],[Total Turns]],Table2[#Headers],0),0)</f>
        <v>4.91</v>
      </c>
      <c r="AA307" s="2">
        <f>VLOOKUP([jobnumber],OvalData[],MATCH(Table2[[#Headers],[Grille Vision Section]],Table2[#Headers],0),0)</f>
        <v>0</v>
      </c>
      <c r="AB307" s="2">
        <f>VLOOKUP([jobnumber],OvalData[],MATCH(Table2[[#Headers],[Grille Amount]],Table2[#Headers],0),0)</f>
        <v>0</v>
      </c>
      <c r="AC307" s="2">
        <f>VLOOKUP([jobnumber],OvalData[],MATCH(Table2[[#Headers],[Grille Center]],Table2[#Headers],0),0)</f>
        <v>0</v>
      </c>
      <c r="AD307" s="2">
        <f>VLOOKUP([jobnumber],OvalData[],MATCH(Table2[[#Headers],[Grille Pattern]],Table2[#Headers],0),0)</f>
        <v>0</v>
      </c>
      <c r="AE307" s="2">
        <f>VLOOKUP([jobnumber],OvalData[],MATCH(Table2[[#Headers],[Grille First Tube]],Table2[#Headers],0),0)</f>
        <v>0</v>
      </c>
      <c r="AF307" s="2">
        <f>VLOOKUP([jobnumber],OvalData[],MATCH(Table2[[#Headers],[Grille Standard Tube]],Table2[#Headers],0),0)</f>
        <v>0</v>
      </c>
      <c r="AG307" s="2">
        <f>VLOOKUP([jobnumber],OvalData[],MATCH(Table2[[#Headers],[Grille Total Links]],Table2[#Headers],0),0)</f>
        <v>0</v>
      </c>
      <c r="AH307" s="2">
        <f>VLOOKUP([jobnumber],OvalData[],MATCH(Table2[[#Headers],[Grille Rods]],Table2[#Headers],0),0)</f>
        <v>0</v>
      </c>
      <c r="AI307" s="2">
        <f>VLOOKUP([jobnumber],OvalData[],MATCH(Table2[[#Headers],[Grille Rod Length]],Table2[#Headers],0),0)</f>
        <v>0</v>
      </c>
      <c r="AJ307" s="2">
        <f>VLOOKUP([jobnumber],OvalData[],MATCH(Table2[[#Headers],[slattype]],Table2[#Headers],0),0)</f>
        <v>2</v>
      </c>
      <c r="AK307" s="2">
        <f>VLOOKUP([jobnumber],OvalData[],MATCH(Table2[[#Headers],[slatgage]],Table2[#Headers],0),0)</f>
        <v>18</v>
      </c>
      <c r="AL307" s="2">
        <f>VLOOKUP([jobnumber],OvalData[],MATCH(Table2[[#Headers],[Numer of Top Slats]],Table2[#Headers],0),0)</f>
        <v>0</v>
      </c>
      <c r="AM307" s="2">
        <f>VLOOKUP([jobnumber],OvalData[],MATCH(Table2[[#Headers],[Number of Bottom Slats]],Table2[#Headers],0),0)</f>
        <v>0</v>
      </c>
      <c r="AN307" s="2">
        <f>VLOOKUP([jobnumber],OvalData[],MATCH(Table2[[#Headers],[Solid Bottom Height]],Table2[#Headers],0),0)</f>
        <v>0</v>
      </c>
      <c r="AO307" s="2" t="str">
        <f>VLOOKUP([jobnumber],OvalData[],MATCH(Table2[[#Headers],[slatlength]],Table2[#Headers],0),0)</f>
        <v xml:space="preserve"> 18 ft.- 5 7/ 8"</v>
      </c>
      <c r="AP307" s="2">
        <f>VLOOKUP([jobnumber],OvalData[],MATCH(Table2[[#Headers],[Bottom Slat Length]],Table2[#Headers],0),0)</f>
        <v>0</v>
      </c>
      <c r="AQ307" s="2">
        <f>VLOOKUP([jobnumber],OvalData[],MATCH(Table2[[#Headers],[Number of Perferated Slats]],Table2[#Headers],0),0)</f>
        <v>0</v>
      </c>
      <c r="AR307" s="2">
        <f>VLOOKUP([jobnumber],OvalData[],MATCH(Table2[[#Headers],[First Preferated Slat From End]],Table2[#Headers],0),0)</f>
        <v>0</v>
      </c>
      <c r="AS307" s="2">
        <f>VLOOKUP([jobnumber],OvalData[],MATCH(Table2[[#Headers],[First Preferated Slat From Bottom]],Table2[#Headers],0),0)</f>
        <v>0</v>
      </c>
      <c r="AT307" s="2">
        <f>VLOOKUP([jobnumber],OvalData[],MATCH(Table2[[#Headers],[Total Number of Slats]],Table2[#Headers],0),0)</f>
        <v>51</v>
      </c>
      <c r="AU307" s="2">
        <f>VLOOKUP([jobnumber],OvalData[],MATCH(Table2[[#Headers],[Bottom Bar Slope]],Table2[#Headers],0),0)</f>
        <v>0</v>
      </c>
      <c r="AV307" s="2">
        <f>VLOOKUP([jobnumber],OvalData[],MATCH(Table2[[#Headers],[Bottom Bar Weight]],Table2[#Headers],0),0)</f>
        <v>80.5</v>
      </c>
      <c r="AW307" s="2" t="str">
        <f>VLOOKUP([jobnumber],OvalData[],MATCH(Table2[[#Headers],[Outer Spring Gage]],Table2[#Headers],0),0)</f>
        <v>Null</v>
      </c>
      <c r="AX307" s="2" t="str">
        <f>VLOOKUP([jobnumber],OvalData[],MATCH(Table2[[#Headers],[Outer Spring OD]],Table2[#Headers],0),0)</f>
        <v>Null</v>
      </c>
      <c r="AY307" s="2" t="str">
        <f>VLOOKUP([jobnumber],OvalData[],MATCH(Table2[[#Headers],[Outer Spring Length]],Table2[#Headers],0),0)</f>
        <v>Null</v>
      </c>
      <c r="AZ307" s="2" t="str">
        <f>VLOOKUP([jobnumber],OvalData[],MATCH(Table2[[#Headers],[Outer Spring Stretch]],Table2[#Headers],0),0)</f>
        <v>Null</v>
      </c>
      <c r="BA307" s="2" t="str">
        <f>VLOOKUP([jobnumber],OvalData[],MATCH(Table2[[#Headers],[Outer Spring Torque]],Table2[#Headers],0),0)</f>
        <v>Null</v>
      </c>
      <c r="BB307" s="2" t="str">
        <f>VLOOKUP([jobnumber],OvalData[],MATCH(Table2[[#Headers],[Outer Spring Max Turns]],Table2[#Headers],0),0)</f>
        <v>Null</v>
      </c>
      <c r="BC307" s="2" t="str">
        <f>VLOOKUP([jobnumber],OvalData[],MATCH(Table2[[#Headers],[Outer Spring Weight]],Table2[#Headers],0),0)</f>
        <v>Null</v>
      </c>
      <c r="BD307" s="2" t="str">
        <f>VLOOKUP([jobnumber],OvalData[],MATCH(Table2[[#Headers],[Inner Spring Gage]],Table2[#Headers],0),0)</f>
        <v>Null</v>
      </c>
      <c r="BE307" s="2" t="str">
        <f>VLOOKUP([jobnumber],OvalData[],MATCH(Table2[[#Headers],[Inner Spring OD]],Table2[#Headers],0),0)</f>
        <v>Null</v>
      </c>
      <c r="BF307" s="2" t="str">
        <f>VLOOKUP([jobnumber],OvalData[],MATCH(Table2[[#Headers],[Inner Spring Length]],Table2[#Headers],0),0)</f>
        <v>Null</v>
      </c>
      <c r="BG307" s="2" t="str">
        <f>VLOOKUP([jobnumber],OvalData[],MATCH(Table2[[#Headers],[Inner Spring Stretch]],Table2[#Headers],0),0)</f>
        <v>Null</v>
      </c>
      <c r="BH307" s="2" t="str">
        <f>VLOOKUP([jobnumber],OvalData[],MATCH(Table2[[#Headers],[Inner Spring Torque]],Table2[#Headers],0),0)</f>
        <v>Null</v>
      </c>
      <c r="BI307" s="2" t="str">
        <f>VLOOKUP([jobnumber],OvalData[],MATCH(Table2[[#Headers],[Inner Spring Max Turns]],Table2[#Headers],0),0)</f>
        <v>Null</v>
      </c>
      <c r="BJ307" s="2" t="str">
        <f>VLOOKUP([jobnumber],OvalData[],MATCH(Table2[[#Headers],[Inner Spring Weight]],Table2[#Headers],0),0)</f>
        <v>Null</v>
      </c>
      <c r="BK307" s="2">
        <f>VLOOKUP([jobnumber],OvalData[],MATCH(Table2[[#Headers],[Cycles]],Table2[#Headers],0),0)</f>
        <v>0</v>
      </c>
      <c r="BL307" s="2">
        <f>VLOOKUP([jobnumber],OvalData[],MATCH(Table2[[#Headers],[Total Spring Torque]],Table2[#Headers],0),0)</f>
        <v>0</v>
      </c>
      <c r="BM307" s="2">
        <f>VLOOKUP([jobnumber],OvalData[],MATCH(Table2[[#Headers],[Total Spring Weight]],Table2[#Headers],0),0)</f>
        <v>0</v>
      </c>
      <c r="BN307" s="2">
        <f>VLOOKUP([jobnumber],OvalData[],MATCH(Table2[[#Headers],[Pipe Weight]],Table2[#Headers],0),0)</f>
        <v>688.24239999999998</v>
      </c>
      <c r="BO307" s="2">
        <f>VLOOKUP([jobnumber],OvalData[],MATCH(Table2[[#Headers],[Max Pipe Deflection]],Table2[#Headers],0),0)</f>
        <v>2309</v>
      </c>
      <c r="BP307" s="2">
        <f>VLOOKUP([jobnumber],OvalData[],MATCH(Table2[[#Headers],[Number Non-Insulated Wrap Slats]],Table2[#Headers],0),0)</f>
        <v>0</v>
      </c>
      <c r="BQ307" s="2">
        <f>VLOOKUP([jobnumber],OvalData[],MATCH(Table2[[#Headers],[Number of Insolated Top Slats]],Table2[#Headers],0),0)</f>
        <v>45</v>
      </c>
      <c r="BR307" s="2">
        <f>VLOOKUP([jobnumber],OvalData[],MATCH(Table2[[#Headers],[Insolated Total Slats]],Table2[#Headers],0),0)</f>
        <v>45</v>
      </c>
      <c r="BS307" s="2">
        <f>VLOOKUP([jobnumber],OvalData[],MATCH(Table2[[#Headers],[Number of Slats]],Table2[#Headers],0),0)</f>
        <v>44.69</v>
      </c>
      <c r="BT307" s="2">
        <f>VLOOKUP([jobnumber],OvalData[],MATCH(Table2[[#Headers],[Wrap]],Table2[#Headers],0),0)</f>
        <v>0</v>
      </c>
      <c r="BU307" s="2">
        <f>VLOOKUP([jobnumber],OvalData[],MATCH(Table2[[#Headers],[Wall Angle Thickness]],Table2[#Headers],0),0)</f>
        <v>0</v>
      </c>
      <c r="BV307" s="2">
        <f>VLOOKUP([jobnumber],OvalData[],MATCH(Table2[[#Headers],[windlocks]],Table2[#Headers],0),0)</f>
        <v>0</v>
      </c>
      <c r="BW307" s="2" t="str">
        <f>VLOOKUP([jobnumber],OvalData[],MATCH(Table2[[#Headers],[bottombartype]],Table2[#Headers],0),0)</f>
        <v>SPECIAL</v>
      </c>
      <c r="BX307" s="2">
        <f>VLOOKUP([jobnumber],OvalData[],MATCH(Table2[[#Headers],[endlockweight]],Table2[#Headers],0),0)</f>
        <v>0.17</v>
      </c>
      <c r="BY307" s="2">
        <f>VLOOKUP([jobnumber],OvalData[],MATCH(Table2[[#Headers],[Endlock Total Weight]],Table2[#Headers],0),0)</f>
        <v>7.5972999999999997</v>
      </c>
      <c r="BZ307" s="2">
        <f>VLOOKUP([jobnumber],OvalData[],MATCH(Table2[[#Headers],[Grille Weight]],Table2[#Headers],0),0)</f>
        <v>0</v>
      </c>
      <c r="CA307" s="2">
        <f>VLOOKUP([jobnumber],OvalData[],MATCH(Table2[[#Headers],[barrelrings]],Table2[#Headers],0),0)</f>
        <v>1</v>
      </c>
    </row>
    <row r="308" spans="2:79">
      <c r="B308" s="2" t="str">
        <f>VLOOKUP([jobnumber],OvalData[],MATCH(Table2[[#Headers],[Hand]],Table2[#Headers],0),0)</f>
        <v>RH</v>
      </c>
      <c r="C308" s="2" t="str">
        <f>VLOOKUP([jobnumber],OvalData[],MATCH(Table2[[#Headers],[Model]],Table2[#Headers],0),0)</f>
        <v>SFMPP</v>
      </c>
      <c r="D308" s="2" t="str">
        <f>VLOOKUP([jobnumber],OvalData[],MATCH(Table2[[#Headers],[width]],Table2[#Headers],0),0)</f>
        <v xml:space="preserve"> 18 ft.- 2"</v>
      </c>
      <c r="E308" s="2" t="str">
        <f>VLOOKUP([jobnumber],OvalData[],MATCH(Table2[[#Headers],[stopheight]],Table2[#Headers],0),0)</f>
        <v xml:space="preserve"> 10 ft.- 0"</v>
      </c>
      <c r="F308" s="2" t="str">
        <f>VLOOKUP([jobnumber],OvalData[],MATCH(Table2[[#Headers],[Between Brackets]],Table2[#Headers],0),0)</f>
        <v xml:space="preserve"> 18 ft.- 7 7/ 8"</v>
      </c>
      <c r="G308" s="2" t="str">
        <f>VLOOKUP([jobnumber],OvalData[],MATCH(Table2[[#Headers],[shell]],Table2[#Headers],0),0)</f>
        <v>6 INCH TUBE</v>
      </c>
      <c r="H308" s="2" t="str">
        <f>VLOOKUP([jobnumber],OvalData[],MATCH(Table2[[#Headers],[pipewidth]],Table2[#Headers],0),0)</f>
        <v xml:space="preserve"> 18 ft.- 1 3/ 8"</v>
      </c>
      <c r="I308" s="2">
        <f>VLOOKUP([jobnumber],OvalData[],MATCH(Table2[[#Headers],[Support Tubes]],Table2[#Headers],0),0)</f>
        <v>0</v>
      </c>
      <c r="J308" s="2">
        <f>VLOOKUP([jobnumber],OvalData[],MATCH(Table2[[#Headers],[Upset]],Table2[#Headers],0),0)</f>
        <v>2</v>
      </c>
      <c r="K308" s="2" t="str">
        <f>VLOOKUP([jobnumber],OvalData[],MATCH(Table2[[#Headers],[Guide Type]],Table2[#Headers],0),0)</f>
        <v>SN2-4 5/8-E</v>
      </c>
      <c r="L308" s="2" t="str">
        <f>VLOOKUP([jobnumber],OvalData[],MATCH(Table2[[#Headers],[Wall Angle]],Table2[#Headers],0),0)</f>
        <v xml:space="preserve"> 11 ft.- 8"</v>
      </c>
      <c r="M308" s="2" t="str">
        <f>VLOOKUP([jobnumber],OvalData[],MATCH(Table2[[#Headers],[Middle Angle]],Table2[#Headers],0),0)</f>
        <v xml:space="preserve"> 10 ft.- 4 1/ 2"</v>
      </c>
      <c r="N308" s="2" t="str">
        <f>VLOOKUP([jobnumber],OvalData[],MATCH(Table2[[#Headers],[Front Angle]],Table2[#Headers],0),0)</f>
        <v xml:space="preserve"> 10 ft.- 3"</v>
      </c>
      <c r="O308" s="2">
        <f>VLOOKUP([jobnumber],OvalData[],MATCH(Table2[[#Headers],[Pipe Center Line]],Table2[#Headers],0),0)</f>
        <v>131</v>
      </c>
      <c r="P308" s="2">
        <f>VLOOKUP([jobnumber],OvalData[],MATCH(Table2[[#Headers],[Heat Expansion Gap]],Table2[#Headers],0),0)</f>
        <v>0</v>
      </c>
      <c r="Q308" s="2">
        <f>VLOOKUP([jobnumber],OvalData[],MATCH(Table2[[#Headers],[Hanging Weight Closed]],Table2[#Headers],0),0)</f>
        <v>795</v>
      </c>
      <c r="R308" s="2">
        <f>VLOOKUP([jobnumber],OvalData[],MATCH(Table2[[#Headers],[Hanging Weight Open]],Table2[#Headers],0),0)</f>
        <v>140</v>
      </c>
      <c r="S308" s="2">
        <f>VLOOKUP([jobnumber],OvalData[],MATCH(Table2[[#Headers],[Initial Lever Arm]],Table2[#Headers],0),0)</f>
        <v>4.25</v>
      </c>
      <c r="T308" s="2">
        <f>VLOOKUP([jobnumber],OvalData[],MATCH(Table2[[#Headers],[Turns to Raise]],Table2[#Headers],0),0)</f>
        <v>3.5859999999999999</v>
      </c>
      <c r="U308" s="2">
        <f>VLOOKUP([jobnumber],OvalData[],MATCH(Table2[[#Headers],[Final Lever Arm]],Table2[#Headers],0),0)</f>
        <v>6.37</v>
      </c>
      <c r="V308" s="2">
        <f>VLOOKUP([jobnumber],OvalData[],MATCH(Table2[[#Headers],[Torque Required Closed]],Table2[#Headers],0),0)</f>
        <v>3377.9</v>
      </c>
      <c r="W308" s="2">
        <f>VLOOKUP([jobnumber],OvalData[],MATCH(Table2[[#Headers],[Torque Required Open]],Table2[#Headers],0),0)</f>
        <v>892</v>
      </c>
      <c r="X308" s="2">
        <f>VLOOKUP([jobnumber],OvalData[],MATCH(Table2[[#Headers],[Pre Turns]],Table2[#Headers],0),0)</f>
        <v>1.3332999999999999</v>
      </c>
      <c r="Y308" s="2">
        <f>VLOOKUP([jobnumber],OvalData[],MATCH(Table2[[#Headers],[Required Torque Per Turn]],Table2[#Headers],0),0)</f>
        <v>688</v>
      </c>
      <c r="Z308" s="2">
        <f>VLOOKUP([jobnumber],OvalData[],MATCH(Table2[[#Headers],[Total Turns]],Table2[#Headers],0),0)</f>
        <v>4.91</v>
      </c>
      <c r="AA308" s="2">
        <f>VLOOKUP([jobnumber],OvalData[],MATCH(Table2[[#Headers],[Grille Vision Section]],Table2[#Headers],0),0)</f>
        <v>0</v>
      </c>
      <c r="AB308" s="2">
        <f>VLOOKUP([jobnumber],OvalData[],MATCH(Table2[[#Headers],[Grille Amount]],Table2[#Headers],0),0)</f>
        <v>0</v>
      </c>
      <c r="AC308" s="2">
        <f>VLOOKUP([jobnumber],OvalData[],MATCH(Table2[[#Headers],[Grille Center]],Table2[#Headers],0),0)</f>
        <v>0</v>
      </c>
      <c r="AD308" s="2">
        <f>VLOOKUP([jobnumber],OvalData[],MATCH(Table2[[#Headers],[Grille Pattern]],Table2[#Headers],0),0)</f>
        <v>0</v>
      </c>
      <c r="AE308" s="2">
        <f>VLOOKUP([jobnumber],OvalData[],MATCH(Table2[[#Headers],[Grille First Tube]],Table2[#Headers],0),0)</f>
        <v>0</v>
      </c>
      <c r="AF308" s="2">
        <f>VLOOKUP([jobnumber],OvalData[],MATCH(Table2[[#Headers],[Grille Standard Tube]],Table2[#Headers],0),0)</f>
        <v>0</v>
      </c>
      <c r="AG308" s="2">
        <f>VLOOKUP([jobnumber],OvalData[],MATCH(Table2[[#Headers],[Grille Total Links]],Table2[#Headers],0),0)</f>
        <v>0</v>
      </c>
      <c r="AH308" s="2">
        <f>VLOOKUP([jobnumber],OvalData[],MATCH(Table2[[#Headers],[Grille Rods]],Table2[#Headers],0),0)</f>
        <v>0</v>
      </c>
      <c r="AI308" s="2">
        <f>VLOOKUP([jobnumber],OvalData[],MATCH(Table2[[#Headers],[Grille Rod Length]],Table2[#Headers],0),0)</f>
        <v>0</v>
      </c>
      <c r="AJ308" s="2">
        <f>VLOOKUP([jobnumber],OvalData[],MATCH(Table2[[#Headers],[slattype]],Table2[#Headers],0),0)</f>
        <v>2</v>
      </c>
      <c r="AK308" s="2">
        <f>VLOOKUP([jobnumber],OvalData[],MATCH(Table2[[#Headers],[slatgage]],Table2[#Headers],0),0)</f>
        <v>18</v>
      </c>
      <c r="AL308" s="2">
        <f>VLOOKUP([jobnumber],OvalData[],MATCH(Table2[[#Headers],[Numer of Top Slats]],Table2[#Headers],0),0)</f>
        <v>0</v>
      </c>
      <c r="AM308" s="2">
        <f>VLOOKUP([jobnumber],OvalData[],MATCH(Table2[[#Headers],[Number of Bottom Slats]],Table2[#Headers],0),0)</f>
        <v>0</v>
      </c>
      <c r="AN308" s="2">
        <f>VLOOKUP([jobnumber],OvalData[],MATCH(Table2[[#Headers],[Solid Bottom Height]],Table2[#Headers],0),0)</f>
        <v>0</v>
      </c>
      <c r="AO308" s="2" t="str">
        <f>VLOOKUP([jobnumber],OvalData[],MATCH(Table2[[#Headers],[slatlength]],Table2[#Headers],0),0)</f>
        <v xml:space="preserve"> 18 ft.- 5 7/ 8"</v>
      </c>
      <c r="AP308" s="2">
        <f>VLOOKUP([jobnumber],OvalData[],MATCH(Table2[[#Headers],[Bottom Slat Length]],Table2[#Headers],0),0)</f>
        <v>0</v>
      </c>
      <c r="AQ308" s="2">
        <f>VLOOKUP([jobnumber],OvalData[],MATCH(Table2[[#Headers],[Number of Perferated Slats]],Table2[#Headers],0),0)</f>
        <v>0</v>
      </c>
      <c r="AR308" s="2">
        <f>VLOOKUP([jobnumber],OvalData[],MATCH(Table2[[#Headers],[First Preferated Slat From End]],Table2[#Headers],0),0)</f>
        <v>0</v>
      </c>
      <c r="AS308" s="2">
        <f>VLOOKUP([jobnumber],OvalData[],MATCH(Table2[[#Headers],[First Preferated Slat From Bottom]],Table2[#Headers],0),0)</f>
        <v>0</v>
      </c>
      <c r="AT308" s="2">
        <f>VLOOKUP([jobnumber],OvalData[],MATCH(Table2[[#Headers],[Total Number of Slats]],Table2[#Headers],0),0)</f>
        <v>51</v>
      </c>
      <c r="AU308" s="2">
        <f>VLOOKUP([jobnumber],OvalData[],MATCH(Table2[[#Headers],[Bottom Bar Slope]],Table2[#Headers],0),0)</f>
        <v>0</v>
      </c>
      <c r="AV308" s="2">
        <f>VLOOKUP([jobnumber],OvalData[],MATCH(Table2[[#Headers],[Bottom Bar Weight]],Table2[#Headers],0),0)</f>
        <v>80.5</v>
      </c>
      <c r="AW308" s="2" t="str">
        <f>VLOOKUP([jobnumber],OvalData[],MATCH(Table2[[#Headers],[Outer Spring Gage]],Table2[#Headers],0),0)</f>
        <v>Null</v>
      </c>
      <c r="AX308" s="2" t="str">
        <f>VLOOKUP([jobnumber],OvalData[],MATCH(Table2[[#Headers],[Outer Spring OD]],Table2[#Headers],0),0)</f>
        <v>Null</v>
      </c>
      <c r="AY308" s="2" t="str">
        <f>VLOOKUP([jobnumber],OvalData[],MATCH(Table2[[#Headers],[Outer Spring Length]],Table2[#Headers],0),0)</f>
        <v>Null</v>
      </c>
      <c r="AZ308" s="2" t="str">
        <f>VLOOKUP([jobnumber],OvalData[],MATCH(Table2[[#Headers],[Outer Spring Stretch]],Table2[#Headers],0),0)</f>
        <v>Null</v>
      </c>
      <c r="BA308" s="2" t="str">
        <f>VLOOKUP([jobnumber],OvalData[],MATCH(Table2[[#Headers],[Outer Spring Torque]],Table2[#Headers],0),0)</f>
        <v>Null</v>
      </c>
      <c r="BB308" s="2" t="str">
        <f>VLOOKUP([jobnumber],OvalData[],MATCH(Table2[[#Headers],[Outer Spring Max Turns]],Table2[#Headers],0),0)</f>
        <v>Null</v>
      </c>
      <c r="BC308" s="2" t="str">
        <f>VLOOKUP([jobnumber],OvalData[],MATCH(Table2[[#Headers],[Outer Spring Weight]],Table2[#Headers],0),0)</f>
        <v>Null</v>
      </c>
      <c r="BD308" s="2" t="str">
        <f>VLOOKUP([jobnumber],OvalData[],MATCH(Table2[[#Headers],[Inner Spring Gage]],Table2[#Headers],0),0)</f>
        <v>Null</v>
      </c>
      <c r="BE308" s="2" t="str">
        <f>VLOOKUP([jobnumber],OvalData[],MATCH(Table2[[#Headers],[Inner Spring OD]],Table2[#Headers],0),0)</f>
        <v>Null</v>
      </c>
      <c r="BF308" s="2" t="str">
        <f>VLOOKUP([jobnumber],OvalData[],MATCH(Table2[[#Headers],[Inner Spring Length]],Table2[#Headers],0),0)</f>
        <v>Null</v>
      </c>
      <c r="BG308" s="2" t="str">
        <f>VLOOKUP([jobnumber],OvalData[],MATCH(Table2[[#Headers],[Inner Spring Stretch]],Table2[#Headers],0),0)</f>
        <v>Null</v>
      </c>
      <c r="BH308" s="2" t="str">
        <f>VLOOKUP([jobnumber],OvalData[],MATCH(Table2[[#Headers],[Inner Spring Torque]],Table2[#Headers],0),0)</f>
        <v>Null</v>
      </c>
      <c r="BI308" s="2" t="str">
        <f>VLOOKUP([jobnumber],OvalData[],MATCH(Table2[[#Headers],[Inner Spring Max Turns]],Table2[#Headers],0),0)</f>
        <v>Null</v>
      </c>
      <c r="BJ308" s="2" t="str">
        <f>VLOOKUP([jobnumber],OvalData[],MATCH(Table2[[#Headers],[Inner Spring Weight]],Table2[#Headers],0),0)</f>
        <v>Null</v>
      </c>
      <c r="BK308" s="2">
        <f>VLOOKUP([jobnumber],OvalData[],MATCH(Table2[[#Headers],[Cycles]],Table2[#Headers],0),0)</f>
        <v>0</v>
      </c>
      <c r="BL308" s="2">
        <f>VLOOKUP([jobnumber],OvalData[],MATCH(Table2[[#Headers],[Total Spring Torque]],Table2[#Headers],0),0)</f>
        <v>0</v>
      </c>
      <c r="BM308" s="2">
        <f>VLOOKUP([jobnumber],OvalData[],MATCH(Table2[[#Headers],[Total Spring Weight]],Table2[#Headers],0),0)</f>
        <v>0</v>
      </c>
      <c r="BN308" s="2">
        <f>VLOOKUP([jobnumber],OvalData[],MATCH(Table2[[#Headers],[Pipe Weight]],Table2[#Headers],0),0)</f>
        <v>688.24239999999998</v>
      </c>
      <c r="BO308" s="2">
        <f>VLOOKUP([jobnumber],OvalData[],MATCH(Table2[[#Headers],[Max Pipe Deflection]],Table2[#Headers],0),0)</f>
        <v>2309</v>
      </c>
      <c r="BP308" s="2">
        <f>VLOOKUP([jobnumber],OvalData[],MATCH(Table2[[#Headers],[Number Non-Insulated Wrap Slats]],Table2[#Headers],0),0)</f>
        <v>0</v>
      </c>
      <c r="BQ308" s="2">
        <f>VLOOKUP([jobnumber],OvalData[],MATCH(Table2[[#Headers],[Number of Insolated Top Slats]],Table2[#Headers],0),0)</f>
        <v>45</v>
      </c>
      <c r="BR308" s="2">
        <f>VLOOKUP([jobnumber],OvalData[],MATCH(Table2[[#Headers],[Insolated Total Slats]],Table2[#Headers],0),0)</f>
        <v>45</v>
      </c>
      <c r="BS308" s="2">
        <f>VLOOKUP([jobnumber],OvalData[],MATCH(Table2[[#Headers],[Number of Slats]],Table2[#Headers],0),0)</f>
        <v>44.69</v>
      </c>
      <c r="BT308" s="2">
        <f>VLOOKUP([jobnumber],OvalData[],MATCH(Table2[[#Headers],[Wrap]],Table2[#Headers],0),0)</f>
        <v>0</v>
      </c>
      <c r="BU308" s="2">
        <f>VLOOKUP([jobnumber],OvalData[],MATCH(Table2[[#Headers],[Wall Angle Thickness]],Table2[#Headers],0),0)</f>
        <v>0</v>
      </c>
      <c r="BV308" s="2">
        <f>VLOOKUP([jobnumber],OvalData[],MATCH(Table2[[#Headers],[windlocks]],Table2[#Headers],0),0)</f>
        <v>0</v>
      </c>
      <c r="BW308" s="2" t="str">
        <f>VLOOKUP([jobnumber],OvalData[],MATCH(Table2[[#Headers],[bottombartype]],Table2[#Headers],0),0)</f>
        <v>SPECIAL</v>
      </c>
      <c r="BX308" s="2">
        <f>VLOOKUP([jobnumber],OvalData[],MATCH(Table2[[#Headers],[endlockweight]],Table2[#Headers],0),0)</f>
        <v>0.17</v>
      </c>
      <c r="BY308" s="2">
        <f>VLOOKUP([jobnumber],OvalData[],MATCH(Table2[[#Headers],[Endlock Total Weight]],Table2[#Headers],0),0)</f>
        <v>7.5972999999999997</v>
      </c>
      <c r="BZ308" s="2">
        <f>VLOOKUP([jobnumber],OvalData[],MATCH(Table2[[#Headers],[Grille Weight]],Table2[#Headers],0),0)</f>
        <v>0</v>
      </c>
      <c r="CA308" s="2">
        <f>VLOOKUP([jobnumber],OvalData[],MATCH(Table2[[#Headers],[barrelrings]],Table2[#Headers],0),0)</f>
        <v>1</v>
      </c>
    </row>
    <row r="309" spans="2:79">
      <c r="B309" s="2" t="str">
        <f>VLOOKUP([jobnumber],OvalData[],MATCH(Table2[[#Headers],[Hand]],Table2[#Headers],0),0)</f>
        <v>RH</v>
      </c>
      <c r="C309" s="2" t="str">
        <f>VLOOKUP([jobnumber],OvalData[],MATCH(Table2[[#Headers],[Model]],Table2[#Headers],0),0)</f>
        <v>SFMPP</v>
      </c>
      <c r="D309" s="2" t="str">
        <f>VLOOKUP([jobnumber],OvalData[],MATCH(Table2[[#Headers],[width]],Table2[#Headers],0),0)</f>
        <v xml:space="preserve"> 18 ft.- 2"</v>
      </c>
      <c r="E309" s="2" t="str">
        <f>VLOOKUP([jobnumber],OvalData[],MATCH(Table2[[#Headers],[stopheight]],Table2[#Headers],0),0)</f>
        <v xml:space="preserve"> 10 ft.- 0"</v>
      </c>
      <c r="F309" s="2" t="str">
        <f>VLOOKUP([jobnumber],OvalData[],MATCH(Table2[[#Headers],[Between Brackets]],Table2[#Headers],0),0)</f>
        <v xml:space="preserve"> 18 ft.- 7 7/ 8"</v>
      </c>
      <c r="G309" s="2" t="str">
        <f>VLOOKUP([jobnumber],OvalData[],MATCH(Table2[[#Headers],[shell]],Table2[#Headers],0),0)</f>
        <v>6 INCH TUBE</v>
      </c>
      <c r="H309" s="2" t="str">
        <f>VLOOKUP([jobnumber],OvalData[],MATCH(Table2[[#Headers],[pipewidth]],Table2[#Headers],0),0)</f>
        <v xml:space="preserve"> 18 ft.- 1 3/ 8"</v>
      </c>
      <c r="I309" s="2">
        <f>VLOOKUP([jobnumber],OvalData[],MATCH(Table2[[#Headers],[Support Tubes]],Table2[#Headers],0),0)</f>
        <v>0</v>
      </c>
      <c r="J309" s="2">
        <f>VLOOKUP([jobnumber],OvalData[],MATCH(Table2[[#Headers],[Upset]],Table2[#Headers],0),0)</f>
        <v>2</v>
      </c>
      <c r="K309" s="2" t="str">
        <f>VLOOKUP([jobnumber],OvalData[],MATCH(Table2[[#Headers],[Guide Type]],Table2[#Headers],0),0)</f>
        <v>SN2-4 5/8-E</v>
      </c>
      <c r="L309" s="2" t="str">
        <f>VLOOKUP([jobnumber],OvalData[],MATCH(Table2[[#Headers],[Wall Angle]],Table2[#Headers],0),0)</f>
        <v xml:space="preserve"> 11 ft.- 8"</v>
      </c>
      <c r="M309" s="2" t="str">
        <f>VLOOKUP([jobnumber],OvalData[],MATCH(Table2[[#Headers],[Middle Angle]],Table2[#Headers],0),0)</f>
        <v xml:space="preserve"> 10 ft.- 4 1/ 2"</v>
      </c>
      <c r="N309" s="2" t="str">
        <f>VLOOKUP([jobnumber],OvalData[],MATCH(Table2[[#Headers],[Front Angle]],Table2[#Headers],0),0)</f>
        <v xml:space="preserve"> 10 ft.- 3"</v>
      </c>
      <c r="O309" s="2">
        <f>VLOOKUP([jobnumber],OvalData[],MATCH(Table2[[#Headers],[Pipe Center Line]],Table2[#Headers],0),0)</f>
        <v>131</v>
      </c>
      <c r="P309" s="2">
        <f>VLOOKUP([jobnumber],OvalData[],MATCH(Table2[[#Headers],[Heat Expansion Gap]],Table2[#Headers],0),0)</f>
        <v>0</v>
      </c>
      <c r="Q309" s="2">
        <f>VLOOKUP([jobnumber],OvalData[],MATCH(Table2[[#Headers],[Hanging Weight Closed]],Table2[#Headers],0),0)</f>
        <v>795</v>
      </c>
      <c r="R309" s="2">
        <f>VLOOKUP([jobnumber],OvalData[],MATCH(Table2[[#Headers],[Hanging Weight Open]],Table2[#Headers],0),0)</f>
        <v>140</v>
      </c>
      <c r="S309" s="2">
        <f>VLOOKUP([jobnumber],OvalData[],MATCH(Table2[[#Headers],[Initial Lever Arm]],Table2[#Headers],0),0)</f>
        <v>4.25</v>
      </c>
      <c r="T309" s="2">
        <f>VLOOKUP([jobnumber],OvalData[],MATCH(Table2[[#Headers],[Turns to Raise]],Table2[#Headers],0),0)</f>
        <v>3.5859999999999999</v>
      </c>
      <c r="U309" s="2">
        <f>VLOOKUP([jobnumber],OvalData[],MATCH(Table2[[#Headers],[Final Lever Arm]],Table2[#Headers],0),0)</f>
        <v>6.37</v>
      </c>
      <c r="V309" s="2">
        <f>VLOOKUP([jobnumber],OvalData[],MATCH(Table2[[#Headers],[Torque Required Closed]],Table2[#Headers],0),0)</f>
        <v>3377.9</v>
      </c>
      <c r="W309" s="2">
        <f>VLOOKUP([jobnumber],OvalData[],MATCH(Table2[[#Headers],[Torque Required Open]],Table2[#Headers],0),0)</f>
        <v>892</v>
      </c>
      <c r="X309" s="2">
        <f>VLOOKUP([jobnumber],OvalData[],MATCH(Table2[[#Headers],[Pre Turns]],Table2[#Headers],0),0)</f>
        <v>1.3332999999999999</v>
      </c>
      <c r="Y309" s="2">
        <f>VLOOKUP([jobnumber],OvalData[],MATCH(Table2[[#Headers],[Required Torque Per Turn]],Table2[#Headers],0),0)</f>
        <v>688</v>
      </c>
      <c r="Z309" s="2">
        <f>VLOOKUP([jobnumber],OvalData[],MATCH(Table2[[#Headers],[Total Turns]],Table2[#Headers],0),0)</f>
        <v>4.91</v>
      </c>
      <c r="AA309" s="2">
        <f>VLOOKUP([jobnumber],OvalData[],MATCH(Table2[[#Headers],[Grille Vision Section]],Table2[#Headers],0),0)</f>
        <v>0</v>
      </c>
      <c r="AB309" s="2">
        <f>VLOOKUP([jobnumber],OvalData[],MATCH(Table2[[#Headers],[Grille Amount]],Table2[#Headers],0),0)</f>
        <v>0</v>
      </c>
      <c r="AC309" s="2">
        <f>VLOOKUP([jobnumber],OvalData[],MATCH(Table2[[#Headers],[Grille Center]],Table2[#Headers],0),0)</f>
        <v>0</v>
      </c>
      <c r="AD309" s="2">
        <f>VLOOKUP([jobnumber],OvalData[],MATCH(Table2[[#Headers],[Grille Pattern]],Table2[#Headers],0),0)</f>
        <v>0</v>
      </c>
      <c r="AE309" s="2">
        <f>VLOOKUP([jobnumber],OvalData[],MATCH(Table2[[#Headers],[Grille First Tube]],Table2[#Headers],0),0)</f>
        <v>0</v>
      </c>
      <c r="AF309" s="2">
        <f>VLOOKUP([jobnumber],OvalData[],MATCH(Table2[[#Headers],[Grille Standard Tube]],Table2[#Headers],0),0)</f>
        <v>0</v>
      </c>
      <c r="AG309" s="2">
        <f>VLOOKUP([jobnumber],OvalData[],MATCH(Table2[[#Headers],[Grille Total Links]],Table2[#Headers],0),0)</f>
        <v>0</v>
      </c>
      <c r="AH309" s="2">
        <f>VLOOKUP([jobnumber],OvalData[],MATCH(Table2[[#Headers],[Grille Rods]],Table2[#Headers],0),0)</f>
        <v>0</v>
      </c>
      <c r="AI309" s="2">
        <f>VLOOKUP([jobnumber],OvalData[],MATCH(Table2[[#Headers],[Grille Rod Length]],Table2[#Headers],0),0)</f>
        <v>0</v>
      </c>
      <c r="AJ309" s="2">
        <f>VLOOKUP([jobnumber],OvalData[],MATCH(Table2[[#Headers],[slattype]],Table2[#Headers],0),0)</f>
        <v>2</v>
      </c>
      <c r="AK309" s="2">
        <f>VLOOKUP([jobnumber],OvalData[],MATCH(Table2[[#Headers],[slatgage]],Table2[#Headers],0),0)</f>
        <v>18</v>
      </c>
      <c r="AL309" s="2">
        <f>VLOOKUP([jobnumber],OvalData[],MATCH(Table2[[#Headers],[Numer of Top Slats]],Table2[#Headers],0),0)</f>
        <v>0</v>
      </c>
      <c r="AM309" s="2">
        <f>VLOOKUP([jobnumber],OvalData[],MATCH(Table2[[#Headers],[Number of Bottom Slats]],Table2[#Headers],0),0)</f>
        <v>0</v>
      </c>
      <c r="AN309" s="2">
        <f>VLOOKUP([jobnumber],OvalData[],MATCH(Table2[[#Headers],[Solid Bottom Height]],Table2[#Headers],0),0)</f>
        <v>0</v>
      </c>
      <c r="AO309" s="2" t="str">
        <f>VLOOKUP([jobnumber],OvalData[],MATCH(Table2[[#Headers],[slatlength]],Table2[#Headers],0),0)</f>
        <v xml:space="preserve"> 18 ft.- 5 7/ 8"</v>
      </c>
      <c r="AP309" s="2">
        <f>VLOOKUP([jobnumber],OvalData[],MATCH(Table2[[#Headers],[Bottom Slat Length]],Table2[#Headers],0),0)</f>
        <v>0</v>
      </c>
      <c r="AQ309" s="2">
        <f>VLOOKUP([jobnumber],OvalData[],MATCH(Table2[[#Headers],[Number of Perferated Slats]],Table2[#Headers],0),0)</f>
        <v>0</v>
      </c>
      <c r="AR309" s="2">
        <f>VLOOKUP([jobnumber],OvalData[],MATCH(Table2[[#Headers],[First Preferated Slat From End]],Table2[#Headers],0),0)</f>
        <v>0</v>
      </c>
      <c r="AS309" s="2">
        <f>VLOOKUP([jobnumber],OvalData[],MATCH(Table2[[#Headers],[First Preferated Slat From Bottom]],Table2[#Headers],0),0)</f>
        <v>0</v>
      </c>
      <c r="AT309" s="2">
        <f>VLOOKUP([jobnumber],OvalData[],MATCH(Table2[[#Headers],[Total Number of Slats]],Table2[#Headers],0),0)</f>
        <v>51</v>
      </c>
      <c r="AU309" s="2">
        <f>VLOOKUP([jobnumber],OvalData[],MATCH(Table2[[#Headers],[Bottom Bar Slope]],Table2[#Headers],0),0)</f>
        <v>0</v>
      </c>
      <c r="AV309" s="2">
        <f>VLOOKUP([jobnumber],OvalData[],MATCH(Table2[[#Headers],[Bottom Bar Weight]],Table2[#Headers],0),0)</f>
        <v>80.5</v>
      </c>
      <c r="AW309" s="2" t="str">
        <f>VLOOKUP([jobnumber],OvalData[],MATCH(Table2[[#Headers],[Outer Spring Gage]],Table2[#Headers],0),0)</f>
        <v>Null</v>
      </c>
      <c r="AX309" s="2" t="str">
        <f>VLOOKUP([jobnumber],OvalData[],MATCH(Table2[[#Headers],[Outer Spring OD]],Table2[#Headers],0),0)</f>
        <v>Null</v>
      </c>
      <c r="AY309" s="2" t="str">
        <f>VLOOKUP([jobnumber],OvalData[],MATCH(Table2[[#Headers],[Outer Spring Length]],Table2[#Headers],0),0)</f>
        <v>Null</v>
      </c>
      <c r="AZ309" s="2" t="str">
        <f>VLOOKUP([jobnumber],OvalData[],MATCH(Table2[[#Headers],[Outer Spring Stretch]],Table2[#Headers],0),0)</f>
        <v>Null</v>
      </c>
      <c r="BA309" s="2" t="str">
        <f>VLOOKUP([jobnumber],OvalData[],MATCH(Table2[[#Headers],[Outer Spring Torque]],Table2[#Headers],0),0)</f>
        <v>Null</v>
      </c>
      <c r="BB309" s="2" t="str">
        <f>VLOOKUP([jobnumber],OvalData[],MATCH(Table2[[#Headers],[Outer Spring Max Turns]],Table2[#Headers],0),0)</f>
        <v>Null</v>
      </c>
      <c r="BC309" s="2" t="str">
        <f>VLOOKUP([jobnumber],OvalData[],MATCH(Table2[[#Headers],[Outer Spring Weight]],Table2[#Headers],0),0)</f>
        <v>Null</v>
      </c>
      <c r="BD309" s="2" t="str">
        <f>VLOOKUP([jobnumber],OvalData[],MATCH(Table2[[#Headers],[Inner Spring Gage]],Table2[#Headers],0),0)</f>
        <v>Null</v>
      </c>
      <c r="BE309" s="2" t="str">
        <f>VLOOKUP([jobnumber],OvalData[],MATCH(Table2[[#Headers],[Inner Spring OD]],Table2[#Headers],0),0)</f>
        <v>Null</v>
      </c>
      <c r="BF309" s="2" t="str">
        <f>VLOOKUP([jobnumber],OvalData[],MATCH(Table2[[#Headers],[Inner Spring Length]],Table2[#Headers],0),0)</f>
        <v>Null</v>
      </c>
      <c r="BG309" s="2" t="str">
        <f>VLOOKUP([jobnumber],OvalData[],MATCH(Table2[[#Headers],[Inner Spring Stretch]],Table2[#Headers],0),0)</f>
        <v>Null</v>
      </c>
      <c r="BH309" s="2" t="str">
        <f>VLOOKUP([jobnumber],OvalData[],MATCH(Table2[[#Headers],[Inner Spring Torque]],Table2[#Headers],0),0)</f>
        <v>Null</v>
      </c>
      <c r="BI309" s="2" t="str">
        <f>VLOOKUP([jobnumber],OvalData[],MATCH(Table2[[#Headers],[Inner Spring Max Turns]],Table2[#Headers],0),0)</f>
        <v>Null</v>
      </c>
      <c r="BJ309" s="2" t="str">
        <f>VLOOKUP([jobnumber],OvalData[],MATCH(Table2[[#Headers],[Inner Spring Weight]],Table2[#Headers],0),0)</f>
        <v>Null</v>
      </c>
      <c r="BK309" s="2">
        <f>VLOOKUP([jobnumber],OvalData[],MATCH(Table2[[#Headers],[Cycles]],Table2[#Headers],0),0)</f>
        <v>0</v>
      </c>
      <c r="BL309" s="2">
        <f>VLOOKUP([jobnumber],OvalData[],MATCH(Table2[[#Headers],[Total Spring Torque]],Table2[#Headers],0),0)</f>
        <v>0</v>
      </c>
      <c r="BM309" s="2">
        <f>VLOOKUP([jobnumber],OvalData[],MATCH(Table2[[#Headers],[Total Spring Weight]],Table2[#Headers],0),0)</f>
        <v>0</v>
      </c>
      <c r="BN309" s="2">
        <f>VLOOKUP([jobnumber],OvalData[],MATCH(Table2[[#Headers],[Pipe Weight]],Table2[#Headers],0),0)</f>
        <v>688.24239999999998</v>
      </c>
      <c r="BO309" s="2">
        <f>VLOOKUP([jobnumber],OvalData[],MATCH(Table2[[#Headers],[Max Pipe Deflection]],Table2[#Headers],0),0)</f>
        <v>2309</v>
      </c>
      <c r="BP309" s="2">
        <f>VLOOKUP([jobnumber],OvalData[],MATCH(Table2[[#Headers],[Number Non-Insulated Wrap Slats]],Table2[#Headers],0),0)</f>
        <v>0</v>
      </c>
      <c r="BQ309" s="2">
        <f>VLOOKUP([jobnumber],OvalData[],MATCH(Table2[[#Headers],[Number of Insolated Top Slats]],Table2[#Headers],0),0)</f>
        <v>45</v>
      </c>
      <c r="BR309" s="2">
        <f>VLOOKUP([jobnumber],OvalData[],MATCH(Table2[[#Headers],[Insolated Total Slats]],Table2[#Headers],0),0)</f>
        <v>45</v>
      </c>
      <c r="BS309" s="2">
        <f>VLOOKUP([jobnumber],OvalData[],MATCH(Table2[[#Headers],[Number of Slats]],Table2[#Headers],0),0)</f>
        <v>44.69</v>
      </c>
      <c r="BT309" s="2">
        <f>VLOOKUP([jobnumber],OvalData[],MATCH(Table2[[#Headers],[Wrap]],Table2[#Headers],0),0)</f>
        <v>0</v>
      </c>
      <c r="BU309" s="2">
        <f>VLOOKUP([jobnumber],OvalData[],MATCH(Table2[[#Headers],[Wall Angle Thickness]],Table2[#Headers],0),0)</f>
        <v>0</v>
      </c>
      <c r="BV309" s="2">
        <f>VLOOKUP([jobnumber],OvalData[],MATCH(Table2[[#Headers],[windlocks]],Table2[#Headers],0),0)</f>
        <v>0</v>
      </c>
      <c r="BW309" s="2" t="str">
        <f>VLOOKUP([jobnumber],OvalData[],MATCH(Table2[[#Headers],[bottombartype]],Table2[#Headers],0),0)</f>
        <v>SPECIAL</v>
      </c>
      <c r="BX309" s="2">
        <f>VLOOKUP([jobnumber],OvalData[],MATCH(Table2[[#Headers],[endlockweight]],Table2[#Headers],0),0)</f>
        <v>0.17</v>
      </c>
      <c r="BY309" s="2">
        <f>VLOOKUP([jobnumber],OvalData[],MATCH(Table2[[#Headers],[Endlock Total Weight]],Table2[#Headers],0),0)</f>
        <v>7.5972999999999997</v>
      </c>
      <c r="BZ309" s="2">
        <f>VLOOKUP([jobnumber],OvalData[],MATCH(Table2[[#Headers],[Grille Weight]],Table2[#Headers],0),0)</f>
        <v>0</v>
      </c>
      <c r="CA309" s="2">
        <f>VLOOKUP([jobnumber],OvalData[],MATCH(Table2[[#Headers],[barrelrings]],Table2[#Headers],0),0)</f>
        <v>1</v>
      </c>
    </row>
    <row r="310" spans="2:79">
      <c r="B310" s="2" t="str">
        <f>VLOOKUP([jobnumber],OvalData[],MATCH(Table2[[#Headers],[Hand]],Table2[#Headers],0),0)</f>
        <v>RH</v>
      </c>
      <c r="C310" s="2" t="str">
        <f>VLOOKUP([jobnumber],OvalData[],MATCH(Table2[[#Headers],[Model]],Table2[#Headers],0),0)</f>
        <v>SFMPP</v>
      </c>
      <c r="D310" s="2" t="str">
        <f>VLOOKUP([jobnumber],OvalData[],MATCH(Table2[[#Headers],[width]],Table2[#Headers],0),0)</f>
        <v xml:space="preserve"> 18 ft.- 2"</v>
      </c>
      <c r="E310" s="2" t="str">
        <f>VLOOKUP([jobnumber],OvalData[],MATCH(Table2[[#Headers],[stopheight]],Table2[#Headers],0),0)</f>
        <v xml:space="preserve"> 10 ft.- 0"</v>
      </c>
      <c r="F310" s="2" t="str">
        <f>VLOOKUP([jobnumber],OvalData[],MATCH(Table2[[#Headers],[Between Brackets]],Table2[#Headers],0),0)</f>
        <v xml:space="preserve"> 18 ft.- 7 7/ 8"</v>
      </c>
      <c r="G310" s="2" t="str">
        <f>VLOOKUP([jobnumber],OvalData[],MATCH(Table2[[#Headers],[shell]],Table2[#Headers],0),0)</f>
        <v>6 INCH TUBE</v>
      </c>
      <c r="H310" s="2" t="str">
        <f>VLOOKUP([jobnumber],OvalData[],MATCH(Table2[[#Headers],[pipewidth]],Table2[#Headers],0),0)</f>
        <v xml:space="preserve"> 18 ft.- 1 3/ 8"</v>
      </c>
      <c r="I310" s="2">
        <f>VLOOKUP([jobnumber],OvalData[],MATCH(Table2[[#Headers],[Support Tubes]],Table2[#Headers],0),0)</f>
        <v>0</v>
      </c>
      <c r="J310" s="2">
        <f>VLOOKUP([jobnumber],OvalData[],MATCH(Table2[[#Headers],[Upset]],Table2[#Headers],0),0)</f>
        <v>2</v>
      </c>
      <c r="K310" s="2" t="str">
        <f>VLOOKUP([jobnumber],OvalData[],MATCH(Table2[[#Headers],[Guide Type]],Table2[#Headers],0),0)</f>
        <v>SN2-4 5/8-E</v>
      </c>
      <c r="L310" s="2" t="str">
        <f>VLOOKUP([jobnumber],OvalData[],MATCH(Table2[[#Headers],[Wall Angle]],Table2[#Headers],0),0)</f>
        <v xml:space="preserve"> 11 ft.- 8"</v>
      </c>
      <c r="M310" s="2" t="str">
        <f>VLOOKUP([jobnumber],OvalData[],MATCH(Table2[[#Headers],[Middle Angle]],Table2[#Headers],0),0)</f>
        <v xml:space="preserve"> 10 ft.- 4 1/ 2"</v>
      </c>
      <c r="N310" s="2" t="str">
        <f>VLOOKUP([jobnumber],OvalData[],MATCH(Table2[[#Headers],[Front Angle]],Table2[#Headers],0),0)</f>
        <v xml:space="preserve"> 10 ft.- 3"</v>
      </c>
      <c r="O310" s="2">
        <f>VLOOKUP([jobnumber],OvalData[],MATCH(Table2[[#Headers],[Pipe Center Line]],Table2[#Headers],0),0)</f>
        <v>131</v>
      </c>
      <c r="P310" s="2">
        <f>VLOOKUP([jobnumber],OvalData[],MATCH(Table2[[#Headers],[Heat Expansion Gap]],Table2[#Headers],0),0)</f>
        <v>0</v>
      </c>
      <c r="Q310" s="2">
        <f>VLOOKUP([jobnumber],OvalData[],MATCH(Table2[[#Headers],[Hanging Weight Closed]],Table2[#Headers],0),0)</f>
        <v>795</v>
      </c>
      <c r="R310" s="2">
        <f>VLOOKUP([jobnumber],OvalData[],MATCH(Table2[[#Headers],[Hanging Weight Open]],Table2[#Headers],0),0)</f>
        <v>140</v>
      </c>
      <c r="S310" s="2">
        <f>VLOOKUP([jobnumber],OvalData[],MATCH(Table2[[#Headers],[Initial Lever Arm]],Table2[#Headers],0),0)</f>
        <v>4.25</v>
      </c>
      <c r="T310" s="2">
        <f>VLOOKUP([jobnumber],OvalData[],MATCH(Table2[[#Headers],[Turns to Raise]],Table2[#Headers],0),0)</f>
        <v>3.5859999999999999</v>
      </c>
      <c r="U310" s="2">
        <f>VLOOKUP([jobnumber],OvalData[],MATCH(Table2[[#Headers],[Final Lever Arm]],Table2[#Headers],0),0)</f>
        <v>6.37</v>
      </c>
      <c r="V310" s="2">
        <f>VLOOKUP([jobnumber],OvalData[],MATCH(Table2[[#Headers],[Torque Required Closed]],Table2[#Headers],0),0)</f>
        <v>3377.9</v>
      </c>
      <c r="W310" s="2">
        <f>VLOOKUP([jobnumber],OvalData[],MATCH(Table2[[#Headers],[Torque Required Open]],Table2[#Headers],0),0)</f>
        <v>892</v>
      </c>
      <c r="X310" s="2">
        <f>VLOOKUP([jobnumber],OvalData[],MATCH(Table2[[#Headers],[Pre Turns]],Table2[#Headers],0),0)</f>
        <v>1.3332999999999999</v>
      </c>
      <c r="Y310" s="2">
        <f>VLOOKUP([jobnumber],OvalData[],MATCH(Table2[[#Headers],[Required Torque Per Turn]],Table2[#Headers],0),0)</f>
        <v>688</v>
      </c>
      <c r="Z310" s="2">
        <f>VLOOKUP([jobnumber],OvalData[],MATCH(Table2[[#Headers],[Total Turns]],Table2[#Headers],0),0)</f>
        <v>4.91</v>
      </c>
      <c r="AA310" s="2">
        <f>VLOOKUP([jobnumber],OvalData[],MATCH(Table2[[#Headers],[Grille Vision Section]],Table2[#Headers],0),0)</f>
        <v>0</v>
      </c>
      <c r="AB310" s="2">
        <f>VLOOKUP([jobnumber],OvalData[],MATCH(Table2[[#Headers],[Grille Amount]],Table2[#Headers],0),0)</f>
        <v>0</v>
      </c>
      <c r="AC310" s="2">
        <f>VLOOKUP([jobnumber],OvalData[],MATCH(Table2[[#Headers],[Grille Center]],Table2[#Headers],0),0)</f>
        <v>0</v>
      </c>
      <c r="AD310" s="2">
        <f>VLOOKUP([jobnumber],OvalData[],MATCH(Table2[[#Headers],[Grille Pattern]],Table2[#Headers],0),0)</f>
        <v>0</v>
      </c>
      <c r="AE310" s="2">
        <f>VLOOKUP([jobnumber],OvalData[],MATCH(Table2[[#Headers],[Grille First Tube]],Table2[#Headers],0),0)</f>
        <v>0</v>
      </c>
      <c r="AF310" s="2">
        <f>VLOOKUP([jobnumber],OvalData[],MATCH(Table2[[#Headers],[Grille Standard Tube]],Table2[#Headers],0),0)</f>
        <v>0</v>
      </c>
      <c r="AG310" s="2">
        <f>VLOOKUP([jobnumber],OvalData[],MATCH(Table2[[#Headers],[Grille Total Links]],Table2[#Headers],0),0)</f>
        <v>0</v>
      </c>
      <c r="AH310" s="2">
        <f>VLOOKUP([jobnumber],OvalData[],MATCH(Table2[[#Headers],[Grille Rods]],Table2[#Headers],0),0)</f>
        <v>0</v>
      </c>
      <c r="AI310" s="2">
        <f>VLOOKUP([jobnumber],OvalData[],MATCH(Table2[[#Headers],[Grille Rod Length]],Table2[#Headers],0),0)</f>
        <v>0</v>
      </c>
      <c r="AJ310" s="2">
        <f>VLOOKUP([jobnumber],OvalData[],MATCH(Table2[[#Headers],[slattype]],Table2[#Headers],0),0)</f>
        <v>2</v>
      </c>
      <c r="AK310" s="2">
        <f>VLOOKUP([jobnumber],OvalData[],MATCH(Table2[[#Headers],[slatgage]],Table2[#Headers],0),0)</f>
        <v>18</v>
      </c>
      <c r="AL310" s="2">
        <f>VLOOKUP([jobnumber],OvalData[],MATCH(Table2[[#Headers],[Numer of Top Slats]],Table2[#Headers],0),0)</f>
        <v>0</v>
      </c>
      <c r="AM310" s="2">
        <f>VLOOKUP([jobnumber],OvalData[],MATCH(Table2[[#Headers],[Number of Bottom Slats]],Table2[#Headers],0),0)</f>
        <v>0</v>
      </c>
      <c r="AN310" s="2">
        <f>VLOOKUP([jobnumber],OvalData[],MATCH(Table2[[#Headers],[Solid Bottom Height]],Table2[#Headers],0),0)</f>
        <v>0</v>
      </c>
      <c r="AO310" s="2" t="str">
        <f>VLOOKUP([jobnumber],OvalData[],MATCH(Table2[[#Headers],[slatlength]],Table2[#Headers],0),0)</f>
        <v xml:space="preserve"> 18 ft.- 5 7/ 8"</v>
      </c>
      <c r="AP310" s="2">
        <f>VLOOKUP([jobnumber],OvalData[],MATCH(Table2[[#Headers],[Bottom Slat Length]],Table2[#Headers],0),0)</f>
        <v>0</v>
      </c>
      <c r="AQ310" s="2">
        <f>VLOOKUP([jobnumber],OvalData[],MATCH(Table2[[#Headers],[Number of Perferated Slats]],Table2[#Headers],0),0)</f>
        <v>0</v>
      </c>
      <c r="AR310" s="2">
        <f>VLOOKUP([jobnumber],OvalData[],MATCH(Table2[[#Headers],[First Preferated Slat From End]],Table2[#Headers],0),0)</f>
        <v>0</v>
      </c>
      <c r="AS310" s="2">
        <f>VLOOKUP([jobnumber],OvalData[],MATCH(Table2[[#Headers],[First Preferated Slat From Bottom]],Table2[#Headers],0),0)</f>
        <v>0</v>
      </c>
      <c r="AT310" s="2">
        <f>VLOOKUP([jobnumber],OvalData[],MATCH(Table2[[#Headers],[Total Number of Slats]],Table2[#Headers],0),0)</f>
        <v>51</v>
      </c>
      <c r="AU310" s="2">
        <f>VLOOKUP([jobnumber],OvalData[],MATCH(Table2[[#Headers],[Bottom Bar Slope]],Table2[#Headers],0),0)</f>
        <v>0</v>
      </c>
      <c r="AV310" s="2">
        <f>VLOOKUP([jobnumber],OvalData[],MATCH(Table2[[#Headers],[Bottom Bar Weight]],Table2[#Headers],0),0)</f>
        <v>80.5</v>
      </c>
      <c r="AW310" s="2" t="str">
        <f>VLOOKUP([jobnumber],OvalData[],MATCH(Table2[[#Headers],[Outer Spring Gage]],Table2[#Headers],0),0)</f>
        <v>Null</v>
      </c>
      <c r="AX310" s="2" t="str">
        <f>VLOOKUP([jobnumber],OvalData[],MATCH(Table2[[#Headers],[Outer Spring OD]],Table2[#Headers],0),0)</f>
        <v>Null</v>
      </c>
      <c r="AY310" s="2" t="str">
        <f>VLOOKUP([jobnumber],OvalData[],MATCH(Table2[[#Headers],[Outer Spring Length]],Table2[#Headers],0),0)</f>
        <v>Null</v>
      </c>
      <c r="AZ310" s="2" t="str">
        <f>VLOOKUP([jobnumber],OvalData[],MATCH(Table2[[#Headers],[Outer Spring Stretch]],Table2[#Headers],0),0)</f>
        <v>Null</v>
      </c>
      <c r="BA310" s="2" t="str">
        <f>VLOOKUP([jobnumber],OvalData[],MATCH(Table2[[#Headers],[Outer Spring Torque]],Table2[#Headers],0),0)</f>
        <v>Null</v>
      </c>
      <c r="BB310" s="2" t="str">
        <f>VLOOKUP([jobnumber],OvalData[],MATCH(Table2[[#Headers],[Outer Spring Max Turns]],Table2[#Headers],0),0)</f>
        <v>Null</v>
      </c>
      <c r="BC310" s="2" t="str">
        <f>VLOOKUP([jobnumber],OvalData[],MATCH(Table2[[#Headers],[Outer Spring Weight]],Table2[#Headers],0),0)</f>
        <v>Null</v>
      </c>
      <c r="BD310" s="2" t="str">
        <f>VLOOKUP([jobnumber],OvalData[],MATCH(Table2[[#Headers],[Inner Spring Gage]],Table2[#Headers],0),0)</f>
        <v>Null</v>
      </c>
      <c r="BE310" s="2" t="str">
        <f>VLOOKUP([jobnumber],OvalData[],MATCH(Table2[[#Headers],[Inner Spring OD]],Table2[#Headers],0),0)</f>
        <v>Null</v>
      </c>
      <c r="BF310" s="2" t="str">
        <f>VLOOKUP([jobnumber],OvalData[],MATCH(Table2[[#Headers],[Inner Spring Length]],Table2[#Headers],0),0)</f>
        <v>Null</v>
      </c>
      <c r="BG310" s="2" t="str">
        <f>VLOOKUP([jobnumber],OvalData[],MATCH(Table2[[#Headers],[Inner Spring Stretch]],Table2[#Headers],0),0)</f>
        <v>Null</v>
      </c>
      <c r="BH310" s="2" t="str">
        <f>VLOOKUP([jobnumber],OvalData[],MATCH(Table2[[#Headers],[Inner Spring Torque]],Table2[#Headers],0),0)</f>
        <v>Null</v>
      </c>
      <c r="BI310" s="2" t="str">
        <f>VLOOKUP([jobnumber],OvalData[],MATCH(Table2[[#Headers],[Inner Spring Max Turns]],Table2[#Headers],0),0)</f>
        <v>Null</v>
      </c>
      <c r="BJ310" s="2" t="str">
        <f>VLOOKUP([jobnumber],OvalData[],MATCH(Table2[[#Headers],[Inner Spring Weight]],Table2[#Headers],0),0)</f>
        <v>Null</v>
      </c>
      <c r="BK310" s="2">
        <f>VLOOKUP([jobnumber],OvalData[],MATCH(Table2[[#Headers],[Cycles]],Table2[#Headers],0),0)</f>
        <v>0</v>
      </c>
      <c r="BL310" s="2">
        <f>VLOOKUP([jobnumber],OvalData[],MATCH(Table2[[#Headers],[Total Spring Torque]],Table2[#Headers],0),0)</f>
        <v>0</v>
      </c>
      <c r="BM310" s="2">
        <f>VLOOKUP([jobnumber],OvalData[],MATCH(Table2[[#Headers],[Total Spring Weight]],Table2[#Headers],0),0)</f>
        <v>0</v>
      </c>
      <c r="BN310" s="2">
        <f>VLOOKUP([jobnumber],OvalData[],MATCH(Table2[[#Headers],[Pipe Weight]],Table2[#Headers],0),0)</f>
        <v>688.24239999999998</v>
      </c>
      <c r="BO310" s="2">
        <f>VLOOKUP([jobnumber],OvalData[],MATCH(Table2[[#Headers],[Max Pipe Deflection]],Table2[#Headers],0),0)</f>
        <v>2309</v>
      </c>
      <c r="BP310" s="2">
        <f>VLOOKUP([jobnumber],OvalData[],MATCH(Table2[[#Headers],[Number Non-Insulated Wrap Slats]],Table2[#Headers],0),0)</f>
        <v>0</v>
      </c>
      <c r="BQ310" s="2">
        <f>VLOOKUP([jobnumber],OvalData[],MATCH(Table2[[#Headers],[Number of Insolated Top Slats]],Table2[#Headers],0),0)</f>
        <v>45</v>
      </c>
      <c r="BR310" s="2">
        <f>VLOOKUP([jobnumber],OvalData[],MATCH(Table2[[#Headers],[Insolated Total Slats]],Table2[#Headers],0),0)</f>
        <v>45</v>
      </c>
      <c r="BS310" s="2">
        <f>VLOOKUP([jobnumber],OvalData[],MATCH(Table2[[#Headers],[Number of Slats]],Table2[#Headers],0),0)</f>
        <v>44.69</v>
      </c>
      <c r="BT310" s="2">
        <f>VLOOKUP([jobnumber],OvalData[],MATCH(Table2[[#Headers],[Wrap]],Table2[#Headers],0),0)</f>
        <v>0</v>
      </c>
      <c r="BU310" s="2">
        <f>VLOOKUP([jobnumber],OvalData[],MATCH(Table2[[#Headers],[Wall Angle Thickness]],Table2[#Headers],0),0)</f>
        <v>0</v>
      </c>
      <c r="BV310" s="2">
        <f>VLOOKUP([jobnumber],OvalData[],MATCH(Table2[[#Headers],[windlocks]],Table2[#Headers],0),0)</f>
        <v>0</v>
      </c>
      <c r="BW310" s="2" t="str">
        <f>VLOOKUP([jobnumber],OvalData[],MATCH(Table2[[#Headers],[bottombartype]],Table2[#Headers],0),0)</f>
        <v>SPECIAL</v>
      </c>
      <c r="BX310" s="2">
        <f>VLOOKUP([jobnumber],OvalData[],MATCH(Table2[[#Headers],[endlockweight]],Table2[#Headers],0),0)</f>
        <v>0.17</v>
      </c>
      <c r="BY310" s="2">
        <f>VLOOKUP([jobnumber],OvalData[],MATCH(Table2[[#Headers],[Endlock Total Weight]],Table2[#Headers],0),0)</f>
        <v>7.5972999999999997</v>
      </c>
      <c r="BZ310" s="2">
        <f>VLOOKUP([jobnumber],OvalData[],MATCH(Table2[[#Headers],[Grille Weight]],Table2[#Headers],0),0)</f>
        <v>0</v>
      </c>
      <c r="CA310" s="2">
        <f>VLOOKUP([jobnumber],OvalData[],MATCH(Table2[[#Headers],[barrelrings]],Table2[#Headers],0),0)</f>
        <v>1</v>
      </c>
    </row>
    <row r="311" spans="2:79">
      <c r="B311" s="2" t="str">
        <f>VLOOKUP([jobnumber],OvalData[],MATCH(Table2[[#Headers],[Hand]],Table2[#Headers],0),0)</f>
        <v>RH</v>
      </c>
      <c r="C311" s="2" t="str">
        <f>VLOOKUP([jobnumber],OvalData[],MATCH(Table2[[#Headers],[Model]],Table2[#Headers],0),0)</f>
        <v>SFMPP</v>
      </c>
      <c r="D311" s="2" t="str">
        <f>VLOOKUP([jobnumber],OvalData[],MATCH(Table2[[#Headers],[width]],Table2[#Headers],0),0)</f>
        <v xml:space="preserve"> 18 ft.- 2"</v>
      </c>
      <c r="E311" s="2" t="str">
        <f>VLOOKUP([jobnumber],OvalData[],MATCH(Table2[[#Headers],[stopheight]],Table2[#Headers],0),0)</f>
        <v xml:space="preserve"> 10 ft.- 0"</v>
      </c>
      <c r="F311" s="2" t="str">
        <f>VLOOKUP([jobnumber],OvalData[],MATCH(Table2[[#Headers],[Between Brackets]],Table2[#Headers],0),0)</f>
        <v xml:space="preserve"> 18 ft.- 7 7/ 8"</v>
      </c>
      <c r="G311" s="2" t="str">
        <f>VLOOKUP([jobnumber],OvalData[],MATCH(Table2[[#Headers],[shell]],Table2[#Headers],0),0)</f>
        <v>6 INCH TUBE</v>
      </c>
      <c r="H311" s="2" t="str">
        <f>VLOOKUP([jobnumber],OvalData[],MATCH(Table2[[#Headers],[pipewidth]],Table2[#Headers],0),0)</f>
        <v xml:space="preserve"> 18 ft.- 1 3/ 8"</v>
      </c>
      <c r="I311" s="2">
        <f>VLOOKUP([jobnumber],OvalData[],MATCH(Table2[[#Headers],[Support Tubes]],Table2[#Headers],0),0)</f>
        <v>0</v>
      </c>
      <c r="J311" s="2">
        <f>VLOOKUP([jobnumber],OvalData[],MATCH(Table2[[#Headers],[Upset]],Table2[#Headers],0),0)</f>
        <v>2</v>
      </c>
      <c r="K311" s="2" t="str">
        <f>VLOOKUP([jobnumber],OvalData[],MATCH(Table2[[#Headers],[Guide Type]],Table2[#Headers],0),0)</f>
        <v>SN2-4 5/8-E</v>
      </c>
      <c r="L311" s="2" t="str">
        <f>VLOOKUP([jobnumber],OvalData[],MATCH(Table2[[#Headers],[Wall Angle]],Table2[#Headers],0),0)</f>
        <v xml:space="preserve"> 11 ft.- 8"</v>
      </c>
      <c r="M311" s="2" t="str">
        <f>VLOOKUP([jobnumber],OvalData[],MATCH(Table2[[#Headers],[Middle Angle]],Table2[#Headers],0),0)</f>
        <v xml:space="preserve"> 10 ft.- 4 1/ 2"</v>
      </c>
      <c r="N311" s="2" t="str">
        <f>VLOOKUP([jobnumber],OvalData[],MATCH(Table2[[#Headers],[Front Angle]],Table2[#Headers],0),0)</f>
        <v xml:space="preserve"> 10 ft.- 3"</v>
      </c>
      <c r="O311" s="2">
        <f>VLOOKUP([jobnumber],OvalData[],MATCH(Table2[[#Headers],[Pipe Center Line]],Table2[#Headers],0),0)</f>
        <v>131</v>
      </c>
      <c r="P311" s="2">
        <f>VLOOKUP([jobnumber],OvalData[],MATCH(Table2[[#Headers],[Heat Expansion Gap]],Table2[#Headers],0),0)</f>
        <v>0</v>
      </c>
      <c r="Q311" s="2">
        <f>VLOOKUP([jobnumber],OvalData[],MATCH(Table2[[#Headers],[Hanging Weight Closed]],Table2[#Headers],0),0)</f>
        <v>795</v>
      </c>
      <c r="R311" s="2">
        <f>VLOOKUP([jobnumber],OvalData[],MATCH(Table2[[#Headers],[Hanging Weight Open]],Table2[#Headers],0),0)</f>
        <v>140</v>
      </c>
      <c r="S311" s="2">
        <f>VLOOKUP([jobnumber],OvalData[],MATCH(Table2[[#Headers],[Initial Lever Arm]],Table2[#Headers],0),0)</f>
        <v>4.25</v>
      </c>
      <c r="T311" s="2">
        <f>VLOOKUP([jobnumber],OvalData[],MATCH(Table2[[#Headers],[Turns to Raise]],Table2[#Headers],0),0)</f>
        <v>3.5859999999999999</v>
      </c>
      <c r="U311" s="2">
        <f>VLOOKUP([jobnumber],OvalData[],MATCH(Table2[[#Headers],[Final Lever Arm]],Table2[#Headers],0),0)</f>
        <v>6.37</v>
      </c>
      <c r="V311" s="2">
        <f>VLOOKUP([jobnumber],OvalData[],MATCH(Table2[[#Headers],[Torque Required Closed]],Table2[#Headers],0),0)</f>
        <v>3377.9</v>
      </c>
      <c r="W311" s="2">
        <f>VLOOKUP([jobnumber],OvalData[],MATCH(Table2[[#Headers],[Torque Required Open]],Table2[#Headers],0),0)</f>
        <v>892</v>
      </c>
      <c r="X311" s="2">
        <f>VLOOKUP([jobnumber],OvalData[],MATCH(Table2[[#Headers],[Pre Turns]],Table2[#Headers],0),0)</f>
        <v>1.3332999999999999</v>
      </c>
      <c r="Y311" s="2">
        <f>VLOOKUP([jobnumber],OvalData[],MATCH(Table2[[#Headers],[Required Torque Per Turn]],Table2[#Headers],0),0)</f>
        <v>688</v>
      </c>
      <c r="Z311" s="2">
        <f>VLOOKUP([jobnumber],OvalData[],MATCH(Table2[[#Headers],[Total Turns]],Table2[#Headers],0),0)</f>
        <v>4.91</v>
      </c>
      <c r="AA311" s="2">
        <f>VLOOKUP([jobnumber],OvalData[],MATCH(Table2[[#Headers],[Grille Vision Section]],Table2[#Headers],0),0)</f>
        <v>0</v>
      </c>
      <c r="AB311" s="2">
        <f>VLOOKUP([jobnumber],OvalData[],MATCH(Table2[[#Headers],[Grille Amount]],Table2[#Headers],0),0)</f>
        <v>0</v>
      </c>
      <c r="AC311" s="2">
        <f>VLOOKUP([jobnumber],OvalData[],MATCH(Table2[[#Headers],[Grille Center]],Table2[#Headers],0),0)</f>
        <v>0</v>
      </c>
      <c r="AD311" s="2">
        <f>VLOOKUP([jobnumber],OvalData[],MATCH(Table2[[#Headers],[Grille Pattern]],Table2[#Headers],0),0)</f>
        <v>0</v>
      </c>
      <c r="AE311" s="2">
        <f>VLOOKUP([jobnumber],OvalData[],MATCH(Table2[[#Headers],[Grille First Tube]],Table2[#Headers],0),0)</f>
        <v>0</v>
      </c>
      <c r="AF311" s="2">
        <f>VLOOKUP([jobnumber],OvalData[],MATCH(Table2[[#Headers],[Grille Standard Tube]],Table2[#Headers],0),0)</f>
        <v>0</v>
      </c>
      <c r="AG311" s="2">
        <f>VLOOKUP([jobnumber],OvalData[],MATCH(Table2[[#Headers],[Grille Total Links]],Table2[#Headers],0),0)</f>
        <v>0</v>
      </c>
      <c r="AH311" s="2">
        <f>VLOOKUP([jobnumber],OvalData[],MATCH(Table2[[#Headers],[Grille Rods]],Table2[#Headers],0),0)</f>
        <v>0</v>
      </c>
      <c r="AI311" s="2">
        <f>VLOOKUP([jobnumber],OvalData[],MATCH(Table2[[#Headers],[Grille Rod Length]],Table2[#Headers],0),0)</f>
        <v>0</v>
      </c>
      <c r="AJ311" s="2">
        <f>VLOOKUP([jobnumber],OvalData[],MATCH(Table2[[#Headers],[slattype]],Table2[#Headers],0),0)</f>
        <v>2</v>
      </c>
      <c r="AK311" s="2">
        <f>VLOOKUP([jobnumber],OvalData[],MATCH(Table2[[#Headers],[slatgage]],Table2[#Headers],0),0)</f>
        <v>18</v>
      </c>
      <c r="AL311" s="2">
        <f>VLOOKUP([jobnumber],OvalData[],MATCH(Table2[[#Headers],[Numer of Top Slats]],Table2[#Headers],0),0)</f>
        <v>0</v>
      </c>
      <c r="AM311" s="2">
        <f>VLOOKUP([jobnumber],OvalData[],MATCH(Table2[[#Headers],[Number of Bottom Slats]],Table2[#Headers],0),0)</f>
        <v>0</v>
      </c>
      <c r="AN311" s="2">
        <f>VLOOKUP([jobnumber],OvalData[],MATCH(Table2[[#Headers],[Solid Bottom Height]],Table2[#Headers],0),0)</f>
        <v>0</v>
      </c>
      <c r="AO311" s="2" t="str">
        <f>VLOOKUP([jobnumber],OvalData[],MATCH(Table2[[#Headers],[slatlength]],Table2[#Headers],0),0)</f>
        <v xml:space="preserve"> 18 ft.- 5 7/ 8"</v>
      </c>
      <c r="AP311" s="2">
        <f>VLOOKUP([jobnumber],OvalData[],MATCH(Table2[[#Headers],[Bottom Slat Length]],Table2[#Headers],0),0)</f>
        <v>0</v>
      </c>
      <c r="AQ311" s="2">
        <f>VLOOKUP([jobnumber],OvalData[],MATCH(Table2[[#Headers],[Number of Perferated Slats]],Table2[#Headers],0),0)</f>
        <v>0</v>
      </c>
      <c r="AR311" s="2">
        <f>VLOOKUP([jobnumber],OvalData[],MATCH(Table2[[#Headers],[First Preferated Slat From End]],Table2[#Headers],0),0)</f>
        <v>0</v>
      </c>
      <c r="AS311" s="2">
        <f>VLOOKUP([jobnumber],OvalData[],MATCH(Table2[[#Headers],[First Preferated Slat From Bottom]],Table2[#Headers],0),0)</f>
        <v>0</v>
      </c>
      <c r="AT311" s="2">
        <f>VLOOKUP([jobnumber],OvalData[],MATCH(Table2[[#Headers],[Total Number of Slats]],Table2[#Headers],0),0)</f>
        <v>51</v>
      </c>
      <c r="AU311" s="2">
        <f>VLOOKUP([jobnumber],OvalData[],MATCH(Table2[[#Headers],[Bottom Bar Slope]],Table2[#Headers],0),0)</f>
        <v>0</v>
      </c>
      <c r="AV311" s="2">
        <f>VLOOKUP([jobnumber],OvalData[],MATCH(Table2[[#Headers],[Bottom Bar Weight]],Table2[#Headers],0),0)</f>
        <v>80.5</v>
      </c>
      <c r="AW311" s="2" t="str">
        <f>VLOOKUP([jobnumber],OvalData[],MATCH(Table2[[#Headers],[Outer Spring Gage]],Table2[#Headers],0),0)</f>
        <v>Null</v>
      </c>
      <c r="AX311" s="2" t="str">
        <f>VLOOKUP([jobnumber],OvalData[],MATCH(Table2[[#Headers],[Outer Spring OD]],Table2[#Headers],0),0)</f>
        <v>Null</v>
      </c>
      <c r="AY311" s="2" t="str">
        <f>VLOOKUP([jobnumber],OvalData[],MATCH(Table2[[#Headers],[Outer Spring Length]],Table2[#Headers],0),0)</f>
        <v>Null</v>
      </c>
      <c r="AZ311" s="2" t="str">
        <f>VLOOKUP([jobnumber],OvalData[],MATCH(Table2[[#Headers],[Outer Spring Stretch]],Table2[#Headers],0),0)</f>
        <v>Null</v>
      </c>
      <c r="BA311" s="2" t="str">
        <f>VLOOKUP([jobnumber],OvalData[],MATCH(Table2[[#Headers],[Outer Spring Torque]],Table2[#Headers],0),0)</f>
        <v>Null</v>
      </c>
      <c r="BB311" s="2" t="str">
        <f>VLOOKUP([jobnumber],OvalData[],MATCH(Table2[[#Headers],[Outer Spring Max Turns]],Table2[#Headers],0),0)</f>
        <v>Null</v>
      </c>
      <c r="BC311" s="2" t="str">
        <f>VLOOKUP([jobnumber],OvalData[],MATCH(Table2[[#Headers],[Outer Spring Weight]],Table2[#Headers],0),0)</f>
        <v>Null</v>
      </c>
      <c r="BD311" s="2" t="str">
        <f>VLOOKUP([jobnumber],OvalData[],MATCH(Table2[[#Headers],[Inner Spring Gage]],Table2[#Headers],0),0)</f>
        <v>Null</v>
      </c>
      <c r="BE311" s="2" t="str">
        <f>VLOOKUP([jobnumber],OvalData[],MATCH(Table2[[#Headers],[Inner Spring OD]],Table2[#Headers],0),0)</f>
        <v>Null</v>
      </c>
      <c r="BF311" s="2" t="str">
        <f>VLOOKUP([jobnumber],OvalData[],MATCH(Table2[[#Headers],[Inner Spring Length]],Table2[#Headers],0),0)</f>
        <v>Null</v>
      </c>
      <c r="BG311" s="2" t="str">
        <f>VLOOKUP([jobnumber],OvalData[],MATCH(Table2[[#Headers],[Inner Spring Stretch]],Table2[#Headers],0),0)</f>
        <v>Null</v>
      </c>
      <c r="BH311" s="2" t="str">
        <f>VLOOKUP([jobnumber],OvalData[],MATCH(Table2[[#Headers],[Inner Spring Torque]],Table2[#Headers],0),0)</f>
        <v>Null</v>
      </c>
      <c r="BI311" s="2" t="str">
        <f>VLOOKUP([jobnumber],OvalData[],MATCH(Table2[[#Headers],[Inner Spring Max Turns]],Table2[#Headers],0),0)</f>
        <v>Null</v>
      </c>
      <c r="BJ311" s="2" t="str">
        <f>VLOOKUP([jobnumber],OvalData[],MATCH(Table2[[#Headers],[Inner Spring Weight]],Table2[#Headers],0),0)</f>
        <v>Null</v>
      </c>
      <c r="BK311" s="2">
        <f>VLOOKUP([jobnumber],OvalData[],MATCH(Table2[[#Headers],[Cycles]],Table2[#Headers],0),0)</f>
        <v>0</v>
      </c>
      <c r="BL311" s="2">
        <f>VLOOKUP([jobnumber],OvalData[],MATCH(Table2[[#Headers],[Total Spring Torque]],Table2[#Headers],0),0)</f>
        <v>0</v>
      </c>
      <c r="BM311" s="2">
        <f>VLOOKUP([jobnumber],OvalData[],MATCH(Table2[[#Headers],[Total Spring Weight]],Table2[#Headers],0),0)</f>
        <v>0</v>
      </c>
      <c r="BN311" s="2">
        <f>VLOOKUP([jobnumber],OvalData[],MATCH(Table2[[#Headers],[Pipe Weight]],Table2[#Headers],0),0)</f>
        <v>688.24239999999998</v>
      </c>
      <c r="BO311" s="2">
        <f>VLOOKUP([jobnumber],OvalData[],MATCH(Table2[[#Headers],[Max Pipe Deflection]],Table2[#Headers],0),0)</f>
        <v>2309</v>
      </c>
      <c r="BP311" s="2">
        <f>VLOOKUP([jobnumber],OvalData[],MATCH(Table2[[#Headers],[Number Non-Insulated Wrap Slats]],Table2[#Headers],0),0)</f>
        <v>0</v>
      </c>
      <c r="BQ311" s="2">
        <f>VLOOKUP([jobnumber],OvalData[],MATCH(Table2[[#Headers],[Number of Insolated Top Slats]],Table2[#Headers],0),0)</f>
        <v>45</v>
      </c>
      <c r="BR311" s="2">
        <f>VLOOKUP([jobnumber],OvalData[],MATCH(Table2[[#Headers],[Insolated Total Slats]],Table2[#Headers],0),0)</f>
        <v>45</v>
      </c>
      <c r="BS311" s="2">
        <f>VLOOKUP([jobnumber],OvalData[],MATCH(Table2[[#Headers],[Number of Slats]],Table2[#Headers],0),0)</f>
        <v>44.69</v>
      </c>
      <c r="BT311" s="2">
        <f>VLOOKUP([jobnumber],OvalData[],MATCH(Table2[[#Headers],[Wrap]],Table2[#Headers],0),0)</f>
        <v>0</v>
      </c>
      <c r="BU311" s="2">
        <f>VLOOKUP([jobnumber],OvalData[],MATCH(Table2[[#Headers],[Wall Angle Thickness]],Table2[#Headers],0),0)</f>
        <v>0</v>
      </c>
      <c r="BV311" s="2">
        <f>VLOOKUP([jobnumber],OvalData[],MATCH(Table2[[#Headers],[windlocks]],Table2[#Headers],0),0)</f>
        <v>0</v>
      </c>
      <c r="BW311" s="2" t="str">
        <f>VLOOKUP([jobnumber],OvalData[],MATCH(Table2[[#Headers],[bottombartype]],Table2[#Headers],0),0)</f>
        <v>SPECIAL</v>
      </c>
      <c r="BX311" s="2">
        <f>VLOOKUP([jobnumber],OvalData[],MATCH(Table2[[#Headers],[endlockweight]],Table2[#Headers],0),0)</f>
        <v>0.17</v>
      </c>
      <c r="BY311" s="2">
        <f>VLOOKUP([jobnumber],OvalData[],MATCH(Table2[[#Headers],[Endlock Total Weight]],Table2[#Headers],0),0)</f>
        <v>7.5972999999999997</v>
      </c>
      <c r="BZ311" s="2">
        <f>VLOOKUP([jobnumber],OvalData[],MATCH(Table2[[#Headers],[Grille Weight]],Table2[#Headers],0),0)</f>
        <v>0</v>
      </c>
      <c r="CA311" s="2">
        <f>VLOOKUP([jobnumber],OvalData[],MATCH(Table2[[#Headers],[barrelrings]],Table2[#Headers],0),0)</f>
        <v>1</v>
      </c>
    </row>
    <row r="312" spans="2:79">
      <c r="B312" s="2" t="str">
        <f>VLOOKUP([jobnumber],OvalData[],MATCH(Table2[[#Headers],[Hand]],Table2[#Headers],0),0)</f>
        <v>RH</v>
      </c>
      <c r="C312" s="2" t="str">
        <f>VLOOKUP([jobnumber],OvalData[],MATCH(Table2[[#Headers],[Model]],Table2[#Headers],0),0)</f>
        <v>SFMPP</v>
      </c>
      <c r="D312" s="2" t="str">
        <f>VLOOKUP([jobnumber],OvalData[],MATCH(Table2[[#Headers],[width]],Table2[#Headers],0),0)</f>
        <v xml:space="preserve"> 18 ft.- 2"</v>
      </c>
      <c r="E312" s="2" t="str">
        <f>VLOOKUP([jobnumber],OvalData[],MATCH(Table2[[#Headers],[stopheight]],Table2[#Headers],0),0)</f>
        <v xml:space="preserve"> 10 ft.- 0"</v>
      </c>
      <c r="F312" s="2" t="str">
        <f>VLOOKUP([jobnumber],OvalData[],MATCH(Table2[[#Headers],[Between Brackets]],Table2[#Headers],0),0)</f>
        <v xml:space="preserve"> 18 ft.- 7 7/ 8"</v>
      </c>
      <c r="G312" s="2" t="str">
        <f>VLOOKUP([jobnumber],OvalData[],MATCH(Table2[[#Headers],[shell]],Table2[#Headers],0),0)</f>
        <v>6 INCH TUBE</v>
      </c>
      <c r="H312" s="2" t="str">
        <f>VLOOKUP([jobnumber],OvalData[],MATCH(Table2[[#Headers],[pipewidth]],Table2[#Headers],0),0)</f>
        <v xml:space="preserve"> 18 ft.- 1 3/ 8"</v>
      </c>
      <c r="I312" s="2">
        <f>VLOOKUP([jobnumber],OvalData[],MATCH(Table2[[#Headers],[Support Tubes]],Table2[#Headers],0),0)</f>
        <v>0</v>
      </c>
      <c r="J312" s="2">
        <f>VLOOKUP([jobnumber],OvalData[],MATCH(Table2[[#Headers],[Upset]],Table2[#Headers],0),0)</f>
        <v>2</v>
      </c>
      <c r="K312" s="2" t="str">
        <f>VLOOKUP([jobnumber],OvalData[],MATCH(Table2[[#Headers],[Guide Type]],Table2[#Headers],0),0)</f>
        <v>SN2-4 5/8-E</v>
      </c>
      <c r="L312" s="2" t="str">
        <f>VLOOKUP([jobnumber],OvalData[],MATCH(Table2[[#Headers],[Wall Angle]],Table2[#Headers],0),0)</f>
        <v xml:space="preserve"> 11 ft.- 8"</v>
      </c>
      <c r="M312" s="2" t="str">
        <f>VLOOKUP([jobnumber],OvalData[],MATCH(Table2[[#Headers],[Middle Angle]],Table2[#Headers],0),0)</f>
        <v xml:space="preserve"> 10 ft.- 4 1/ 2"</v>
      </c>
      <c r="N312" s="2" t="str">
        <f>VLOOKUP([jobnumber],OvalData[],MATCH(Table2[[#Headers],[Front Angle]],Table2[#Headers],0),0)</f>
        <v xml:space="preserve"> 10 ft.- 3"</v>
      </c>
      <c r="O312" s="2">
        <f>VLOOKUP([jobnumber],OvalData[],MATCH(Table2[[#Headers],[Pipe Center Line]],Table2[#Headers],0),0)</f>
        <v>131</v>
      </c>
      <c r="P312" s="2">
        <f>VLOOKUP([jobnumber],OvalData[],MATCH(Table2[[#Headers],[Heat Expansion Gap]],Table2[#Headers],0),0)</f>
        <v>0</v>
      </c>
      <c r="Q312" s="2">
        <f>VLOOKUP([jobnumber],OvalData[],MATCH(Table2[[#Headers],[Hanging Weight Closed]],Table2[#Headers],0),0)</f>
        <v>795</v>
      </c>
      <c r="R312" s="2">
        <f>VLOOKUP([jobnumber],OvalData[],MATCH(Table2[[#Headers],[Hanging Weight Open]],Table2[#Headers],0),0)</f>
        <v>140</v>
      </c>
      <c r="S312" s="2">
        <f>VLOOKUP([jobnumber],OvalData[],MATCH(Table2[[#Headers],[Initial Lever Arm]],Table2[#Headers],0),0)</f>
        <v>4.25</v>
      </c>
      <c r="T312" s="2">
        <f>VLOOKUP([jobnumber],OvalData[],MATCH(Table2[[#Headers],[Turns to Raise]],Table2[#Headers],0),0)</f>
        <v>3.5859999999999999</v>
      </c>
      <c r="U312" s="2">
        <f>VLOOKUP([jobnumber],OvalData[],MATCH(Table2[[#Headers],[Final Lever Arm]],Table2[#Headers],0),0)</f>
        <v>6.37</v>
      </c>
      <c r="V312" s="2">
        <f>VLOOKUP([jobnumber],OvalData[],MATCH(Table2[[#Headers],[Torque Required Closed]],Table2[#Headers],0),0)</f>
        <v>3377.9</v>
      </c>
      <c r="W312" s="2">
        <f>VLOOKUP([jobnumber],OvalData[],MATCH(Table2[[#Headers],[Torque Required Open]],Table2[#Headers],0),0)</f>
        <v>892</v>
      </c>
      <c r="X312" s="2">
        <f>VLOOKUP([jobnumber],OvalData[],MATCH(Table2[[#Headers],[Pre Turns]],Table2[#Headers],0),0)</f>
        <v>1.3332999999999999</v>
      </c>
      <c r="Y312" s="2">
        <f>VLOOKUP([jobnumber],OvalData[],MATCH(Table2[[#Headers],[Required Torque Per Turn]],Table2[#Headers],0),0)</f>
        <v>688</v>
      </c>
      <c r="Z312" s="2">
        <f>VLOOKUP([jobnumber],OvalData[],MATCH(Table2[[#Headers],[Total Turns]],Table2[#Headers],0),0)</f>
        <v>4.91</v>
      </c>
      <c r="AA312" s="2">
        <f>VLOOKUP([jobnumber],OvalData[],MATCH(Table2[[#Headers],[Grille Vision Section]],Table2[#Headers],0),0)</f>
        <v>0</v>
      </c>
      <c r="AB312" s="2">
        <f>VLOOKUP([jobnumber],OvalData[],MATCH(Table2[[#Headers],[Grille Amount]],Table2[#Headers],0),0)</f>
        <v>0</v>
      </c>
      <c r="AC312" s="2">
        <f>VLOOKUP([jobnumber],OvalData[],MATCH(Table2[[#Headers],[Grille Center]],Table2[#Headers],0),0)</f>
        <v>0</v>
      </c>
      <c r="AD312" s="2">
        <f>VLOOKUP([jobnumber],OvalData[],MATCH(Table2[[#Headers],[Grille Pattern]],Table2[#Headers],0),0)</f>
        <v>0</v>
      </c>
      <c r="AE312" s="2">
        <f>VLOOKUP([jobnumber],OvalData[],MATCH(Table2[[#Headers],[Grille First Tube]],Table2[#Headers],0),0)</f>
        <v>0</v>
      </c>
      <c r="AF312" s="2">
        <f>VLOOKUP([jobnumber],OvalData[],MATCH(Table2[[#Headers],[Grille Standard Tube]],Table2[#Headers],0),0)</f>
        <v>0</v>
      </c>
      <c r="AG312" s="2">
        <f>VLOOKUP([jobnumber],OvalData[],MATCH(Table2[[#Headers],[Grille Total Links]],Table2[#Headers],0),0)</f>
        <v>0</v>
      </c>
      <c r="AH312" s="2">
        <f>VLOOKUP([jobnumber],OvalData[],MATCH(Table2[[#Headers],[Grille Rods]],Table2[#Headers],0),0)</f>
        <v>0</v>
      </c>
      <c r="AI312" s="2">
        <f>VLOOKUP([jobnumber],OvalData[],MATCH(Table2[[#Headers],[Grille Rod Length]],Table2[#Headers],0),0)</f>
        <v>0</v>
      </c>
      <c r="AJ312" s="2">
        <f>VLOOKUP([jobnumber],OvalData[],MATCH(Table2[[#Headers],[slattype]],Table2[#Headers],0),0)</f>
        <v>2</v>
      </c>
      <c r="AK312" s="2">
        <f>VLOOKUP([jobnumber],OvalData[],MATCH(Table2[[#Headers],[slatgage]],Table2[#Headers],0),0)</f>
        <v>18</v>
      </c>
      <c r="AL312" s="2">
        <f>VLOOKUP([jobnumber],OvalData[],MATCH(Table2[[#Headers],[Numer of Top Slats]],Table2[#Headers],0),0)</f>
        <v>0</v>
      </c>
      <c r="AM312" s="2">
        <f>VLOOKUP([jobnumber],OvalData[],MATCH(Table2[[#Headers],[Number of Bottom Slats]],Table2[#Headers],0),0)</f>
        <v>0</v>
      </c>
      <c r="AN312" s="2">
        <f>VLOOKUP([jobnumber],OvalData[],MATCH(Table2[[#Headers],[Solid Bottom Height]],Table2[#Headers],0),0)</f>
        <v>0</v>
      </c>
      <c r="AO312" s="2" t="str">
        <f>VLOOKUP([jobnumber],OvalData[],MATCH(Table2[[#Headers],[slatlength]],Table2[#Headers],0),0)</f>
        <v xml:space="preserve"> 18 ft.- 5 7/ 8"</v>
      </c>
      <c r="AP312" s="2">
        <f>VLOOKUP([jobnumber],OvalData[],MATCH(Table2[[#Headers],[Bottom Slat Length]],Table2[#Headers],0),0)</f>
        <v>0</v>
      </c>
      <c r="AQ312" s="2">
        <f>VLOOKUP([jobnumber],OvalData[],MATCH(Table2[[#Headers],[Number of Perferated Slats]],Table2[#Headers],0),0)</f>
        <v>0</v>
      </c>
      <c r="AR312" s="2">
        <f>VLOOKUP([jobnumber],OvalData[],MATCH(Table2[[#Headers],[First Preferated Slat From End]],Table2[#Headers],0),0)</f>
        <v>0</v>
      </c>
      <c r="AS312" s="2">
        <f>VLOOKUP([jobnumber],OvalData[],MATCH(Table2[[#Headers],[First Preferated Slat From Bottom]],Table2[#Headers],0),0)</f>
        <v>0</v>
      </c>
      <c r="AT312" s="2">
        <f>VLOOKUP([jobnumber],OvalData[],MATCH(Table2[[#Headers],[Total Number of Slats]],Table2[#Headers],0),0)</f>
        <v>51</v>
      </c>
      <c r="AU312" s="2">
        <f>VLOOKUP([jobnumber],OvalData[],MATCH(Table2[[#Headers],[Bottom Bar Slope]],Table2[#Headers],0),0)</f>
        <v>0</v>
      </c>
      <c r="AV312" s="2">
        <f>VLOOKUP([jobnumber],OvalData[],MATCH(Table2[[#Headers],[Bottom Bar Weight]],Table2[#Headers],0),0)</f>
        <v>80.5</v>
      </c>
      <c r="AW312" s="2" t="str">
        <f>VLOOKUP([jobnumber],OvalData[],MATCH(Table2[[#Headers],[Outer Spring Gage]],Table2[#Headers],0),0)</f>
        <v>Null</v>
      </c>
      <c r="AX312" s="2" t="str">
        <f>VLOOKUP([jobnumber],OvalData[],MATCH(Table2[[#Headers],[Outer Spring OD]],Table2[#Headers],0),0)</f>
        <v>Null</v>
      </c>
      <c r="AY312" s="2" t="str">
        <f>VLOOKUP([jobnumber],OvalData[],MATCH(Table2[[#Headers],[Outer Spring Length]],Table2[#Headers],0),0)</f>
        <v>Null</v>
      </c>
      <c r="AZ312" s="2" t="str">
        <f>VLOOKUP([jobnumber],OvalData[],MATCH(Table2[[#Headers],[Outer Spring Stretch]],Table2[#Headers],0),0)</f>
        <v>Null</v>
      </c>
      <c r="BA312" s="2" t="str">
        <f>VLOOKUP([jobnumber],OvalData[],MATCH(Table2[[#Headers],[Outer Spring Torque]],Table2[#Headers],0),0)</f>
        <v>Null</v>
      </c>
      <c r="BB312" s="2" t="str">
        <f>VLOOKUP([jobnumber],OvalData[],MATCH(Table2[[#Headers],[Outer Spring Max Turns]],Table2[#Headers],0),0)</f>
        <v>Null</v>
      </c>
      <c r="BC312" s="2" t="str">
        <f>VLOOKUP([jobnumber],OvalData[],MATCH(Table2[[#Headers],[Outer Spring Weight]],Table2[#Headers],0),0)</f>
        <v>Null</v>
      </c>
      <c r="BD312" s="2" t="str">
        <f>VLOOKUP([jobnumber],OvalData[],MATCH(Table2[[#Headers],[Inner Spring Gage]],Table2[#Headers],0),0)</f>
        <v>Null</v>
      </c>
      <c r="BE312" s="2" t="str">
        <f>VLOOKUP([jobnumber],OvalData[],MATCH(Table2[[#Headers],[Inner Spring OD]],Table2[#Headers],0),0)</f>
        <v>Null</v>
      </c>
      <c r="BF312" s="2" t="str">
        <f>VLOOKUP([jobnumber],OvalData[],MATCH(Table2[[#Headers],[Inner Spring Length]],Table2[#Headers],0),0)</f>
        <v>Null</v>
      </c>
      <c r="BG312" s="2" t="str">
        <f>VLOOKUP([jobnumber],OvalData[],MATCH(Table2[[#Headers],[Inner Spring Stretch]],Table2[#Headers],0),0)</f>
        <v>Null</v>
      </c>
      <c r="BH312" s="2" t="str">
        <f>VLOOKUP([jobnumber],OvalData[],MATCH(Table2[[#Headers],[Inner Spring Torque]],Table2[#Headers],0),0)</f>
        <v>Null</v>
      </c>
      <c r="BI312" s="2" t="str">
        <f>VLOOKUP([jobnumber],OvalData[],MATCH(Table2[[#Headers],[Inner Spring Max Turns]],Table2[#Headers],0),0)</f>
        <v>Null</v>
      </c>
      <c r="BJ312" s="2" t="str">
        <f>VLOOKUP([jobnumber],OvalData[],MATCH(Table2[[#Headers],[Inner Spring Weight]],Table2[#Headers],0),0)</f>
        <v>Null</v>
      </c>
      <c r="BK312" s="2">
        <f>VLOOKUP([jobnumber],OvalData[],MATCH(Table2[[#Headers],[Cycles]],Table2[#Headers],0),0)</f>
        <v>0</v>
      </c>
      <c r="BL312" s="2">
        <f>VLOOKUP([jobnumber],OvalData[],MATCH(Table2[[#Headers],[Total Spring Torque]],Table2[#Headers],0),0)</f>
        <v>0</v>
      </c>
      <c r="BM312" s="2">
        <f>VLOOKUP([jobnumber],OvalData[],MATCH(Table2[[#Headers],[Total Spring Weight]],Table2[#Headers],0),0)</f>
        <v>0</v>
      </c>
      <c r="BN312" s="2">
        <f>VLOOKUP([jobnumber],OvalData[],MATCH(Table2[[#Headers],[Pipe Weight]],Table2[#Headers],0),0)</f>
        <v>688.24239999999998</v>
      </c>
      <c r="BO312" s="2">
        <f>VLOOKUP([jobnumber],OvalData[],MATCH(Table2[[#Headers],[Max Pipe Deflection]],Table2[#Headers],0),0)</f>
        <v>2309</v>
      </c>
      <c r="BP312" s="2">
        <f>VLOOKUP([jobnumber],OvalData[],MATCH(Table2[[#Headers],[Number Non-Insulated Wrap Slats]],Table2[#Headers],0),0)</f>
        <v>0</v>
      </c>
      <c r="BQ312" s="2">
        <f>VLOOKUP([jobnumber],OvalData[],MATCH(Table2[[#Headers],[Number of Insolated Top Slats]],Table2[#Headers],0),0)</f>
        <v>45</v>
      </c>
      <c r="BR312" s="2">
        <f>VLOOKUP([jobnumber],OvalData[],MATCH(Table2[[#Headers],[Insolated Total Slats]],Table2[#Headers],0),0)</f>
        <v>45</v>
      </c>
      <c r="BS312" s="2">
        <f>VLOOKUP([jobnumber],OvalData[],MATCH(Table2[[#Headers],[Number of Slats]],Table2[#Headers],0),0)</f>
        <v>44.69</v>
      </c>
      <c r="BT312" s="2">
        <f>VLOOKUP([jobnumber],OvalData[],MATCH(Table2[[#Headers],[Wrap]],Table2[#Headers],0),0)</f>
        <v>0</v>
      </c>
      <c r="BU312" s="2">
        <f>VLOOKUP([jobnumber],OvalData[],MATCH(Table2[[#Headers],[Wall Angle Thickness]],Table2[#Headers],0),0)</f>
        <v>0</v>
      </c>
      <c r="BV312" s="2">
        <f>VLOOKUP([jobnumber],OvalData[],MATCH(Table2[[#Headers],[windlocks]],Table2[#Headers],0),0)</f>
        <v>0</v>
      </c>
      <c r="BW312" s="2" t="str">
        <f>VLOOKUP([jobnumber],OvalData[],MATCH(Table2[[#Headers],[bottombartype]],Table2[#Headers],0),0)</f>
        <v>SPECIAL</v>
      </c>
      <c r="BX312" s="2">
        <f>VLOOKUP([jobnumber],OvalData[],MATCH(Table2[[#Headers],[endlockweight]],Table2[#Headers],0),0)</f>
        <v>0.17</v>
      </c>
      <c r="BY312" s="2">
        <f>VLOOKUP([jobnumber],OvalData[],MATCH(Table2[[#Headers],[Endlock Total Weight]],Table2[#Headers],0),0)</f>
        <v>7.5972999999999997</v>
      </c>
      <c r="BZ312" s="2">
        <f>VLOOKUP([jobnumber],OvalData[],MATCH(Table2[[#Headers],[Grille Weight]],Table2[#Headers],0),0)</f>
        <v>0</v>
      </c>
      <c r="CA312" s="2">
        <f>VLOOKUP([jobnumber],OvalData[],MATCH(Table2[[#Headers],[barrelrings]],Table2[#Headers],0),0)</f>
        <v>1</v>
      </c>
    </row>
    <row r="313" spans="2:79">
      <c r="B313" s="2" t="str">
        <f>VLOOKUP([jobnumber],OvalData[],MATCH(Table2[[#Headers],[Hand]],Table2[#Headers],0),0)</f>
        <v>RH</v>
      </c>
      <c r="C313" s="2" t="str">
        <f>VLOOKUP([jobnumber],OvalData[],MATCH(Table2[[#Headers],[Model]],Table2[#Headers],0),0)</f>
        <v>SFMPP</v>
      </c>
      <c r="D313" s="2" t="str">
        <f>VLOOKUP([jobnumber],OvalData[],MATCH(Table2[[#Headers],[width]],Table2[#Headers],0),0)</f>
        <v xml:space="preserve"> 18 ft.- 2"</v>
      </c>
      <c r="E313" s="2" t="str">
        <f>VLOOKUP([jobnumber],OvalData[],MATCH(Table2[[#Headers],[stopheight]],Table2[#Headers],0),0)</f>
        <v xml:space="preserve"> 10 ft.- 0"</v>
      </c>
      <c r="F313" s="2" t="str">
        <f>VLOOKUP([jobnumber],OvalData[],MATCH(Table2[[#Headers],[Between Brackets]],Table2[#Headers],0),0)</f>
        <v xml:space="preserve"> 18 ft.- 7 7/ 8"</v>
      </c>
      <c r="G313" s="2" t="str">
        <f>VLOOKUP([jobnumber],OvalData[],MATCH(Table2[[#Headers],[shell]],Table2[#Headers],0),0)</f>
        <v>6 INCH TUBE</v>
      </c>
      <c r="H313" s="2" t="str">
        <f>VLOOKUP([jobnumber],OvalData[],MATCH(Table2[[#Headers],[pipewidth]],Table2[#Headers],0),0)</f>
        <v xml:space="preserve"> 18 ft.- 1 3/ 8"</v>
      </c>
      <c r="I313" s="2">
        <f>VLOOKUP([jobnumber],OvalData[],MATCH(Table2[[#Headers],[Support Tubes]],Table2[#Headers],0),0)</f>
        <v>0</v>
      </c>
      <c r="J313" s="2">
        <f>VLOOKUP([jobnumber],OvalData[],MATCH(Table2[[#Headers],[Upset]],Table2[#Headers],0),0)</f>
        <v>2</v>
      </c>
      <c r="K313" s="2" t="str">
        <f>VLOOKUP([jobnumber],OvalData[],MATCH(Table2[[#Headers],[Guide Type]],Table2[#Headers],0),0)</f>
        <v>SN2-4 5/8-E</v>
      </c>
      <c r="L313" s="2" t="str">
        <f>VLOOKUP([jobnumber],OvalData[],MATCH(Table2[[#Headers],[Wall Angle]],Table2[#Headers],0),0)</f>
        <v xml:space="preserve"> 11 ft.- 8"</v>
      </c>
      <c r="M313" s="2" t="str">
        <f>VLOOKUP([jobnumber],OvalData[],MATCH(Table2[[#Headers],[Middle Angle]],Table2[#Headers],0),0)</f>
        <v xml:space="preserve"> 10 ft.- 4 1/ 2"</v>
      </c>
      <c r="N313" s="2" t="str">
        <f>VLOOKUP([jobnumber],OvalData[],MATCH(Table2[[#Headers],[Front Angle]],Table2[#Headers],0),0)</f>
        <v xml:space="preserve"> 10 ft.- 3"</v>
      </c>
      <c r="O313" s="2">
        <f>VLOOKUP([jobnumber],OvalData[],MATCH(Table2[[#Headers],[Pipe Center Line]],Table2[#Headers],0),0)</f>
        <v>131</v>
      </c>
      <c r="P313" s="2">
        <f>VLOOKUP([jobnumber],OvalData[],MATCH(Table2[[#Headers],[Heat Expansion Gap]],Table2[#Headers],0),0)</f>
        <v>0</v>
      </c>
      <c r="Q313" s="2">
        <f>VLOOKUP([jobnumber],OvalData[],MATCH(Table2[[#Headers],[Hanging Weight Closed]],Table2[#Headers],0),0)</f>
        <v>795</v>
      </c>
      <c r="R313" s="2">
        <f>VLOOKUP([jobnumber],OvalData[],MATCH(Table2[[#Headers],[Hanging Weight Open]],Table2[#Headers],0),0)</f>
        <v>140</v>
      </c>
      <c r="S313" s="2">
        <f>VLOOKUP([jobnumber],OvalData[],MATCH(Table2[[#Headers],[Initial Lever Arm]],Table2[#Headers],0),0)</f>
        <v>4.25</v>
      </c>
      <c r="T313" s="2">
        <f>VLOOKUP([jobnumber],OvalData[],MATCH(Table2[[#Headers],[Turns to Raise]],Table2[#Headers],0),0)</f>
        <v>3.5859999999999999</v>
      </c>
      <c r="U313" s="2">
        <f>VLOOKUP([jobnumber],OvalData[],MATCH(Table2[[#Headers],[Final Lever Arm]],Table2[#Headers],0),0)</f>
        <v>6.37</v>
      </c>
      <c r="V313" s="2">
        <f>VLOOKUP([jobnumber],OvalData[],MATCH(Table2[[#Headers],[Torque Required Closed]],Table2[#Headers],0),0)</f>
        <v>3377.9</v>
      </c>
      <c r="W313" s="2">
        <f>VLOOKUP([jobnumber],OvalData[],MATCH(Table2[[#Headers],[Torque Required Open]],Table2[#Headers],0),0)</f>
        <v>892</v>
      </c>
      <c r="X313" s="2">
        <f>VLOOKUP([jobnumber],OvalData[],MATCH(Table2[[#Headers],[Pre Turns]],Table2[#Headers],0),0)</f>
        <v>1.3332999999999999</v>
      </c>
      <c r="Y313" s="2">
        <f>VLOOKUP([jobnumber],OvalData[],MATCH(Table2[[#Headers],[Required Torque Per Turn]],Table2[#Headers],0),0)</f>
        <v>688</v>
      </c>
      <c r="Z313" s="2">
        <f>VLOOKUP([jobnumber],OvalData[],MATCH(Table2[[#Headers],[Total Turns]],Table2[#Headers],0),0)</f>
        <v>4.91</v>
      </c>
      <c r="AA313" s="2">
        <f>VLOOKUP([jobnumber],OvalData[],MATCH(Table2[[#Headers],[Grille Vision Section]],Table2[#Headers],0),0)</f>
        <v>0</v>
      </c>
      <c r="AB313" s="2">
        <f>VLOOKUP([jobnumber],OvalData[],MATCH(Table2[[#Headers],[Grille Amount]],Table2[#Headers],0),0)</f>
        <v>0</v>
      </c>
      <c r="AC313" s="2">
        <f>VLOOKUP([jobnumber],OvalData[],MATCH(Table2[[#Headers],[Grille Center]],Table2[#Headers],0),0)</f>
        <v>0</v>
      </c>
      <c r="AD313" s="2">
        <f>VLOOKUP([jobnumber],OvalData[],MATCH(Table2[[#Headers],[Grille Pattern]],Table2[#Headers],0),0)</f>
        <v>0</v>
      </c>
      <c r="AE313" s="2">
        <f>VLOOKUP([jobnumber],OvalData[],MATCH(Table2[[#Headers],[Grille First Tube]],Table2[#Headers],0),0)</f>
        <v>0</v>
      </c>
      <c r="AF313" s="2">
        <f>VLOOKUP([jobnumber],OvalData[],MATCH(Table2[[#Headers],[Grille Standard Tube]],Table2[#Headers],0),0)</f>
        <v>0</v>
      </c>
      <c r="AG313" s="2">
        <f>VLOOKUP([jobnumber],OvalData[],MATCH(Table2[[#Headers],[Grille Total Links]],Table2[#Headers],0),0)</f>
        <v>0</v>
      </c>
      <c r="AH313" s="2">
        <f>VLOOKUP([jobnumber],OvalData[],MATCH(Table2[[#Headers],[Grille Rods]],Table2[#Headers],0),0)</f>
        <v>0</v>
      </c>
      <c r="AI313" s="2">
        <f>VLOOKUP([jobnumber],OvalData[],MATCH(Table2[[#Headers],[Grille Rod Length]],Table2[#Headers],0),0)</f>
        <v>0</v>
      </c>
      <c r="AJ313" s="2">
        <f>VLOOKUP([jobnumber],OvalData[],MATCH(Table2[[#Headers],[slattype]],Table2[#Headers],0),0)</f>
        <v>2</v>
      </c>
      <c r="AK313" s="2">
        <f>VLOOKUP([jobnumber],OvalData[],MATCH(Table2[[#Headers],[slatgage]],Table2[#Headers],0),0)</f>
        <v>18</v>
      </c>
      <c r="AL313" s="2">
        <f>VLOOKUP([jobnumber],OvalData[],MATCH(Table2[[#Headers],[Numer of Top Slats]],Table2[#Headers],0),0)</f>
        <v>0</v>
      </c>
      <c r="AM313" s="2">
        <f>VLOOKUP([jobnumber],OvalData[],MATCH(Table2[[#Headers],[Number of Bottom Slats]],Table2[#Headers],0),0)</f>
        <v>0</v>
      </c>
      <c r="AN313" s="2">
        <f>VLOOKUP([jobnumber],OvalData[],MATCH(Table2[[#Headers],[Solid Bottom Height]],Table2[#Headers],0),0)</f>
        <v>0</v>
      </c>
      <c r="AO313" s="2" t="str">
        <f>VLOOKUP([jobnumber],OvalData[],MATCH(Table2[[#Headers],[slatlength]],Table2[#Headers],0),0)</f>
        <v xml:space="preserve"> 18 ft.- 5 7/ 8"</v>
      </c>
      <c r="AP313" s="2">
        <f>VLOOKUP([jobnumber],OvalData[],MATCH(Table2[[#Headers],[Bottom Slat Length]],Table2[#Headers],0),0)</f>
        <v>0</v>
      </c>
      <c r="AQ313" s="2">
        <f>VLOOKUP([jobnumber],OvalData[],MATCH(Table2[[#Headers],[Number of Perferated Slats]],Table2[#Headers],0),0)</f>
        <v>0</v>
      </c>
      <c r="AR313" s="2">
        <f>VLOOKUP([jobnumber],OvalData[],MATCH(Table2[[#Headers],[First Preferated Slat From End]],Table2[#Headers],0),0)</f>
        <v>0</v>
      </c>
      <c r="AS313" s="2">
        <f>VLOOKUP([jobnumber],OvalData[],MATCH(Table2[[#Headers],[First Preferated Slat From Bottom]],Table2[#Headers],0),0)</f>
        <v>0</v>
      </c>
      <c r="AT313" s="2">
        <f>VLOOKUP([jobnumber],OvalData[],MATCH(Table2[[#Headers],[Total Number of Slats]],Table2[#Headers],0),0)</f>
        <v>51</v>
      </c>
      <c r="AU313" s="2">
        <f>VLOOKUP([jobnumber],OvalData[],MATCH(Table2[[#Headers],[Bottom Bar Slope]],Table2[#Headers],0),0)</f>
        <v>0</v>
      </c>
      <c r="AV313" s="2">
        <f>VLOOKUP([jobnumber],OvalData[],MATCH(Table2[[#Headers],[Bottom Bar Weight]],Table2[#Headers],0),0)</f>
        <v>80.5</v>
      </c>
      <c r="AW313" s="2" t="str">
        <f>VLOOKUP([jobnumber],OvalData[],MATCH(Table2[[#Headers],[Outer Spring Gage]],Table2[#Headers],0),0)</f>
        <v>Null</v>
      </c>
      <c r="AX313" s="2" t="str">
        <f>VLOOKUP([jobnumber],OvalData[],MATCH(Table2[[#Headers],[Outer Spring OD]],Table2[#Headers],0),0)</f>
        <v>Null</v>
      </c>
      <c r="AY313" s="2" t="str">
        <f>VLOOKUP([jobnumber],OvalData[],MATCH(Table2[[#Headers],[Outer Spring Length]],Table2[#Headers],0),0)</f>
        <v>Null</v>
      </c>
      <c r="AZ313" s="2" t="str">
        <f>VLOOKUP([jobnumber],OvalData[],MATCH(Table2[[#Headers],[Outer Spring Stretch]],Table2[#Headers],0),0)</f>
        <v>Null</v>
      </c>
      <c r="BA313" s="2" t="str">
        <f>VLOOKUP([jobnumber],OvalData[],MATCH(Table2[[#Headers],[Outer Spring Torque]],Table2[#Headers],0),0)</f>
        <v>Null</v>
      </c>
      <c r="BB313" s="2" t="str">
        <f>VLOOKUP([jobnumber],OvalData[],MATCH(Table2[[#Headers],[Outer Spring Max Turns]],Table2[#Headers],0),0)</f>
        <v>Null</v>
      </c>
      <c r="BC313" s="2" t="str">
        <f>VLOOKUP([jobnumber],OvalData[],MATCH(Table2[[#Headers],[Outer Spring Weight]],Table2[#Headers],0),0)</f>
        <v>Null</v>
      </c>
      <c r="BD313" s="2" t="str">
        <f>VLOOKUP([jobnumber],OvalData[],MATCH(Table2[[#Headers],[Inner Spring Gage]],Table2[#Headers],0),0)</f>
        <v>Null</v>
      </c>
      <c r="BE313" s="2" t="str">
        <f>VLOOKUP([jobnumber],OvalData[],MATCH(Table2[[#Headers],[Inner Spring OD]],Table2[#Headers],0),0)</f>
        <v>Null</v>
      </c>
      <c r="BF313" s="2" t="str">
        <f>VLOOKUP([jobnumber],OvalData[],MATCH(Table2[[#Headers],[Inner Spring Length]],Table2[#Headers],0),0)</f>
        <v>Null</v>
      </c>
      <c r="BG313" s="2" t="str">
        <f>VLOOKUP([jobnumber],OvalData[],MATCH(Table2[[#Headers],[Inner Spring Stretch]],Table2[#Headers],0),0)</f>
        <v>Null</v>
      </c>
      <c r="BH313" s="2" t="str">
        <f>VLOOKUP([jobnumber],OvalData[],MATCH(Table2[[#Headers],[Inner Spring Torque]],Table2[#Headers],0),0)</f>
        <v>Null</v>
      </c>
      <c r="BI313" s="2" t="str">
        <f>VLOOKUP([jobnumber],OvalData[],MATCH(Table2[[#Headers],[Inner Spring Max Turns]],Table2[#Headers],0),0)</f>
        <v>Null</v>
      </c>
      <c r="BJ313" s="2" t="str">
        <f>VLOOKUP([jobnumber],OvalData[],MATCH(Table2[[#Headers],[Inner Spring Weight]],Table2[#Headers],0),0)</f>
        <v>Null</v>
      </c>
      <c r="BK313" s="2">
        <f>VLOOKUP([jobnumber],OvalData[],MATCH(Table2[[#Headers],[Cycles]],Table2[#Headers],0),0)</f>
        <v>0</v>
      </c>
      <c r="BL313" s="2">
        <f>VLOOKUP([jobnumber],OvalData[],MATCH(Table2[[#Headers],[Total Spring Torque]],Table2[#Headers],0),0)</f>
        <v>0</v>
      </c>
      <c r="BM313" s="2">
        <f>VLOOKUP([jobnumber],OvalData[],MATCH(Table2[[#Headers],[Total Spring Weight]],Table2[#Headers],0),0)</f>
        <v>0</v>
      </c>
      <c r="BN313" s="2">
        <f>VLOOKUP([jobnumber],OvalData[],MATCH(Table2[[#Headers],[Pipe Weight]],Table2[#Headers],0),0)</f>
        <v>688.24239999999998</v>
      </c>
      <c r="BO313" s="2">
        <f>VLOOKUP([jobnumber],OvalData[],MATCH(Table2[[#Headers],[Max Pipe Deflection]],Table2[#Headers],0),0)</f>
        <v>2309</v>
      </c>
      <c r="BP313" s="2">
        <f>VLOOKUP([jobnumber],OvalData[],MATCH(Table2[[#Headers],[Number Non-Insulated Wrap Slats]],Table2[#Headers],0),0)</f>
        <v>0</v>
      </c>
      <c r="BQ313" s="2">
        <f>VLOOKUP([jobnumber],OvalData[],MATCH(Table2[[#Headers],[Number of Insolated Top Slats]],Table2[#Headers],0),0)</f>
        <v>45</v>
      </c>
      <c r="BR313" s="2">
        <f>VLOOKUP([jobnumber],OvalData[],MATCH(Table2[[#Headers],[Insolated Total Slats]],Table2[#Headers],0),0)</f>
        <v>45</v>
      </c>
      <c r="BS313" s="2">
        <f>VLOOKUP([jobnumber],OvalData[],MATCH(Table2[[#Headers],[Number of Slats]],Table2[#Headers],0),0)</f>
        <v>44.69</v>
      </c>
      <c r="BT313" s="2">
        <f>VLOOKUP([jobnumber],OvalData[],MATCH(Table2[[#Headers],[Wrap]],Table2[#Headers],0),0)</f>
        <v>0</v>
      </c>
      <c r="BU313" s="2">
        <f>VLOOKUP([jobnumber],OvalData[],MATCH(Table2[[#Headers],[Wall Angle Thickness]],Table2[#Headers],0),0)</f>
        <v>0</v>
      </c>
      <c r="BV313" s="2">
        <f>VLOOKUP([jobnumber],OvalData[],MATCH(Table2[[#Headers],[windlocks]],Table2[#Headers],0),0)</f>
        <v>0</v>
      </c>
      <c r="BW313" s="2" t="str">
        <f>VLOOKUP([jobnumber],OvalData[],MATCH(Table2[[#Headers],[bottombartype]],Table2[#Headers],0),0)</f>
        <v>SPECIAL</v>
      </c>
      <c r="BX313" s="2">
        <f>VLOOKUP([jobnumber],OvalData[],MATCH(Table2[[#Headers],[endlockweight]],Table2[#Headers],0),0)</f>
        <v>0.17</v>
      </c>
      <c r="BY313" s="2">
        <f>VLOOKUP([jobnumber],OvalData[],MATCH(Table2[[#Headers],[Endlock Total Weight]],Table2[#Headers],0),0)</f>
        <v>7.5972999999999997</v>
      </c>
      <c r="BZ313" s="2">
        <f>VLOOKUP([jobnumber],OvalData[],MATCH(Table2[[#Headers],[Grille Weight]],Table2[#Headers],0),0)</f>
        <v>0</v>
      </c>
      <c r="CA313" s="2">
        <f>VLOOKUP([jobnumber],OvalData[],MATCH(Table2[[#Headers],[barrelrings]],Table2[#Headers],0),0)</f>
        <v>1</v>
      </c>
    </row>
    <row r="314" spans="2:79">
      <c r="B314" s="2" t="str">
        <f>VLOOKUP([jobnumber],OvalData[],MATCH(Table2[[#Headers],[Hand]],Table2[#Headers],0),0)</f>
        <v>RH</v>
      </c>
      <c r="C314" s="2" t="str">
        <f>VLOOKUP([jobnumber],OvalData[],MATCH(Table2[[#Headers],[Model]],Table2[#Headers],0),0)</f>
        <v>SFMPP</v>
      </c>
      <c r="D314" s="2" t="str">
        <f>VLOOKUP([jobnumber],OvalData[],MATCH(Table2[[#Headers],[width]],Table2[#Headers],0),0)</f>
        <v xml:space="preserve"> 18 ft.- 2"</v>
      </c>
      <c r="E314" s="2" t="str">
        <f>VLOOKUP([jobnumber],OvalData[],MATCH(Table2[[#Headers],[stopheight]],Table2[#Headers],0),0)</f>
        <v xml:space="preserve"> 10 ft.- 0"</v>
      </c>
      <c r="F314" s="2" t="str">
        <f>VLOOKUP([jobnumber],OvalData[],MATCH(Table2[[#Headers],[Between Brackets]],Table2[#Headers],0),0)</f>
        <v xml:space="preserve"> 18 ft.- 7 7/ 8"</v>
      </c>
      <c r="G314" s="2" t="str">
        <f>VLOOKUP([jobnumber],OvalData[],MATCH(Table2[[#Headers],[shell]],Table2[#Headers],0),0)</f>
        <v>6 INCH TUBE</v>
      </c>
      <c r="H314" s="2" t="str">
        <f>VLOOKUP([jobnumber],OvalData[],MATCH(Table2[[#Headers],[pipewidth]],Table2[#Headers],0),0)</f>
        <v xml:space="preserve"> 18 ft.- 1 3/ 8"</v>
      </c>
      <c r="I314" s="2">
        <f>VLOOKUP([jobnumber],OvalData[],MATCH(Table2[[#Headers],[Support Tubes]],Table2[#Headers],0),0)</f>
        <v>0</v>
      </c>
      <c r="J314" s="2">
        <f>VLOOKUP([jobnumber],OvalData[],MATCH(Table2[[#Headers],[Upset]],Table2[#Headers],0),0)</f>
        <v>2</v>
      </c>
      <c r="K314" s="2" t="str">
        <f>VLOOKUP([jobnumber],OvalData[],MATCH(Table2[[#Headers],[Guide Type]],Table2[#Headers],0),0)</f>
        <v>SN2-4 5/8-E</v>
      </c>
      <c r="L314" s="2" t="str">
        <f>VLOOKUP([jobnumber],OvalData[],MATCH(Table2[[#Headers],[Wall Angle]],Table2[#Headers],0),0)</f>
        <v xml:space="preserve"> 11 ft.- 8"</v>
      </c>
      <c r="M314" s="2" t="str">
        <f>VLOOKUP([jobnumber],OvalData[],MATCH(Table2[[#Headers],[Middle Angle]],Table2[#Headers],0),0)</f>
        <v xml:space="preserve"> 10 ft.- 4 1/ 2"</v>
      </c>
      <c r="N314" s="2" t="str">
        <f>VLOOKUP([jobnumber],OvalData[],MATCH(Table2[[#Headers],[Front Angle]],Table2[#Headers],0),0)</f>
        <v xml:space="preserve"> 10 ft.- 3"</v>
      </c>
      <c r="O314" s="2">
        <f>VLOOKUP([jobnumber],OvalData[],MATCH(Table2[[#Headers],[Pipe Center Line]],Table2[#Headers],0),0)</f>
        <v>131</v>
      </c>
      <c r="P314" s="2">
        <f>VLOOKUP([jobnumber],OvalData[],MATCH(Table2[[#Headers],[Heat Expansion Gap]],Table2[#Headers],0),0)</f>
        <v>0</v>
      </c>
      <c r="Q314" s="2">
        <f>VLOOKUP([jobnumber],OvalData[],MATCH(Table2[[#Headers],[Hanging Weight Closed]],Table2[#Headers],0),0)</f>
        <v>795</v>
      </c>
      <c r="R314" s="2">
        <f>VLOOKUP([jobnumber],OvalData[],MATCH(Table2[[#Headers],[Hanging Weight Open]],Table2[#Headers],0),0)</f>
        <v>140</v>
      </c>
      <c r="S314" s="2">
        <f>VLOOKUP([jobnumber],OvalData[],MATCH(Table2[[#Headers],[Initial Lever Arm]],Table2[#Headers],0),0)</f>
        <v>4.25</v>
      </c>
      <c r="T314" s="2">
        <f>VLOOKUP([jobnumber],OvalData[],MATCH(Table2[[#Headers],[Turns to Raise]],Table2[#Headers],0),0)</f>
        <v>3.5859999999999999</v>
      </c>
      <c r="U314" s="2">
        <f>VLOOKUP([jobnumber],OvalData[],MATCH(Table2[[#Headers],[Final Lever Arm]],Table2[#Headers],0),0)</f>
        <v>6.37</v>
      </c>
      <c r="V314" s="2">
        <f>VLOOKUP([jobnumber],OvalData[],MATCH(Table2[[#Headers],[Torque Required Closed]],Table2[#Headers],0),0)</f>
        <v>3377.9</v>
      </c>
      <c r="W314" s="2">
        <f>VLOOKUP([jobnumber],OvalData[],MATCH(Table2[[#Headers],[Torque Required Open]],Table2[#Headers],0),0)</f>
        <v>892</v>
      </c>
      <c r="X314" s="2">
        <f>VLOOKUP([jobnumber],OvalData[],MATCH(Table2[[#Headers],[Pre Turns]],Table2[#Headers],0),0)</f>
        <v>1.3332999999999999</v>
      </c>
      <c r="Y314" s="2">
        <f>VLOOKUP([jobnumber],OvalData[],MATCH(Table2[[#Headers],[Required Torque Per Turn]],Table2[#Headers],0),0)</f>
        <v>688</v>
      </c>
      <c r="Z314" s="2">
        <f>VLOOKUP([jobnumber],OvalData[],MATCH(Table2[[#Headers],[Total Turns]],Table2[#Headers],0),0)</f>
        <v>4.91</v>
      </c>
      <c r="AA314" s="2">
        <f>VLOOKUP([jobnumber],OvalData[],MATCH(Table2[[#Headers],[Grille Vision Section]],Table2[#Headers],0),0)</f>
        <v>0</v>
      </c>
      <c r="AB314" s="2">
        <f>VLOOKUP([jobnumber],OvalData[],MATCH(Table2[[#Headers],[Grille Amount]],Table2[#Headers],0),0)</f>
        <v>0</v>
      </c>
      <c r="AC314" s="2">
        <f>VLOOKUP([jobnumber],OvalData[],MATCH(Table2[[#Headers],[Grille Center]],Table2[#Headers],0),0)</f>
        <v>0</v>
      </c>
      <c r="AD314" s="2">
        <f>VLOOKUP([jobnumber],OvalData[],MATCH(Table2[[#Headers],[Grille Pattern]],Table2[#Headers],0),0)</f>
        <v>0</v>
      </c>
      <c r="AE314" s="2">
        <f>VLOOKUP([jobnumber],OvalData[],MATCH(Table2[[#Headers],[Grille First Tube]],Table2[#Headers],0),0)</f>
        <v>0</v>
      </c>
      <c r="AF314" s="2">
        <f>VLOOKUP([jobnumber],OvalData[],MATCH(Table2[[#Headers],[Grille Standard Tube]],Table2[#Headers],0),0)</f>
        <v>0</v>
      </c>
      <c r="AG314" s="2">
        <f>VLOOKUP([jobnumber],OvalData[],MATCH(Table2[[#Headers],[Grille Total Links]],Table2[#Headers],0),0)</f>
        <v>0</v>
      </c>
      <c r="AH314" s="2">
        <f>VLOOKUP([jobnumber],OvalData[],MATCH(Table2[[#Headers],[Grille Rods]],Table2[#Headers],0),0)</f>
        <v>0</v>
      </c>
      <c r="AI314" s="2">
        <f>VLOOKUP([jobnumber],OvalData[],MATCH(Table2[[#Headers],[Grille Rod Length]],Table2[#Headers],0),0)</f>
        <v>0</v>
      </c>
      <c r="AJ314" s="2">
        <f>VLOOKUP([jobnumber],OvalData[],MATCH(Table2[[#Headers],[slattype]],Table2[#Headers],0),0)</f>
        <v>2</v>
      </c>
      <c r="AK314" s="2">
        <f>VLOOKUP([jobnumber],OvalData[],MATCH(Table2[[#Headers],[slatgage]],Table2[#Headers],0),0)</f>
        <v>18</v>
      </c>
      <c r="AL314" s="2">
        <f>VLOOKUP([jobnumber],OvalData[],MATCH(Table2[[#Headers],[Numer of Top Slats]],Table2[#Headers],0),0)</f>
        <v>0</v>
      </c>
      <c r="AM314" s="2">
        <f>VLOOKUP([jobnumber],OvalData[],MATCH(Table2[[#Headers],[Number of Bottom Slats]],Table2[#Headers],0),0)</f>
        <v>0</v>
      </c>
      <c r="AN314" s="2">
        <f>VLOOKUP([jobnumber],OvalData[],MATCH(Table2[[#Headers],[Solid Bottom Height]],Table2[#Headers],0),0)</f>
        <v>0</v>
      </c>
      <c r="AO314" s="2" t="str">
        <f>VLOOKUP([jobnumber],OvalData[],MATCH(Table2[[#Headers],[slatlength]],Table2[#Headers],0),0)</f>
        <v xml:space="preserve"> 18 ft.- 5 7/ 8"</v>
      </c>
      <c r="AP314" s="2">
        <f>VLOOKUP([jobnumber],OvalData[],MATCH(Table2[[#Headers],[Bottom Slat Length]],Table2[#Headers],0),0)</f>
        <v>0</v>
      </c>
      <c r="AQ314" s="2">
        <f>VLOOKUP([jobnumber],OvalData[],MATCH(Table2[[#Headers],[Number of Perferated Slats]],Table2[#Headers],0),0)</f>
        <v>0</v>
      </c>
      <c r="AR314" s="2">
        <f>VLOOKUP([jobnumber],OvalData[],MATCH(Table2[[#Headers],[First Preferated Slat From End]],Table2[#Headers],0),0)</f>
        <v>0</v>
      </c>
      <c r="AS314" s="2">
        <f>VLOOKUP([jobnumber],OvalData[],MATCH(Table2[[#Headers],[First Preferated Slat From Bottom]],Table2[#Headers],0),0)</f>
        <v>0</v>
      </c>
      <c r="AT314" s="2">
        <f>VLOOKUP([jobnumber],OvalData[],MATCH(Table2[[#Headers],[Total Number of Slats]],Table2[#Headers],0),0)</f>
        <v>51</v>
      </c>
      <c r="AU314" s="2">
        <f>VLOOKUP([jobnumber],OvalData[],MATCH(Table2[[#Headers],[Bottom Bar Slope]],Table2[#Headers],0),0)</f>
        <v>0</v>
      </c>
      <c r="AV314" s="2">
        <f>VLOOKUP([jobnumber],OvalData[],MATCH(Table2[[#Headers],[Bottom Bar Weight]],Table2[#Headers],0),0)</f>
        <v>80.5</v>
      </c>
      <c r="AW314" s="2" t="str">
        <f>VLOOKUP([jobnumber],OvalData[],MATCH(Table2[[#Headers],[Outer Spring Gage]],Table2[#Headers],0),0)</f>
        <v>Null</v>
      </c>
      <c r="AX314" s="2" t="str">
        <f>VLOOKUP([jobnumber],OvalData[],MATCH(Table2[[#Headers],[Outer Spring OD]],Table2[#Headers],0),0)</f>
        <v>Null</v>
      </c>
      <c r="AY314" s="2" t="str">
        <f>VLOOKUP([jobnumber],OvalData[],MATCH(Table2[[#Headers],[Outer Spring Length]],Table2[#Headers],0),0)</f>
        <v>Null</v>
      </c>
      <c r="AZ314" s="2" t="str">
        <f>VLOOKUP([jobnumber],OvalData[],MATCH(Table2[[#Headers],[Outer Spring Stretch]],Table2[#Headers],0),0)</f>
        <v>Null</v>
      </c>
      <c r="BA314" s="2" t="str">
        <f>VLOOKUP([jobnumber],OvalData[],MATCH(Table2[[#Headers],[Outer Spring Torque]],Table2[#Headers],0),0)</f>
        <v>Null</v>
      </c>
      <c r="BB314" s="2" t="str">
        <f>VLOOKUP([jobnumber],OvalData[],MATCH(Table2[[#Headers],[Outer Spring Max Turns]],Table2[#Headers],0),0)</f>
        <v>Null</v>
      </c>
      <c r="BC314" s="2" t="str">
        <f>VLOOKUP([jobnumber],OvalData[],MATCH(Table2[[#Headers],[Outer Spring Weight]],Table2[#Headers],0),0)</f>
        <v>Null</v>
      </c>
      <c r="BD314" s="2" t="str">
        <f>VLOOKUP([jobnumber],OvalData[],MATCH(Table2[[#Headers],[Inner Spring Gage]],Table2[#Headers],0),0)</f>
        <v>Null</v>
      </c>
      <c r="BE314" s="2" t="str">
        <f>VLOOKUP([jobnumber],OvalData[],MATCH(Table2[[#Headers],[Inner Spring OD]],Table2[#Headers],0),0)</f>
        <v>Null</v>
      </c>
      <c r="BF314" s="2" t="str">
        <f>VLOOKUP([jobnumber],OvalData[],MATCH(Table2[[#Headers],[Inner Spring Length]],Table2[#Headers],0),0)</f>
        <v>Null</v>
      </c>
      <c r="BG314" s="2" t="str">
        <f>VLOOKUP([jobnumber],OvalData[],MATCH(Table2[[#Headers],[Inner Spring Stretch]],Table2[#Headers],0),0)</f>
        <v>Null</v>
      </c>
      <c r="BH314" s="2" t="str">
        <f>VLOOKUP([jobnumber],OvalData[],MATCH(Table2[[#Headers],[Inner Spring Torque]],Table2[#Headers],0),0)</f>
        <v>Null</v>
      </c>
      <c r="BI314" s="2" t="str">
        <f>VLOOKUP([jobnumber],OvalData[],MATCH(Table2[[#Headers],[Inner Spring Max Turns]],Table2[#Headers],0),0)</f>
        <v>Null</v>
      </c>
      <c r="BJ314" s="2" t="str">
        <f>VLOOKUP([jobnumber],OvalData[],MATCH(Table2[[#Headers],[Inner Spring Weight]],Table2[#Headers],0),0)</f>
        <v>Null</v>
      </c>
      <c r="BK314" s="2">
        <f>VLOOKUP([jobnumber],OvalData[],MATCH(Table2[[#Headers],[Cycles]],Table2[#Headers],0),0)</f>
        <v>0</v>
      </c>
      <c r="BL314" s="2">
        <f>VLOOKUP([jobnumber],OvalData[],MATCH(Table2[[#Headers],[Total Spring Torque]],Table2[#Headers],0),0)</f>
        <v>0</v>
      </c>
      <c r="BM314" s="2">
        <f>VLOOKUP([jobnumber],OvalData[],MATCH(Table2[[#Headers],[Total Spring Weight]],Table2[#Headers],0),0)</f>
        <v>0</v>
      </c>
      <c r="BN314" s="2">
        <f>VLOOKUP([jobnumber],OvalData[],MATCH(Table2[[#Headers],[Pipe Weight]],Table2[#Headers],0),0)</f>
        <v>688.24239999999998</v>
      </c>
      <c r="BO314" s="2">
        <f>VLOOKUP([jobnumber],OvalData[],MATCH(Table2[[#Headers],[Max Pipe Deflection]],Table2[#Headers],0),0)</f>
        <v>2309</v>
      </c>
      <c r="BP314" s="2">
        <f>VLOOKUP([jobnumber],OvalData[],MATCH(Table2[[#Headers],[Number Non-Insulated Wrap Slats]],Table2[#Headers],0),0)</f>
        <v>0</v>
      </c>
      <c r="BQ314" s="2">
        <f>VLOOKUP([jobnumber],OvalData[],MATCH(Table2[[#Headers],[Number of Insolated Top Slats]],Table2[#Headers],0),0)</f>
        <v>45</v>
      </c>
      <c r="BR314" s="2">
        <f>VLOOKUP([jobnumber],OvalData[],MATCH(Table2[[#Headers],[Insolated Total Slats]],Table2[#Headers],0),0)</f>
        <v>45</v>
      </c>
      <c r="BS314" s="2">
        <f>VLOOKUP([jobnumber],OvalData[],MATCH(Table2[[#Headers],[Number of Slats]],Table2[#Headers],0),0)</f>
        <v>44.69</v>
      </c>
      <c r="BT314" s="2">
        <f>VLOOKUP([jobnumber],OvalData[],MATCH(Table2[[#Headers],[Wrap]],Table2[#Headers],0),0)</f>
        <v>0</v>
      </c>
      <c r="BU314" s="2">
        <f>VLOOKUP([jobnumber],OvalData[],MATCH(Table2[[#Headers],[Wall Angle Thickness]],Table2[#Headers],0),0)</f>
        <v>0</v>
      </c>
      <c r="BV314" s="2">
        <f>VLOOKUP([jobnumber],OvalData[],MATCH(Table2[[#Headers],[windlocks]],Table2[#Headers],0),0)</f>
        <v>0</v>
      </c>
      <c r="BW314" s="2" t="str">
        <f>VLOOKUP([jobnumber],OvalData[],MATCH(Table2[[#Headers],[bottombartype]],Table2[#Headers],0),0)</f>
        <v>SPECIAL</v>
      </c>
      <c r="BX314" s="2">
        <f>VLOOKUP([jobnumber],OvalData[],MATCH(Table2[[#Headers],[endlockweight]],Table2[#Headers],0),0)</f>
        <v>0.17</v>
      </c>
      <c r="BY314" s="2">
        <f>VLOOKUP([jobnumber],OvalData[],MATCH(Table2[[#Headers],[Endlock Total Weight]],Table2[#Headers],0),0)</f>
        <v>7.5972999999999997</v>
      </c>
      <c r="BZ314" s="2">
        <f>VLOOKUP([jobnumber],OvalData[],MATCH(Table2[[#Headers],[Grille Weight]],Table2[#Headers],0),0)</f>
        <v>0</v>
      </c>
      <c r="CA314" s="2">
        <f>VLOOKUP([jobnumber],OvalData[],MATCH(Table2[[#Headers],[barrelrings]],Table2[#Headers],0),0)</f>
        <v>1</v>
      </c>
    </row>
    <row r="315" spans="2:79">
      <c r="B315" s="2" t="str">
        <f>VLOOKUP([jobnumber],OvalData[],MATCH(Table2[[#Headers],[Hand]],Table2[#Headers],0),0)</f>
        <v>RH</v>
      </c>
      <c r="C315" s="2" t="str">
        <f>VLOOKUP([jobnumber],OvalData[],MATCH(Table2[[#Headers],[Model]],Table2[#Headers],0),0)</f>
        <v>SFMPP</v>
      </c>
      <c r="D315" s="2" t="str">
        <f>VLOOKUP([jobnumber],OvalData[],MATCH(Table2[[#Headers],[width]],Table2[#Headers],0),0)</f>
        <v xml:space="preserve"> 18 ft.- 2"</v>
      </c>
      <c r="E315" s="2" t="str">
        <f>VLOOKUP([jobnumber],OvalData[],MATCH(Table2[[#Headers],[stopheight]],Table2[#Headers],0),0)</f>
        <v xml:space="preserve"> 10 ft.- 0"</v>
      </c>
      <c r="F315" s="2" t="str">
        <f>VLOOKUP([jobnumber],OvalData[],MATCH(Table2[[#Headers],[Between Brackets]],Table2[#Headers],0),0)</f>
        <v xml:space="preserve"> 18 ft.- 7 7/ 8"</v>
      </c>
      <c r="G315" s="2" t="str">
        <f>VLOOKUP([jobnumber],OvalData[],MATCH(Table2[[#Headers],[shell]],Table2[#Headers],0),0)</f>
        <v>6 INCH TUBE</v>
      </c>
      <c r="H315" s="2" t="str">
        <f>VLOOKUP([jobnumber],OvalData[],MATCH(Table2[[#Headers],[pipewidth]],Table2[#Headers],0),0)</f>
        <v xml:space="preserve"> 18 ft.- 1 3/ 8"</v>
      </c>
      <c r="I315" s="2">
        <f>VLOOKUP([jobnumber],OvalData[],MATCH(Table2[[#Headers],[Support Tubes]],Table2[#Headers],0),0)</f>
        <v>0</v>
      </c>
      <c r="J315" s="2">
        <f>VLOOKUP([jobnumber],OvalData[],MATCH(Table2[[#Headers],[Upset]],Table2[#Headers],0),0)</f>
        <v>2</v>
      </c>
      <c r="K315" s="2" t="str">
        <f>VLOOKUP([jobnumber],OvalData[],MATCH(Table2[[#Headers],[Guide Type]],Table2[#Headers],0),0)</f>
        <v>SN2-4 5/8-E</v>
      </c>
      <c r="L315" s="2" t="str">
        <f>VLOOKUP([jobnumber],OvalData[],MATCH(Table2[[#Headers],[Wall Angle]],Table2[#Headers],0),0)</f>
        <v xml:space="preserve"> 11 ft.- 8"</v>
      </c>
      <c r="M315" s="2" t="str">
        <f>VLOOKUP([jobnumber],OvalData[],MATCH(Table2[[#Headers],[Middle Angle]],Table2[#Headers],0),0)</f>
        <v xml:space="preserve"> 10 ft.- 4 1/ 2"</v>
      </c>
      <c r="N315" s="2" t="str">
        <f>VLOOKUP([jobnumber],OvalData[],MATCH(Table2[[#Headers],[Front Angle]],Table2[#Headers],0),0)</f>
        <v xml:space="preserve"> 10 ft.- 3"</v>
      </c>
      <c r="O315" s="2">
        <f>VLOOKUP([jobnumber],OvalData[],MATCH(Table2[[#Headers],[Pipe Center Line]],Table2[#Headers],0),0)</f>
        <v>131</v>
      </c>
      <c r="P315" s="2">
        <f>VLOOKUP([jobnumber],OvalData[],MATCH(Table2[[#Headers],[Heat Expansion Gap]],Table2[#Headers],0),0)</f>
        <v>0</v>
      </c>
      <c r="Q315" s="2">
        <f>VLOOKUP([jobnumber],OvalData[],MATCH(Table2[[#Headers],[Hanging Weight Closed]],Table2[#Headers],0),0)</f>
        <v>795</v>
      </c>
      <c r="R315" s="2">
        <f>VLOOKUP([jobnumber],OvalData[],MATCH(Table2[[#Headers],[Hanging Weight Open]],Table2[#Headers],0),0)</f>
        <v>140</v>
      </c>
      <c r="S315" s="2">
        <f>VLOOKUP([jobnumber],OvalData[],MATCH(Table2[[#Headers],[Initial Lever Arm]],Table2[#Headers],0),0)</f>
        <v>4.25</v>
      </c>
      <c r="T315" s="2">
        <f>VLOOKUP([jobnumber],OvalData[],MATCH(Table2[[#Headers],[Turns to Raise]],Table2[#Headers],0),0)</f>
        <v>3.5859999999999999</v>
      </c>
      <c r="U315" s="2">
        <f>VLOOKUP([jobnumber],OvalData[],MATCH(Table2[[#Headers],[Final Lever Arm]],Table2[#Headers],0),0)</f>
        <v>6.37</v>
      </c>
      <c r="V315" s="2">
        <f>VLOOKUP([jobnumber],OvalData[],MATCH(Table2[[#Headers],[Torque Required Closed]],Table2[#Headers],0),0)</f>
        <v>3377.9</v>
      </c>
      <c r="W315" s="2">
        <f>VLOOKUP([jobnumber],OvalData[],MATCH(Table2[[#Headers],[Torque Required Open]],Table2[#Headers],0),0)</f>
        <v>892</v>
      </c>
      <c r="X315" s="2">
        <f>VLOOKUP([jobnumber],OvalData[],MATCH(Table2[[#Headers],[Pre Turns]],Table2[#Headers],0),0)</f>
        <v>1.3332999999999999</v>
      </c>
      <c r="Y315" s="2">
        <f>VLOOKUP([jobnumber],OvalData[],MATCH(Table2[[#Headers],[Required Torque Per Turn]],Table2[#Headers],0),0)</f>
        <v>688</v>
      </c>
      <c r="Z315" s="2">
        <f>VLOOKUP([jobnumber],OvalData[],MATCH(Table2[[#Headers],[Total Turns]],Table2[#Headers],0),0)</f>
        <v>4.91</v>
      </c>
      <c r="AA315" s="2">
        <f>VLOOKUP([jobnumber],OvalData[],MATCH(Table2[[#Headers],[Grille Vision Section]],Table2[#Headers],0),0)</f>
        <v>0</v>
      </c>
      <c r="AB315" s="2">
        <f>VLOOKUP([jobnumber],OvalData[],MATCH(Table2[[#Headers],[Grille Amount]],Table2[#Headers],0),0)</f>
        <v>0</v>
      </c>
      <c r="AC315" s="2">
        <f>VLOOKUP([jobnumber],OvalData[],MATCH(Table2[[#Headers],[Grille Center]],Table2[#Headers],0),0)</f>
        <v>0</v>
      </c>
      <c r="AD315" s="2">
        <f>VLOOKUP([jobnumber],OvalData[],MATCH(Table2[[#Headers],[Grille Pattern]],Table2[#Headers],0),0)</f>
        <v>0</v>
      </c>
      <c r="AE315" s="2">
        <f>VLOOKUP([jobnumber],OvalData[],MATCH(Table2[[#Headers],[Grille First Tube]],Table2[#Headers],0),0)</f>
        <v>0</v>
      </c>
      <c r="AF315" s="2">
        <f>VLOOKUP([jobnumber],OvalData[],MATCH(Table2[[#Headers],[Grille Standard Tube]],Table2[#Headers],0),0)</f>
        <v>0</v>
      </c>
      <c r="AG315" s="2">
        <f>VLOOKUP([jobnumber],OvalData[],MATCH(Table2[[#Headers],[Grille Total Links]],Table2[#Headers],0),0)</f>
        <v>0</v>
      </c>
      <c r="AH315" s="2">
        <f>VLOOKUP([jobnumber],OvalData[],MATCH(Table2[[#Headers],[Grille Rods]],Table2[#Headers],0),0)</f>
        <v>0</v>
      </c>
      <c r="AI315" s="2">
        <f>VLOOKUP([jobnumber],OvalData[],MATCH(Table2[[#Headers],[Grille Rod Length]],Table2[#Headers],0),0)</f>
        <v>0</v>
      </c>
      <c r="AJ315" s="2">
        <f>VLOOKUP([jobnumber],OvalData[],MATCH(Table2[[#Headers],[slattype]],Table2[#Headers],0),0)</f>
        <v>2</v>
      </c>
      <c r="AK315" s="2">
        <f>VLOOKUP([jobnumber],OvalData[],MATCH(Table2[[#Headers],[slatgage]],Table2[#Headers],0),0)</f>
        <v>18</v>
      </c>
      <c r="AL315" s="2">
        <f>VLOOKUP([jobnumber],OvalData[],MATCH(Table2[[#Headers],[Numer of Top Slats]],Table2[#Headers],0),0)</f>
        <v>0</v>
      </c>
      <c r="AM315" s="2">
        <f>VLOOKUP([jobnumber],OvalData[],MATCH(Table2[[#Headers],[Number of Bottom Slats]],Table2[#Headers],0),0)</f>
        <v>0</v>
      </c>
      <c r="AN315" s="2">
        <f>VLOOKUP([jobnumber],OvalData[],MATCH(Table2[[#Headers],[Solid Bottom Height]],Table2[#Headers],0),0)</f>
        <v>0</v>
      </c>
      <c r="AO315" s="2" t="str">
        <f>VLOOKUP([jobnumber],OvalData[],MATCH(Table2[[#Headers],[slatlength]],Table2[#Headers],0),0)</f>
        <v xml:space="preserve"> 18 ft.- 5 7/ 8"</v>
      </c>
      <c r="AP315" s="2">
        <f>VLOOKUP([jobnumber],OvalData[],MATCH(Table2[[#Headers],[Bottom Slat Length]],Table2[#Headers],0),0)</f>
        <v>0</v>
      </c>
      <c r="AQ315" s="2">
        <f>VLOOKUP([jobnumber],OvalData[],MATCH(Table2[[#Headers],[Number of Perferated Slats]],Table2[#Headers],0),0)</f>
        <v>0</v>
      </c>
      <c r="AR315" s="2">
        <f>VLOOKUP([jobnumber],OvalData[],MATCH(Table2[[#Headers],[First Preferated Slat From End]],Table2[#Headers],0),0)</f>
        <v>0</v>
      </c>
      <c r="AS315" s="2">
        <f>VLOOKUP([jobnumber],OvalData[],MATCH(Table2[[#Headers],[First Preferated Slat From Bottom]],Table2[#Headers],0),0)</f>
        <v>0</v>
      </c>
      <c r="AT315" s="2">
        <f>VLOOKUP([jobnumber],OvalData[],MATCH(Table2[[#Headers],[Total Number of Slats]],Table2[#Headers],0),0)</f>
        <v>51</v>
      </c>
      <c r="AU315" s="2">
        <f>VLOOKUP([jobnumber],OvalData[],MATCH(Table2[[#Headers],[Bottom Bar Slope]],Table2[#Headers],0),0)</f>
        <v>0</v>
      </c>
      <c r="AV315" s="2">
        <f>VLOOKUP([jobnumber],OvalData[],MATCH(Table2[[#Headers],[Bottom Bar Weight]],Table2[#Headers],0),0)</f>
        <v>80.5</v>
      </c>
      <c r="AW315" s="2" t="str">
        <f>VLOOKUP([jobnumber],OvalData[],MATCH(Table2[[#Headers],[Outer Spring Gage]],Table2[#Headers],0),0)</f>
        <v>Null</v>
      </c>
      <c r="AX315" s="2" t="str">
        <f>VLOOKUP([jobnumber],OvalData[],MATCH(Table2[[#Headers],[Outer Spring OD]],Table2[#Headers],0),0)</f>
        <v>Null</v>
      </c>
      <c r="AY315" s="2" t="str">
        <f>VLOOKUP([jobnumber],OvalData[],MATCH(Table2[[#Headers],[Outer Spring Length]],Table2[#Headers],0),0)</f>
        <v>Null</v>
      </c>
      <c r="AZ315" s="2" t="str">
        <f>VLOOKUP([jobnumber],OvalData[],MATCH(Table2[[#Headers],[Outer Spring Stretch]],Table2[#Headers],0),0)</f>
        <v>Null</v>
      </c>
      <c r="BA315" s="2" t="str">
        <f>VLOOKUP([jobnumber],OvalData[],MATCH(Table2[[#Headers],[Outer Spring Torque]],Table2[#Headers],0),0)</f>
        <v>Null</v>
      </c>
      <c r="BB315" s="2" t="str">
        <f>VLOOKUP([jobnumber],OvalData[],MATCH(Table2[[#Headers],[Outer Spring Max Turns]],Table2[#Headers],0),0)</f>
        <v>Null</v>
      </c>
      <c r="BC315" s="2" t="str">
        <f>VLOOKUP([jobnumber],OvalData[],MATCH(Table2[[#Headers],[Outer Spring Weight]],Table2[#Headers],0),0)</f>
        <v>Null</v>
      </c>
      <c r="BD315" s="2" t="str">
        <f>VLOOKUP([jobnumber],OvalData[],MATCH(Table2[[#Headers],[Inner Spring Gage]],Table2[#Headers],0),0)</f>
        <v>Null</v>
      </c>
      <c r="BE315" s="2" t="str">
        <f>VLOOKUP([jobnumber],OvalData[],MATCH(Table2[[#Headers],[Inner Spring OD]],Table2[#Headers],0),0)</f>
        <v>Null</v>
      </c>
      <c r="BF315" s="2" t="str">
        <f>VLOOKUP([jobnumber],OvalData[],MATCH(Table2[[#Headers],[Inner Spring Length]],Table2[#Headers],0),0)</f>
        <v>Null</v>
      </c>
      <c r="BG315" s="2" t="str">
        <f>VLOOKUP([jobnumber],OvalData[],MATCH(Table2[[#Headers],[Inner Spring Stretch]],Table2[#Headers],0),0)</f>
        <v>Null</v>
      </c>
      <c r="BH315" s="2" t="str">
        <f>VLOOKUP([jobnumber],OvalData[],MATCH(Table2[[#Headers],[Inner Spring Torque]],Table2[#Headers],0),0)</f>
        <v>Null</v>
      </c>
      <c r="BI315" s="2" t="str">
        <f>VLOOKUP([jobnumber],OvalData[],MATCH(Table2[[#Headers],[Inner Spring Max Turns]],Table2[#Headers],0),0)</f>
        <v>Null</v>
      </c>
      <c r="BJ315" s="2" t="str">
        <f>VLOOKUP([jobnumber],OvalData[],MATCH(Table2[[#Headers],[Inner Spring Weight]],Table2[#Headers],0),0)</f>
        <v>Null</v>
      </c>
      <c r="BK315" s="2">
        <f>VLOOKUP([jobnumber],OvalData[],MATCH(Table2[[#Headers],[Cycles]],Table2[#Headers],0),0)</f>
        <v>0</v>
      </c>
      <c r="BL315" s="2">
        <f>VLOOKUP([jobnumber],OvalData[],MATCH(Table2[[#Headers],[Total Spring Torque]],Table2[#Headers],0),0)</f>
        <v>0</v>
      </c>
      <c r="BM315" s="2">
        <f>VLOOKUP([jobnumber],OvalData[],MATCH(Table2[[#Headers],[Total Spring Weight]],Table2[#Headers],0),0)</f>
        <v>0</v>
      </c>
      <c r="BN315" s="2">
        <f>VLOOKUP([jobnumber],OvalData[],MATCH(Table2[[#Headers],[Pipe Weight]],Table2[#Headers],0),0)</f>
        <v>688.24239999999998</v>
      </c>
      <c r="BO315" s="2">
        <f>VLOOKUP([jobnumber],OvalData[],MATCH(Table2[[#Headers],[Max Pipe Deflection]],Table2[#Headers],0),0)</f>
        <v>2309</v>
      </c>
      <c r="BP315" s="2">
        <f>VLOOKUP([jobnumber],OvalData[],MATCH(Table2[[#Headers],[Number Non-Insulated Wrap Slats]],Table2[#Headers],0),0)</f>
        <v>0</v>
      </c>
      <c r="BQ315" s="2">
        <f>VLOOKUP([jobnumber],OvalData[],MATCH(Table2[[#Headers],[Number of Insolated Top Slats]],Table2[#Headers],0),0)</f>
        <v>45</v>
      </c>
      <c r="BR315" s="2">
        <f>VLOOKUP([jobnumber],OvalData[],MATCH(Table2[[#Headers],[Insolated Total Slats]],Table2[#Headers],0),0)</f>
        <v>45</v>
      </c>
      <c r="BS315" s="2">
        <f>VLOOKUP([jobnumber],OvalData[],MATCH(Table2[[#Headers],[Number of Slats]],Table2[#Headers],0),0)</f>
        <v>44.69</v>
      </c>
      <c r="BT315" s="2">
        <f>VLOOKUP([jobnumber],OvalData[],MATCH(Table2[[#Headers],[Wrap]],Table2[#Headers],0),0)</f>
        <v>0</v>
      </c>
      <c r="BU315" s="2">
        <f>VLOOKUP([jobnumber],OvalData[],MATCH(Table2[[#Headers],[Wall Angle Thickness]],Table2[#Headers],0),0)</f>
        <v>0</v>
      </c>
      <c r="BV315" s="2">
        <f>VLOOKUP([jobnumber],OvalData[],MATCH(Table2[[#Headers],[windlocks]],Table2[#Headers],0),0)</f>
        <v>0</v>
      </c>
      <c r="BW315" s="2" t="str">
        <f>VLOOKUP([jobnumber],OvalData[],MATCH(Table2[[#Headers],[bottombartype]],Table2[#Headers],0),0)</f>
        <v>SPECIAL</v>
      </c>
      <c r="BX315" s="2">
        <f>VLOOKUP([jobnumber],OvalData[],MATCH(Table2[[#Headers],[endlockweight]],Table2[#Headers],0),0)</f>
        <v>0.17</v>
      </c>
      <c r="BY315" s="2">
        <f>VLOOKUP([jobnumber],OvalData[],MATCH(Table2[[#Headers],[Endlock Total Weight]],Table2[#Headers],0),0)</f>
        <v>7.5972999999999997</v>
      </c>
      <c r="BZ315" s="2">
        <f>VLOOKUP([jobnumber],OvalData[],MATCH(Table2[[#Headers],[Grille Weight]],Table2[#Headers],0),0)</f>
        <v>0</v>
      </c>
      <c r="CA315" s="2">
        <f>VLOOKUP([jobnumber],OvalData[],MATCH(Table2[[#Headers],[barrelrings]],Table2[#Headers],0),0)</f>
        <v>1</v>
      </c>
    </row>
    <row r="316" spans="2:79">
      <c r="B316" s="2" t="str">
        <f>VLOOKUP([jobnumber],OvalData[],MATCH(Table2[[#Headers],[Hand]],Table2[#Headers],0),0)</f>
        <v>RH</v>
      </c>
      <c r="C316" s="2" t="str">
        <f>VLOOKUP([jobnumber],OvalData[],MATCH(Table2[[#Headers],[Model]],Table2[#Headers],0),0)</f>
        <v>SFMPP</v>
      </c>
      <c r="D316" s="2" t="str">
        <f>VLOOKUP([jobnumber],OvalData[],MATCH(Table2[[#Headers],[width]],Table2[#Headers],0),0)</f>
        <v xml:space="preserve"> 18 ft.- 2"</v>
      </c>
      <c r="E316" s="2" t="str">
        <f>VLOOKUP([jobnumber],OvalData[],MATCH(Table2[[#Headers],[stopheight]],Table2[#Headers],0),0)</f>
        <v xml:space="preserve"> 10 ft.- 0"</v>
      </c>
      <c r="F316" s="2" t="str">
        <f>VLOOKUP([jobnumber],OvalData[],MATCH(Table2[[#Headers],[Between Brackets]],Table2[#Headers],0),0)</f>
        <v xml:space="preserve"> 18 ft.- 7 7/ 8"</v>
      </c>
      <c r="G316" s="2" t="str">
        <f>VLOOKUP([jobnumber],OvalData[],MATCH(Table2[[#Headers],[shell]],Table2[#Headers],0),0)</f>
        <v>6 INCH TUBE</v>
      </c>
      <c r="H316" s="2" t="str">
        <f>VLOOKUP([jobnumber],OvalData[],MATCH(Table2[[#Headers],[pipewidth]],Table2[#Headers],0),0)</f>
        <v xml:space="preserve"> 18 ft.- 1 3/ 8"</v>
      </c>
      <c r="I316" s="2">
        <f>VLOOKUP([jobnumber],OvalData[],MATCH(Table2[[#Headers],[Support Tubes]],Table2[#Headers],0),0)</f>
        <v>0</v>
      </c>
      <c r="J316" s="2">
        <f>VLOOKUP([jobnumber],OvalData[],MATCH(Table2[[#Headers],[Upset]],Table2[#Headers],0),0)</f>
        <v>2</v>
      </c>
      <c r="K316" s="2" t="str">
        <f>VLOOKUP([jobnumber],OvalData[],MATCH(Table2[[#Headers],[Guide Type]],Table2[#Headers],0),0)</f>
        <v>SN2-4 5/8-E</v>
      </c>
      <c r="L316" s="2" t="str">
        <f>VLOOKUP([jobnumber],OvalData[],MATCH(Table2[[#Headers],[Wall Angle]],Table2[#Headers],0),0)</f>
        <v xml:space="preserve"> 11 ft.- 8"</v>
      </c>
      <c r="M316" s="2" t="str">
        <f>VLOOKUP([jobnumber],OvalData[],MATCH(Table2[[#Headers],[Middle Angle]],Table2[#Headers],0),0)</f>
        <v xml:space="preserve"> 10 ft.- 4 1/ 2"</v>
      </c>
      <c r="N316" s="2" t="str">
        <f>VLOOKUP([jobnumber],OvalData[],MATCH(Table2[[#Headers],[Front Angle]],Table2[#Headers],0),0)</f>
        <v xml:space="preserve"> 10 ft.- 3"</v>
      </c>
      <c r="O316" s="2">
        <f>VLOOKUP([jobnumber],OvalData[],MATCH(Table2[[#Headers],[Pipe Center Line]],Table2[#Headers],0),0)</f>
        <v>131</v>
      </c>
      <c r="P316" s="2">
        <f>VLOOKUP([jobnumber],OvalData[],MATCH(Table2[[#Headers],[Heat Expansion Gap]],Table2[#Headers],0),0)</f>
        <v>0</v>
      </c>
      <c r="Q316" s="2">
        <f>VLOOKUP([jobnumber],OvalData[],MATCH(Table2[[#Headers],[Hanging Weight Closed]],Table2[#Headers],0),0)</f>
        <v>795</v>
      </c>
      <c r="R316" s="2">
        <f>VLOOKUP([jobnumber],OvalData[],MATCH(Table2[[#Headers],[Hanging Weight Open]],Table2[#Headers],0),0)</f>
        <v>140</v>
      </c>
      <c r="S316" s="2">
        <f>VLOOKUP([jobnumber],OvalData[],MATCH(Table2[[#Headers],[Initial Lever Arm]],Table2[#Headers],0),0)</f>
        <v>4.25</v>
      </c>
      <c r="T316" s="2">
        <f>VLOOKUP([jobnumber],OvalData[],MATCH(Table2[[#Headers],[Turns to Raise]],Table2[#Headers],0),0)</f>
        <v>3.5859999999999999</v>
      </c>
      <c r="U316" s="2">
        <f>VLOOKUP([jobnumber],OvalData[],MATCH(Table2[[#Headers],[Final Lever Arm]],Table2[#Headers],0),0)</f>
        <v>6.37</v>
      </c>
      <c r="V316" s="2">
        <f>VLOOKUP([jobnumber],OvalData[],MATCH(Table2[[#Headers],[Torque Required Closed]],Table2[#Headers],0),0)</f>
        <v>3377.9</v>
      </c>
      <c r="W316" s="2">
        <f>VLOOKUP([jobnumber],OvalData[],MATCH(Table2[[#Headers],[Torque Required Open]],Table2[#Headers],0),0)</f>
        <v>892</v>
      </c>
      <c r="X316" s="2">
        <f>VLOOKUP([jobnumber],OvalData[],MATCH(Table2[[#Headers],[Pre Turns]],Table2[#Headers],0),0)</f>
        <v>1.3332999999999999</v>
      </c>
      <c r="Y316" s="2">
        <f>VLOOKUP([jobnumber],OvalData[],MATCH(Table2[[#Headers],[Required Torque Per Turn]],Table2[#Headers],0),0)</f>
        <v>688</v>
      </c>
      <c r="Z316" s="2">
        <f>VLOOKUP([jobnumber],OvalData[],MATCH(Table2[[#Headers],[Total Turns]],Table2[#Headers],0),0)</f>
        <v>4.91</v>
      </c>
      <c r="AA316" s="2">
        <f>VLOOKUP([jobnumber],OvalData[],MATCH(Table2[[#Headers],[Grille Vision Section]],Table2[#Headers],0),0)</f>
        <v>0</v>
      </c>
      <c r="AB316" s="2">
        <f>VLOOKUP([jobnumber],OvalData[],MATCH(Table2[[#Headers],[Grille Amount]],Table2[#Headers],0),0)</f>
        <v>0</v>
      </c>
      <c r="AC316" s="2">
        <f>VLOOKUP([jobnumber],OvalData[],MATCH(Table2[[#Headers],[Grille Center]],Table2[#Headers],0),0)</f>
        <v>0</v>
      </c>
      <c r="AD316" s="2">
        <f>VLOOKUP([jobnumber],OvalData[],MATCH(Table2[[#Headers],[Grille Pattern]],Table2[#Headers],0),0)</f>
        <v>0</v>
      </c>
      <c r="AE316" s="2">
        <f>VLOOKUP([jobnumber],OvalData[],MATCH(Table2[[#Headers],[Grille First Tube]],Table2[#Headers],0),0)</f>
        <v>0</v>
      </c>
      <c r="AF316" s="2">
        <f>VLOOKUP([jobnumber],OvalData[],MATCH(Table2[[#Headers],[Grille Standard Tube]],Table2[#Headers],0),0)</f>
        <v>0</v>
      </c>
      <c r="AG316" s="2">
        <f>VLOOKUP([jobnumber],OvalData[],MATCH(Table2[[#Headers],[Grille Total Links]],Table2[#Headers],0),0)</f>
        <v>0</v>
      </c>
      <c r="AH316" s="2">
        <f>VLOOKUP([jobnumber],OvalData[],MATCH(Table2[[#Headers],[Grille Rods]],Table2[#Headers],0),0)</f>
        <v>0</v>
      </c>
      <c r="AI316" s="2">
        <f>VLOOKUP([jobnumber],OvalData[],MATCH(Table2[[#Headers],[Grille Rod Length]],Table2[#Headers],0),0)</f>
        <v>0</v>
      </c>
      <c r="AJ316" s="2">
        <f>VLOOKUP([jobnumber],OvalData[],MATCH(Table2[[#Headers],[slattype]],Table2[#Headers],0),0)</f>
        <v>2</v>
      </c>
      <c r="AK316" s="2">
        <f>VLOOKUP([jobnumber],OvalData[],MATCH(Table2[[#Headers],[slatgage]],Table2[#Headers],0),0)</f>
        <v>18</v>
      </c>
      <c r="AL316" s="2">
        <f>VLOOKUP([jobnumber],OvalData[],MATCH(Table2[[#Headers],[Numer of Top Slats]],Table2[#Headers],0),0)</f>
        <v>0</v>
      </c>
      <c r="AM316" s="2">
        <f>VLOOKUP([jobnumber],OvalData[],MATCH(Table2[[#Headers],[Number of Bottom Slats]],Table2[#Headers],0),0)</f>
        <v>0</v>
      </c>
      <c r="AN316" s="2">
        <f>VLOOKUP([jobnumber],OvalData[],MATCH(Table2[[#Headers],[Solid Bottom Height]],Table2[#Headers],0),0)</f>
        <v>0</v>
      </c>
      <c r="AO316" s="2" t="str">
        <f>VLOOKUP([jobnumber],OvalData[],MATCH(Table2[[#Headers],[slatlength]],Table2[#Headers],0),0)</f>
        <v xml:space="preserve"> 18 ft.- 5 7/ 8"</v>
      </c>
      <c r="AP316" s="2">
        <f>VLOOKUP([jobnumber],OvalData[],MATCH(Table2[[#Headers],[Bottom Slat Length]],Table2[#Headers],0),0)</f>
        <v>0</v>
      </c>
      <c r="AQ316" s="2">
        <f>VLOOKUP([jobnumber],OvalData[],MATCH(Table2[[#Headers],[Number of Perferated Slats]],Table2[#Headers],0),0)</f>
        <v>0</v>
      </c>
      <c r="AR316" s="2">
        <f>VLOOKUP([jobnumber],OvalData[],MATCH(Table2[[#Headers],[First Preferated Slat From End]],Table2[#Headers],0),0)</f>
        <v>0</v>
      </c>
      <c r="AS316" s="2">
        <f>VLOOKUP([jobnumber],OvalData[],MATCH(Table2[[#Headers],[First Preferated Slat From Bottom]],Table2[#Headers],0),0)</f>
        <v>0</v>
      </c>
      <c r="AT316" s="2">
        <f>VLOOKUP([jobnumber],OvalData[],MATCH(Table2[[#Headers],[Total Number of Slats]],Table2[#Headers],0),0)</f>
        <v>51</v>
      </c>
      <c r="AU316" s="2">
        <f>VLOOKUP([jobnumber],OvalData[],MATCH(Table2[[#Headers],[Bottom Bar Slope]],Table2[#Headers],0),0)</f>
        <v>0</v>
      </c>
      <c r="AV316" s="2">
        <f>VLOOKUP([jobnumber],OvalData[],MATCH(Table2[[#Headers],[Bottom Bar Weight]],Table2[#Headers],0),0)</f>
        <v>80.5</v>
      </c>
      <c r="AW316" s="2" t="str">
        <f>VLOOKUP([jobnumber],OvalData[],MATCH(Table2[[#Headers],[Outer Spring Gage]],Table2[#Headers],0),0)</f>
        <v>Null</v>
      </c>
      <c r="AX316" s="2" t="str">
        <f>VLOOKUP([jobnumber],OvalData[],MATCH(Table2[[#Headers],[Outer Spring OD]],Table2[#Headers],0),0)</f>
        <v>Null</v>
      </c>
      <c r="AY316" s="2" t="str">
        <f>VLOOKUP([jobnumber],OvalData[],MATCH(Table2[[#Headers],[Outer Spring Length]],Table2[#Headers],0),0)</f>
        <v>Null</v>
      </c>
      <c r="AZ316" s="2" t="str">
        <f>VLOOKUP([jobnumber],OvalData[],MATCH(Table2[[#Headers],[Outer Spring Stretch]],Table2[#Headers],0),0)</f>
        <v>Null</v>
      </c>
      <c r="BA316" s="2" t="str">
        <f>VLOOKUP([jobnumber],OvalData[],MATCH(Table2[[#Headers],[Outer Spring Torque]],Table2[#Headers],0),0)</f>
        <v>Null</v>
      </c>
      <c r="BB316" s="2" t="str">
        <f>VLOOKUP([jobnumber],OvalData[],MATCH(Table2[[#Headers],[Outer Spring Max Turns]],Table2[#Headers],0),0)</f>
        <v>Null</v>
      </c>
      <c r="BC316" s="2" t="str">
        <f>VLOOKUP([jobnumber],OvalData[],MATCH(Table2[[#Headers],[Outer Spring Weight]],Table2[#Headers],0),0)</f>
        <v>Null</v>
      </c>
      <c r="BD316" s="2" t="str">
        <f>VLOOKUP([jobnumber],OvalData[],MATCH(Table2[[#Headers],[Inner Spring Gage]],Table2[#Headers],0),0)</f>
        <v>Null</v>
      </c>
      <c r="BE316" s="2" t="str">
        <f>VLOOKUP([jobnumber],OvalData[],MATCH(Table2[[#Headers],[Inner Spring OD]],Table2[#Headers],0),0)</f>
        <v>Null</v>
      </c>
      <c r="BF316" s="2" t="str">
        <f>VLOOKUP([jobnumber],OvalData[],MATCH(Table2[[#Headers],[Inner Spring Length]],Table2[#Headers],0),0)</f>
        <v>Null</v>
      </c>
      <c r="BG316" s="2" t="str">
        <f>VLOOKUP([jobnumber],OvalData[],MATCH(Table2[[#Headers],[Inner Spring Stretch]],Table2[#Headers],0),0)</f>
        <v>Null</v>
      </c>
      <c r="BH316" s="2" t="str">
        <f>VLOOKUP([jobnumber],OvalData[],MATCH(Table2[[#Headers],[Inner Spring Torque]],Table2[#Headers],0),0)</f>
        <v>Null</v>
      </c>
      <c r="BI316" s="2" t="str">
        <f>VLOOKUP([jobnumber],OvalData[],MATCH(Table2[[#Headers],[Inner Spring Max Turns]],Table2[#Headers],0),0)</f>
        <v>Null</v>
      </c>
      <c r="BJ316" s="2" t="str">
        <f>VLOOKUP([jobnumber],OvalData[],MATCH(Table2[[#Headers],[Inner Spring Weight]],Table2[#Headers],0),0)</f>
        <v>Null</v>
      </c>
      <c r="BK316" s="2">
        <f>VLOOKUP([jobnumber],OvalData[],MATCH(Table2[[#Headers],[Cycles]],Table2[#Headers],0),0)</f>
        <v>0</v>
      </c>
      <c r="BL316" s="2">
        <f>VLOOKUP([jobnumber],OvalData[],MATCH(Table2[[#Headers],[Total Spring Torque]],Table2[#Headers],0),0)</f>
        <v>0</v>
      </c>
      <c r="BM316" s="2">
        <f>VLOOKUP([jobnumber],OvalData[],MATCH(Table2[[#Headers],[Total Spring Weight]],Table2[#Headers],0),0)</f>
        <v>0</v>
      </c>
      <c r="BN316" s="2">
        <f>VLOOKUP([jobnumber],OvalData[],MATCH(Table2[[#Headers],[Pipe Weight]],Table2[#Headers],0),0)</f>
        <v>688.24239999999998</v>
      </c>
      <c r="BO316" s="2">
        <f>VLOOKUP([jobnumber],OvalData[],MATCH(Table2[[#Headers],[Max Pipe Deflection]],Table2[#Headers],0),0)</f>
        <v>2309</v>
      </c>
      <c r="BP316" s="2">
        <f>VLOOKUP([jobnumber],OvalData[],MATCH(Table2[[#Headers],[Number Non-Insulated Wrap Slats]],Table2[#Headers],0),0)</f>
        <v>0</v>
      </c>
      <c r="BQ316" s="2">
        <f>VLOOKUP([jobnumber],OvalData[],MATCH(Table2[[#Headers],[Number of Insolated Top Slats]],Table2[#Headers],0),0)</f>
        <v>45</v>
      </c>
      <c r="BR316" s="2">
        <f>VLOOKUP([jobnumber],OvalData[],MATCH(Table2[[#Headers],[Insolated Total Slats]],Table2[#Headers],0),0)</f>
        <v>45</v>
      </c>
      <c r="BS316" s="2">
        <f>VLOOKUP([jobnumber],OvalData[],MATCH(Table2[[#Headers],[Number of Slats]],Table2[#Headers],0),0)</f>
        <v>44.69</v>
      </c>
      <c r="BT316" s="2">
        <f>VLOOKUP([jobnumber],OvalData[],MATCH(Table2[[#Headers],[Wrap]],Table2[#Headers],0),0)</f>
        <v>0</v>
      </c>
      <c r="BU316" s="2">
        <f>VLOOKUP([jobnumber],OvalData[],MATCH(Table2[[#Headers],[Wall Angle Thickness]],Table2[#Headers],0),0)</f>
        <v>0</v>
      </c>
      <c r="BV316" s="2">
        <f>VLOOKUP([jobnumber],OvalData[],MATCH(Table2[[#Headers],[windlocks]],Table2[#Headers],0),0)</f>
        <v>0</v>
      </c>
      <c r="BW316" s="2" t="str">
        <f>VLOOKUP([jobnumber],OvalData[],MATCH(Table2[[#Headers],[bottombartype]],Table2[#Headers],0),0)</f>
        <v>SPECIAL</v>
      </c>
      <c r="BX316" s="2">
        <f>VLOOKUP([jobnumber],OvalData[],MATCH(Table2[[#Headers],[endlockweight]],Table2[#Headers],0),0)</f>
        <v>0.17</v>
      </c>
      <c r="BY316" s="2">
        <f>VLOOKUP([jobnumber],OvalData[],MATCH(Table2[[#Headers],[Endlock Total Weight]],Table2[#Headers],0),0)</f>
        <v>7.5972999999999997</v>
      </c>
      <c r="BZ316" s="2">
        <f>VLOOKUP([jobnumber],OvalData[],MATCH(Table2[[#Headers],[Grille Weight]],Table2[#Headers],0),0)</f>
        <v>0</v>
      </c>
      <c r="CA316" s="2">
        <f>VLOOKUP([jobnumber],OvalData[],MATCH(Table2[[#Headers],[barrelrings]],Table2[#Headers],0),0)</f>
        <v>1</v>
      </c>
    </row>
    <row r="317" spans="2:79">
      <c r="B317" s="2" t="str">
        <f>VLOOKUP([jobnumber],OvalData[],MATCH(Table2[[#Headers],[Hand]],Table2[#Headers],0),0)</f>
        <v>RH</v>
      </c>
      <c r="C317" s="2" t="str">
        <f>VLOOKUP([jobnumber],OvalData[],MATCH(Table2[[#Headers],[Model]],Table2[#Headers],0),0)</f>
        <v>SFMPP</v>
      </c>
      <c r="D317" s="2" t="str">
        <f>VLOOKUP([jobnumber],OvalData[],MATCH(Table2[[#Headers],[width]],Table2[#Headers],0),0)</f>
        <v xml:space="preserve"> 18 ft.- 2"</v>
      </c>
      <c r="E317" s="2" t="str">
        <f>VLOOKUP([jobnumber],OvalData[],MATCH(Table2[[#Headers],[stopheight]],Table2[#Headers],0),0)</f>
        <v xml:space="preserve"> 10 ft.- 0"</v>
      </c>
      <c r="F317" s="2" t="str">
        <f>VLOOKUP([jobnumber],OvalData[],MATCH(Table2[[#Headers],[Between Brackets]],Table2[#Headers],0),0)</f>
        <v xml:space="preserve"> 18 ft.- 7 7/ 8"</v>
      </c>
      <c r="G317" s="2" t="str">
        <f>VLOOKUP([jobnumber],OvalData[],MATCH(Table2[[#Headers],[shell]],Table2[#Headers],0),0)</f>
        <v>6 INCH TUBE</v>
      </c>
      <c r="H317" s="2" t="str">
        <f>VLOOKUP([jobnumber],OvalData[],MATCH(Table2[[#Headers],[pipewidth]],Table2[#Headers],0),0)</f>
        <v xml:space="preserve"> 18 ft.- 1 3/ 8"</v>
      </c>
      <c r="I317" s="2">
        <f>VLOOKUP([jobnumber],OvalData[],MATCH(Table2[[#Headers],[Support Tubes]],Table2[#Headers],0),0)</f>
        <v>0</v>
      </c>
      <c r="J317" s="2">
        <f>VLOOKUP([jobnumber],OvalData[],MATCH(Table2[[#Headers],[Upset]],Table2[#Headers],0),0)</f>
        <v>2</v>
      </c>
      <c r="K317" s="2" t="str">
        <f>VLOOKUP([jobnumber],OvalData[],MATCH(Table2[[#Headers],[Guide Type]],Table2[#Headers],0),0)</f>
        <v>SN2-4 5/8-E</v>
      </c>
      <c r="L317" s="2" t="str">
        <f>VLOOKUP([jobnumber],OvalData[],MATCH(Table2[[#Headers],[Wall Angle]],Table2[#Headers],0),0)</f>
        <v xml:space="preserve"> 11 ft.- 8"</v>
      </c>
      <c r="M317" s="2" t="str">
        <f>VLOOKUP([jobnumber],OvalData[],MATCH(Table2[[#Headers],[Middle Angle]],Table2[#Headers],0),0)</f>
        <v xml:space="preserve"> 10 ft.- 4 1/ 2"</v>
      </c>
      <c r="N317" s="2" t="str">
        <f>VLOOKUP([jobnumber],OvalData[],MATCH(Table2[[#Headers],[Front Angle]],Table2[#Headers],0),0)</f>
        <v xml:space="preserve"> 10 ft.- 3"</v>
      </c>
      <c r="O317" s="2">
        <f>VLOOKUP([jobnumber],OvalData[],MATCH(Table2[[#Headers],[Pipe Center Line]],Table2[#Headers],0),0)</f>
        <v>131</v>
      </c>
      <c r="P317" s="2">
        <f>VLOOKUP([jobnumber],OvalData[],MATCH(Table2[[#Headers],[Heat Expansion Gap]],Table2[#Headers],0),0)</f>
        <v>0</v>
      </c>
      <c r="Q317" s="2">
        <f>VLOOKUP([jobnumber],OvalData[],MATCH(Table2[[#Headers],[Hanging Weight Closed]],Table2[#Headers],0),0)</f>
        <v>795</v>
      </c>
      <c r="R317" s="2">
        <f>VLOOKUP([jobnumber],OvalData[],MATCH(Table2[[#Headers],[Hanging Weight Open]],Table2[#Headers],0),0)</f>
        <v>140</v>
      </c>
      <c r="S317" s="2">
        <f>VLOOKUP([jobnumber],OvalData[],MATCH(Table2[[#Headers],[Initial Lever Arm]],Table2[#Headers],0),0)</f>
        <v>4.25</v>
      </c>
      <c r="T317" s="2">
        <f>VLOOKUP([jobnumber],OvalData[],MATCH(Table2[[#Headers],[Turns to Raise]],Table2[#Headers],0),0)</f>
        <v>3.5859999999999999</v>
      </c>
      <c r="U317" s="2">
        <f>VLOOKUP([jobnumber],OvalData[],MATCH(Table2[[#Headers],[Final Lever Arm]],Table2[#Headers],0),0)</f>
        <v>6.37</v>
      </c>
      <c r="V317" s="2">
        <f>VLOOKUP([jobnumber],OvalData[],MATCH(Table2[[#Headers],[Torque Required Closed]],Table2[#Headers],0),0)</f>
        <v>3377.9</v>
      </c>
      <c r="W317" s="2">
        <f>VLOOKUP([jobnumber],OvalData[],MATCH(Table2[[#Headers],[Torque Required Open]],Table2[#Headers],0),0)</f>
        <v>892</v>
      </c>
      <c r="X317" s="2">
        <f>VLOOKUP([jobnumber],OvalData[],MATCH(Table2[[#Headers],[Pre Turns]],Table2[#Headers],0),0)</f>
        <v>1.3332999999999999</v>
      </c>
      <c r="Y317" s="2">
        <f>VLOOKUP([jobnumber],OvalData[],MATCH(Table2[[#Headers],[Required Torque Per Turn]],Table2[#Headers],0),0)</f>
        <v>688</v>
      </c>
      <c r="Z317" s="2">
        <f>VLOOKUP([jobnumber],OvalData[],MATCH(Table2[[#Headers],[Total Turns]],Table2[#Headers],0),0)</f>
        <v>4.91</v>
      </c>
      <c r="AA317" s="2">
        <f>VLOOKUP([jobnumber],OvalData[],MATCH(Table2[[#Headers],[Grille Vision Section]],Table2[#Headers],0),0)</f>
        <v>0</v>
      </c>
      <c r="AB317" s="2">
        <f>VLOOKUP([jobnumber],OvalData[],MATCH(Table2[[#Headers],[Grille Amount]],Table2[#Headers],0),0)</f>
        <v>0</v>
      </c>
      <c r="AC317" s="2">
        <f>VLOOKUP([jobnumber],OvalData[],MATCH(Table2[[#Headers],[Grille Center]],Table2[#Headers],0),0)</f>
        <v>0</v>
      </c>
      <c r="AD317" s="2">
        <f>VLOOKUP([jobnumber],OvalData[],MATCH(Table2[[#Headers],[Grille Pattern]],Table2[#Headers],0),0)</f>
        <v>0</v>
      </c>
      <c r="AE317" s="2">
        <f>VLOOKUP([jobnumber],OvalData[],MATCH(Table2[[#Headers],[Grille First Tube]],Table2[#Headers],0),0)</f>
        <v>0</v>
      </c>
      <c r="AF317" s="2">
        <f>VLOOKUP([jobnumber],OvalData[],MATCH(Table2[[#Headers],[Grille Standard Tube]],Table2[#Headers],0),0)</f>
        <v>0</v>
      </c>
      <c r="AG317" s="2">
        <f>VLOOKUP([jobnumber],OvalData[],MATCH(Table2[[#Headers],[Grille Total Links]],Table2[#Headers],0),0)</f>
        <v>0</v>
      </c>
      <c r="AH317" s="2">
        <f>VLOOKUP([jobnumber],OvalData[],MATCH(Table2[[#Headers],[Grille Rods]],Table2[#Headers],0),0)</f>
        <v>0</v>
      </c>
      <c r="AI317" s="2">
        <f>VLOOKUP([jobnumber],OvalData[],MATCH(Table2[[#Headers],[Grille Rod Length]],Table2[#Headers],0),0)</f>
        <v>0</v>
      </c>
      <c r="AJ317" s="2">
        <f>VLOOKUP([jobnumber],OvalData[],MATCH(Table2[[#Headers],[slattype]],Table2[#Headers],0),0)</f>
        <v>2</v>
      </c>
      <c r="AK317" s="2">
        <f>VLOOKUP([jobnumber],OvalData[],MATCH(Table2[[#Headers],[slatgage]],Table2[#Headers],0),0)</f>
        <v>18</v>
      </c>
      <c r="AL317" s="2">
        <f>VLOOKUP([jobnumber],OvalData[],MATCH(Table2[[#Headers],[Numer of Top Slats]],Table2[#Headers],0),0)</f>
        <v>0</v>
      </c>
      <c r="AM317" s="2">
        <f>VLOOKUP([jobnumber],OvalData[],MATCH(Table2[[#Headers],[Number of Bottom Slats]],Table2[#Headers],0),0)</f>
        <v>0</v>
      </c>
      <c r="AN317" s="2">
        <f>VLOOKUP([jobnumber],OvalData[],MATCH(Table2[[#Headers],[Solid Bottom Height]],Table2[#Headers],0),0)</f>
        <v>0</v>
      </c>
      <c r="AO317" s="2" t="str">
        <f>VLOOKUP([jobnumber],OvalData[],MATCH(Table2[[#Headers],[slatlength]],Table2[#Headers],0),0)</f>
        <v xml:space="preserve"> 18 ft.- 5 7/ 8"</v>
      </c>
      <c r="AP317" s="2">
        <f>VLOOKUP([jobnumber],OvalData[],MATCH(Table2[[#Headers],[Bottom Slat Length]],Table2[#Headers],0),0)</f>
        <v>0</v>
      </c>
      <c r="AQ317" s="2">
        <f>VLOOKUP([jobnumber],OvalData[],MATCH(Table2[[#Headers],[Number of Perferated Slats]],Table2[#Headers],0),0)</f>
        <v>0</v>
      </c>
      <c r="AR317" s="2">
        <f>VLOOKUP([jobnumber],OvalData[],MATCH(Table2[[#Headers],[First Preferated Slat From End]],Table2[#Headers],0),0)</f>
        <v>0</v>
      </c>
      <c r="AS317" s="2">
        <f>VLOOKUP([jobnumber],OvalData[],MATCH(Table2[[#Headers],[First Preferated Slat From Bottom]],Table2[#Headers],0),0)</f>
        <v>0</v>
      </c>
      <c r="AT317" s="2">
        <f>VLOOKUP([jobnumber],OvalData[],MATCH(Table2[[#Headers],[Total Number of Slats]],Table2[#Headers],0),0)</f>
        <v>51</v>
      </c>
      <c r="AU317" s="2">
        <f>VLOOKUP([jobnumber],OvalData[],MATCH(Table2[[#Headers],[Bottom Bar Slope]],Table2[#Headers],0),0)</f>
        <v>0</v>
      </c>
      <c r="AV317" s="2">
        <f>VLOOKUP([jobnumber],OvalData[],MATCH(Table2[[#Headers],[Bottom Bar Weight]],Table2[#Headers],0),0)</f>
        <v>80.5</v>
      </c>
      <c r="AW317" s="2" t="str">
        <f>VLOOKUP([jobnumber],OvalData[],MATCH(Table2[[#Headers],[Outer Spring Gage]],Table2[#Headers],0),0)</f>
        <v>Null</v>
      </c>
      <c r="AX317" s="2" t="str">
        <f>VLOOKUP([jobnumber],OvalData[],MATCH(Table2[[#Headers],[Outer Spring OD]],Table2[#Headers],0),0)</f>
        <v>Null</v>
      </c>
      <c r="AY317" s="2" t="str">
        <f>VLOOKUP([jobnumber],OvalData[],MATCH(Table2[[#Headers],[Outer Spring Length]],Table2[#Headers],0),0)</f>
        <v>Null</v>
      </c>
      <c r="AZ317" s="2" t="str">
        <f>VLOOKUP([jobnumber],OvalData[],MATCH(Table2[[#Headers],[Outer Spring Stretch]],Table2[#Headers],0),0)</f>
        <v>Null</v>
      </c>
      <c r="BA317" s="2" t="str">
        <f>VLOOKUP([jobnumber],OvalData[],MATCH(Table2[[#Headers],[Outer Spring Torque]],Table2[#Headers],0),0)</f>
        <v>Null</v>
      </c>
      <c r="BB317" s="2" t="str">
        <f>VLOOKUP([jobnumber],OvalData[],MATCH(Table2[[#Headers],[Outer Spring Max Turns]],Table2[#Headers],0),0)</f>
        <v>Null</v>
      </c>
      <c r="BC317" s="2" t="str">
        <f>VLOOKUP([jobnumber],OvalData[],MATCH(Table2[[#Headers],[Outer Spring Weight]],Table2[#Headers],0),0)</f>
        <v>Null</v>
      </c>
      <c r="BD317" s="2" t="str">
        <f>VLOOKUP([jobnumber],OvalData[],MATCH(Table2[[#Headers],[Inner Spring Gage]],Table2[#Headers],0),0)</f>
        <v>Null</v>
      </c>
      <c r="BE317" s="2" t="str">
        <f>VLOOKUP([jobnumber],OvalData[],MATCH(Table2[[#Headers],[Inner Spring OD]],Table2[#Headers],0),0)</f>
        <v>Null</v>
      </c>
      <c r="BF317" s="2" t="str">
        <f>VLOOKUP([jobnumber],OvalData[],MATCH(Table2[[#Headers],[Inner Spring Length]],Table2[#Headers],0),0)</f>
        <v>Null</v>
      </c>
      <c r="BG317" s="2" t="str">
        <f>VLOOKUP([jobnumber],OvalData[],MATCH(Table2[[#Headers],[Inner Spring Stretch]],Table2[#Headers],0),0)</f>
        <v>Null</v>
      </c>
      <c r="BH317" s="2" t="str">
        <f>VLOOKUP([jobnumber],OvalData[],MATCH(Table2[[#Headers],[Inner Spring Torque]],Table2[#Headers],0),0)</f>
        <v>Null</v>
      </c>
      <c r="BI317" s="2" t="str">
        <f>VLOOKUP([jobnumber],OvalData[],MATCH(Table2[[#Headers],[Inner Spring Max Turns]],Table2[#Headers],0),0)</f>
        <v>Null</v>
      </c>
      <c r="BJ317" s="2" t="str">
        <f>VLOOKUP([jobnumber],OvalData[],MATCH(Table2[[#Headers],[Inner Spring Weight]],Table2[#Headers],0),0)</f>
        <v>Null</v>
      </c>
      <c r="BK317" s="2">
        <f>VLOOKUP([jobnumber],OvalData[],MATCH(Table2[[#Headers],[Cycles]],Table2[#Headers],0),0)</f>
        <v>0</v>
      </c>
      <c r="BL317" s="2">
        <f>VLOOKUP([jobnumber],OvalData[],MATCH(Table2[[#Headers],[Total Spring Torque]],Table2[#Headers],0),0)</f>
        <v>0</v>
      </c>
      <c r="BM317" s="2">
        <f>VLOOKUP([jobnumber],OvalData[],MATCH(Table2[[#Headers],[Total Spring Weight]],Table2[#Headers],0),0)</f>
        <v>0</v>
      </c>
      <c r="BN317" s="2">
        <f>VLOOKUP([jobnumber],OvalData[],MATCH(Table2[[#Headers],[Pipe Weight]],Table2[#Headers],0),0)</f>
        <v>688.24239999999998</v>
      </c>
      <c r="BO317" s="2">
        <f>VLOOKUP([jobnumber],OvalData[],MATCH(Table2[[#Headers],[Max Pipe Deflection]],Table2[#Headers],0),0)</f>
        <v>2309</v>
      </c>
      <c r="BP317" s="2">
        <f>VLOOKUP([jobnumber],OvalData[],MATCH(Table2[[#Headers],[Number Non-Insulated Wrap Slats]],Table2[#Headers],0),0)</f>
        <v>0</v>
      </c>
      <c r="BQ317" s="2">
        <f>VLOOKUP([jobnumber],OvalData[],MATCH(Table2[[#Headers],[Number of Insolated Top Slats]],Table2[#Headers],0),0)</f>
        <v>45</v>
      </c>
      <c r="BR317" s="2">
        <f>VLOOKUP([jobnumber],OvalData[],MATCH(Table2[[#Headers],[Insolated Total Slats]],Table2[#Headers],0),0)</f>
        <v>45</v>
      </c>
      <c r="BS317" s="2">
        <f>VLOOKUP([jobnumber],OvalData[],MATCH(Table2[[#Headers],[Number of Slats]],Table2[#Headers],0),0)</f>
        <v>44.69</v>
      </c>
      <c r="BT317" s="2">
        <f>VLOOKUP([jobnumber],OvalData[],MATCH(Table2[[#Headers],[Wrap]],Table2[#Headers],0),0)</f>
        <v>0</v>
      </c>
      <c r="BU317" s="2">
        <f>VLOOKUP([jobnumber],OvalData[],MATCH(Table2[[#Headers],[Wall Angle Thickness]],Table2[#Headers],0),0)</f>
        <v>0</v>
      </c>
      <c r="BV317" s="2">
        <f>VLOOKUP([jobnumber],OvalData[],MATCH(Table2[[#Headers],[windlocks]],Table2[#Headers],0),0)</f>
        <v>0</v>
      </c>
      <c r="BW317" s="2" t="str">
        <f>VLOOKUP([jobnumber],OvalData[],MATCH(Table2[[#Headers],[bottombartype]],Table2[#Headers],0),0)</f>
        <v>SPECIAL</v>
      </c>
      <c r="BX317" s="2">
        <f>VLOOKUP([jobnumber],OvalData[],MATCH(Table2[[#Headers],[endlockweight]],Table2[#Headers],0),0)</f>
        <v>0.17</v>
      </c>
      <c r="BY317" s="2">
        <f>VLOOKUP([jobnumber],OvalData[],MATCH(Table2[[#Headers],[Endlock Total Weight]],Table2[#Headers],0),0)</f>
        <v>7.5972999999999997</v>
      </c>
      <c r="BZ317" s="2">
        <f>VLOOKUP([jobnumber],OvalData[],MATCH(Table2[[#Headers],[Grille Weight]],Table2[#Headers],0),0)</f>
        <v>0</v>
      </c>
      <c r="CA317" s="2">
        <f>VLOOKUP([jobnumber],OvalData[],MATCH(Table2[[#Headers],[barrelrings]],Table2[#Headers],0),0)</f>
        <v>1</v>
      </c>
    </row>
    <row r="318" spans="2:79">
      <c r="B318" s="2" t="str">
        <f>VLOOKUP([jobnumber],OvalData[],MATCH(Table2[[#Headers],[Hand]],Table2[#Headers],0),0)</f>
        <v>RH</v>
      </c>
      <c r="C318" s="2" t="str">
        <f>VLOOKUP([jobnumber],OvalData[],MATCH(Table2[[#Headers],[Model]],Table2[#Headers],0),0)</f>
        <v>SFMPP</v>
      </c>
      <c r="D318" s="2" t="str">
        <f>VLOOKUP([jobnumber],OvalData[],MATCH(Table2[[#Headers],[width]],Table2[#Headers],0),0)</f>
        <v xml:space="preserve"> 18 ft.- 2"</v>
      </c>
      <c r="E318" s="2" t="str">
        <f>VLOOKUP([jobnumber],OvalData[],MATCH(Table2[[#Headers],[stopheight]],Table2[#Headers],0),0)</f>
        <v xml:space="preserve"> 10 ft.- 0"</v>
      </c>
      <c r="F318" s="2" t="str">
        <f>VLOOKUP([jobnumber],OvalData[],MATCH(Table2[[#Headers],[Between Brackets]],Table2[#Headers],0),0)</f>
        <v xml:space="preserve"> 18 ft.- 7 7/ 8"</v>
      </c>
      <c r="G318" s="2" t="str">
        <f>VLOOKUP([jobnumber],OvalData[],MATCH(Table2[[#Headers],[shell]],Table2[#Headers],0),0)</f>
        <v>6 INCH TUBE</v>
      </c>
      <c r="H318" s="2" t="str">
        <f>VLOOKUP([jobnumber],OvalData[],MATCH(Table2[[#Headers],[pipewidth]],Table2[#Headers],0),0)</f>
        <v xml:space="preserve"> 18 ft.- 1 3/ 8"</v>
      </c>
      <c r="I318" s="2">
        <f>VLOOKUP([jobnumber],OvalData[],MATCH(Table2[[#Headers],[Support Tubes]],Table2[#Headers],0),0)</f>
        <v>0</v>
      </c>
      <c r="J318" s="2">
        <f>VLOOKUP([jobnumber],OvalData[],MATCH(Table2[[#Headers],[Upset]],Table2[#Headers],0),0)</f>
        <v>2</v>
      </c>
      <c r="K318" s="2" t="str">
        <f>VLOOKUP([jobnumber],OvalData[],MATCH(Table2[[#Headers],[Guide Type]],Table2[#Headers],0),0)</f>
        <v>SN2-4 5/8-E</v>
      </c>
      <c r="L318" s="2" t="str">
        <f>VLOOKUP([jobnumber],OvalData[],MATCH(Table2[[#Headers],[Wall Angle]],Table2[#Headers],0),0)</f>
        <v xml:space="preserve"> 11 ft.- 8"</v>
      </c>
      <c r="M318" s="2" t="str">
        <f>VLOOKUP([jobnumber],OvalData[],MATCH(Table2[[#Headers],[Middle Angle]],Table2[#Headers],0),0)</f>
        <v xml:space="preserve"> 10 ft.- 4 1/ 2"</v>
      </c>
      <c r="N318" s="2" t="str">
        <f>VLOOKUP([jobnumber],OvalData[],MATCH(Table2[[#Headers],[Front Angle]],Table2[#Headers],0),0)</f>
        <v xml:space="preserve"> 10 ft.- 3"</v>
      </c>
      <c r="O318" s="2">
        <f>VLOOKUP([jobnumber],OvalData[],MATCH(Table2[[#Headers],[Pipe Center Line]],Table2[#Headers],0),0)</f>
        <v>131</v>
      </c>
      <c r="P318" s="2">
        <f>VLOOKUP([jobnumber],OvalData[],MATCH(Table2[[#Headers],[Heat Expansion Gap]],Table2[#Headers],0),0)</f>
        <v>0</v>
      </c>
      <c r="Q318" s="2">
        <f>VLOOKUP([jobnumber],OvalData[],MATCH(Table2[[#Headers],[Hanging Weight Closed]],Table2[#Headers],0),0)</f>
        <v>795</v>
      </c>
      <c r="R318" s="2">
        <f>VLOOKUP([jobnumber],OvalData[],MATCH(Table2[[#Headers],[Hanging Weight Open]],Table2[#Headers],0),0)</f>
        <v>140</v>
      </c>
      <c r="S318" s="2">
        <f>VLOOKUP([jobnumber],OvalData[],MATCH(Table2[[#Headers],[Initial Lever Arm]],Table2[#Headers],0),0)</f>
        <v>4.25</v>
      </c>
      <c r="T318" s="2">
        <f>VLOOKUP([jobnumber],OvalData[],MATCH(Table2[[#Headers],[Turns to Raise]],Table2[#Headers],0),0)</f>
        <v>3.5859999999999999</v>
      </c>
      <c r="U318" s="2">
        <f>VLOOKUP([jobnumber],OvalData[],MATCH(Table2[[#Headers],[Final Lever Arm]],Table2[#Headers],0),0)</f>
        <v>6.37</v>
      </c>
      <c r="V318" s="2">
        <f>VLOOKUP([jobnumber],OvalData[],MATCH(Table2[[#Headers],[Torque Required Closed]],Table2[#Headers],0),0)</f>
        <v>3377.9</v>
      </c>
      <c r="W318" s="2">
        <f>VLOOKUP([jobnumber],OvalData[],MATCH(Table2[[#Headers],[Torque Required Open]],Table2[#Headers],0),0)</f>
        <v>892</v>
      </c>
      <c r="X318" s="2">
        <f>VLOOKUP([jobnumber],OvalData[],MATCH(Table2[[#Headers],[Pre Turns]],Table2[#Headers],0),0)</f>
        <v>1.3332999999999999</v>
      </c>
      <c r="Y318" s="2">
        <f>VLOOKUP([jobnumber],OvalData[],MATCH(Table2[[#Headers],[Required Torque Per Turn]],Table2[#Headers],0),0)</f>
        <v>688</v>
      </c>
      <c r="Z318" s="2">
        <f>VLOOKUP([jobnumber],OvalData[],MATCH(Table2[[#Headers],[Total Turns]],Table2[#Headers],0),0)</f>
        <v>4.91</v>
      </c>
      <c r="AA318" s="2">
        <f>VLOOKUP([jobnumber],OvalData[],MATCH(Table2[[#Headers],[Grille Vision Section]],Table2[#Headers],0),0)</f>
        <v>0</v>
      </c>
      <c r="AB318" s="2">
        <f>VLOOKUP([jobnumber],OvalData[],MATCH(Table2[[#Headers],[Grille Amount]],Table2[#Headers],0),0)</f>
        <v>0</v>
      </c>
      <c r="AC318" s="2">
        <f>VLOOKUP([jobnumber],OvalData[],MATCH(Table2[[#Headers],[Grille Center]],Table2[#Headers],0),0)</f>
        <v>0</v>
      </c>
      <c r="AD318" s="2">
        <f>VLOOKUP([jobnumber],OvalData[],MATCH(Table2[[#Headers],[Grille Pattern]],Table2[#Headers],0),0)</f>
        <v>0</v>
      </c>
      <c r="AE318" s="2">
        <f>VLOOKUP([jobnumber],OvalData[],MATCH(Table2[[#Headers],[Grille First Tube]],Table2[#Headers],0),0)</f>
        <v>0</v>
      </c>
      <c r="AF318" s="2">
        <f>VLOOKUP([jobnumber],OvalData[],MATCH(Table2[[#Headers],[Grille Standard Tube]],Table2[#Headers],0),0)</f>
        <v>0</v>
      </c>
      <c r="AG318" s="2">
        <f>VLOOKUP([jobnumber],OvalData[],MATCH(Table2[[#Headers],[Grille Total Links]],Table2[#Headers],0),0)</f>
        <v>0</v>
      </c>
      <c r="AH318" s="2">
        <f>VLOOKUP([jobnumber],OvalData[],MATCH(Table2[[#Headers],[Grille Rods]],Table2[#Headers],0),0)</f>
        <v>0</v>
      </c>
      <c r="AI318" s="2">
        <f>VLOOKUP([jobnumber],OvalData[],MATCH(Table2[[#Headers],[Grille Rod Length]],Table2[#Headers],0),0)</f>
        <v>0</v>
      </c>
      <c r="AJ318" s="2">
        <f>VLOOKUP([jobnumber],OvalData[],MATCH(Table2[[#Headers],[slattype]],Table2[#Headers],0),0)</f>
        <v>2</v>
      </c>
      <c r="AK318" s="2">
        <f>VLOOKUP([jobnumber],OvalData[],MATCH(Table2[[#Headers],[slatgage]],Table2[#Headers],0),0)</f>
        <v>18</v>
      </c>
      <c r="AL318" s="2">
        <f>VLOOKUP([jobnumber],OvalData[],MATCH(Table2[[#Headers],[Numer of Top Slats]],Table2[#Headers],0),0)</f>
        <v>0</v>
      </c>
      <c r="AM318" s="2">
        <f>VLOOKUP([jobnumber],OvalData[],MATCH(Table2[[#Headers],[Number of Bottom Slats]],Table2[#Headers],0),0)</f>
        <v>0</v>
      </c>
      <c r="AN318" s="2">
        <f>VLOOKUP([jobnumber],OvalData[],MATCH(Table2[[#Headers],[Solid Bottom Height]],Table2[#Headers],0),0)</f>
        <v>0</v>
      </c>
      <c r="AO318" s="2" t="str">
        <f>VLOOKUP([jobnumber],OvalData[],MATCH(Table2[[#Headers],[slatlength]],Table2[#Headers],0),0)</f>
        <v xml:space="preserve"> 18 ft.- 5 7/ 8"</v>
      </c>
      <c r="AP318" s="2">
        <f>VLOOKUP([jobnumber],OvalData[],MATCH(Table2[[#Headers],[Bottom Slat Length]],Table2[#Headers],0),0)</f>
        <v>0</v>
      </c>
      <c r="AQ318" s="2">
        <f>VLOOKUP([jobnumber],OvalData[],MATCH(Table2[[#Headers],[Number of Perferated Slats]],Table2[#Headers],0),0)</f>
        <v>0</v>
      </c>
      <c r="AR318" s="2">
        <f>VLOOKUP([jobnumber],OvalData[],MATCH(Table2[[#Headers],[First Preferated Slat From End]],Table2[#Headers],0),0)</f>
        <v>0</v>
      </c>
      <c r="AS318" s="2">
        <f>VLOOKUP([jobnumber],OvalData[],MATCH(Table2[[#Headers],[First Preferated Slat From Bottom]],Table2[#Headers],0),0)</f>
        <v>0</v>
      </c>
      <c r="AT318" s="2">
        <f>VLOOKUP([jobnumber],OvalData[],MATCH(Table2[[#Headers],[Total Number of Slats]],Table2[#Headers],0),0)</f>
        <v>51</v>
      </c>
      <c r="AU318" s="2">
        <f>VLOOKUP([jobnumber],OvalData[],MATCH(Table2[[#Headers],[Bottom Bar Slope]],Table2[#Headers],0),0)</f>
        <v>0</v>
      </c>
      <c r="AV318" s="2">
        <f>VLOOKUP([jobnumber],OvalData[],MATCH(Table2[[#Headers],[Bottom Bar Weight]],Table2[#Headers],0),0)</f>
        <v>80.5</v>
      </c>
      <c r="AW318" s="2" t="str">
        <f>VLOOKUP([jobnumber],OvalData[],MATCH(Table2[[#Headers],[Outer Spring Gage]],Table2[#Headers],0),0)</f>
        <v>Null</v>
      </c>
      <c r="AX318" s="2" t="str">
        <f>VLOOKUP([jobnumber],OvalData[],MATCH(Table2[[#Headers],[Outer Spring OD]],Table2[#Headers],0),0)</f>
        <v>Null</v>
      </c>
      <c r="AY318" s="2" t="str">
        <f>VLOOKUP([jobnumber],OvalData[],MATCH(Table2[[#Headers],[Outer Spring Length]],Table2[#Headers],0),0)</f>
        <v>Null</v>
      </c>
      <c r="AZ318" s="2" t="str">
        <f>VLOOKUP([jobnumber],OvalData[],MATCH(Table2[[#Headers],[Outer Spring Stretch]],Table2[#Headers],0),0)</f>
        <v>Null</v>
      </c>
      <c r="BA318" s="2" t="str">
        <f>VLOOKUP([jobnumber],OvalData[],MATCH(Table2[[#Headers],[Outer Spring Torque]],Table2[#Headers],0),0)</f>
        <v>Null</v>
      </c>
      <c r="BB318" s="2" t="str">
        <f>VLOOKUP([jobnumber],OvalData[],MATCH(Table2[[#Headers],[Outer Spring Max Turns]],Table2[#Headers],0),0)</f>
        <v>Null</v>
      </c>
      <c r="BC318" s="2" t="str">
        <f>VLOOKUP([jobnumber],OvalData[],MATCH(Table2[[#Headers],[Outer Spring Weight]],Table2[#Headers],0),0)</f>
        <v>Null</v>
      </c>
      <c r="BD318" s="2" t="str">
        <f>VLOOKUP([jobnumber],OvalData[],MATCH(Table2[[#Headers],[Inner Spring Gage]],Table2[#Headers],0),0)</f>
        <v>Null</v>
      </c>
      <c r="BE318" s="2" t="str">
        <f>VLOOKUP([jobnumber],OvalData[],MATCH(Table2[[#Headers],[Inner Spring OD]],Table2[#Headers],0),0)</f>
        <v>Null</v>
      </c>
      <c r="BF318" s="2" t="str">
        <f>VLOOKUP([jobnumber],OvalData[],MATCH(Table2[[#Headers],[Inner Spring Length]],Table2[#Headers],0),0)</f>
        <v>Null</v>
      </c>
      <c r="BG318" s="2" t="str">
        <f>VLOOKUP([jobnumber],OvalData[],MATCH(Table2[[#Headers],[Inner Spring Stretch]],Table2[#Headers],0),0)</f>
        <v>Null</v>
      </c>
      <c r="BH318" s="2" t="str">
        <f>VLOOKUP([jobnumber],OvalData[],MATCH(Table2[[#Headers],[Inner Spring Torque]],Table2[#Headers],0),0)</f>
        <v>Null</v>
      </c>
      <c r="BI318" s="2" t="str">
        <f>VLOOKUP([jobnumber],OvalData[],MATCH(Table2[[#Headers],[Inner Spring Max Turns]],Table2[#Headers],0),0)</f>
        <v>Null</v>
      </c>
      <c r="BJ318" s="2" t="str">
        <f>VLOOKUP([jobnumber],OvalData[],MATCH(Table2[[#Headers],[Inner Spring Weight]],Table2[#Headers],0),0)</f>
        <v>Null</v>
      </c>
      <c r="BK318" s="2">
        <f>VLOOKUP([jobnumber],OvalData[],MATCH(Table2[[#Headers],[Cycles]],Table2[#Headers],0),0)</f>
        <v>0</v>
      </c>
      <c r="BL318" s="2">
        <f>VLOOKUP([jobnumber],OvalData[],MATCH(Table2[[#Headers],[Total Spring Torque]],Table2[#Headers],0),0)</f>
        <v>0</v>
      </c>
      <c r="BM318" s="2">
        <f>VLOOKUP([jobnumber],OvalData[],MATCH(Table2[[#Headers],[Total Spring Weight]],Table2[#Headers],0),0)</f>
        <v>0</v>
      </c>
      <c r="BN318" s="2">
        <f>VLOOKUP([jobnumber],OvalData[],MATCH(Table2[[#Headers],[Pipe Weight]],Table2[#Headers],0),0)</f>
        <v>688.24239999999998</v>
      </c>
      <c r="BO318" s="2">
        <f>VLOOKUP([jobnumber],OvalData[],MATCH(Table2[[#Headers],[Max Pipe Deflection]],Table2[#Headers],0),0)</f>
        <v>2309</v>
      </c>
      <c r="BP318" s="2">
        <f>VLOOKUP([jobnumber],OvalData[],MATCH(Table2[[#Headers],[Number Non-Insulated Wrap Slats]],Table2[#Headers],0),0)</f>
        <v>0</v>
      </c>
      <c r="BQ318" s="2">
        <f>VLOOKUP([jobnumber],OvalData[],MATCH(Table2[[#Headers],[Number of Insolated Top Slats]],Table2[#Headers],0),0)</f>
        <v>45</v>
      </c>
      <c r="BR318" s="2">
        <f>VLOOKUP([jobnumber],OvalData[],MATCH(Table2[[#Headers],[Insolated Total Slats]],Table2[#Headers],0),0)</f>
        <v>45</v>
      </c>
      <c r="BS318" s="2">
        <f>VLOOKUP([jobnumber],OvalData[],MATCH(Table2[[#Headers],[Number of Slats]],Table2[#Headers],0),0)</f>
        <v>44.69</v>
      </c>
      <c r="BT318" s="2">
        <f>VLOOKUP([jobnumber],OvalData[],MATCH(Table2[[#Headers],[Wrap]],Table2[#Headers],0),0)</f>
        <v>0</v>
      </c>
      <c r="BU318" s="2">
        <f>VLOOKUP([jobnumber],OvalData[],MATCH(Table2[[#Headers],[Wall Angle Thickness]],Table2[#Headers],0),0)</f>
        <v>0</v>
      </c>
      <c r="BV318" s="2">
        <f>VLOOKUP([jobnumber],OvalData[],MATCH(Table2[[#Headers],[windlocks]],Table2[#Headers],0),0)</f>
        <v>0</v>
      </c>
      <c r="BW318" s="2" t="str">
        <f>VLOOKUP([jobnumber],OvalData[],MATCH(Table2[[#Headers],[bottombartype]],Table2[#Headers],0),0)</f>
        <v>SPECIAL</v>
      </c>
      <c r="BX318" s="2">
        <f>VLOOKUP([jobnumber],OvalData[],MATCH(Table2[[#Headers],[endlockweight]],Table2[#Headers],0),0)</f>
        <v>0.17</v>
      </c>
      <c r="BY318" s="2">
        <f>VLOOKUP([jobnumber],OvalData[],MATCH(Table2[[#Headers],[Endlock Total Weight]],Table2[#Headers],0),0)</f>
        <v>7.5972999999999997</v>
      </c>
      <c r="BZ318" s="2">
        <f>VLOOKUP([jobnumber],OvalData[],MATCH(Table2[[#Headers],[Grille Weight]],Table2[#Headers],0),0)</f>
        <v>0</v>
      </c>
      <c r="CA318" s="2">
        <f>VLOOKUP([jobnumber],OvalData[],MATCH(Table2[[#Headers],[barrelrings]],Table2[#Headers],0),0)</f>
        <v>1</v>
      </c>
    </row>
    <row r="319" spans="2:79">
      <c r="B319" s="2" t="str">
        <f>VLOOKUP([jobnumber],OvalData[],MATCH(Table2[[#Headers],[Hand]],Table2[#Headers],0),0)</f>
        <v>RH</v>
      </c>
      <c r="C319" s="2" t="str">
        <f>VLOOKUP([jobnumber],OvalData[],MATCH(Table2[[#Headers],[Model]],Table2[#Headers],0),0)</f>
        <v>SFMPP</v>
      </c>
      <c r="D319" s="2" t="str">
        <f>VLOOKUP([jobnumber],OvalData[],MATCH(Table2[[#Headers],[width]],Table2[#Headers],0),0)</f>
        <v xml:space="preserve"> 18 ft.- 2"</v>
      </c>
      <c r="E319" s="2" t="str">
        <f>VLOOKUP([jobnumber],OvalData[],MATCH(Table2[[#Headers],[stopheight]],Table2[#Headers],0),0)</f>
        <v xml:space="preserve"> 10 ft.- 0"</v>
      </c>
      <c r="F319" s="2" t="str">
        <f>VLOOKUP([jobnumber],OvalData[],MATCH(Table2[[#Headers],[Between Brackets]],Table2[#Headers],0),0)</f>
        <v xml:space="preserve"> 18 ft.- 7 7/ 8"</v>
      </c>
      <c r="G319" s="2" t="str">
        <f>VLOOKUP([jobnumber],OvalData[],MATCH(Table2[[#Headers],[shell]],Table2[#Headers],0),0)</f>
        <v>6 INCH TUBE</v>
      </c>
      <c r="H319" s="2" t="str">
        <f>VLOOKUP([jobnumber],OvalData[],MATCH(Table2[[#Headers],[pipewidth]],Table2[#Headers],0),0)</f>
        <v xml:space="preserve"> 18 ft.- 1 3/ 8"</v>
      </c>
      <c r="I319" s="2">
        <f>VLOOKUP([jobnumber],OvalData[],MATCH(Table2[[#Headers],[Support Tubes]],Table2[#Headers],0),0)</f>
        <v>0</v>
      </c>
      <c r="J319" s="2">
        <f>VLOOKUP([jobnumber],OvalData[],MATCH(Table2[[#Headers],[Upset]],Table2[#Headers],0),0)</f>
        <v>2</v>
      </c>
      <c r="K319" s="2" t="str">
        <f>VLOOKUP([jobnumber],OvalData[],MATCH(Table2[[#Headers],[Guide Type]],Table2[#Headers],0),0)</f>
        <v>SN2-4 5/8-E</v>
      </c>
      <c r="L319" s="2" t="str">
        <f>VLOOKUP([jobnumber],OvalData[],MATCH(Table2[[#Headers],[Wall Angle]],Table2[#Headers],0),0)</f>
        <v xml:space="preserve"> 11 ft.- 8"</v>
      </c>
      <c r="M319" s="2" t="str">
        <f>VLOOKUP([jobnumber],OvalData[],MATCH(Table2[[#Headers],[Middle Angle]],Table2[#Headers],0),0)</f>
        <v xml:space="preserve"> 10 ft.- 4 1/ 2"</v>
      </c>
      <c r="N319" s="2" t="str">
        <f>VLOOKUP([jobnumber],OvalData[],MATCH(Table2[[#Headers],[Front Angle]],Table2[#Headers],0),0)</f>
        <v xml:space="preserve"> 10 ft.- 3"</v>
      </c>
      <c r="O319" s="2">
        <f>VLOOKUP([jobnumber],OvalData[],MATCH(Table2[[#Headers],[Pipe Center Line]],Table2[#Headers],0),0)</f>
        <v>131</v>
      </c>
      <c r="P319" s="2">
        <f>VLOOKUP([jobnumber],OvalData[],MATCH(Table2[[#Headers],[Heat Expansion Gap]],Table2[#Headers],0),0)</f>
        <v>0</v>
      </c>
      <c r="Q319" s="2">
        <f>VLOOKUP([jobnumber],OvalData[],MATCH(Table2[[#Headers],[Hanging Weight Closed]],Table2[#Headers],0),0)</f>
        <v>795</v>
      </c>
      <c r="R319" s="2">
        <f>VLOOKUP([jobnumber],OvalData[],MATCH(Table2[[#Headers],[Hanging Weight Open]],Table2[#Headers],0),0)</f>
        <v>140</v>
      </c>
      <c r="S319" s="2">
        <f>VLOOKUP([jobnumber],OvalData[],MATCH(Table2[[#Headers],[Initial Lever Arm]],Table2[#Headers],0),0)</f>
        <v>4.25</v>
      </c>
      <c r="T319" s="2">
        <f>VLOOKUP([jobnumber],OvalData[],MATCH(Table2[[#Headers],[Turns to Raise]],Table2[#Headers],0),0)</f>
        <v>3.5859999999999999</v>
      </c>
      <c r="U319" s="2">
        <f>VLOOKUP([jobnumber],OvalData[],MATCH(Table2[[#Headers],[Final Lever Arm]],Table2[#Headers],0),0)</f>
        <v>6.37</v>
      </c>
      <c r="V319" s="2">
        <f>VLOOKUP([jobnumber],OvalData[],MATCH(Table2[[#Headers],[Torque Required Closed]],Table2[#Headers],0),0)</f>
        <v>3377.9</v>
      </c>
      <c r="W319" s="2">
        <f>VLOOKUP([jobnumber],OvalData[],MATCH(Table2[[#Headers],[Torque Required Open]],Table2[#Headers],0),0)</f>
        <v>892</v>
      </c>
      <c r="X319" s="2">
        <f>VLOOKUP([jobnumber],OvalData[],MATCH(Table2[[#Headers],[Pre Turns]],Table2[#Headers],0),0)</f>
        <v>1.3332999999999999</v>
      </c>
      <c r="Y319" s="2">
        <f>VLOOKUP([jobnumber],OvalData[],MATCH(Table2[[#Headers],[Required Torque Per Turn]],Table2[#Headers],0),0)</f>
        <v>688</v>
      </c>
      <c r="Z319" s="2">
        <f>VLOOKUP([jobnumber],OvalData[],MATCH(Table2[[#Headers],[Total Turns]],Table2[#Headers],0),0)</f>
        <v>4.91</v>
      </c>
      <c r="AA319" s="2">
        <f>VLOOKUP([jobnumber],OvalData[],MATCH(Table2[[#Headers],[Grille Vision Section]],Table2[#Headers],0),0)</f>
        <v>0</v>
      </c>
      <c r="AB319" s="2">
        <f>VLOOKUP([jobnumber],OvalData[],MATCH(Table2[[#Headers],[Grille Amount]],Table2[#Headers],0),0)</f>
        <v>0</v>
      </c>
      <c r="AC319" s="2">
        <f>VLOOKUP([jobnumber],OvalData[],MATCH(Table2[[#Headers],[Grille Center]],Table2[#Headers],0),0)</f>
        <v>0</v>
      </c>
      <c r="AD319" s="2">
        <f>VLOOKUP([jobnumber],OvalData[],MATCH(Table2[[#Headers],[Grille Pattern]],Table2[#Headers],0),0)</f>
        <v>0</v>
      </c>
      <c r="AE319" s="2">
        <f>VLOOKUP([jobnumber],OvalData[],MATCH(Table2[[#Headers],[Grille First Tube]],Table2[#Headers],0),0)</f>
        <v>0</v>
      </c>
      <c r="AF319" s="2">
        <f>VLOOKUP([jobnumber],OvalData[],MATCH(Table2[[#Headers],[Grille Standard Tube]],Table2[#Headers],0),0)</f>
        <v>0</v>
      </c>
      <c r="AG319" s="2">
        <f>VLOOKUP([jobnumber],OvalData[],MATCH(Table2[[#Headers],[Grille Total Links]],Table2[#Headers],0),0)</f>
        <v>0</v>
      </c>
      <c r="AH319" s="2">
        <f>VLOOKUP([jobnumber],OvalData[],MATCH(Table2[[#Headers],[Grille Rods]],Table2[#Headers],0),0)</f>
        <v>0</v>
      </c>
      <c r="AI319" s="2">
        <f>VLOOKUP([jobnumber],OvalData[],MATCH(Table2[[#Headers],[Grille Rod Length]],Table2[#Headers],0),0)</f>
        <v>0</v>
      </c>
      <c r="AJ319" s="2">
        <f>VLOOKUP([jobnumber],OvalData[],MATCH(Table2[[#Headers],[slattype]],Table2[#Headers],0),0)</f>
        <v>2</v>
      </c>
      <c r="AK319" s="2">
        <f>VLOOKUP([jobnumber],OvalData[],MATCH(Table2[[#Headers],[slatgage]],Table2[#Headers],0),0)</f>
        <v>18</v>
      </c>
      <c r="AL319" s="2">
        <f>VLOOKUP([jobnumber],OvalData[],MATCH(Table2[[#Headers],[Numer of Top Slats]],Table2[#Headers],0),0)</f>
        <v>0</v>
      </c>
      <c r="AM319" s="2">
        <f>VLOOKUP([jobnumber],OvalData[],MATCH(Table2[[#Headers],[Number of Bottom Slats]],Table2[#Headers],0),0)</f>
        <v>0</v>
      </c>
      <c r="AN319" s="2">
        <f>VLOOKUP([jobnumber],OvalData[],MATCH(Table2[[#Headers],[Solid Bottom Height]],Table2[#Headers],0),0)</f>
        <v>0</v>
      </c>
      <c r="AO319" s="2" t="str">
        <f>VLOOKUP([jobnumber],OvalData[],MATCH(Table2[[#Headers],[slatlength]],Table2[#Headers],0),0)</f>
        <v xml:space="preserve"> 18 ft.- 5 7/ 8"</v>
      </c>
      <c r="AP319" s="2">
        <f>VLOOKUP([jobnumber],OvalData[],MATCH(Table2[[#Headers],[Bottom Slat Length]],Table2[#Headers],0),0)</f>
        <v>0</v>
      </c>
      <c r="AQ319" s="2">
        <f>VLOOKUP([jobnumber],OvalData[],MATCH(Table2[[#Headers],[Number of Perferated Slats]],Table2[#Headers],0),0)</f>
        <v>0</v>
      </c>
      <c r="AR319" s="2">
        <f>VLOOKUP([jobnumber],OvalData[],MATCH(Table2[[#Headers],[First Preferated Slat From End]],Table2[#Headers],0),0)</f>
        <v>0</v>
      </c>
      <c r="AS319" s="2">
        <f>VLOOKUP([jobnumber],OvalData[],MATCH(Table2[[#Headers],[First Preferated Slat From Bottom]],Table2[#Headers],0),0)</f>
        <v>0</v>
      </c>
      <c r="AT319" s="2">
        <f>VLOOKUP([jobnumber],OvalData[],MATCH(Table2[[#Headers],[Total Number of Slats]],Table2[#Headers],0),0)</f>
        <v>51</v>
      </c>
      <c r="AU319" s="2">
        <f>VLOOKUP([jobnumber],OvalData[],MATCH(Table2[[#Headers],[Bottom Bar Slope]],Table2[#Headers],0),0)</f>
        <v>0</v>
      </c>
      <c r="AV319" s="2">
        <f>VLOOKUP([jobnumber],OvalData[],MATCH(Table2[[#Headers],[Bottom Bar Weight]],Table2[#Headers],0),0)</f>
        <v>80.5</v>
      </c>
      <c r="AW319" s="2" t="str">
        <f>VLOOKUP([jobnumber],OvalData[],MATCH(Table2[[#Headers],[Outer Spring Gage]],Table2[#Headers],0),0)</f>
        <v>Null</v>
      </c>
      <c r="AX319" s="2" t="str">
        <f>VLOOKUP([jobnumber],OvalData[],MATCH(Table2[[#Headers],[Outer Spring OD]],Table2[#Headers],0),0)</f>
        <v>Null</v>
      </c>
      <c r="AY319" s="2" t="str">
        <f>VLOOKUP([jobnumber],OvalData[],MATCH(Table2[[#Headers],[Outer Spring Length]],Table2[#Headers],0),0)</f>
        <v>Null</v>
      </c>
      <c r="AZ319" s="2" t="str">
        <f>VLOOKUP([jobnumber],OvalData[],MATCH(Table2[[#Headers],[Outer Spring Stretch]],Table2[#Headers],0),0)</f>
        <v>Null</v>
      </c>
      <c r="BA319" s="2" t="str">
        <f>VLOOKUP([jobnumber],OvalData[],MATCH(Table2[[#Headers],[Outer Spring Torque]],Table2[#Headers],0),0)</f>
        <v>Null</v>
      </c>
      <c r="BB319" s="2" t="str">
        <f>VLOOKUP([jobnumber],OvalData[],MATCH(Table2[[#Headers],[Outer Spring Max Turns]],Table2[#Headers],0),0)</f>
        <v>Null</v>
      </c>
      <c r="BC319" s="2" t="str">
        <f>VLOOKUP([jobnumber],OvalData[],MATCH(Table2[[#Headers],[Outer Spring Weight]],Table2[#Headers],0),0)</f>
        <v>Null</v>
      </c>
      <c r="BD319" s="2" t="str">
        <f>VLOOKUP([jobnumber],OvalData[],MATCH(Table2[[#Headers],[Inner Spring Gage]],Table2[#Headers],0),0)</f>
        <v>Null</v>
      </c>
      <c r="BE319" s="2" t="str">
        <f>VLOOKUP([jobnumber],OvalData[],MATCH(Table2[[#Headers],[Inner Spring OD]],Table2[#Headers],0),0)</f>
        <v>Null</v>
      </c>
      <c r="BF319" s="2" t="str">
        <f>VLOOKUP([jobnumber],OvalData[],MATCH(Table2[[#Headers],[Inner Spring Length]],Table2[#Headers],0),0)</f>
        <v>Null</v>
      </c>
      <c r="BG319" s="2" t="str">
        <f>VLOOKUP([jobnumber],OvalData[],MATCH(Table2[[#Headers],[Inner Spring Stretch]],Table2[#Headers],0),0)</f>
        <v>Null</v>
      </c>
      <c r="BH319" s="2" t="str">
        <f>VLOOKUP([jobnumber],OvalData[],MATCH(Table2[[#Headers],[Inner Spring Torque]],Table2[#Headers],0),0)</f>
        <v>Null</v>
      </c>
      <c r="BI319" s="2" t="str">
        <f>VLOOKUP([jobnumber],OvalData[],MATCH(Table2[[#Headers],[Inner Spring Max Turns]],Table2[#Headers],0),0)</f>
        <v>Null</v>
      </c>
      <c r="BJ319" s="2" t="str">
        <f>VLOOKUP([jobnumber],OvalData[],MATCH(Table2[[#Headers],[Inner Spring Weight]],Table2[#Headers],0),0)</f>
        <v>Null</v>
      </c>
      <c r="BK319" s="2">
        <f>VLOOKUP([jobnumber],OvalData[],MATCH(Table2[[#Headers],[Cycles]],Table2[#Headers],0),0)</f>
        <v>0</v>
      </c>
      <c r="BL319" s="2">
        <f>VLOOKUP([jobnumber],OvalData[],MATCH(Table2[[#Headers],[Total Spring Torque]],Table2[#Headers],0),0)</f>
        <v>0</v>
      </c>
      <c r="BM319" s="2">
        <f>VLOOKUP([jobnumber],OvalData[],MATCH(Table2[[#Headers],[Total Spring Weight]],Table2[#Headers],0),0)</f>
        <v>0</v>
      </c>
      <c r="BN319" s="2">
        <f>VLOOKUP([jobnumber],OvalData[],MATCH(Table2[[#Headers],[Pipe Weight]],Table2[#Headers],0),0)</f>
        <v>688.24239999999998</v>
      </c>
      <c r="BO319" s="2">
        <f>VLOOKUP([jobnumber],OvalData[],MATCH(Table2[[#Headers],[Max Pipe Deflection]],Table2[#Headers],0),0)</f>
        <v>2309</v>
      </c>
      <c r="BP319" s="2">
        <f>VLOOKUP([jobnumber],OvalData[],MATCH(Table2[[#Headers],[Number Non-Insulated Wrap Slats]],Table2[#Headers],0),0)</f>
        <v>0</v>
      </c>
      <c r="BQ319" s="2">
        <f>VLOOKUP([jobnumber],OvalData[],MATCH(Table2[[#Headers],[Number of Insolated Top Slats]],Table2[#Headers],0),0)</f>
        <v>45</v>
      </c>
      <c r="BR319" s="2">
        <f>VLOOKUP([jobnumber],OvalData[],MATCH(Table2[[#Headers],[Insolated Total Slats]],Table2[#Headers],0),0)</f>
        <v>45</v>
      </c>
      <c r="BS319" s="2">
        <f>VLOOKUP([jobnumber],OvalData[],MATCH(Table2[[#Headers],[Number of Slats]],Table2[#Headers],0),0)</f>
        <v>44.69</v>
      </c>
      <c r="BT319" s="2">
        <f>VLOOKUP([jobnumber],OvalData[],MATCH(Table2[[#Headers],[Wrap]],Table2[#Headers],0),0)</f>
        <v>0</v>
      </c>
      <c r="BU319" s="2">
        <f>VLOOKUP([jobnumber],OvalData[],MATCH(Table2[[#Headers],[Wall Angle Thickness]],Table2[#Headers],0),0)</f>
        <v>0</v>
      </c>
      <c r="BV319" s="2">
        <f>VLOOKUP([jobnumber],OvalData[],MATCH(Table2[[#Headers],[windlocks]],Table2[#Headers],0),0)</f>
        <v>0</v>
      </c>
      <c r="BW319" s="2" t="str">
        <f>VLOOKUP([jobnumber],OvalData[],MATCH(Table2[[#Headers],[bottombartype]],Table2[#Headers],0),0)</f>
        <v>SPECIAL</v>
      </c>
      <c r="BX319" s="2">
        <f>VLOOKUP([jobnumber],OvalData[],MATCH(Table2[[#Headers],[endlockweight]],Table2[#Headers],0),0)</f>
        <v>0.17</v>
      </c>
      <c r="BY319" s="2">
        <f>VLOOKUP([jobnumber],OvalData[],MATCH(Table2[[#Headers],[Endlock Total Weight]],Table2[#Headers],0),0)</f>
        <v>7.5972999999999997</v>
      </c>
      <c r="BZ319" s="2">
        <f>VLOOKUP([jobnumber],OvalData[],MATCH(Table2[[#Headers],[Grille Weight]],Table2[#Headers],0),0)</f>
        <v>0</v>
      </c>
      <c r="CA319" s="2">
        <f>VLOOKUP([jobnumber],OvalData[],MATCH(Table2[[#Headers],[barrelrings]],Table2[#Headers],0),0)</f>
        <v>1</v>
      </c>
    </row>
    <row r="320" spans="2:79">
      <c r="B320" s="2" t="str">
        <f>VLOOKUP([jobnumber],OvalData[],MATCH(Table2[[#Headers],[Hand]],Table2[#Headers],0),0)</f>
        <v>RH</v>
      </c>
      <c r="C320" s="2" t="str">
        <f>VLOOKUP([jobnumber],OvalData[],MATCH(Table2[[#Headers],[Model]],Table2[#Headers],0),0)</f>
        <v>SFMPP</v>
      </c>
      <c r="D320" s="2" t="str">
        <f>VLOOKUP([jobnumber],OvalData[],MATCH(Table2[[#Headers],[width]],Table2[#Headers],0),0)</f>
        <v xml:space="preserve"> 18 ft.- 2"</v>
      </c>
      <c r="E320" s="2" t="str">
        <f>VLOOKUP([jobnumber],OvalData[],MATCH(Table2[[#Headers],[stopheight]],Table2[#Headers],0),0)</f>
        <v xml:space="preserve"> 10 ft.- 0"</v>
      </c>
      <c r="F320" s="2" t="str">
        <f>VLOOKUP([jobnumber],OvalData[],MATCH(Table2[[#Headers],[Between Brackets]],Table2[#Headers],0),0)</f>
        <v xml:space="preserve"> 18 ft.- 7 7/ 8"</v>
      </c>
      <c r="G320" s="2" t="str">
        <f>VLOOKUP([jobnumber],OvalData[],MATCH(Table2[[#Headers],[shell]],Table2[#Headers],0),0)</f>
        <v>6 INCH TUBE</v>
      </c>
      <c r="H320" s="2" t="str">
        <f>VLOOKUP([jobnumber],OvalData[],MATCH(Table2[[#Headers],[pipewidth]],Table2[#Headers],0),0)</f>
        <v xml:space="preserve"> 18 ft.- 1 3/ 8"</v>
      </c>
      <c r="I320" s="2">
        <f>VLOOKUP([jobnumber],OvalData[],MATCH(Table2[[#Headers],[Support Tubes]],Table2[#Headers],0),0)</f>
        <v>0</v>
      </c>
      <c r="J320" s="2">
        <f>VLOOKUP([jobnumber],OvalData[],MATCH(Table2[[#Headers],[Upset]],Table2[#Headers],0),0)</f>
        <v>2</v>
      </c>
      <c r="K320" s="2" t="str">
        <f>VLOOKUP([jobnumber],OvalData[],MATCH(Table2[[#Headers],[Guide Type]],Table2[#Headers],0),0)</f>
        <v>SN2-4 5/8-E</v>
      </c>
      <c r="L320" s="2" t="str">
        <f>VLOOKUP([jobnumber],OvalData[],MATCH(Table2[[#Headers],[Wall Angle]],Table2[#Headers],0),0)</f>
        <v xml:space="preserve"> 11 ft.- 8"</v>
      </c>
      <c r="M320" s="2" t="str">
        <f>VLOOKUP([jobnumber],OvalData[],MATCH(Table2[[#Headers],[Middle Angle]],Table2[#Headers],0),0)</f>
        <v xml:space="preserve"> 10 ft.- 4 1/ 2"</v>
      </c>
      <c r="N320" s="2" t="str">
        <f>VLOOKUP([jobnumber],OvalData[],MATCH(Table2[[#Headers],[Front Angle]],Table2[#Headers],0),0)</f>
        <v xml:space="preserve"> 10 ft.- 3"</v>
      </c>
      <c r="O320" s="2">
        <f>VLOOKUP([jobnumber],OvalData[],MATCH(Table2[[#Headers],[Pipe Center Line]],Table2[#Headers],0),0)</f>
        <v>131</v>
      </c>
      <c r="P320" s="2">
        <f>VLOOKUP([jobnumber],OvalData[],MATCH(Table2[[#Headers],[Heat Expansion Gap]],Table2[#Headers],0),0)</f>
        <v>0</v>
      </c>
      <c r="Q320" s="2">
        <f>VLOOKUP([jobnumber],OvalData[],MATCH(Table2[[#Headers],[Hanging Weight Closed]],Table2[#Headers],0),0)</f>
        <v>795</v>
      </c>
      <c r="R320" s="2">
        <f>VLOOKUP([jobnumber],OvalData[],MATCH(Table2[[#Headers],[Hanging Weight Open]],Table2[#Headers],0),0)</f>
        <v>140</v>
      </c>
      <c r="S320" s="2">
        <f>VLOOKUP([jobnumber],OvalData[],MATCH(Table2[[#Headers],[Initial Lever Arm]],Table2[#Headers],0),0)</f>
        <v>4.25</v>
      </c>
      <c r="T320" s="2">
        <f>VLOOKUP([jobnumber],OvalData[],MATCH(Table2[[#Headers],[Turns to Raise]],Table2[#Headers],0),0)</f>
        <v>3.5859999999999999</v>
      </c>
      <c r="U320" s="2">
        <f>VLOOKUP([jobnumber],OvalData[],MATCH(Table2[[#Headers],[Final Lever Arm]],Table2[#Headers],0),0)</f>
        <v>6.37</v>
      </c>
      <c r="V320" s="2">
        <f>VLOOKUP([jobnumber],OvalData[],MATCH(Table2[[#Headers],[Torque Required Closed]],Table2[#Headers],0),0)</f>
        <v>3377.9</v>
      </c>
      <c r="W320" s="2">
        <f>VLOOKUP([jobnumber],OvalData[],MATCH(Table2[[#Headers],[Torque Required Open]],Table2[#Headers],0),0)</f>
        <v>892</v>
      </c>
      <c r="X320" s="2">
        <f>VLOOKUP([jobnumber],OvalData[],MATCH(Table2[[#Headers],[Pre Turns]],Table2[#Headers],0),0)</f>
        <v>1.3332999999999999</v>
      </c>
      <c r="Y320" s="2">
        <f>VLOOKUP([jobnumber],OvalData[],MATCH(Table2[[#Headers],[Required Torque Per Turn]],Table2[#Headers],0),0)</f>
        <v>688</v>
      </c>
      <c r="Z320" s="2">
        <f>VLOOKUP([jobnumber],OvalData[],MATCH(Table2[[#Headers],[Total Turns]],Table2[#Headers],0),0)</f>
        <v>4.91</v>
      </c>
      <c r="AA320" s="2">
        <f>VLOOKUP([jobnumber],OvalData[],MATCH(Table2[[#Headers],[Grille Vision Section]],Table2[#Headers],0),0)</f>
        <v>0</v>
      </c>
      <c r="AB320" s="2">
        <f>VLOOKUP([jobnumber],OvalData[],MATCH(Table2[[#Headers],[Grille Amount]],Table2[#Headers],0),0)</f>
        <v>0</v>
      </c>
      <c r="AC320" s="2">
        <f>VLOOKUP([jobnumber],OvalData[],MATCH(Table2[[#Headers],[Grille Center]],Table2[#Headers],0),0)</f>
        <v>0</v>
      </c>
      <c r="AD320" s="2">
        <f>VLOOKUP([jobnumber],OvalData[],MATCH(Table2[[#Headers],[Grille Pattern]],Table2[#Headers],0),0)</f>
        <v>0</v>
      </c>
      <c r="AE320" s="2">
        <f>VLOOKUP([jobnumber],OvalData[],MATCH(Table2[[#Headers],[Grille First Tube]],Table2[#Headers],0),0)</f>
        <v>0</v>
      </c>
      <c r="AF320" s="2">
        <f>VLOOKUP([jobnumber],OvalData[],MATCH(Table2[[#Headers],[Grille Standard Tube]],Table2[#Headers],0),0)</f>
        <v>0</v>
      </c>
      <c r="AG320" s="2">
        <f>VLOOKUP([jobnumber],OvalData[],MATCH(Table2[[#Headers],[Grille Total Links]],Table2[#Headers],0),0)</f>
        <v>0</v>
      </c>
      <c r="AH320" s="2">
        <f>VLOOKUP([jobnumber],OvalData[],MATCH(Table2[[#Headers],[Grille Rods]],Table2[#Headers],0),0)</f>
        <v>0</v>
      </c>
      <c r="AI320" s="2">
        <f>VLOOKUP([jobnumber],OvalData[],MATCH(Table2[[#Headers],[Grille Rod Length]],Table2[#Headers],0),0)</f>
        <v>0</v>
      </c>
      <c r="AJ320" s="2">
        <f>VLOOKUP([jobnumber],OvalData[],MATCH(Table2[[#Headers],[slattype]],Table2[#Headers],0),0)</f>
        <v>2</v>
      </c>
      <c r="AK320" s="2">
        <f>VLOOKUP([jobnumber],OvalData[],MATCH(Table2[[#Headers],[slatgage]],Table2[#Headers],0),0)</f>
        <v>18</v>
      </c>
      <c r="AL320" s="2">
        <f>VLOOKUP([jobnumber],OvalData[],MATCH(Table2[[#Headers],[Numer of Top Slats]],Table2[#Headers],0),0)</f>
        <v>0</v>
      </c>
      <c r="AM320" s="2">
        <f>VLOOKUP([jobnumber],OvalData[],MATCH(Table2[[#Headers],[Number of Bottom Slats]],Table2[#Headers],0),0)</f>
        <v>0</v>
      </c>
      <c r="AN320" s="2">
        <f>VLOOKUP([jobnumber],OvalData[],MATCH(Table2[[#Headers],[Solid Bottom Height]],Table2[#Headers],0),0)</f>
        <v>0</v>
      </c>
      <c r="AO320" s="2" t="str">
        <f>VLOOKUP([jobnumber],OvalData[],MATCH(Table2[[#Headers],[slatlength]],Table2[#Headers],0),0)</f>
        <v xml:space="preserve"> 18 ft.- 5 7/ 8"</v>
      </c>
      <c r="AP320" s="2">
        <f>VLOOKUP([jobnumber],OvalData[],MATCH(Table2[[#Headers],[Bottom Slat Length]],Table2[#Headers],0),0)</f>
        <v>0</v>
      </c>
      <c r="AQ320" s="2">
        <f>VLOOKUP([jobnumber],OvalData[],MATCH(Table2[[#Headers],[Number of Perferated Slats]],Table2[#Headers],0),0)</f>
        <v>0</v>
      </c>
      <c r="AR320" s="2">
        <f>VLOOKUP([jobnumber],OvalData[],MATCH(Table2[[#Headers],[First Preferated Slat From End]],Table2[#Headers],0),0)</f>
        <v>0</v>
      </c>
      <c r="AS320" s="2">
        <f>VLOOKUP([jobnumber],OvalData[],MATCH(Table2[[#Headers],[First Preferated Slat From Bottom]],Table2[#Headers],0),0)</f>
        <v>0</v>
      </c>
      <c r="AT320" s="2">
        <f>VLOOKUP([jobnumber],OvalData[],MATCH(Table2[[#Headers],[Total Number of Slats]],Table2[#Headers],0),0)</f>
        <v>51</v>
      </c>
      <c r="AU320" s="2">
        <f>VLOOKUP([jobnumber],OvalData[],MATCH(Table2[[#Headers],[Bottom Bar Slope]],Table2[#Headers],0),0)</f>
        <v>0</v>
      </c>
      <c r="AV320" s="2">
        <f>VLOOKUP([jobnumber],OvalData[],MATCH(Table2[[#Headers],[Bottom Bar Weight]],Table2[#Headers],0),0)</f>
        <v>80.5</v>
      </c>
      <c r="AW320" s="2" t="str">
        <f>VLOOKUP([jobnumber],OvalData[],MATCH(Table2[[#Headers],[Outer Spring Gage]],Table2[#Headers],0),0)</f>
        <v>Null</v>
      </c>
      <c r="AX320" s="2" t="str">
        <f>VLOOKUP([jobnumber],OvalData[],MATCH(Table2[[#Headers],[Outer Spring OD]],Table2[#Headers],0),0)</f>
        <v>Null</v>
      </c>
      <c r="AY320" s="2" t="str">
        <f>VLOOKUP([jobnumber],OvalData[],MATCH(Table2[[#Headers],[Outer Spring Length]],Table2[#Headers],0),0)</f>
        <v>Null</v>
      </c>
      <c r="AZ320" s="2" t="str">
        <f>VLOOKUP([jobnumber],OvalData[],MATCH(Table2[[#Headers],[Outer Spring Stretch]],Table2[#Headers],0),0)</f>
        <v>Null</v>
      </c>
      <c r="BA320" s="2" t="str">
        <f>VLOOKUP([jobnumber],OvalData[],MATCH(Table2[[#Headers],[Outer Spring Torque]],Table2[#Headers],0),0)</f>
        <v>Null</v>
      </c>
      <c r="BB320" s="2" t="str">
        <f>VLOOKUP([jobnumber],OvalData[],MATCH(Table2[[#Headers],[Outer Spring Max Turns]],Table2[#Headers],0),0)</f>
        <v>Null</v>
      </c>
      <c r="BC320" s="2" t="str">
        <f>VLOOKUP([jobnumber],OvalData[],MATCH(Table2[[#Headers],[Outer Spring Weight]],Table2[#Headers],0),0)</f>
        <v>Null</v>
      </c>
      <c r="BD320" s="2" t="str">
        <f>VLOOKUP([jobnumber],OvalData[],MATCH(Table2[[#Headers],[Inner Spring Gage]],Table2[#Headers],0),0)</f>
        <v>Null</v>
      </c>
      <c r="BE320" s="2" t="str">
        <f>VLOOKUP([jobnumber],OvalData[],MATCH(Table2[[#Headers],[Inner Spring OD]],Table2[#Headers],0),0)</f>
        <v>Null</v>
      </c>
      <c r="BF320" s="2" t="str">
        <f>VLOOKUP([jobnumber],OvalData[],MATCH(Table2[[#Headers],[Inner Spring Length]],Table2[#Headers],0),0)</f>
        <v>Null</v>
      </c>
      <c r="BG320" s="2" t="str">
        <f>VLOOKUP([jobnumber],OvalData[],MATCH(Table2[[#Headers],[Inner Spring Stretch]],Table2[#Headers],0),0)</f>
        <v>Null</v>
      </c>
      <c r="BH320" s="2" t="str">
        <f>VLOOKUP([jobnumber],OvalData[],MATCH(Table2[[#Headers],[Inner Spring Torque]],Table2[#Headers],0),0)</f>
        <v>Null</v>
      </c>
      <c r="BI320" s="2" t="str">
        <f>VLOOKUP([jobnumber],OvalData[],MATCH(Table2[[#Headers],[Inner Spring Max Turns]],Table2[#Headers],0),0)</f>
        <v>Null</v>
      </c>
      <c r="BJ320" s="2" t="str">
        <f>VLOOKUP([jobnumber],OvalData[],MATCH(Table2[[#Headers],[Inner Spring Weight]],Table2[#Headers],0),0)</f>
        <v>Null</v>
      </c>
      <c r="BK320" s="2">
        <f>VLOOKUP([jobnumber],OvalData[],MATCH(Table2[[#Headers],[Cycles]],Table2[#Headers],0),0)</f>
        <v>0</v>
      </c>
      <c r="BL320" s="2">
        <f>VLOOKUP([jobnumber],OvalData[],MATCH(Table2[[#Headers],[Total Spring Torque]],Table2[#Headers],0),0)</f>
        <v>0</v>
      </c>
      <c r="BM320" s="2">
        <f>VLOOKUP([jobnumber],OvalData[],MATCH(Table2[[#Headers],[Total Spring Weight]],Table2[#Headers],0),0)</f>
        <v>0</v>
      </c>
      <c r="BN320" s="2">
        <f>VLOOKUP([jobnumber],OvalData[],MATCH(Table2[[#Headers],[Pipe Weight]],Table2[#Headers],0),0)</f>
        <v>688.24239999999998</v>
      </c>
      <c r="BO320" s="2">
        <f>VLOOKUP([jobnumber],OvalData[],MATCH(Table2[[#Headers],[Max Pipe Deflection]],Table2[#Headers],0),0)</f>
        <v>2309</v>
      </c>
      <c r="BP320" s="2">
        <f>VLOOKUP([jobnumber],OvalData[],MATCH(Table2[[#Headers],[Number Non-Insulated Wrap Slats]],Table2[#Headers],0),0)</f>
        <v>0</v>
      </c>
      <c r="BQ320" s="2">
        <f>VLOOKUP([jobnumber],OvalData[],MATCH(Table2[[#Headers],[Number of Insolated Top Slats]],Table2[#Headers],0),0)</f>
        <v>45</v>
      </c>
      <c r="BR320" s="2">
        <f>VLOOKUP([jobnumber],OvalData[],MATCH(Table2[[#Headers],[Insolated Total Slats]],Table2[#Headers],0),0)</f>
        <v>45</v>
      </c>
      <c r="BS320" s="2">
        <f>VLOOKUP([jobnumber],OvalData[],MATCH(Table2[[#Headers],[Number of Slats]],Table2[#Headers],0),0)</f>
        <v>44.69</v>
      </c>
      <c r="BT320" s="2">
        <f>VLOOKUP([jobnumber],OvalData[],MATCH(Table2[[#Headers],[Wrap]],Table2[#Headers],0),0)</f>
        <v>0</v>
      </c>
      <c r="BU320" s="2">
        <f>VLOOKUP([jobnumber],OvalData[],MATCH(Table2[[#Headers],[Wall Angle Thickness]],Table2[#Headers],0),0)</f>
        <v>0</v>
      </c>
      <c r="BV320" s="2">
        <f>VLOOKUP([jobnumber],OvalData[],MATCH(Table2[[#Headers],[windlocks]],Table2[#Headers],0),0)</f>
        <v>0</v>
      </c>
      <c r="BW320" s="2" t="str">
        <f>VLOOKUP([jobnumber],OvalData[],MATCH(Table2[[#Headers],[bottombartype]],Table2[#Headers],0),0)</f>
        <v>SPECIAL</v>
      </c>
      <c r="BX320" s="2">
        <f>VLOOKUP([jobnumber],OvalData[],MATCH(Table2[[#Headers],[endlockweight]],Table2[#Headers],0),0)</f>
        <v>0.17</v>
      </c>
      <c r="BY320" s="2">
        <f>VLOOKUP([jobnumber],OvalData[],MATCH(Table2[[#Headers],[Endlock Total Weight]],Table2[#Headers],0),0)</f>
        <v>7.5972999999999997</v>
      </c>
      <c r="BZ320" s="2">
        <f>VLOOKUP([jobnumber],OvalData[],MATCH(Table2[[#Headers],[Grille Weight]],Table2[#Headers],0),0)</f>
        <v>0</v>
      </c>
      <c r="CA320" s="2">
        <f>VLOOKUP([jobnumber],OvalData[],MATCH(Table2[[#Headers],[barrelrings]],Table2[#Headers],0),0)</f>
        <v>1</v>
      </c>
    </row>
    <row r="321" spans="2:79">
      <c r="B321" s="2" t="str">
        <f>VLOOKUP([jobnumber],OvalData[],MATCH(Table2[[#Headers],[Hand]],Table2[#Headers],0),0)</f>
        <v>RH</v>
      </c>
      <c r="C321" s="2" t="str">
        <f>VLOOKUP([jobnumber],OvalData[],MATCH(Table2[[#Headers],[Model]],Table2[#Headers],0),0)</f>
        <v>SFMPP</v>
      </c>
      <c r="D321" s="2" t="str">
        <f>VLOOKUP([jobnumber],OvalData[],MATCH(Table2[[#Headers],[width]],Table2[#Headers],0),0)</f>
        <v xml:space="preserve"> 18 ft.- 2"</v>
      </c>
      <c r="E321" s="2" t="str">
        <f>VLOOKUP([jobnumber],OvalData[],MATCH(Table2[[#Headers],[stopheight]],Table2[#Headers],0),0)</f>
        <v xml:space="preserve"> 10 ft.- 0"</v>
      </c>
      <c r="F321" s="2" t="str">
        <f>VLOOKUP([jobnumber],OvalData[],MATCH(Table2[[#Headers],[Between Brackets]],Table2[#Headers],0),0)</f>
        <v xml:space="preserve"> 18 ft.- 7 7/ 8"</v>
      </c>
      <c r="G321" s="2" t="str">
        <f>VLOOKUP([jobnumber],OvalData[],MATCH(Table2[[#Headers],[shell]],Table2[#Headers],0),0)</f>
        <v>6 INCH TUBE</v>
      </c>
      <c r="H321" s="2" t="str">
        <f>VLOOKUP([jobnumber],OvalData[],MATCH(Table2[[#Headers],[pipewidth]],Table2[#Headers],0),0)</f>
        <v xml:space="preserve"> 18 ft.- 1 3/ 8"</v>
      </c>
      <c r="I321" s="2">
        <f>VLOOKUP([jobnumber],OvalData[],MATCH(Table2[[#Headers],[Support Tubes]],Table2[#Headers],0),0)</f>
        <v>0</v>
      </c>
      <c r="J321" s="2">
        <f>VLOOKUP([jobnumber],OvalData[],MATCH(Table2[[#Headers],[Upset]],Table2[#Headers],0),0)</f>
        <v>2</v>
      </c>
      <c r="K321" s="2" t="str">
        <f>VLOOKUP([jobnumber],OvalData[],MATCH(Table2[[#Headers],[Guide Type]],Table2[#Headers],0),0)</f>
        <v>SN2-4 5/8-E</v>
      </c>
      <c r="L321" s="2" t="str">
        <f>VLOOKUP([jobnumber],OvalData[],MATCH(Table2[[#Headers],[Wall Angle]],Table2[#Headers],0),0)</f>
        <v xml:space="preserve"> 11 ft.- 8"</v>
      </c>
      <c r="M321" s="2" t="str">
        <f>VLOOKUP([jobnumber],OvalData[],MATCH(Table2[[#Headers],[Middle Angle]],Table2[#Headers],0),0)</f>
        <v xml:space="preserve"> 10 ft.- 4 1/ 2"</v>
      </c>
      <c r="N321" s="2" t="str">
        <f>VLOOKUP([jobnumber],OvalData[],MATCH(Table2[[#Headers],[Front Angle]],Table2[#Headers],0),0)</f>
        <v xml:space="preserve"> 10 ft.- 3"</v>
      </c>
      <c r="O321" s="2">
        <f>VLOOKUP([jobnumber],OvalData[],MATCH(Table2[[#Headers],[Pipe Center Line]],Table2[#Headers],0),0)</f>
        <v>131</v>
      </c>
      <c r="P321" s="2">
        <f>VLOOKUP([jobnumber],OvalData[],MATCH(Table2[[#Headers],[Heat Expansion Gap]],Table2[#Headers],0),0)</f>
        <v>0</v>
      </c>
      <c r="Q321" s="2">
        <f>VLOOKUP([jobnumber],OvalData[],MATCH(Table2[[#Headers],[Hanging Weight Closed]],Table2[#Headers],0),0)</f>
        <v>795</v>
      </c>
      <c r="R321" s="2">
        <f>VLOOKUP([jobnumber],OvalData[],MATCH(Table2[[#Headers],[Hanging Weight Open]],Table2[#Headers],0),0)</f>
        <v>140</v>
      </c>
      <c r="S321" s="2">
        <f>VLOOKUP([jobnumber],OvalData[],MATCH(Table2[[#Headers],[Initial Lever Arm]],Table2[#Headers],0),0)</f>
        <v>4.25</v>
      </c>
      <c r="T321" s="2">
        <f>VLOOKUP([jobnumber],OvalData[],MATCH(Table2[[#Headers],[Turns to Raise]],Table2[#Headers],0),0)</f>
        <v>3.5859999999999999</v>
      </c>
      <c r="U321" s="2">
        <f>VLOOKUP([jobnumber],OvalData[],MATCH(Table2[[#Headers],[Final Lever Arm]],Table2[#Headers],0),0)</f>
        <v>6.37</v>
      </c>
      <c r="V321" s="2">
        <f>VLOOKUP([jobnumber],OvalData[],MATCH(Table2[[#Headers],[Torque Required Closed]],Table2[#Headers],0),0)</f>
        <v>3377.9</v>
      </c>
      <c r="W321" s="2">
        <f>VLOOKUP([jobnumber],OvalData[],MATCH(Table2[[#Headers],[Torque Required Open]],Table2[#Headers],0),0)</f>
        <v>892</v>
      </c>
      <c r="X321" s="2">
        <f>VLOOKUP([jobnumber],OvalData[],MATCH(Table2[[#Headers],[Pre Turns]],Table2[#Headers],0),0)</f>
        <v>1.3332999999999999</v>
      </c>
      <c r="Y321" s="2">
        <f>VLOOKUP([jobnumber],OvalData[],MATCH(Table2[[#Headers],[Required Torque Per Turn]],Table2[#Headers],0),0)</f>
        <v>688</v>
      </c>
      <c r="Z321" s="2">
        <f>VLOOKUP([jobnumber],OvalData[],MATCH(Table2[[#Headers],[Total Turns]],Table2[#Headers],0),0)</f>
        <v>4.91</v>
      </c>
      <c r="AA321" s="2">
        <f>VLOOKUP([jobnumber],OvalData[],MATCH(Table2[[#Headers],[Grille Vision Section]],Table2[#Headers],0),0)</f>
        <v>0</v>
      </c>
      <c r="AB321" s="2">
        <f>VLOOKUP([jobnumber],OvalData[],MATCH(Table2[[#Headers],[Grille Amount]],Table2[#Headers],0),0)</f>
        <v>0</v>
      </c>
      <c r="AC321" s="2">
        <f>VLOOKUP([jobnumber],OvalData[],MATCH(Table2[[#Headers],[Grille Center]],Table2[#Headers],0),0)</f>
        <v>0</v>
      </c>
      <c r="AD321" s="2">
        <f>VLOOKUP([jobnumber],OvalData[],MATCH(Table2[[#Headers],[Grille Pattern]],Table2[#Headers],0),0)</f>
        <v>0</v>
      </c>
      <c r="AE321" s="2">
        <f>VLOOKUP([jobnumber],OvalData[],MATCH(Table2[[#Headers],[Grille First Tube]],Table2[#Headers],0),0)</f>
        <v>0</v>
      </c>
      <c r="AF321" s="2">
        <f>VLOOKUP([jobnumber],OvalData[],MATCH(Table2[[#Headers],[Grille Standard Tube]],Table2[#Headers],0),0)</f>
        <v>0</v>
      </c>
      <c r="AG321" s="2">
        <f>VLOOKUP([jobnumber],OvalData[],MATCH(Table2[[#Headers],[Grille Total Links]],Table2[#Headers],0),0)</f>
        <v>0</v>
      </c>
      <c r="AH321" s="2">
        <f>VLOOKUP([jobnumber],OvalData[],MATCH(Table2[[#Headers],[Grille Rods]],Table2[#Headers],0),0)</f>
        <v>0</v>
      </c>
      <c r="AI321" s="2">
        <f>VLOOKUP([jobnumber],OvalData[],MATCH(Table2[[#Headers],[Grille Rod Length]],Table2[#Headers],0),0)</f>
        <v>0</v>
      </c>
      <c r="AJ321" s="2">
        <f>VLOOKUP([jobnumber],OvalData[],MATCH(Table2[[#Headers],[slattype]],Table2[#Headers],0),0)</f>
        <v>2</v>
      </c>
      <c r="AK321" s="2">
        <f>VLOOKUP([jobnumber],OvalData[],MATCH(Table2[[#Headers],[slatgage]],Table2[#Headers],0),0)</f>
        <v>18</v>
      </c>
      <c r="AL321" s="2">
        <f>VLOOKUP([jobnumber],OvalData[],MATCH(Table2[[#Headers],[Numer of Top Slats]],Table2[#Headers],0),0)</f>
        <v>0</v>
      </c>
      <c r="AM321" s="2">
        <f>VLOOKUP([jobnumber],OvalData[],MATCH(Table2[[#Headers],[Number of Bottom Slats]],Table2[#Headers],0),0)</f>
        <v>0</v>
      </c>
      <c r="AN321" s="2">
        <f>VLOOKUP([jobnumber],OvalData[],MATCH(Table2[[#Headers],[Solid Bottom Height]],Table2[#Headers],0),0)</f>
        <v>0</v>
      </c>
      <c r="AO321" s="2" t="str">
        <f>VLOOKUP([jobnumber],OvalData[],MATCH(Table2[[#Headers],[slatlength]],Table2[#Headers],0),0)</f>
        <v xml:space="preserve"> 18 ft.- 5 7/ 8"</v>
      </c>
      <c r="AP321" s="2">
        <f>VLOOKUP([jobnumber],OvalData[],MATCH(Table2[[#Headers],[Bottom Slat Length]],Table2[#Headers],0),0)</f>
        <v>0</v>
      </c>
      <c r="AQ321" s="2">
        <f>VLOOKUP([jobnumber],OvalData[],MATCH(Table2[[#Headers],[Number of Perferated Slats]],Table2[#Headers],0),0)</f>
        <v>0</v>
      </c>
      <c r="AR321" s="2">
        <f>VLOOKUP([jobnumber],OvalData[],MATCH(Table2[[#Headers],[First Preferated Slat From End]],Table2[#Headers],0),0)</f>
        <v>0</v>
      </c>
      <c r="AS321" s="2">
        <f>VLOOKUP([jobnumber],OvalData[],MATCH(Table2[[#Headers],[First Preferated Slat From Bottom]],Table2[#Headers],0),0)</f>
        <v>0</v>
      </c>
      <c r="AT321" s="2">
        <f>VLOOKUP([jobnumber],OvalData[],MATCH(Table2[[#Headers],[Total Number of Slats]],Table2[#Headers],0),0)</f>
        <v>51</v>
      </c>
      <c r="AU321" s="2">
        <f>VLOOKUP([jobnumber],OvalData[],MATCH(Table2[[#Headers],[Bottom Bar Slope]],Table2[#Headers],0),0)</f>
        <v>0</v>
      </c>
      <c r="AV321" s="2">
        <f>VLOOKUP([jobnumber],OvalData[],MATCH(Table2[[#Headers],[Bottom Bar Weight]],Table2[#Headers],0),0)</f>
        <v>80.5</v>
      </c>
      <c r="AW321" s="2" t="str">
        <f>VLOOKUP([jobnumber],OvalData[],MATCH(Table2[[#Headers],[Outer Spring Gage]],Table2[#Headers],0),0)</f>
        <v>Null</v>
      </c>
      <c r="AX321" s="2" t="str">
        <f>VLOOKUP([jobnumber],OvalData[],MATCH(Table2[[#Headers],[Outer Spring OD]],Table2[#Headers],0),0)</f>
        <v>Null</v>
      </c>
      <c r="AY321" s="2" t="str">
        <f>VLOOKUP([jobnumber],OvalData[],MATCH(Table2[[#Headers],[Outer Spring Length]],Table2[#Headers],0),0)</f>
        <v>Null</v>
      </c>
      <c r="AZ321" s="2" t="str">
        <f>VLOOKUP([jobnumber],OvalData[],MATCH(Table2[[#Headers],[Outer Spring Stretch]],Table2[#Headers],0),0)</f>
        <v>Null</v>
      </c>
      <c r="BA321" s="2" t="str">
        <f>VLOOKUP([jobnumber],OvalData[],MATCH(Table2[[#Headers],[Outer Spring Torque]],Table2[#Headers],0),0)</f>
        <v>Null</v>
      </c>
      <c r="BB321" s="2" t="str">
        <f>VLOOKUP([jobnumber],OvalData[],MATCH(Table2[[#Headers],[Outer Spring Max Turns]],Table2[#Headers],0),0)</f>
        <v>Null</v>
      </c>
      <c r="BC321" s="2" t="str">
        <f>VLOOKUP([jobnumber],OvalData[],MATCH(Table2[[#Headers],[Outer Spring Weight]],Table2[#Headers],0),0)</f>
        <v>Null</v>
      </c>
      <c r="BD321" s="2" t="str">
        <f>VLOOKUP([jobnumber],OvalData[],MATCH(Table2[[#Headers],[Inner Spring Gage]],Table2[#Headers],0),0)</f>
        <v>Null</v>
      </c>
      <c r="BE321" s="2" t="str">
        <f>VLOOKUP([jobnumber],OvalData[],MATCH(Table2[[#Headers],[Inner Spring OD]],Table2[#Headers],0),0)</f>
        <v>Null</v>
      </c>
      <c r="BF321" s="2" t="str">
        <f>VLOOKUP([jobnumber],OvalData[],MATCH(Table2[[#Headers],[Inner Spring Length]],Table2[#Headers],0),0)</f>
        <v>Null</v>
      </c>
      <c r="BG321" s="2" t="str">
        <f>VLOOKUP([jobnumber],OvalData[],MATCH(Table2[[#Headers],[Inner Spring Stretch]],Table2[#Headers],0),0)</f>
        <v>Null</v>
      </c>
      <c r="BH321" s="2" t="str">
        <f>VLOOKUP([jobnumber],OvalData[],MATCH(Table2[[#Headers],[Inner Spring Torque]],Table2[#Headers],0),0)</f>
        <v>Null</v>
      </c>
      <c r="BI321" s="2" t="str">
        <f>VLOOKUP([jobnumber],OvalData[],MATCH(Table2[[#Headers],[Inner Spring Max Turns]],Table2[#Headers],0),0)</f>
        <v>Null</v>
      </c>
      <c r="BJ321" s="2" t="str">
        <f>VLOOKUP([jobnumber],OvalData[],MATCH(Table2[[#Headers],[Inner Spring Weight]],Table2[#Headers],0),0)</f>
        <v>Null</v>
      </c>
      <c r="BK321" s="2">
        <f>VLOOKUP([jobnumber],OvalData[],MATCH(Table2[[#Headers],[Cycles]],Table2[#Headers],0),0)</f>
        <v>0</v>
      </c>
      <c r="BL321" s="2">
        <f>VLOOKUP([jobnumber],OvalData[],MATCH(Table2[[#Headers],[Total Spring Torque]],Table2[#Headers],0),0)</f>
        <v>0</v>
      </c>
      <c r="BM321" s="2">
        <f>VLOOKUP([jobnumber],OvalData[],MATCH(Table2[[#Headers],[Total Spring Weight]],Table2[#Headers],0),0)</f>
        <v>0</v>
      </c>
      <c r="BN321" s="2">
        <f>VLOOKUP([jobnumber],OvalData[],MATCH(Table2[[#Headers],[Pipe Weight]],Table2[#Headers],0),0)</f>
        <v>688.24239999999998</v>
      </c>
      <c r="BO321" s="2">
        <f>VLOOKUP([jobnumber],OvalData[],MATCH(Table2[[#Headers],[Max Pipe Deflection]],Table2[#Headers],0),0)</f>
        <v>2309</v>
      </c>
      <c r="BP321" s="2">
        <f>VLOOKUP([jobnumber],OvalData[],MATCH(Table2[[#Headers],[Number Non-Insulated Wrap Slats]],Table2[#Headers],0),0)</f>
        <v>0</v>
      </c>
      <c r="BQ321" s="2">
        <f>VLOOKUP([jobnumber],OvalData[],MATCH(Table2[[#Headers],[Number of Insolated Top Slats]],Table2[#Headers],0),0)</f>
        <v>45</v>
      </c>
      <c r="BR321" s="2">
        <f>VLOOKUP([jobnumber],OvalData[],MATCH(Table2[[#Headers],[Insolated Total Slats]],Table2[#Headers],0),0)</f>
        <v>45</v>
      </c>
      <c r="BS321" s="2">
        <f>VLOOKUP([jobnumber],OvalData[],MATCH(Table2[[#Headers],[Number of Slats]],Table2[#Headers],0),0)</f>
        <v>44.69</v>
      </c>
      <c r="BT321" s="2">
        <f>VLOOKUP([jobnumber],OvalData[],MATCH(Table2[[#Headers],[Wrap]],Table2[#Headers],0),0)</f>
        <v>0</v>
      </c>
      <c r="BU321" s="2">
        <f>VLOOKUP([jobnumber],OvalData[],MATCH(Table2[[#Headers],[Wall Angle Thickness]],Table2[#Headers],0),0)</f>
        <v>0</v>
      </c>
      <c r="BV321" s="2">
        <f>VLOOKUP([jobnumber],OvalData[],MATCH(Table2[[#Headers],[windlocks]],Table2[#Headers],0),0)</f>
        <v>0</v>
      </c>
      <c r="BW321" s="2" t="str">
        <f>VLOOKUP([jobnumber],OvalData[],MATCH(Table2[[#Headers],[bottombartype]],Table2[#Headers],0),0)</f>
        <v>SPECIAL</v>
      </c>
      <c r="BX321" s="2">
        <f>VLOOKUP([jobnumber],OvalData[],MATCH(Table2[[#Headers],[endlockweight]],Table2[#Headers],0),0)</f>
        <v>0.17</v>
      </c>
      <c r="BY321" s="2">
        <f>VLOOKUP([jobnumber],OvalData[],MATCH(Table2[[#Headers],[Endlock Total Weight]],Table2[#Headers],0),0)</f>
        <v>7.5972999999999997</v>
      </c>
      <c r="BZ321" s="2">
        <f>VLOOKUP([jobnumber],OvalData[],MATCH(Table2[[#Headers],[Grille Weight]],Table2[#Headers],0),0)</f>
        <v>0</v>
      </c>
      <c r="CA321" s="2">
        <f>VLOOKUP([jobnumber],OvalData[],MATCH(Table2[[#Headers],[barrelrings]],Table2[#Headers],0),0)</f>
        <v>1</v>
      </c>
    </row>
    <row r="322" spans="2:79">
      <c r="B322" s="2" t="str">
        <f>VLOOKUP([jobnumber],OvalData[],MATCH(Table2[[#Headers],[Hand]],Table2[#Headers],0),0)</f>
        <v>RH</v>
      </c>
      <c r="C322" s="2" t="str">
        <f>VLOOKUP([jobnumber],OvalData[],MATCH(Table2[[#Headers],[Model]],Table2[#Headers],0),0)</f>
        <v>SFMPP</v>
      </c>
      <c r="D322" s="2" t="str">
        <f>VLOOKUP([jobnumber],OvalData[],MATCH(Table2[[#Headers],[width]],Table2[#Headers],0),0)</f>
        <v xml:space="preserve"> 18 ft.- 2"</v>
      </c>
      <c r="E322" s="2" t="str">
        <f>VLOOKUP([jobnumber],OvalData[],MATCH(Table2[[#Headers],[stopheight]],Table2[#Headers],0),0)</f>
        <v xml:space="preserve"> 10 ft.- 0"</v>
      </c>
      <c r="F322" s="2" t="str">
        <f>VLOOKUP([jobnumber],OvalData[],MATCH(Table2[[#Headers],[Between Brackets]],Table2[#Headers],0),0)</f>
        <v xml:space="preserve"> 18 ft.- 7 7/ 8"</v>
      </c>
      <c r="G322" s="2" t="str">
        <f>VLOOKUP([jobnumber],OvalData[],MATCH(Table2[[#Headers],[shell]],Table2[#Headers],0),0)</f>
        <v>6 INCH TUBE</v>
      </c>
      <c r="H322" s="2" t="str">
        <f>VLOOKUP([jobnumber],OvalData[],MATCH(Table2[[#Headers],[pipewidth]],Table2[#Headers],0),0)</f>
        <v xml:space="preserve"> 18 ft.- 1 3/ 8"</v>
      </c>
      <c r="I322" s="2">
        <f>VLOOKUP([jobnumber],OvalData[],MATCH(Table2[[#Headers],[Support Tubes]],Table2[#Headers],0),0)</f>
        <v>0</v>
      </c>
      <c r="J322" s="2">
        <f>VLOOKUP([jobnumber],OvalData[],MATCH(Table2[[#Headers],[Upset]],Table2[#Headers],0),0)</f>
        <v>2</v>
      </c>
      <c r="K322" s="2" t="str">
        <f>VLOOKUP([jobnumber],OvalData[],MATCH(Table2[[#Headers],[Guide Type]],Table2[#Headers],0),0)</f>
        <v>SN2-4 5/8-E</v>
      </c>
      <c r="L322" s="2" t="str">
        <f>VLOOKUP([jobnumber],OvalData[],MATCH(Table2[[#Headers],[Wall Angle]],Table2[#Headers],0),0)</f>
        <v xml:space="preserve"> 11 ft.- 8"</v>
      </c>
      <c r="M322" s="2" t="str">
        <f>VLOOKUP([jobnumber],OvalData[],MATCH(Table2[[#Headers],[Middle Angle]],Table2[#Headers],0),0)</f>
        <v xml:space="preserve"> 10 ft.- 4 1/ 2"</v>
      </c>
      <c r="N322" s="2" t="str">
        <f>VLOOKUP([jobnumber],OvalData[],MATCH(Table2[[#Headers],[Front Angle]],Table2[#Headers],0),0)</f>
        <v xml:space="preserve"> 10 ft.- 3"</v>
      </c>
      <c r="O322" s="2">
        <f>VLOOKUP([jobnumber],OvalData[],MATCH(Table2[[#Headers],[Pipe Center Line]],Table2[#Headers],0),0)</f>
        <v>131</v>
      </c>
      <c r="P322" s="2">
        <f>VLOOKUP([jobnumber],OvalData[],MATCH(Table2[[#Headers],[Heat Expansion Gap]],Table2[#Headers],0),0)</f>
        <v>0</v>
      </c>
      <c r="Q322" s="2">
        <f>VLOOKUP([jobnumber],OvalData[],MATCH(Table2[[#Headers],[Hanging Weight Closed]],Table2[#Headers],0),0)</f>
        <v>795</v>
      </c>
      <c r="R322" s="2">
        <f>VLOOKUP([jobnumber],OvalData[],MATCH(Table2[[#Headers],[Hanging Weight Open]],Table2[#Headers],0),0)</f>
        <v>140</v>
      </c>
      <c r="S322" s="2">
        <f>VLOOKUP([jobnumber],OvalData[],MATCH(Table2[[#Headers],[Initial Lever Arm]],Table2[#Headers],0),0)</f>
        <v>4.25</v>
      </c>
      <c r="T322" s="2">
        <f>VLOOKUP([jobnumber],OvalData[],MATCH(Table2[[#Headers],[Turns to Raise]],Table2[#Headers],0),0)</f>
        <v>3.5859999999999999</v>
      </c>
      <c r="U322" s="2">
        <f>VLOOKUP([jobnumber],OvalData[],MATCH(Table2[[#Headers],[Final Lever Arm]],Table2[#Headers],0),0)</f>
        <v>6.37</v>
      </c>
      <c r="V322" s="2">
        <f>VLOOKUP([jobnumber],OvalData[],MATCH(Table2[[#Headers],[Torque Required Closed]],Table2[#Headers],0),0)</f>
        <v>3377.9</v>
      </c>
      <c r="W322" s="2">
        <f>VLOOKUP([jobnumber],OvalData[],MATCH(Table2[[#Headers],[Torque Required Open]],Table2[#Headers],0),0)</f>
        <v>892</v>
      </c>
      <c r="X322" s="2">
        <f>VLOOKUP([jobnumber],OvalData[],MATCH(Table2[[#Headers],[Pre Turns]],Table2[#Headers],0),0)</f>
        <v>1.3332999999999999</v>
      </c>
      <c r="Y322" s="2">
        <f>VLOOKUP([jobnumber],OvalData[],MATCH(Table2[[#Headers],[Required Torque Per Turn]],Table2[#Headers],0),0)</f>
        <v>688</v>
      </c>
      <c r="Z322" s="2">
        <f>VLOOKUP([jobnumber],OvalData[],MATCH(Table2[[#Headers],[Total Turns]],Table2[#Headers],0),0)</f>
        <v>4.91</v>
      </c>
      <c r="AA322" s="2">
        <f>VLOOKUP([jobnumber],OvalData[],MATCH(Table2[[#Headers],[Grille Vision Section]],Table2[#Headers],0),0)</f>
        <v>0</v>
      </c>
      <c r="AB322" s="2">
        <f>VLOOKUP([jobnumber],OvalData[],MATCH(Table2[[#Headers],[Grille Amount]],Table2[#Headers],0),0)</f>
        <v>0</v>
      </c>
      <c r="AC322" s="2">
        <f>VLOOKUP([jobnumber],OvalData[],MATCH(Table2[[#Headers],[Grille Center]],Table2[#Headers],0),0)</f>
        <v>0</v>
      </c>
      <c r="AD322" s="2">
        <f>VLOOKUP([jobnumber],OvalData[],MATCH(Table2[[#Headers],[Grille Pattern]],Table2[#Headers],0),0)</f>
        <v>0</v>
      </c>
      <c r="AE322" s="2">
        <f>VLOOKUP([jobnumber],OvalData[],MATCH(Table2[[#Headers],[Grille First Tube]],Table2[#Headers],0),0)</f>
        <v>0</v>
      </c>
      <c r="AF322" s="2">
        <f>VLOOKUP([jobnumber],OvalData[],MATCH(Table2[[#Headers],[Grille Standard Tube]],Table2[#Headers],0),0)</f>
        <v>0</v>
      </c>
      <c r="AG322" s="2">
        <f>VLOOKUP([jobnumber],OvalData[],MATCH(Table2[[#Headers],[Grille Total Links]],Table2[#Headers],0),0)</f>
        <v>0</v>
      </c>
      <c r="AH322" s="2">
        <f>VLOOKUP([jobnumber],OvalData[],MATCH(Table2[[#Headers],[Grille Rods]],Table2[#Headers],0),0)</f>
        <v>0</v>
      </c>
      <c r="AI322" s="2">
        <f>VLOOKUP([jobnumber],OvalData[],MATCH(Table2[[#Headers],[Grille Rod Length]],Table2[#Headers],0),0)</f>
        <v>0</v>
      </c>
      <c r="AJ322" s="2">
        <f>VLOOKUP([jobnumber],OvalData[],MATCH(Table2[[#Headers],[slattype]],Table2[#Headers],0),0)</f>
        <v>2</v>
      </c>
      <c r="AK322" s="2">
        <f>VLOOKUP([jobnumber],OvalData[],MATCH(Table2[[#Headers],[slatgage]],Table2[#Headers],0),0)</f>
        <v>18</v>
      </c>
      <c r="AL322" s="2">
        <f>VLOOKUP([jobnumber],OvalData[],MATCH(Table2[[#Headers],[Numer of Top Slats]],Table2[#Headers],0),0)</f>
        <v>0</v>
      </c>
      <c r="AM322" s="2">
        <f>VLOOKUP([jobnumber],OvalData[],MATCH(Table2[[#Headers],[Number of Bottom Slats]],Table2[#Headers],0),0)</f>
        <v>0</v>
      </c>
      <c r="AN322" s="2">
        <f>VLOOKUP([jobnumber],OvalData[],MATCH(Table2[[#Headers],[Solid Bottom Height]],Table2[#Headers],0),0)</f>
        <v>0</v>
      </c>
      <c r="AO322" s="2" t="str">
        <f>VLOOKUP([jobnumber],OvalData[],MATCH(Table2[[#Headers],[slatlength]],Table2[#Headers],0),0)</f>
        <v xml:space="preserve"> 18 ft.- 5 7/ 8"</v>
      </c>
      <c r="AP322" s="2">
        <f>VLOOKUP([jobnumber],OvalData[],MATCH(Table2[[#Headers],[Bottom Slat Length]],Table2[#Headers],0),0)</f>
        <v>0</v>
      </c>
      <c r="AQ322" s="2">
        <f>VLOOKUP([jobnumber],OvalData[],MATCH(Table2[[#Headers],[Number of Perferated Slats]],Table2[#Headers],0),0)</f>
        <v>0</v>
      </c>
      <c r="AR322" s="2">
        <f>VLOOKUP([jobnumber],OvalData[],MATCH(Table2[[#Headers],[First Preferated Slat From End]],Table2[#Headers],0),0)</f>
        <v>0</v>
      </c>
      <c r="AS322" s="2">
        <f>VLOOKUP([jobnumber],OvalData[],MATCH(Table2[[#Headers],[First Preferated Slat From Bottom]],Table2[#Headers],0),0)</f>
        <v>0</v>
      </c>
      <c r="AT322" s="2">
        <f>VLOOKUP([jobnumber],OvalData[],MATCH(Table2[[#Headers],[Total Number of Slats]],Table2[#Headers],0),0)</f>
        <v>51</v>
      </c>
      <c r="AU322" s="2">
        <f>VLOOKUP([jobnumber],OvalData[],MATCH(Table2[[#Headers],[Bottom Bar Slope]],Table2[#Headers],0),0)</f>
        <v>0</v>
      </c>
      <c r="AV322" s="2">
        <f>VLOOKUP([jobnumber],OvalData[],MATCH(Table2[[#Headers],[Bottom Bar Weight]],Table2[#Headers],0),0)</f>
        <v>80.5</v>
      </c>
      <c r="AW322" s="2" t="str">
        <f>VLOOKUP([jobnumber],OvalData[],MATCH(Table2[[#Headers],[Outer Spring Gage]],Table2[#Headers],0),0)</f>
        <v>Null</v>
      </c>
      <c r="AX322" s="2" t="str">
        <f>VLOOKUP([jobnumber],OvalData[],MATCH(Table2[[#Headers],[Outer Spring OD]],Table2[#Headers],0),0)</f>
        <v>Null</v>
      </c>
      <c r="AY322" s="2" t="str">
        <f>VLOOKUP([jobnumber],OvalData[],MATCH(Table2[[#Headers],[Outer Spring Length]],Table2[#Headers],0),0)</f>
        <v>Null</v>
      </c>
      <c r="AZ322" s="2" t="str">
        <f>VLOOKUP([jobnumber],OvalData[],MATCH(Table2[[#Headers],[Outer Spring Stretch]],Table2[#Headers],0),0)</f>
        <v>Null</v>
      </c>
      <c r="BA322" s="2" t="str">
        <f>VLOOKUP([jobnumber],OvalData[],MATCH(Table2[[#Headers],[Outer Spring Torque]],Table2[#Headers],0),0)</f>
        <v>Null</v>
      </c>
      <c r="BB322" s="2" t="str">
        <f>VLOOKUP([jobnumber],OvalData[],MATCH(Table2[[#Headers],[Outer Spring Max Turns]],Table2[#Headers],0),0)</f>
        <v>Null</v>
      </c>
      <c r="BC322" s="2" t="str">
        <f>VLOOKUP([jobnumber],OvalData[],MATCH(Table2[[#Headers],[Outer Spring Weight]],Table2[#Headers],0),0)</f>
        <v>Null</v>
      </c>
      <c r="BD322" s="2" t="str">
        <f>VLOOKUP([jobnumber],OvalData[],MATCH(Table2[[#Headers],[Inner Spring Gage]],Table2[#Headers],0),0)</f>
        <v>Null</v>
      </c>
      <c r="BE322" s="2" t="str">
        <f>VLOOKUP([jobnumber],OvalData[],MATCH(Table2[[#Headers],[Inner Spring OD]],Table2[#Headers],0),0)</f>
        <v>Null</v>
      </c>
      <c r="BF322" s="2" t="str">
        <f>VLOOKUP([jobnumber],OvalData[],MATCH(Table2[[#Headers],[Inner Spring Length]],Table2[#Headers],0),0)</f>
        <v>Null</v>
      </c>
      <c r="BG322" s="2" t="str">
        <f>VLOOKUP([jobnumber],OvalData[],MATCH(Table2[[#Headers],[Inner Spring Stretch]],Table2[#Headers],0),0)</f>
        <v>Null</v>
      </c>
      <c r="BH322" s="2" t="str">
        <f>VLOOKUP([jobnumber],OvalData[],MATCH(Table2[[#Headers],[Inner Spring Torque]],Table2[#Headers],0),0)</f>
        <v>Null</v>
      </c>
      <c r="BI322" s="2" t="str">
        <f>VLOOKUP([jobnumber],OvalData[],MATCH(Table2[[#Headers],[Inner Spring Max Turns]],Table2[#Headers],0),0)</f>
        <v>Null</v>
      </c>
      <c r="BJ322" s="2" t="str">
        <f>VLOOKUP([jobnumber],OvalData[],MATCH(Table2[[#Headers],[Inner Spring Weight]],Table2[#Headers],0),0)</f>
        <v>Null</v>
      </c>
      <c r="BK322" s="2">
        <f>VLOOKUP([jobnumber],OvalData[],MATCH(Table2[[#Headers],[Cycles]],Table2[#Headers],0),0)</f>
        <v>0</v>
      </c>
      <c r="BL322" s="2">
        <f>VLOOKUP([jobnumber],OvalData[],MATCH(Table2[[#Headers],[Total Spring Torque]],Table2[#Headers],0),0)</f>
        <v>0</v>
      </c>
      <c r="BM322" s="2">
        <f>VLOOKUP([jobnumber],OvalData[],MATCH(Table2[[#Headers],[Total Spring Weight]],Table2[#Headers],0),0)</f>
        <v>0</v>
      </c>
      <c r="BN322" s="2">
        <f>VLOOKUP([jobnumber],OvalData[],MATCH(Table2[[#Headers],[Pipe Weight]],Table2[#Headers],0),0)</f>
        <v>688.24239999999998</v>
      </c>
      <c r="BO322" s="2">
        <f>VLOOKUP([jobnumber],OvalData[],MATCH(Table2[[#Headers],[Max Pipe Deflection]],Table2[#Headers],0),0)</f>
        <v>2309</v>
      </c>
      <c r="BP322" s="2">
        <f>VLOOKUP([jobnumber],OvalData[],MATCH(Table2[[#Headers],[Number Non-Insulated Wrap Slats]],Table2[#Headers],0),0)</f>
        <v>0</v>
      </c>
      <c r="BQ322" s="2">
        <f>VLOOKUP([jobnumber],OvalData[],MATCH(Table2[[#Headers],[Number of Insolated Top Slats]],Table2[#Headers],0),0)</f>
        <v>45</v>
      </c>
      <c r="BR322" s="2">
        <f>VLOOKUP([jobnumber],OvalData[],MATCH(Table2[[#Headers],[Insolated Total Slats]],Table2[#Headers],0),0)</f>
        <v>45</v>
      </c>
      <c r="BS322" s="2">
        <f>VLOOKUP([jobnumber],OvalData[],MATCH(Table2[[#Headers],[Number of Slats]],Table2[#Headers],0),0)</f>
        <v>44.69</v>
      </c>
      <c r="BT322" s="2">
        <f>VLOOKUP([jobnumber],OvalData[],MATCH(Table2[[#Headers],[Wrap]],Table2[#Headers],0),0)</f>
        <v>0</v>
      </c>
      <c r="BU322" s="2">
        <f>VLOOKUP([jobnumber],OvalData[],MATCH(Table2[[#Headers],[Wall Angle Thickness]],Table2[#Headers],0),0)</f>
        <v>0</v>
      </c>
      <c r="BV322" s="2">
        <f>VLOOKUP([jobnumber],OvalData[],MATCH(Table2[[#Headers],[windlocks]],Table2[#Headers],0),0)</f>
        <v>0</v>
      </c>
      <c r="BW322" s="2" t="str">
        <f>VLOOKUP([jobnumber],OvalData[],MATCH(Table2[[#Headers],[bottombartype]],Table2[#Headers],0),0)</f>
        <v>SPECIAL</v>
      </c>
      <c r="BX322" s="2">
        <f>VLOOKUP([jobnumber],OvalData[],MATCH(Table2[[#Headers],[endlockweight]],Table2[#Headers],0),0)</f>
        <v>0.17</v>
      </c>
      <c r="BY322" s="2">
        <f>VLOOKUP([jobnumber],OvalData[],MATCH(Table2[[#Headers],[Endlock Total Weight]],Table2[#Headers],0),0)</f>
        <v>7.5972999999999997</v>
      </c>
      <c r="BZ322" s="2">
        <f>VLOOKUP([jobnumber],OvalData[],MATCH(Table2[[#Headers],[Grille Weight]],Table2[#Headers],0),0)</f>
        <v>0</v>
      </c>
      <c r="CA322" s="2">
        <f>VLOOKUP([jobnumber],OvalData[],MATCH(Table2[[#Headers],[barrelrings]],Table2[#Headers],0),0)</f>
        <v>1</v>
      </c>
    </row>
    <row r="323" spans="2:79">
      <c r="B323" s="2" t="str">
        <f>VLOOKUP([jobnumber],OvalData[],MATCH(Table2[[#Headers],[Hand]],Table2[#Headers],0),0)</f>
        <v>RH</v>
      </c>
      <c r="C323" s="2" t="str">
        <f>VLOOKUP([jobnumber],OvalData[],MATCH(Table2[[#Headers],[Model]],Table2[#Headers],0),0)</f>
        <v>SFMPP</v>
      </c>
      <c r="D323" s="2" t="str">
        <f>VLOOKUP([jobnumber],OvalData[],MATCH(Table2[[#Headers],[width]],Table2[#Headers],0),0)</f>
        <v xml:space="preserve"> 18 ft.- 2"</v>
      </c>
      <c r="E323" s="2" t="str">
        <f>VLOOKUP([jobnumber],OvalData[],MATCH(Table2[[#Headers],[stopheight]],Table2[#Headers],0),0)</f>
        <v xml:space="preserve"> 10 ft.- 0"</v>
      </c>
      <c r="F323" s="2" t="str">
        <f>VLOOKUP([jobnumber],OvalData[],MATCH(Table2[[#Headers],[Between Brackets]],Table2[#Headers],0),0)</f>
        <v xml:space="preserve"> 18 ft.- 7 7/ 8"</v>
      </c>
      <c r="G323" s="2" t="str">
        <f>VLOOKUP([jobnumber],OvalData[],MATCH(Table2[[#Headers],[shell]],Table2[#Headers],0),0)</f>
        <v>6 INCH TUBE</v>
      </c>
      <c r="H323" s="2" t="str">
        <f>VLOOKUP([jobnumber],OvalData[],MATCH(Table2[[#Headers],[pipewidth]],Table2[#Headers],0),0)</f>
        <v xml:space="preserve"> 18 ft.- 1 3/ 8"</v>
      </c>
      <c r="I323" s="2">
        <f>VLOOKUP([jobnumber],OvalData[],MATCH(Table2[[#Headers],[Support Tubes]],Table2[#Headers],0),0)</f>
        <v>0</v>
      </c>
      <c r="J323" s="2">
        <f>VLOOKUP([jobnumber],OvalData[],MATCH(Table2[[#Headers],[Upset]],Table2[#Headers],0),0)</f>
        <v>2</v>
      </c>
      <c r="K323" s="2" t="str">
        <f>VLOOKUP([jobnumber],OvalData[],MATCH(Table2[[#Headers],[Guide Type]],Table2[#Headers],0),0)</f>
        <v>SN2-4 5/8-E</v>
      </c>
      <c r="L323" s="2" t="str">
        <f>VLOOKUP([jobnumber],OvalData[],MATCH(Table2[[#Headers],[Wall Angle]],Table2[#Headers],0),0)</f>
        <v xml:space="preserve"> 11 ft.- 8"</v>
      </c>
      <c r="M323" s="2" t="str">
        <f>VLOOKUP([jobnumber],OvalData[],MATCH(Table2[[#Headers],[Middle Angle]],Table2[#Headers],0),0)</f>
        <v xml:space="preserve"> 10 ft.- 4 1/ 2"</v>
      </c>
      <c r="N323" s="2" t="str">
        <f>VLOOKUP([jobnumber],OvalData[],MATCH(Table2[[#Headers],[Front Angle]],Table2[#Headers],0),0)</f>
        <v xml:space="preserve"> 10 ft.- 3"</v>
      </c>
      <c r="O323" s="2">
        <f>VLOOKUP([jobnumber],OvalData[],MATCH(Table2[[#Headers],[Pipe Center Line]],Table2[#Headers],0),0)</f>
        <v>131</v>
      </c>
      <c r="P323" s="2">
        <f>VLOOKUP([jobnumber],OvalData[],MATCH(Table2[[#Headers],[Heat Expansion Gap]],Table2[#Headers],0),0)</f>
        <v>0</v>
      </c>
      <c r="Q323" s="2">
        <f>VLOOKUP([jobnumber],OvalData[],MATCH(Table2[[#Headers],[Hanging Weight Closed]],Table2[#Headers],0),0)</f>
        <v>795</v>
      </c>
      <c r="R323" s="2">
        <f>VLOOKUP([jobnumber],OvalData[],MATCH(Table2[[#Headers],[Hanging Weight Open]],Table2[#Headers],0),0)</f>
        <v>140</v>
      </c>
      <c r="S323" s="2">
        <f>VLOOKUP([jobnumber],OvalData[],MATCH(Table2[[#Headers],[Initial Lever Arm]],Table2[#Headers],0),0)</f>
        <v>4.25</v>
      </c>
      <c r="T323" s="2">
        <f>VLOOKUP([jobnumber],OvalData[],MATCH(Table2[[#Headers],[Turns to Raise]],Table2[#Headers],0),0)</f>
        <v>3.5859999999999999</v>
      </c>
      <c r="U323" s="2">
        <f>VLOOKUP([jobnumber],OvalData[],MATCH(Table2[[#Headers],[Final Lever Arm]],Table2[#Headers],0),0)</f>
        <v>6.37</v>
      </c>
      <c r="V323" s="2">
        <f>VLOOKUP([jobnumber],OvalData[],MATCH(Table2[[#Headers],[Torque Required Closed]],Table2[#Headers],0),0)</f>
        <v>3377.9</v>
      </c>
      <c r="W323" s="2">
        <f>VLOOKUP([jobnumber],OvalData[],MATCH(Table2[[#Headers],[Torque Required Open]],Table2[#Headers],0),0)</f>
        <v>892</v>
      </c>
      <c r="X323" s="2">
        <f>VLOOKUP([jobnumber],OvalData[],MATCH(Table2[[#Headers],[Pre Turns]],Table2[#Headers],0),0)</f>
        <v>1.3332999999999999</v>
      </c>
      <c r="Y323" s="2">
        <f>VLOOKUP([jobnumber],OvalData[],MATCH(Table2[[#Headers],[Required Torque Per Turn]],Table2[#Headers],0),0)</f>
        <v>688</v>
      </c>
      <c r="Z323" s="2">
        <f>VLOOKUP([jobnumber],OvalData[],MATCH(Table2[[#Headers],[Total Turns]],Table2[#Headers],0),0)</f>
        <v>4.91</v>
      </c>
      <c r="AA323" s="2">
        <f>VLOOKUP([jobnumber],OvalData[],MATCH(Table2[[#Headers],[Grille Vision Section]],Table2[#Headers],0),0)</f>
        <v>0</v>
      </c>
      <c r="AB323" s="2">
        <f>VLOOKUP([jobnumber],OvalData[],MATCH(Table2[[#Headers],[Grille Amount]],Table2[#Headers],0),0)</f>
        <v>0</v>
      </c>
      <c r="AC323" s="2">
        <f>VLOOKUP([jobnumber],OvalData[],MATCH(Table2[[#Headers],[Grille Center]],Table2[#Headers],0),0)</f>
        <v>0</v>
      </c>
      <c r="AD323" s="2">
        <f>VLOOKUP([jobnumber],OvalData[],MATCH(Table2[[#Headers],[Grille Pattern]],Table2[#Headers],0),0)</f>
        <v>0</v>
      </c>
      <c r="AE323" s="2">
        <f>VLOOKUP([jobnumber],OvalData[],MATCH(Table2[[#Headers],[Grille First Tube]],Table2[#Headers],0),0)</f>
        <v>0</v>
      </c>
      <c r="AF323" s="2">
        <f>VLOOKUP([jobnumber],OvalData[],MATCH(Table2[[#Headers],[Grille Standard Tube]],Table2[#Headers],0),0)</f>
        <v>0</v>
      </c>
      <c r="AG323" s="2">
        <f>VLOOKUP([jobnumber],OvalData[],MATCH(Table2[[#Headers],[Grille Total Links]],Table2[#Headers],0),0)</f>
        <v>0</v>
      </c>
      <c r="AH323" s="2">
        <f>VLOOKUP([jobnumber],OvalData[],MATCH(Table2[[#Headers],[Grille Rods]],Table2[#Headers],0),0)</f>
        <v>0</v>
      </c>
      <c r="AI323" s="2">
        <f>VLOOKUP([jobnumber],OvalData[],MATCH(Table2[[#Headers],[Grille Rod Length]],Table2[#Headers],0),0)</f>
        <v>0</v>
      </c>
      <c r="AJ323" s="2">
        <f>VLOOKUP([jobnumber],OvalData[],MATCH(Table2[[#Headers],[slattype]],Table2[#Headers],0),0)</f>
        <v>2</v>
      </c>
      <c r="AK323" s="2">
        <f>VLOOKUP([jobnumber],OvalData[],MATCH(Table2[[#Headers],[slatgage]],Table2[#Headers],0),0)</f>
        <v>18</v>
      </c>
      <c r="AL323" s="2">
        <f>VLOOKUP([jobnumber],OvalData[],MATCH(Table2[[#Headers],[Numer of Top Slats]],Table2[#Headers],0),0)</f>
        <v>0</v>
      </c>
      <c r="AM323" s="2">
        <f>VLOOKUP([jobnumber],OvalData[],MATCH(Table2[[#Headers],[Number of Bottom Slats]],Table2[#Headers],0),0)</f>
        <v>0</v>
      </c>
      <c r="AN323" s="2">
        <f>VLOOKUP([jobnumber],OvalData[],MATCH(Table2[[#Headers],[Solid Bottom Height]],Table2[#Headers],0),0)</f>
        <v>0</v>
      </c>
      <c r="AO323" s="2" t="str">
        <f>VLOOKUP([jobnumber],OvalData[],MATCH(Table2[[#Headers],[slatlength]],Table2[#Headers],0),0)</f>
        <v xml:space="preserve"> 18 ft.- 5 7/ 8"</v>
      </c>
      <c r="AP323" s="2">
        <f>VLOOKUP([jobnumber],OvalData[],MATCH(Table2[[#Headers],[Bottom Slat Length]],Table2[#Headers],0),0)</f>
        <v>0</v>
      </c>
      <c r="AQ323" s="2">
        <f>VLOOKUP([jobnumber],OvalData[],MATCH(Table2[[#Headers],[Number of Perferated Slats]],Table2[#Headers],0),0)</f>
        <v>0</v>
      </c>
      <c r="AR323" s="2">
        <f>VLOOKUP([jobnumber],OvalData[],MATCH(Table2[[#Headers],[First Preferated Slat From End]],Table2[#Headers],0),0)</f>
        <v>0</v>
      </c>
      <c r="AS323" s="2">
        <f>VLOOKUP([jobnumber],OvalData[],MATCH(Table2[[#Headers],[First Preferated Slat From Bottom]],Table2[#Headers],0),0)</f>
        <v>0</v>
      </c>
      <c r="AT323" s="2">
        <f>VLOOKUP([jobnumber],OvalData[],MATCH(Table2[[#Headers],[Total Number of Slats]],Table2[#Headers],0),0)</f>
        <v>51</v>
      </c>
      <c r="AU323" s="2">
        <f>VLOOKUP([jobnumber],OvalData[],MATCH(Table2[[#Headers],[Bottom Bar Slope]],Table2[#Headers],0),0)</f>
        <v>0</v>
      </c>
      <c r="AV323" s="2">
        <f>VLOOKUP([jobnumber],OvalData[],MATCH(Table2[[#Headers],[Bottom Bar Weight]],Table2[#Headers],0),0)</f>
        <v>80.5</v>
      </c>
      <c r="AW323" s="2" t="str">
        <f>VLOOKUP([jobnumber],OvalData[],MATCH(Table2[[#Headers],[Outer Spring Gage]],Table2[#Headers],0),0)</f>
        <v>Null</v>
      </c>
      <c r="AX323" s="2" t="str">
        <f>VLOOKUP([jobnumber],OvalData[],MATCH(Table2[[#Headers],[Outer Spring OD]],Table2[#Headers],0),0)</f>
        <v>Null</v>
      </c>
      <c r="AY323" s="2" t="str">
        <f>VLOOKUP([jobnumber],OvalData[],MATCH(Table2[[#Headers],[Outer Spring Length]],Table2[#Headers],0),0)</f>
        <v>Null</v>
      </c>
      <c r="AZ323" s="2" t="str">
        <f>VLOOKUP([jobnumber],OvalData[],MATCH(Table2[[#Headers],[Outer Spring Stretch]],Table2[#Headers],0),0)</f>
        <v>Null</v>
      </c>
      <c r="BA323" s="2" t="str">
        <f>VLOOKUP([jobnumber],OvalData[],MATCH(Table2[[#Headers],[Outer Spring Torque]],Table2[#Headers],0),0)</f>
        <v>Null</v>
      </c>
      <c r="BB323" s="2" t="str">
        <f>VLOOKUP([jobnumber],OvalData[],MATCH(Table2[[#Headers],[Outer Spring Max Turns]],Table2[#Headers],0),0)</f>
        <v>Null</v>
      </c>
      <c r="BC323" s="2" t="str">
        <f>VLOOKUP([jobnumber],OvalData[],MATCH(Table2[[#Headers],[Outer Spring Weight]],Table2[#Headers],0),0)</f>
        <v>Null</v>
      </c>
      <c r="BD323" s="2" t="str">
        <f>VLOOKUP([jobnumber],OvalData[],MATCH(Table2[[#Headers],[Inner Spring Gage]],Table2[#Headers],0),0)</f>
        <v>Null</v>
      </c>
      <c r="BE323" s="2" t="str">
        <f>VLOOKUP([jobnumber],OvalData[],MATCH(Table2[[#Headers],[Inner Spring OD]],Table2[#Headers],0),0)</f>
        <v>Null</v>
      </c>
      <c r="BF323" s="2" t="str">
        <f>VLOOKUP([jobnumber],OvalData[],MATCH(Table2[[#Headers],[Inner Spring Length]],Table2[#Headers],0),0)</f>
        <v>Null</v>
      </c>
      <c r="BG323" s="2" t="str">
        <f>VLOOKUP([jobnumber],OvalData[],MATCH(Table2[[#Headers],[Inner Spring Stretch]],Table2[#Headers],0),0)</f>
        <v>Null</v>
      </c>
      <c r="BH323" s="2" t="str">
        <f>VLOOKUP([jobnumber],OvalData[],MATCH(Table2[[#Headers],[Inner Spring Torque]],Table2[#Headers],0),0)</f>
        <v>Null</v>
      </c>
      <c r="BI323" s="2" t="str">
        <f>VLOOKUP([jobnumber],OvalData[],MATCH(Table2[[#Headers],[Inner Spring Max Turns]],Table2[#Headers],0),0)</f>
        <v>Null</v>
      </c>
      <c r="BJ323" s="2" t="str">
        <f>VLOOKUP([jobnumber],OvalData[],MATCH(Table2[[#Headers],[Inner Spring Weight]],Table2[#Headers],0),0)</f>
        <v>Null</v>
      </c>
      <c r="BK323" s="2">
        <f>VLOOKUP([jobnumber],OvalData[],MATCH(Table2[[#Headers],[Cycles]],Table2[#Headers],0),0)</f>
        <v>0</v>
      </c>
      <c r="BL323" s="2">
        <f>VLOOKUP([jobnumber],OvalData[],MATCH(Table2[[#Headers],[Total Spring Torque]],Table2[#Headers],0),0)</f>
        <v>0</v>
      </c>
      <c r="BM323" s="2">
        <f>VLOOKUP([jobnumber],OvalData[],MATCH(Table2[[#Headers],[Total Spring Weight]],Table2[#Headers],0),0)</f>
        <v>0</v>
      </c>
      <c r="BN323" s="2">
        <f>VLOOKUP([jobnumber],OvalData[],MATCH(Table2[[#Headers],[Pipe Weight]],Table2[#Headers],0),0)</f>
        <v>688.24239999999998</v>
      </c>
      <c r="BO323" s="2">
        <f>VLOOKUP([jobnumber],OvalData[],MATCH(Table2[[#Headers],[Max Pipe Deflection]],Table2[#Headers],0),0)</f>
        <v>2309</v>
      </c>
      <c r="BP323" s="2">
        <f>VLOOKUP([jobnumber],OvalData[],MATCH(Table2[[#Headers],[Number Non-Insulated Wrap Slats]],Table2[#Headers],0),0)</f>
        <v>0</v>
      </c>
      <c r="BQ323" s="2">
        <f>VLOOKUP([jobnumber],OvalData[],MATCH(Table2[[#Headers],[Number of Insolated Top Slats]],Table2[#Headers],0),0)</f>
        <v>45</v>
      </c>
      <c r="BR323" s="2">
        <f>VLOOKUP([jobnumber],OvalData[],MATCH(Table2[[#Headers],[Insolated Total Slats]],Table2[#Headers],0),0)</f>
        <v>45</v>
      </c>
      <c r="BS323" s="2">
        <f>VLOOKUP([jobnumber],OvalData[],MATCH(Table2[[#Headers],[Number of Slats]],Table2[#Headers],0),0)</f>
        <v>44.69</v>
      </c>
      <c r="BT323" s="2">
        <f>VLOOKUP([jobnumber],OvalData[],MATCH(Table2[[#Headers],[Wrap]],Table2[#Headers],0),0)</f>
        <v>0</v>
      </c>
      <c r="BU323" s="2">
        <f>VLOOKUP([jobnumber],OvalData[],MATCH(Table2[[#Headers],[Wall Angle Thickness]],Table2[#Headers],0),0)</f>
        <v>0</v>
      </c>
      <c r="BV323" s="2">
        <f>VLOOKUP([jobnumber],OvalData[],MATCH(Table2[[#Headers],[windlocks]],Table2[#Headers],0),0)</f>
        <v>0</v>
      </c>
      <c r="BW323" s="2" t="str">
        <f>VLOOKUP([jobnumber],OvalData[],MATCH(Table2[[#Headers],[bottombartype]],Table2[#Headers],0),0)</f>
        <v>SPECIAL</v>
      </c>
      <c r="BX323" s="2">
        <f>VLOOKUP([jobnumber],OvalData[],MATCH(Table2[[#Headers],[endlockweight]],Table2[#Headers],0),0)</f>
        <v>0.17</v>
      </c>
      <c r="BY323" s="2">
        <f>VLOOKUP([jobnumber],OvalData[],MATCH(Table2[[#Headers],[Endlock Total Weight]],Table2[#Headers],0),0)</f>
        <v>7.5972999999999997</v>
      </c>
      <c r="BZ323" s="2">
        <f>VLOOKUP([jobnumber],OvalData[],MATCH(Table2[[#Headers],[Grille Weight]],Table2[#Headers],0),0)</f>
        <v>0</v>
      </c>
      <c r="CA323" s="2">
        <f>VLOOKUP([jobnumber],OvalData[],MATCH(Table2[[#Headers],[barrelrings]],Table2[#Headers],0),0)</f>
        <v>1</v>
      </c>
    </row>
    <row r="324" spans="2:79">
      <c r="B324" s="2" t="str">
        <f>VLOOKUP([jobnumber],OvalData[],MATCH(Table2[[#Headers],[Hand]],Table2[#Headers],0),0)</f>
        <v>RH</v>
      </c>
      <c r="C324" s="2" t="str">
        <f>VLOOKUP([jobnumber],OvalData[],MATCH(Table2[[#Headers],[Model]],Table2[#Headers],0),0)</f>
        <v>SFMPP</v>
      </c>
      <c r="D324" s="2" t="str">
        <f>VLOOKUP([jobnumber],OvalData[],MATCH(Table2[[#Headers],[width]],Table2[#Headers],0),0)</f>
        <v xml:space="preserve"> 18 ft.- 2"</v>
      </c>
      <c r="E324" s="2" t="str">
        <f>VLOOKUP([jobnumber],OvalData[],MATCH(Table2[[#Headers],[stopheight]],Table2[#Headers],0),0)</f>
        <v xml:space="preserve"> 10 ft.- 0"</v>
      </c>
      <c r="F324" s="2" t="str">
        <f>VLOOKUP([jobnumber],OvalData[],MATCH(Table2[[#Headers],[Between Brackets]],Table2[#Headers],0),0)</f>
        <v xml:space="preserve"> 18 ft.- 7 7/ 8"</v>
      </c>
      <c r="G324" s="2" t="str">
        <f>VLOOKUP([jobnumber],OvalData[],MATCH(Table2[[#Headers],[shell]],Table2[#Headers],0),0)</f>
        <v>6 INCH TUBE</v>
      </c>
      <c r="H324" s="2" t="str">
        <f>VLOOKUP([jobnumber],OvalData[],MATCH(Table2[[#Headers],[pipewidth]],Table2[#Headers],0),0)</f>
        <v xml:space="preserve"> 18 ft.- 1 3/ 8"</v>
      </c>
      <c r="I324" s="2">
        <f>VLOOKUP([jobnumber],OvalData[],MATCH(Table2[[#Headers],[Support Tubes]],Table2[#Headers],0),0)</f>
        <v>0</v>
      </c>
      <c r="J324" s="2">
        <f>VLOOKUP([jobnumber],OvalData[],MATCH(Table2[[#Headers],[Upset]],Table2[#Headers],0),0)</f>
        <v>2</v>
      </c>
      <c r="K324" s="2" t="str">
        <f>VLOOKUP([jobnumber],OvalData[],MATCH(Table2[[#Headers],[Guide Type]],Table2[#Headers],0),0)</f>
        <v>SN2-4 5/8-E</v>
      </c>
      <c r="L324" s="2" t="str">
        <f>VLOOKUP([jobnumber],OvalData[],MATCH(Table2[[#Headers],[Wall Angle]],Table2[#Headers],0),0)</f>
        <v xml:space="preserve"> 11 ft.- 8"</v>
      </c>
      <c r="M324" s="2" t="str">
        <f>VLOOKUP([jobnumber],OvalData[],MATCH(Table2[[#Headers],[Middle Angle]],Table2[#Headers],0),0)</f>
        <v xml:space="preserve"> 10 ft.- 4 1/ 2"</v>
      </c>
      <c r="N324" s="2" t="str">
        <f>VLOOKUP([jobnumber],OvalData[],MATCH(Table2[[#Headers],[Front Angle]],Table2[#Headers],0),0)</f>
        <v xml:space="preserve"> 10 ft.- 3"</v>
      </c>
      <c r="O324" s="2">
        <f>VLOOKUP([jobnumber],OvalData[],MATCH(Table2[[#Headers],[Pipe Center Line]],Table2[#Headers],0),0)</f>
        <v>131</v>
      </c>
      <c r="P324" s="2">
        <f>VLOOKUP([jobnumber],OvalData[],MATCH(Table2[[#Headers],[Heat Expansion Gap]],Table2[#Headers],0),0)</f>
        <v>0</v>
      </c>
      <c r="Q324" s="2">
        <f>VLOOKUP([jobnumber],OvalData[],MATCH(Table2[[#Headers],[Hanging Weight Closed]],Table2[#Headers],0),0)</f>
        <v>795</v>
      </c>
      <c r="R324" s="2">
        <f>VLOOKUP([jobnumber],OvalData[],MATCH(Table2[[#Headers],[Hanging Weight Open]],Table2[#Headers],0),0)</f>
        <v>140</v>
      </c>
      <c r="S324" s="2">
        <f>VLOOKUP([jobnumber],OvalData[],MATCH(Table2[[#Headers],[Initial Lever Arm]],Table2[#Headers],0),0)</f>
        <v>4.25</v>
      </c>
      <c r="T324" s="2">
        <f>VLOOKUP([jobnumber],OvalData[],MATCH(Table2[[#Headers],[Turns to Raise]],Table2[#Headers],0),0)</f>
        <v>3.5859999999999999</v>
      </c>
      <c r="U324" s="2">
        <f>VLOOKUP([jobnumber],OvalData[],MATCH(Table2[[#Headers],[Final Lever Arm]],Table2[#Headers],0),0)</f>
        <v>6.37</v>
      </c>
      <c r="V324" s="2">
        <f>VLOOKUP([jobnumber],OvalData[],MATCH(Table2[[#Headers],[Torque Required Closed]],Table2[#Headers],0),0)</f>
        <v>3377.9</v>
      </c>
      <c r="W324" s="2">
        <f>VLOOKUP([jobnumber],OvalData[],MATCH(Table2[[#Headers],[Torque Required Open]],Table2[#Headers],0),0)</f>
        <v>892</v>
      </c>
      <c r="X324" s="2">
        <f>VLOOKUP([jobnumber],OvalData[],MATCH(Table2[[#Headers],[Pre Turns]],Table2[#Headers],0),0)</f>
        <v>1.3332999999999999</v>
      </c>
      <c r="Y324" s="2">
        <f>VLOOKUP([jobnumber],OvalData[],MATCH(Table2[[#Headers],[Required Torque Per Turn]],Table2[#Headers],0),0)</f>
        <v>688</v>
      </c>
      <c r="Z324" s="2">
        <f>VLOOKUP([jobnumber],OvalData[],MATCH(Table2[[#Headers],[Total Turns]],Table2[#Headers],0),0)</f>
        <v>4.91</v>
      </c>
      <c r="AA324" s="2">
        <f>VLOOKUP([jobnumber],OvalData[],MATCH(Table2[[#Headers],[Grille Vision Section]],Table2[#Headers],0),0)</f>
        <v>0</v>
      </c>
      <c r="AB324" s="2">
        <f>VLOOKUP([jobnumber],OvalData[],MATCH(Table2[[#Headers],[Grille Amount]],Table2[#Headers],0),0)</f>
        <v>0</v>
      </c>
      <c r="AC324" s="2">
        <f>VLOOKUP([jobnumber],OvalData[],MATCH(Table2[[#Headers],[Grille Center]],Table2[#Headers],0),0)</f>
        <v>0</v>
      </c>
      <c r="AD324" s="2">
        <f>VLOOKUP([jobnumber],OvalData[],MATCH(Table2[[#Headers],[Grille Pattern]],Table2[#Headers],0),0)</f>
        <v>0</v>
      </c>
      <c r="AE324" s="2">
        <f>VLOOKUP([jobnumber],OvalData[],MATCH(Table2[[#Headers],[Grille First Tube]],Table2[#Headers],0),0)</f>
        <v>0</v>
      </c>
      <c r="AF324" s="2">
        <f>VLOOKUP([jobnumber],OvalData[],MATCH(Table2[[#Headers],[Grille Standard Tube]],Table2[#Headers],0),0)</f>
        <v>0</v>
      </c>
      <c r="AG324" s="2">
        <f>VLOOKUP([jobnumber],OvalData[],MATCH(Table2[[#Headers],[Grille Total Links]],Table2[#Headers],0),0)</f>
        <v>0</v>
      </c>
      <c r="AH324" s="2">
        <f>VLOOKUP([jobnumber],OvalData[],MATCH(Table2[[#Headers],[Grille Rods]],Table2[#Headers],0),0)</f>
        <v>0</v>
      </c>
      <c r="AI324" s="2">
        <f>VLOOKUP([jobnumber],OvalData[],MATCH(Table2[[#Headers],[Grille Rod Length]],Table2[#Headers],0),0)</f>
        <v>0</v>
      </c>
      <c r="AJ324" s="2">
        <f>VLOOKUP([jobnumber],OvalData[],MATCH(Table2[[#Headers],[slattype]],Table2[#Headers],0),0)</f>
        <v>2</v>
      </c>
      <c r="AK324" s="2">
        <f>VLOOKUP([jobnumber],OvalData[],MATCH(Table2[[#Headers],[slatgage]],Table2[#Headers],0),0)</f>
        <v>18</v>
      </c>
      <c r="AL324" s="2">
        <f>VLOOKUP([jobnumber],OvalData[],MATCH(Table2[[#Headers],[Numer of Top Slats]],Table2[#Headers],0),0)</f>
        <v>0</v>
      </c>
      <c r="AM324" s="2">
        <f>VLOOKUP([jobnumber],OvalData[],MATCH(Table2[[#Headers],[Number of Bottom Slats]],Table2[#Headers],0),0)</f>
        <v>0</v>
      </c>
      <c r="AN324" s="2">
        <f>VLOOKUP([jobnumber],OvalData[],MATCH(Table2[[#Headers],[Solid Bottom Height]],Table2[#Headers],0),0)</f>
        <v>0</v>
      </c>
      <c r="AO324" s="2" t="str">
        <f>VLOOKUP([jobnumber],OvalData[],MATCH(Table2[[#Headers],[slatlength]],Table2[#Headers],0),0)</f>
        <v xml:space="preserve"> 18 ft.- 5 7/ 8"</v>
      </c>
      <c r="AP324" s="2">
        <f>VLOOKUP([jobnumber],OvalData[],MATCH(Table2[[#Headers],[Bottom Slat Length]],Table2[#Headers],0),0)</f>
        <v>0</v>
      </c>
      <c r="AQ324" s="2">
        <f>VLOOKUP([jobnumber],OvalData[],MATCH(Table2[[#Headers],[Number of Perferated Slats]],Table2[#Headers],0),0)</f>
        <v>0</v>
      </c>
      <c r="AR324" s="2">
        <f>VLOOKUP([jobnumber],OvalData[],MATCH(Table2[[#Headers],[First Preferated Slat From End]],Table2[#Headers],0),0)</f>
        <v>0</v>
      </c>
      <c r="AS324" s="2">
        <f>VLOOKUP([jobnumber],OvalData[],MATCH(Table2[[#Headers],[First Preferated Slat From Bottom]],Table2[#Headers],0),0)</f>
        <v>0</v>
      </c>
      <c r="AT324" s="2">
        <f>VLOOKUP([jobnumber],OvalData[],MATCH(Table2[[#Headers],[Total Number of Slats]],Table2[#Headers],0),0)</f>
        <v>51</v>
      </c>
      <c r="AU324" s="2">
        <f>VLOOKUP([jobnumber],OvalData[],MATCH(Table2[[#Headers],[Bottom Bar Slope]],Table2[#Headers],0),0)</f>
        <v>0</v>
      </c>
      <c r="AV324" s="2">
        <f>VLOOKUP([jobnumber],OvalData[],MATCH(Table2[[#Headers],[Bottom Bar Weight]],Table2[#Headers],0),0)</f>
        <v>80.5</v>
      </c>
      <c r="AW324" s="2" t="str">
        <f>VLOOKUP([jobnumber],OvalData[],MATCH(Table2[[#Headers],[Outer Spring Gage]],Table2[#Headers],0),0)</f>
        <v>Null</v>
      </c>
      <c r="AX324" s="2" t="str">
        <f>VLOOKUP([jobnumber],OvalData[],MATCH(Table2[[#Headers],[Outer Spring OD]],Table2[#Headers],0),0)</f>
        <v>Null</v>
      </c>
      <c r="AY324" s="2" t="str">
        <f>VLOOKUP([jobnumber],OvalData[],MATCH(Table2[[#Headers],[Outer Spring Length]],Table2[#Headers],0),0)</f>
        <v>Null</v>
      </c>
      <c r="AZ324" s="2" t="str">
        <f>VLOOKUP([jobnumber],OvalData[],MATCH(Table2[[#Headers],[Outer Spring Stretch]],Table2[#Headers],0),0)</f>
        <v>Null</v>
      </c>
      <c r="BA324" s="2" t="str">
        <f>VLOOKUP([jobnumber],OvalData[],MATCH(Table2[[#Headers],[Outer Spring Torque]],Table2[#Headers],0),0)</f>
        <v>Null</v>
      </c>
      <c r="BB324" s="2" t="str">
        <f>VLOOKUP([jobnumber],OvalData[],MATCH(Table2[[#Headers],[Outer Spring Max Turns]],Table2[#Headers],0),0)</f>
        <v>Null</v>
      </c>
      <c r="BC324" s="2" t="str">
        <f>VLOOKUP([jobnumber],OvalData[],MATCH(Table2[[#Headers],[Outer Spring Weight]],Table2[#Headers],0),0)</f>
        <v>Null</v>
      </c>
      <c r="BD324" s="2" t="str">
        <f>VLOOKUP([jobnumber],OvalData[],MATCH(Table2[[#Headers],[Inner Spring Gage]],Table2[#Headers],0),0)</f>
        <v>Null</v>
      </c>
      <c r="BE324" s="2" t="str">
        <f>VLOOKUP([jobnumber],OvalData[],MATCH(Table2[[#Headers],[Inner Spring OD]],Table2[#Headers],0),0)</f>
        <v>Null</v>
      </c>
      <c r="BF324" s="2" t="str">
        <f>VLOOKUP([jobnumber],OvalData[],MATCH(Table2[[#Headers],[Inner Spring Length]],Table2[#Headers],0),0)</f>
        <v>Null</v>
      </c>
      <c r="BG324" s="2" t="str">
        <f>VLOOKUP([jobnumber],OvalData[],MATCH(Table2[[#Headers],[Inner Spring Stretch]],Table2[#Headers],0),0)</f>
        <v>Null</v>
      </c>
      <c r="BH324" s="2" t="str">
        <f>VLOOKUP([jobnumber],OvalData[],MATCH(Table2[[#Headers],[Inner Spring Torque]],Table2[#Headers],0),0)</f>
        <v>Null</v>
      </c>
      <c r="BI324" s="2" t="str">
        <f>VLOOKUP([jobnumber],OvalData[],MATCH(Table2[[#Headers],[Inner Spring Max Turns]],Table2[#Headers],0),0)</f>
        <v>Null</v>
      </c>
      <c r="BJ324" s="2" t="str">
        <f>VLOOKUP([jobnumber],OvalData[],MATCH(Table2[[#Headers],[Inner Spring Weight]],Table2[#Headers],0),0)</f>
        <v>Null</v>
      </c>
      <c r="BK324" s="2">
        <f>VLOOKUP([jobnumber],OvalData[],MATCH(Table2[[#Headers],[Cycles]],Table2[#Headers],0),0)</f>
        <v>0</v>
      </c>
      <c r="BL324" s="2">
        <f>VLOOKUP([jobnumber],OvalData[],MATCH(Table2[[#Headers],[Total Spring Torque]],Table2[#Headers],0),0)</f>
        <v>0</v>
      </c>
      <c r="BM324" s="2">
        <f>VLOOKUP([jobnumber],OvalData[],MATCH(Table2[[#Headers],[Total Spring Weight]],Table2[#Headers],0),0)</f>
        <v>0</v>
      </c>
      <c r="BN324" s="2">
        <f>VLOOKUP([jobnumber],OvalData[],MATCH(Table2[[#Headers],[Pipe Weight]],Table2[#Headers],0),0)</f>
        <v>688.24239999999998</v>
      </c>
      <c r="BO324" s="2">
        <f>VLOOKUP([jobnumber],OvalData[],MATCH(Table2[[#Headers],[Max Pipe Deflection]],Table2[#Headers],0),0)</f>
        <v>2309</v>
      </c>
      <c r="BP324" s="2">
        <f>VLOOKUP([jobnumber],OvalData[],MATCH(Table2[[#Headers],[Number Non-Insulated Wrap Slats]],Table2[#Headers],0),0)</f>
        <v>0</v>
      </c>
      <c r="BQ324" s="2">
        <f>VLOOKUP([jobnumber],OvalData[],MATCH(Table2[[#Headers],[Number of Insolated Top Slats]],Table2[#Headers],0),0)</f>
        <v>45</v>
      </c>
      <c r="BR324" s="2">
        <f>VLOOKUP([jobnumber],OvalData[],MATCH(Table2[[#Headers],[Insolated Total Slats]],Table2[#Headers],0),0)</f>
        <v>45</v>
      </c>
      <c r="BS324" s="2">
        <f>VLOOKUP([jobnumber],OvalData[],MATCH(Table2[[#Headers],[Number of Slats]],Table2[#Headers],0),0)</f>
        <v>44.69</v>
      </c>
      <c r="BT324" s="2">
        <f>VLOOKUP([jobnumber],OvalData[],MATCH(Table2[[#Headers],[Wrap]],Table2[#Headers],0),0)</f>
        <v>0</v>
      </c>
      <c r="BU324" s="2">
        <f>VLOOKUP([jobnumber],OvalData[],MATCH(Table2[[#Headers],[Wall Angle Thickness]],Table2[#Headers],0),0)</f>
        <v>0</v>
      </c>
      <c r="BV324" s="2">
        <f>VLOOKUP([jobnumber],OvalData[],MATCH(Table2[[#Headers],[windlocks]],Table2[#Headers],0),0)</f>
        <v>0</v>
      </c>
      <c r="BW324" s="2" t="str">
        <f>VLOOKUP([jobnumber],OvalData[],MATCH(Table2[[#Headers],[bottombartype]],Table2[#Headers],0),0)</f>
        <v>SPECIAL</v>
      </c>
      <c r="BX324" s="2">
        <f>VLOOKUP([jobnumber],OvalData[],MATCH(Table2[[#Headers],[endlockweight]],Table2[#Headers],0),0)</f>
        <v>0.17</v>
      </c>
      <c r="BY324" s="2">
        <f>VLOOKUP([jobnumber],OvalData[],MATCH(Table2[[#Headers],[Endlock Total Weight]],Table2[#Headers],0),0)</f>
        <v>7.5972999999999997</v>
      </c>
      <c r="BZ324" s="2">
        <f>VLOOKUP([jobnumber],OvalData[],MATCH(Table2[[#Headers],[Grille Weight]],Table2[#Headers],0),0)</f>
        <v>0</v>
      </c>
      <c r="CA324" s="2">
        <f>VLOOKUP([jobnumber],OvalData[],MATCH(Table2[[#Headers],[barrelrings]],Table2[#Headers],0),0)</f>
        <v>1</v>
      </c>
    </row>
    <row r="325" spans="2:79">
      <c r="B325" s="2" t="str">
        <f>VLOOKUP([jobnumber],OvalData[],MATCH(Table2[[#Headers],[Hand]],Table2[#Headers],0),0)</f>
        <v>RH</v>
      </c>
      <c r="C325" s="2" t="str">
        <f>VLOOKUP([jobnumber],OvalData[],MATCH(Table2[[#Headers],[Model]],Table2[#Headers],0),0)</f>
        <v>SFMPP</v>
      </c>
      <c r="D325" s="2" t="str">
        <f>VLOOKUP([jobnumber],OvalData[],MATCH(Table2[[#Headers],[width]],Table2[#Headers],0),0)</f>
        <v xml:space="preserve"> 18 ft.- 2"</v>
      </c>
      <c r="E325" s="2" t="str">
        <f>VLOOKUP([jobnumber],OvalData[],MATCH(Table2[[#Headers],[stopheight]],Table2[#Headers],0),0)</f>
        <v xml:space="preserve"> 10 ft.- 0"</v>
      </c>
      <c r="F325" s="2" t="str">
        <f>VLOOKUP([jobnumber],OvalData[],MATCH(Table2[[#Headers],[Between Brackets]],Table2[#Headers],0),0)</f>
        <v xml:space="preserve"> 18 ft.- 7 7/ 8"</v>
      </c>
      <c r="G325" s="2" t="str">
        <f>VLOOKUP([jobnumber],OvalData[],MATCH(Table2[[#Headers],[shell]],Table2[#Headers],0),0)</f>
        <v>6 INCH TUBE</v>
      </c>
      <c r="H325" s="2" t="str">
        <f>VLOOKUP([jobnumber],OvalData[],MATCH(Table2[[#Headers],[pipewidth]],Table2[#Headers],0),0)</f>
        <v xml:space="preserve"> 18 ft.- 1 3/ 8"</v>
      </c>
      <c r="I325" s="2">
        <f>VLOOKUP([jobnumber],OvalData[],MATCH(Table2[[#Headers],[Support Tubes]],Table2[#Headers],0),0)</f>
        <v>0</v>
      </c>
      <c r="J325" s="2">
        <f>VLOOKUP([jobnumber],OvalData[],MATCH(Table2[[#Headers],[Upset]],Table2[#Headers],0),0)</f>
        <v>2</v>
      </c>
      <c r="K325" s="2" t="str">
        <f>VLOOKUP([jobnumber],OvalData[],MATCH(Table2[[#Headers],[Guide Type]],Table2[#Headers],0),0)</f>
        <v>SN2-4 5/8-E</v>
      </c>
      <c r="L325" s="2" t="str">
        <f>VLOOKUP([jobnumber],OvalData[],MATCH(Table2[[#Headers],[Wall Angle]],Table2[#Headers],0),0)</f>
        <v xml:space="preserve"> 11 ft.- 8"</v>
      </c>
      <c r="M325" s="2" t="str">
        <f>VLOOKUP([jobnumber],OvalData[],MATCH(Table2[[#Headers],[Middle Angle]],Table2[#Headers],0),0)</f>
        <v xml:space="preserve"> 10 ft.- 4 1/ 2"</v>
      </c>
      <c r="N325" s="2" t="str">
        <f>VLOOKUP([jobnumber],OvalData[],MATCH(Table2[[#Headers],[Front Angle]],Table2[#Headers],0),0)</f>
        <v xml:space="preserve"> 10 ft.- 3"</v>
      </c>
      <c r="O325" s="2">
        <f>VLOOKUP([jobnumber],OvalData[],MATCH(Table2[[#Headers],[Pipe Center Line]],Table2[#Headers],0),0)</f>
        <v>131</v>
      </c>
      <c r="P325" s="2">
        <f>VLOOKUP([jobnumber],OvalData[],MATCH(Table2[[#Headers],[Heat Expansion Gap]],Table2[#Headers],0),0)</f>
        <v>0</v>
      </c>
      <c r="Q325" s="2">
        <f>VLOOKUP([jobnumber],OvalData[],MATCH(Table2[[#Headers],[Hanging Weight Closed]],Table2[#Headers],0),0)</f>
        <v>795</v>
      </c>
      <c r="R325" s="2">
        <f>VLOOKUP([jobnumber],OvalData[],MATCH(Table2[[#Headers],[Hanging Weight Open]],Table2[#Headers],0),0)</f>
        <v>140</v>
      </c>
      <c r="S325" s="2">
        <f>VLOOKUP([jobnumber],OvalData[],MATCH(Table2[[#Headers],[Initial Lever Arm]],Table2[#Headers],0),0)</f>
        <v>4.25</v>
      </c>
      <c r="T325" s="2">
        <f>VLOOKUP([jobnumber],OvalData[],MATCH(Table2[[#Headers],[Turns to Raise]],Table2[#Headers],0),0)</f>
        <v>3.5859999999999999</v>
      </c>
      <c r="U325" s="2">
        <f>VLOOKUP([jobnumber],OvalData[],MATCH(Table2[[#Headers],[Final Lever Arm]],Table2[#Headers],0),0)</f>
        <v>6.37</v>
      </c>
      <c r="V325" s="2">
        <f>VLOOKUP([jobnumber],OvalData[],MATCH(Table2[[#Headers],[Torque Required Closed]],Table2[#Headers],0),0)</f>
        <v>3377.9</v>
      </c>
      <c r="W325" s="2">
        <f>VLOOKUP([jobnumber],OvalData[],MATCH(Table2[[#Headers],[Torque Required Open]],Table2[#Headers],0),0)</f>
        <v>892</v>
      </c>
      <c r="X325" s="2">
        <f>VLOOKUP([jobnumber],OvalData[],MATCH(Table2[[#Headers],[Pre Turns]],Table2[#Headers],0),0)</f>
        <v>1.3332999999999999</v>
      </c>
      <c r="Y325" s="2">
        <f>VLOOKUP([jobnumber],OvalData[],MATCH(Table2[[#Headers],[Required Torque Per Turn]],Table2[#Headers],0),0)</f>
        <v>688</v>
      </c>
      <c r="Z325" s="2">
        <f>VLOOKUP([jobnumber],OvalData[],MATCH(Table2[[#Headers],[Total Turns]],Table2[#Headers],0),0)</f>
        <v>4.91</v>
      </c>
      <c r="AA325" s="2">
        <f>VLOOKUP([jobnumber],OvalData[],MATCH(Table2[[#Headers],[Grille Vision Section]],Table2[#Headers],0),0)</f>
        <v>0</v>
      </c>
      <c r="AB325" s="2">
        <f>VLOOKUP([jobnumber],OvalData[],MATCH(Table2[[#Headers],[Grille Amount]],Table2[#Headers],0),0)</f>
        <v>0</v>
      </c>
      <c r="AC325" s="2">
        <f>VLOOKUP([jobnumber],OvalData[],MATCH(Table2[[#Headers],[Grille Center]],Table2[#Headers],0),0)</f>
        <v>0</v>
      </c>
      <c r="AD325" s="2">
        <f>VLOOKUP([jobnumber],OvalData[],MATCH(Table2[[#Headers],[Grille Pattern]],Table2[#Headers],0),0)</f>
        <v>0</v>
      </c>
      <c r="AE325" s="2">
        <f>VLOOKUP([jobnumber],OvalData[],MATCH(Table2[[#Headers],[Grille First Tube]],Table2[#Headers],0),0)</f>
        <v>0</v>
      </c>
      <c r="AF325" s="2">
        <f>VLOOKUP([jobnumber],OvalData[],MATCH(Table2[[#Headers],[Grille Standard Tube]],Table2[#Headers],0),0)</f>
        <v>0</v>
      </c>
      <c r="AG325" s="2">
        <f>VLOOKUP([jobnumber],OvalData[],MATCH(Table2[[#Headers],[Grille Total Links]],Table2[#Headers],0),0)</f>
        <v>0</v>
      </c>
      <c r="AH325" s="2">
        <f>VLOOKUP([jobnumber],OvalData[],MATCH(Table2[[#Headers],[Grille Rods]],Table2[#Headers],0),0)</f>
        <v>0</v>
      </c>
      <c r="AI325" s="2">
        <f>VLOOKUP([jobnumber],OvalData[],MATCH(Table2[[#Headers],[Grille Rod Length]],Table2[#Headers],0),0)</f>
        <v>0</v>
      </c>
      <c r="AJ325" s="2">
        <f>VLOOKUP([jobnumber],OvalData[],MATCH(Table2[[#Headers],[slattype]],Table2[#Headers],0),0)</f>
        <v>2</v>
      </c>
      <c r="AK325" s="2">
        <f>VLOOKUP([jobnumber],OvalData[],MATCH(Table2[[#Headers],[slatgage]],Table2[#Headers],0),0)</f>
        <v>18</v>
      </c>
      <c r="AL325" s="2">
        <f>VLOOKUP([jobnumber],OvalData[],MATCH(Table2[[#Headers],[Numer of Top Slats]],Table2[#Headers],0),0)</f>
        <v>0</v>
      </c>
      <c r="AM325" s="2">
        <f>VLOOKUP([jobnumber],OvalData[],MATCH(Table2[[#Headers],[Number of Bottom Slats]],Table2[#Headers],0),0)</f>
        <v>0</v>
      </c>
      <c r="AN325" s="2">
        <f>VLOOKUP([jobnumber],OvalData[],MATCH(Table2[[#Headers],[Solid Bottom Height]],Table2[#Headers],0),0)</f>
        <v>0</v>
      </c>
      <c r="AO325" s="2" t="str">
        <f>VLOOKUP([jobnumber],OvalData[],MATCH(Table2[[#Headers],[slatlength]],Table2[#Headers],0),0)</f>
        <v xml:space="preserve"> 18 ft.- 5 7/ 8"</v>
      </c>
      <c r="AP325" s="2">
        <f>VLOOKUP([jobnumber],OvalData[],MATCH(Table2[[#Headers],[Bottom Slat Length]],Table2[#Headers],0),0)</f>
        <v>0</v>
      </c>
      <c r="AQ325" s="2">
        <f>VLOOKUP([jobnumber],OvalData[],MATCH(Table2[[#Headers],[Number of Perferated Slats]],Table2[#Headers],0),0)</f>
        <v>0</v>
      </c>
      <c r="AR325" s="2">
        <f>VLOOKUP([jobnumber],OvalData[],MATCH(Table2[[#Headers],[First Preferated Slat From End]],Table2[#Headers],0),0)</f>
        <v>0</v>
      </c>
      <c r="AS325" s="2">
        <f>VLOOKUP([jobnumber],OvalData[],MATCH(Table2[[#Headers],[First Preferated Slat From Bottom]],Table2[#Headers],0),0)</f>
        <v>0</v>
      </c>
      <c r="AT325" s="2">
        <f>VLOOKUP([jobnumber],OvalData[],MATCH(Table2[[#Headers],[Total Number of Slats]],Table2[#Headers],0),0)</f>
        <v>51</v>
      </c>
      <c r="AU325" s="2">
        <f>VLOOKUP([jobnumber],OvalData[],MATCH(Table2[[#Headers],[Bottom Bar Slope]],Table2[#Headers],0),0)</f>
        <v>0</v>
      </c>
      <c r="AV325" s="2">
        <f>VLOOKUP([jobnumber],OvalData[],MATCH(Table2[[#Headers],[Bottom Bar Weight]],Table2[#Headers],0),0)</f>
        <v>80.5</v>
      </c>
      <c r="AW325" s="2" t="str">
        <f>VLOOKUP([jobnumber],OvalData[],MATCH(Table2[[#Headers],[Outer Spring Gage]],Table2[#Headers],0),0)</f>
        <v>Null</v>
      </c>
      <c r="AX325" s="2" t="str">
        <f>VLOOKUP([jobnumber],OvalData[],MATCH(Table2[[#Headers],[Outer Spring OD]],Table2[#Headers],0),0)</f>
        <v>Null</v>
      </c>
      <c r="AY325" s="2" t="str">
        <f>VLOOKUP([jobnumber],OvalData[],MATCH(Table2[[#Headers],[Outer Spring Length]],Table2[#Headers],0),0)</f>
        <v>Null</v>
      </c>
      <c r="AZ325" s="2" t="str">
        <f>VLOOKUP([jobnumber],OvalData[],MATCH(Table2[[#Headers],[Outer Spring Stretch]],Table2[#Headers],0),0)</f>
        <v>Null</v>
      </c>
      <c r="BA325" s="2" t="str">
        <f>VLOOKUP([jobnumber],OvalData[],MATCH(Table2[[#Headers],[Outer Spring Torque]],Table2[#Headers],0),0)</f>
        <v>Null</v>
      </c>
      <c r="BB325" s="2" t="str">
        <f>VLOOKUP([jobnumber],OvalData[],MATCH(Table2[[#Headers],[Outer Spring Max Turns]],Table2[#Headers],0),0)</f>
        <v>Null</v>
      </c>
      <c r="BC325" s="2" t="str">
        <f>VLOOKUP([jobnumber],OvalData[],MATCH(Table2[[#Headers],[Outer Spring Weight]],Table2[#Headers],0),0)</f>
        <v>Null</v>
      </c>
      <c r="BD325" s="2" t="str">
        <f>VLOOKUP([jobnumber],OvalData[],MATCH(Table2[[#Headers],[Inner Spring Gage]],Table2[#Headers],0),0)</f>
        <v>Null</v>
      </c>
      <c r="BE325" s="2" t="str">
        <f>VLOOKUP([jobnumber],OvalData[],MATCH(Table2[[#Headers],[Inner Spring OD]],Table2[#Headers],0),0)</f>
        <v>Null</v>
      </c>
      <c r="BF325" s="2" t="str">
        <f>VLOOKUP([jobnumber],OvalData[],MATCH(Table2[[#Headers],[Inner Spring Length]],Table2[#Headers],0),0)</f>
        <v>Null</v>
      </c>
      <c r="BG325" s="2" t="str">
        <f>VLOOKUP([jobnumber],OvalData[],MATCH(Table2[[#Headers],[Inner Spring Stretch]],Table2[#Headers],0),0)</f>
        <v>Null</v>
      </c>
      <c r="BH325" s="2" t="str">
        <f>VLOOKUP([jobnumber],OvalData[],MATCH(Table2[[#Headers],[Inner Spring Torque]],Table2[#Headers],0),0)</f>
        <v>Null</v>
      </c>
      <c r="BI325" s="2" t="str">
        <f>VLOOKUP([jobnumber],OvalData[],MATCH(Table2[[#Headers],[Inner Spring Max Turns]],Table2[#Headers],0),0)</f>
        <v>Null</v>
      </c>
      <c r="BJ325" s="2" t="str">
        <f>VLOOKUP([jobnumber],OvalData[],MATCH(Table2[[#Headers],[Inner Spring Weight]],Table2[#Headers],0),0)</f>
        <v>Null</v>
      </c>
      <c r="BK325" s="2">
        <f>VLOOKUP([jobnumber],OvalData[],MATCH(Table2[[#Headers],[Cycles]],Table2[#Headers],0),0)</f>
        <v>0</v>
      </c>
      <c r="BL325" s="2">
        <f>VLOOKUP([jobnumber],OvalData[],MATCH(Table2[[#Headers],[Total Spring Torque]],Table2[#Headers],0),0)</f>
        <v>0</v>
      </c>
      <c r="BM325" s="2">
        <f>VLOOKUP([jobnumber],OvalData[],MATCH(Table2[[#Headers],[Total Spring Weight]],Table2[#Headers],0),0)</f>
        <v>0</v>
      </c>
      <c r="BN325" s="2">
        <f>VLOOKUP([jobnumber],OvalData[],MATCH(Table2[[#Headers],[Pipe Weight]],Table2[#Headers],0),0)</f>
        <v>688.24239999999998</v>
      </c>
      <c r="BO325" s="2">
        <f>VLOOKUP([jobnumber],OvalData[],MATCH(Table2[[#Headers],[Max Pipe Deflection]],Table2[#Headers],0),0)</f>
        <v>2309</v>
      </c>
      <c r="BP325" s="2">
        <f>VLOOKUP([jobnumber],OvalData[],MATCH(Table2[[#Headers],[Number Non-Insulated Wrap Slats]],Table2[#Headers],0),0)</f>
        <v>0</v>
      </c>
      <c r="BQ325" s="2">
        <f>VLOOKUP([jobnumber],OvalData[],MATCH(Table2[[#Headers],[Number of Insolated Top Slats]],Table2[#Headers],0),0)</f>
        <v>45</v>
      </c>
      <c r="BR325" s="2">
        <f>VLOOKUP([jobnumber],OvalData[],MATCH(Table2[[#Headers],[Insolated Total Slats]],Table2[#Headers],0),0)</f>
        <v>45</v>
      </c>
      <c r="BS325" s="2">
        <f>VLOOKUP([jobnumber],OvalData[],MATCH(Table2[[#Headers],[Number of Slats]],Table2[#Headers],0),0)</f>
        <v>44.69</v>
      </c>
      <c r="BT325" s="2">
        <f>VLOOKUP([jobnumber],OvalData[],MATCH(Table2[[#Headers],[Wrap]],Table2[#Headers],0),0)</f>
        <v>0</v>
      </c>
      <c r="BU325" s="2">
        <f>VLOOKUP([jobnumber],OvalData[],MATCH(Table2[[#Headers],[Wall Angle Thickness]],Table2[#Headers],0),0)</f>
        <v>0</v>
      </c>
      <c r="BV325" s="2">
        <f>VLOOKUP([jobnumber],OvalData[],MATCH(Table2[[#Headers],[windlocks]],Table2[#Headers],0),0)</f>
        <v>0</v>
      </c>
      <c r="BW325" s="2" t="str">
        <f>VLOOKUP([jobnumber],OvalData[],MATCH(Table2[[#Headers],[bottombartype]],Table2[#Headers],0),0)</f>
        <v>SPECIAL</v>
      </c>
      <c r="BX325" s="2">
        <f>VLOOKUP([jobnumber],OvalData[],MATCH(Table2[[#Headers],[endlockweight]],Table2[#Headers],0),0)</f>
        <v>0.17</v>
      </c>
      <c r="BY325" s="2">
        <f>VLOOKUP([jobnumber],OvalData[],MATCH(Table2[[#Headers],[Endlock Total Weight]],Table2[#Headers],0),0)</f>
        <v>7.5972999999999997</v>
      </c>
      <c r="BZ325" s="2">
        <f>VLOOKUP([jobnumber],OvalData[],MATCH(Table2[[#Headers],[Grille Weight]],Table2[#Headers],0),0)</f>
        <v>0</v>
      </c>
      <c r="CA325" s="2">
        <f>VLOOKUP([jobnumber],OvalData[],MATCH(Table2[[#Headers],[barrelrings]],Table2[#Headers],0),0)</f>
        <v>1</v>
      </c>
    </row>
    <row r="326" spans="2:79">
      <c r="B326" s="2" t="str">
        <f>VLOOKUP([jobnumber],OvalData[],MATCH(Table2[[#Headers],[Hand]],Table2[#Headers],0),0)</f>
        <v>RH</v>
      </c>
      <c r="C326" s="2" t="str">
        <f>VLOOKUP([jobnumber],OvalData[],MATCH(Table2[[#Headers],[Model]],Table2[#Headers],0),0)</f>
        <v>SFMPP</v>
      </c>
      <c r="D326" s="2" t="str">
        <f>VLOOKUP([jobnumber],OvalData[],MATCH(Table2[[#Headers],[width]],Table2[#Headers],0),0)</f>
        <v xml:space="preserve"> 18 ft.- 2"</v>
      </c>
      <c r="E326" s="2" t="str">
        <f>VLOOKUP([jobnumber],OvalData[],MATCH(Table2[[#Headers],[stopheight]],Table2[#Headers],0),0)</f>
        <v xml:space="preserve"> 10 ft.- 0"</v>
      </c>
      <c r="F326" s="2" t="str">
        <f>VLOOKUP([jobnumber],OvalData[],MATCH(Table2[[#Headers],[Between Brackets]],Table2[#Headers],0),0)</f>
        <v xml:space="preserve"> 18 ft.- 7 7/ 8"</v>
      </c>
      <c r="G326" s="2" t="str">
        <f>VLOOKUP([jobnumber],OvalData[],MATCH(Table2[[#Headers],[shell]],Table2[#Headers],0),0)</f>
        <v>6 INCH TUBE</v>
      </c>
      <c r="H326" s="2" t="str">
        <f>VLOOKUP([jobnumber],OvalData[],MATCH(Table2[[#Headers],[pipewidth]],Table2[#Headers],0),0)</f>
        <v xml:space="preserve"> 18 ft.- 1 3/ 8"</v>
      </c>
      <c r="I326" s="2">
        <f>VLOOKUP([jobnumber],OvalData[],MATCH(Table2[[#Headers],[Support Tubes]],Table2[#Headers],0),0)</f>
        <v>0</v>
      </c>
      <c r="J326" s="2">
        <f>VLOOKUP([jobnumber],OvalData[],MATCH(Table2[[#Headers],[Upset]],Table2[#Headers],0),0)</f>
        <v>2</v>
      </c>
      <c r="K326" s="2" t="str">
        <f>VLOOKUP([jobnumber],OvalData[],MATCH(Table2[[#Headers],[Guide Type]],Table2[#Headers],0),0)</f>
        <v>SN2-4 5/8-E</v>
      </c>
      <c r="L326" s="2" t="str">
        <f>VLOOKUP([jobnumber],OvalData[],MATCH(Table2[[#Headers],[Wall Angle]],Table2[#Headers],0),0)</f>
        <v xml:space="preserve"> 11 ft.- 8"</v>
      </c>
      <c r="M326" s="2" t="str">
        <f>VLOOKUP([jobnumber],OvalData[],MATCH(Table2[[#Headers],[Middle Angle]],Table2[#Headers],0),0)</f>
        <v xml:space="preserve"> 10 ft.- 4 1/ 2"</v>
      </c>
      <c r="N326" s="2" t="str">
        <f>VLOOKUP([jobnumber],OvalData[],MATCH(Table2[[#Headers],[Front Angle]],Table2[#Headers],0),0)</f>
        <v xml:space="preserve"> 10 ft.- 3"</v>
      </c>
      <c r="O326" s="2">
        <f>VLOOKUP([jobnumber],OvalData[],MATCH(Table2[[#Headers],[Pipe Center Line]],Table2[#Headers],0),0)</f>
        <v>131</v>
      </c>
      <c r="P326" s="2">
        <f>VLOOKUP([jobnumber],OvalData[],MATCH(Table2[[#Headers],[Heat Expansion Gap]],Table2[#Headers],0),0)</f>
        <v>0</v>
      </c>
      <c r="Q326" s="2">
        <f>VLOOKUP([jobnumber],OvalData[],MATCH(Table2[[#Headers],[Hanging Weight Closed]],Table2[#Headers],0),0)</f>
        <v>795</v>
      </c>
      <c r="R326" s="2">
        <f>VLOOKUP([jobnumber],OvalData[],MATCH(Table2[[#Headers],[Hanging Weight Open]],Table2[#Headers],0),0)</f>
        <v>140</v>
      </c>
      <c r="S326" s="2">
        <f>VLOOKUP([jobnumber],OvalData[],MATCH(Table2[[#Headers],[Initial Lever Arm]],Table2[#Headers],0),0)</f>
        <v>4.25</v>
      </c>
      <c r="T326" s="2">
        <f>VLOOKUP([jobnumber],OvalData[],MATCH(Table2[[#Headers],[Turns to Raise]],Table2[#Headers],0),0)</f>
        <v>3.5859999999999999</v>
      </c>
      <c r="U326" s="2">
        <f>VLOOKUP([jobnumber],OvalData[],MATCH(Table2[[#Headers],[Final Lever Arm]],Table2[#Headers],0),0)</f>
        <v>6.37</v>
      </c>
      <c r="V326" s="2">
        <f>VLOOKUP([jobnumber],OvalData[],MATCH(Table2[[#Headers],[Torque Required Closed]],Table2[#Headers],0),0)</f>
        <v>3377.9</v>
      </c>
      <c r="W326" s="2">
        <f>VLOOKUP([jobnumber],OvalData[],MATCH(Table2[[#Headers],[Torque Required Open]],Table2[#Headers],0),0)</f>
        <v>892</v>
      </c>
      <c r="X326" s="2">
        <f>VLOOKUP([jobnumber],OvalData[],MATCH(Table2[[#Headers],[Pre Turns]],Table2[#Headers],0),0)</f>
        <v>1.3332999999999999</v>
      </c>
      <c r="Y326" s="2">
        <f>VLOOKUP([jobnumber],OvalData[],MATCH(Table2[[#Headers],[Required Torque Per Turn]],Table2[#Headers],0),0)</f>
        <v>688</v>
      </c>
      <c r="Z326" s="2">
        <f>VLOOKUP([jobnumber],OvalData[],MATCH(Table2[[#Headers],[Total Turns]],Table2[#Headers],0),0)</f>
        <v>4.91</v>
      </c>
      <c r="AA326" s="2">
        <f>VLOOKUP([jobnumber],OvalData[],MATCH(Table2[[#Headers],[Grille Vision Section]],Table2[#Headers],0),0)</f>
        <v>0</v>
      </c>
      <c r="AB326" s="2">
        <f>VLOOKUP([jobnumber],OvalData[],MATCH(Table2[[#Headers],[Grille Amount]],Table2[#Headers],0),0)</f>
        <v>0</v>
      </c>
      <c r="AC326" s="2">
        <f>VLOOKUP([jobnumber],OvalData[],MATCH(Table2[[#Headers],[Grille Center]],Table2[#Headers],0),0)</f>
        <v>0</v>
      </c>
      <c r="AD326" s="2">
        <f>VLOOKUP([jobnumber],OvalData[],MATCH(Table2[[#Headers],[Grille Pattern]],Table2[#Headers],0),0)</f>
        <v>0</v>
      </c>
      <c r="AE326" s="2">
        <f>VLOOKUP([jobnumber],OvalData[],MATCH(Table2[[#Headers],[Grille First Tube]],Table2[#Headers],0),0)</f>
        <v>0</v>
      </c>
      <c r="AF326" s="2">
        <f>VLOOKUP([jobnumber],OvalData[],MATCH(Table2[[#Headers],[Grille Standard Tube]],Table2[#Headers],0),0)</f>
        <v>0</v>
      </c>
      <c r="AG326" s="2">
        <f>VLOOKUP([jobnumber],OvalData[],MATCH(Table2[[#Headers],[Grille Total Links]],Table2[#Headers],0),0)</f>
        <v>0</v>
      </c>
      <c r="AH326" s="2">
        <f>VLOOKUP([jobnumber],OvalData[],MATCH(Table2[[#Headers],[Grille Rods]],Table2[#Headers],0),0)</f>
        <v>0</v>
      </c>
      <c r="AI326" s="2">
        <f>VLOOKUP([jobnumber],OvalData[],MATCH(Table2[[#Headers],[Grille Rod Length]],Table2[#Headers],0),0)</f>
        <v>0</v>
      </c>
      <c r="AJ326" s="2">
        <f>VLOOKUP([jobnumber],OvalData[],MATCH(Table2[[#Headers],[slattype]],Table2[#Headers],0),0)</f>
        <v>2</v>
      </c>
      <c r="AK326" s="2">
        <f>VLOOKUP([jobnumber],OvalData[],MATCH(Table2[[#Headers],[slatgage]],Table2[#Headers],0),0)</f>
        <v>18</v>
      </c>
      <c r="AL326" s="2">
        <f>VLOOKUP([jobnumber],OvalData[],MATCH(Table2[[#Headers],[Numer of Top Slats]],Table2[#Headers],0),0)</f>
        <v>0</v>
      </c>
      <c r="AM326" s="2">
        <f>VLOOKUP([jobnumber],OvalData[],MATCH(Table2[[#Headers],[Number of Bottom Slats]],Table2[#Headers],0),0)</f>
        <v>0</v>
      </c>
      <c r="AN326" s="2">
        <f>VLOOKUP([jobnumber],OvalData[],MATCH(Table2[[#Headers],[Solid Bottom Height]],Table2[#Headers],0),0)</f>
        <v>0</v>
      </c>
      <c r="AO326" s="2" t="str">
        <f>VLOOKUP([jobnumber],OvalData[],MATCH(Table2[[#Headers],[slatlength]],Table2[#Headers],0),0)</f>
        <v xml:space="preserve"> 18 ft.- 5 7/ 8"</v>
      </c>
      <c r="AP326" s="2">
        <f>VLOOKUP([jobnumber],OvalData[],MATCH(Table2[[#Headers],[Bottom Slat Length]],Table2[#Headers],0),0)</f>
        <v>0</v>
      </c>
      <c r="AQ326" s="2">
        <f>VLOOKUP([jobnumber],OvalData[],MATCH(Table2[[#Headers],[Number of Perferated Slats]],Table2[#Headers],0),0)</f>
        <v>0</v>
      </c>
      <c r="AR326" s="2">
        <f>VLOOKUP([jobnumber],OvalData[],MATCH(Table2[[#Headers],[First Preferated Slat From End]],Table2[#Headers],0),0)</f>
        <v>0</v>
      </c>
      <c r="AS326" s="2">
        <f>VLOOKUP([jobnumber],OvalData[],MATCH(Table2[[#Headers],[First Preferated Slat From Bottom]],Table2[#Headers],0),0)</f>
        <v>0</v>
      </c>
      <c r="AT326" s="2">
        <f>VLOOKUP([jobnumber],OvalData[],MATCH(Table2[[#Headers],[Total Number of Slats]],Table2[#Headers],0),0)</f>
        <v>51</v>
      </c>
      <c r="AU326" s="2">
        <f>VLOOKUP([jobnumber],OvalData[],MATCH(Table2[[#Headers],[Bottom Bar Slope]],Table2[#Headers],0),0)</f>
        <v>0</v>
      </c>
      <c r="AV326" s="2">
        <f>VLOOKUP([jobnumber],OvalData[],MATCH(Table2[[#Headers],[Bottom Bar Weight]],Table2[#Headers],0),0)</f>
        <v>80.5</v>
      </c>
      <c r="AW326" s="2" t="str">
        <f>VLOOKUP([jobnumber],OvalData[],MATCH(Table2[[#Headers],[Outer Spring Gage]],Table2[#Headers],0),0)</f>
        <v>Null</v>
      </c>
      <c r="AX326" s="2" t="str">
        <f>VLOOKUP([jobnumber],OvalData[],MATCH(Table2[[#Headers],[Outer Spring OD]],Table2[#Headers],0),0)</f>
        <v>Null</v>
      </c>
      <c r="AY326" s="2" t="str">
        <f>VLOOKUP([jobnumber],OvalData[],MATCH(Table2[[#Headers],[Outer Spring Length]],Table2[#Headers],0),0)</f>
        <v>Null</v>
      </c>
      <c r="AZ326" s="2" t="str">
        <f>VLOOKUP([jobnumber],OvalData[],MATCH(Table2[[#Headers],[Outer Spring Stretch]],Table2[#Headers],0),0)</f>
        <v>Null</v>
      </c>
      <c r="BA326" s="2" t="str">
        <f>VLOOKUP([jobnumber],OvalData[],MATCH(Table2[[#Headers],[Outer Spring Torque]],Table2[#Headers],0),0)</f>
        <v>Null</v>
      </c>
      <c r="BB326" s="2" t="str">
        <f>VLOOKUP([jobnumber],OvalData[],MATCH(Table2[[#Headers],[Outer Spring Max Turns]],Table2[#Headers],0),0)</f>
        <v>Null</v>
      </c>
      <c r="BC326" s="2" t="str">
        <f>VLOOKUP([jobnumber],OvalData[],MATCH(Table2[[#Headers],[Outer Spring Weight]],Table2[#Headers],0),0)</f>
        <v>Null</v>
      </c>
      <c r="BD326" s="2" t="str">
        <f>VLOOKUP([jobnumber],OvalData[],MATCH(Table2[[#Headers],[Inner Spring Gage]],Table2[#Headers],0),0)</f>
        <v>Null</v>
      </c>
      <c r="BE326" s="2" t="str">
        <f>VLOOKUP([jobnumber],OvalData[],MATCH(Table2[[#Headers],[Inner Spring OD]],Table2[#Headers],0),0)</f>
        <v>Null</v>
      </c>
      <c r="BF326" s="2" t="str">
        <f>VLOOKUP([jobnumber],OvalData[],MATCH(Table2[[#Headers],[Inner Spring Length]],Table2[#Headers],0),0)</f>
        <v>Null</v>
      </c>
      <c r="BG326" s="2" t="str">
        <f>VLOOKUP([jobnumber],OvalData[],MATCH(Table2[[#Headers],[Inner Spring Stretch]],Table2[#Headers],0),0)</f>
        <v>Null</v>
      </c>
      <c r="BH326" s="2" t="str">
        <f>VLOOKUP([jobnumber],OvalData[],MATCH(Table2[[#Headers],[Inner Spring Torque]],Table2[#Headers],0),0)</f>
        <v>Null</v>
      </c>
      <c r="BI326" s="2" t="str">
        <f>VLOOKUP([jobnumber],OvalData[],MATCH(Table2[[#Headers],[Inner Spring Max Turns]],Table2[#Headers],0),0)</f>
        <v>Null</v>
      </c>
      <c r="BJ326" s="2" t="str">
        <f>VLOOKUP([jobnumber],OvalData[],MATCH(Table2[[#Headers],[Inner Spring Weight]],Table2[#Headers],0),0)</f>
        <v>Null</v>
      </c>
      <c r="BK326" s="2">
        <f>VLOOKUP([jobnumber],OvalData[],MATCH(Table2[[#Headers],[Cycles]],Table2[#Headers],0),0)</f>
        <v>0</v>
      </c>
      <c r="BL326" s="2">
        <f>VLOOKUP([jobnumber],OvalData[],MATCH(Table2[[#Headers],[Total Spring Torque]],Table2[#Headers],0),0)</f>
        <v>0</v>
      </c>
      <c r="BM326" s="2">
        <f>VLOOKUP([jobnumber],OvalData[],MATCH(Table2[[#Headers],[Total Spring Weight]],Table2[#Headers],0),0)</f>
        <v>0</v>
      </c>
      <c r="BN326" s="2">
        <f>VLOOKUP([jobnumber],OvalData[],MATCH(Table2[[#Headers],[Pipe Weight]],Table2[#Headers],0),0)</f>
        <v>688.24239999999998</v>
      </c>
      <c r="BO326" s="2">
        <f>VLOOKUP([jobnumber],OvalData[],MATCH(Table2[[#Headers],[Max Pipe Deflection]],Table2[#Headers],0),0)</f>
        <v>2309</v>
      </c>
      <c r="BP326" s="2">
        <f>VLOOKUP([jobnumber],OvalData[],MATCH(Table2[[#Headers],[Number Non-Insulated Wrap Slats]],Table2[#Headers],0),0)</f>
        <v>0</v>
      </c>
      <c r="BQ326" s="2">
        <f>VLOOKUP([jobnumber],OvalData[],MATCH(Table2[[#Headers],[Number of Insolated Top Slats]],Table2[#Headers],0),0)</f>
        <v>45</v>
      </c>
      <c r="BR326" s="2">
        <f>VLOOKUP([jobnumber],OvalData[],MATCH(Table2[[#Headers],[Insolated Total Slats]],Table2[#Headers],0),0)</f>
        <v>45</v>
      </c>
      <c r="BS326" s="2">
        <f>VLOOKUP([jobnumber],OvalData[],MATCH(Table2[[#Headers],[Number of Slats]],Table2[#Headers],0),0)</f>
        <v>44.69</v>
      </c>
      <c r="BT326" s="2">
        <f>VLOOKUP([jobnumber],OvalData[],MATCH(Table2[[#Headers],[Wrap]],Table2[#Headers],0),0)</f>
        <v>0</v>
      </c>
      <c r="BU326" s="2">
        <f>VLOOKUP([jobnumber],OvalData[],MATCH(Table2[[#Headers],[Wall Angle Thickness]],Table2[#Headers],0),0)</f>
        <v>0</v>
      </c>
      <c r="BV326" s="2">
        <f>VLOOKUP([jobnumber],OvalData[],MATCH(Table2[[#Headers],[windlocks]],Table2[#Headers],0),0)</f>
        <v>0</v>
      </c>
      <c r="BW326" s="2" t="str">
        <f>VLOOKUP([jobnumber],OvalData[],MATCH(Table2[[#Headers],[bottombartype]],Table2[#Headers],0),0)</f>
        <v>SPECIAL</v>
      </c>
      <c r="BX326" s="2">
        <f>VLOOKUP([jobnumber],OvalData[],MATCH(Table2[[#Headers],[endlockweight]],Table2[#Headers],0),0)</f>
        <v>0.17</v>
      </c>
      <c r="BY326" s="2">
        <f>VLOOKUP([jobnumber],OvalData[],MATCH(Table2[[#Headers],[Endlock Total Weight]],Table2[#Headers],0),0)</f>
        <v>7.5972999999999997</v>
      </c>
      <c r="BZ326" s="2">
        <f>VLOOKUP([jobnumber],OvalData[],MATCH(Table2[[#Headers],[Grille Weight]],Table2[#Headers],0),0)</f>
        <v>0</v>
      </c>
      <c r="CA326" s="2">
        <f>VLOOKUP([jobnumber],OvalData[],MATCH(Table2[[#Headers],[barrelrings]],Table2[#Headers],0),0)</f>
        <v>1</v>
      </c>
    </row>
    <row r="327" spans="2:79">
      <c r="B327" s="2" t="str">
        <f>VLOOKUP([jobnumber],OvalData[],MATCH(Table2[[#Headers],[Hand]],Table2[#Headers],0),0)</f>
        <v>RH</v>
      </c>
      <c r="C327" s="2" t="str">
        <f>VLOOKUP([jobnumber],OvalData[],MATCH(Table2[[#Headers],[Model]],Table2[#Headers],0),0)</f>
        <v>SFMPP</v>
      </c>
      <c r="D327" s="2" t="str">
        <f>VLOOKUP([jobnumber],OvalData[],MATCH(Table2[[#Headers],[width]],Table2[#Headers],0),0)</f>
        <v xml:space="preserve"> 18 ft.- 2"</v>
      </c>
      <c r="E327" s="2" t="str">
        <f>VLOOKUP([jobnumber],OvalData[],MATCH(Table2[[#Headers],[stopheight]],Table2[#Headers],0),0)</f>
        <v xml:space="preserve"> 10 ft.- 0"</v>
      </c>
      <c r="F327" s="2" t="str">
        <f>VLOOKUP([jobnumber],OvalData[],MATCH(Table2[[#Headers],[Between Brackets]],Table2[#Headers],0),0)</f>
        <v xml:space="preserve"> 18 ft.- 7 7/ 8"</v>
      </c>
      <c r="G327" s="2" t="str">
        <f>VLOOKUP([jobnumber],OvalData[],MATCH(Table2[[#Headers],[shell]],Table2[#Headers],0),0)</f>
        <v>6 INCH TUBE</v>
      </c>
      <c r="H327" s="2" t="str">
        <f>VLOOKUP([jobnumber],OvalData[],MATCH(Table2[[#Headers],[pipewidth]],Table2[#Headers],0),0)</f>
        <v xml:space="preserve"> 18 ft.- 1 3/ 8"</v>
      </c>
      <c r="I327" s="2">
        <f>VLOOKUP([jobnumber],OvalData[],MATCH(Table2[[#Headers],[Support Tubes]],Table2[#Headers],0),0)</f>
        <v>0</v>
      </c>
      <c r="J327" s="2">
        <f>VLOOKUP([jobnumber],OvalData[],MATCH(Table2[[#Headers],[Upset]],Table2[#Headers],0),0)</f>
        <v>2</v>
      </c>
      <c r="K327" s="2" t="str">
        <f>VLOOKUP([jobnumber],OvalData[],MATCH(Table2[[#Headers],[Guide Type]],Table2[#Headers],0),0)</f>
        <v>SN2-4 5/8-E</v>
      </c>
      <c r="L327" s="2" t="str">
        <f>VLOOKUP([jobnumber],OvalData[],MATCH(Table2[[#Headers],[Wall Angle]],Table2[#Headers],0),0)</f>
        <v xml:space="preserve"> 11 ft.- 8"</v>
      </c>
      <c r="M327" s="2" t="str">
        <f>VLOOKUP([jobnumber],OvalData[],MATCH(Table2[[#Headers],[Middle Angle]],Table2[#Headers],0),0)</f>
        <v xml:space="preserve"> 10 ft.- 4 1/ 2"</v>
      </c>
      <c r="N327" s="2" t="str">
        <f>VLOOKUP([jobnumber],OvalData[],MATCH(Table2[[#Headers],[Front Angle]],Table2[#Headers],0),0)</f>
        <v xml:space="preserve"> 10 ft.- 3"</v>
      </c>
      <c r="O327" s="2">
        <f>VLOOKUP([jobnumber],OvalData[],MATCH(Table2[[#Headers],[Pipe Center Line]],Table2[#Headers],0),0)</f>
        <v>131</v>
      </c>
      <c r="P327" s="2">
        <f>VLOOKUP([jobnumber],OvalData[],MATCH(Table2[[#Headers],[Heat Expansion Gap]],Table2[#Headers],0),0)</f>
        <v>0</v>
      </c>
      <c r="Q327" s="2">
        <f>VLOOKUP([jobnumber],OvalData[],MATCH(Table2[[#Headers],[Hanging Weight Closed]],Table2[#Headers],0),0)</f>
        <v>795</v>
      </c>
      <c r="R327" s="2">
        <f>VLOOKUP([jobnumber],OvalData[],MATCH(Table2[[#Headers],[Hanging Weight Open]],Table2[#Headers],0),0)</f>
        <v>140</v>
      </c>
      <c r="S327" s="2">
        <f>VLOOKUP([jobnumber],OvalData[],MATCH(Table2[[#Headers],[Initial Lever Arm]],Table2[#Headers],0),0)</f>
        <v>4.25</v>
      </c>
      <c r="T327" s="2">
        <f>VLOOKUP([jobnumber],OvalData[],MATCH(Table2[[#Headers],[Turns to Raise]],Table2[#Headers],0),0)</f>
        <v>3.5859999999999999</v>
      </c>
      <c r="U327" s="2">
        <f>VLOOKUP([jobnumber],OvalData[],MATCH(Table2[[#Headers],[Final Lever Arm]],Table2[#Headers],0),0)</f>
        <v>6.37</v>
      </c>
      <c r="V327" s="2">
        <f>VLOOKUP([jobnumber],OvalData[],MATCH(Table2[[#Headers],[Torque Required Closed]],Table2[#Headers],0),0)</f>
        <v>3377.9</v>
      </c>
      <c r="W327" s="2">
        <f>VLOOKUP([jobnumber],OvalData[],MATCH(Table2[[#Headers],[Torque Required Open]],Table2[#Headers],0),0)</f>
        <v>892</v>
      </c>
      <c r="X327" s="2">
        <f>VLOOKUP([jobnumber],OvalData[],MATCH(Table2[[#Headers],[Pre Turns]],Table2[#Headers],0),0)</f>
        <v>1.3332999999999999</v>
      </c>
      <c r="Y327" s="2">
        <f>VLOOKUP([jobnumber],OvalData[],MATCH(Table2[[#Headers],[Required Torque Per Turn]],Table2[#Headers],0),0)</f>
        <v>688</v>
      </c>
      <c r="Z327" s="2">
        <f>VLOOKUP([jobnumber],OvalData[],MATCH(Table2[[#Headers],[Total Turns]],Table2[#Headers],0),0)</f>
        <v>4.91</v>
      </c>
      <c r="AA327" s="2">
        <f>VLOOKUP([jobnumber],OvalData[],MATCH(Table2[[#Headers],[Grille Vision Section]],Table2[#Headers],0),0)</f>
        <v>0</v>
      </c>
      <c r="AB327" s="2">
        <f>VLOOKUP([jobnumber],OvalData[],MATCH(Table2[[#Headers],[Grille Amount]],Table2[#Headers],0),0)</f>
        <v>0</v>
      </c>
      <c r="AC327" s="2">
        <f>VLOOKUP([jobnumber],OvalData[],MATCH(Table2[[#Headers],[Grille Center]],Table2[#Headers],0),0)</f>
        <v>0</v>
      </c>
      <c r="AD327" s="2">
        <f>VLOOKUP([jobnumber],OvalData[],MATCH(Table2[[#Headers],[Grille Pattern]],Table2[#Headers],0),0)</f>
        <v>0</v>
      </c>
      <c r="AE327" s="2">
        <f>VLOOKUP([jobnumber],OvalData[],MATCH(Table2[[#Headers],[Grille First Tube]],Table2[#Headers],0),0)</f>
        <v>0</v>
      </c>
      <c r="AF327" s="2">
        <f>VLOOKUP([jobnumber],OvalData[],MATCH(Table2[[#Headers],[Grille Standard Tube]],Table2[#Headers],0),0)</f>
        <v>0</v>
      </c>
      <c r="AG327" s="2">
        <f>VLOOKUP([jobnumber],OvalData[],MATCH(Table2[[#Headers],[Grille Total Links]],Table2[#Headers],0),0)</f>
        <v>0</v>
      </c>
      <c r="AH327" s="2">
        <f>VLOOKUP([jobnumber],OvalData[],MATCH(Table2[[#Headers],[Grille Rods]],Table2[#Headers],0),0)</f>
        <v>0</v>
      </c>
      <c r="AI327" s="2">
        <f>VLOOKUP([jobnumber],OvalData[],MATCH(Table2[[#Headers],[Grille Rod Length]],Table2[#Headers],0),0)</f>
        <v>0</v>
      </c>
      <c r="AJ327" s="2">
        <f>VLOOKUP([jobnumber],OvalData[],MATCH(Table2[[#Headers],[slattype]],Table2[#Headers],0),0)</f>
        <v>2</v>
      </c>
      <c r="AK327" s="2">
        <f>VLOOKUP([jobnumber],OvalData[],MATCH(Table2[[#Headers],[slatgage]],Table2[#Headers],0),0)</f>
        <v>18</v>
      </c>
      <c r="AL327" s="2">
        <f>VLOOKUP([jobnumber],OvalData[],MATCH(Table2[[#Headers],[Numer of Top Slats]],Table2[#Headers],0),0)</f>
        <v>0</v>
      </c>
      <c r="AM327" s="2">
        <f>VLOOKUP([jobnumber],OvalData[],MATCH(Table2[[#Headers],[Number of Bottom Slats]],Table2[#Headers],0),0)</f>
        <v>0</v>
      </c>
      <c r="AN327" s="2">
        <f>VLOOKUP([jobnumber],OvalData[],MATCH(Table2[[#Headers],[Solid Bottom Height]],Table2[#Headers],0),0)</f>
        <v>0</v>
      </c>
      <c r="AO327" s="2" t="str">
        <f>VLOOKUP([jobnumber],OvalData[],MATCH(Table2[[#Headers],[slatlength]],Table2[#Headers],0),0)</f>
        <v xml:space="preserve"> 18 ft.- 5 7/ 8"</v>
      </c>
      <c r="AP327" s="2">
        <f>VLOOKUP([jobnumber],OvalData[],MATCH(Table2[[#Headers],[Bottom Slat Length]],Table2[#Headers],0),0)</f>
        <v>0</v>
      </c>
      <c r="AQ327" s="2">
        <f>VLOOKUP([jobnumber],OvalData[],MATCH(Table2[[#Headers],[Number of Perferated Slats]],Table2[#Headers],0),0)</f>
        <v>0</v>
      </c>
      <c r="AR327" s="2">
        <f>VLOOKUP([jobnumber],OvalData[],MATCH(Table2[[#Headers],[First Preferated Slat From End]],Table2[#Headers],0),0)</f>
        <v>0</v>
      </c>
      <c r="AS327" s="2">
        <f>VLOOKUP([jobnumber],OvalData[],MATCH(Table2[[#Headers],[First Preferated Slat From Bottom]],Table2[#Headers],0),0)</f>
        <v>0</v>
      </c>
      <c r="AT327" s="2">
        <f>VLOOKUP([jobnumber],OvalData[],MATCH(Table2[[#Headers],[Total Number of Slats]],Table2[#Headers],0),0)</f>
        <v>51</v>
      </c>
      <c r="AU327" s="2">
        <f>VLOOKUP([jobnumber],OvalData[],MATCH(Table2[[#Headers],[Bottom Bar Slope]],Table2[#Headers],0),0)</f>
        <v>0</v>
      </c>
      <c r="AV327" s="2">
        <f>VLOOKUP([jobnumber],OvalData[],MATCH(Table2[[#Headers],[Bottom Bar Weight]],Table2[#Headers],0),0)</f>
        <v>80.5</v>
      </c>
      <c r="AW327" s="2" t="str">
        <f>VLOOKUP([jobnumber],OvalData[],MATCH(Table2[[#Headers],[Outer Spring Gage]],Table2[#Headers],0),0)</f>
        <v>Null</v>
      </c>
      <c r="AX327" s="2" t="str">
        <f>VLOOKUP([jobnumber],OvalData[],MATCH(Table2[[#Headers],[Outer Spring OD]],Table2[#Headers],0),0)</f>
        <v>Null</v>
      </c>
      <c r="AY327" s="2" t="str">
        <f>VLOOKUP([jobnumber],OvalData[],MATCH(Table2[[#Headers],[Outer Spring Length]],Table2[#Headers],0),0)</f>
        <v>Null</v>
      </c>
      <c r="AZ327" s="2" t="str">
        <f>VLOOKUP([jobnumber],OvalData[],MATCH(Table2[[#Headers],[Outer Spring Stretch]],Table2[#Headers],0),0)</f>
        <v>Null</v>
      </c>
      <c r="BA327" s="2" t="str">
        <f>VLOOKUP([jobnumber],OvalData[],MATCH(Table2[[#Headers],[Outer Spring Torque]],Table2[#Headers],0),0)</f>
        <v>Null</v>
      </c>
      <c r="BB327" s="2" t="str">
        <f>VLOOKUP([jobnumber],OvalData[],MATCH(Table2[[#Headers],[Outer Spring Max Turns]],Table2[#Headers],0),0)</f>
        <v>Null</v>
      </c>
      <c r="BC327" s="2" t="str">
        <f>VLOOKUP([jobnumber],OvalData[],MATCH(Table2[[#Headers],[Outer Spring Weight]],Table2[#Headers],0),0)</f>
        <v>Null</v>
      </c>
      <c r="BD327" s="2" t="str">
        <f>VLOOKUP([jobnumber],OvalData[],MATCH(Table2[[#Headers],[Inner Spring Gage]],Table2[#Headers],0),0)</f>
        <v>Null</v>
      </c>
      <c r="BE327" s="2" t="str">
        <f>VLOOKUP([jobnumber],OvalData[],MATCH(Table2[[#Headers],[Inner Spring OD]],Table2[#Headers],0),0)</f>
        <v>Null</v>
      </c>
      <c r="BF327" s="2" t="str">
        <f>VLOOKUP([jobnumber],OvalData[],MATCH(Table2[[#Headers],[Inner Spring Length]],Table2[#Headers],0),0)</f>
        <v>Null</v>
      </c>
      <c r="BG327" s="2" t="str">
        <f>VLOOKUP([jobnumber],OvalData[],MATCH(Table2[[#Headers],[Inner Spring Stretch]],Table2[#Headers],0),0)</f>
        <v>Null</v>
      </c>
      <c r="BH327" s="2" t="str">
        <f>VLOOKUP([jobnumber],OvalData[],MATCH(Table2[[#Headers],[Inner Spring Torque]],Table2[#Headers],0),0)</f>
        <v>Null</v>
      </c>
      <c r="BI327" s="2" t="str">
        <f>VLOOKUP([jobnumber],OvalData[],MATCH(Table2[[#Headers],[Inner Spring Max Turns]],Table2[#Headers],0),0)</f>
        <v>Null</v>
      </c>
      <c r="BJ327" s="2" t="str">
        <f>VLOOKUP([jobnumber],OvalData[],MATCH(Table2[[#Headers],[Inner Spring Weight]],Table2[#Headers],0),0)</f>
        <v>Null</v>
      </c>
      <c r="BK327" s="2">
        <f>VLOOKUP([jobnumber],OvalData[],MATCH(Table2[[#Headers],[Cycles]],Table2[#Headers],0),0)</f>
        <v>0</v>
      </c>
      <c r="BL327" s="2">
        <f>VLOOKUP([jobnumber],OvalData[],MATCH(Table2[[#Headers],[Total Spring Torque]],Table2[#Headers],0),0)</f>
        <v>0</v>
      </c>
      <c r="BM327" s="2">
        <f>VLOOKUP([jobnumber],OvalData[],MATCH(Table2[[#Headers],[Total Spring Weight]],Table2[#Headers],0),0)</f>
        <v>0</v>
      </c>
      <c r="BN327" s="2">
        <f>VLOOKUP([jobnumber],OvalData[],MATCH(Table2[[#Headers],[Pipe Weight]],Table2[#Headers],0),0)</f>
        <v>688.24239999999998</v>
      </c>
      <c r="BO327" s="2">
        <f>VLOOKUP([jobnumber],OvalData[],MATCH(Table2[[#Headers],[Max Pipe Deflection]],Table2[#Headers],0),0)</f>
        <v>2309</v>
      </c>
      <c r="BP327" s="2">
        <f>VLOOKUP([jobnumber],OvalData[],MATCH(Table2[[#Headers],[Number Non-Insulated Wrap Slats]],Table2[#Headers],0),0)</f>
        <v>0</v>
      </c>
      <c r="BQ327" s="2">
        <f>VLOOKUP([jobnumber],OvalData[],MATCH(Table2[[#Headers],[Number of Insolated Top Slats]],Table2[#Headers],0),0)</f>
        <v>45</v>
      </c>
      <c r="BR327" s="2">
        <f>VLOOKUP([jobnumber],OvalData[],MATCH(Table2[[#Headers],[Insolated Total Slats]],Table2[#Headers],0),0)</f>
        <v>45</v>
      </c>
      <c r="BS327" s="2">
        <f>VLOOKUP([jobnumber],OvalData[],MATCH(Table2[[#Headers],[Number of Slats]],Table2[#Headers],0),0)</f>
        <v>44.69</v>
      </c>
      <c r="BT327" s="2">
        <f>VLOOKUP([jobnumber],OvalData[],MATCH(Table2[[#Headers],[Wrap]],Table2[#Headers],0),0)</f>
        <v>0</v>
      </c>
      <c r="BU327" s="2">
        <f>VLOOKUP([jobnumber],OvalData[],MATCH(Table2[[#Headers],[Wall Angle Thickness]],Table2[#Headers],0),0)</f>
        <v>0</v>
      </c>
      <c r="BV327" s="2">
        <f>VLOOKUP([jobnumber],OvalData[],MATCH(Table2[[#Headers],[windlocks]],Table2[#Headers],0),0)</f>
        <v>0</v>
      </c>
      <c r="BW327" s="2" t="str">
        <f>VLOOKUP([jobnumber],OvalData[],MATCH(Table2[[#Headers],[bottombartype]],Table2[#Headers],0),0)</f>
        <v>SPECIAL</v>
      </c>
      <c r="BX327" s="2">
        <f>VLOOKUP([jobnumber],OvalData[],MATCH(Table2[[#Headers],[endlockweight]],Table2[#Headers],0),0)</f>
        <v>0.17</v>
      </c>
      <c r="BY327" s="2">
        <f>VLOOKUP([jobnumber],OvalData[],MATCH(Table2[[#Headers],[Endlock Total Weight]],Table2[#Headers],0),0)</f>
        <v>7.5972999999999997</v>
      </c>
      <c r="BZ327" s="2">
        <f>VLOOKUP([jobnumber],OvalData[],MATCH(Table2[[#Headers],[Grille Weight]],Table2[#Headers],0),0)</f>
        <v>0</v>
      </c>
      <c r="CA327" s="2">
        <f>VLOOKUP([jobnumber],OvalData[],MATCH(Table2[[#Headers],[barrelrings]],Table2[#Headers],0),0)</f>
        <v>1</v>
      </c>
    </row>
    <row r="328" spans="2:79">
      <c r="B328" s="2" t="str">
        <f>VLOOKUP([jobnumber],OvalData[],MATCH(Table2[[#Headers],[Hand]],Table2[#Headers],0),0)</f>
        <v>RH</v>
      </c>
      <c r="C328" s="2" t="str">
        <f>VLOOKUP([jobnumber],OvalData[],MATCH(Table2[[#Headers],[Model]],Table2[#Headers],0),0)</f>
        <v>SFMPP</v>
      </c>
      <c r="D328" s="2" t="str">
        <f>VLOOKUP([jobnumber],OvalData[],MATCH(Table2[[#Headers],[width]],Table2[#Headers],0),0)</f>
        <v xml:space="preserve"> 18 ft.- 2"</v>
      </c>
      <c r="E328" s="2" t="str">
        <f>VLOOKUP([jobnumber],OvalData[],MATCH(Table2[[#Headers],[stopheight]],Table2[#Headers],0),0)</f>
        <v xml:space="preserve"> 10 ft.- 0"</v>
      </c>
      <c r="F328" s="2" t="str">
        <f>VLOOKUP([jobnumber],OvalData[],MATCH(Table2[[#Headers],[Between Brackets]],Table2[#Headers],0),0)</f>
        <v xml:space="preserve"> 18 ft.- 7 7/ 8"</v>
      </c>
      <c r="G328" s="2" t="str">
        <f>VLOOKUP([jobnumber],OvalData[],MATCH(Table2[[#Headers],[shell]],Table2[#Headers],0),0)</f>
        <v>6 INCH TUBE</v>
      </c>
      <c r="H328" s="2" t="str">
        <f>VLOOKUP([jobnumber],OvalData[],MATCH(Table2[[#Headers],[pipewidth]],Table2[#Headers],0),0)</f>
        <v xml:space="preserve"> 18 ft.- 1 3/ 8"</v>
      </c>
      <c r="I328" s="2">
        <f>VLOOKUP([jobnumber],OvalData[],MATCH(Table2[[#Headers],[Support Tubes]],Table2[#Headers],0),0)</f>
        <v>0</v>
      </c>
      <c r="J328" s="2">
        <f>VLOOKUP([jobnumber],OvalData[],MATCH(Table2[[#Headers],[Upset]],Table2[#Headers],0),0)</f>
        <v>2</v>
      </c>
      <c r="K328" s="2" t="str">
        <f>VLOOKUP([jobnumber],OvalData[],MATCH(Table2[[#Headers],[Guide Type]],Table2[#Headers],0),0)</f>
        <v>SN2-4 5/8-E</v>
      </c>
      <c r="L328" s="2" t="str">
        <f>VLOOKUP([jobnumber],OvalData[],MATCH(Table2[[#Headers],[Wall Angle]],Table2[#Headers],0),0)</f>
        <v xml:space="preserve"> 11 ft.- 8"</v>
      </c>
      <c r="M328" s="2" t="str">
        <f>VLOOKUP([jobnumber],OvalData[],MATCH(Table2[[#Headers],[Middle Angle]],Table2[#Headers],0),0)</f>
        <v xml:space="preserve"> 10 ft.- 4 1/ 2"</v>
      </c>
      <c r="N328" s="2" t="str">
        <f>VLOOKUP([jobnumber],OvalData[],MATCH(Table2[[#Headers],[Front Angle]],Table2[#Headers],0),0)</f>
        <v xml:space="preserve"> 10 ft.- 3"</v>
      </c>
      <c r="O328" s="2">
        <f>VLOOKUP([jobnumber],OvalData[],MATCH(Table2[[#Headers],[Pipe Center Line]],Table2[#Headers],0),0)</f>
        <v>131</v>
      </c>
      <c r="P328" s="2">
        <f>VLOOKUP([jobnumber],OvalData[],MATCH(Table2[[#Headers],[Heat Expansion Gap]],Table2[#Headers],0),0)</f>
        <v>0</v>
      </c>
      <c r="Q328" s="2">
        <f>VLOOKUP([jobnumber],OvalData[],MATCH(Table2[[#Headers],[Hanging Weight Closed]],Table2[#Headers],0),0)</f>
        <v>795</v>
      </c>
      <c r="R328" s="2">
        <f>VLOOKUP([jobnumber],OvalData[],MATCH(Table2[[#Headers],[Hanging Weight Open]],Table2[#Headers],0),0)</f>
        <v>140</v>
      </c>
      <c r="S328" s="2">
        <f>VLOOKUP([jobnumber],OvalData[],MATCH(Table2[[#Headers],[Initial Lever Arm]],Table2[#Headers],0),0)</f>
        <v>4.25</v>
      </c>
      <c r="T328" s="2">
        <f>VLOOKUP([jobnumber],OvalData[],MATCH(Table2[[#Headers],[Turns to Raise]],Table2[#Headers],0),0)</f>
        <v>3.5859999999999999</v>
      </c>
      <c r="U328" s="2">
        <f>VLOOKUP([jobnumber],OvalData[],MATCH(Table2[[#Headers],[Final Lever Arm]],Table2[#Headers],0),0)</f>
        <v>6.37</v>
      </c>
      <c r="V328" s="2">
        <f>VLOOKUP([jobnumber],OvalData[],MATCH(Table2[[#Headers],[Torque Required Closed]],Table2[#Headers],0),0)</f>
        <v>3377.9</v>
      </c>
      <c r="W328" s="2">
        <f>VLOOKUP([jobnumber],OvalData[],MATCH(Table2[[#Headers],[Torque Required Open]],Table2[#Headers],0),0)</f>
        <v>892</v>
      </c>
      <c r="X328" s="2">
        <f>VLOOKUP([jobnumber],OvalData[],MATCH(Table2[[#Headers],[Pre Turns]],Table2[#Headers],0),0)</f>
        <v>1.3332999999999999</v>
      </c>
      <c r="Y328" s="2">
        <f>VLOOKUP([jobnumber],OvalData[],MATCH(Table2[[#Headers],[Required Torque Per Turn]],Table2[#Headers],0),0)</f>
        <v>688</v>
      </c>
      <c r="Z328" s="2">
        <f>VLOOKUP([jobnumber],OvalData[],MATCH(Table2[[#Headers],[Total Turns]],Table2[#Headers],0),0)</f>
        <v>4.91</v>
      </c>
      <c r="AA328" s="2">
        <f>VLOOKUP([jobnumber],OvalData[],MATCH(Table2[[#Headers],[Grille Vision Section]],Table2[#Headers],0),0)</f>
        <v>0</v>
      </c>
      <c r="AB328" s="2">
        <f>VLOOKUP([jobnumber],OvalData[],MATCH(Table2[[#Headers],[Grille Amount]],Table2[#Headers],0),0)</f>
        <v>0</v>
      </c>
      <c r="AC328" s="2">
        <f>VLOOKUP([jobnumber],OvalData[],MATCH(Table2[[#Headers],[Grille Center]],Table2[#Headers],0),0)</f>
        <v>0</v>
      </c>
      <c r="AD328" s="2">
        <f>VLOOKUP([jobnumber],OvalData[],MATCH(Table2[[#Headers],[Grille Pattern]],Table2[#Headers],0),0)</f>
        <v>0</v>
      </c>
      <c r="AE328" s="2">
        <f>VLOOKUP([jobnumber],OvalData[],MATCH(Table2[[#Headers],[Grille First Tube]],Table2[#Headers],0),0)</f>
        <v>0</v>
      </c>
      <c r="AF328" s="2">
        <f>VLOOKUP([jobnumber],OvalData[],MATCH(Table2[[#Headers],[Grille Standard Tube]],Table2[#Headers],0),0)</f>
        <v>0</v>
      </c>
      <c r="AG328" s="2">
        <f>VLOOKUP([jobnumber],OvalData[],MATCH(Table2[[#Headers],[Grille Total Links]],Table2[#Headers],0),0)</f>
        <v>0</v>
      </c>
      <c r="AH328" s="2">
        <f>VLOOKUP([jobnumber],OvalData[],MATCH(Table2[[#Headers],[Grille Rods]],Table2[#Headers],0),0)</f>
        <v>0</v>
      </c>
      <c r="AI328" s="2">
        <f>VLOOKUP([jobnumber],OvalData[],MATCH(Table2[[#Headers],[Grille Rod Length]],Table2[#Headers],0),0)</f>
        <v>0</v>
      </c>
      <c r="AJ328" s="2">
        <f>VLOOKUP([jobnumber],OvalData[],MATCH(Table2[[#Headers],[slattype]],Table2[#Headers],0),0)</f>
        <v>2</v>
      </c>
      <c r="AK328" s="2">
        <f>VLOOKUP([jobnumber],OvalData[],MATCH(Table2[[#Headers],[slatgage]],Table2[#Headers],0),0)</f>
        <v>18</v>
      </c>
      <c r="AL328" s="2">
        <f>VLOOKUP([jobnumber],OvalData[],MATCH(Table2[[#Headers],[Numer of Top Slats]],Table2[#Headers],0),0)</f>
        <v>0</v>
      </c>
      <c r="AM328" s="2">
        <f>VLOOKUP([jobnumber],OvalData[],MATCH(Table2[[#Headers],[Number of Bottom Slats]],Table2[#Headers],0),0)</f>
        <v>0</v>
      </c>
      <c r="AN328" s="2">
        <f>VLOOKUP([jobnumber],OvalData[],MATCH(Table2[[#Headers],[Solid Bottom Height]],Table2[#Headers],0),0)</f>
        <v>0</v>
      </c>
      <c r="AO328" s="2" t="str">
        <f>VLOOKUP([jobnumber],OvalData[],MATCH(Table2[[#Headers],[slatlength]],Table2[#Headers],0),0)</f>
        <v xml:space="preserve"> 18 ft.- 5 7/ 8"</v>
      </c>
      <c r="AP328" s="2">
        <f>VLOOKUP([jobnumber],OvalData[],MATCH(Table2[[#Headers],[Bottom Slat Length]],Table2[#Headers],0),0)</f>
        <v>0</v>
      </c>
      <c r="AQ328" s="2">
        <f>VLOOKUP([jobnumber],OvalData[],MATCH(Table2[[#Headers],[Number of Perferated Slats]],Table2[#Headers],0),0)</f>
        <v>0</v>
      </c>
      <c r="AR328" s="2">
        <f>VLOOKUP([jobnumber],OvalData[],MATCH(Table2[[#Headers],[First Preferated Slat From End]],Table2[#Headers],0),0)</f>
        <v>0</v>
      </c>
      <c r="AS328" s="2">
        <f>VLOOKUP([jobnumber],OvalData[],MATCH(Table2[[#Headers],[First Preferated Slat From Bottom]],Table2[#Headers],0),0)</f>
        <v>0</v>
      </c>
      <c r="AT328" s="2">
        <f>VLOOKUP([jobnumber],OvalData[],MATCH(Table2[[#Headers],[Total Number of Slats]],Table2[#Headers],0),0)</f>
        <v>51</v>
      </c>
      <c r="AU328" s="2">
        <f>VLOOKUP([jobnumber],OvalData[],MATCH(Table2[[#Headers],[Bottom Bar Slope]],Table2[#Headers],0),0)</f>
        <v>0</v>
      </c>
      <c r="AV328" s="2">
        <f>VLOOKUP([jobnumber],OvalData[],MATCH(Table2[[#Headers],[Bottom Bar Weight]],Table2[#Headers],0),0)</f>
        <v>80.5</v>
      </c>
      <c r="AW328" s="2" t="str">
        <f>VLOOKUP([jobnumber],OvalData[],MATCH(Table2[[#Headers],[Outer Spring Gage]],Table2[#Headers],0),0)</f>
        <v>Null</v>
      </c>
      <c r="AX328" s="2" t="str">
        <f>VLOOKUP([jobnumber],OvalData[],MATCH(Table2[[#Headers],[Outer Spring OD]],Table2[#Headers],0),0)</f>
        <v>Null</v>
      </c>
      <c r="AY328" s="2" t="str">
        <f>VLOOKUP([jobnumber],OvalData[],MATCH(Table2[[#Headers],[Outer Spring Length]],Table2[#Headers],0),0)</f>
        <v>Null</v>
      </c>
      <c r="AZ328" s="2" t="str">
        <f>VLOOKUP([jobnumber],OvalData[],MATCH(Table2[[#Headers],[Outer Spring Stretch]],Table2[#Headers],0),0)</f>
        <v>Null</v>
      </c>
      <c r="BA328" s="2" t="str">
        <f>VLOOKUP([jobnumber],OvalData[],MATCH(Table2[[#Headers],[Outer Spring Torque]],Table2[#Headers],0),0)</f>
        <v>Null</v>
      </c>
      <c r="BB328" s="2" t="str">
        <f>VLOOKUP([jobnumber],OvalData[],MATCH(Table2[[#Headers],[Outer Spring Max Turns]],Table2[#Headers],0),0)</f>
        <v>Null</v>
      </c>
      <c r="BC328" s="2" t="str">
        <f>VLOOKUP([jobnumber],OvalData[],MATCH(Table2[[#Headers],[Outer Spring Weight]],Table2[#Headers],0),0)</f>
        <v>Null</v>
      </c>
      <c r="BD328" s="2" t="str">
        <f>VLOOKUP([jobnumber],OvalData[],MATCH(Table2[[#Headers],[Inner Spring Gage]],Table2[#Headers],0),0)</f>
        <v>Null</v>
      </c>
      <c r="BE328" s="2" t="str">
        <f>VLOOKUP([jobnumber],OvalData[],MATCH(Table2[[#Headers],[Inner Spring OD]],Table2[#Headers],0),0)</f>
        <v>Null</v>
      </c>
      <c r="BF328" s="2" t="str">
        <f>VLOOKUP([jobnumber],OvalData[],MATCH(Table2[[#Headers],[Inner Spring Length]],Table2[#Headers],0),0)</f>
        <v>Null</v>
      </c>
      <c r="BG328" s="2" t="str">
        <f>VLOOKUP([jobnumber],OvalData[],MATCH(Table2[[#Headers],[Inner Spring Stretch]],Table2[#Headers],0),0)</f>
        <v>Null</v>
      </c>
      <c r="BH328" s="2" t="str">
        <f>VLOOKUP([jobnumber],OvalData[],MATCH(Table2[[#Headers],[Inner Spring Torque]],Table2[#Headers],0),0)</f>
        <v>Null</v>
      </c>
      <c r="BI328" s="2" t="str">
        <f>VLOOKUP([jobnumber],OvalData[],MATCH(Table2[[#Headers],[Inner Spring Max Turns]],Table2[#Headers],0),0)</f>
        <v>Null</v>
      </c>
      <c r="BJ328" s="2" t="str">
        <f>VLOOKUP([jobnumber],OvalData[],MATCH(Table2[[#Headers],[Inner Spring Weight]],Table2[#Headers],0),0)</f>
        <v>Null</v>
      </c>
      <c r="BK328" s="2">
        <f>VLOOKUP([jobnumber],OvalData[],MATCH(Table2[[#Headers],[Cycles]],Table2[#Headers],0),0)</f>
        <v>0</v>
      </c>
      <c r="BL328" s="2">
        <f>VLOOKUP([jobnumber],OvalData[],MATCH(Table2[[#Headers],[Total Spring Torque]],Table2[#Headers],0),0)</f>
        <v>0</v>
      </c>
      <c r="BM328" s="2">
        <f>VLOOKUP([jobnumber],OvalData[],MATCH(Table2[[#Headers],[Total Spring Weight]],Table2[#Headers],0),0)</f>
        <v>0</v>
      </c>
      <c r="BN328" s="2">
        <f>VLOOKUP([jobnumber],OvalData[],MATCH(Table2[[#Headers],[Pipe Weight]],Table2[#Headers],0),0)</f>
        <v>688.24239999999998</v>
      </c>
      <c r="BO328" s="2">
        <f>VLOOKUP([jobnumber],OvalData[],MATCH(Table2[[#Headers],[Max Pipe Deflection]],Table2[#Headers],0),0)</f>
        <v>2309</v>
      </c>
      <c r="BP328" s="2">
        <f>VLOOKUP([jobnumber],OvalData[],MATCH(Table2[[#Headers],[Number Non-Insulated Wrap Slats]],Table2[#Headers],0),0)</f>
        <v>0</v>
      </c>
      <c r="BQ328" s="2">
        <f>VLOOKUP([jobnumber],OvalData[],MATCH(Table2[[#Headers],[Number of Insolated Top Slats]],Table2[#Headers],0),0)</f>
        <v>45</v>
      </c>
      <c r="BR328" s="2">
        <f>VLOOKUP([jobnumber],OvalData[],MATCH(Table2[[#Headers],[Insolated Total Slats]],Table2[#Headers],0),0)</f>
        <v>45</v>
      </c>
      <c r="BS328" s="2">
        <f>VLOOKUP([jobnumber],OvalData[],MATCH(Table2[[#Headers],[Number of Slats]],Table2[#Headers],0),0)</f>
        <v>44.69</v>
      </c>
      <c r="BT328" s="2">
        <f>VLOOKUP([jobnumber],OvalData[],MATCH(Table2[[#Headers],[Wrap]],Table2[#Headers],0),0)</f>
        <v>0</v>
      </c>
      <c r="BU328" s="2">
        <f>VLOOKUP([jobnumber],OvalData[],MATCH(Table2[[#Headers],[Wall Angle Thickness]],Table2[#Headers],0),0)</f>
        <v>0</v>
      </c>
      <c r="BV328" s="2">
        <f>VLOOKUP([jobnumber],OvalData[],MATCH(Table2[[#Headers],[windlocks]],Table2[#Headers],0),0)</f>
        <v>0</v>
      </c>
      <c r="BW328" s="2" t="str">
        <f>VLOOKUP([jobnumber],OvalData[],MATCH(Table2[[#Headers],[bottombartype]],Table2[#Headers],0),0)</f>
        <v>SPECIAL</v>
      </c>
      <c r="BX328" s="2">
        <f>VLOOKUP([jobnumber],OvalData[],MATCH(Table2[[#Headers],[endlockweight]],Table2[#Headers],0),0)</f>
        <v>0.17</v>
      </c>
      <c r="BY328" s="2">
        <f>VLOOKUP([jobnumber],OvalData[],MATCH(Table2[[#Headers],[Endlock Total Weight]],Table2[#Headers],0),0)</f>
        <v>7.5972999999999997</v>
      </c>
      <c r="BZ328" s="2">
        <f>VLOOKUP([jobnumber],OvalData[],MATCH(Table2[[#Headers],[Grille Weight]],Table2[#Headers],0),0)</f>
        <v>0</v>
      </c>
      <c r="CA328" s="2">
        <f>VLOOKUP([jobnumber],OvalData[],MATCH(Table2[[#Headers],[barrelrings]],Table2[#Headers],0),0)</f>
        <v>1</v>
      </c>
    </row>
    <row r="329" spans="2:79">
      <c r="B329" s="2" t="str">
        <f>VLOOKUP([jobnumber],OvalData[],MATCH(Table2[[#Headers],[Hand]],Table2[#Headers],0),0)</f>
        <v>RH</v>
      </c>
      <c r="C329" s="2" t="str">
        <f>VLOOKUP([jobnumber],OvalData[],MATCH(Table2[[#Headers],[Model]],Table2[#Headers],0),0)</f>
        <v>SFMPP</v>
      </c>
      <c r="D329" s="2" t="str">
        <f>VLOOKUP([jobnumber],OvalData[],MATCH(Table2[[#Headers],[width]],Table2[#Headers],0),0)</f>
        <v xml:space="preserve"> 18 ft.- 2"</v>
      </c>
      <c r="E329" s="2" t="str">
        <f>VLOOKUP([jobnumber],OvalData[],MATCH(Table2[[#Headers],[stopheight]],Table2[#Headers],0),0)</f>
        <v xml:space="preserve"> 10 ft.- 0"</v>
      </c>
      <c r="F329" s="2" t="str">
        <f>VLOOKUP([jobnumber],OvalData[],MATCH(Table2[[#Headers],[Between Brackets]],Table2[#Headers],0),0)</f>
        <v xml:space="preserve"> 18 ft.- 7 7/ 8"</v>
      </c>
      <c r="G329" s="2" t="str">
        <f>VLOOKUP([jobnumber],OvalData[],MATCH(Table2[[#Headers],[shell]],Table2[#Headers],0),0)</f>
        <v>6 INCH TUBE</v>
      </c>
      <c r="H329" s="2" t="str">
        <f>VLOOKUP([jobnumber],OvalData[],MATCH(Table2[[#Headers],[pipewidth]],Table2[#Headers],0),0)</f>
        <v xml:space="preserve"> 18 ft.- 1 3/ 8"</v>
      </c>
      <c r="I329" s="2">
        <f>VLOOKUP([jobnumber],OvalData[],MATCH(Table2[[#Headers],[Support Tubes]],Table2[#Headers],0),0)</f>
        <v>0</v>
      </c>
      <c r="J329" s="2">
        <f>VLOOKUP([jobnumber],OvalData[],MATCH(Table2[[#Headers],[Upset]],Table2[#Headers],0),0)</f>
        <v>2</v>
      </c>
      <c r="K329" s="2" t="str">
        <f>VLOOKUP([jobnumber],OvalData[],MATCH(Table2[[#Headers],[Guide Type]],Table2[#Headers],0),0)</f>
        <v>SN2-4 5/8-E</v>
      </c>
      <c r="L329" s="2" t="str">
        <f>VLOOKUP([jobnumber],OvalData[],MATCH(Table2[[#Headers],[Wall Angle]],Table2[#Headers],0),0)</f>
        <v xml:space="preserve"> 11 ft.- 8"</v>
      </c>
      <c r="M329" s="2" t="str">
        <f>VLOOKUP([jobnumber],OvalData[],MATCH(Table2[[#Headers],[Middle Angle]],Table2[#Headers],0),0)</f>
        <v xml:space="preserve"> 10 ft.- 4 1/ 2"</v>
      </c>
      <c r="N329" s="2" t="str">
        <f>VLOOKUP([jobnumber],OvalData[],MATCH(Table2[[#Headers],[Front Angle]],Table2[#Headers],0),0)</f>
        <v xml:space="preserve"> 10 ft.- 3"</v>
      </c>
      <c r="O329" s="2">
        <f>VLOOKUP([jobnumber],OvalData[],MATCH(Table2[[#Headers],[Pipe Center Line]],Table2[#Headers],0),0)</f>
        <v>131</v>
      </c>
      <c r="P329" s="2">
        <f>VLOOKUP([jobnumber],OvalData[],MATCH(Table2[[#Headers],[Heat Expansion Gap]],Table2[#Headers],0),0)</f>
        <v>0</v>
      </c>
      <c r="Q329" s="2">
        <f>VLOOKUP([jobnumber],OvalData[],MATCH(Table2[[#Headers],[Hanging Weight Closed]],Table2[#Headers],0),0)</f>
        <v>795</v>
      </c>
      <c r="R329" s="2">
        <f>VLOOKUP([jobnumber],OvalData[],MATCH(Table2[[#Headers],[Hanging Weight Open]],Table2[#Headers],0),0)</f>
        <v>140</v>
      </c>
      <c r="S329" s="2">
        <f>VLOOKUP([jobnumber],OvalData[],MATCH(Table2[[#Headers],[Initial Lever Arm]],Table2[#Headers],0),0)</f>
        <v>4.25</v>
      </c>
      <c r="T329" s="2">
        <f>VLOOKUP([jobnumber],OvalData[],MATCH(Table2[[#Headers],[Turns to Raise]],Table2[#Headers],0),0)</f>
        <v>3.5859999999999999</v>
      </c>
      <c r="U329" s="2">
        <f>VLOOKUP([jobnumber],OvalData[],MATCH(Table2[[#Headers],[Final Lever Arm]],Table2[#Headers],0),0)</f>
        <v>6.37</v>
      </c>
      <c r="V329" s="2">
        <f>VLOOKUP([jobnumber],OvalData[],MATCH(Table2[[#Headers],[Torque Required Closed]],Table2[#Headers],0),0)</f>
        <v>3377.9</v>
      </c>
      <c r="W329" s="2">
        <f>VLOOKUP([jobnumber],OvalData[],MATCH(Table2[[#Headers],[Torque Required Open]],Table2[#Headers],0),0)</f>
        <v>892</v>
      </c>
      <c r="X329" s="2">
        <f>VLOOKUP([jobnumber],OvalData[],MATCH(Table2[[#Headers],[Pre Turns]],Table2[#Headers],0),0)</f>
        <v>1.3332999999999999</v>
      </c>
      <c r="Y329" s="2">
        <f>VLOOKUP([jobnumber],OvalData[],MATCH(Table2[[#Headers],[Required Torque Per Turn]],Table2[#Headers],0),0)</f>
        <v>688</v>
      </c>
      <c r="Z329" s="2">
        <f>VLOOKUP([jobnumber],OvalData[],MATCH(Table2[[#Headers],[Total Turns]],Table2[#Headers],0),0)</f>
        <v>4.91</v>
      </c>
      <c r="AA329" s="2">
        <f>VLOOKUP([jobnumber],OvalData[],MATCH(Table2[[#Headers],[Grille Vision Section]],Table2[#Headers],0),0)</f>
        <v>0</v>
      </c>
      <c r="AB329" s="2">
        <f>VLOOKUP([jobnumber],OvalData[],MATCH(Table2[[#Headers],[Grille Amount]],Table2[#Headers],0),0)</f>
        <v>0</v>
      </c>
      <c r="AC329" s="2">
        <f>VLOOKUP([jobnumber],OvalData[],MATCH(Table2[[#Headers],[Grille Center]],Table2[#Headers],0),0)</f>
        <v>0</v>
      </c>
      <c r="AD329" s="2">
        <f>VLOOKUP([jobnumber],OvalData[],MATCH(Table2[[#Headers],[Grille Pattern]],Table2[#Headers],0),0)</f>
        <v>0</v>
      </c>
      <c r="AE329" s="2">
        <f>VLOOKUP([jobnumber],OvalData[],MATCH(Table2[[#Headers],[Grille First Tube]],Table2[#Headers],0),0)</f>
        <v>0</v>
      </c>
      <c r="AF329" s="2">
        <f>VLOOKUP([jobnumber],OvalData[],MATCH(Table2[[#Headers],[Grille Standard Tube]],Table2[#Headers],0),0)</f>
        <v>0</v>
      </c>
      <c r="AG329" s="2">
        <f>VLOOKUP([jobnumber],OvalData[],MATCH(Table2[[#Headers],[Grille Total Links]],Table2[#Headers],0),0)</f>
        <v>0</v>
      </c>
      <c r="AH329" s="2">
        <f>VLOOKUP([jobnumber],OvalData[],MATCH(Table2[[#Headers],[Grille Rods]],Table2[#Headers],0),0)</f>
        <v>0</v>
      </c>
      <c r="AI329" s="2">
        <f>VLOOKUP([jobnumber],OvalData[],MATCH(Table2[[#Headers],[Grille Rod Length]],Table2[#Headers],0),0)</f>
        <v>0</v>
      </c>
      <c r="AJ329" s="2">
        <f>VLOOKUP([jobnumber],OvalData[],MATCH(Table2[[#Headers],[slattype]],Table2[#Headers],0),0)</f>
        <v>2</v>
      </c>
      <c r="AK329" s="2">
        <f>VLOOKUP([jobnumber],OvalData[],MATCH(Table2[[#Headers],[slatgage]],Table2[#Headers],0),0)</f>
        <v>18</v>
      </c>
      <c r="AL329" s="2">
        <f>VLOOKUP([jobnumber],OvalData[],MATCH(Table2[[#Headers],[Numer of Top Slats]],Table2[#Headers],0),0)</f>
        <v>0</v>
      </c>
      <c r="AM329" s="2">
        <f>VLOOKUP([jobnumber],OvalData[],MATCH(Table2[[#Headers],[Number of Bottom Slats]],Table2[#Headers],0),0)</f>
        <v>0</v>
      </c>
      <c r="AN329" s="2">
        <f>VLOOKUP([jobnumber],OvalData[],MATCH(Table2[[#Headers],[Solid Bottom Height]],Table2[#Headers],0),0)</f>
        <v>0</v>
      </c>
      <c r="AO329" s="2" t="str">
        <f>VLOOKUP([jobnumber],OvalData[],MATCH(Table2[[#Headers],[slatlength]],Table2[#Headers],0),0)</f>
        <v xml:space="preserve"> 18 ft.- 5 7/ 8"</v>
      </c>
      <c r="AP329" s="2">
        <f>VLOOKUP([jobnumber],OvalData[],MATCH(Table2[[#Headers],[Bottom Slat Length]],Table2[#Headers],0),0)</f>
        <v>0</v>
      </c>
      <c r="AQ329" s="2">
        <f>VLOOKUP([jobnumber],OvalData[],MATCH(Table2[[#Headers],[Number of Perferated Slats]],Table2[#Headers],0),0)</f>
        <v>0</v>
      </c>
      <c r="AR329" s="2">
        <f>VLOOKUP([jobnumber],OvalData[],MATCH(Table2[[#Headers],[First Preferated Slat From End]],Table2[#Headers],0),0)</f>
        <v>0</v>
      </c>
      <c r="AS329" s="2">
        <f>VLOOKUP([jobnumber],OvalData[],MATCH(Table2[[#Headers],[First Preferated Slat From Bottom]],Table2[#Headers],0),0)</f>
        <v>0</v>
      </c>
      <c r="AT329" s="2">
        <f>VLOOKUP([jobnumber],OvalData[],MATCH(Table2[[#Headers],[Total Number of Slats]],Table2[#Headers],0),0)</f>
        <v>51</v>
      </c>
      <c r="AU329" s="2">
        <f>VLOOKUP([jobnumber],OvalData[],MATCH(Table2[[#Headers],[Bottom Bar Slope]],Table2[#Headers],0),0)</f>
        <v>0</v>
      </c>
      <c r="AV329" s="2">
        <f>VLOOKUP([jobnumber],OvalData[],MATCH(Table2[[#Headers],[Bottom Bar Weight]],Table2[#Headers],0),0)</f>
        <v>80.5</v>
      </c>
      <c r="AW329" s="2" t="str">
        <f>VLOOKUP([jobnumber],OvalData[],MATCH(Table2[[#Headers],[Outer Spring Gage]],Table2[#Headers],0),0)</f>
        <v>Null</v>
      </c>
      <c r="AX329" s="2" t="str">
        <f>VLOOKUP([jobnumber],OvalData[],MATCH(Table2[[#Headers],[Outer Spring OD]],Table2[#Headers],0),0)</f>
        <v>Null</v>
      </c>
      <c r="AY329" s="2" t="str">
        <f>VLOOKUP([jobnumber],OvalData[],MATCH(Table2[[#Headers],[Outer Spring Length]],Table2[#Headers],0),0)</f>
        <v>Null</v>
      </c>
      <c r="AZ329" s="2" t="str">
        <f>VLOOKUP([jobnumber],OvalData[],MATCH(Table2[[#Headers],[Outer Spring Stretch]],Table2[#Headers],0),0)</f>
        <v>Null</v>
      </c>
      <c r="BA329" s="2" t="str">
        <f>VLOOKUP([jobnumber],OvalData[],MATCH(Table2[[#Headers],[Outer Spring Torque]],Table2[#Headers],0),0)</f>
        <v>Null</v>
      </c>
      <c r="BB329" s="2" t="str">
        <f>VLOOKUP([jobnumber],OvalData[],MATCH(Table2[[#Headers],[Outer Spring Max Turns]],Table2[#Headers],0),0)</f>
        <v>Null</v>
      </c>
      <c r="BC329" s="2" t="str">
        <f>VLOOKUP([jobnumber],OvalData[],MATCH(Table2[[#Headers],[Outer Spring Weight]],Table2[#Headers],0),0)</f>
        <v>Null</v>
      </c>
      <c r="BD329" s="2" t="str">
        <f>VLOOKUP([jobnumber],OvalData[],MATCH(Table2[[#Headers],[Inner Spring Gage]],Table2[#Headers],0),0)</f>
        <v>Null</v>
      </c>
      <c r="BE329" s="2" t="str">
        <f>VLOOKUP([jobnumber],OvalData[],MATCH(Table2[[#Headers],[Inner Spring OD]],Table2[#Headers],0),0)</f>
        <v>Null</v>
      </c>
      <c r="BF329" s="2" t="str">
        <f>VLOOKUP([jobnumber],OvalData[],MATCH(Table2[[#Headers],[Inner Spring Length]],Table2[#Headers],0),0)</f>
        <v>Null</v>
      </c>
      <c r="BG329" s="2" t="str">
        <f>VLOOKUP([jobnumber],OvalData[],MATCH(Table2[[#Headers],[Inner Spring Stretch]],Table2[#Headers],0),0)</f>
        <v>Null</v>
      </c>
      <c r="BH329" s="2" t="str">
        <f>VLOOKUP([jobnumber],OvalData[],MATCH(Table2[[#Headers],[Inner Spring Torque]],Table2[#Headers],0),0)</f>
        <v>Null</v>
      </c>
      <c r="BI329" s="2" t="str">
        <f>VLOOKUP([jobnumber],OvalData[],MATCH(Table2[[#Headers],[Inner Spring Max Turns]],Table2[#Headers],0),0)</f>
        <v>Null</v>
      </c>
      <c r="BJ329" s="2" t="str">
        <f>VLOOKUP([jobnumber],OvalData[],MATCH(Table2[[#Headers],[Inner Spring Weight]],Table2[#Headers],0),0)</f>
        <v>Null</v>
      </c>
      <c r="BK329" s="2">
        <f>VLOOKUP([jobnumber],OvalData[],MATCH(Table2[[#Headers],[Cycles]],Table2[#Headers],0),0)</f>
        <v>0</v>
      </c>
      <c r="BL329" s="2">
        <f>VLOOKUP([jobnumber],OvalData[],MATCH(Table2[[#Headers],[Total Spring Torque]],Table2[#Headers],0),0)</f>
        <v>0</v>
      </c>
      <c r="BM329" s="2">
        <f>VLOOKUP([jobnumber],OvalData[],MATCH(Table2[[#Headers],[Total Spring Weight]],Table2[#Headers],0),0)</f>
        <v>0</v>
      </c>
      <c r="BN329" s="2">
        <f>VLOOKUP([jobnumber],OvalData[],MATCH(Table2[[#Headers],[Pipe Weight]],Table2[#Headers],0),0)</f>
        <v>688.24239999999998</v>
      </c>
      <c r="BO329" s="2">
        <f>VLOOKUP([jobnumber],OvalData[],MATCH(Table2[[#Headers],[Max Pipe Deflection]],Table2[#Headers],0),0)</f>
        <v>2309</v>
      </c>
      <c r="BP329" s="2">
        <f>VLOOKUP([jobnumber],OvalData[],MATCH(Table2[[#Headers],[Number Non-Insulated Wrap Slats]],Table2[#Headers],0),0)</f>
        <v>0</v>
      </c>
      <c r="BQ329" s="2">
        <f>VLOOKUP([jobnumber],OvalData[],MATCH(Table2[[#Headers],[Number of Insolated Top Slats]],Table2[#Headers],0),0)</f>
        <v>45</v>
      </c>
      <c r="BR329" s="2">
        <f>VLOOKUP([jobnumber],OvalData[],MATCH(Table2[[#Headers],[Insolated Total Slats]],Table2[#Headers],0),0)</f>
        <v>45</v>
      </c>
      <c r="BS329" s="2">
        <f>VLOOKUP([jobnumber],OvalData[],MATCH(Table2[[#Headers],[Number of Slats]],Table2[#Headers],0),0)</f>
        <v>44.69</v>
      </c>
      <c r="BT329" s="2">
        <f>VLOOKUP([jobnumber],OvalData[],MATCH(Table2[[#Headers],[Wrap]],Table2[#Headers],0),0)</f>
        <v>0</v>
      </c>
      <c r="BU329" s="2">
        <f>VLOOKUP([jobnumber],OvalData[],MATCH(Table2[[#Headers],[Wall Angle Thickness]],Table2[#Headers],0),0)</f>
        <v>0</v>
      </c>
      <c r="BV329" s="2">
        <f>VLOOKUP([jobnumber],OvalData[],MATCH(Table2[[#Headers],[windlocks]],Table2[#Headers],0),0)</f>
        <v>0</v>
      </c>
      <c r="BW329" s="2" t="str">
        <f>VLOOKUP([jobnumber],OvalData[],MATCH(Table2[[#Headers],[bottombartype]],Table2[#Headers],0),0)</f>
        <v>SPECIAL</v>
      </c>
      <c r="BX329" s="2">
        <f>VLOOKUP([jobnumber],OvalData[],MATCH(Table2[[#Headers],[endlockweight]],Table2[#Headers],0),0)</f>
        <v>0.17</v>
      </c>
      <c r="BY329" s="2">
        <f>VLOOKUP([jobnumber],OvalData[],MATCH(Table2[[#Headers],[Endlock Total Weight]],Table2[#Headers],0),0)</f>
        <v>7.5972999999999997</v>
      </c>
      <c r="BZ329" s="2">
        <f>VLOOKUP([jobnumber],OvalData[],MATCH(Table2[[#Headers],[Grille Weight]],Table2[#Headers],0),0)</f>
        <v>0</v>
      </c>
      <c r="CA329" s="2">
        <f>VLOOKUP([jobnumber],OvalData[],MATCH(Table2[[#Headers],[barrelrings]],Table2[#Headers],0),0)</f>
        <v>1</v>
      </c>
    </row>
    <row r="330" spans="2:79">
      <c r="B330" s="2" t="str">
        <f>VLOOKUP([jobnumber],OvalData[],MATCH(Table2[[#Headers],[Hand]],Table2[#Headers],0),0)</f>
        <v>RH</v>
      </c>
      <c r="C330" s="2" t="str">
        <f>VLOOKUP([jobnumber],OvalData[],MATCH(Table2[[#Headers],[Model]],Table2[#Headers],0),0)</f>
        <v>SFMPP</v>
      </c>
      <c r="D330" s="2" t="str">
        <f>VLOOKUP([jobnumber],OvalData[],MATCH(Table2[[#Headers],[width]],Table2[#Headers],0),0)</f>
        <v xml:space="preserve"> 18 ft.- 2"</v>
      </c>
      <c r="E330" s="2" t="str">
        <f>VLOOKUP([jobnumber],OvalData[],MATCH(Table2[[#Headers],[stopheight]],Table2[#Headers],0),0)</f>
        <v xml:space="preserve"> 10 ft.- 0"</v>
      </c>
      <c r="F330" s="2" t="str">
        <f>VLOOKUP([jobnumber],OvalData[],MATCH(Table2[[#Headers],[Between Brackets]],Table2[#Headers],0),0)</f>
        <v xml:space="preserve"> 18 ft.- 7 7/ 8"</v>
      </c>
      <c r="G330" s="2" t="str">
        <f>VLOOKUP([jobnumber],OvalData[],MATCH(Table2[[#Headers],[shell]],Table2[#Headers],0),0)</f>
        <v>6 INCH TUBE</v>
      </c>
      <c r="H330" s="2" t="str">
        <f>VLOOKUP([jobnumber],OvalData[],MATCH(Table2[[#Headers],[pipewidth]],Table2[#Headers],0),0)</f>
        <v xml:space="preserve"> 18 ft.- 1 3/ 8"</v>
      </c>
      <c r="I330" s="2">
        <f>VLOOKUP([jobnumber],OvalData[],MATCH(Table2[[#Headers],[Support Tubes]],Table2[#Headers],0),0)</f>
        <v>0</v>
      </c>
      <c r="J330" s="2">
        <f>VLOOKUP([jobnumber],OvalData[],MATCH(Table2[[#Headers],[Upset]],Table2[#Headers],0),0)</f>
        <v>2</v>
      </c>
      <c r="K330" s="2" t="str">
        <f>VLOOKUP([jobnumber],OvalData[],MATCH(Table2[[#Headers],[Guide Type]],Table2[#Headers],0),0)</f>
        <v>SN2-4 5/8-E</v>
      </c>
      <c r="L330" s="2" t="str">
        <f>VLOOKUP([jobnumber],OvalData[],MATCH(Table2[[#Headers],[Wall Angle]],Table2[#Headers],0),0)</f>
        <v xml:space="preserve"> 11 ft.- 8"</v>
      </c>
      <c r="M330" s="2" t="str">
        <f>VLOOKUP([jobnumber],OvalData[],MATCH(Table2[[#Headers],[Middle Angle]],Table2[#Headers],0),0)</f>
        <v xml:space="preserve"> 10 ft.- 4 1/ 2"</v>
      </c>
      <c r="N330" s="2" t="str">
        <f>VLOOKUP([jobnumber],OvalData[],MATCH(Table2[[#Headers],[Front Angle]],Table2[#Headers],0),0)</f>
        <v xml:space="preserve"> 10 ft.- 3"</v>
      </c>
      <c r="O330" s="2">
        <f>VLOOKUP([jobnumber],OvalData[],MATCH(Table2[[#Headers],[Pipe Center Line]],Table2[#Headers],0),0)</f>
        <v>131</v>
      </c>
      <c r="P330" s="2">
        <f>VLOOKUP([jobnumber],OvalData[],MATCH(Table2[[#Headers],[Heat Expansion Gap]],Table2[#Headers],0),0)</f>
        <v>0</v>
      </c>
      <c r="Q330" s="2">
        <f>VLOOKUP([jobnumber],OvalData[],MATCH(Table2[[#Headers],[Hanging Weight Closed]],Table2[#Headers],0),0)</f>
        <v>795</v>
      </c>
      <c r="R330" s="2">
        <f>VLOOKUP([jobnumber],OvalData[],MATCH(Table2[[#Headers],[Hanging Weight Open]],Table2[#Headers],0),0)</f>
        <v>140</v>
      </c>
      <c r="S330" s="2">
        <f>VLOOKUP([jobnumber],OvalData[],MATCH(Table2[[#Headers],[Initial Lever Arm]],Table2[#Headers],0),0)</f>
        <v>4.25</v>
      </c>
      <c r="T330" s="2">
        <f>VLOOKUP([jobnumber],OvalData[],MATCH(Table2[[#Headers],[Turns to Raise]],Table2[#Headers],0),0)</f>
        <v>3.5859999999999999</v>
      </c>
      <c r="U330" s="2">
        <f>VLOOKUP([jobnumber],OvalData[],MATCH(Table2[[#Headers],[Final Lever Arm]],Table2[#Headers],0),0)</f>
        <v>6.37</v>
      </c>
      <c r="V330" s="2">
        <f>VLOOKUP([jobnumber],OvalData[],MATCH(Table2[[#Headers],[Torque Required Closed]],Table2[#Headers],0),0)</f>
        <v>3377.9</v>
      </c>
      <c r="W330" s="2">
        <f>VLOOKUP([jobnumber],OvalData[],MATCH(Table2[[#Headers],[Torque Required Open]],Table2[#Headers],0),0)</f>
        <v>892</v>
      </c>
      <c r="X330" s="2">
        <f>VLOOKUP([jobnumber],OvalData[],MATCH(Table2[[#Headers],[Pre Turns]],Table2[#Headers],0),0)</f>
        <v>1.3332999999999999</v>
      </c>
      <c r="Y330" s="2">
        <f>VLOOKUP([jobnumber],OvalData[],MATCH(Table2[[#Headers],[Required Torque Per Turn]],Table2[#Headers],0),0)</f>
        <v>688</v>
      </c>
      <c r="Z330" s="2">
        <f>VLOOKUP([jobnumber],OvalData[],MATCH(Table2[[#Headers],[Total Turns]],Table2[#Headers],0),0)</f>
        <v>4.91</v>
      </c>
      <c r="AA330" s="2">
        <f>VLOOKUP([jobnumber],OvalData[],MATCH(Table2[[#Headers],[Grille Vision Section]],Table2[#Headers],0),0)</f>
        <v>0</v>
      </c>
      <c r="AB330" s="2">
        <f>VLOOKUP([jobnumber],OvalData[],MATCH(Table2[[#Headers],[Grille Amount]],Table2[#Headers],0),0)</f>
        <v>0</v>
      </c>
      <c r="AC330" s="2">
        <f>VLOOKUP([jobnumber],OvalData[],MATCH(Table2[[#Headers],[Grille Center]],Table2[#Headers],0),0)</f>
        <v>0</v>
      </c>
      <c r="AD330" s="2">
        <f>VLOOKUP([jobnumber],OvalData[],MATCH(Table2[[#Headers],[Grille Pattern]],Table2[#Headers],0),0)</f>
        <v>0</v>
      </c>
      <c r="AE330" s="2">
        <f>VLOOKUP([jobnumber],OvalData[],MATCH(Table2[[#Headers],[Grille First Tube]],Table2[#Headers],0),0)</f>
        <v>0</v>
      </c>
      <c r="AF330" s="2">
        <f>VLOOKUP([jobnumber],OvalData[],MATCH(Table2[[#Headers],[Grille Standard Tube]],Table2[#Headers],0),0)</f>
        <v>0</v>
      </c>
      <c r="AG330" s="2">
        <f>VLOOKUP([jobnumber],OvalData[],MATCH(Table2[[#Headers],[Grille Total Links]],Table2[#Headers],0),0)</f>
        <v>0</v>
      </c>
      <c r="AH330" s="2">
        <f>VLOOKUP([jobnumber],OvalData[],MATCH(Table2[[#Headers],[Grille Rods]],Table2[#Headers],0),0)</f>
        <v>0</v>
      </c>
      <c r="AI330" s="2">
        <f>VLOOKUP([jobnumber],OvalData[],MATCH(Table2[[#Headers],[Grille Rod Length]],Table2[#Headers],0),0)</f>
        <v>0</v>
      </c>
      <c r="AJ330" s="2">
        <f>VLOOKUP([jobnumber],OvalData[],MATCH(Table2[[#Headers],[slattype]],Table2[#Headers],0),0)</f>
        <v>2</v>
      </c>
      <c r="AK330" s="2">
        <f>VLOOKUP([jobnumber],OvalData[],MATCH(Table2[[#Headers],[slatgage]],Table2[#Headers],0),0)</f>
        <v>18</v>
      </c>
      <c r="AL330" s="2">
        <f>VLOOKUP([jobnumber],OvalData[],MATCH(Table2[[#Headers],[Numer of Top Slats]],Table2[#Headers],0),0)</f>
        <v>0</v>
      </c>
      <c r="AM330" s="2">
        <f>VLOOKUP([jobnumber],OvalData[],MATCH(Table2[[#Headers],[Number of Bottom Slats]],Table2[#Headers],0),0)</f>
        <v>0</v>
      </c>
      <c r="AN330" s="2">
        <f>VLOOKUP([jobnumber],OvalData[],MATCH(Table2[[#Headers],[Solid Bottom Height]],Table2[#Headers],0),0)</f>
        <v>0</v>
      </c>
      <c r="AO330" s="2" t="str">
        <f>VLOOKUP([jobnumber],OvalData[],MATCH(Table2[[#Headers],[slatlength]],Table2[#Headers],0),0)</f>
        <v xml:space="preserve"> 18 ft.- 5 7/ 8"</v>
      </c>
      <c r="AP330" s="2">
        <f>VLOOKUP([jobnumber],OvalData[],MATCH(Table2[[#Headers],[Bottom Slat Length]],Table2[#Headers],0),0)</f>
        <v>0</v>
      </c>
      <c r="AQ330" s="2">
        <f>VLOOKUP([jobnumber],OvalData[],MATCH(Table2[[#Headers],[Number of Perferated Slats]],Table2[#Headers],0),0)</f>
        <v>0</v>
      </c>
      <c r="AR330" s="2">
        <f>VLOOKUP([jobnumber],OvalData[],MATCH(Table2[[#Headers],[First Preferated Slat From End]],Table2[#Headers],0),0)</f>
        <v>0</v>
      </c>
      <c r="AS330" s="2">
        <f>VLOOKUP([jobnumber],OvalData[],MATCH(Table2[[#Headers],[First Preferated Slat From Bottom]],Table2[#Headers],0),0)</f>
        <v>0</v>
      </c>
      <c r="AT330" s="2">
        <f>VLOOKUP([jobnumber],OvalData[],MATCH(Table2[[#Headers],[Total Number of Slats]],Table2[#Headers],0),0)</f>
        <v>51</v>
      </c>
      <c r="AU330" s="2">
        <f>VLOOKUP([jobnumber],OvalData[],MATCH(Table2[[#Headers],[Bottom Bar Slope]],Table2[#Headers],0),0)</f>
        <v>0</v>
      </c>
      <c r="AV330" s="2">
        <f>VLOOKUP([jobnumber],OvalData[],MATCH(Table2[[#Headers],[Bottom Bar Weight]],Table2[#Headers],0),0)</f>
        <v>80.5</v>
      </c>
      <c r="AW330" s="2" t="str">
        <f>VLOOKUP([jobnumber],OvalData[],MATCH(Table2[[#Headers],[Outer Spring Gage]],Table2[#Headers],0),0)</f>
        <v>Null</v>
      </c>
      <c r="AX330" s="2" t="str">
        <f>VLOOKUP([jobnumber],OvalData[],MATCH(Table2[[#Headers],[Outer Spring OD]],Table2[#Headers],0),0)</f>
        <v>Null</v>
      </c>
      <c r="AY330" s="2" t="str">
        <f>VLOOKUP([jobnumber],OvalData[],MATCH(Table2[[#Headers],[Outer Spring Length]],Table2[#Headers],0),0)</f>
        <v>Null</v>
      </c>
      <c r="AZ330" s="2" t="str">
        <f>VLOOKUP([jobnumber],OvalData[],MATCH(Table2[[#Headers],[Outer Spring Stretch]],Table2[#Headers],0),0)</f>
        <v>Null</v>
      </c>
      <c r="BA330" s="2" t="str">
        <f>VLOOKUP([jobnumber],OvalData[],MATCH(Table2[[#Headers],[Outer Spring Torque]],Table2[#Headers],0),0)</f>
        <v>Null</v>
      </c>
      <c r="BB330" s="2" t="str">
        <f>VLOOKUP([jobnumber],OvalData[],MATCH(Table2[[#Headers],[Outer Spring Max Turns]],Table2[#Headers],0),0)</f>
        <v>Null</v>
      </c>
      <c r="BC330" s="2" t="str">
        <f>VLOOKUP([jobnumber],OvalData[],MATCH(Table2[[#Headers],[Outer Spring Weight]],Table2[#Headers],0),0)</f>
        <v>Null</v>
      </c>
      <c r="BD330" s="2" t="str">
        <f>VLOOKUP([jobnumber],OvalData[],MATCH(Table2[[#Headers],[Inner Spring Gage]],Table2[#Headers],0),0)</f>
        <v>Null</v>
      </c>
      <c r="BE330" s="2" t="str">
        <f>VLOOKUP([jobnumber],OvalData[],MATCH(Table2[[#Headers],[Inner Spring OD]],Table2[#Headers],0),0)</f>
        <v>Null</v>
      </c>
      <c r="BF330" s="2" t="str">
        <f>VLOOKUP([jobnumber],OvalData[],MATCH(Table2[[#Headers],[Inner Spring Length]],Table2[#Headers],0),0)</f>
        <v>Null</v>
      </c>
      <c r="BG330" s="2" t="str">
        <f>VLOOKUP([jobnumber],OvalData[],MATCH(Table2[[#Headers],[Inner Spring Stretch]],Table2[#Headers],0),0)</f>
        <v>Null</v>
      </c>
      <c r="BH330" s="2" t="str">
        <f>VLOOKUP([jobnumber],OvalData[],MATCH(Table2[[#Headers],[Inner Spring Torque]],Table2[#Headers],0),0)</f>
        <v>Null</v>
      </c>
      <c r="BI330" s="2" t="str">
        <f>VLOOKUP([jobnumber],OvalData[],MATCH(Table2[[#Headers],[Inner Spring Max Turns]],Table2[#Headers],0),0)</f>
        <v>Null</v>
      </c>
      <c r="BJ330" s="2" t="str">
        <f>VLOOKUP([jobnumber],OvalData[],MATCH(Table2[[#Headers],[Inner Spring Weight]],Table2[#Headers],0),0)</f>
        <v>Null</v>
      </c>
      <c r="BK330" s="2">
        <f>VLOOKUP([jobnumber],OvalData[],MATCH(Table2[[#Headers],[Cycles]],Table2[#Headers],0),0)</f>
        <v>0</v>
      </c>
      <c r="BL330" s="2">
        <f>VLOOKUP([jobnumber],OvalData[],MATCH(Table2[[#Headers],[Total Spring Torque]],Table2[#Headers],0),0)</f>
        <v>0</v>
      </c>
      <c r="BM330" s="2">
        <f>VLOOKUP([jobnumber],OvalData[],MATCH(Table2[[#Headers],[Total Spring Weight]],Table2[#Headers],0),0)</f>
        <v>0</v>
      </c>
      <c r="BN330" s="2">
        <f>VLOOKUP([jobnumber],OvalData[],MATCH(Table2[[#Headers],[Pipe Weight]],Table2[#Headers],0),0)</f>
        <v>688.24239999999998</v>
      </c>
      <c r="BO330" s="2">
        <f>VLOOKUP([jobnumber],OvalData[],MATCH(Table2[[#Headers],[Max Pipe Deflection]],Table2[#Headers],0),0)</f>
        <v>2309</v>
      </c>
      <c r="BP330" s="2">
        <f>VLOOKUP([jobnumber],OvalData[],MATCH(Table2[[#Headers],[Number Non-Insulated Wrap Slats]],Table2[#Headers],0),0)</f>
        <v>0</v>
      </c>
      <c r="BQ330" s="2">
        <f>VLOOKUP([jobnumber],OvalData[],MATCH(Table2[[#Headers],[Number of Insolated Top Slats]],Table2[#Headers],0),0)</f>
        <v>45</v>
      </c>
      <c r="BR330" s="2">
        <f>VLOOKUP([jobnumber],OvalData[],MATCH(Table2[[#Headers],[Insolated Total Slats]],Table2[#Headers],0),0)</f>
        <v>45</v>
      </c>
      <c r="BS330" s="2">
        <f>VLOOKUP([jobnumber],OvalData[],MATCH(Table2[[#Headers],[Number of Slats]],Table2[#Headers],0),0)</f>
        <v>44.69</v>
      </c>
      <c r="BT330" s="2">
        <f>VLOOKUP([jobnumber],OvalData[],MATCH(Table2[[#Headers],[Wrap]],Table2[#Headers],0),0)</f>
        <v>0</v>
      </c>
      <c r="BU330" s="2">
        <f>VLOOKUP([jobnumber],OvalData[],MATCH(Table2[[#Headers],[Wall Angle Thickness]],Table2[#Headers],0),0)</f>
        <v>0</v>
      </c>
      <c r="BV330" s="2">
        <f>VLOOKUP([jobnumber],OvalData[],MATCH(Table2[[#Headers],[windlocks]],Table2[#Headers],0),0)</f>
        <v>0</v>
      </c>
      <c r="BW330" s="2" t="str">
        <f>VLOOKUP([jobnumber],OvalData[],MATCH(Table2[[#Headers],[bottombartype]],Table2[#Headers],0),0)</f>
        <v>SPECIAL</v>
      </c>
      <c r="BX330" s="2">
        <f>VLOOKUP([jobnumber],OvalData[],MATCH(Table2[[#Headers],[endlockweight]],Table2[#Headers],0),0)</f>
        <v>0.17</v>
      </c>
      <c r="BY330" s="2">
        <f>VLOOKUP([jobnumber],OvalData[],MATCH(Table2[[#Headers],[Endlock Total Weight]],Table2[#Headers],0),0)</f>
        <v>7.5972999999999997</v>
      </c>
      <c r="BZ330" s="2">
        <f>VLOOKUP([jobnumber],OvalData[],MATCH(Table2[[#Headers],[Grille Weight]],Table2[#Headers],0),0)</f>
        <v>0</v>
      </c>
      <c r="CA330" s="2">
        <f>VLOOKUP([jobnumber],OvalData[],MATCH(Table2[[#Headers],[barrelrings]],Table2[#Headers],0),0)</f>
        <v>1</v>
      </c>
    </row>
    <row r="331" spans="2:79">
      <c r="B331" s="2" t="str">
        <f>VLOOKUP([jobnumber],OvalData[],MATCH(Table2[[#Headers],[Hand]],Table2[#Headers],0),0)</f>
        <v>RH</v>
      </c>
      <c r="C331" s="2" t="str">
        <f>VLOOKUP([jobnumber],OvalData[],MATCH(Table2[[#Headers],[Model]],Table2[#Headers],0),0)</f>
        <v>SFMPP</v>
      </c>
      <c r="D331" s="2" t="str">
        <f>VLOOKUP([jobnumber],OvalData[],MATCH(Table2[[#Headers],[width]],Table2[#Headers],0),0)</f>
        <v xml:space="preserve"> 18 ft.- 2"</v>
      </c>
      <c r="E331" s="2" t="str">
        <f>VLOOKUP([jobnumber],OvalData[],MATCH(Table2[[#Headers],[stopheight]],Table2[#Headers],0),0)</f>
        <v xml:space="preserve"> 10 ft.- 0"</v>
      </c>
      <c r="F331" s="2" t="str">
        <f>VLOOKUP([jobnumber],OvalData[],MATCH(Table2[[#Headers],[Between Brackets]],Table2[#Headers],0),0)</f>
        <v xml:space="preserve"> 18 ft.- 7 7/ 8"</v>
      </c>
      <c r="G331" s="2" t="str">
        <f>VLOOKUP([jobnumber],OvalData[],MATCH(Table2[[#Headers],[shell]],Table2[#Headers],0),0)</f>
        <v>6 INCH TUBE</v>
      </c>
      <c r="H331" s="2" t="str">
        <f>VLOOKUP([jobnumber],OvalData[],MATCH(Table2[[#Headers],[pipewidth]],Table2[#Headers],0),0)</f>
        <v xml:space="preserve"> 18 ft.- 1 3/ 8"</v>
      </c>
      <c r="I331" s="2">
        <f>VLOOKUP([jobnumber],OvalData[],MATCH(Table2[[#Headers],[Support Tubes]],Table2[#Headers],0),0)</f>
        <v>0</v>
      </c>
      <c r="J331" s="2">
        <f>VLOOKUP([jobnumber],OvalData[],MATCH(Table2[[#Headers],[Upset]],Table2[#Headers],0),0)</f>
        <v>2</v>
      </c>
      <c r="K331" s="2" t="str">
        <f>VLOOKUP([jobnumber],OvalData[],MATCH(Table2[[#Headers],[Guide Type]],Table2[#Headers],0),0)</f>
        <v>SN2-4 5/8-E</v>
      </c>
      <c r="L331" s="2" t="str">
        <f>VLOOKUP([jobnumber],OvalData[],MATCH(Table2[[#Headers],[Wall Angle]],Table2[#Headers],0),0)</f>
        <v xml:space="preserve"> 11 ft.- 8"</v>
      </c>
      <c r="M331" s="2" t="str">
        <f>VLOOKUP([jobnumber],OvalData[],MATCH(Table2[[#Headers],[Middle Angle]],Table2[#Headers],0),0)</f>
        <v xml:space="preserve"> 10 ft.- 4 1/ 2"</v>
      </c>
      <c r="N331" s="2" t="str">
        <f>VLOOKUP([jobnumber],OvalData[],MATCH(Table2[[#Headers],[Front Angle]],Table2[#Headers],0),0)</f>
        <v xml:space="preserve"> 10 ft.- 3"</v>
      </c>
      <c r="O331" s="2">
        <f>VLOOKUP([jobnumber],OvalData[],MATCH(Table2[[#Headers],[Pipe Center Line]],Table2[#Headers],0),0)</f>
        <v>131</v>
      </c>
      <c r="P331" s="2">
        <f>VLOOKUP([jobnumber],OvalData[],MATCH(Table2[[#Headers],[Heat Expansion Gap]],Table2[#Headers],0),0)</f>
        <v>0</v>
      </c>
      <c r="Q331" s="2">
        <f>VLOOKUP([jobnumber],OvalData[],MATCH(Table2[[#Headers],[Hanging Weight Closed]],Table2[#Headers],0),0)</f>
        <v>795</v>
      </c>
      <c r="R331" s="2">
        <f>VLOOKUP([jobnumber],OvalData[],MATCH(Table2[[#Headers],[Hanging Weight Open]],Table2[#Headers],0),0)</f>
        <v>140</v>
      </c>
      <c r="S331" s="2">
        <f>VLOOKUP([jobnumber],OvalData[],MATCH(Table2[[#Headers],[Initial Lever Arm]],Table2[#Headers],0),0)</f>
        <v>4.25</v>
      </c>
      <c r="T331" s="2">
        <f>VLOOKUP([jobnumber],OvalData[],MATCH(Table2[[#Headers],[Turns to Raise]],Table2[#Headers],0),0)</f>
        <v>3.5859999999999999</v>
      </c>
      <c r="U331" s="2">
        <f>VLOOKUP([jobnumber],OvalData[],MATCH(Table2[[#Headers],[Final Lever Arm]],Table2[#Headers],0),0)</f>
        <v>6.37</v>
      </c>
      <c r="V331" s="2">
        <f>VLOOKUP([jobnumber],OvalData[],MATCH(Table2[[#Headers],[Torque Required Closed]],Table2[#Headers],0),0)</f>
        <v>3377.9</v>
      </c>
      <c r="W331" s="2">
        <f>VLOOKUP([jobnumber],OvalData[],MATCH(Table2[[#Headers],[Torque Required Open]],Table2[#Headers],0),0)</f>
        <v>892</v>
      </c>
      <c r="X331" s="2">
        <f>VLOOKUP([jobnumber],OvalData[],MATCH(Table2[[#Headers],[Pre Turns]],Table2[#Headers],0),0)</f>
        <v>1.3332999999999999</v>
      </c>
      <c r="Y331" s="2">
        <f>VLOOKUP([jobnumber],OvalData[],MATCH(Table2[[#Headers],[Required Torque Per Turn]],Table2[#Headers],0),0)</f>
        <v>688</v>
      </c>
      <c r="Z331" s="2">
        <f>VLOOKUP([jobnumber],OvalData[],MATCH(Table2[[#Headers],[Total Turns]],Table2[#Headers],0),0)</f>
        <v>4.91</v>
      </c>
      <c r="AA331" s="2">
        <f>VLOOKUP([jobnumber],OvalData[],MATCH(Table2[[#Headers],[Grille Vision Section]],Table2[#Headers],0),0)</f>
        <v>0</v>
      </c>
      <c r="AB331" s="2">
        <f>VLOOKUP([jobnumber],OvalData[],MATCH(Table2[[#Headers],[Grille Amount]],Table2[#Headers],0),0)</f>
        <v>0</v>
      </c>
      <c r="AC331" s="2">
        <f>VLOOKUP([jobnumber],OvalData[],MATCH(Table2[[#Headers],[Grille Center]],Table2[#Headers],0),0)</f>
        <v>0</v>
      </c>
      <c r="AD331" s="2">
        <f>VLOOKUP([jobnumber],OvalData[],MATCH(Table2[[#Headers],[Grille Pattern]],Table2[#Headers],0),0)</f>
        <v>0</v>
      </c>
      <c r="AE331" s="2">
        <f>VLOOKUP([jobnumber],OvalData[],MATCH(Table2[[#Headers],[Grille First Tube]],Table2[#Headers],0),0)</f>
        <v>0</v>
      </c>
      <c r="AF331" s="2">
        <f>VLOOKUP([jobnumber],OvalData[],MATCH(Table2[[#Headers],[Grille Standard Tube]],Table2[#Headers],0),0)</f>
        <v>0</v>
      </c>
      <c r="AG331" s="2">
        <f>VLOOKUP([jobnumber],OvalData[],MATCH(Table2[[#Headers],[Grille Total Links]],Table2[#Headers],0),0)</f>
        <v>0</v>
      </c>
      <c r="AH331" s="2">
        <f>VLOOKUP([jobnumber],OvalData[],MATCH(Table2[[#Headers],[Grille Rods]],Table2[#Headers],0),0)</f>
        <v>0</v>
      </c>
      <c r="AI331" s="2">
        <f>VLOOKUP([jobnumber],OvalData[],MATCH(Table2[[#Headers],[Grille Rod Length]],Table2[#Headers],0),0)</f>
        <v>0</v>
      </c>
      <c r="AJ331" s="2">
        <f>VLOOKUP([jobnumber],OvalData[],MATCH(Table2[[#Headers],[slattype]],Table2[#Headers],0),0)</f>
        <v>2</v>
      </c>
      <c r="AK331" s="2">
        <f>VLOOKUP([jobnumber],OvalData[],MATCH(Table2[[#Headers],[slatgage]],Table2[#Headers],0),0)</f>
        <v>18</v>
      </c>
      <c r="AL331" s="2">
        <f>VLOOKUP([jobnumber],OvalData[],MATCH(Table2[[#Headers],[Numer of Top Slats]],Table2[#Headers],0),0)</f>
        <v>0</v>
      </c>
      <c r="AM331" s="2">
        <f>VLOOKUP([jobnumber],OvalData[],MATCH(Table2[[#Headers],[Number of Bottom Slats]],Table2[#Headers],0),0)</f>
        <v>0</v>
      </c>
      <c r="AN331" s="2">
        <f>VLOOKUP([jobnumber],OvalData[],MATCH(Table2[[#Headers],[Solid Bottom Height]],Table2[#Headers],0),0)</f>
        <v>0</v>
      </c>
      <c r="AO331" s="2" t="str">
        <f>VLOOKUP([jobnumber],OvalData[],MATCH(Table2[[#Headers],[slatlength]],Table2[#Headers],0),0)</f>
        <v xml:space="preserve"> 18 ft.- 5 7/ 8"</v>
      </c>
      <c r="AP331" s="2">
        <f>VLOOKUP([jobnumber],OvalData[],MATCH(Table2[[#Headers],[Bottom Slat Length]],Table2[#Headers],0),0)</f>
        <v>0</v>
      </c>
      <c r="AQ331" s="2">
        <f>VLOOKUP([jobnumber],OvalData[],MATCH(Table2[[#Headers],[Number of Perferated Slats]],Table2[#Headers],0),0)</f>
        <v>0</v>
      </c>
      <c r="AR331" s="2">
        <f>VLOOKUP([jobnumber],OvalData[],MATCH(Table2[[#Headers],[First Preferated Slat From End]],Table2[#Headers],0),0)</f>
        <v>0</v>
      </c>
      <c r="AS331" s="2">
        <f>VLOOKUP([jobnumber],OvalData[],MATCH(Table2[[#Headers],[First Preferated Slat From Bottom]],Table2[#Headers],0),0)</f>
        <v>0</v>
      </c>
      <c r="AT331" s="2">
        <f>VLOOKUP([jobnumber],OvalData[],MATCH(Table2[[#Headers],[Total Number of Slats]],Table2[#Headers],0),0)</f>
        <v>51</v>
      </c>
      <c r="AU331" s="2">
        <f>VLOOKUP([jobnumber],OvalData[],MATCH(Table2[[#Headers],[Bottom Bar Slope]],Table2[#Headers],0),0)</f>
        <v>0</v>
      </c>
      <c r="AV331" s="2">
        <f>VLOOKUP([jobnumber],OvalData[],MATCH(Table2[[#Headers],[Bottom Bar Weight]],Table2[#Headers],0),0)</f>
        <v>80.5</v>
      </c>
      <c r="AW331" s="2" t="str">
        <f>VLOOKUP([jobnumber],OvalData[],MATCH(Table2[[#Headers],[Outer Spring Gage]],Table2[#Headers],0),0)</f>
        <v>Null</v>
      </c>
      <c r="AX331" s="2" t="str">
        <f>VLOOKUP([jobnumber],OvalData[],MATCH(Table2[[#Headers],[Outer Spring OD]],Table2[#Headers],0),0)</f>
        <v>Null</v>
      </c>
      <c r="AY331" s="2" t="str">
        <f>VLOOKUP([jobnumber],OvalData[],MATCH(Table2[[#Headers],[Outer Spring Length]],Table2[#Headers],0),0)</f>
        <v>Null</v>
      </c>
      <c r="AZ331" s="2" t="str">
        <f>VLOOKUP([jobnumber],OvalData[],MATCH(Table2[[#Headers],[Outer Spring Stretch]],Table2[#Headers],0),0)</f>
        <v>Null</v>
      </c>
      <c r="BA331" s="2" t="str">
        <f>VLOOKUP([jobnumber],OvalData[],MATCH(Table2[[#Headers],[Outer Spring Torque]],Table2[#Headers],0),0)</f>
        <v>Null</v>
      </c>
      <c r="BB331" s="2" t="str">
        <f>VLOOKUP([jobnumber],OvalData[],MATCH(Table2[[#Headers],[Outer Spring Max Turns]],Table2[#Headers],0),0)</f>
        <v>Null</v>
      </c>
      <c r="BC331" s="2" t="str">
        <f>VLOOKUP([jobnumber],OvalData[],MATCH(Table2[[#Headers],[Outer Spring Weight]],Table2[#Headers],0),0)</f>
        <v>Null</v>
      </c>
      <c r="BD331" s="2" t="str">
        <f>VLOOKUP([jobnumber],OvalData[],MATCH(Table2[[#Headers],[Inner Spring Gage]],Table2[#Headers],0),0)</f>
        <v>Null</v>
      </c>
      <c r="BE331" s="2" t="str">
        <f>VLOOKUP([jobnumber],OvalData[],MATCH(Table2[[#Headers],[Inner Spring OD]],Table2[#Headers],0),0)</f>
        <v>Null</v>
      </c>
      <c r="BF331" s="2" t="str">
        <f>VLOOKUP([jobnumber],OvalData[],MATCH(Table2[[#Headers],[Inner Spring Length]],Table2[#Headers],0),0)</f>
        <v>Null</v>
      </c>
      <c r="BG331" s="2" t="str">
        <f>VLOOKUP([jobnumber],OvalData[],MATCH(Table2[[#Headers],[Inner Spring Stretch]],Table2[#Headers],0),0)</f>
        <v>Null</v>
      </c>
      <c r="BH331" s="2" t="str">
        <f>VLOOKUP([jobnumber],OvalData[],MATCH(Table2[[#Headers],[Inner Spring Torque]],Table2[#Headers],0),0)</f>
        <v>Null</v>
      </c>
      <c r="BI331" s="2" t="str">
        <f>VLOOKUP([jobnumber],OvalData[],MATCH(Table2[[#Headers],[Inner Spring Max Turns]],Table2[#Headers],0),0)</f>
        <v>Null</v>
      </c>
      <c r="BJ331" s="2" t="str">
        <f>VLOOKUP([jobnumber],OvalData[],MATCH(Table2[[#Headers],[Inner Spring Weight]],Table2[#Headers],0),0)</f>
        <v>Null</v>
      </c>
      <c r="BK331" s="2">
        <f>VLOOKUP([jobnumber],OvalData[],MATCH(Table2[[#Headers],[Cycles]],Table2[#Headers],0),0)</f>
        <v>0</v>
      </c>
      <c r="BL331" s="2">
        <f>VLOOKUP([jobnumber],OvalData[],MATCH(Table2[[#Headers],[Total Spring Torque]],Table2[#Headers],0),0)</f>
        <v>0</v>
      </c>
      <c r="BM331" s="2">
        <f>VLOOKUP([jobnumber],OvalData[],MATCH(Table2[[#Headers],[Total Spring Weight]],Table2[#Headers],0),0)</f>
        <v>0</v>
      </c>
      <c r="BN331" s="2">
        <f>VLOOKUP([jobnumber],OvalData[],MATCH(Table2[[#Headers],[Pipe Weight]],Table2[#Headers],0),0)</f>
        <v>688.24239999999998</v>
      </c>
      <c r="BO331" s="2">
        <f>VLOOKUP([jobnumber],OvalData[],MATCH(Table2[[#Headers],[Max Pipe Deflection]],Table2[#Headers],0),0)</f>
        <v>2309</v>
      </c>
      <c r="BP331" s="2">
        <f>VLOOKUP([jobnumber],OvalData[],MATCH(Table2[[#Headers],[Number Non-Insulated Wrap Slats]],Table2[#Headers],0),0)</f>
        <v>0</v>
      </c>
      <c r="BQ331" s="2">
        <f>VLOOKUP([jobnumber],OvalData[],MATCH(Table2[[#Headers],[Number of Insolated Top Slats]],Table2[#Headers],0),0)</f>
        <v>45</v>
      </c>
      <c r="BR331" s="2">
        <f>VLOOKUP([jobnumber],OvalData[],MATCH(Table2[[#Headers],[Insolated Total Slats]],Table2[#Headers],0),0)</f>
        <v>45</v>
      </c>
      <c r="BS331" s="2">
        <f>VLOOKUP([jobnumber],OvalData[],MATCH(Table2[[#Headers],[Number of Slats]],Table2[#Headers],0),0)</f>
        <v>44.69</v>
      </c>
      <c r="BT331" s="2">
        <f>VLOOKUP([jobnumber],OvalData[],MATCH(Table2[[#Headers],[Wrap]],Table2[#Headers],0),0)</f>
        <v>0</v>
      </c>
      <c r="BU331" s="2">
        <f>VLOOKUP([jobnumber],OvalData[],MATCH(Table2[[#Headers],[Wall Angle Thickness]],Table2[#Headers],0),0)</f>
        <v>0</v>
      </c>
      <c r="BV331" s="2">
        <f>VLOOKUP([jobnumber],OvalData[],MATCH(Table2[[#Headers],[windlocks]],Table2[#Headers],0),0)</f>
        <v>0</v>
      </c>
      <c r="BW331" s="2" t="str">
        <f>VLOOKUP([jobnumber],OvalData[],MATCH(Table2[[#Headers],[bottombartype]],Table2[#Headers],0),0)</f>
        <v>SPECIAL</v>
      </c>
      <c r="BX331" s="2">
        <f>VLOOKUP([jobnumber],OvalData[],MATCH(Table2[[#Headers],[endlockweight]],Table2[#Headers],0),0)</f>
        <v>0.17</v>
      </c>
      <c r="BY331" s="2">
        <f>VLOOKUP([jobnumber],OvalData[],MATCH(Table2[[#Headers],[Endlock Total Weight]],Table2[#Headers],0),0)</f>
        <v>7.5972999999999997</v>
      </c>
      <c r="BZ331" s="2">
        <f>VLOOKUP([jobnumber],OvalData[],MATCH(Table2[[#Headers],[Grille Weight]],Table2[#Headers],0),0)</f>
        <v>0</v>
      </c>
      <c r="CA331" s="2">
        <f>VLOOKUP([jobnumber],OvalData[],MATCH(Table2[[#Headers],[barrelrings]],Table2[#Headers],0),0)</f>
        <v>1</v>
      </c>
    </row>
    <row r="332" spans="2:79">
      <c r="B332" s="2" t="str">
        <f>VLOOKUP([jobnumber],OvalData[],MATCH(Table2[[#Headers],[Hand]],Table2[#Headers],0),0)</f>
        <v>RH</v>
      </c>
      <c r="C332" s="2" t="str">
        <f>VLOOKUP([jobnumber],OvalData[],MATCH(Table2[[#Headers],[Model]],Table2[#Headers],0),0)</f>
        <v>SFMPP</v>
      </c>
      <c r="D332" s="2" t="str">
        <f>VLOOKUP([jobnumber],OvalData[],MATCH(Table2[[#Headers],[width]],Table2[#Headers],0),0)</f>
        <v xml:space="preserve"> 18 ft.- 2"</v>
      </c>
      <c r="E332" s="2" t="str">
        <f>VLOOKUP([jobnumber],OvalData[],MATCH(Table2[[#Headers],[stopheight]],Table2[#Headers],0),0)</f>
        <v xml:space="preserve"> 10 ft.- 0"</v>
      </c>
      <c r="F332" s="2" t="str">
        <f>VLOOKUP([jobnumber],OvalData[],MATCH(Table2[[#Headers],[Between Brackets]],Table2[#Headers],0),0)</f>
        <v xml:space="preserve"> 18 ft.- 7 7/ 8"</v>
      </c>
      <c r="G332" s="2" t="str">
        <f>VLOOKUP([jobnumber],OvalData[],MATCH(Table2[[#Headers],[shell]],Table2[#Headers],0),0)</f>
        <v>6 INCH TUBE</v>
      </c>
      <c r="H332" s="2" t="str">
        <f>VLOOKUP([jobnumber],OvalData[],MATCH(Table2[[#Headers],[pipewidth]],Table2[#Headers],0),0)</f>
        <v xml:space="preserve"> 18 ft.- 1 3/ 8"</v>
      </c>
      <c r="I332" s="2">
        <f>VLOOKUP([jobnumber],OvalData[],MATCH(Table2[[#Headers],[Support Tubes]],Table2[#Headers],0),0)</f>
        <v>0</v>
      </c>
      <c r="J332" s="2">
        <f>VLOOKUP([jobnumber],OvalData[],MATCH(Table2[[#Headers],[Upset]],Table2[#Headers],0),0)</f>
        <v>2</v>
      </c>
      <c r="K332" s="2" t="str">
        <f>VLOOKUP([jobnumber],OvalData[],MATCH(Table2[[#Headers],[Guide Type]],Table2[#Headers],0),0)</f>
        <v>SN2-4 5/8-E</v>
      </c>
      <c r="L332" s="2" t="str">
        <f>VLOOKUP([jobnumber],OvalData[],MATCH(Table2[[#Headers],[Wall Angle]],Table2[#Headers],0),0)</f>
        <v xml:space="preserve"> 11 ft.- 8"</v>
      </c>
      <c r="M332" s="2" t="str">
        <f>VLOOKUP([jobnumber],OvalData[],MATCH(Table2[[#Headers],[Middle Angle]],Table2[#Headers],0),0)</f>
        <v xml:space="preserve"> 10 ft.- 4 1/ 2"</v>
      </c>
      <c r="N332" s="2" t="str">
        <f>VLOOKUP([jobnumber],OvalData[],MATCH(Table2[[#Headers],[Front Angle]],Table2[#Headers],0),0)</f>
        <v xml:space="preserve"> 10 ft.- 3"</v>
      </c>
      <c r="O332" s="2">
        <f>VLOOKUP([jobnumber],OvalData[],MATCH(Table2[[#Headers],[Pipe Center Line]],Table2[#Headers],0),0)</f>
        <v>131</v>
      </c>
      <c r="P332" s="2">
        <f>VLOOKUP([jobnumber],OvalData[],MATCH(Table2[[#Headers],[Heat Expansion Gap]],Table2[#Headers],0),0)</f>
        <v>0</v>
      </c>
      <c r="Q332" s="2">
        <f>VLOOKUP([jobnumber],OvalData[],MATCH(Table2[[#Headers],[Hanging Weight Closed]],Table2[#Headers],0),0)</f>
        <v>795</v>
      </c>
      <c r="R332" s="2">
        <f>VLOOKUP([jobnumber],OvalData[],MATCH(Table2[[#Headers],[Hanging Weight Open]],Table2[#Headers],0),0)</f>
        <v>140</v>
      </c>
      <c r="S332" s="2">
        <f>VLOOKUP([jobnumber],OvalData[],MATCH(Table2[[#Headers],[Initial Lever Arm]],Table2[#Headers],0),0)</f>
        <v>4.25</v>
      </c>
      <c r="T332" s="2">
        <f>VLOOKUP([jobnumber],OvalData[],MATCH(Table2[[#Headers],[Turns to Raise]],Table2[#Headers],0),0)</f>
        <v>3.5859999999999999</v>
      </c>
      <c r="U332" s="2">
        <f>VLOOKUP([jobnumber],OvalData[],MATCH(Table2[[#Headers],[Final Lever Arm]],Table2[#Headers],0),0)</f>
        <v>6.37</v>
      </c>
      <c r="V332" s="2">
        <f>VLOOKUP([jobnumber],OvalData[],MATCH(Table2[[#Headers],[Torque Required Closed]],Table2[#Headers],0),0)</f>
        <v>3377.9</v>
      </c>
      <c r="W332" s="2">
        <f>VLOOKUP([jobnumber],OvalData[],MATCH(Table2[[#Headers],[Torque Required Open]],Table2[#Headers],0),0)</f>
        <v>892</v>
      </c>
      <c r="X332" s="2">
        <f>VLOOKUP([jobnumber],OvalData[],MATCH(Table2[[#Headers],[Pre Turns]],Table2[#Headers],0),0)</f>
        <v>1.3332999999999999</v>
      </c>
      <c r="Y332" s="2">
        <f>VLOOKUP([jobnumber],OvalData[],MATCH(Table2[[#Headers],[Required Torque Per Turn]],Table2[#Headers],0),0)</f>
        <v>688</v>
      </c>
      <c r="Z332" s="2">
        <f>VLOOKUP([jobnumber],OvalData[],MATCH(Table2[[#Headers],[Total Turns]],Table2[#Headers],0),0)</f>
        <v>4.91</v>
      </c>
      <c r="AA332" s="2">
        <f>VLOOKUP([jobnumber],OvalData[],MATCH(Table2[[#Headers],[Grille Vision Section]],Table2[#Headers],0),0)</f>
        <v>0</v>
      </c>
      <c r="AB332" s="2">
        <f>VLOOKUP([jobnumber],OvalData[],MATCH(Table2[[#Headers],[Grille Amount]],Table2[#Headers],0),0)</f>
        <v>0</v>
      </c>
      <c r="AC332" s="2">
        <f>VLOOKUP([jobnumber],OvalData[],MATCH(Table2[[#Headers],[Grille Center]],Table2[#Headers],0),0)</f>
        <v>0</v>
      </c>
      <c r="AD332" s="2">
        <f>VLOOKUP([jobnumber],OvalData[],MATCH(Table2[[#Headers],[Grille Pattern]],Table2[#Headers],0),0)</f>
        <v>0</v>
      </c>
      <c r="AE332" s="2">
        <f>VLOOKUP([jobnumber],OvalData[],MATCH(Table2[[#Headers],[Grille First Tube]],Table2[#Headers],0),0)</f>
        <v>0</v>
      </c>
      <c r="AF332" s="2">
        <f>VLOOKUP([jobnumber],OvalData[],MATCH(Table2[[#Headers],[Grille Standard Tube]],Table2[#Headers],0),0)</f>
        <v>0</v>
      </c>
      <c r="AG332" s="2">
        <f>VLOOKUP([jobnumber],OvalData[],MATCH(Table2[[#Headers],[Grille Total Links]],Table2[#Headers],0),0)</f>
        <v>0</v>
      </c>
      <c r="AH332" s="2">
        <f>VLOOKUP([jobnumber],OvalData[],MATCH(Table2[[#Headers],[Grille Rods]],Table2[#Headers],0),0)</f>
        <v>0</v>
      </c>
      <c r="AI332" s="2">
        <f>VLOOKUP([jobnumber],OvalData[],MATCH(Table2[[#Headers],[Grille Rod Length]],Table2[#Headers],0),0)</f>
        <v>0</v>
      </c>
      <c r="AJ332" s="2">
        <f>VLOOKUP([jobnumber],OvalData[],MATCH(Table2[[#Headers],[slattype]],Table2[#Headers],0),0)</f>
        <v>2</v>
      </c>
      <c r="AK332" s="2">
        <f>VLOOKUP([jobnumber],OvalData[],MATCH(Table2[[#Headers],[slatgage]],Table2[#Headers],0),0)</f>
        <v>18</v>
      </c>
      <c r="AL332" s="2">
        <f>VLOOKUP([jobnumber],OvalData[],MATCH(Table2[[#Headers],[Numer of Top Slats]],Table2[#Headers],0),0)</f>
        <v>0</v>
      </c>
      <c r="AM332" s="2">
        <f>VLOOKUP([jobnumber],OvalData[],MATCH(Table2[[#Headers],[Number of Bottom Slats]],Table2[#Headers],0),0)</f>
        <v>0</v>
      </c>
      <c r="AN332" s="2">
        <f>VLOOKUP([jobnumber],OvalData[],MATCH(Table2[[#Headers],[Solid Bottom Height]],Table2[#Headers],0),0)</f>
        <v>0</v>
      </c>
      <c r="AO332" s="2" t="str">
        <f>VLOOKUP([jobnumber],OvalData[],MATCH(Table2[[#Headers],[slatlength]],Table2[#Headers],0),0)</f>
        <v xml:space="preserve"> 18 ft.- 5 7/ 8"</v>
      </c>
      <c r="AP332" s="2">
        <f>VLOOKUP([jobnumber],OvalData[],MATCH(Table2[[#Headers],[Bottom Slat Length]],Table2[#Headers],0),0)</f>
        <v>0</v>
      </c>
      <c r="AQ332" s="2">
        <f>VLOOKUP([jobnumber],OvalData[],MATCH(Table2[[#Headers],[Number of Perferated Slats]],Table2[#Headers],0),0)</f>
        <v>0</v>
      </c>
      <c r="AR332" s="2">
        <f>VLOOKUP([jobnumber],OvalData[],MATCH(Table2[[#Headers],[First Preferated Slat From End]],Table2[#Headers],0),0)</f>
        <v>0</v>
      </c>
      <c r="AS332" s="2">
        <f>VLOOKUP([jobnumber],OvalData[],MATCH(Table2[[#Headers],[First Preferated Slat From Bottom]],Table2[#Headers],0),0)</f>
        <v>0</v>
      </c>
      <c r="AT332" s="2">
        <f>VLOOKUP([jobnumber],OvalData[],MATCH(Table2[[#Headers],[Total Number of Slats]],Table2[#Headers],0),0)</f>
        <v>51</v>
      </c>
      <c r="AU332" s="2">
        <f>VLOOKUP([jobnumber],OvalData[],MATCH(Table2[[#Headers],[Bottom Bar Slope]],Table2[#Headers],0),0)</f>
        <v>0</v>
      </c>
      <c r="AV332" s="2">
        <f>VLOOKUP([jobnumber],OvalData[],MATCH(Table2[[#Headers],[Bottom Bar Weight]],Table2[#Headers],0),0)</f>
        <v>80.5</v>
      </c>
      <c r="AW332" s="2" t="str">
        <f>VLOOKUP([jobnumber],OvalData[],MATCH(Table2[[#Headers],[Outer Spring Gage]],Table2[#Headers],0),0)</f>
        <v>Null</v>
      </c>
      <c r="AX332" s="2" t="str">
        <f>VLOOKUP([jobnumber],OvalData[],MATCH(Table2[[#Headers],[Outer Spring OD]],Table2[#Headers],0),0)</f>
        <v>Null</v>
      </c>
      <c r="AY332" s="2" t="str">
        <f>VLOOKUP([jobnumber],OvalData[],MATCH(Table2[[#Headers],[Outer Spring Length]],Table2[#Headers],0),0)</f>
        <v>Null</v>
      </c>
      <c r="AZ332" s="2" t="str">
        <f>VLOOKUP([jobnumber],OvalData[],MATCH(Table2[[#Headers],[Outer Spring Stretch]],Table2[#Headers],0),0)</f>
        <v>Null</v>
      </c>
      <c r="BA332" s="2" t="str">
        <f>VLOOKUP([jobnumber],OvalData[],MATCH(Table2[[#Headers],[Outer Spring Torque]],Table2[#Headers],0),0)</f>
        <v>Null</v>
      </c>
      <c r="BB332" s="2" t="str">
        <f>VLOOKUP([jobnumber],OvalData[],MATCH(Table2[[#Headers],[Outer Spring Max Turns]],Table2[#Headers],0),0)</f>
        <v>Null</v>
      </c>
      <c r="BC332" s="2" t="str">
        <f>VLOOKUP([jobnumber],OvalData[],MATCH(Table2[[#Headers],[Outer Spring Weight]],Table2[#Headers],0),0)</f>
        <v>Null</v>
      </c>
      <c r="BD332" s="2" t="str">
        <f>VLOOKUP([jobnumber],OvalData[],MATCH(Table2[[#Headers],[Inner Spring Gage]],Table2[#Headers],0),0)</f>
        <v>Null</v>
      </c>
      <c r="BE332" s="2" t="str">
        <f>VLOOKUP([jobnumber],OvalData[],MATCH(Table2[[#Headers],[Inner Spring OD]],Table2[#Headers],0),0)</f>
        <v>Null</v>
      </c>
      <c r="BF332" s="2" t="str">
        <f>VLOOKUP([jobnumber],OvalData[],MATCH(Table2[[#Headers],[Inner Spring Length]],Table2[#Headers],0),0)</f>
        <v>Null</v>
      </c>
      <c r="BG332" s="2" t="str">
        <f>VLOOKUP([jobnumber],OvalData[],MATCH(Table2[[#Headers],[Inner Spring Stretch]],Table2[#Headers],0),0)</f>
        <v>Null</v>
      </c>
      <c r="BH332" s="2" t="str">
        <f>VLOOKUP([jobnumber],OvalData[],MATCH(Table2[[#Headers],[Inner Spring Torque]],Table2[#Headers],0),0)</f>
        <v>Null</v>
      </c>
      <c r="BI332" s="2" t="str">
        <f>VLOOKUP([jobnumber],OvalData[],MATCH(Table2[[#Headers],[Inner Spring Max Turns]],Table2[#Headers],0),0)</f>
        <v>Null</v>
      </c>
      <c r="BJ332" s="2" t="str">
        <f>VLOOKUP([jobnumber],OvalData[],MATCH(Table2[[#Headers],[Inner Spring Weight]],Table2[#Headers],0),0)</f>
        <v>Null</v>
      </c>
      <c r="BK332" s="2">
        <f>VLOOKUP([jobnumber],OvalData[],MATCH(Table2[[#Headers],[Cycles]],Table2[#Headers],0),0)</f>
        <v>0</v>
      </c>
      <c r="BL332" s="2">
        <f>VLOOKUP([jobnumber],OvalData[],MATCH(Table2[[#Headers],[Total Spring Torque]],Table2[#Headers],0),0)</f>
        <v>0</v>
      </c>
      <c r="BM332" s="2">
        <f>VLOOKUP([jobnumber],OvalData[],MATCH(Table2[[#Headers],[Total Spring Weight]],Table2[#Headers],0),0)</f>
        <v>0</v>
      </c>
      <c r="BN332" s="2">
        <f>VLOOKUP([jobnumber],OvalData[],MATCH(Table2[[#Headers],[Pipe Weight]],Table2[#Headers],0),0)</f>
        <v>688.24239999999998</v>
      </c>
      <c r="BO332" s="2">
        <f>VLOOKUP([jobnumber],OvalData[],MATCH(Table2[[#Headers],[Max Pipe Deflection]],Table2[#Headers],0),0)</f>
        <v>2309</v>
      </c>
      <c r="BP332" s="2">
        <f>VLOOKUP([jobnumber],OvalData[],MATCH(Table2[[#Headers],[Number Non-Insulated Wrap Slats]],Table2[#Headers],0),0)</f>
        <v>0</v>
      </c>
      <c r="BQ332" s="2">
        <f>VLOOKUP([jobnumber],OvalData[],MATCH(Table2[[#Headers],[Number of Insolated Top Slats]],Table2[#Headers],0),0)</f>
        <v>45</v>
      </c>
      <c r="BR332" s="2">
        <f>VLOOKUP([jobnumber],OvalData[],MATCH(Table2[[#Headers],[Insolated Total Slats]],Table2[#Headers],0),0)</f>
        <v>45</v>
      </c>
      <c r="BS332" s="2">
        <f>VLOOKUP([jobnumber],OvalData[],MATCH(Table2[[#Headers],[Number of Slats]],Table2[#Headers],0),0)</f>
        <v>44.69</v>
      </c>
      <c r="BT332" s="2">
        <f>VLOOKUP([jobnumber],OvalData[],MATCH(Table2[[#Headers],[Wrap]],Table2[#Headers],0),0)</f>
        <v>0</v>
      </c>
      <c r="BU332" s="2">
        <f>VLOOKUP([jobnumber],OvalData[],MATCH(Table2[[#Headers],[Wall Angle Thickness]],Table2[#Headers],0),0)</f>
        <v>0</v>
      </c>
      <c r="BV332" s="2">
        <f>VLOOKUP([jobnumber],OvalData[],MATCH(Table2[[#Headers],[windlocks]],Table2[#Headers],0),0)</f>
        <v>0</v>
      </c>
      <c r="BW332" s="2" t="str">
        <f>VLOOKUP([jobnumber],OvalData[],MATCH(Table2[[#Headers],[bottombartype]],Table2[#Headers],0),0)</f>
        <v>SPECIAL</v>
      </c>
      <c r="BX332" s="2">
        <f>VLOOKUP([jobnumber],OvalData[],MATCH(Table2[[#Headers],[endlockweight]],Table2[#Headers],0),0)</f>
        <v>0.17</v>
      </c>
      <c r="BY332" s="2">
        <f>VLOOKUP([jobnumber],OvalData[],MATCH(Table2[[#Headers],[Endlock Total Weight]],Table2[#Headers],0),0)</f>
        <v>7.5972999999999997</v>
      </c>
      <c r="BZ332" s="2">
        <f>VLOOKUP([jobnumber],OvalData[],MATCH(Table2[[#Headers],[Grille Weight]],Table2[#Headers],0),0)</f>
        <v>0</v>
      </c>
      <c r="CA332" s="2">
        <f>VLOOKUP([jobnumber],OvalData[],MATCH(Table2[[#Headers],[barrelrings]],Table2[#Headers],0),0)</f>
        <v>1</v>
      </c>
    </row>
    <row r="333" spans="2:79">
      <c r="B333" s="2" t="str">
        <f>VLOOKUP([jobnumber],OvalData[],MATCH(Table2[[#Headers],[Hand]],Table2[#Headers],0),0)</f>
        <v>RH</v>
      </c>
      <c r="C333" s="2" t="str">
        <f>VLOOKUP([jobnumber],OvalData[],MATCH(Table2[[#Headers],[Model]],Table2[#Headers],0),0)</f>
        <v>SFMPP</v>
      </c>
      <c r="D333" s="2" t="str">
        <f>VLOOKUP([jobnumber],OvalData[],MATCH(Table2[[#Headers],[width]],Table2[#Headers],0),0)</f>
        <v xml:space="preserve"> 18 ft.- 2"</v>
      </c>
      <c r="E333" s="2" t="str">
        <f>VLOOKUP([jobnumber],OvalData[],MATCH(Table2[[#Headers],[stopheight]],Table2[#Headers],0),0)</f>
        <v xml:space="preserve"> 10 ft.- 0"</v>
      </c>
      <c r="F333" s="2" t="str">
        <f>VLOOKUP([jobnumber],OvalData[],MATCH(Table2[[#Headers],[Between Brackets]],Table2[#Headers],0),0)</f>
        <v xml:space="preserve"> 18 ft.- 7 7/ 8"</v>
      </c>
      <c r="G333" s="2" t="str">
        <f>VLOOKUP([jobnumber],OvalData[],MATCH(Table2[[#Headers],[shell]],Table2[#Headers],0),0)</f>
        <v>6 INCH TUBE</v>
      </c>
      <c r="H333" s="2" t="str">
        <f>VLOOKUP([jobnumber],OvalData[],MATCH(Table2[[#Headers],[pipewidth]],Table2[#Headers],0),0)</f>
        <v xml:space="preserve"> 18 ft.- 1 3/ 8"</v>
      </c>
      <c r="I333" s="2">
        <f>VLOOKUP([jobnumber],OvalData[],MATCH(Table2[[#Headers],[Support Tubes]],Table2[#Headers],0),0)</f>
        <v>0</v>
      </c>
      <c r="J333" s="2">
        <f>VLOOKUP([jobnumber],OvalData[],MATCH(Table2[[#Headers],[Upset]],Table2[#Headers],0),0)</f>
        <v>2</v>
      </c>
      <c r="K333" s="2" t="str">
        <f>VLOOKUP([jobnumber],OvalData[],MATCH(Table2[[#Headers],[Guide Type]],Table2[#Headers],0),0)</f>
        <v>SN2-4 5/8-E</v>
      </c>
      <c r="L333" s="2" t="str">
        <f>VLOOKUP([jobnumber],OvalData[],MATCH(Table2[[#Headers],[Wall Angle]],Table2[#Headers],0),0)</f>
        <v xml:space="preserve"> 11 ft.- 8"</v>
      </c>
      <c r="M333" s="2" t="str">
        <f>VLOOKUP([jobnumber],OvalData[],MATCH(Table2[[#Headers],[Middle Angle]],Table2[#Headers],0),0)</f>
        <v xml:space="preserve"> 10 ft.- 4 1/ 2"</v>
      </c>
      <c r="N333" s="2" t="str">
        <f>VLOOKUP([jobnumber],OvalData[],MATCH(Table2[[#Headers],[Front Angle]],Table2[#Headers],0),0)</f>
        <v xml:space="preserve"> 10 ft.- 3"</v>
      </c>
      <c r="O333" s="2">
        <f>VLOOKUP([jobnumber],OvalData[],MATCH(Table2[[#Headers],[Pipe Center Line]],Table2[#Headers],0),0)</f>
        <v>131</v>
      </c>
      <c r="P333" s="2">
        <f>VLOOKUP([jobnumber],OvalData[],MATCH(Table2[[#Headers],[Heat Expansion Gap]],Table2[#Headers],0),0)</f>
        <v>0</v>
      </c>
      <c r="Q333" s="2">
        <f>VLOOKUP([jobnumber],OvalData[],MATCH(Table2[[#Headers],[Hanging Weight Closed]],Table2[#Headers],0),0)</f>
        <v>795</v>
      </c>
      <c r="R333" s="2">
        <f>VLOOKUP([jobnumber],OvalData[],MATCH(Table2[[#Headers],[Hanging Weight Open]],Table2[#Headers],0),0)</f>
        <v>140</v>
      </c>
      <c r="S333" s="2">
        <f>VLOOKUP([jobnumber],OvalData[],MATCH(Table2[[#Headers],[Initial Lever Arm]],Table2[#Headers],0),0)</f>
        <v>4.25</v>
      </c>
      <c r="T333" s="2">
        <f>VLOOKUP([jobnumber],OvalData[],MATCH(Table2[[#Headers],[Turns to Raise]],Table2[#Headers],0),0)</f>
        <v>3.5859999999999999</v>
      </c>
      <c r="U333" s="2">
        <f>VLOOKUP([jobnumber],OvalData[],MATCH(Table2[[#Headers],[Final Lever Arm]],Table2[#Headers],0),0)</f>
        <v>6.37</v>
      </c>
      <c r="V333" s="2">
        <f>VLOOKUP([jobnumber],OvalData[],MATCH(Table2[[#Headers],[Torque Required Closed]],Table2[#Headers],0),0)</f>
        <v>3377.9</v>
      </c>
      <c r="W333" s="2">
        <f>VLOOKUP([jobnumber],OvalData[],MATCH(Table2[[#Headers],[Torque Required Open]],Table2[#Headers],0),0)</f>
        <v>892</v>
      </c>
      <c r="X333" s="2">
        <f>VLOOKUP([jobnumber],OvalData[],MATCH(Table2[[#Headers],[Pre Turns]],Table2[#Headers],0),0)</f>
        <v>1.3332999999999999</v>
      </c>
      <c r="Y333" s="2">
        <f>VLOOKUP([jobnumber],OvalData[],MATCH(Table2[[#Headers],[Required Torque Per Turn]],Table2[#Headers],0),0)</f>
        <v>688</v>
      </c>
      <c r="Z333" s="2">
        <f>VLOOKUP([jobnumber],OvalData[],MATCH(Table2[[#Headers],[Total Turns]],Table2[#Headers],0),0)</f>
        <v>4.91</v>
      </c>
      <c r="AA333" s="2">
        <f>VLOOKUP([jobnumber],OvalData[],MATCH(Table2[[#Headers],[Grille Vision Section]],Table2[#Headers],0),0)</f>
        <v>0</v>
      </c>
      <c r="AB333" s="2">
        <f>VLOOKUP([jobnumber],OvalData[],MATCH(Table2[[#Headers],[Grille Amount]],Table2[#Headers],0),0)</f>
        <v>0</v>
      </c>
      <c r="AC333" s="2">
        <f>VLOOKUP([jobnumber],OvalData[],MATCH(Table2[[#Headers],[Grille Center]],Table2[#Headers],0),0)</f>
        <v>0</v>
      </c>
      <c r="AD333" s="2">
        <f>VLOOKUP([jobnumber],OvalData[],MATCH(Table2[[#Headers],[Grille Pattern]],Table2[#Headers],0),0)</f>
        <v>0</v>
      </c>
      <c r="AE333" s="2">
        <f>VLOOKUP([jobnumber],OvalData[],MATCH(Table2[[#Headers],[Grille First Tube]],Table2[#Headers],0),0)</f>
        <v>0</v>
      </c>
      <c r="AF333" s="2">
        <f>VLOOKUP([jobnumber],OvalData[],MATCH(Table2[[#Headers],[Grille Standard Tube]],Table2[#Headers],0),0)</f>
        <v>0</v>
      </c>
      <c r="AG333" s="2">
        <f>VLOOKUP([jobnumber],OvalData[],MATCH(Table2[[#Headers],[Grille Total Links]],Table2[#Headers],0),0)</f>
        <v>0</v>
      </c>
      <c r="AH333" s="2">
        <f>VLOOKUP([jobnumber],OvalData[],MATCH(Table2[[#Headers],[Grille Rods]],Table2[#Headers],0),0)</f>
        <v>0</v>
      </c>
      <c r="AI333" s="2">
        <f>VLOOKUP([jobnumber],OvalData[],MATCH(Table2[[#Headers],[Grille Rod Length]],Table2[#Headers],0),0)</f>
        <v>0</v>
      </c>
      <c r="AJ333" s="2">
        <f>VLOOKUP([jobnumber],OvalData[],MATCH(Table2[[#Headers],[slattype]],Table2[#Headers],0),0)</f>
        <v>2</v>
      </c>
      <c r="AK333" s="2">
        <f>VLOOKUP([jobnumber],OvalData[],MATCH(Table2[[#Headers],[slatgage]],Table2[#Headers],0),0)</f>
        <v>18</v>
      </c>
      <c r="AL333" s="2">
        <f>VLOOKUP([jobnumber],OvalData[],MATCH(Table2[[#Headers],[Numer of Top Slats]],Table2[#Headers],0),0)</f>
        <v>0</v>
      </c>
      <c r="AM333" s="2">
        <f>VLOOKUP([jobnumber],OvalData[],MATCH(Table2[[#Headers],[Number of Bottom Slats]],Table2[#Headers],0),0)</f>
        <v>0</v>
      </c>
      <c r="AN333" s="2">
        <f>VLOOKUP([jobnumber],OvalData[],MATCH(Table2[[#Headers],[Solid Bottom Height]],Table2[#Headers],0),0)</f>
        <v>0</v>
      </c>
      <c r="AO333" s="2" t="str">
        <f>VLOOKUP([jobnumber],OvalData[],MATCH(Table2[[#Headers],[slatlength]],Table2[#Headers],0),0)</f>
        <v xml:space="preserve"> 18 ft.- 5 7/ 8"</v>
      </c>
      <c r="AP333" s="2">
        <f>VLOOKUP([jobnumber],OvalData[],MATCH(Table2[[#Headers],[Bottom Slat Length]],Table2[#Headers],0),0)</f>
        <v>0</v>
      </c>
      <c r="AQ333" s="2">
        <f>VLOOKUP([jobnumber],OvalData[],MATCH(Table2[[#Headers],[Number of Perferated Slats]],Table2[#Headers],0),0)</f>
        <v>0</v>
      </c>
      <c r="AR333" s="2">
        <f>VLOOKUP([jobnumber],OvalData[],MATCH(Table2[[#Headers],[First Preferated Slat From End]],Table2[#Headers],0),0)</f>
        <v>0</v>
      </c>
      <c r="AS333" s="2">
        <f>VLOOKUP([jobnumber],OvalData[],MATCH(Table2[[#Headers],[First Preferated Slat From Bottom]],Table2[#Headers],0),0)</f>
        <v>0</v>
      </c>
      <c r="AT333" s="2">
        <f>VLOOKUP([jobnumber],OvalData[],MATCH(Table2[[#Headers],[Total Number of Slats]],Table2[#Headers],0),0)</f>
        <v>51</v>
      </c>
      <c r="AU333" s="2">
        <f>VLOOKUP([jobnumber],OvalData[],MATCH(Table2[[#Headers],[Bottom Bar Slope]],Table2[#Headers],0),0)</f>
        <v>0</v>
      </c>
      <c r="AV333" s="2">
        <f>VLOOKUP([jobnumber],OvalData[],MATCH(Table2[[#Headers],[Bottom Bar Weight]],Table2[#Headers],0),0)</f>
        <v>80.5</v>
      </c>
      <c r="AW333" s="2" t="str">
        <f>VLOOKUP([jobnumber],OvalData[],MATCH(Table2[[#Headers],[Outer Spring Gage]],Table2[#Headers],0),0)</f>
        <v>Null</v>
      </c>
      <c r="AX333" s="2" t="str">
        <f>VLOOKUP([jobnumber],OvalData[],MATCH(Table2[[#Headers],[Outer Spring OD]],Table2[#Headers],0),0)</f>
        <v>Null</v>
      </c>
      <c r="AY333" s="2" t="str">
        <f>VLOOKUP([jobnumber],OvalData[],MATCH(Table2[[#Headers],[Outer Spring Length]],Table2[#Headers],0),0)</f>
        <v>Null</v>
      </c>
      <c r="AZ333" s="2" t="str">
        <f>VLOOKUP([jobnumber],OvalData[],MATCH(Table2[[#Headers],[Outer Spring Stretch]],Table2[#Headers],0),0)</f>
        <v>Null</v>
      </c>
      <c r="BA333" s="2" t="str">
        <f>VLOOKUP([jobnumber],OvalData[],MATCH(Table2[[#Headers],[Outer Spring Torque]],Table2[#Headers],0),0)</f>
        <v>Null</v>
      </c>
      <c r="BB333" s="2" t="str">
        <f>VLOOKUP([jobnumber],OvalData[],MATCH(Table2[[#Headers],[Outer Spring Max Turns]],Table2[#Headers],0),0)</f>
        <v>Null</v>
      </c>
      <c r="BC333" s="2" t="str">
        <f>VLOOKUP([jobnumber],OvalData[],MATCH(Table2[[#Headers],[Outer Spring Weight]],Table2[#Headers],0),0)</f>
        <v>Null</v>
      </c>
      <c r="BD333" s="2" t="str">
        <f>VLOOKUP([jobnumber],OvalData[],MATCH(Table2[[#Headers],[Inner Spring Gage]],Table2[#Headers],0),0)</f>
        <v>Null</v>
      </c>
      <c r="BE333" s="2" t="str">
        <f>VLOOKUP([jobnumber],OvalData[],MATCH(Table2[[#Headers],[Inner Spring OD]],Table2[#Headers],0),0)</f>
        <v>Null</v>
      </c>
      <c r="BF333" s="2" t="str">
        <f>VLOOKUP([jobnumber],OvalData[],MATCH(Table2[[#Headers],[Inner Spring Length]],Table2[#Headers],0),0)</f>
        <v>Null</v>
      </c>
      <c r="BG333" s="2" t="str">
        <f>VLOOKUP([jobnumber],OvalData[],MATCH(Table2[[#Headers],[Inner Spring Stretch]],Table2[#Headers],0),0)</f>
        <v>Null</v>
      </c>
      <c r="BH333" s="2" t="str">
        <f>VLOOKUP([jobnumber],OvalData[],MATCH(Table2[[#Headers],[Inner Spring Torque]],Table2[#Headers],0),0)</f>
        <v>Null</v>
      </c>
      <c r="BI333" s="2" t="str">
        <f>VLOOKUP([jobnumber],OvalData[],MATCH(Table2[[#Headers],[Inner Spring Max Turns]],Table2[#Headers],0),0)</f>
        <v>Null</v>
      </c>
      <c r="BJ333" s="2" t="str">
        <f>VLOOKUP([jobnumber],OvalData[],MATCH(Table2[[#Headers],[Inner Spring Weight]],Table2[#Headers],0),0)</f>
        <v>Null</v>
      </c>
      <c r="BK333" s="2">
        <f>VLOOKUP([jobnumber],OvalData[],MATCH(Table2[[#Headers],[Cycles]],Table2[#Headers],0),0)</f>
        <v>0</v>
      </c>
      <c r="BL333" s="2">
        <f>VLOOKUP([jobnumber],OvalData[],MATCH(Table2[[#Headers],[Total Spring Torque]],Table2[#Headers],0),0)</f>
        <v>0</v>
      </c>
      <c r="BM333" s="2">
        <f>VLOOKUP([jobnumber],OvalData[],MATCH(Table2[[#Headers],[Total Spring Weight]],Table2[#Headers],0),0)</f>
        <v>0</v>
      </c>
      <c r="BN333" s="2">
        <f>VLOOKUP([jobnumber],OvalData[],MATCH(Table2[[#Headers],[Pipe Weight]],Table2[#Headers],0),0)</f>
        <v>688.24239999999998</v>
      </c>
      <c r="BO333" s="2">
        <f>VLOOKUP([jobnumber],OvalData[],MATCH(Table2[[#Headers],[Max Pipe Deflection]],Table2[#Headers],0),0)</f>
        <v>2309</v>
      </c>
      <c r="BP333" s="2">
        <f>VLOOKUP([jobnumber],OvalData[],MATCH(Table2[[#Headers],[Number Non-Insulated Wrap Slats]],Table2[#Headers],0),0)</f>
        <v>0</v>
      </c>
      <c r="BQ333" s="2">
        <f>VLOOKUP([jobnumber],OvalData[],MATCH(Table2[[#Headers],[Number of Insolated Top Slats]],Table2[#Headers],0),0)</f>
        <v>45</v>
      </c>
      <c r="BR333" s="2">
        <f>VLOOKUP([jobnumber],OvalData[],MATCH(Table2[[#Headers],[Insolated Total Slats]],Table2[#Headers],0),0)</f>
        <v>45</v>
      </c>
      <c r="BS333" s="2">
        <f>VLOOKUP([jobnumber],OvalData[],MATCH(Table2[[#Headers],[Number of Slats]],Table2[#Headers],0),0)</f>
        <v>44.69</v>
      </c>
      <c r="BT333" s="2">
        <f>VLOOKUP([jobnumber],OvalData[],MATCH(Table2[[#Headers],[Wrap]],Table2[#Headers],0),0)</f>
        <v>0</v>
      </c>
      <c r="BU333" s="2">
        <f>VLOOKUP([jobnumber],OvalData[],MATCH(Table2[[#Headers],[Wall Angle Thickness]],Table2[#Headers],0),0)</f>
        <v>0</v>
      </c>
      <c r="BV333" s="2">
        <f>VLOOKUP([jobnumber],OvalData[],MATCH(Table2[[#Headers],[windlocks]],Table2[#Headers],0),0)</f>
        <v>0</v>
      </c>
      <c r="BW333" s="2" t="str">
        <f>VLOOKUP([jobnumber],OvalData[],MATCH(Table2[[#Headers],[bottombartype]],Table2[#Headers],0),0)</f>
        <v>SPECIAL</v>
      </c>
      <c r="BX333" s="2">
        <f>VLOOKUP([jobnumber],OvalData[],MATCH(Table2[[#Headers],[endlockweight]],Table2[#Headers],0),0)</f>
        <v>0.17</v>
      </c>
      <c r="BY333" s="2">
        <f>VLOOKUP([jobnumber],OvalData[],MATCH(Table2[[#Headers],[Endlock Total Weight]],Table2[#Headers],0),0)</f>
        <v>7.5972999999999997</v>
      </c>
      <c r="BZ333" s="2">
        <f>VLOOKUP([jobnumber],OvalData[],MATCH(Table2[[#Headers],[Grille Weight]],Table2[#Headers],0),0)</f>
        <v>0</v>
      </c>
      <c r="CA333" s="2">
        <f>VLOOKUP([jobnumber],OvalData[],MATCH(Table2[[#Headers],[barrelrings]],Table2[#Headers],0),0)</f>
        <v>1</v>
      </c>
    </row>
    <row r="334" spans="2:79">
      <c r="B334" s="2" t="str">
        <f>VLOOKUP([jobnumber],OvalData[],MATCH(Table2[[#Headers],[Hand]],Table2[#Headers],0),0)</f>
        <v>RH</v>
      </c>
      <c r="C334" s="2" t="str">
        <f>VLOOKUP([jobnumber],OvalData[],MATCH(Table2[[#Headers],[Model]],Table2[#Headers],0),0)</f>
        <v>SFMPP</v>
      </c>
      <c r="D334" s="2" t="str">
        <f>VLOOKUP([jobnumber],OvalData[],MATCH(Table2[[#Headers],[width]],Table2[#Headers],0),0)</f>
        <v xml:space="preserve"> 18 ft.- 2"</v>
      </c>
      <c r="E334" s="2" t="str">
        <f>VLOOKUP([jobnumber],OvalData[],MATCH(Table2[[#Headers],[stopheight]],Table2[#Headers],0),0)</f>
        <v xml:space="preserve"> 10 ft.- 0"</v>
      </c>
      <c r="F334" s="2" t="str">
        <f>VLOOKUP([jobnumber],OvalData[],MATCH(Table2[[#Headers],[Between Brackets]],Table2[#Headers],0),0)</f>
        <v xml:space="preserve"> 18 ft.- 7 7/ 8"</v>
      </c>
      <c r="G334" s="2" t="str">
        <f>VLOOKUP([jobnumber],OvalData[],MATCH(Table2[[#Headers],[shell]],Table2[#Headers],0),0)</f>
        <v>6 INCH TUBE</v>
      </c>
      <c r="H334" s="2" t="str">
        <f>VLOOKUP([jobnumber],OvalData[],MATCH(Table2[[#Headers],[pipewidth]],Table2[#Headers],0),0)</f>
        <v xml:space="preserve"> 18 ft.- 1 3/ 8"</v>
      </c>
      <c r="I334" s="2">
        <f>VLOOKUP([jobnumber],OvalData[],MATCH(Table2[[#Headers],[Support Tubes]],Table2[#Headers],0),0)</f>
        <v>0</v>
      </c>
      <c r="J334" s="2">
        <f>VLOOKUP([jobnumber],OvalData[],MATCH(Table2[[#Headers],[Upset]],Table2[#Headers],0),0)</f>
        <v>2</v>
      </c>
      <c r="K334" s="2" t="str">
        <f>VLOOKUP([jobnumber],OvalData[],MATCH(Table2[[#Headers],[Guide Type]],Table2[#Headers],0),0)</f>
        <v>SN2-4 5/8-E</v>
      </c>
      <c r="L334" s="2" t="str">
        <f>VLOOKUP([jobnumber],OvalData[],MATCH(Table2[[#Headers],[Wall Angle]],Table2[#Headers],0),0)</f>
        <v xml:space="preserve"> 11 ft.- 8"</v>
      </c>
      <c r="M334" s="2" t="str">
        <f>VLOOKUP([jobnumber],OvalData[],MATCH(Table2[[#Headers],[Middle Angle]],Table2[#Headers],0),0)</f>
        <v xml:space="preserve"> 10 ft.- 4 1/ 2"</v>
      </c>
      <c r="N334" s="2" t="str">
        <f>VLOOKUP([jobnumber],OvalData[],MATCH(Table2[[#Headers],[Front Angle]],Table2[#Headers],0),0)</f>
        <v xml:space="preserve"> 10 ft.- 3"</v>
      </c>
      <c r="O334" s="2">
        <f>VLOOKUP([jobnumber],OvalData[],MATCH(Table2[[#Headers],[Pipe Center Line]],Table2[#Headers],0),0)</f>
        <v>131</v>
      </c>
      <c r="P334" s="2">
        <f>VLOOKUP([jobnumber],OvalData[],MATCH(Table2[[#Headers],[Heat Expansion Gap]],Table2[#Headers],0),0)</f>
        <v>0</v>
      </c>
      <c r="Q334" s="2">
        <f>VLOOKUP([jobnumber],OvalData[],MATCH(Table2[[#Headers],[Hanging Weight Closed]],Table2[#Headers],0),0)</f>
        <v>795</v>
      </c>
      <c r="R334" s="2">
        <f>VLOOKUP([jobnumber],OvalData[],MATCH(Table2[[#Headers],[Hanging Weight Open]],Table2[#Headers],0),0)</f>
        <v>140</v>
      </c>
      <c r="S334" s="2">
        <f>VLOOKUP([jobnumber],OvalData[],MATCH(Table2[[#Headers],[Initial Lever Arm]],Table2[#Headers],0),0)</f>
        <v>4.25</v>
      </c>
      <c r="T334" s="2">
        <f>VLOOKUP([jobnumber],OvalData[],MATCH(Table2[[#Headers],[Turns to Raise]],Table2[#Headers],0),0)</f>
        <v>3.5859999999999999</v>
      </c>
      <c r="U334" s="2">
        <f>VLOOKUP([jobnumber],OvalData[],MATCH(Table2[[#Headers],[Final Lever Arm]],Table2[#Headers],0),0)</f>
        <v>6.37</v>
      </c>
      <c r="V334" s="2">
        <f>VLOOKUP([jobnumber],OvalData[],MATCH(Table2[[#Headers],[Torque Required Closed]],Table2[#Headers],0),0)</f>
        <v>3377.9</v>
      </c>
      <c r="W334" s="2">
        <f>VLOOKUP([jobnumber],OvalData[],MATCH(Table2[[#Headers],[Torque Required Open]],Table2[#Headers],0),0)</f>
        <v>892</v>
      </c>
      <c r="X334" s="2">
        <f>VLOOKUP([jobnumber],OvalData[],MATCH(Table2[[#Headers],[Pre Turns]],Table2[#Headers],0),0)</f>
        <v>1.3332999999999999</v>
      </c>
      <c r="Y334" s="2">
        <f>VLOOKUP([jobnumber],OvalData[],MATCH(Table2[[#Headers],[Required Torque Per Turn]],Table2[#Headers],0),0)</f>
        <v>688</v>
      </c>
      <c r="Z334" s="2">
        <f>VLOOKUP([jobnumber],OvalData[],MATCH(Table2[[#Headers],[Total Turns]],Table2[#Headers],0),0)</f>
        <v>4.91</v>
      </c>
      <c r="AA334" s="2">
        <f>VLOOKUP([jobnumber],OvalData[],MATCH(Table2[[#Headers],[Grille Vision Section]],Table2[#Headers],0),0)</f>
        <v>0</v>
      </c>
      <c r="AB334" s="2">
        <f>VLOOKUP([jobnumber],OvalData[],MATCH(Table2[[#Headers],[Grille Amount]],Table2[#Headers],0),0)</f>
        <v>0</v>
      </c>
      <c r="AC334" s="2">
        <f>VLOOKUP([jobnumber],OvalData[],MATCH(Table2[[#Headers],[Grille Center]],Table2[#Headers],0),0)</f>
        <v>0</v>
      </c>
      <c r="AD334" s="2">
        <f>VLOOKUP([jobnumber],OvalData[],MATCH(Table2[[#Headers],[Grille Pattern]],Table2[#Headers],0),0)</f>
        <v>0</v>
      </c>
      <c r="AE334" s="2">
        <f>VLOOKUP([jobnumber],OvalData[],MATCH(Table2[[#Headers],[Grille First Tube]],Table2[#Headers],0),0)</f>
        <v>0</v>
      </c>
      <c r="AF334" s="2">
        <f>VLOOKUP([jobnumber],OvalData[],MATCH(Table2[[#Headers],[Grille Standard Tube]],Table2[#Headers],0),0)</f>
        <v>0</v>
      </c>
      <c r="AG334" s="2">
        <f>VLOOKUP([jobnumber],OvalData[],MATCH(Table2[[#Headers],[Grille Total Links]],Table2[#Headers],0),0)</f>
        <v>0</v>
      </c>
      <c r="AH334" s="2">
        <f>VLOOKUP([jobnumber],OvalData[],MATCH(Table2[[#Headers],[Grille Rods]],Table2[#Headers],0),0)</f>
        <v>0</v>
      </c>
      <c r="AI334" s="2">
        <f>VLOOKUP([jobnumber],OvalData[],MATCH(Table2[[#Headers],[Grille Rod Length]],Table2[#Headers],0),0)</f>
        <v>0</v>
      </c>
      <c r="AJ334" s="2">
        <f>VLOOKUP([jobnumber],OvalData[],MATCH(Table2[[#Headers],[slattype]],Table2[#Headers],0),0)</f>
        <v>2</v>
      </c>
      <c r="AK334" s="2">
        <f>VLOOKUP([jobnumber],OvalData[],MATCH(Table2[[#Headers],[slatgage]],Table2[#Headers],0),0)</f>
        <v>18</v>
      </c>
      <c r="AL334" s="2">
        <f>VLOOKUP([jobnumber],OvalData[],MATCH(Table2[[#Headers],[Numer of Top Slats]],Table2[#Headers],0),0)</f>
        <v>0</v>
      </c>
      <c r="AM334" s="2">
        <f>VLOOKUP([jobnumber],OvalData[],MATCH(Table2[[#Headers],[Number of Bottom Slats]],Table2[#Headers],0),0)</f>
        <v>0</v>
      </c>
      <c r="AN334" s="2">
        <f>VLOOKUP([jobnumber],OvalData[],MATCH(Table2[[#Headers],[Solid Bottom Height]],Table2[#Headers],0),0)</f>
        <v>0</v>
      </c>
      <c r="AO334" s="2" t="str">
        <f>VLOOKUP([jobnumber],OvalData[],MATCH(Table2[[#Headers],[slatlength]],Table2[#Headers],0),0)</f>
        <v xml:space="preserve"> 18 ft.- 5 7/ 8"</v>
      </c>
      <c r="AP334" s="2">
        <f>VLOOKUP([jobnumber],OvalData[],MATCH(Table2[[#Headers],[Bottom Slat Length]],Table2[#Headers],0),0)</f>
        <v>0</v>
      </c>
      <c r="AQ334" s="2">
        <f>VLOOKUP([jobnumber],OvalData[],MATCH(Table2[[#Headers],[Number of Perferated Slats]],Table2[#Headers],0),0)</f>
        <v>0</v>
      </c>
      <c r="AR334" s="2">
        <f>VLOOKUP([jobnumber],OvalData[],MATCH(Table2[[#Headers],[First Preferated Slat From End]],Table2[#Headers],0),0)</f>
        <v>0</v>
      </c>
      <c r="AS334" s="2">
        <f>VLOOKUP([jobnumber],OvalData[],MATCH(Table2[[#Headers],[First Preferated Slat From Bottom]],Table2[#Headers],0),0)</f>
        <v>0</v>
      </c>
      <c r="AT334" s="2">
        <f>VLOOKUP([jobnumber],OvalData[],MATCH(Table2[[#Headers],[Total Number of Slats]],Table2[#Headers],0),0)</f>
        <v>51</v>
      </c>
      <c r="AU334" s="2">
        <f>VLOOKUP([jobnumber],OvalData[],MATCH(Table2[[#Headers],[Bottom Bar Slope]],Table2[#Headers],0),0)</f>
        <v>0</v>
      </c>
      <c r="AV334" s="2">
        <f>VLOOKUP([jobnumber],OvalData[],MATCH(Table2[[#Headers],[Bottom Bar Weight]],Table2[#Headers],0),0)</f>
        <v>80.5</v>
      </c>
      <c r="AW334" s="2" t="str">
        <f>VLOOKUP([jobnumber],OvalData[],MATCH(Table2[[#Headers],[Outer Spring Gage]],Table2[#Headers],0),0)</f>
        <v>Null</v>
      </c>
      <c r="AX334" s="2" t="str">
        <f>VLOOKUP([jobnumber],OvalData[],MATCH(Table2[[#Headers],[Outer Spring OD]],Table2[#Headers],0),0)</f>
        <v>Null</v>
      </c>
      <c r="AY334" s="2" t="str">
        <f>VLOOKUP([jobnumber],OvalData[],MATCH(Table2[[#Headers],[Outer Spring Length]],Table2[#Headers],0),0)</f>
        <v>Null</v>
      </c>
      <c r="AZ334" s="2" t="str">
        <f>VLOOKUP([jobnumber],OvalData[],MATCH(Table2[[#Headers],[Outer Spring Stretch]],Table2[#Headers],0),0)</f>
        <v>Null</v>
      </c>
      <c r="BA334" s="2" t="str">
        <f>VLOOKUP([jobnumber],OvalData[],MATCH(Table2[[#Headers],[Outer Spring Torque]],Table2[#Headers],0),0)</f>
        <v>Null</v>
      </c>
      <c r="BB334" s="2" t="str">
        <f>VLOOKUP([jobnumber],OvalData[],MATCH(Table2[[#Headers],[Outer Spring Max Turns]],Table2[#Headers],0),0)</f>
        <v>Null</v>
      </c>
      <c r="BC334" s="2" t="str">
        <f>VLOOKUP([jobnumber],OvalData[],MATCH(Table2[[#Headers],[Outer Spring Weight]],Table2[#Headers],0),0)</f>
        <v>Null</v>
      </c>
      <c r="BD334" s="2" t="str">
        <f>VLOOKUP([jobnumber],OvalData[],MATCH(Table2[[#Headers],[Inner Spring Gage]],Table2[#Headers],0),0)</f>
        <v>Null</v>
      </c>
      <c r="BE334" s="2" t="str">
        <f>VLOOKUP([jobnumber],OvalData[],MATCH(Table2[[#Headers],[Inner Spring OD]],Table2[#Headers],0),0)</f>
        <v>Null</v>
      </c>
      <c r="BF334" s="2" t="str">
        <f>VLOOKUP([jobnumber],OvalData[],MATCH(Table2[[#Headers],[Inner Spring Length]],Table2[#Headers],0),0)</f>
        <v>Null</v>
      </c>
      <c r="BG334" s="2" t="str">
        <f>VLOOKUP([jobnumber],OvalData[],MATCH(Table2[[#Headers],[Inner Spring Stretch]],Table2[#Headers],0),0)</f>
        <v>Null</v>
      </c>
      <c r="BH334" s="2" t="str">
        <f>VLOOKUP([jobnumber],OvalData[],MATCH(Table2[[#Headers],[Inner Spring Torque]],Table2[#Headers],0),0)</f>
        <v>Null</v>
      </c>
      <c r="BI334" s="2" t="str">
        <f>VLOOKUP([jobnumber],OvalData[],MATCH(Table2[[#Headers],[Inner Spring Max Turns]],Table2[#Headers],0),0)</f>
        <v>Null</v>
      </c>
      <c r="BJ334" s="2" t="str">
        <f>VLOOKUP([jobnumber],OvalData[],MATCH(Table2[[#Headers],[Inner Spring Weight]],Table2[#Headers],0),0)</f>
        <v>Null</v>
      </c>
      <c r="BK334" s="2">
        <f>VLOOKUP([jobnumber],OvalData[],MATCH(Table2[[#Headers],[Cycles]],Table2[#Headers],0),0)</f>
        <v>0</v>
      </c>
      <c r="BL334" s="2">
        <f>VLOOKUP([jobnumber],OvalData[],MATCH(Table2[[#Headers],[Total Spring Torque]],Table2[#Headers],0),0)</f>
        <v>0</v>
      </c>
      <c r="BM334" s="2">
        <f>VLOOKUP([jobnumber],OvalData[],MATCH(Table2[[#Headers],[Total Spring Weight]],Table2[#Headers],0),0)</f>
        <v>0</v>
      </c>
      <c r="BN334" s="2">
        <f>VLOOKUP([jobnumber],OvalData[],MATCH(Table2[[#Headers],[Pipe Weight]],Table2[#Headers],0),0)</f>
        <v>688.24239999999998</v>
      </c>
      <c r="BO334" s="2">
        <f>VLOOKUP([jobnumber],OvalData[],MATCH(Table2[[#Headers],[Max Pipe Deflection]],Table2[#Headers],0),0)</f>
        <v>2309</v>
      </c>
      <c r="BP334" s="2">
        <f>VLOOKUP([jobnumber],OvalData[],MATCH(Table2[[#Headers],[Number Non-Insulated Wrap Slats]],Table2[#Headers],0),0)</f>
        <v>0</v>
      </c>
      <c r="BQ334" s="2">
        <f>VLOOKUP([jobnumber],OvalData[],MATCH(Table2[[#Headers],[Number of Insolated Top Slats]],Table2[#Headers],0),0)</f>
        <v>45</v>
      </c>
      <c r="BR334" s="2">
        <f>VLOOKUP([jobnumber],OvalData[],MATCH(Table2[[#Headers],[Insolated Total Slats]],Table2[#Headers],0),0)</f>
        <v>45</v>
      </c>
      <c r="BS334" s="2">
        <f>VLOOKUP([jobnumber],OvalData[],MATCH(Table2[[#Headers],[Number of Slats]],Table2[#Headers],0),0)</f>
        <v>44.69</v>
      </c>
      <c r="BT334" s="2">
        <f>VLOOKUP([jobnumber],OvalData[],MATCH(Table2[[#Headers],[Wrap]],Table2[#Headers],0),0)</f>
        <v>0</v>
      </c>
      <c r="BU334" s="2">
        <f>VLOOKUP([jobnumber],OvalData[],MATCH(Table2[[#Headers],[Wall Angle Thickness]],Table2[#Headers],0),0)</f>
        <v>0</v>
      </c>
      <c r="BV334" s="2">
        <f>VLOOKUP([jobnumber],OvalData[],MATCH(Table2[[#Headers],[windlocks]],Table2[#Headers],0),0)</f>
        <v>0</v>
      </c>
      <c r="BW334" s="2" t="str">
        <f>VLOOKUP([jobnumber],OvalData[],MATCH(Table2[[#Headers],[bottombartype]],Table2[#Headers],0),0)</f>
        <v>SPECIAL</v>
      </c>
      <c r="BX334" s="2">
        <f>VLOOKUP([jobnumber],OvalData[],MATCH(Table2[[#Headers],[endlockweight]],Table2[#Headers],0),0)</f>
        <v>0.17</v>
      </c>
      <c r="BY334" s="2">
        <f>VLOOKUP([jobnumber],OvalData[],MATCH(Table2[[#Headers],[Endlock Total Weight]],Table2[#Headers],0),0)</f>
        <v>7.5972999999999997</v>
      </c>
      <c r="BZ334" s="2">
        <f>VLOOKUP([jobnumber],OvalData[],MATCH(Table2[[#Headers],[Grille Weight]],Table2[#Headers],0),0)</f>
        <v>0</v>
      </c>
      <c r="CA334" s="2">
        <f>VLOOKUP([jobnumber],OvalData[],MATCH(Table2[[#Headers],[barrelrings]],Table2[#Headers],0),0)</f>
        <v>1</v>
      </c>
    </row>
    <row r="335" spans="2:79">
      <c r="B335" s="2" t="str">
        <f>VLOOKUP([jobnumber],OvalData[],MATCH(Table2[[#Headers],[Hand]],Table2[#Headers],0),0)</f>
        <v>RH</v>
      </c>
      <c r="C335" s="2" t="str">
        <f>VLOOKUP([jobnumber],OvalData[],MATCH(Table2[[#Headers],[Model]],Table2[#Headers],0),0)</f>
        <v>SFMPP</v>
      </c>
      <c r="D335" s="2" t="str">
        <f>VLOOKUP([jobnumber],OvalData[],MATCH(Table2[[#Headers],[width]],Table2[#Headers],0),0)</f>
        <v xml:space="preserve"> 18 ft.- 2"</v>
      </c>
      <c r="E335" s="2" t="str">
        <f>VLOOKUP([jobnumber],OvalData[],MATCH(Table2[[#Headers],[stopheight]],Table2[#Headers],0),0)</f>
        <v xml:space="preserve"> 10 ft.- 0"</v>
      </c>
      <c r="F335" s="2" t="str">
        <f>VLOOKUP([jobnumber],OvalData[],MATCH(Table2[[#Headers],[Between Brackets]],Table2[#Headers],0),0)</f>
        <v xml:space="preserve"> 18 ft.- 7 7/ 8"</v>
      </c>
      <c r="G335" s="2" t="str">
        <f>VLOOKUP([jobnumber],OvalData[],MATCH(Table2[[#Headers],[shell]],Table2[#Headers],0),0)</f>
        <v>6 INCH TUBE</v>
      </c>
      <c r="H335" s="2" t="str">
        <f>VLOOKUP([jobnumber],OvalData[],MATCH(Table2[[#Headers],[pipewidth]],Table2[#Headers],0),0)</f>
        <v xml:space="preserve"> 18 ft.- 1 3/ 8"</v>
      </c>
      <c r="I335" s="2">
        <f>VLOOKUP([jobnumber],OvalData[],MATCH(Table2[[#Headers],[Support Tubes]],Table2[#Headers],0),0)</f>
        <v>0</v>
      </c>
      <c r="J335" s="2">
        <f>VLOOKUP([jobnumber],OvalData[],MATCH(Table2[[#Headers],[Upset]],Table2[#Headers],0),0)</f>
        <v>2</v>
      </c>
      <c r="K335" s="2" t="str">
        <f>VLOOKUP([jobnumber],OvalData[],MATCH(Table2[[#Headers],[Guide Type]],Table2[#Headers],0),0)</f>
        <v>SN2-4 5/8-E</v>
      </c>
      <c r="L335" s="2" t="str">
        <f>VLOOKUP([jobnumber],OvalData[],MATCH(Table2[[#Headers],[Wall Angle]],Table2[#Headers],0),0)</f>
        <v xml:space="preserve"> 11 ft.- 8"</v>
      </c>
      <c r="M335" s="2" t="str">
        <f>VLOOKUP([jobnumber],OvalData[],MATCH(Table2[[#Headers],[Middle Angle]],Table2[#Headers],0),0)</f>
        <v xml:space="preserve"> 10 ft.- 4 1/ 2"</v>
      </c>
      <c r="N335" s="2" t="str">
        <f>VLOOKUP([jobnumber],OvalData[],MATCH(Table2[[#Headers],[Front Angle]],Table2[#Headers],0),0)</f>
        <v xml:space="preserve"> 10 ft.- 3"</v>
      </c>
      <c r="O335" s="2">
        <f>VLOOKUP([jobnumber],OvalData[],MATCH(Table2[[#Headers],[Pipe Center Line]],Table2[#Headers],0),0)</f>
        <v>131</v>
      </c>
      <c r="P335" s="2">
        <f>VLOOKUP([jobnumber],OvalData[],MATCH(Table2[[#Headers],[Heat Expansion Gap]],Table2[#Headers],0),0)</f>
        <v>0</v>
      </c>
      <c r="Q335" s="2">
        <f>VLOOKUP([jobnumber],OvalData[],MATCH(Table2[[#Headers],[Hanging Weight Closed]],Table2[#Headers],0),0)</f>
        <v>795</v>
      </c>
      <c r="R335" s="2">
        <f>VLOOKUP([jobnumber],OvalData[],MATCH(Table2[[#Headers],[Hanging Weight Open]],Table2[#Headers],0),0)</f>
        <v>140</v>
      </c>
      <c r="S335" s="2">
        <f>VLOOKUP([jobnumber],OvalData[],MATCH(Table2[[#Headers],[Initial Lever Arm]],Table2[#Headers],0),0)</f>
        <v>4.25</v>
      </c>
      <c r="T335" s="2">
        <f>VLOOKUP([jobnumber],OvalData[],MATCH(Table2[[#Headers],[Turns to Raise]],Table2[#Headers],0),0)</f>
        <v>3.5859999999999999</v>
      </c>
      <c r="U335" s="2">
        <f>VLOOKUP([jobnumber],OvalData[],MATCH(Table2[[#Headers],[Final Lever Arm]],Table2[#Headers],0),0)</f>
        <v>6.37</v>
      </c>
      <c r="V335" s="2">
        <f>VLOOKUP([jobnumber],OvalData[],MATCH(Table2[[#Headers],[Torque Required Closed]],Table2[#Headers],0),0)</f>
        <v>3377.9</v>
      </c>
      <c r="W335" s="2">
        <f>VLOOKUP([jobnumber],OvalData[],MATCH(Table2[[#Headers],[Torque Required Open]],Table2[#Headers],0),0)</f>
        <v>892</v>
      </c>
      <c r="X335" s="2">
        <f>VLOOKUP([jobnumber],OvalData[],MATCH(Table2[[#Headers],[Pre Turns]],Table2[#Headers],0),0)</f>
        <v>1.3332999999999999</v>
      </c>
      <c r="Y335" s="2">
        <f>VLOOKUP([jobnumber],OvalData[],MATCH(Table2[[#Headers],[Required Torque Per Turn]],Table2[#Headers],0),0)</f>
        <v>688</v>
      </c>
      <c r="Z335" s="2">
        <f>VLOOKUP([jobnumber],OvalData[],MATCH(Table2[[#Headers],[Total Turns]],Table2[#Headers],0),0)</f>
        <v>4.91</v>
      </c>
      <c r="AA335" s="2">
        <f>VLOOKUP([jobnumber],OvalData[],MATCH(Table2[[#Headers],[Grille Vision Section]],Table2[#Headers],0),0)</f>
        <v>0</v>
      </c>
      <c r="AB335" s="2">
        <f>VLOOKUP([jobnumber],OvalData[],MATCH(Table2[[#Headers],[Grille Amount]],Table2[#Headers],0),0)</f>
        <v>0</v>
      </c>
      <c r="AC335" s="2">
        <f>VLOOKUP([jobnumber],OvalData[],MATCH(Table2[[#Headers],[Grille Center]],Table2[#Headers],0),0)</f>
        <v>0</v>
      </c>
      <c r="AD335" s="2">
        <f>VLOOKUP([jobnumber],OvalData[],MATCH(Table2[[#Headers],[Grille Pattern]],Table2[#Headers],0),0)</f>
        <v>0</v>
      </c>
      <c r="AE335" s="2">
        <f>VLOOKUP([jobnumber],OvalData[],MATCH(Table2[[#Headers],[Grille First Tube]],Table2[#Headers],0),0)</f>
        <v>0</v>
      </c>
      <c r="AF335" s="2">
        <f>VLOOKUP([jobnumber],OvalData[],MATCH(Table2[[#Headers],[Grille Standard Tube]],Table2[#Headers],0),0)</f>
        <v>0</v>
      </c>
      <c r="AG335" s="2">
        <f>VLOOKUP([jobnumber],OvalData[],MATCH(Table2[[#Headers],[Grille Total Links]],Table2[#Headers],0),0)</f>
        <v>0</v>
      </c>
      <c r="AH335" s="2">
        <f>VLOOKUP([jobnumber],OvalData[],MATCH(Table2[[#Headers],[Grille Rods]],Table2[#Headers],0),0)</f>
        <v>0</v>
      </c>
      <c r="AI335" s="2">
        <f>VLOOKUP([jobnumber],OvalData[],MATCH(Table2[[#Headers],[Grille Rod Length]],Table2[#Headers],0),0)</f>
        <v>0</v>
      </c>
      <c r="AJ335" s="2">
        <f>VLOOKUP([jobnumber],OvalData[],MATCH(Table2[[#Headers],[slattype]],Table2[#Headers],0),0)</f>
        <v>2</v>
      </c>
      <c r="AK335" s="2">
        <f>VLOOKUP([jobnumber],OvalData[],MATCH(Table2[[#Headers],[slatgage]],Table2[#Headers],0),0)</f>
        <v>18</v>
      </c>
      <c r="AL335" s="2">
        <f>VLOOKUP([jobnumber],OvalData[],MATCH(Table2[[#Headers],[Numer of Top Slats]],Table2[#Headers],0),0)</f>
        <v>0</v>
      </c>
      <c r="AM335" s="2">
        <f>VLOOKUP([jobnumber],OvalData[],MATCH(Table2[[#Headers],[Number of Bottom Slats]],Table2[#Headers],0),0)</f>
        <v>0</v>
      </c>
      <c r="AN335" s="2">
        <f>VLOOKUP([jobnumber],OvalData[],MATCH(Table2[[#Headers],[Solid Bottom Height]],Table2[#Headers],0),0)</f>
        <v>0</v>
      </c>
      <c r="AO335" s="2" t="str">
        <f>VLOOKUP([jobnumber],OvalData[],MATCH(Table2[[#Headers],[slatlength]],Table2[#Headers],0),0)</f>
        <v xml:space="preserve"> 18 ft.- 5 7/ 8"</v>
      </c>
      <c r="AP335" s="2">
        <f>VLOOKUP([jobnumber],OvalData[],MATCH(Table2[[#Headers],[Bottom Slat Length]],Table2[#Headers],0),0)</f>
        <v>0</v>
      </c>
      <c r="AQ335" s="2">
        <f>VLOOKUP([jobnumber],OvalData[],MATCH(Table2[[#Headers],[Number of Perferated Slats]],Table2[#Headers],0),0)</f>
        <v>0</v>
      </c>
      <c r="AR335" s="2">
        <f>VLOOKUP([jobnumber],OvalData[],MATCH(Table2[[#Headers],[First Preferated Slat From End]],Table2[#Headers],0),0)</f>
        <v>0</v>
      </c>
      <c r="AS335" s="2">
        <f>VLOOKUP([jobnumber],OvalData[],MATCH(Table2[[#Headers],[First Preferated Slat From Bottom]],Table2[#Headers],0),0)</f>
        <v>0</v>
      </c>
      <c r="AT335" s="2">
        <f>VLOOKUP([jobnumber],OvalData[],MATCH(Table2[[#Headers],[Total Number of Slats]],Table2[#Headers],0),0)</f>
        <v>51</v>
      </c>
      <c r="AU335" s="2">
        <f>VLOOKUP([jobnumber],OvalData[],MATCH(Table2[[#Headers],[Bottom Bar Slope]],Table2[#Headers],0),0)</f>
        <v>0</v>
      </c>
      <c r="AV335" s="2">
        <f>VLOOKUP([jobnumber],OvalData[],MATCH(Table2[[#Headers],[Bottom Bar Weight]],Table2[#Headers],0),0)</f>
        <v>80.5</v>
      </c>
      <c r="AW335" s="2" t="str">
        <f>VLOOKUP([jobnumber],OvalData[],MATCH(Table2[[#Headers],[Outer Spring Gage]],Table2[#Headers],0),0)</f>
        <v>Null</v>
      </c>
      <c r="AX335" s="2" t="str">
        <f>VLOOKUP([jobnumber],OvalData[],MATCH(Table2[[#Headers],[Outer Spring OD]],Table2[#Headers],0),0)</f>
        <v>Null</v>
      </c>
      <c r="AY335" s="2" t="str">
        <f>VLOOKUP([jobnumber],OvalData[],MATCH(Table2[[#Headers],[Outer Spring Length]],Table2[#Headers],0),0)</f>
        <v>Null</v>
      </c>
      <c r="AZ335" s="2" t="str">
        <f>VLOOKUP([jobnumber],OvalData[],MATCH(Table2[[#Headers],[Outer Spring Stretch]],Table2[#Headers],0),0)</f>
        <v>Null</v>
      </c>
      <c r="BA335" s="2" t="str">
        <f>VLOOKUP([jobnumber],OvalData[],MATCH(Table2[[#Headers],[Outer Spring Torque]],Table2[#Headers],0),0)</f>
        <v>Null</v>
      </c>
      <c r="BB335" s="2" t="str">
        <f>VLOOKUP([jobnumber],OvalData[],MATCH(Table2[[#Headers],[Outer Spring Max Turns]],Table2[#Headers],0),0)</f>
        <v>Null</v>
      </c>
      <c r="BC335" s="2" t="str">
        <f>VLOOKUP([jobnumber],OvalData[],MATCH(Table2[[#Headers],[Outer Spring Weight]],Table2[#Headers],0),0)</f>
        <v>Null</v>
      </c>
      <c r="BD335" s="2" t="str">
        <f>VLOOKUP([jobnumber],OvalData[],MATCH(Table2[[#Headers],[Inner Spring Gage]],Table2[#Headers],0),0)</f>
        <v>Null</v>
      </c>
      <c r="BE335" s="2" t="str">
        <f>VLOOKUP([jobnumber],OvalData[],MATCH(Table2[[#Headers],[Inner Spring OD]],Table2[#Headers],0),0)</f>
        <v>Null</v>
      </c>
      <c r="BF335" s="2" t="str">
        <f>VLOOKUP([jobnumber],OvalData[],MATCH(Table2[[#Headers],[Inner Spring Length]],Table2[#Headers],0),0)</f>
        <v>Null</v>
      </c>
      <c r="BG335" s="2" t="str">
        <f>VLOOKUP([jobnumber],OvalData[],MATCH(Table2[[#Headers],[Inner Spring Stretch]],Table2[#Headers],0),0)</f>
        <v>Null</v>
      </c>
      <c r="BH335" s="2" t="str">
        <f>VLOOKUP([jobnumber],OvalData[],MATCH(Table2[[#Headers],[Inner Spring Torque]],Table2[#Headers],0),0)</f>
        <v>Null</v>
      </c>
      <c r="BI335" s="2" t="str">
        <f>VLOOKUP([jobnumber],OvalData[],MATCH(Table2[[#Headers],[Inner Spring Max Turns]],Table2[#Headers],0),0)</f>
        <v>Null</v>
      </c>
      <c r="BJ335" s="2" t="str">
        <f>VLOOKUP([jobnumber],OvalData[],MATCH(Table2[[#Headers],[Inner Spring Weight]],Table2[#Headers],0),0)</f>
        <v>Null</v>
      </c>
      <c r="BK335" s="2">
        <f>VLOOKUP([jobnumber],OvalData[],MATCH(Table2[[#Headers],[Cycles]],Table2[#Headers],0),0)</f>
        <v>0</v>
      </c>
      <c r="BL335" s="2">
        <f>VLOOKUP([jobnumber],OvalData[],MATCH(Table2[[#Headers],[Total Spring Torque]],Table2[#Headers],0),0)</f>
        <v>0</v>
      </c>
      <c r="BM335" s="2">
        <f>VLOOKUP([jobnumber],OvalData[],MATCH(Table2[[#Headers],[Total Spring Weight]],Table2[#Headers],0),0)</f>
        <v>0</v>
      </c>
      <c r="BN335" s="2">
        <f>VLOOKUP([jobnumber],OvalData[],MATCH(Table2[[#Headers],[Pipe Weight]],Table2[#Headers],0),0)</f>
        <v>688.24239999999998</v>
      </c>
      <c r="BO335" s="2">
        <f>VLOOKUP([jobnumber],OvalData[],MATCH(Table2[[#Headers],[Max Pipe Deflection]],Table2[#Headers],0),0)</f>
        <v>2309</v>
      </c>
      <c r="BP335" s="2">
        <f>VLOOKUP([jobnumber],OvalData[],MATCH(Table2[[#Headers],[Number Non-Insulated Wrap Slats]],Table2[#Headers],0),0)</f>
        <v>0</v>
      </c>
      <c r="BQ335" s="2">
        <f>VLOOKUP([jobnumber],OvalData[],MATCH(Table2[[#Headers],[Number of Insolated Top Slats]],Table2[#Headers],0),0)</f>
        <v>45</v>
      </c>
      <c r="BR335" s="2">
        <f>VLOOKUP([jobnumber],OvalData[],MATCH(Table2[[#Headers],[Insolated Total Slats]],Table2[#Headers],0),0)</f>
        <v>45</v>
      </c>
      <c r="BS335" s="2">
        <f>VLOOKUP([jobnumber],OvalData[],MATCH(Table2[[#Headers],[Number of Slats]],Table2[#Headers],0),0)</f>
        <v>44.69</v>
      </c>
      <c r="BT335" s="2">
        <f>VLOOKUP([jobnumber],OvalData[],MATCH(Table2[[#Headers],[Wrap]],Table2[#Headers],0),0)</f>
        <v>0</v>
      </c>
      <c r="BU335" s="2">
        <f>VLOOKUP([jobnumber],OvalData[],MATCH(Table2[[#Headers],[Wall Angle Thickness]],Table2[#Headers],0),0)</f>
        <v>0</v>
      </c>
      <c r="BV335" s="2">
        <f>VLOOKUP([jobnumber],OvalData[],MATCH(Table2[[#Headers],[windlocks]],Table2[#Headers],0),0)</f>
        <v>0</v>
      </c>
      <c r="BW335" s="2" t="str">
        <f>VLOOKUP([jobnumber],OvalData[],MATCH(Table2[[#Headers],[bottombartype]],Table2[#Headers],0),0)</f>
        <v>SPECIAL</v>
      </c>
      <c r="BX335" s="2">
        <f>VLOOKUP([jobnumber],OvalData[],MATCH(Table2[[#Headers],[endlockweight]],Table2[#Headers],0),0)</f>
        <v>0.17</v>
      </c>
      <c r="BY335" s="2">
        <f>VLOOKUP([jobnumber],OvalData[],MATCH(Table2[[#Headers],[Endlock Total Weight]],Table2[#Headers],0),0)</f>
        <v>7.5972999999999997</v>
      </c>
      <c r="BZ335" s="2">
        <f>VLOOKUP([jobnumber],OvalData[],MATCH(Table2[[#Headers],[Grille Weight]],Table2[#Headers],0),0)</f>
        <v>0</v>
      </c>
      <c r="CA335" s="2">
        <f>VLOOKUP([jobnumber],OvalData[],MATCH(Table2[[#Headers],[barrelrings]],Table2[#Headers],0),0)</f>
        <v>1</v>
      </c>
    </row>
    <row r="336" spans="2:79">
      <c r="B336" s="2" t="str">
        <f>VLOOKUP([jobnumber],OvalData[],MATCH(Table2[[#Headers],[Hand]],Table2[#Headers],0),0)</f>
        <v>RH</v>
      </c>
      <c r="C336" s="2" t="str">
        <f>VLOOKUP([jobnumber],OvalData[],MATCH(Table2[[#Headers],[Model]],Table2[#Headers],0),0)</f>
        <v>SFMPP</v>
      </c>
      <c r="D336" s="2" t="str">
        <f>VLOOKUP([jobnumber],OvalData[],MATCH(Table2[[#Headers],[width]],Table2[#Headers],0),0)</f>
        <v xml:space="preserve"> 18 ft.- 2"</v>
      </c>
      <c r="E336" s="2" t="str">
        <f>VLOOKUP([jobnumber],OvalData[],MATCH(Table2[[#Headers],[stopheight]],Table2[#Headers],0),0)</f>
        <v xml:space="preserve"> 10 ft.- 0"</v>
      </c>
      <c r="F336" s="2" t="str">
        <f>VLOOKUP([jobnumber],OvalData[],MATCH(Table2[[#Headers],[Between Brackets]],Table2[#Headers],0),0)</f>
        <v xml:space="preserve"> 18 ft.- 7 7/ 8"</v>
      </c>
      <c r="G336" s="2" t="str">
        <f>VLOOKUP([jobnumber],OvalData[],MATCH(Table2[[#Headers],[shell]],Table2[#Headers],0),0)</f>
        <v>6 INCH TUBE</v>
      </c>
      <c r="H336" s="2" t="str">
        <f>VLOOKUP([jobnumber],OvalData[],MATCH(Table2[[#Headers],[pipewidth]],Table2[#Headers],0),0)</f>
        <v xml:space="preserve"> 18 ft.- 1 3/ 8"</v>
      </c>
      <c r="I336" s="2">
        <f>VLOOKUP([jobnumber],OvalData[],MATCH(Table2[[#Headers],[Support Tubes]],Table2[#Headers],0),0)</f>
        <v>0</v>
      </c>
      <c r="J336" s="2">
        <f>VLOOKUP([jobnumber],OvalData[],MATCH(Table2[[#Headers],[Upset]],Table2[#Headers],0),0)</f>
        <v>2</v>
      </c>
      <c r="K336" s="2" t="str">
        <f>VLOOKUP([jobnumber],OvalData[],MATCH(Table2[[#Headers],[Guide Type]],Table2[#Headers],0),0)</f>
        <v>SN2-4 5/8-E</v>
      </c>
      <c r="L336" s="2" t="str">
        <f>VLOOKUP([jobnumber],OvalData[],MATCH(Table2[[#Headers],[Wall Angle]],Table2[#Headers],0),0)</f>
        <v xml:space="preserve"> 11 ft.- 8"</v>
      </c>
      <c r="M336" s="2" t="str">
        <f>VLOOKUP([jobnumber],OvalData[],MATCH(Table2[[#Headers],[Middle Angle]],Table2[#Headers],0),0)</f>
        <v xml:space="preserve"> 10 ft.- 4 1/ 2"</v>
      </c>
      <c r="N336" s="2" t="str">
        <f>VLOOKUP([jobnumber],OvalData[],MATCH(Table2[[#Headers],[Front Angle]],Table2[#Headers],0),0)</f>
        <v xml:space="preserve"> 10 ft.- 3"</v>
      </c>
      <c r="O336" s="2">
        <f>VLOOKUP([jobnumber],OvalData[],MATCH(Table2[[#Headers],[Pipe Center Line]],Table2[#Headers],0),0)</f>
        <v>131</v>
      </c>
      <c r="P336" s="2">
        <f>VLOOKUP([jobnumber],OvalData[],MATCH(Table2[[#Headers],[Heat Expansion Gap]],Table2[#Headers],0),0)</f>
        <v>0</v>
      </c>
      <c r="Q336" s="2">
        <f>VLOOKUP([jobnumber],OvalData[],MATCH(Table2[[#Headers],[Hanging Weight Closed]],Table2[#Headers],0),0)</f>
        <v>795</v>
      </c>
      <c r="R336" s="2">
        <f>VLOOKUP([jobnumber],OvalData[],MATCH(Table2[[#Headers],[Hanging Weight Open]],Table2[#Headers],0),0)</f>
        <v>140</v>
      </c>
      <c r="S336" s="2">
        <f>VLOOKUP([jobnumber],OvalData[],MATCH(Table2[[#Headers],[Initial Lever Arm]],Table2[#Headers],0),0)</f>
        <v>4.25</v>
      </c>
      <c r="T336" s="2">
        <f>VLOOKUP([jobnumber],OvalData[],MATCH(Table2[[#Headers],[Turns to Raise]],Table2[#Headers],0),0)</f>
        <v>3.5859999999999999</v>
      </c>
      <c r="U336" s="2">
        <f>VLOOKUP([jobnumber],OvalData[],MATCH(Table2[[#Headers],[Final Lever Arm]],Table2[#Headers],0),0)</f>
        <v>6.37</v>
      </c>
      <c r="V336" s="2">
        <f>VLOOKUP([jobnumber],OvalData[],MATCH(Table2[[#Headers],[Torque Required Closed]],Table2[#Headers],0),0)</f>
        <v>3377.9</v>
      </c>
      <c r="W336" s="2">
        <f>VLOOKUP([jobnumber],OvalData[],MATCH(Table2[[#Headers],[Torque Required Open]],Table2[#Headers],0),0)</f>
        <v>892</v>
      </c>
      <c r="X336" s="2">
        <f>VLOOKUP([jobnumber],OvalData[],MATCH(Table2[[#Headers],[Pre Turns]],Table2[#Headers],0),0)</f>
        <v>1.3332999999999999</v>
      </c>
      <c r="Y336" s="2">
        <f>VLOOKUP([jobnumber],OvalData[],MATCH(Table2[[#Headers],[Required Torque Per Turn]],Table2[#Headers],0),0)</f>
        <v>688</v>
      </c>
      <c r="Z336" s="2">
        <f>VLOOKUP([jobnumber],OvalData[],MATCH(Table2[[#Headers],[Total Turns]],Table2[#Headers],0),0)</f>
        <v>4.91</v>
      </c>
      <c r="AA336" s="2">
        <f>VLOOKUP([jobnumber],OvalData[],MATCH(Table2[[#Headers],[Grille Vision Section]],Table2[#Headers],0),0)</f>
        <v>0</v>
      </c>
      <c r="AB336" s="2">
        <f>VLOOKUP([jobnumber],OvalData[],MATCH(Table2[[#Headers],[Grille Amount]],Table2[#Headers],0),0)</f>
        <v>0</v>
      </c>
      <c r="AC336" s="2">
        <f>VLOOKUP([jobnumber],OvalData[],MATCH(Table2[[#Headers],[Grille Center]],Table2[#Headers],0),0)</f>
        <v>0</v>
      </c>
      <c r="AD336" s="2">
        <f>VLOOKUP([jobnumber],OvalData[],MATCH(Table2[[#Headers],[Grille Pattern]],Table2[#Headers],0),0)</f>
        <v>0</v>
      </c>
      <c r="AE336" s="2">
        <f>VLOOKUP([jobnumber],OvalData[],MATCH(Table2[[#Headers],[Grille First Tube]],Table2[#Headers],0),0)</f>
        <v>0</v>
      </c>
      <c r="AF336" s="2">
        <f>VLOOKUP([jobnumber],OvalData[],MATCH(Table2[[#Headers],[Grille Standard Tube]],Table2[#Headers],0),0)</f>
        <v>0</v>
      </c>
      <c r="AG336" s="2">
        <f>VLOOKUP([jobnumber],OvalData[],MATCH(Table2[[#Headers],[Grille Total Links]],Table2[#Headers],0),0)</f>
        <v>0</v>
      </c>
      <c r="AH336" s="2">
        <f>VLOOKUP([jobnumber],OvalData[],MATCH(Table2[[#Headers],[Grille Rods]],Table2[#Headers],0),0)</f>
        <v>0</v>
      </c>
      <c r="AI336" s="2">
        <f>VLOOKUP([jobnumber],OvalData[],MATCH(Table2[[#Headers],[Grille Rod Length]],Table2[#Headers],0),0)</f>
        <v>0</v>
      </c>
      <c r="AJ336" s="2">
        <f>VLOOKUP([jobnumber],OvalData[],MATCH(Table2[[#Headers],[slattype]],Table2[#Headers],0),0)</f>
        <v>2</v>
      </c>
      <c r="AK336" s="2">
        <f>VLOOKUP([jobnumber],OvalData[],MATCH(Table2[[#Headers],[slatgage]],Table2[#Headers],0),0)</f>
        <v>18</v>
      </c>
      <c r="AL336" s="2">
        <f>VLOOKUP([jobnumber],OvalData[],MATCH(Table2[[#Headers],[Numer of Top Slats]],Table2[#Headers],0),0)</f>
        <v>0</v>
      </c>
      <c r="AM336" s="2">
        <f>VLOOKUP([jobnumber],OvalData[],MATCH(Table2[[#Headers],[Number of Bottom Slats]],Table2[#Headers],0),0)</f>
        <v>0</v>
      </c>
      <c r="AN336" s="2">
        <f>VLOOKUP([jobnumber],OvalData[],MATCH(Table2[[#Headers],[Solid Bottom Height]],Table2[#Headers],0),0)</f>
        <v>0</v>
      </c>
      <c r="AO336" s="2" t="str">
        <f>VLOOKUP([jobnumber],OvalData[],MATCH(Table2[[#Headers],[slatlength]],Table2[#Headers],0),0)</f>
        <v xml:space="preserve"> 18 ft.- 5 7/ 8"</v>
      </c>
      <c r="AP336" s="2">
        <f>VLOOKUP([jobnumber],OvalData[],MATCH(Table2[[#Headers],[Bottom Slat Length]],Table2[#Headers],0),0)</f>
        <v>0</v>
      </c>
      <c r="AQ336" s="2">
        <f>VLOOKUP([jobnumber],OvalData[],MATCH(Table2[[#Headers],[Number of Perferated Slats]],Table2[#Headers],0),0)</f>
        <v>0</v>
      </c>
      <c r="AR336" s="2">
        <f>VLOOKUP([jobnumber],OvalData[],MATCH(Table2[[#Headers],[First Preferated Slat From End]],Table2[#Headers],0),0)</f>
        <v>0</v>
      </c>
      <c r="AS336" s="2">
        <f>VLOOKUP([jobnumber],OvalData[],MATCH(Table2[[#Headers],[First Preferated Slat From Bottom]],Table2[#Headers],0),0)</f>
        <v>0</v>
      </c>
      <c r="AT336" s="2">
        <f>VLOOKUP([jobnumber],OvalData[],MATCH(Table2[[#Headers],[Total Number of Slats]],Table2[#Headers],0),0)</f>
        <v>51</v>
      </c>
      <c r="AU336" s="2">
        <f>VLOOKUP([jobnumber],OvalData[],MATCH(Table2[[#Headers],[Bottom Bar Slope]],Table2[#Headers],0),0)</f>
        <v>0</v>
      </c>
      <c r="AV336" s="2">
        <f>VLOOKUP([jobnumber],OvalData[],MATCH(Table2[[#Headers],[Bottom Bar Weight]],Table2[#Headers],0),0)</f>
        <v>80.5</v>
      </c>
      <c r="AW336" s="2" t="str">
        <f>VLOOKUP([jobnumber],OvalData[],MATCH(Table2[[#Headers],[Outer Spring Gage]],Table2[#Headers],0),0)</f>
        <v>Null</v>
      </c>
      <c r="AX336" s="2" t="str">
        <f>VLOOKUP([jobnumber],OvalData[],MATCH(Table2[[#Headers],[Outer Spring OD]],Table2[#Headers],0),0)</f>
        <v>Null</v>
      </c>
      <c r="AY336" s="2" t="str">
        <f>VLOOKUP([jobnumber],OvalData[],MATCH(Table2[[#Headers],[Outer Spring Length]],Table2[#Headers],0),0)</f>
        <v>Null</v>
      </c>
      <c r="AZ336" s="2" t="str">
        <f>VLOOKUP([jobnumber],OvalData[],MATCH(Table2[[#Headers],[Outer Spring Stretch]],Table2[#Headers],0),0)</f>
        <v>Null</v>
      </c>
      <c r="BA336" s="2" t="str">
        <f>VLOOKUP([jobnumber],OvalData[],MATCH(Table2[[#Headers],[Outer Spring Torque]],Table2[#Headers],0),0)</f>
        <v>Null</v>
      </c>
      <c r="BB336" s="2" t="str">
        <f>VLOOKUP([jobnumber],OvalData[],MATCH(Table2[[#Headers],[Outer Spring Max Turns]],Table2[#Headers],0),0)</f>
        <v>Null</v>
      </c>
      <c r="BC336" s="2" t="str">
        <f>VLOOKUP([jobnumber],OvalData[],MATCH(Table2[[#Headers],[Outer Spring Weight]],Table2[#Headers],0),0)</f>
        <v>Null</v>
      </c>
      <c r="BD336" s="2" t="str">
        <f>VLOOKUP([jobnumber],OvalData[],MATCH(Table2[[#Headers],[Inner Spring Gage]],Table2[#Headers],0),0)</f>
        <v>Null</v>
      </c>
      <c r="BE336" s="2" t="str">
        <f>VLOOKUP([jobnumber],OvalData[],MATCH(Table2[[#Headers],[Inner Spring OD]],Table2[#Headers],0),0)</f>
        <v>Null</v>
      </c>
      <c r="BF336" s="2" t="str">
        <f>VLOOKUP([jobnumber],OvalData[],MATCH(Table2[[#Headers],[Inner Spring Length]],Table2[#Headers],0),0)</f>
        <v>Null</v>
      </c>
      <c r="BG336" s="2" t="str">
        <f>VLOOKUP([jobnumber],OvalData[],MATCH(Table2[[#Headers],[Inner Spring Stretch]],Table2[#Headers],0),0)</f>
        <v>Null</v>
      </c>
      <c r="BH336" s="2" t="str">
        <f>VLOOKUP([jobnumber],OvalData[],MATCH(Table2[[#Headers],[Inner Spring Torque]],Table2[#Headers],0),0)</f>
        <v>Null</v>
      </c>
      <c r="BI336" s="2" t="str">
        <f>VLOOKUP([jobnumber],OvalData[],MATCH(Table2[[#Headers],[Inner Spring Max Turns]],Table2[#Headers],0),0)</f>
        <v>Null</v>
      </c>
      <c r="BJ336" s="2" t="str">
        <f>VLOOKUP([jobnumber],OvalData[],MATCH(Table2[[#Headers],[Inner Spring Weight]],Table2[#Headers],0),0)</f>
        <v>Null</v>
      </c>
      <c r="BK336" s="2">
        <f>VLOOKUP([jobnumber],OvalData[],MATCH(Table2[[#Headers],[Cycles]],Table2[#Headers],0),0)</f>
        <v>0</v>
      </c>
      <c r="BL336" s="2">
        <f>VLOOKUP([jobnumber],OvalData[],MATCH(Table2[[#Headers],[Total Spring Torque]],Table2[#Headers],0),0)</f>
        <v>0</v>
      </c>
      <c r="BM336" s="2">
        <f>VLOOKUP([jobnumber],OvalData[],MATCH(Table2[[#Headers],[Total Spring Weight]],Table2[#Headers],0),0)</f>
        <v>0</v>
      </c>
      <c r="BN336" s="2">
        <f>VLOOKUP([jobnumber],OvalData[],MATCH(Table2[[#Headers],[Pipe Weight]],Table2[#Headers],0),0)</f>
        <v>688.24239999999998</v>
      </c>
      <c r="BO336" s="2">
        <f>VLOOKUP([jobnumber],OvalData[],MATCH(Table2[[#Headers],[Max Pipe Deflection]],Table2[#Headers],0),0)</f>
        <v>2309</v>
      </c>
      <c r="BP336" s="2">
        <f>VLOOKUP([jobnumber],OvalData[],MATCH(Table2[[#Headers],[Number Non-Insulated Wrap Slats]],Table2[#Headers],0),0)</f>
        <v>0</v>
      </c>
      <c r="BQ336" s="2">
        <f>VLOOKUP([jobnumber],OvalData[],MATCH(Table2[[#Headers],[Number of Insolated Top Slats]],Table2[#Headers],0),0)</f>
        <v>45</v>
      </c>
      <c r="BR336" s="2">
        <f>VLOOKUP([jobnumber],OvalData[],MATCH(Table2[[#Headers],[Insolated Total Slats]],Table2[#Headers],0),0)</f>
        <v>45</v>
      </c>
      <c r="BS336" s="2">
        <f>VLOOKUP([jobnumber],OvalData[],MATCH(Table2[[#Headers],[Number of Slats]],Table2[#Headers],0),0)</f>
        <v>44.69</v>
      </c>
      <c r="BT336" s="2">
        <f>VLOOKUP([jobnumber],OvalData[],MATCH(Table2[[#Headers],[Wrap]],Table2[#Headers],0),0)</f>
        <v>0</v>
      </c>
      <c r="BU336" s="2">
        <f>VLOOKUP([jobnumber],OvalData[],MATCH(Table2[[#Headers],[Wall Angle Thickness]],Table2[#Headers],0),0)</f>
        <v>0</v>
      </c>
      <c r="BV336" s="2">
        <f>VLOOKUP([jobnumber],OvalData[],MATCH(Table2[[#Headers],[windlocks]],Table2[#Headers],0),0)</f>
        <v>0</v>
      </c>
      <c r="BW336" s="2" t="str">
        <f>VLOOKUP([jobnumber],OvalData[],MATCH(Table2[[#Headers],[bottombartype]],Table2[#Headers],0),0)</f>
        <v>SPECIAL</v>
      </c>
      <c r="BX336" s="2">
        <f>VLOOKUP([jobnumber],OvalData[],MATCH(Table2[[#Headers],[endlockweight]],Table2[#Headers],0),0)</f>
        <v>0.17</v>
      </c>
      <c r="BY336" s="2">
        <f>VLOOKUP([jobnumber],OvalData[],MATCH(Table2[[#Headers],[Endlock Total Weight]],Table2[#Headers],0),0)</f>
        <v>7.5972999999999997</v>
      </c>
      <c r="BZ336" s="2">
        <f>VLOOKUP([jobnumber],OvalData[],MATCH(Table2[[#Headers],[Grille Weight]],Table2[#Headers],0),0)</f>
        <v>0</v>
      </c>
      <c r="CA336" s="2">
        <f>VLOOKUP([jobnumber],OvalData[],MATCH(Table2[[#Headers],[barrelrings]],Table2[#Headers],0),0)</f>
        <v>1</v>
      </c>
    </row>
    <row r="337" spans="2:79">
      <c r="B337" s="2" t="str">
        <f>VLOOKUP([jobnumber],OvalData[],MATCH(Table2[[#Headers],[Hand]],Table2[#Headers],0),0)</f>
        <v>RH</v>
      </c>
      <c r="C337" s="2" t="str">
        <f>VLOOKUP([jobnumber],OvalData[],MATCH(Table2[[#Headers],[Model]],Table2[#Headers],0),0)</f>
        <v>SFMPP</v>
      </c>
      <c r="D337" s="2" t="str">
        <f>VLOOKUP([jobnumber],OvalData[],MATCH(Table2[[#Headers],[width]],Table2[#Headers],0),0)</f>
        <v xml:space="preserve"> 18 ft.- 2"</v>
      </c>
      <c r="E337" s="2" t="str">
        <f>VLOOKUP([jobnumber],OvalData[],MATCH(Table2[[#Headers],[stopheight]],Table2[#Headers],0),0)</f>
        <v xml:space="preserve"> 10 ft.- 0"</v>
      </c>
      <c r="F337" s="2" t="str">
        <f>VLOOKUP([jobnumber],OvalData[],MATCH(Table2[[#Headers],[Between Brackets]],Table2[#Headers],0),0)</f>
        <v xml:space="preserve"> 18 ft.- 7 7/ 8"</v>
      </c>
      <c r="G337" s="2" t="str">
        <f>VLOOKUP([jobnumber],OvalData[],MATCH(Table2[[#Headers],[shell]],Table2[#Headers],0),0)</f>
        <v>6 INCH TUBE</v>
      </c>
      <c r="H337" s="2" t="str">
        <f>VLOOKUP([jobnumber],OvalData[],MATCH(Table2[[#Headers],[pipewidth]],Table2[#Headers],0),0)</f>
        <v xml:space="preserve"> 18 ft.- 1 3/ 8"</v>
      </c>
      <c r="I337" s="2">
        <f>VLOOKUP([jobnumber],OvalData[],MATCH(Table2[[#Headers],[Support Tubes]],Table2[#Headers],0),0)</f>
        <v>0</v>
      </c>
      <c r="J337" s="2">
        <f>VLOOKUP([jobnumber],OvalData[],MATCH(Table2[[#Headers],[Upset]],Table2[#Headers],0),0)</f>
        <v>2</v>
      </c>
      <c r="K337" s="2" t="str">
        <f>VLOOKUP([jobnumber],OvalData[],MATCH(Table2[[#Headers],[Guide Type]],Table2[#Headers],0),0)</f>
        <v>SN2-4 5/8-E</v>
      </c>
      <c r="L337" s="2" t="str">
        <f>VLOOKUP([jobnumber],OvalData[],MATCH(Table2[[#Headers],[Wall Angle]],Table2[#Headers],0),0)</f>
        <v xml:space="preserve"> 11 ft.- 8"</v>
      </c>
      <c r="M337" s="2" t="str">
        <f>VLOOKUP([jobnumber],OvalData[],MATCH(Table2[[#Headers],[Middle Angle]],Table2[#Headers],0),0)</f>
        <v xml:space="preserve"> 10 ft.- 4 1/ 2"</v>
      </c>
      <c r="N337" s="2" t="str">
        <f>VLOOKUP([jobnumber],OvalData[],MATCH(Table2[[#Headers],[Front Angle]],Table2[#Headers],0),0)</f>
        <v xml:space="preserve"> 10 ft.- 3"</v>
      </c>
      <c r="O337" s="2">
        <f>VLOOKUP([jobnumber],OvalData[],MATCH(Table2[[#Headers],[Pipe Center Line]],Table2[#Headers],0),0)</f>
        <v>131</v>
      </c>
      <c r="P337" s="2">
        <f>VLOOKUP([jobnumber],OvalData[],MATCH(Table2[[#Headers],[Heat Expansion Gap]],Table2[#Headers],0),0)</f>
        <v>0</v>
      </c>
      <c r="Q337" s="2">
        <f>VLOOKUP([jobnumber],OvalData[],MATCH(Table2[[#Headers],[Hanging Weight Closed]],Table2[#Headers],0),0)</f>
        <v>795</v>
      </c>
      <c r="R337" s="2">
        <f>VLOOKUP([jobnumber],OvalData[],MATCH(Table2[[#Headers],[Hanging Weight Open]],Table2[#Headers],0),0)</f>
        <v>140</v>
      </c>
      <c r="S337" s="2">
        <f>VLOOKUP([jobnumber],OvalData[],MATCH(Table2[[#Headers],[Initial Lever Arm]],Table2[#Headers],0),0)</f>
        <v>4.25</v>
      </c>
      <c r="T337" s="2">
        <f>VLOOKUP([jobnumber],OvalData[],MATCH(Table2[[#Headers],[Turns to Raise]],Table2[#Headers],0),0)</f>
        <v>3.5859999999999999</v>
      </c>
      <c r="U337" s="2">
        <f>VLOOKUP([jobnumber],OvalData[],MATCH(Table2[[#Headers],[Final Lever Arm]],Table2[#Headers],0),0)</f>
        <v>6.37</v>
      </c>
      <c r="V337" s="2">
        <f>VLOOKUP([jobnumber],OvalData[],MATCH(Table2[[#Headers],[Torque Required Closed]],Table2[#Headers],0),0)</f>
        <v>3377.9</v>
      </c>
      <c r="W337" s="2">
        <f>VLOOKUP([jobnumber],OvalData[],MATCH(Table2[[#Headers],[Torque Required Open]],Table2[#Headers],0),0)</f>
        <v>892</v>
      </c>
      <c r="X337" s="2">
        <f>VLOOKUP([jobnumber],OvalData[],MATCH(Table2[[#Headers],[Pre Turns]],Table2[#Headers],0),0)</f>
        <v>1.3332999999999999</v>
      </c>
      <c r="Y337" s="2">
        <f>VLOOKUP([jobnumber],OvalData[],MATCH(Table2[[#Headers],[Required Torque Per Turn]],Table2[#Headers],0),0)</f>
        <v>688</v>
      </c>
      <c r="Z337" s="2">
        <f>VLOOKUP([jobnumber],OvalData[],MATCH(Table2[[#Headers],[Total Turns]],Table2[#Headers],0),0)</f>
        <v>4.91</v>
      </c>
      <c r="AA337" s="2">
        <f>VLOOKUP([jobnumber],OvalData[],MATCH(Table2[[#Headers],[Grille Vision Section]],Table2[#Headers],0),0)</f>
        <v>0</v>
      </c>
      <c r="AB337" s="2">
        <f>VLOOKUP([jobnumber],OvalData[],MATCH(Table2[[#Headers],[Grille Amount]],Table2[#Headers],0),0)</f>
        <v>0</v>
      </c>
      <c r="AC337" s="2">
        <f>VLOOKUP([jobnumber],OvalData[],MATCH(Table2[[#Headers],[Grille Center]],Table2[#Headers],0),0)</f>
        <v>0</v>
      </c>
      <c r="AD337" s="2">
        <f>VLOOKUP([jobnumber],OvalData[],MATCH(Table2[[#Headers],[Grille Pattern]],Table2[#Headers],0),0)</f>
        <v>0</v>
      </c>
      <c r="AE337" s="2">
        <f>VLOOKUP([jobnumber],OvalData[],MATCH(Table2[[#Headers],[Grille First Tube]],Table2[#Headers],0),0)</f>
        <v>0</v>
      </c>
      <c r="AF337" s="2">
        <f>VLOOKUP([jobnumber],OvalData[],MATCH(Table2[[#Headers],[Grille Standard Tube]],Table2[#Headers],0),0)</f>
        <v>0</v>
      </c>
      <c r="AG337" s="2">
        <f>VLOOKUP([jobnumber],OvalData[],MATCH(Table2[[#Headers],[Grille Total Links]],Table2[#Headers],0),0)</f>
        <v>0</v>
      </c>
      <c r="AH337" s="2">
        <f>VLOOKUP([jobnumber],OvalData[],MATCH(Table2[[#Headers],[Grille Rods]],Table2[#Headers],0),0)</f>
        <v>0</v>
      </c>
      <c r="AI337" s="2">
        <f>VLOOKUP([jobnumber],OvalData[],MATCH(Table2[[#Headers],[Grille Rod Length]],Table2[#Headers],0),0)</f>
        <v>0</v>
      </c>
      <c r="AJ337" s="2">
        <f>VLOOKUP([jobnumber],OvalData[],MATCH(Table2[[#Headers],[slattype]],Table2[#Headers],0),0)</f>
        <v>2</v>
      </c>
      <c r="AK337" s="2">
        <f>VLOOKUP([jobnumber],OvalData[],MATCH(Table2[[#Headers],[slatgage]],Table2[#Headers],0),0)</f>
        <v>18</v>
      </c>
      <c r="AL337" s="2">
        <f>VLOOKUP([jobnumber],OvalData[],MATCH(Table2[[#Headers],[Numer of Top Slats]],Table2[#Headers],0),0)</f>
        <v>0</v>
      </c>
      <c r="AM337" s="2">
        <f>VLOOKUP([jobnumber],OvalData[],MATCH(Table2[[#Headers],[Number of Bottom Slats]],Table2[#Headers],0),0)</f>
        <v>0</v>
      </c>
      <c r="AN337" s="2">
        <f>VLOOKUP([jobnumber],OvalData[],MATCH(Table2[[#Headers],[Solid Bottom Height]],Table2[#Headers],0),0)</f>
        <v>0</v>
      </c>
      <c r="AO337" s="2" t="str">
        <f>VLOOKUP([jobnumber],OvalData[],MATCH(Table2[[#Headers],[slatlength]],Table2[#Headers],0),0)</f>
        <v xml:space="preserve"> 18 ft.- 5 7/ 8"</v>
      </c>
      <c r="AP337" s="2">
        <f>VLOOKUP([jobnumber],OvalData[],MATCH(Table2[[#Headers],[Bottom Slat Length]],Table2[#Headers],0),0)</f>
        <v>0</v>
      </c>
      <c r="AQ337" s="2">
        <f>VLOOKUP([jobnumber],OvalData[],MATCH(Table2[[#Headers],[Number of Perferated Slats]],Table2[#Headers],0),0)</f>
        <v>0</v>
      </c>
      <c r="AR337" s="2">
        <f>VLOOKUP([jobnumber],OvalData[],MATCH(Table2[[#Headers],[First Preferated Slat From End]],Table2[#Headers],0),0)</f>
        <v>0</v>
      </c>
      <c r="AS337" s="2">
        <f>VLOOKUP([jobnumber],OvalData[],MATCH(Table2[[#Headers],[First Preferated Slat From Bottom]],Table2[#Headers],0),0)</f>
        <v>0</v>
      </c>
      <c r="AT337" s="2">
        <f>VLOOKUP([jobnumber],OvalData[],MATCH(Table2[[#Headers],[Total Number of Slats]],Table2[#Headers],0),0)</f>
        <v>51</v>
      </c>
      <c r="AU337" s="2">
        <f>VLOOKUP([jobnumber],OvalData[],MATCH(Table2[[#Headers],[Bottom Bar Slope]],Table2[#Headers],0),0)</f>
        <v>0</v>
      </c>
      <c r="AV337" s="2">
        <f>VLOOKUP([jobnumber],OvalData[],MATCH(Table2[[#Headers],[Bottom Bar Weight]],Table2[#Headers],0),0)</f>
        <v>80.5</v>
      </c>
      <c r="AW337" s="2" t="str">
        <f>VLOOKUP([jobnumber],OvalData[],MATCH(Table2[[#Headers],[Outer Spring Gage]],Table2[#Headers],0),0)</f>
        <v>Null</v>
      </c>
      <c r="AX337" s="2" t="str">
        <f>VLOOKUP([jobnumber],OvalData[],MATCH(Table2[[#Headers],[Outer Spring OD]],Table2[#Headers],0),0)</f>
        <v>Null</v>
      </c>
      <c r="AY337" s="2" t="str">
        <f>VLOOKUP([jobnumber],OvalData[],MATCH(Table2[[#Headers],[Outer Spring Length]],Table2[#Headers],0),0)</f>
        <v>Null</v>
      </c>
      <c r="AZ337" s="2" t="str">
        <f>VLOOKUP([jobnumber],OvalData[],MATCH(Table2[[#Headers],[Outer Spring Stretch]],Table2[#Headers],0),0)</f>
        <v>Null</v>
      </c>
      <c r="BA337" s="2" t="str">
        <f>VLOOKUP([jobnumber],OvalData[],MATCH(Table2[[#Headers],[Outer Spring Torque]],Table2[#Headers],0),0)</f>
        <v>Null</v>
      </c>
      <c r="BB337" s="2" t="str">
        <f>VLOOKUP([jobnumber],OvalData[],MATCH(Table2[[#Headers],[Outer Spring Max Turns]],Table2[#Headers],0),0)</f>
        <v>Null</v>
      </c>
      <c r="BC337" s="2" t="str">
        <f>VLOOKUP([jobnumber],OvalData[],MATCH(Table2[[#Headers],[Outer Spring Weight]],Table2[#Headers],0),0)</f>
        <v>Null</v>
      </c>
      <c r="BD337" s="2" t="str">
        <f>VLOOKUP([jobnumber],OvalData[],MATCH(Table2[[#Headers],[Inner Spring Gage]],Table2[#Headers],0),0)</f>
        <v>Null</v>
      </c>
      <c r="BE337" s="2" t="str">
        <f>VLOOKUP([jobnumber],OvalData[],MATCH(Table2[[#Headers],[Inner Spring OD]],Table2[#Headers],0),0)</f>
        <v>Null</v>
      </c>
      <c r="BF337" s="2" t="str">
        <f>VLOOKUP([jobnumber],OvalData[],MATCH(Table2[[#Headers],[Inner Spring Length]],Table2[#Headers],0),0)</f>
        <v>Null</v>
      </c>
      <c r="BG337" s="2" t="str">
        <f>VLOOKUP([jobnumber],OvalData[],MATCH(Table2[[#Headers],[Inner Spring Stretch]],Table2[#Headers],0),0)</f>
        <v>Null</v>
      </c>
      <c r="BH337" s="2" t="str">
        <f>VLOOKUP([jobnumber],OvalData[],MATCH(Table2[[#Headers],[Inner Spring Torque]],Table2[#Headers],0),0)</f>
        <v>Null</v>
      </c>
      <c r="BI337" s="2" t="str">
        <f>VLOOKUP([jobnumber],OvalData[],MATCH(Table2[[#Headers],[Inner Spring Max Turns]],Table2[#Headers],0),0)</f>
        <v>Null</v>
      </c>
      <c r="BJ337" s="2" t="str">
        <f>VLOOKUP([jobnumber],OvalData[],MATCH(Table2[[#Headers],[Inner Spring Weight]],Table2[#Headers],0),0)</f>
        <v>Null</v>
      </c>
      <c r="BK337" s="2">
        <f>VLOOKUP([jobnumber],OvalData[],MATCH(Table2[[#Headers],[Cycles]],Table2[#Headers],0),0)</f>
        <v>0</v>
      </c>
      <c r="BL337" s="2">
        <f>VLOOKUP([jobnumber],OvalData[],MATCH(Table2[[#Headers],[Total Spring Torque]],Table2[#Headers],0),0)</f>
        <v>0</v>
      </c>
      <c r="BM337" s="2">
        <f>VLOOKUP([jobnumber],OvalData[],MATCH(Table2[[#Headers],[Total Spring Weight]],Table2[#Headers],0),0)</f>
        <v>0</v>
      </c>
      <c r="BN337" s="2">
        <f>VLOOKUP([jobnumber],OvalData[],MATCH(Table2[[#Headers],[Pipe Weight]],Table2[#Headers],0),0)</f>
        <v>688.24239999999998</v>
      </c>
      <c r="BO337" s="2">
        <f>VLOOKUP([jobnumber],OvalData[],MATCH(Table2[[#Headers],[Max Pipe Deflection]],Table2[#Headers],0),0)</f>
        <v>2309</v>
      </c>
      <c r="BP337" s="2">
        <f>VLOOKUP([jobnumber],OvalData[],MATCH(Table2[[#Headers],[Number Non-Insulated Wrap Slats]],Table2[#Headers],0),0)</f>
        <v>0</v>
      </c>
      <c r="BQ337" s="2">
        <f>VLOOKUP([jobnumber],OvalData[],MATCH(Table2[[#Headers],[Number of Insolated Top Slats]],Table2[#Headers],0),0)</f>
        <v>45</v>
      </c>
      <c r="BR337" s="2">
        <f>VLOOKUP([jobnumber],OvalData[],MATCH(Table2[[#Headers],[Insolated Total Slats]],Table2[#Headers],0),0)</f>
        <v>45</v>
      </c>
      <c r="BS337" s="2">
        <f>VLOOKUP([jobnumber],OvalData[],MATCH(Table2[[#Headers],[Number of Slats]],Table2[#Headers],0),0)</f>
        <v>44.69</v>
      </c>
      <c r="BT337" s="2">
        <f>VLOOKUP([jobnumber],OvalData[],MATCH(Table2[[#Headers],[Wrap]],Table2[#Headers],0),0)</f>
        <v>0</v>
      </c>
      <c r="BU337" s="2">
        <f>VLOOKUP([jobnumber],OvalData[],MATCH(Table2[[#Headers],[Wall Angle Thickness]],Table2[#Headers],0),0)</f>
        <v>0</v>
      </c>
      <c r="BV337" s="2">
        <f>VLOOKUP([jobnumber],OvalData[],MATCH(Table2[[#Headers],[windlocks]],Table2[#Headers],0),0)</f>
        <v>0</v>
      </c>
      <c r="BW337" s="2" t="str">
        <f>VLOOKUP([jobnumber],OvalData[],MATCH(Table2[[#Headers],[bottombartype]],Table2[#Headers],0),0)</f>
        <v>SPECIAL</v>
      </c>
      <c r="BX337" s="2">
        <f>VLOOKUP([jobnumber],OvalData[],MATCH(Table2[[#Headers],[endlockweight]],Table2[#Headers],0),0)</f>
        <v>0.17</v>
      </c>
      <c r="BY337" s="2">
        <f>VLOOKUP([jobnumber],OvalData[],MATCH(Table2[[#Headers],[Endlock Total Weight]],Table2[#Headers],0),0)</f>
        <v>7.5972999999999997</v>
      </c>
      <c r="BZ337" s="2">
        <f>VLOOKUP([jobnumber],OvalData[],MATCH(Table2[[#Headers],[Grille Weight]],Table2[#Headers],0),0)</f>
        <v>0</v>
      </c>
      <c r="CA337" s="2">
        <f>VLOOKUP([jobnumber],OvalData[],MATCH(Table2[[#Headers],[barrelrings]],Table2[#Headers],0),0)</f>
        <v>1</v>
      </c>
    </row>
    <row r="338" spans="2:79">
      <c r="B338" s="2" t="str">
        <f>VLOOKUP([jobnumber],OvalData[],MATCH(Table2[[#Headers],[Hand]],Table2[#Headers],0),0)</f>
        <v>RH</v>
      </c>
      <c r="C338" s="2" t="str">
        <f>VLOOKUP([jobnumber],OvalData[],MATCH(Table2[[#Headers],[Model]],Table2[#Headers],0),0)</f>
        <v>SFMPP</v>
      </c>
      <c r="D338" s="2" t="str">
        <f>VLOOKUP([jobnumber],OvalData[],MATCH(Table2[[#Headers],[width]],Table2[#Headers],0),0)</f>
        <v xml:space="preserve"> 18 ft.- 2"</v>
      </c>
      <c r="E338" s="2" t="str">
        <f>VLOOKUP([jobnumber],OvalData[],MATCH(Table2[[#Headers],[stopheight]],Table2[#Headers],0),0)</f>
        <v xml:space="preserve"> 10 ft.- 0"</v>
      </c>
      <c r="F338" s="2" t="str">
        <f>VLOOKUP([jobnumber],OvalData[],MATCH(Table2[[#Headers],[Between Brackets]],Table2[#Headers],0),0)</f>
        <v xml:space="preserve"> 18 ft.- 7 7/ 8"</v>
      </c>
      <c r="G338" s="2" t="str">
        <f>VLOOKUP([jobnumber],OvalData[],MATCH(Table2[[#Headers],[shell]],Table2[#Headers],0),0)</f>
        <v>6 INCH TUBE</v>
      </c>
      <c r="H338" s="2" t="str">
        <f>VLOOKUP([jobnumber],OvalData[],MATCH(Table2[[#Headers],[pipewidth]],Table2[#Headers],0),0)</f>
        <v xml:space="preserve"> 18 ft.- 1 3/ 8"</v>
      </c>
      <c r="I338" s="2">
        <f>VLOOKUP([jobnumber],OvalData[],MATCH(Table2[[#Headers],[Support Tubes]],Table2[#Headers],0),0)</f>
        <v>0</v>
      </c>
      <c r="J338" s="2">
        <f>VLOOKUP([jobnumber],OvalData[],MATCH(Table2[[#Headers],[Upset]],Table2[#Headers],0),0)</f>
        <v>2</v>
      </c>
      <c r="K338" s="2" t="str">
        <f>VLOOKUP([jobnumber],OvalData[],MATCH(Table2[[#Headers],[Guide Type]],Table2[#Headers],0),0)</f>
        <v>SN2-4 5/8-E</v>
      </c>
      <c r="L338" s="2" t="str">
        <f>VLOOKUP([jobnumber],OvalData[],MATCH(Table2[[#Headers],[Wall Angle]],Table2[#Headers],0),0)</f>
        <v xml:space="preserve"> 11 ft.- 8"</v>
      </c>
      <c r="M338" s="2" t="str">
        <f>VLOOKUP([jobnumber],OvalData[],MATCH(Table2[[#Headers],[Middle Angle]],Table2[#Headers],0),0)</f>
        <v xml:space="preserve"> 10 ft.- 4 1/ 2"</v>
      </c>
      <c r="N338" s="2" t="str">
        <f>VLOOKUP([jobnumber],OvalData[],MATCH(Table2[[#Headers],[Front Angle]],Table2[#Headers],0),0)</f>
        <v xml:space="preserve"> 10 ft.- 3"</v>
      </c>
      <c r="O338" s="2">
        <f>VLOOKUP([jobnumber],OvalData[],MATCH(Table2[[#Headers],[Pipe Center Line]],Table2[#Headers],0),0)</f>
        <v>131</v>
      </c>
      <c r="P338" s="2">
        <f>VLOOKUP([jobnumber],OvalData[],MATCH(Table2[[#Headers],[Heat Expansion Gap]],Table2[#Headers],0),0)</f>
        <v>0</v>
      </c>
      <c r="Q338" s="2">
        <f>VLOOKUP([jobnumber],OvalData[],MATCH(Table2[[#Headers],[Hanging Weight Closed]],Table2[#Headers],0),0)</f>
        <v>795</v>
      </c>
      <c r="R338" s="2">
        <f>VLOOKUP([jobnumber],OvalData[],MATCH(Table2[[#Headers],[Hanging Weight Open]],Table2[#Headers],0),0)</f>
        <v>140</v>
      </c>
      <c r="S338" s="2">
        <f>VLOOKUP([jobnumber],OvalData[],MATCH(Table2[[#Headers],[Initial Lever Arm]],Table2[#Headers],0),0)</f>
        <v>4.25</v>
      </c>
      <c r="T338" s="2">
        <f>VLOOKUP([jobnumber],OvalData[],MATCH(Table2[[#Headers],[Turns to Raise]],Table2[#Headers],0),0)</f>
        <v>3.5859999999999999</v>
      </c>
      <c r="U338" s="2">
        <f>VLOOKUP([jobnumber],OvalData[],MATCH(Table2[[#Headers],[Final Lever Arm]],Table2[#Headers],0),0)</f>
        <v>6.37</v>
      </c>
      <c r="V338" s="2">
        <f>VLOOKUP([jobnumber],OvalData[],MATCH(Table2[[#Headers],[Torque Required Closed]],Table2[#Headers],0),0)</f>
        <v>3377.9</v>
      </c>
      <c r="W338" s="2">
        <f>VLOOKUP([jobnumber],OvalData[],MATCH(Table2[[#Headers],[Torque Required Open]],Table2[#Headers],0),0)</f>
        <v>892</v>
      </c>
      <c r="X338" s="2">
        <f>VLOOKUP([jobnumber],OvalData[],MATCH(Table2[[#Headers],[Pre Turns]],Table2[#Headers],0),0)</f>
        <v>1.3332999999999999</v>
      </c>
      <c r="Y338" s="2">
        <f>VLOOKUP([jobnumber],OvalData[],MATCH(Table2[[#Headers],[Required Torque Per Turn]],Table2[#Headers],0),0)</f>
        <v>688</v>
      </c>
      <c r="Z338" s="2">
        <f>VLOOKUP([jobnumber],OvalData[],MATCH(Table2[[#Headers],[Total Turns]],Table2[#Headers],0),0)</f>
        <v>4.91</v>
      </c>
      <c r="AA338" s="2">
        <f>VLOOKUP([jobnumber],OvalData[],MATCH(Table2[[#Headers],[Grille Vision Section]],Table2[#Headers],0),0)</f>
        <v>0</v>
      </c>
      <c r="AB338" s="2">
        <f>VLOOKUP([jobnumber],OvalData[],MATCH(Table2[[#Headers],[Grille Amount]],Table2[#Headers],0),0)</f>
        <v>0</v>
      </c>
      <c r="AC338" s="2">
        <f>VLOOKUP([jobnumber],OvalData[],MATCH(Table2[[#Headers],[Grille Center]],Table2[#Headers],0),0)</f>
        <v>0</v>
      </c>
      <c r="AD338" s="2">
        <f>VLOOKUP([jobnumber],OvalData[],MATCH(Table2[[#Headers],[Grille Pattern]],Table2[#Headers],0),0)</f>
        <v>0</v>
      </c>
      <c r="AE338" s="2">
        <f>VLOOKUP([jobnumber],OvalData[],MATCH(Table2[[#Headers],[Grille First Tube]],Table2[#Headers],0),0)</f>
        <v>0</v>
      </c>
      <c r="AF338" s="2">
        <f>VLOOKUP([jobnumber],OvalData[],MATCH(Table2[[#Headers],[Grille Standard Tube]],Table2[#Headers],0),0)</f>
        <v>0</v>
      </c>
      <c r="AG338" s="2">
        <f>VLOOKUP([jobnumber],OvalData[],MATCH(Table2[[#Headers],[Grille Total Links]],Table2[#Headers],0),0)</f>
        <v>0</v>
      </c>
      <c r="AH338" s="2">
        <f>VLOOKUP([jobnumber],OvalData[],MATCH(Table2[[#Headers],[Grille Rods]],Table2[#Headers],0),0)</f>
        <v>0</v>
      </c>
      <c r="AI338" s="2">
        <f>VLOOKUP([jobnumber],OvalData[],MATCH(Table2[[#Headers],[Grille Rod Length]],Table2[#Headers],0),0)</f>
        <v>0</v>
      </c>
      <c r="AJ338" s="2">
        <f>VLOOKUP([jobnumber],OvalData[],MATCH(Table2[[#Headers],[slattype]],Table2[#Headers],0),0)</f>
        <v>2</v>
      </c>
      <c r="AK338" s="2">
        <f>VLOOKUP([jobnumber],OvalData[],MATCH(Table2[[#Headers],[slatgage]],Table2[#Headers],0),0)</f>
        <v>18</v>
      </c>
      <c r="AL338" s="2">
        <f>VLOOKUP([jobnumber],OvalData[],MATCH(Table2[[#Headers],[Numer of Top Slats]],Table2[#Headers],0),0)</f>
        <v>0</v>
      </c>
      <c r="AM338" s="2">
        <f>VLOOKUP([jobnumber],OvalData[],MATCH(Table2[[#Headers],[Number of Bottom Slats]],Table2[#Headers],0),0)</f>
        <v>0</v>
      </c>
      <c r="AN338" s="2">
        <f>VLOOKUP([jobnumber],OvalData[],MATCH(Table2[[#Headers],[Solid Bottom Height]],Table2[#Headers],0),0)</f>
        <v>0</v>
      </c>
      <c r="AO338" s="2" t="str">
        <f>VLOOKUP([jobnumber],OvalData[],MATCH(Table2[[#Headers],[slatlength]],Table2[#Headers],0),0)</f>
        <v xml:space="preserve"> 18 ft.- 5 7/ 8"</v>
      </c>
      <c r="AP338" s="2">
        <f>VLOOKUP([jobnumber],OvalData[],MATCH(Table2[[#Headers],[Bottom Slat Length]],Table2[#Headers],0),0)</f>
        <v>0</v>
      </c>
      <c r="AQ338" s="2">
        <f>VLOOKUP([jobnumber],OvalData[],MATCH(Table2[[#Headers],[Number of Perferated Slats]],Table2[#Headers],0),0)</f>
        <v>0</v>
      </c>
      <c r="AR338" s="2">
        <f>VLOOKUP([jobnumber],OvalData[],MATCH(Table2[[#Headers],[First Preferated Slat From End]],Table2[#Headers],0),0)</f>
        <v>0</v>
      </c>
      <c r="AS338" s="2">
        <f>VLOOKUP([jobnumber],OvalData[],MATCH(Table2[[#Headers],[First Preferated Slat From Bottom]],Table2[#Headers],0),0)</f>
        <v>0</v>
      </c>
      <c r="AT338" s="2">
        <f>VLOOKUP([jobnumber],OvalData[],MATCH(Table2[[#Headers],[Total Number of Slats]],Table2[#Headers],0),0)</f>
        <v>51</v>
      </c>
      <c r="AU338" s="2">
        <f>VLOOKUP([jobnumber],OvalData[],MATCH(Table2[[#Headers],[Bottom Bar Slope]],Table2[#Headers],0),0)</f>
        <v>0</v>
      </c>
      <c r="AV338" s="2">
        <f>VLOOKUP([jobnumber],OvalData[],MATCH(Table2[[#Headers],[Bottom Bar Weight]],Table2[#Headers],0),0)</f>
        <v>80.5</v>
      </c>
      <c r="AW338" s="2" t="str">
        <f>VLOOKUP([jobnumber],OvalData[],MATCH(Table2[[#Headers],[Outer Spring Gage]],Table2[#Headers],0),0)</f>
        <v>Null</v>
      </c>
      <c r="AX338" s="2" t="str">
        <f>VLOOKUP([jobnumber],OvalData[],MATCH(Table2[[#Headers],[Outer Spring OD]],Table2[#Headers],0),0)</f>
        <v>Null</v>
      </c>
      <c r="AY338" s="2" t="str">
        <f>VLOOKUP([jobnumber],OvalData[],MATCH(Table2[[#Headers],[Outer Spring Length]],Table2[#Headers],0),0)</f>
        <v>Null</v>
      </c>
      <c r="AZ338" s="2" t="str">
        <f>VLOOKUP([jobnumber],OvalData[],MATCH(Table2[[#Headers],[Outer Spring Stretch]],Table2[#Headers],0),0)</f>
        <v>Null</v>
      </c>
      <c r="BA338" s="2" t="str">
        <f>VLOOKUP([jobnumber],OvalData[],MATCH(Table2[[#Headers],[Outer Spring Torque]],Table2[#Headers],0),0)</f>
        <v>Null</v>
      </c>
      <c r="BB338" s="2" t="str">
        <f>VLOOKUP([jobnumber],OvalData[],MATCH(Table2[[#Headers],[Outer Spring Max Turns]],Table2[#Headers],0),0)</f>
        <v>Null</v>
      </c>
      <c r="BC338" s="2" t="str">
        <f>VLOOKUP([jobnumber],OvalData[],MATCH(Table2[[#Headers],[Outer Spring Weight]],Table2[#Headers],0),0)</f>
        <v>Null</v>
      </c>
      <c r="BD338" s="2" t="str">
        <f>VLOOKUP([jobnumber],OvalData[],MATCH(Table2[[#Headers],[Inner Spring Gage]],Table2[#Headers],0),0)</f>
        <v>Null</v>
      </c>
      <c r="BE338" s="2" t="str">
        <f>VLOOKUP([jobnumber],OvalData[],MATCH(Table2[[#Headers],[Inner Spring OD]],Table2[#Headers],0),0)</f>
        <v>Null</v>
      </c>
      <c r="BF338" s="2" t="str">
        <f>VLOOKUP([jobnumber],OvalData[],MATCH(Table2[[#Headers],[Inner Spring Length]],Table2[#Headers],0),0)</f>
        <v>Null</v>
      </c>
      <c r="BG338" s="2" t="str">
        <f>VLOOKUP([jobnumber],OvalData[],MATCH(Table2[[#Headers],[Inner Spring Stretch]],Table2[#Headers],0),0)</f>
        <v>Null</v>
      </c>
      <c r="BH338" s="2" t="str">
        <f>VLOOKUP([jobnumber],OvalData[],MATCH(Table2[[#Headers],[Inner Spring Torque]],Table2[#Headers],0),0)</f>
        <v>Null</v>
      </c>
      <c r="BI338" s="2" t="str">
        <f>VLOOKUP([jobnumber],OvalData[],MATCH(Table2[[#Headers],[Inner Spring Max Turns]],Table2[#Headers],0),0)</f>
        <v>Null</v>
      </c>
      <c r="BJ338" s="2" t="str">
        <f>VLOOKUP([jobnumber],OvalData[],MATCH(Table2[[#Headers],[Inner Spring Weight]],Table2[#Headers],0),0)</f>
        <v>Null</v>
      </c>
      <c r="BK338" s="2">
        <f>VLOOKUP([jobnumber],OvalData[],MATCH(Table2[[#Headers],[Cycles]],Table2[#Headers],0),0)</f>
        <v>0</v>
      </c>
      <c r="BL338" s="2">
        <f>VLOOKUP([jobnumber],OvalData[],MATCH(Table2[[#Headers],[Total Spring Torque]],Table2[#Headers],0),0)</f>
        <v>0</v>
      </c>
      <c r="BM338" s="2">
        <f>VLOOKUP([jobnumber],OvalData[],MATCH(Table2[[#Headers],[Total Spring Weight]],Table2[#Headers],0),0)</f>
        <v>0</v>
      </c>
      <c r="BN338" s="2">
        <f>VLOOKUP([jobnumber],OvalData[],MATCH(Table2[[#Headers],[Pipe Weight]],Table2[#Headers],0),0)</f>
        <v>688.24239999999998</v>
      </c>
      <c r="BO338" s="2">
        <f>VLOOKUP([jobnumber],OvalData[],MATCH(Table2[[#Headers],[Max Pipe Deflection]],Table2[#Headers],0),0)</f>
        <v>2309</v>
      </c>
      <c r="BP338" s="2">
        <f>VLOOKUP([jobnumber],OvalData[],MATCH(Table2[[#Headers],[Number Non-Insulated Wrap Slats]],Table2[#Headers],0),0)</f>
        <v>0</v>
      </c>
      <c r="BQ338" s="2">
        <f>VLOOKUP([jobnumber],OvalData[],MATCH(Table2[[#Headers],[Number of Insolated Top Slats]],Table2[#Headers],0),0)</f>
        <v>45</v>
      </c>
      <c r="BR338" s="2">
        <f>VLOOKUP([jobnumber],OvalData[],MATCH(Table2[[#Headers],[Insolated Total Slats]],Table2[#Headers],0),0)</f>
        <v>45</v>
      </c>
      <c r="BS338" s="2">
        <f>VLOOKUP([jobnumber],OvalData[],MATCH(Table2[[#Headers],[Number of Slats]],Table2[#Headers],0),0)</f>
        <v>44.69</v>
      </c>
      <c r="BT338" s="2">
        <f>VLOOKUP([jobnumber],OvalData[],MATCH(Table2[[#Headers],[Wrap]],Table2[#Headers],0),0)</f>
        <v>0</v>
      </c>
      <c r="BU338" s="2">
        <f>VLOOKUP([jobnumber],OvalData[],MATCH(Table2[[#Headers],[Wall Angle Thickness]],Table2[#Headers],0),0)</f>
        <v>0</v>
      </c>
      <c r="BV338" s="2">
        <f>VLOOKUP([jobnumber],OvalData[],MATCH(Table2[[#Headers],[windlocks]],Table2[#Headers],0),0)</f>
        <v>0</v>
      </c>
      <c r="BW338" s="2" t="str">
        <f>VLOOKUP([jobnumber],OvalData[],MATCH(Table2[[#Headers],[bottombartype]],Table2[#Headers],0),0)</f>
        <v>SPECIAL</v>
      </c>
      <c r="BX338" s="2">
        <f>VLOOKUP([jobnumber],OvalData[],MATCH(Table2[[#Headers],[endlockweight]],Table2[#Headers],0),0)</f>
        <v>0.17</v>
      </c>
      <c r="BY338" s="2">
        <f>VLOOKUP([jobnumber],OvalData[],MATCH(Table2[[#Headers],[Endlock Total Weight]],Table2[#Headers],0),0)</f>
        <v>7.5972999999999997</v>
      </c>
      <c r="BZ338" s="2">
        <f>VLOOKUP([jobnumber],OvalData[],MATCH(Table2[[#Headers],[Grille Weight]],Table2[#Headers],0),0)</f>
        <v>0</v>
      </c>
      <c r="CA338" s="2">
        <f>VLOOKUP([jobnumber],OvalData[],MATCH(Table2[[#Headers],[barrelrings]],Table2[#Headers],0),0)</f>
        <v>1</v>
      </c>
    </row>
    <row r="339" spans="2:79">
      <c r="B339" s="2" t="str">
        <f>VLOOKUP([jobnumber],OvalData[],MATCH(Table2[[#Headers],[Hand]],Table2[#Headers],0),0)</f>
        <v>RH</v>
      </c>
      <c r="C339" s="2" t="str">
        <f>VLOOKUP([jobnumber],OvalData[],MATCH(Table2[[#Headers],[Model]],Table2[#Headers],0),0)</f>
        <v>SFMPP</v>
      </c>
      <c r="D339" s="2" t="str">
        <f>VLOOKUP([jobnumber],OvalData[],MATCH(Table2[[#Headers],[width]],Table2[#Headers],0),0)</f>
        <v xml:space="preserve"> 18 ft.- 2"</v>
      </c>
      <c r="E339" s="2" t="str">
        <f>VLOOKUP([jobnumber],OvalData[],MATCH(Table2[[#Headers],[stopheight]],Table2[#Headers],0),0)</f>
        <v xml:space="preserve"> 10 ft.- 0"</v>
      </c>
      <c r="F339" s="2" t="str">
        <f>VLOOKUP([jobnumber],OvalData[],MATCH(Table2[[#Headers],[Between Brackets]],Table2[#Headers],0),0)</f>
        <v xml:space="preserve"> 18 ft.- 7 7/ 8"</v>
      </c>
      <c r="G339" s="2" t="str">
        <f>VLOOKUP([jobnumber],OvalData[],MATCH(Table2[[#Headers],[shell]],Table2[#Headers],0),0)</f>
        <v>6 INCH TUBE</v>
      </c>
      <c r="H339" s="2" t="str">
        <f>VLOOKUP([jobnumber],OvalData[],MATCH(Table2[[#Headers],[pipewidth]],Table2[#Headers],0),0)</f>
        <v xml:space="preserve"> 18 ft.- 1 3/ 8"</v>
      </c>
      <c r="I339" s="2">
        <f>VLOOKUP([jobnumber],OvalData[],MATCH(Table2[[#Headers],[Support Tubes]],Table2[#Headers],0),0)</f>
        <v>0</v>
      </c>
      <c r="J339" s="2">
        <f>VLOOKUP([jobnumber],OvalData[],MATCH(Table2[[#Headers],[Upset]],Table2[#Headers],0),0)</f>
        <v>2</v>
      </c>
      <c r="K339" s="2" t="str">
        <f>VLOOKUP([jobnumber],OvalData[],MATCH(Table2[[#Headers],[Guide Type]],Table2[#Headers],0),0)</f>
        <v>SN2-4 5/8-E</v>
      </c>
      <c r="L339" s="2" t="str">
        <f>VLOOKUP([jobnumber],OvalData[],MATCH(Table2[[#Headers],[Wall Angle]],Table2[#Headers],0),0)</f>
        <v xml:space="preserve"> 11 ft.- 8"</v>
      </c>
      <c r="M339" s="2" t="str">
        <f>VLOOKUP([jobnumber],OvalData[],MATCH(Table2[[#Headers],[Middle Angle]],Table2[#Headers],0),0)</f>
        <v xml:space="preserve"> 10 ft.- 4 1/ 2"</v>
      </c>
      <c r="N339" s="2" t="str">
        <f>VLOOKUP([jobnumber],OvalData[],MATCH(Table2[[#Headers],[Front Angle]],Table2[#Headers],0),0)</f>
        <v xml:space="preserve"> 10 ft.- 3"</v>
      </c>
      <c r="O339" s="2">
        <f>VLOOKUP([jobnumber],OvalData[],MATCH(Table2[[#Headers],[Pipe Center Line]],Table2[#Headers],0),0)</f>
        <v>131</v>
      </c>
      <c r="P339" s="2">
        <f>VLOOKUP([jobnumber],OvalData[],MATCH(Table2[[#Headers],[Heat Expansion Gap]],Table2[#Headers],0),0)</f>
        <v>0</v>
      </c>
      <c r="Q339" s="2">
        <f>VLOOKUP([jobnumber],OvalData[],MATCH(Table2[[#Headers],[Hanging Weight Closed]],Table2[#Headers],0),0)</f>
        <v>795</v>
      </c>
      <c r="R339" s="2">
        <f>VLOOKUP([jobnumber],OvalData[],MATCH(Table2[[#Headers],[Hanging Weight Open]],Table2[#Headers],0),0)</f>
        <v>140</v>
      </c>
      <c r="S339" s="2">
        <f>VLOOKUP([jobnumber],OvalData[],MATCH(Table2[[#Headers],[Initial Lever Arm]],Table2[#Headers],0),0)</f>
        <v>4.25</v>
      </c>
      <c r="T339" s="2">
        <f>VLOOKUP([jobnumber],OvalData[],MATCH(Table2[[#Headers],[Turns to Raise]],Table2[#Headers],0),0)</f>
        <v>3.5859999999999999</v>
      </c>
      <c r="U339" s="2">
        <f>VLOOKUP([jobnumber],OvalData[],MATCH(Table2[[#Headers],[Final Lever Arm]],Table2[#Headers],0),0)</f>
        <v>6.37</v>
      </c>
      <c r="V339" s="2">
        <f>VLOOKUP([jobnumber],OvalData[],MATCH(Table2[[#Headers],[Torque Required Closed]],Table2[#Headers],0),0)</f>
        <v>3377.9</v>
      </c>
      <c r="W339" s="2">
        <f>VLOOKUP([jobnumber],OvalData[],MATCH(Table2[[#Headers],[Torque Required Open]],Table2[#Headers],0),0)</f>
        <v>892</v>
      </c>
      <c r="X339" s="2">
        <f>VLOOKUP([jobnumber],OvalData[],MATCH(Table2[[#Headers],[Pre Turns]],Table2[#Headers],0),0)</f>
        <v>1.3332999999999999</v>
      </c>
      <c r="Y339" s="2">
        <f>VLOOKUP([jobnumber],OvalData[],MATCH(Table2[[#Headers],[Required Torque Per Turn]],Table2[#Headers],0),0)</f>
        <v>688</v>
      </c>
      <c r="Z339" s="2">
        <f>VLOOKUP([jobnumber],OvalData[],MATCH(Table2[[#Headers],[Total Turns]],Table2[#Headers],0),0)</f>
        <v>4.91</v>
      </c>
      <c r="AA339" s="2">
        <f>VLOOKUP([jobnumber],OvalData[],MATCH(Table2[[#Headers],[Grille Vision Section]],Table2[#Headers],0),0)</f>
        <v>0</v>
      </c>
      <c r="AB339" s="2">
        <f>VLOOKUP([jobnumber],OvalData[],MATCH(Table2[[#Headers],[Grille Amount]],Table2[#Headers],0),0)</f>
        <v>0</v>
      </c>
      <c r="AC339" s="2">
        <f>VLOOKUP([jobnumber],OvalData[],MATCH(Table2[[#Headers],[Grille Center]],Table2[#Headers],0),0)</f>
        <v>0</v>
      </c>
      <c r="AD339" s="2">
        <f>VLOOKUP([jobnumber],OvalData[],MATCH(Table2[[#Headers],[Grille Pattern]],Table2[#Headers],0),0)</f>
        <v>0</v>
      </c>
      <c r="AE339" s="2">
        <f>VLOOKUP([jobnumber],OvalData[],MATCH(Table2[[#Headers],[Grille First Tube]],Table2[#Headers],0),0)</f>
        <v>0</v>
      </c>
      <c r="AF339" s="2">
        <f>VLOOKUP([jobnumber],OvalData[],MATCH(Table2[[#Headers],[Grille Standard Tube]],Table2[#Headers],0),0)</f>
        <v>0</v>
      </c>
      <c r="AG339" s="2">
        <f>VLOOKUP([jobnumber],OvalData[],MATCH(Table2[[#Headers],[Grille Total Links]],Table2[#Headers],0),0)</f>
        <v>0</v>
      </c>
      <c r="AH339" s="2">
        <f>VLOOKUP([jobnumber],OvalData[],MATCH(Table2[[#Headers],[Grille Rods]],Table2[#Headers],0),0)</f>
        <v>0</v>
      </c>
      <c r="AI339" s="2">
        <f>VLOOKUP([jobnumber],OvalData[],MATCH(Table2[[#Headers],[Grille Rod Length]],Table2[#Headers],0),0)</f>
        <v>0</v>
      </c>
      <c r="AJ339" s="2">
        <f>VLOOKUP([jobnumber],OvalData[],MATCH(Table2[[#Headers],[slattype]],Table2[#Headers],0),0)</f>
        <v>2</v>
      </c>
      <c r="AK339" s="2">
        <f>VLOOKUP([jobnumber],OvalData[],MATCH(Table2[[#Headers],[slatgage]],Table2[#Headers],0),0)</f>
        <v>18</v>
      </c>
      <c r="AL339" s="2">
        <f>VLOOKUP([jobnumber],OvalData[],MATCH(Table2[[#Headers],[Numer of Top Slats]],Table2[#Headers],0),0)</f>
        <v>0</v>
      </c>
      <c r="AM339" s="2">
        <f>VLOOKUP([jobnumber],OvalData[],MATCH(Table2[[#Headers],[Number of Bottom Slats]],Table2[#Headers],0),0)</f>
        <v>0</v>
      </c>
      <c r="AN339" s="2">
        <f>VLOOKUP([jobnumber],OvalData[],MATCH(Table2[[#Headers],[Solid Bottom Height]],Table2[#Headers],0),0)</f>
        <v>0</v>
      </c>
      <c r="AO339" s="2" t="str">
        <f>VLOOKUP([jobnumber],OvalData[],MATCH(Table2[[#Headers],[slatlength]],Table2[#Headers],0),0)</f>
        <v xml:space="preserve"> 18 ft.- 5 7/ 8"</v>
      </c>
      <c r="AP339" s="2">
        <f>VLOOKUP([jobnumber],OvalData[],MATCH(Table2[[#Headers],[Bottom Slat Length]],Table2[#Headers],0),0)</f>
        <v>0</v>
      </c>
      <c r="AQ339" s="2">
        <f>VLOOKUP([jobnumber],OvalData[],MATCH(Table2[[#Headers],[Number of Perferated Slats]],Table2[#Headers],0),0)</f>
        <v>0</v>
      </c>
      <c r="AR339" s="2">
        <f>VLOOKUP([jobnumber],OvalData[],MATCH(Table2[[#Headers],[First Preferated Slat From End]],Table2[#Headers],0),0)</f>
        <v>0</v>
      </c>
      <c r="AS339" s="2">
        <f>VLOOKUP([jobnumber],OvalData[],MATCH(Table2[[#Headers],[First Preferated Slat From Bottom]],Table2[#Headers],0),0)</f>
        <v>0</v>
      </c>
      <c r="AT339" s="2">
        <f>VLOOKUP([jobnumber],OvalData[],MATCH(Table2[[#Headers],[Total Number of Slats]],Table2[#Headers],0),0)</f>
        <v>51</v>
      </c>
      <c r="AU339" s="2">
        <f>VLOOKUP([jobnumber],OvalData[],MATCH(Table2[[#Headers],[Bottom Bar Slope]],Table2[#Headers],0),0)</f>
        <v>0</v>
      </c>
      <c r="AV339" s="2">
        <f>VLOOKUP([jobnumber],OvalData[],MATCH(Table2[[#Headers],[Bottom Bar Weight]],Table2[#Headers],0),0)</f>
        <v>80.5</v>
      </c>
      <c r="AW339" s="2" t="str">
        <f>VLOOKUP([jobnumber],OvalData[],MATCH(Table2[[#Headers],[Outer Spring Gage]],Table2[#Headers],0),0)</f>
        <v>Null</v>
      </c>
      <c r="AX339" s="2" t="str">
        <f>VLOOKUP([jobnumber],OvalData[],MATCH(Table2[[#Headers],[Outer Spring OD]],Table2[#Headers],0),0)</f>
        <v>Null</v>
      </c>
      <c r="AY339" s="2" t="str">
        <f>VLOOKUP([jobnumber],OvalData[],MATCH(Table2[[#Headers],[Outer Spring Length]],Table2[#Headers],0),0)</f>
        <v>Null</v>
      </c>
      <c r="AZ339" s="2" t="str">
        <f>VLOOKUP([jobnumber],OvalData[],MATCH(Table2[[#Headers],[Outer Spring Stretch]],Table2[#Headers],0),0)</f>
        <v>Null</v>
      </c>
      <c r="BA339" s="2" t="str">
        <f>VLOOKUP([jobnumber],OvalData[],MATCH(Table2[[#Headers],[Outer Spring Torque]],Table2[#Headers],0),0)</f>
        <v>Null</v>
      </c>
      <c r="BB339" s="2" t="str">
        <f>VLOOKUP([jobnumber],OvalData[],MATCH(Table2[[#Headers],[Outer Spring Max Turns]],Table2[#Headers],0),0)</f>
        <v>Null</v>
      </c>
      <c r="BC339" s="2" t="str">
        <f>VLOOKUP([jobnumber],OvalData[],MATCH(Table2[[#Headers],[Outer Spring Weight]],Table2[#Headers],0),0)</f>
        <v>Null</v>
      </c>
      <c r="BD339" s="2" t="str">
        <f>VLOOKUP([jobnumber],OvalData[],MATCH(Table2[[#Headers],[Inner Spring Gage]],Table2[#Headers],0),0)</f>
        <v>Null</v>
      </c>
      <c r="BE339" s="2" t="str">
        <f>VLOOKUP([jobnumber],OvalData[],MATCH(Table2[[#Headers],[Inner Spring OD]],Table2[#Headers],0),0)</f>
        <v>Null</v>
      </c>
      <c r="BF339" s="2" t="str">
        <f>VLOOKUP([jobnumber],OvalData[],MATCH(Table2[[#Headers],[Inner Spring Length]],Table2[#Headers],0),0)</f>
        <v>Null</v>
      </c>
      <c r="BG339" s="2" t="str">
        <f>VLOOKUP([jobnumber],OvalData[],MATCH(Table2[[#Headers],[Inner Spring Stretch]],Table2[#Headers],0),0)</f>
        <v>Null</v>
      </c>
      <c r="BH339" s="2" t="str">
        <f>VLOOKUP([jobnumber],OvalData[],MATCH(Table2[[#Headers],[Inner Spring Torque]],Table2[#Headers],0),0)</f>
        <v>Null</v>
      </c>
      <c r="BI339" s="2" t="str">
        <f>VLOOKUP([jobnumber],OvalData[],MATCH(Table2[[#Headers],[Inner Spring Max Turns]],Table2[#Headers],0),0)</f>
        <v>Null</v>
      </c>
      <c r="BJ339" s="2" t="str">
        <f>VLOOKUP([jobnumber],OvalData[],MATCH(Table2[[#Headers],[Inner Spring Weight]],Table2[#Headers],0),0)</f>
        <v>Null</v>
      </c>
      <c r="BK339" s="2">
        <f>VLOOKUP([jobnumber],OvalData[],MATCH(Table2[[#Headers],[Cycles]],Table2[#Headers],0),0)</f>
        <v>0</v>
      </c>
      <c r="BL339" s="2">
        <f>VLOOKUP([jobnumber],OvalData[],MATCH(Table2[[#Headers],[Total Spring Torque]],Table2[#Headers],0),0)</f>
        <v>0</v>
      </c>
      <c r="BM339" s="2">
        <f>VLOOKUP([jobnumber],OvalData[],MATCH(Table2[[#Headers],[Total Spring Weight]],Table2[#Headers],0),0)</f>
        <v>0</v>
      </c>
      <c r="BN339" s="2">
        <f>VLOOKUP([jobnumber],OvalData[],MATCH(Table2[[#Headers],[Pipe Weight]],Table2[#Headers],0),0)</f>
        <v>688.24239999999998</v>
      </c>
      <c r="BO339" s="2">
        <f>VLOOKUP([jobnumber],OvalData[],MATCH(Table2[[#Headers],[Max Pipe Deflection]],Table2[#Headers],0),0)</f>
        <v>2309</v>
      </c>
      <c r="BP339" s="2">
        <f>VLOOKUP([jobnumber],OvalData[],MATCH(Table2[[#Headers],[Number Non-Insulated Wrap Slats]],Table2[#Headers],0),0)</f>
        <v>0</v>
      </c>
      <c r="BQ339" s="2">
        <f>VLOOKUP([jobnumber],OvalData[],MATCH(Table2[[#Headers],[Number of Insolated Top Slats]],Table2[#Headers],0),0)</f>
        <v>45</v>
      </c>
      <c r="BR339" s="2">
        <f>VLOOKUP([jobnumber],OvalData[],MATCH(Table2[[#Headers],[Insolated Total Slats]],Table2[#Headers],0),0)</f>
        <v>45</v>
      </c>
      <c r="BS339" s="2">
        <f>VLOOKUP([jobnumber],OvalData[],MATCH(Table2[[#Headers],[Number of Slats]],Table2[#Headers],0),0)</f>
        <v>44.69</v>
      </c>
      <c r="BT339" s="2">
        <f>VLOOKUP([jobnumber],OvalData[],MATCH(Table2[[#Headers],[Wrap]],Table2[#Headers],0),0)</f>
        <v>0</v>
      </c>
      <c r="BU339" s="2">
        <f>VLOOKUP([jobnumber],OvalData[],MATCH(Table2[[#Headers],[Wall Angle Thickness]],Table2[#Headers],0),0)</f>
        <v>0</v>
      </c>
      <c r="BV339" s="2">
        <f>VLOOKUP([jobnumber],OvalData[],MATCH(Table2[[#Headers],[windlocks]],Table2[#Headers],0),0)</f>
        <v>0</v>
      </c>
      <c r="BW339" s="2" t="str">
        <f>VLOOKUP([jobnumber],OvalData[],MATCH(Table2[[#Headers],[bottombartype]],Table2[#Headers],0),0)</f>
        <v>SPECIAL</v>
      </c>
      <c r="BX339" s="2">
        <f>VLOOKUP([jobnumber],OvalData[],MATCH(Table2[[#Headers],[endlockweight]],Table2[#Headers],0),0)</f>
        <v>0.17</v>
      </c>
      <c r="BY339" s="2">
        <f>VLOOKUP([jobnumber],OvalData[],MATCH(Table2[[#Headers],[Endlock Total Weight]],Table2[#Headers],0),0)</f>
        <v>7.5972999999999997</v>
      </c>
      <c r="BZ339" s="2">
        <f>VLOOKUP([jobnumber],OvalData[],MATCH(Table2[[#Headers],[Grille Weight]],Table2[#Headers],0),0)</f>
        <v>0</v>
      </c>
      <c r="CA339" s="2">
        <f>VLOOKUP([jobnumber],OvalData[],MATCH(Table2[[#Headers],[barrelrings]],Table2[#Headers],0),0)</f>
        <v>1</v>
      </c>
    </row>
    <row r="340" spans="2:79">
      <c r="B340" s="2" t="str">
        <f>VLOOKUP([jobnumber],OvalData[],MATCH(Table2[[#Headers],[Hand]],Table2[#Headers],0),0)</f>
        <v>RH</v>
      </c>
      <c r="C340" s="2" t="str">
        <f>VLOOKUP([jobnumber],OvalData[],MATCH(Table2[[#Headers],[Model]],Table2[#Headers],0),0)</f>
        <v>SFMPP</v>
      </c>
      <c r="D340" s="2" t="str">
        <f>VLOOKUP([jobnumber],OvalData[],MATCH(Table2[[#Headers],[width]],Table2[#Headers],0),0)</f>
        <v xml:space="preserve"> 18 ft.- 2"</v>
      </c>
      <c r="E340" s="2" t="str">
        <f>VLOOKUP([jobnumber],OvalData[],MATCH(Table2[[#Headers],[stopheight]],Table2[#Headers],0),0)</f>
        <v xml:space="preserve"> 10 ft.- 0"</v>
      </c>
      <c r="F340" s="2" t="str">
        <f>VLOOKUP([jobnumber],OvalData[],MATCH(Table2[[#Headers],[Between Brackets]],Table2[#Headers],0),0)</f>
        <v xml:space="preserve"> 18 ft.- 7 7/ 8"</v>
      </c>
      <c r="G340" s="2" t="str">
        <f>VLOOKUP([jobnumber],OvalData[],MATCH(Table2[[#Headers],[shell]],Table2[#Headers],0),0)</f>
        <v>6 INCH TUBE</v>
      </c>
      <c r="H340" s="2" t="str">
        <f>VLOOKUP([jobnumber],OvalData[],MATCH(Table2[[#Headers],[pipewidth]],Table2[#Headers],0),0)</f>
        <v xml:space="preserve"> 18 ft.- 1 3/ 8"</v>
      </c>
      <c r="I340" s="2">
        <f>VLOOKUP([jobnumber],OvalData[],MATCH(Table2[[#Headers],[Support Tubes]],Table2[#Headers],0),0)</f>
        <v>0</v>
      </c>
      <c r="J340" s="2">
        <f>VLOOKUP([jobnumber],OvalData[],MATCH(Table2[[#Headers],[Upset]],Table2[#Headers],0),0)</f>
        <v>2</v>
      </c>
      <c r="K340" s="2" t="str">
        <f>VLOOKUP([jobnumber],OvalData[],MATCH(Table2[[#Headers],[Guide Type]],Table2[#Headers],0),0)</f>
        <v>SN2-4 5/8-E</v>
      </c>
      <c r="L340" s="2" t="str">
        <f>VLOOKUP([jobnumber],OvalData[],MATCH(Table2[[#Headers],[Wall Angle]],Table2[#Headers],0),0)</f>
        <v xml:space="preserve"> 11 ft.- 8"</v>
      </c>
      <c r="M340" s="2" t="str">
        <f>VLOOKUP([jobnumber],OvalData[],MATCH(Table2[[#Headers],[Middle Angle]],Table2[#Headers],0),0)</f>
        <v xml:space="preserve"> 10 ft.- 4 1/ 2"</v>
      </c>
      <c r="N340" s="2" t="str">
        <f>VLOOKUP([jobnumber],OvalData[],MATCH(Table2[[#Headers],[Front Angle]],Table2[#Headers],0),0)</f>
        <v xml:space="preserve"> 10 ft.- 3"</v>
      </c>
      <c r="O340" s="2">
        <f>VLOOKUP([jobnumber],OvalData[],MATCH(Table2[[#Headers],[Pipe Center Line]],Table2[#Headers],0),0)</f>
        <v>131</v>
      </c>
      <c r="P340" s="2">
        <f>VLOOKUP([jobnumber],OvalData[],MATCH(Table2[[#Headers],[Heat Expansion Gap]],Table2[#Headers],0),0)</f>
        <v>0</v>
      </c>
      <c r="Q340" s="2">
        <f>VLOOKUP([jobnumber],OvalData[],MATCH(Table2[[#Headers],[Hanging Weight Closed]],Table2[#Headers],0),0)</f>
        <v>795</v>
      </c>
      <c r="R340" s="2">
        <f>VLOOKUP([jobnumber],OvalData[],MATCH(Table2[[#Headers],[Hanging Weight Open]],Table2[#Headers],0),0)</f>
        <v>140</v>
      </c>
      <c r="S340" s="2">
        <f>VLOOKUP([jobnumber],OvalData[],MATCH(Table2[[#Headers],[Initial Lever Arm]],Table2[#Headers],0),0)</f>
        <v>4.25</v>
      </c>
      <c r="T340" s="2">
        <f>VLOOKUP([jobnumber],OvalData[],MATCH(Table2[[#Headers],[Turns to Raise]],Table2[#Headers],0),0)</f>
        <v>3.5859999999999999</v>
      </c>
      <c r="U340" s="2">
        <f>VLOOKUP([jobnumber],OvalData[],MATCH(Table2[[#Headers],[Final Lever Arm]],Table2[#Headers],0),0)</f>
        <v>6.37</v>
      </c>
      <c r="V340" s="2">
        <f>VLOOKUP([jobnumber],OvalData[],MATCH(Table2[[#Headers],[Torque Required Closed]],Table2[#Headers],0),0)</f>
        <v>3377.9</v>
      </c>
      <c r="W340" s="2">
        <f>VLOOKUP([jobnumber],OvalData[],MATCH(Table2[[#Headers],[Torque Required Open]],Table2[#Headers],0),0)</f>
        <v>892</v>
      </c>
      <c r="X340" s="2">
        <f>VLOOKUP([jobnumber],OvalData[],MATCH(Table2[[#Headers],[Pre Turns]],Table2[#Headers],0),0)</f>
        <v>1.3332999999999999</v>
      </c>
      <c r="Y340" s="2">
        <f>VLOOKUP([jobnumber],OvalData[],MATCH(Table2[[#Headers],[Required Torque Per Turn]],Table2[#Headers],0),0)</f>
        <v>688</v>
      </c>
      <c r="Z340" s="2">
        <f>VLOOKUP([jobnumber],OvalData[],MATCH(Table2[[#Headers],[Total Turns]],Table2[#Headers],0),0)</f>
        <v>4.91</v>
      </c>
      <c r="AA340" s="2">
        <f>VLOOKUP([jobnumber],OvalData[],MATCH(Table2[[#Headers],[Grille Vision Section]],Table2[#Headers],0),0)</f>
        <v>0</v>
      </c>
      <c r="AB340" s="2">
        <f>VLOOKUP([jobnumber],OvalData[],MATCH(Table2[[#Headers],[Grille Amount]],Table2[#Headers],0),0)</f>
        <v>0</v>
      </c>
      <c r="AC340" s="2">
        <f>VLOOKUP([jobnumber],OvalData[],MATCH(Table2[[#Headers],[Grille Center]],Table2[#Headers],0),0)</f>
        <v>0</v>
      </c>
      <c r="AD340" s="2">
        <f>VLOOKUP([jobnumber],OvalData[],MATCH(Table2[[#Headers],[Grille Pattern]],Table2[#Headers],0),0)</f>
        <v>0</v>
      </c>
      <c r="AE340" s="2">
        <f>VLOOKUP([jobnumber],OvalData[],MATCH(Table2[[#Headers],[Grille First Tube]],Table2[#Headers],0),0)</f>
        <v>0</v>
      </c>
      <c r="AF340" s="2">
        <f>VLOOKUP([jobnumber],OvalData[],MATCH(Table2[[#Headers],[Grille Standard Tube]],Table2[#Headers],0),0)</f>
        <v>0</v>
      </c>
      <c r="AG340" s="2">
        <f>VLOOKUP([jobnumber],OvalData[],MATCH(Table2[[#Headers],[Grille Total Links]],Table2[#Headers],0),0)</f>
        <v>0</v>
      </c>
      <c r="AH340" s="2">
        <f>VLOOKUP([jobnumber],OvalData[],MATCH(Table2[[#Headers],[Grille Rods]],Table2[#Headers],0),0)</f>
        <v>0</v>
      </c>
      <c r="AI340" s="2">
        <f>VLOOKUP([jobnumber],OvalData[],MATCH(Table2[[#Headers],[Grille Rod Length]],Table2[#Headers],0),0)</f>
        <v>0</v>
      </c>
      <c r="AJ340" s="2">
        <f>VLOOKUP([jobnumber],OvalData[],MATCH(Table2[[#Headers],[slattype]],Table2[#Headers],0),0)</f>
        <v>2</v>
      </c>
      <c r="AK340" s="2">
        <f>VLOOKUP([jobnumber],OvalData[],MATCH(Table2[[#Headers],[slatgage]],Table2[#Headers],0),0)</f>
        <v>18</v>
      </c>
      <c r="AL340" s="2">
        <f>VLOOKUP([jobnumber],OvalData[],MATCH(Table2[[#Headers],[Numer of Top Slats]],Table2[#Headers],0),0)</f>
        <v>0</v>
      </c>
      <c r="AM340" s="2">
        <f>VLOOKUP([jobnumber],OvalData[],MATCH(Table2[[#Headers],[Number of Bottom Slats]],Table2[#Headers],0),0)</f>
        <v>0</v>
      </c>
      <c r="AN340" s="2">
        <f>VLOOKUP([jobnumber],OvalData[],MATCH(Table2[[#Headers],[Solid Bottom Height]],Table2[#Headers],0),0)</f>
        <v>0</v>
      </c>
      <c r="AO340" s="2" t="str">
        <f>VLOOKUP([jobnumber],OvalData[],MATCH(Table2[[#Headers],[slatlength]],Table2[#Headers],0),0)</f>
        <v xml:space="preserve"> 18 ft.- 5 7/ 8"</v>
      </c>
      <c r="AP340" s="2">
        <f>VLOOKUP([jobnumber],OvalData[],MATCH(Table2[[#Headers],[Bottom Slat Length]],Table2[#Headers],0),0)</f>
        <v>0</v>
      </c>
      <c r="AQ340" s="2">
        <f>VLOOKUP([jobnumber],OvalData[],MATCH(Table2[[#Headers],[Number of Perferated Slats]],Table2[#Headers],0),0)</f>
        <v>0</v>
      </c>
      <c r="AR340" s="2">
        <f>VLOOKUP([jobnumber],OvalData[],MATCH(Table2[[#Headers],[First Preferated Slat From End]],Table2[#Headers],0),0)</f>
        <v>0</v>
      </c>
      <c r="AS340" s="2">
        <f>VLOOKUP([jobnumber],OvalData[],MATCH(Table2[[#Headers],[First Preferated Slat From Bottom]],Table2[#Headers],0),0)</f>
        <v>0</v>
      </c>
      <c r="AT340" s="2">
        <f>VLOOKUP([jobnumber],OvalData[],MATCH(Table2[[#Headers],[Total Number of Slats]],Table2[#Headers],0),0)</f>
        <v>51</v>
      </c>
      <c r="AU340" s="2">
        <f>VLOOKUP([jobnumber],OvalData[],MATCH(Table2[[#Headers],[Bottom Bar Slope]],Table2[#Headers],0),0)</f>
        <v>0</v>
      </c>
      <c r="AV340" s="2">
        <f>VLOOKUP([jobnumber],OvalData[],MATCH(Table2[[#Headers],[Bottom Bar Weight]],Table2[#Headers],0),0)</f>
        <v>80.5</v>
      </c>
      <c r="AW340" s="2" t="str">
        <f>VLOOKUP([jobnumber],OvalData[],MATCH(Table2[[#Headers],[Outer Spring Gage]],Table2[#Headers],0),0)</f>
        <v>Null</v>
      </c>
      <c r="AX340" s="2" t="str">
        <f>VLOOKUP([jobnumber],OvalData[],MATCH(Table2[[#Headers],[Outer Spring OD]],Table2[#Headers],0),0)</f>
        <v>Null</v>
      </c>
      <c r="AY340" s="2" t="str">
        <f>VLOOKUP([jobnumber],OvalData[],MATCH(Table2[[#Headers],[Outer Spring Length]],Table2[#Headers],0),0)</f>
        <v>Null</v>
      </c>
      <c r="AZ340" s="2" t="str">
        <f>VLOOKUP([jobnumber],OvalData[],MATCH(Table2[[#Headers],[Outer Spring Stretch]],Table2[#Headers],0),0)</f>
        <v>Null</v>
      </c>
      <c r="BA340" s="2" t="str">
        <f>VLOOKUP([jobnumber],OvalData[],MATCH(Table2[[#Headers],[Outer Spring Torque]],Table2[#Headers],0),0)</f>
        <v>Null</v>
      </c>
      <c r="BB340" s="2" t="str">
        <f>VLOOKUP([jobnumber],OvalData[],MATCH(Table2[[#Headers],[Outer Spring Max Turns]],Table2[#Headers],0),0)</f>
        <v>Null</v>
      </c>
      <c r="BC340" s="2" t="str">
        <f>VLOOKUP([jobnumber],OvalData[],MATCH(Table2[[#Headers],[Outer Spring Weight]],Table2[#Headers],0),0)</f>
        <v>Null</v>
      </c>
      <c r="BD340" s="2" t="str">
        <f>VLOOKUP([jobnumber],OvalData[],MATCH(Table2[[#Headers],[Inner Spring Gage]],Table2[#Headers],0),0)</f>
        <v>Null</v>
      </c>
      <c r="BE340" s="2" t="str">
        <f>VLOOKUP([jobnumber],OvalData[],MATCH(Table2[[#Headers],[Inner Spring OD]],Table2[#Headers],0),0)</f>
        <v>Null</v>
      </c>
      <c r="BF340" s="2" t="str">
        <f>VLOOKUP([jobnumber],OvalData[],MATCH(Table2[[#Headers],[Inner Spring Length]],Table2[#Headers],0),0)</f>
        <v>Null</v>
      </c>
      <c r="BG340" s="2" t="str">
        <f>VLOOKUP([jobnumber],OvalData[],MATCH(Table2[[#Headers],[Inner Spring Stretch]],Table2[#Headers],0),0)</f>
        <v>Null</v>
      </c>
      <c r="BH340" s="2" t="str">
        <f>VLOOKUP([jobnumber],OvalData[],MATCH(Table2[[#Headers],[Inner Spring Torque]],Table2[#Headers],0),0)</f>
        <v>Null</v>
      </c>
      <c r="BI340" s="2" t="str">
        <f>VLOOKUP([jobnumber],OvalData[],MATCH(Table2[[#Headers],[Inner Spring Max Turns]],Table2[#Headers],0),0)</f>
        <v>Null</v>
      </c>
      <c r="BJ340" s="2" t="str">
        <f>VLOOKUP([jobnumber],OvalData[],MATCH(Table2[[#Headers],[Inner Spring Weight]],Table2[#Headers],0),0)</f>
        <v>Null</v>
      </c>
      <c r="BK340" s="2">
        <f>VLOOKUP([jobnumber],OvalData[],MATCH(Table2[[#Headers],[Cycles]],Table2[#Headers],0),0)</f>
        <v>0</v>
      </c>
      <c r="BL340" s="2">
        <f>VLOOKUP([jobnumber],OvalData[],MATCH(Table2[[#Headers],[Total Spring Torque]],Table2[#Headers],0),0)</f>
        <v>0</v>
      </c>
      <c r="BM340" s="2">
        <f>VLOOKUP([jobnumber],OvalData[],MATCH(Table2[[#Headers],[Total Spring Weight]],Table2[#Headers],0),0)</f>
        <v>0</v>
      </c>
      <c r="BN340" s="2">
        <f>VLOOKUP([jobnumber],OvalData[],MATCH(Table2[[#Headers],[Pipe Weight]],Table2[#Headers],0),0)</f>
        <v>688.24239999999998</v>
      </c>
      <c r="BO340" s="2">
        <f>VLOOKUP([jobnumber],OvalData[],MATCH(Table2[[#Headers],[Max Pipe Deflection]],Table2[#Headers],0),0)</f>
        <v>2309</v>
      </c>
      <c r="BP340" s="2">
        <f>VLOOKUP([jobnumber],OvalData[],MATCH(Table2[[#Headers],[Number Non-Insulated Wrap Slats]],Table2[#Headers],0),0)</f>
        <v>0</v>
      </c>
      <c r="BQ340" s="2">
        <f>VLOOKUP([jobnumber],OvalData[],MATCH(Table2[[#Headers],[Number of Insolated Top Slats]],Table2[#Headers],0),0)</f>
        <v>45</v>
      </c>
      <c r="BR340" s="2">
        <f>VLOOKUP([jobnumber],OvalData[],MATCH(Table2[[#Headers],[Insolated Total Slats]],Table2[#Headers],0),0)</f>
        <v>45</v>
      </c>
      <c r="BS340" s="2">
        <f>VLOOKUP([jobnumber],OvalData[],MATCH(Table2[[#Headers],[Number of Slats]],Table2[#Headers],0),0)</f>
        <v>44.69</v>
      </c>
      <c r="BT340" s="2">
        <f>VLOOKUP([jobnumber],OvalData[],MATCH(Table2[[#Headers],[Wrap]],Table2[#Headers],0),0)</f>
        <v>0</v>
      </c>
      <c r="BU340" s="2">
        <f>VLOOKUP([jobnumber],OvalData[],MATCH(Table2[[#Headers],[Wall Angle Thickness]],Table2[#Headers],0),0)</f>
        <v>0</v>
      </c>
      <c r="BV340" s="2">
        <f>VLOOKUP([jobnumber],OvalData[],MATCH(Table2[[#Headers],[windlocks]],Table2[#Headers],0),0)</f>
        <v>0</v>
      </c>
      <c r="BW340" s="2" t="str">
        <f>VLOOKUP([jobnumber],OvalData[],MATCH(Table2[[#Headers],[bottombartype]],Table2[#Headers],0),0)</f>
        <v>SPECIAL</v>
      </c>
      <c r="BX340" s="2">
        <f>VLOOKUP([jobnumber],OvalData[],MATCH(Table2[[#Headers],[endlockweight]],Table2[#Headers],0),0)</f>
        <v>0.17</v>
      </c>
      <c r="BY340" s="2">
        <f>VLOOKUP([jobnumber],OvalData[],MATCH(Table2[[#Headers],[Endlock Total Weight]],Table2[#Headers],0),0)</f>
        <v>7.5972999999999997</v>
      </c>
      <c r="BZ340" s="2">
        <f>VLOOKUP([jobnumber],OvalData[],MATCH(Table2[[#Headers],[Grille Weight]],Table2[#Headers],0),0)</f>
        <v>0</v>
      </c>
      <c r="CA340" s="2">
        <f>VLOOKUP([jobnumber],OvalData[],MATCH(Table2[[#Headers],[barrelrings]],Table2[#Headers],0),0)</f>
        <v>1</v>
      </c>
    </row>
    <row r="341" spans="2:79">
      <c r="B341" s="2" t="str">
        <f>VLOOKUP([jobnumber],OvalData[],MATCH(Table2[[#Headers],[Hand]],Table2[#Headers],0),0)</f>
        <v>RH</v>
      </c>
      <c r="C341" s="2" t="str">
        <f>VLOOKUP([jobnumber],OvalData[],MATCH(Table2[[#Headers],[Model]],Table2[#Headers],0),0)</f>
        <v>SFMPP</v>
      </c>
      <c r="D341" s="2" t="str">
        <f>VLOOKUP([jobnumber],OvalData[],MATCH(Table2[[#Headers],[width]],Table2[#Headers],0),0)</f>
        <v xml:space="preserve"> 18 ft.- 2"</v>
      </c>
      <c r="E341" s="2" t="str">
        <f>VLOOKUP([jobnumber],OvalData[],MATCH(Table2[[#Headers],[stopheight]],Table2[#Headers],0),0)</f>
        <v xml:space="preserve"> 10 ft.- 0"</v>
      </c>
      <c r="F341" s="2" t="str">
        <f>VLOOKUP([jobnumber],OvalData[],MATCH(Table2[[#Headers],[Between Brackets]],Table2[#Headers],0),0)</f>
        <v xml:space="preserve"> 18 ft.- 7 7/ 8"</v>
      </c>
      <c r="G341" s="2" t="str">
        <f>VLOOKUP([jobnumber],OvalData[],MATCH(Table2[[#Headers],[shell]],Table2[#Headers],0),0)</f>
        <v>6 INCH TUBE</v>
      </c>
      <c r="H341" s="2" t="str">
        <f>VLOOKUP([jobnumber],OvalData[],MATCH(Table2[[#Headers],[pipewidth]],Table2[#Headers],0),0)</f>
        <v xml:space="preserve"> 18 ft.- 1 3/ 8"</v>
      </c>
      <c r="I341" s="2">
        <f>VLOOKUP([jobnumber],OvalData[],MATCH(Table2[[#Headers],[Support Tubes]],Table2[#Headers],0),0)</f>
        <v>0</v>
      </c>
      <c r="J341" s="2">
        <f>VLOOKUP([jobnumber],OvalData[],MATCH(Table2[[#Headers],[Upset]],Table2[#Headers],0),0)</f>
        <v>2</v>
      </c>
      <c r="K341" s="2" t="str">
        <f>VLOOKUP([jobnumber],OvalData[],MATCH(Table2[[#Headers],[Guide Type]],Table2[#Headers],0),0)</f>
        <v>SN2-4 5/8-E</v>
      </c>
      <c r="L341" s="2" t="str">
        <f>VLOOKUP([jobnumber],OvalData[],MATCH(Table2[[#Headers],[Wall Angle]],Table2[#Headers],0),0)</f>
        <v xml:space="preserve"> 11 ft.- 8"</v>
      </c>
      <c r="M341" s="2" t="str">
        <f>VLOOKUP([jobnumber],OvalData[],MATCH(Table2[[#Headers],[Middle Angle]],Table2[#Headers],0),0)</f>
        <v xml:space="preserve"> 10 ft.- 4 1/ 2"</v>
      </c>
      <c r="N341" s="2" t="str">
        <f>VLOOKUP([jobnumber],OvalData[],MATCH(Table2[[#Headers],[Front Angle]],Table2[#Headers],0),0)</f>
        <v xml:space="preserve"> 10 ft.- 3"</v>
      </c>
      <c r="O341" s="2">
        <f>VLOOKUP([jobnumber],OvalData[],MATCH(Table2[[#Headers],[Pipe Center Line]],Table2[#Headers],0),0)</f>
        <v>131</v>
      </c>
      <c r="P341" s="2">
        <f>VLOOKUP([jobnumber],OvalData[],MATCH(Table2[[#Headers],[Heat Expansion Gap]],Table2[#Headers],0),0)</f>
        <v>0</v>
      </c>
      <c r="Q341" s="2">
        <f>VLOOKUP([jobnumber],OvalData[],MATCH(Table2[[#Headers],[Hanging Weight Closed]],Table2[#Headers],0),0)</f>
        <v>795</v>
      </c>
      <c r="R341" s="2">
        <f>VLOOKUP([jobnumber],OvalData[],MATCH(Table2[[#Headers],[Hanging Weight Open]],Table2[#Headers],0),0)</f>
        <v>140</v>
      </c>
      <c r="S341" s="2">
        <f>VLOOKUP([jobnumber],OvalData[],MATCH(Table2[[#Headers],[Initial Lever Arm]],Table2[#Headers],0),0)</f>
        <v>4.25</v>
      </c>
      <c r="T341" s="2">
        <f>VLOOKUP([jobnumber],OvalData[],MATCH(Table2[[#Headers],[Turns to Raise]],Table2[#Headers],0),0)</f>
        <v>3.5859999999999999</v>
      </c>
      <c r="U341" s="2">
        <f>VLOOKUP([jobnumber],OvalData[],MATCH(Table2[[#Headers],[Final Lever Arm]],Table2[#Headers],0),0)</f>
        <v>6.37</v>
      </c>
      <c r="V341" s="2">
        <f>VLOOKUP([jobnumber],OvalData[],MATCH(Table2[[#Headers],[Torque Required Closed]],Table2[#Headers],0),0)</f>
        <v>3377.9</v>
      </c>
      <c r="W341" s="2">
        <f>VLOOKUP([jobnumber],OvalData[],MATCH(Table2[[#Headers],[Torque Required Open]],Table2[#Headers],0),0)</f>
        <v>892</v>
      </c>
      <c r="X341" s="2">
        <f>VLOOKUP([jobnumber],OvalData[],MATCH(Table2[[#Headers],[Pre Turns]],Table2[#Headers],0),0)</f>
        <v>1.3332999999999999</v>
      </c>
      <c r="Y341" s="2">
        <f>VLOOKUP([jobnumber],OvalData[],MATCH(Table2[[#Headers],[Required Torque Per Turn]],Table2[#Headers],0),0)</f>
        <v>688</v>
      </c>
      <c r="Z341" s="2">
        <f>VLOOKUP([jobnumber],OvalData[],MATCH(Table2[[#Headers],[Total Turns]],Table2[#Headers],0),0)</f>
        <v>4.91</v>
      </c>
      <c r="AA341" s="2">
        <f>VLOOKUP([jobnumber],OvalData[],MATCH(Table2[[#Headers],[Grille Vision Section]],Table2[#Headers],0),0)</f>
        <v>0</v>
      </c>
      <c r="AB341" s="2">
        <f>VLOOKUP([jobnumber],OvalData[],MATCH(Table2[[#Headers],[Grille Amount]],Table2[#Headers],0),0)</f>
        <v>0</v>
      </c>
      <c r="AC341" s="2">
        <f>VLOOKUP([jobnumber],OvalData[],MATCH(Table2[[#Headers],[Grille Center]],Table2[#Headers],0),0)</f>
        <v>0</v>
      </c>
      <c r="AD341" s="2">
        <f>VLOOKUP([jobnumber],OvalData[],MATCH(Table2[[#Headers],[Grille Pattern]],Table2[#Headers],0),0)</f>
        <v>0</v>
      </c>
      <c r="AE341" s="2">
        <f>VLOOKUP([jobnumber],OvalData[],MATCH(Table2[[#Headers],[Grille First Tube]],Table2[#Headers],0),0)</f>
        <v>0</v>
      </c>
      <c r="AF341" s="2">
        <f>VLOOKUP([jobnumber],OvalData[],MATCH(Table2[[#Headers],[Grille Standard Tube]],Table2[#Headers],0),0)</f>
        <v>0</v>
      </c>
      <c r="AG341" s="2">
        <f>VLOOKUP([jobnumber],OvalData[],MATCH(Table2[[#Headers],[Grille Total Links]],Table2[#Headers],0),0)</f>
        <v>0</v>
      </c>
      <c r="AH341" s="2">
        <f>VLOOKUP([jobnumber],OvalData[],MATCH(Table2[[#Headers],[Grille Rods]],Table2[#Headers],0),0)</f>
        <v>0</v>
      </c>
      <c r="AI341" s="2">
        <f>VLOOKUP([jobnumber],OvalData[],MATCH(Table2[[#Headers],[Grille Rod Length]],Table2[#Headers],0),0)</f>
        <v>0</v>
      </c>
      <c r="AJ341" s="2">
        <f>VLOOKUP([jobnumber],OvalData[],MATCH(Table2[[#Headers],[slattype]],Table2[#Headers],0),0)</f>
        <v>2</v>
      </c>
      <c r="AK341" s="2">
        <f>VLOOKUP([jobnumber],OvalData[],MATCH(Table2[[#Headers],[slatgage]],Table2[#Headers],0),0)</f>
        <v>18</v>
      </c>
      <c r="AL341" s="2">
        <f>VLOOKUP([jobnumber],OvalData[],MATCH(Table2[[#Headers],[Numer of Top Slats]],Table2[#Headers],0),0)</f>
        <v>0</v>
      </c>
      <c r="AM341" s="2">
        <f>VLOOKUP([jobnumber],OvalData[],MATCH(Table2[[#Headers],[Number of Bottom Slats]],Table2[#Headers],0),0)</f>
        <v>0</v>
      </c>
      <c r="AN341" s="2">
        <f>VLOOKUP([jobnumber],OvalData[],MATCH(Table2[[#Headers],[Solid Bottom Height]],Table2[#Headers],0),0)</f>
        <v>0</v>
      </c>
      <c r="AO341" s="2" t="str">
        <f>VLOOKUP([jobnumber],OvalData[],MATCH(Table2[[#Headers],[slatlength]],Table2[#Headers],0),0)</f>
        <v xml:space="preserve"> 18 ft.- 5 7/ 8"</v>
      </c>
      <c r="AP341" s="2">
        <f>VLOOKUP([jobnumber],OvalData[],MATCH(Table2[[#Headers],[Bottom Slat Length]],Table2[#Headers],0),0)</f>
        <v>0</v>
      </c>
      <c r="AQ341" s="2">
        <f>VLOOKUP([jobnumber],OvalData[],MATCH(Table2[[#Headers],[Number of Perferated Slats]],Table2[#Headers],0),0)</f>
        <v>0</v>
      </c>
      <c r="AR341" s="2">
        <f>VLOOKUP([jobnumber],OvalData[],MATCH(Table2[[#Headers],[First Preferated Slat From End]],Table2[#Headers],0),0)</f>
        <v>0</v>
      </c>
      <c r="AS341" s="2">
        <f>VLOOKUP([jobnumber],OvalData[],MATCH(Table2[[#Headers],[First Preferated Slat From Bottom]],Table2[#Headers],0),0)</f>
        <v>0</v>
      </c>
      <c r="AT341" s="2">
        <f>VLOOKUP([jobnumber],OvalData[],MATCH(Table2[[#Headers],[Total Number of Slats]],Table2[#Headers],0),0)</f>
        <v>51</v>
      </c>
      <c r="AU341" s="2">
        <f>VLOOKUP([jobnumber],OvalData[],MATCH(Table2[[#Headers],[Bottom Bar Slope]],Table2[#Headers],0),0)</f>
        <v>0</v>
      </c>
      <c r="AV341" s="2">
        <f>VLOOKUP([jobnumber],OvalData[],MATCH(Table2[[#Headers],[Bottom Bar Weight]],Table2[#Headers],0),0)</f>
        <v>80.5</v>
      </c>
      <c r="AW341" s="2" t="str">
        <f>VLOOKUP([jobnumber],OvalData[],MATCH(Table2[[#Headers],[Outer Spring Gage]],Table2[#Headers],0),0)</f>
        <v>Null</v>
      </c>
      <c r="AX341" s="2" t="str">
        <f>VLOOKUP([jobnumber],OvalData[],MATCH(Table2[[#Headers],[Outer Spring OD]],Table2[#Headers],0),0)</f>
        <v>Null</v>
      </c>
      <c r="AY341" s="2" t="str">
        <f>VLOOKUP([jobnumber],OvalData[],MATCH(Table2[[#Headers],[Outer Spring Length]],Table2[#Headers],0),0)</f>
        <v>Null</v>
      </c>
      <c r="AZ341" s="2" t="str">
        <f>VLOOKUP([jobnumber],OvalData[],MATCH(Table2[[#Headers],[Outer Spring Stretch]],Table2[#Headers],0),0)</f>
        <v>Null</v>
      </c>
      <c r="BA341" s="2" t="str">
        <f>VLOOKUP([jobnumber],OvalData[],MATCH(Table2[[#Headers],[Outer Spring Torque]],Table2[#Headers],0),0)</f>
        <v>Null</v>
      </c>
      <c r="BB341" s="2" t="str">
        <f>VLOOKUP([jobnumber],OvalData[],MATCH(Table2[[#Headers],[Outer Spring Max Turns]],Table2[#Headers],0),0)</f>
        <v>Null</v>
      </c>
      <c r="BC341" s="2" t="str">
        <f>VLOOKUP([jobnumber],OvalData[],MATCH(Table2[[#Headers],[Outer Spring Weight]],Table2[#Headers],0),0)</f>
        <v>Null</v>
      </c>
      <c r="BD341" s="2" t="str">
        <f>VLOOKUP([jobnumber],OvalData[],MATCH(Table2[[#Headers],[Inner Spring Gage]],Table2[#Headers],0),0)</f>
        <v>Null</v>
      </c>
      <c r="BE341" s="2" t="str">
        <f>VLOOKUP([jobnumber],OvalData[],MATCH(Table2[[#Headers],[Inner Spring OD]],Table2[#Headers],0),0)</f>
        <v>Null</v>
      </c>
      <c r="BF341" s="2" t="str">
        <f>VLOOKUP([jobnumber],OvalData[],MATCH(Table2[[#Headers],[Inner Spring Length]],Table2[#Headers],0),0)</f>
        <v>Null</v>
      </c>
      <c r="BG341" s="2" t="str">
        <f>VLOOKUP([jobnumber],OvalData[],MATCH(Table2[[#Headers],[Inner Spring Stretch]],Table2[#Headers],0),0)</f>
        <v>Null</v>
      </c>
      <c r="BH341" s="2" t="str">
        <f>VLOOKUP([jobnumber],OvalData[],MATCH(Table2[[#Headers],[Inner Spring Torque]],Table2[#Headers],0),0)</f>
        <v>Null</v>
      </c>
      <c r="BI341" s="2" t="str">
        <f>VLOOKUP([jobnumber],OvalData[],MATCH(Table2[[#Headers],[Inner Spring Max Turns]],Table2[#Headers],0),0)</f>
        <v>Null</v>
      </c>
      <c r="BJ341" s="2" t="str">
        <f>VLOOKUP([jobnumber],OvalData[],MATCH(Table2[[#Headers],[Inner Spring Weight]],Table2[#Headers],0),0)</f>
        <v>Null</v>
      </c>
      <c r="BK341" s="2">
        <f>VLOOKUP([jobnumber],OvalData[],MATCH(Table2[[#Headers],[Cycles]],Table2[#Headers],0),0)</f>
        <v>0</v>
      </c>
      <c r="BL341" s="2">
        <f>VLOOKUP([jobnumber],OvalData[],MATCH(Table2[[#Headers],[Total Spring Torque]],Table2[#Headers],0),0)</f>
        <v>0</v>
      </c>
      <c r="BM341" s="2">
        <f>VLOOKUP([jobnumber],OvalData[],MATCH(Table2[[#Headers],[Total Spring Weight]],Table2[#Headers],0),0)</f>
        <v>0</v>
      </c>
      <c r="BN341" s="2">
        <f>VLOOKUP([jobnumber],OvalData[],MATCH(Table2[[#Headers],[Pipe Weight]],Table2[#Headers],0),0)</f>
        <v>688.24239999999998</v>
      </c>
      <c r="BO341" s="2">
        <f>VLOOKUP([jobnumber],OvalData[],MATCH(Table2[[#Headers],[Max Pipe Deflection]],Table2[#Headers],0),0)</f>
        <v>2309</v>
      </c>
      <c r="BP341" s="2">
        <f>VLOOKUP([jobnumber],OvalData[],MATCH(Table2[[#Headers],[Number Non-Insulated Wrap Slats]],Table2[#Headers],0),0)</f>
        <v>0</v>
      </c>
      <c r="BQ341" s="2">
        <f>VLOOKUP([jobnumber],OvalData[],MATCH(Table2[[#Headers],[Number of Insolated Top Slats]],Table2[#Headers],0),0)</f>
        <v>45</v>
      </c>
      <c r="BR341" s="2">
        <f>VLOOKUP([jobnumber],OvalData[],MATCH(Table2[[#Headers],[Insolated Total Slats]],Table2[#Headers],0),0)</f>
        <v>45</v>
      </c>
      <c r="BS341" s="2">
        <f>VLOOKUP([jobnumber],OvalData[],MATCH(Table2[[#Headers],[Number of Slats]],Table2[#Headers],0),0)</f>
        <v>44.69</v>
      </c>
      <c r="BT341" s="2">
        <f>VLOOKUP([jobnumber],OvalData[],MATCH(Table2[[#Headers],[Wrap]],Table2[#Headers],0),0)</f>
        <v>0</v>
      </c>
      <c r="BU341" s="2">
        <f>VLOOKUP([jobnumber],OvalData[],MATCH(Table2[[#Headers],[Wall Angle Thickness]],Table2[#Headers],0),0)</f>
        <v>0</v>
      </c>
      <c r="BV341" s="2">
        <f>VLOOKUP([jobnumber],OvalData[],MATCH(Table2[[#Headers],[windlocks]],Table2[#Headers],0),0)</f>
        <v>0</v>
      </c>
      <c r="BW341" s="2" t="str">
        <f>VLOOKUP([jobnumber],OvalData[],MATCH(Table2[[#Headers],[bottombartype]],Table2[#Headers],0),0)</f>
        <v>SPECIAL</v>
      </c>
      <c r="BX341" s="2">
        <f>VLOOKUP([jobnumber],OvalData[],MATCH(Table2[[#Headers],[endlockweight]],Table2[#Headers],0),0)</f>
        <v>0.17</v>
      </c>
      <c r="BY341" s="2">
        <f>VLOOKUP([jobnumber],OvalData[],MATCH(Table2[[#Headers],[Endlock Total Weight]],Table2[#Headers],0),0)</f>
        <v>7.5972999999999997</v>
      </c>
      <c r="BZ341" s="2">
        <f>VLOOKUP([jobnumber],OvalData[],MATCH(Table2[[#Headers],[Grille Weight]],Table2[#Headers],0),0)</f>
        <v>0</v>
      </c>
      <c r="CA341" s="2">
        <f>VLOOKUP([jobnumber],OvalData[],MATCH(Table2[[#Headers],[barrelrings]],Table2[#Headers],0),0)</f>
        <v>1</v>
      </c>
    </row>
    <row r="342" spans="2:79">
      <c r="B342" s="2" t="str">
        <f>VLOOKUP([jobnumber],OvalData[],MATCH(Table2[[#Headers],[Hand]],Table2[#Headers],0),0)</f>
        <v>RH</v>
      </c>
      <c r="C342" s="2" t="str">
        <f>VLOOKUP([jobnumber],OvalData[],MATCH(Table2[[#Headers],[Model]],Table2[#Headers],0),0)</f>
        <v>SFMPP</v>
      </c>
      <c r="D342" s="2" t="str">
        <f>VLOOKUP([jobnumber],OvalData[],MATCH(Table2[[#Headers],[width]],Table2[#Headers],0),0)</f>
        <v xml:space="preserve"> 18 ft.- 2"</v>
      </c>
      <c r="E342" s="2" t="str">
        <f>VLOOKUP([jobnumber],OvalData[],MATCH(Table2[[#Headers],[stopheight]],Table2[#Headers],0),0)</f>
        <v xml:space="preserve"> 10 ft.- 0"</v>
      </c>
      <c r="F342" s="2" t="str">
        <f>VLOOKUP([jobnumber],OvalData[],MATCH(Table2[[#Headers],[Between Brackets]],Table2[#Headers],0),0)</f>
        <v xml:space="preserve"> 18 ft.- 7 7/ 8"</v>
      </c>
      <c r="G342" s="2" t="str">
        <f>VLOOKUP([jobnumber],OvalData[],MATCH(Table2[[#Headers],[shell]],Table2[#Headers],0),0)</f>
        <v>6 INCH TUBE</v>
      </c>
      <c r="H342" s="2" t="str">
        <f>VLOOKUP([jobnumber],OvalData[],MATCH(Table2[[#Headers],[pipewidth]],Table2[#Headers],0),0)</f>
        <v xml:space="preserve"> 18 ft.- 1 3/ 8"</v>
      </c>
      <c r="I342" s="2">
        <f>VLOOKUP([jobnumber],OvalData[],MATCH(Table2[[#Headers],[Support Tubes]],Table2[#Headers],0),0)</f>
        <v>0</v>
      </c>
      <c r="J342" s="2">
        <f>VLOOKUP([jobnumber],OvalData[],MATCH(Table2[[#Headers],[Upset]],Table2[#Headers],0),0)</f>
        <v>2</v>
      </c>
      <c r="K342" s="2" t="str">
        <f>VLOOKUP([jobnumber],OvalData[],MATCH(Table2[[#Headers],[Guide Type]],Table2[#Headers],0),0)</f>
        <v>SN2-4 5/8-E</v>
      </c>
      <c r="L342" s="2" t="str">
        <f>VLOOKUP([jobnumber],OvalData[],MATCH(Table2[[#Headers],[Wall Angle]],Table2[#Headers],0),0)</f>
        <v xml:space="preserve"> 11 ft.- 8"</v>
      </c>
      <c r="M342" s="2" t="str">
        <f>VLOOKUP([jobnumber],OvalData[],MATCH(Table2[[#Headers],[Middle Angle]],Table2[#Headers],0),0)</f>
        <v xml:space="preserve"> 10 ft.- 4 1/ 2"</v>
      </c>
      <c r="N342" s="2" t="str">
        <f>VLOOKUP([jobnumber],OvalData[],MATCH(Table2[[#Headers],[Front Angle]],Table2[#Headers],0),0)</f>
        <v xml:space="preserve"> 10 ft.- 3"</v>
      </c>
      <c r="O342" s="2">
        <f>VLOOKUP([jobnumber],OvalData[],MATCH(Table2[[#Headers],[Pipe Center Line]],Table2[#Headers],0),0)</f>
        <v>131</v>
      </c>
      <c r="P342" s="2">
        <f>VLOOKUP([jobnumber],OvalData[],MATCH(Table2[[#Headers],[Heat Expansion Gap]],Table2[#Headers],0),0)</f>
        <v>0</v>
      </c>
      <c r="Q342" s="2">
        <f>VLOOKUP([jobnumber],OvalData[],MATCH(Table2[[#Headers],[Hanging Weight Closed]],Table2[#Headers],0),0)</f>
        <v>795</v>
      </c>
      <c r="R342" s="2">
        <f>VLOOKUP([jobnumber],OvalData[],MATCH(Table2[[#Headers],[Hanging Weight Open]],Table2[#Headers],0),0)</f>
        <v>140</v>
      </c>
      <c r="S342" s="2">
        <f>VLOOKUP([jobnumber],OvalData[],MATCH(Table2[[#Headers],[Initial Lever Arm]],Table2[#Headers],0),0)</f>
        <v>4.25</v>
      </c>
      <c r="T342" s="2">
        <f>VLOOKUP([jobnumber],OvalData[],MATCH(Table2[[#Headers],[Turns to Raise]],Table2[#Headers],0),0)</f>
        <v>3.5859999999999999</v>
      </c>
      <c r="U342" s="2">
        <f>VLOOKUP([jobnumber],OvalData[],MATCH(Table2[[#Headers],[Final Lever Arm]],Table2[#Headers],0),0)</f>
        <v>6.37</v>
      </c>
      <c r="V342" s="2">
        <f>VLOOKUP([jobnumber],OvalData[],MATCH(Table2[[#Headers],[Torque Required Closed]],Table2[#Headers],0),0)</f>
        <v>3377.9</v>
      </c>
      <c r="W342" s="2">
        <f>VLOOKUP([jobnumber],OvalData[],MATCH(Table2[[#Headers],[Torque Required Open]],Table2[#Headers],0),0)</f>
        <v>892</v>
      </c>
      <c r="X342" s="2">
        <f>VLOOKUP([jobnumber],OvalData[],MATCH(Table2[[#Headers],[Pre Turns]],Table2[#Headers],0),0)</f>
        <v>1.3332999999999999</v>
      </c>
      <c r="Y342" s="2">
        <f>VLOOKUP([jobnumber],OvalData[],MATCH(Table2[[#Headers],[Required Torque Per Turn]],Table2[#Headers],0),0)</f>
        <v>688</v>
      </c>
      <c r="Z342" s="2">
        <f>VLOOKUP([jobnumber],OvalData[],MATCH(Table2[[#Headers],[Total Turns]],Table2[#Headers],0),0)</f>
        <v>4.91</v>
      </c>
      <c r="AA342" s="2">
        <f>VLOOKUP([jobnumber],OvalData[],MATCH(Table2[[#Headers],[Grille Vision Section]],Table2[#Headers],0),0)</f>
        <v>0</v>
      </c>
      <c r="AB342" s="2">
        <f>VLOOKUP([jobnumber],OvalData[],MATCH(Table2[[#Headers],[Grille Amount]],Table2[#Headers],0),0)</f>
        <v>0</v>
      </c>
      <c r="AC342" s="2">
        <f>VLOOKUP([jobnumber],OvalData[],MATCH(Table2[[#Headers],[Grille Center]],Table2[#Headers],0),0)</f>
        <v>0</v>
      </c>
      <c r="AD342" s="2">
        <f>VLOOKUP([jobnumber],OvalData[],MATCH(Table2[[#Headers],[Grille Pattern]],Table2[#Headers],0),0)</f>
        <v>0</v>
      </c>
      <c r="AE342" s="2">
        <f>VLOOKUP([jobnumber],OvalData[],MATCH(Table2[[#Headers],[Grille First Tube]],Table2[#Headers],0),0)</f>
        <v>0</v>
      </c>
      <c r="AF342" s="2">
        <f>VLOOKUP([jobnumber],OvalData[],MATCH(Table2[[#Headers],[Grille Standard Tube]],Table2[#Headers],0),0)</f>
        <v>0</v>
      </c>
      <c r="AG342" s="2">
        <f>VLOOKUP([jobnumber],OvalData[],MATCH(Table2[[#Headers],[Grille Total Links]],Table2[#Headers],0),0)</f>
        <v>0</v>
      </c>
      <c r="AH342" s="2">
        <f>VLOOKUP([jobnumber],OvalData[],MATCH(Table2[[#Headers],[Grille Rods]],Table2[#Headers],0),0)</f>
        <v>0</v>
      </c>
      <c r="AI342" s="2">
        <f>VLOOKUP([jobnumber],OvalData[],MATCH(Table2[[#Headers],[Grille Rod Length]],Table2[#Headers],0),0)</f>
        <v>0</v>
      </c>
      <c r="AJ342" s="2">
        <f>VLOOKUP([jobnumber],OvalData[],MATCH(Table2[[#Headers],[slattype]],Table2[#Headers],0),0)</f>
        <v>2</v>
      </c>
      <c r="AK342" s="2">
        <f>VLOOKUP([jobnumber],OvalData[],MATCH(Table2[[#Headers],[slatgage]],Table2[#Headers],0),0)</f>
        <v>18</v>
      </c>
      <c r="AL342" s="2">
        <f>VLOOKUP([jobnumber],OvalData[],MATCH(Table2[[#Headers],[Numer of Top Slats]],Table2[#Headers],0),0)</f>
        <v>0</v>
      </c>
      <c r="AM342" s="2">
        <f>VLOOKUP([jobnumber],OvalData[],MATCH(Table2[[#Headers],[Number of Bottom Slats]],Table2[#Headers],0),0)</f>
        <v>0</v>
      </c>
      <c r="AN342" s="2">
        <f>VLOOKUP([jobnumber],OvalData[],MATCH(Table2[[#Headers],[Solid Bottom Height]],Table2[#Headers],0),0)</f>
        <v>0</v>
      </c>
      <c r="AO342" s="2" t="str">
        <f>VLOOKUP([jobnumber],OvalData[],MATCH(Table2[[#Headers],[slatlength]],Table2[#Headers],0),0)</f>
        <v xml:space="preserve"> 18 ft.- 5 7/ 8"</v>
      </c>
      <c r="AP342" s="2">
        <f>VLOOKUP([jobnumber],OvalData[],MATCH(Table2[[#Headers],[Bottom Slat Length]],Table2[#Headers],0),0)</f>
        <v>0</v>
      </c>
      <c r="AQ342" s="2">
        <f>VLOOKUP([jobnumber],OvalData[],MATCH(Table2[[#Headers],[Number of Perferated Slats]],Table2[#Headers],0),0)</f>
        <v>0</v>
      </c>
      <c r="AR342" s="2">
        <f>VLOOKUP([jobnumber],OvalData[],MATCH(Table2[[#Headers],[First Preferated Slat From End]],Table2[#Headers],0),0)</f>
        <v>0</v>
      </c>
      <c r="AS342" s="2">
        <f>VLOOKUP([jobnumber],OvalData[],MATCH(Table2[[#Headers],[First Preferated Slat From Bottom]],Table2[#Headers],0),0)</f>
        <v>0</v>
      </c>
      <c r="AT342" s="2">
        <f>VLOOKUP([jobnumber],OvalData[],MATCH(Table2[[#Headers],[Total Number of Slats]],Table2[#Headers],0),0)</f>
        <v>51</v>
      </c>
      <c r="AU342" s="2">
        <f>VLOOKUP([jobnumber],OvalData[],MATCH(Table2[[#Headers],[Bottom Bar Slope]],Table2[#Headers],0),0)</f>
        <v>0</v>
      </c>
      <c r="AV342" s="2">
        <f>VLOOKUP([jobnumber],OvalData[],MATCH(Table2[[#Headers],[Bottom Bar Weight]],Table2[#Headers],0),0)</f>
        <v>80.5</v>
      </c>
      <c r="AW342" s="2" t="str">
        <f>VLOOKUP([jobnumber],OvalData[],MATCH(Table2[[#Headers],[Outer Spring Gage]],Table2[#Headers],0),0)</f>
        <v>Null</v>
      </c>
      <c r="AX342" s="2" t="str">
        <f>VLOOKUP([jobnumber],OvalData[],MATCH(Table2[[#Headers],[Outer Spring OD]],Table2[#Headers],0),0)</f>
        <v>Null</v>
      </c>
      <c r="AY342" s="2" t="str">
        <f>VLOOKUP([jobnumber],OvalData[],MATCH(Table2[[#Headers],[Outer Spring Length]],Table2[#Headers],0),0)</f>
        <v>Null</v>
      </c>
      <c r="AZ342" s="2" t="str">
        <f>VLOOKUP([jobnumber],OvalData[],MATCH(Table2[[#Headers],[Outer Spring Stretch]],Table2[#Headers],0),0)</f>
        <v>Null</v>
      </c>
      <c r="BA342" s="2" t="str">
        <f>VLOOKUP([jobnumber],OvalData[],MATCH(Table2[[#Headers],[Outer Spring Torque]],Table2[#Headers],0),0)</f>
        <v>Null</v>
      </c>
      <c r="BB342" s="2" t="str">
        <f>VLOOKUP([jobnumber],OvalData[],MATCH(Table2[[#Headers],[Outer Spring Max Turns]],Table2[#Headers],0),0)</f>
        <v>Null</v>
      </c>
      <c r="BC342" s="2" t="str">
        <f>VLOOKUP([jobnumber],OvalData[],MATCH(Table2[[#Headers],[Outer Spring Weight]],Table2[#Headers],0),0)</f>
        <v>Null</v>
      </c>
      <c r="BD342" s="2" t="str">
        <f>VLOOKUP([jobnumber],OvalData[],MATCH(Table2[[#Headers],[Inner Spring Gage]],Table2[#Headers],0),0)</f>
        <v>Null</v>
      </c>
      <c r="BE342" s="2" t="str">
        <f>VLOOKUP([jobnumber],OvalData[],MATCH(Table2[[#Headers],[Inner Spring OD]],Table2[#Headers],0),0)</f>
        <v>Null</v>
      </c>
      <c r="BF342" s="2" t="str">
        <f>VLOOKUP([jobnumber],OvalData[],MATCH(Table2[[#Headers],[Inner Spring Length]],Table2[#Headers],0),0)</f>
        <v>Null</v>
      </c>
      <c r="BG342" s="2" t="str">
        <f>VLOOKUP([jobnumber],OvalData[],MATCH(Table2[[#Headers],[Inner Spring Stretch]],Table2[#Headers],0),0)</f>
        <v>Null</v>
      </c>
      <c r="BH342" s="2" t="str">
        <f>VLOOKUP([jobnumber],OvalData[],MATCH(Table2[[#Headers],[Inner Spring Torque]],Table2[#Headers],0),0)</f>
        <v>Null</v>
      </c>
      <c r="BI342" s="2" t="str">
        <f>VLOOKUP([jobnumber],OvalData[],MATCH(Table2[[#Headers],[Inner Spring Max Turns]],Table2[#Headers],0),0)</f>
        <v>Null</v>
      </c>
      <c r="BJ342" s="2" t="str">
        <f>VLOOKUP([jobnumber],OvalData[],MATCH(Table2[[#Headers],[Inner Spring Weight]],Table2[#Headers],0),0)</f>
        <v>Null</v>
      </c>
      <c r="BK342" s="2">
        <f>VLOOKUP([jobnumber],OvalData[],MATCH(Table2[[#Headers],[Cycles]],Table2[#Headers],0),0)</f>
        <v>0</v>
      </c>
      <c r="BL342" s="2">
        <f>VLOOKUP([jobnumber],OvalData[],MATCH(Table2[[#Headers],[Total Spring Torque]],Table2[#Headers],0),0)</f>
        <v>0</v>
      </c>
      <c r="BM342" s="2">
        <f>VLOOKUP([jobnumber],OvalData[],MATCH(Table2[[#Headers],[Total Spring Weight]],Table2[#Headers],0),0)</f>
        <v>0</v>
      </c>
      <c r="BN342" s="2">
        <f>VLOOKUP([jobnumber],OvalData[],MATCH(Table2[[#Headers],[Pipe Weight]],Table2[#Headers],0),0)</f>
        <v>688.24239999999998</v>
      </c>
      <c r="BO342" s="2">
        <f>VLOOKUP([jobnumber],OvalData[],MATCH(Table2[[#Headers],[Max Pipe Deflection]],Table2[#Headers],0),0)</f>
        <v>2309</v>
      </c>
      <c r="BP342" s="2">
        <f>VLOOKUP([jobnumber],OvalData[],MATCH(Table2[[#Headers],[Number Non-Insulated Wrap Slats]],Table2[#Headers],0),0)</f>
        <v>0</v>
      </c>
      <c r="BQ342" s="2">
        <f>VLOOKUP([jobnumber],OvalData[],MATCH(Table2[[#Headers],[Number of Insolated Top Slats]],Table2[#Headers],0),0)</f>
        <v>45</v>
      </c>
      <c r="BR342" s="2">
        <f>VLOOKUP([jobnumber],OvalData[],MATCH(Table2[[#Headers],[Insolated Total Slats]],Table2[#Headers],0),0)</f>
        <v>45</v>
      </c>
      <c r="BS342" s="2">
        <f>VLOOKUP([jobnumber],OvalData[],MATCH(Table2[[#Headers],[Number of Slats]],Table2[#Headers],0),0)</f>
        <v>44.69</v>
      </c>
      <c r="BT342" s="2">
        <f>VLOOKUP([jobnumber],OvalData[],MATCH(Table2[[#Headers],[Wrap]],Table2[#Headers],0),0)</f>
        <v>0</v>
      </c>
      <c r="BU342" s="2">
        <f>VLOOKUP([jobnumber],OvalData[],MATCH(Table2[[#Headers],[Wall Angle Thickness]],Table2[#Headers],0),0)</f>
        <v>0</v>
      </c>
      <c r="BV342" s="2">
        <f>VLOOKUP([jobnumber],OvalData[],MATCH(Table2[[#Headers],[windlocks]],Table2[#Headers],0),0)</f>
        <v>0</v>
      </c>
      <c r="BW342" s="2" t="str">
        <f>VLOOKUP([jobnumber],OvalData[],MATCH(Table2[[#Headers],[bottombartype]],Table2[#Headers],0),0)</f>
        <v>SPECIAL</v>
      </c>
      <c r="BX342" s="2">
        <f>VLOOKUP([jobnumber],OvalData[],MATCH(Table2[[#Headers],[endlockweight]],Table2[#Headers],0),0)</f>
        <v>0.17</v>
      </c>
      <c r="BY342" s="2">
        <f>VLOOKUP([jobnumber],OvalData[],MATCH(Table2[[#Headers],[Endlock Total Weight]],Table2[#Headers],0),0)</f>
        <v>7.5972999999999997</v>
      </c>
      <c r="BZ342" s="2">
        <f>VLOOKUP([jobnumber],OvalData[],MATCH(Table2[[#Headers],[Grille Weight]],Table2[#Headers],0),0)</f>
        <v>0</v>
      </c>
      <c r="CA342" s="2">
        <f>VLOOKUP([jobnumber],OvalData[],MATCH(Table2[[#Headers],[barrelrings]],Table2[#Headers],0),0)</f>
        <v>1</v>
      </c>
    </row>
    <row r="343" spans="2:79">
      <c r="B343" s="2" t="str">
        <f>VLOOKUP([jobnumber],OvalData[],MATCH(Table2[[#Headers],[Hand]],Table2[#Headers],0),0)</f>
        <v>RH</v>
      </c>
      <c r="C343" s="2" t="str">
        <f>VLOOKUP([jobnumber],OvalData[],MATCH(Table2[[#Headers],[Model]],Table2[#Headers],0),0)</f>
        <v>SFMPP</v>
      </c>
      <c r="D343" s="2" t="str">
        <f>VLOOKUP([jobnumber],OvalData[],MATCH(Table2[[#Headers],[width]],Table2[#Headers],0),0)</f>
        <v xml:space="preserve"> 18 ft.- 2"</v>
      </c>
      <c r="E343" s="2" t="str">
        <f>VLOOKUP([jobnumber],OvalData[],MATCH(Table2[[#Headers],[stopheight]],Table2[#Headers],0),0)</f>
        <v xml:space="preserve"> 10 ft.- 0"</v>
      </c>
      <c r="F343" s="2" t="str">
        <f>VLOOKUP([jobnumber],OvalData[],MATCH(Table2[[#Headers],[Between Brackets]],Table2[#Headers],0),0)</f>
        <v xml:space="preserve"> 18 ft.- 7 7/ 8"</v>
      </c>
      <c r="G343" s="2" t="str">
        <f>VLOOKUP([jobnumber],OvalData[],MATCH(Table2[[#Headers],[shell]],Table2[#Headers],0),0)</f>
        <v>6 INCH TUBE</v>
      </c>
      <c r="H343" s="2" t="str">
        <f>VLOOKUP([jobnumber],OvalData[],MATCH(Table2[[#Headers],[pipewidth]],Table2[#Headers],0),0)</f>
        <v xml:space="preserve"> 18 ft.- 1 3/ 8"</v>
      </c>
      <c r="I343" s="2">
        <f>VLOOKUP([jobnumber],OvalData[],MATCH(Table2[[#Headers],[Support Tubes]],Table2[#Headers],0),0)</f>
        <v>0</v>
      </c>
      <c r="J343" s="2">
        <f>VLOOKUP([jobnumber],OvalData[],MATCH(Table2[[#Headers],[Upset]],Table2[#Headers],0),0)</f>
        <v>2</v>
      </c>
      <c r="K343" s="2" t="str">
        <f>VLOOKUP([jobnumber],OvalData[],MATCH(Table2[[#Headers],[Guide Type]],Table2[#Headers],0),0)</f>
        <v>SN2-4 5/8-E</v>
      </c>
      <c r="L343" s="2" t="str">
        <f>VLOOKUP([jobnumber],OvalData[],MATCH(Table2[[#Headers],[Wall Angle]],Table2[#Headers],0),0)</f>
        <v xml:space="preserve"> 11 ft.- 8"</v>
      </c>
      <c r="M343" s="2" t="str">
        <f>VLOOKUP([jobnumber],OvalData[],MATCH(Table2[[#Headers],[Middle Angle]],Table2[#Headers],0),0)</f>
        <v xml:space="preserve"> 10 ft.- 4 1/ 2"</v>
      </c>
      <c r="N343" s="2" t="str">
        <f>VLOOKUP([jobnumber],OvalData[],MATCH(Table2[[#Headers],[Front Angle]],Table2[#Headers],0),0)</f>
        <v xml:space="preserve"> 10 ft.- 3"</v>
      </c>
      <c r="O343" s="2">
        <f>VLOOKUP([jobnumber],OvalData[],MATCH(Table2[[#Headers],[Pipe Center Line]],Table2[#Headers],0),0)</f>
        <v>131</v>
      </c>
      <c r="P343" s="2">
        <f>VLOOKUP([jobnumber],OvalData[],MATCH(Table2[[#Headers],[Heat Expansion Gap]],Table2[#Headers],0),0)</f>
        <v>0</v>
      </c>
      <c r="Q343" s="2">
        <f>VLOOKUP([jobnumber],OvalData[],MATCH(Table2[[#Headers],[Hanging Weight Closed]],Table2[#Headers],0),0)</f>
        <v>795</v>
      </c>
      <c r="R343" s="2">
        <f>VLOOKUP([jobnumber],OvalData[],MATCH(Table2[[#Headers],[Hanging Weight Open]],Table2[#Headers],0),0)</f>
        <v>140</v>
      </c>
      <c r="S343" s="2">
        <f>VLOOKUP([jobnumber],OvalData[],MATCH(Table2[[#Headers],[Initial Lever Arm]],Table2[#Headers],0),0)</f>
        <v>4.25</v>
      </c>
      <c r="T343" s="2">
        <f>VLOOKUP([jobnumber],OvalData[],MATCH(Table2[[#Headers],[Turns to Raise]],Table2[#Headers],0),0)</f>
        <v>3.5859999999999999</v>
      </c>
      <c r="U343" s="2">
        <f>VLOOKUP([jobnumber],OvalData[],MATCH(Table2[[#Headers],[Final Lever Arm]],Table2[#Headers],0),0)</f>
        <v>6.37</v>
      </c>
      <c r="V343" s="2">
        <f>VLOOKUP([jobnumber],OvalData[],MATCH(Table2[[#Headers],[Torque Required Closed]],Table2[#Headers],0),0)</f>
        <v>3377.9</v>
      </c>
      <c r="W343" s="2">
        <f>VLOOKUP([jobnumber],OvalData[],MATCH(Table2[[#Headers],[Torque Required Open]],Table2[#Headers],0),0)</f>
        <v>892</v>
      </c>
      <c r="X343" s="2">
        <f>VLOOKUP([jobnumber],OvalData[],MATCH(Table2[[#Headers],[Pre Turns]],Table2[#Headers],0),0)</f>
        <v>1.3332999999999999</v>
      </c>
      <c r="Y343" s="2">
        <f>VLOOKUP([jobnumber],OvalData[],MATCH(Table2[[#Headers],[Required Torque Per Turn]],Table2[#Headers],0),0)</f>
        <v>688</v>
      </c>
      <c r="Z343" s="2">
        <f>VLOOKUP([jobnumber],OvalData[],MATCH(Table2[[#Headers],[Total Turns]],Table2[#Headers],0),0)</f>
        <v>4.91</v>
      </c>
      <c r="AA343" s="2">
        <f>VLOOKUP([jobnumber],OvalData[],MATCH(Table2[[#Headers],[Grille Vision Section]],Table2[#Headers],0),0)</f>
        <v>0</v>
      </c>
      <c r="AB343" s="2">
        <f>VLOOKUP([jobnumber],OvalData[],MATCH(Table2[[#Headers],[Grille Amount]],Table2[#Headers],0),0)</f>
        <v>0</v>
      </c>
      <c r="AC343" s="2">
        <f>VLOOKUP([jobnumber],OvalData[],MATCH(Table2[[#Headers],[Grille Center]],Table2[#Headers],0),0)</f>
        <v>0</v>
      </c>
      <c r="AD343" s="2">
        <f>VLOOKUP([jobnumber],OvalData[],MATCH(Table2[[#Headers],[Grille Pattern]],Table2[#Headers],0),0)</f>
        <v>0</v>
      </c>
      <c r="AE343" s="2">
        <f>VLOOKUP([jobnumber],OvalData[],MATCH(Table2[[#Headers],[Grille First Tube]],Table2[#Headers],0),0)</f>
        <v>0</v>
      </c>
      <c r="AF343" s="2">
        <f>VLOOKUP([jobnumber],OvalData[],MATCH(Table2[[#Headers],[Grille Standard Tube]],Table2[#Headers],0),0)</f>
        <v>0</v>
      </c>
      <c r="AG343" s="2">
        <f>VLOOKUP([jobnumber],OvalData[],MATCH(Table2[[#Headers],[Grille Total Links]],Table2[#Headers],0),0)</f>
        <v>0</v>
      </c>
      <c r="AH343" s="2">
        <f>VLOOKUP([jobnumber],OvalData[],MATCH(Table2[[#Headers],[Grille Rods]],Table2[#Headers],0),0)</f>
        <v>0</v>
      </c>
      <c r="AI343" s="2">
        <f>VLOOKUP([jobnumber],OvalData[],MATCH(Table2[[#Headers],[Grille Rod Length]],Table2[#Headers],0),0)</f>
        <v>0</v>
      </c>
      <c r="AJ343" s="2">
        <f>VLOOKUP([jobnumber],OvalData[],MATCH(Table2[[#Headers],[slattype]],Table2[#Headers],0),0)</f>
        <v>2</v>
      </c>
      <c r="AK343" s="2">
        <f>VLOOKUP([jobnumber],OvalData[],MATCH(Table2[[#Headers],[slatgage]],Table2[#Headers],0),0)</f>
        <v>18</v>
      </c>
      <c r="AL343" s="2">
        <f>VLOOKUP([jobnumber],OvalData[],MATCH(Table2[[#Headers],[Numer of Top Slats]],Table2[#Headers],0),0)</f>
        <v>0</v>
      </c>
      <c r="AM343" s="2">
        <f>VLOOKUP([jobnumber],OvalData[],MATCH(Table2[[#Headers],[Number of Bottom Slats]],Table2[#Headers],0),0)</f>
        <v>0</v>
      </c>
      <c r="AN343" s="2">
        <f>VLOOKUP([jobnumber],OvalData[],MATCH(Table2[[#Headers],[Solid Bottom Height]],Table2[#Headers],0),0)</f>
        <v>0</v>
      </c>
      <c r="AO343" s="2" t="str">
        <f>VLOOKUP([jobnumber],OvalData[],MATCH(Table2[[#Headers],[slatlength]],Table2[#Headers],0),0)</f>
        <v xml:space="preserve"> 18 ft.- 5 7/ 8"</v>
      </c>
      <c r="AP343" s="2">
        <f>VLOOKUP([jobnumber],OvalData[],MATCH(Table2[[#Headers],[Bottom Slat Length]],Table2[#Headers],0),0)</f>
        <v>0</v>
      </c>
      <c r="AQ343" s="2">
        <f>VLOOKUP([jobnumber],OvalData[],MATCH(Table2[[#Headers],[Number of Perferated Slats]],Table2[#Headers],0),0)</f>
        <v>0</v>
      </c>
      <c r="AR343" s="2">
        <f>VLOOKUP([jobnumber],OvalData[],MATCH(Table2[[#Headers],[First Preferated Slat From End]],Table2[#Headers],0),0)</f>
        <v>0</v>
      </c>
      <c r="AS343" s="2">
        <f>VLOOKUP([jobnumber],OvalData[],MATCH(Table2[[#Headers],[First Preferated Slat From Bottom]],Table2[#Headers],0),0)</f>
        <v>0</v>
      </c>
      <c r="AT343" s="2">
        <f>VLOOKUP([jobnumber],OvalData[],MATCH(Table2[[#Headers],[Total Number of Slats]],Table2[#Headers],0),0)</f>
        <v>51</v>
      </c>
      <c r="AU343" s="2">
        <f>VLOOKUP([jobnumber],OvalData[],MATCH(Table2[[#Headers],[Bottom Bar Slope]],Table2[#Headers],0),0)</f>
        <v>0</v>
      </c>
      <c r="AV343" s="2">
        <f>VLOOKUP([jobnumber],OvalData[],MATCH(Table2[[#Headers],[Bottom Bar Weight]],Table2[#Headers],0),0)</f>
        <v>80.5</v>
      </c>
      <c r="AW343" s="2" t="str">
        <f>VLOOKUP([jobnumber],OvalData[],MATCH(Table2[[#Headers],[Outer Spring Gage]],Table2[#Headers],0),0)</f>
        <v>Null</v>
      </c>
      <c r="AX343" s="2" t="str">
        <f>VLOOKUP([jobnumber],OvalData[],MATCH(Table2[[#Headers],[Outer Spring OD]],Table2[#Headers],0),0)</f>
        <v>Null</v>
      </c>
      <c r="AY343" s="2" t="str">
        <f>VLOOKUP([jobnumber],OvalData[],MATCH(Table2[[#Headers],[Outer Spring Length]],Table2[#Headers],0),0)</f>
        <v>Null</v>
      </c>
      <c r="AZ343" s="2" t="str">
        <f>VLOOKUP([jobnumber],OvalData[],MATCH(Table2[[#Headers],[Outer Spring Stretch]],Table2[#Headers],0),0)</f>
        <v>Null</v>
      </c>
      <c r="BA343" s="2" t="str">
        <f>VLOOKUP([jobnumber],OvalData[],MATCH(Table2[[#Headers],[Outer Spring Torque]],Table2[#Headers],0),0)</f>
        <v>Null</v>
      </c>
      <c r="BB343" s="2" t="str">
        <f>VLOOKUP([jobnumber],OvalData[],MATCH(Table2[[#Headers],[Outer Spring Max Turns]],Table2[#Headers],0),0)</f>
        <v>Null</v>
      </c>
      <c r="BC343" s="2" t="str">
        <f>VLOOKUP([jobnumber],OvalData[],MATCH(Table2[[#Headers],[Outer Spring Weight]],Table2[#Headers],0),0)</f>
        <v>Null</v>
      </c>
      <c r="BD343" s="2" t="str">
        <f>VLOOKUP([jobnumber],OvalData[],MATCH(Table2[[#Headers],[Inner Spring Gage]],Table2[#Headers],0),0)</f>
        <v>Null</v>
      </c>
      <c r="BE343" s="2" t="str">
        <f>VLOOKUP([jobnumber],OvalData[],MATCH(Table2[[#Headers],[Inner Spring OD]],Table2[#Headers],0),0)</f>
        <v>Null</v>
      </c>
      <c r="BF343" s="2" t="str">
        <f>VLOOKUP([jobnumber],OvalData[],MATCH(Table2[[#Headers],[Inner Spring Length]],Table2[#Headers],0),0)</f>
        <v>Null</v>
      </c>
      <c r="BG343" s="2" t="str">
        <f>VLOOKUP([jobnumber],OvalData[],MATCH(Table2[[#Headers],[Inner Spring Stretch]],Table2[#Headers],0),0)</f>
        <v>Null</v>
      </c>
      <c r="BH343" s="2" t="str">
        <f>VLOOKUP([jobnumber],OvalData[],MATCH(Table2[[#Headers],[Inner Spring Torque]],Table2[#Headers],0),0)</f>
        <v>Null</v>
      </c>
      <c r="BI343" s="2" t="str">
        <f>VLOOKUP([jobnumber],OvalData[],MATCH(Table2[[#Headers],[Inner Spring Max Turns]],Table2[#Headers],0),0)</f>
        <v>Null</v>
      </c>
      <c r="BJ343" s="2" t="str">
        <f>VLOOKUP([jobnumber],OvalData[],MATCH(Table2[[#Headers],[Inner Spring Weight]],Table2[#Headers],0),0)</f>
        <v>Null</v>
      </c>
      <c r="BK343" s="2">
        <f>VLOOKUP([jobnumber],OvalData[],MATCH(Table2[[#Headers],[Cycles]],Table2[#Headers],0),0)</f>
        <v>0</v>
      </c>
      <c r="BL343" s="2">
        <f>VLOOKUP([jobnumber],OvalData[],MATCH(Table2[[#Headers],[Total Spring Torque]],Table2[#Headers],0),0)</f>
        <v>0</v>
      </c>
      <c r="BM343" s="2">
        <f>VLOOKUP([jobnumber],OvalData[],MATCH(Table2[[#Headers],[Total Spring Weight]],Table2[#Headers],0),0)</f>
        <v>0</v>
      </c>
      <c r="BN343" s="2">
        <f>VLOOKUP([jobnumber],OvalData[],MATCH(Table2[[#Headers],[Pipe Weight]],Table2[#Headers],0),0)</f>
        <v>688.24239999999998</v>
      </c>
      <c r="BO343" s="2">
        <f>VLOOKUP([jobnumber],OvalData[],MATCH(Table2[[#Headers],[Max Pipe Deflection]],Table2[#Headers],0),0)</f>
        <v>2309</v>
      </c>
      <c r="BP343" s="2">
        <f>VLOOKUP([jobnumber],OvalData[],MATCH(Table2[[#Headers],[Number Non-Insulated Wrap Slats]],Table2[#Headers],0),0)</f>
        <v>0</v>
      </c>
      <c r="BQ343" s="2">
        <f>VLOOKUP([jobnumber],OvalData[],MATCH(Table2[[#Headers],[Number of Insolated Top Slats]],Table2[#Headers],0),0)</f>
        <v>45</v>
      </c>
      <c r="BR343" s="2">
        <f>VLOOKUP([jobnumber],OvalData[],MATCH(Table2[[#Headers],[Insolated Total Slats]],Table2[#Headers],0),0)</f>
        <v>45</v>
      </c>
      <c r="BS343" s="2">
        <f>VLOOKUP([jobnumber],OvalData[],MATCH(Table2[[#Headers],[Number of Slats]],Table2[#Headers],0),0)</f>
        <v>44.69</v>
      </c>
      <c r="BT343" s="2">
        <f>VLOOKUP([jobnumber],OvalData[],MATCH(Table2[[#Headers],[Wrap]],Table2[#Headers],0),0)</f>
        <v>0</v>
      </c>
      <c r="BU343" s="2">
        <f>VLOOKUP([jobnumber],OvalData[],MATCH(Table2[[#Headers],[Wall Angle Thickness]],Table2[#Headers],0),0)</f>
        <v>0</v>
      </c>
      <c r="BV343" s="2">
        <f>VLOOKUP([jobnumber],OvalData[],MATCH(Table2[[#Headers],[windlocks]],Table2[#Headers],0),0)</f>
        <v>0</v>
      </c>
      <c r="BW343" s="2" t="str">
        <f>VLOOKUP([jobnumber],OvalData[],MATCH(Table2[[#Headers],[bottombartype]],Table2[#Headers],0),0)</f>
        <v>SPECIAL</v>
      </c>
      <c r="BX343" s="2">
        <f>VLOOKUP([jobnumber],OvalData[],MATCH(Table2[[#Headers],[endlockweight]],Table2[#Headers],0),0)</f>
        <v>0.17</v>
      </c>
      <c r="BY343" s="2">
        <f>VLOOKUP([jobnumber],OvalData[],MATCH(Table2[[#Headers],[Endlock Total Weight]],Table2[#Headers],0),0)</f>
        <v>7.5972999999999997</v>
      </c>
      <c r="BZ343" s="2">
        <f>VLOOKUP([jobnumber],OvalData[],MATCH(Table2[[#Headers],[Grille Weight]],Table2[#Headers],0),0)</f>
        <v>0</v>
      </c>
      <c r="CA343" s="2">
        <f>VLOOKUP([jobnumber],OvalData[],MATCH(Table2[[#Headers],[barrelrings]],Table2[#Headers],0),0)</f>
        <v>1</v>
      </c>
    </row>
    <row r="344" spans="2:79">
      <c r="B344" s="2" t="str">
        <f>VLOOKUP([jobnumber],OvalData[],MATCH(Table2[[#Headers],[Hand]],Table2[#Headers],0),0)</f>
        <v>RH</v>
      </c>
      <c r="C344" s="2" t="str">
        <f>VLOOKUP([jobnumber],OvalData[],MATCH(Table2[[#Headers],[Model]],Table2[#Headers],0),0)</f>
        <v>SFMPP</v>
      </c>
      <c r="D344" s="2" t="str">
        <f>VLOOKUP([jobnumber],OvalData[],MATCH(Table2[[#Headers],[width]],Table2[#Headers],0),0)</f>
        <v xml:space="preserve"> 18 ft.- 2"</v>
      </c>
      <c r="E344" s="2" t="str">
        <f>VLOOKUP([jobnumber],OvalData[],MATCH(Table2[[#Headers],[stopheight]],Table2[#Headers],0),0)</f>
        <v xml:space="preserve"> 10 ft.- 0"</v>
      </c>
      <c r="F344" s="2" t="str">
        <f>VLOOKUP([jobnumber],OvalData[],MATCH(Table2[[#Headers],[Between Brackets]],Table2[#Headers],0),0)</f>
        <v xml:space="preserve"> 18 ft.- 7 7/ 8"</v>
      </c>
      <c r="G344" s="2" t="str">
        <f>VLOOKUP([jobnumber],OvalData[],MATCH(Table2[[#Headers],[shell]],Table2[#Headers],0),0)</f>
        <v>6 INCH TUBE</v>
      </c>
      <c r="H344" s="2" t="str">
        <f>VLOOKUP([jobnumber],OvalData[],MATCH(Table2[[#Headers],[pipewidth]],Table2[#Headers],0),0)</f>
        <v xml:space="preserve"> 18 ft.- 1 3/ 8"</v>
      </c>
      <c r="I344" s="2">
        <f>VLOOKUP([jobnumber],OvalData[],MATCH(Table2[[#Headers],[Support Tubes]],Table2[#Headers],0),0)</f>
        <v>0</v>
      </c>
      <c r="J344" s="2">
        <f>VLOOKUP([jobnumber],OvalData[],MATCH(Table2[[#Headers],[Upset]],Table2[#Headers],0),0)</f>
        <v>2</v>
      </c>
      <c r="K344" s="2" t="str">
        <f>VLOOKUP([jobnumber],OvalData[],MATCH(Table2[[#Headers],[Guide Type]],Table2[#Headers],0),0)</f>
        <v>SN2-4 5/8-E</v>
      </c>
      <c r="L344" s="2" t="str">
        <f>VLOOKUP([jobnumber],OvalData[],MATCH(Table2[[#Headers],[Wall Angle]],Table2[#Headers],0),0)</f>
        <v xml:space="preserve"> 11 ft.- 8"</v>
      </c>
      <c r="M344" s="2" t="str">
        <f>VLOOKUP([jobnumber],OvalData[],MATCH(Table2[[#Headers],[Middle Angle]],Table2[#Headers],0),0)</f>
        <v xml:space="preserve"> 10 ft.- 4 1/ 2"</v>
      </c>
      <c r="N344" s="2" t="str">
        <f>VLOOKUP([jobnumber],OvalData[],MATCH(Table2[[#Headers],[Front Angle]],Table2[#Headers],0),0)</f>
        <v xml:space="preserve"> 10 ft.- 3"</v>
      </c>
      <c r="O344" s="2">
        <f>VLOOKUP([jobnumber],OvalData[],MATCH(Table2[[#Headers],[Pipe Center Line]],Table2[#Headers],0),0)</f>
        <v>131</v>
      </c>
      <c r="P344" s="2">
        <f>VLOOKUP([jobnumber],OvalData[],MATCH(Table2[[#Headers],[Heat Expansion Gap]],Table2[#Headers],0),0)</f>
        <v>0</v>
      </c>
      <c r="Q344" s="2">
        <f>VLOOKUP([jobnumber],OvalData[],MATCH(Table2[[#Headers],[Hanging Weight Closed]],Table2[#Headers],0),0)</f>
        <v>795</v>
      </c>
      <c r="R344" s="2">
        <f>VLOOKUP([jobnumber],OvalData[],MATCH(Table2[[#Headers],[Hanging Weight Open]],Table2[#Headers],0),0)</f>
        <v>140</v>
      </c>
      <c r="S344" s="2">
        <f>VLOOKUP([jobnumber],OvalData[],MATCH(Table2[[#Headers],[Initial Lever Arm]],Table2[#Headers],0),0)</f>
        <v>4.25</v>
      </c>
      <c r="T344" s="2">
        <f>VLOOKUP([jobnumber],OvalData[],MATCH(Table2[[#Headers],[Turns to Raise]],Table2[#Headers],0),0)</f>
        <v>3.5859999999999999</v>
      </c>
      <c r="U344" s="2">
        <f>VLOOKUP([jobnumber],OvalData[],MATCH(Table2[[#Headers],[Final Lever Arm]],Table2[#Headers],0),0)</f>
        <v>6.37</v>
      </c>
      <c r="V344" s="2">
        <f>VLOOKUP([jobnumber],OvalData[],MATCH(Table2[[#Headers],[Torque Required Closed]],Table2[#Headers],0),0)</f>
        <v>3377.9</v>
      </c>
      <c r="W344" s="2">
        <f>VLOOKUP([jobnumber],OvalData[],MATCH(Table2[[#Headers],[Torque Required Open]],Table2[#Headers],0),0)</f>
        <v>892</v>
      </c>
      <c r="X344" s="2">
        <f>VLOOKUP([jobnumber],OvalData[],MATCH(Table2[[#Headers],[Pre Turns]],Table2[#Headers],0),0)</f>
        <v>1.3332999999999999</v>
      </c>
      <c r="Y344" s="2">
        <f>VLOOKUP([jobnumber],OvalData[],MATCH(Table2[[#Headers],[Required Torque Per Turn]],Table2[#Headers],0),0)</f>
        <v>688</v>
      </c>
      <c r="Z344" s="2">
        <f>VLOOKUP([jobnumber],OvalData[],MATCH(Table2[[#Headers],[Total Turns]],Table2[#Headers],0),0)</f>
        <v>4.91</v>
      </c>
      <c r="AA344" s="2">
        <f>VLOOKUP([jobnumber],OvalData[],MATCH(Table2[[#Headers],[Grille Vision Section]],Table2[#Headers],0),0)</f>
        <v>0</v>
      </c>
      <c r="AB344" s="2">
        <f>VLOOKUP([jobnumber],OvalData[],MATCH(Table2[[#Headers],[Grille Amount]],Table2[#Headers],0),0)</f>
        <v>0</v>
      </c>
      <c r="AC344" s="2">
        <f>VLOOKUP([jobnumber],OvalData[],MATCH(Table2[[#Headers],[Grille Center]],Table2[#Headers],0),0)</f>
        <v>0</v>
      </c>
      <c r="AD344" s="2">
        <f>VLOOKUP([jobnumber],OvalData[],MATCH(Table2[[#Headers],[Grille Pattern]],Table2[#Headers],0),0)</f>
        <v>0</v>
      </c>
      <c r="AE344" s="2">
        <f>VLOOKUP([jobnumber],OvalData[],MATCH(Table2[[#Headers],[Grille First Tube]],Table2[#Headers],0),0)</f>
        <v>0</v>
      </c>
      <c r="AF344" s="2">
        <f>VLOOKUP([jobnumber],OvalData[],MATCH(Table2[[#Headers],[Grille Standard Tube]],Table2[#Headers],0),0)</f>
        <v>0</v>
      </c>
      <c r="AG344" s="2">
        <f>VLOOKUP([jobnumber],OvalData[],MATCH(Table2[[#Headers],[Grille Total Links]],Table2[#Headers],0),0)</f>
        <v>0</v>
      </c>
      <c r="AH344" s="2">
        <f>VLOOKUP([jobnumber],OvalData[],MATCH(Table2[[#Headers],[Grille Rods]],Table2[#Headers],0),0)</f>
        <v>0</v>
      </c>
      <c r="AI344" s="2">
        <f>VLOOKUP([jobnumber],OvalData[],MATCH(Table2[[#Headers],[Grille Rod Length]],Table2[#Headers],0),0)</f>
        <v>0</v>
      </c>
      <c r="AJ344" s="2">
        <f>VLOOKUP([jobnumber],OvalData[],MATCH(Table2[[#Headers],[slattype]],Table2[#Headers],0),0)</f>
        <v>2</v>
      </c>
      <c r="AK344" s="2">
        <f>VLOOKUP([jobnumber],OvalData[],MATCH(Table2[[#Headers],[slatgage]],Table2[#Headers],0),0)</f>
        <v>18</v>
      </c>
      <c r="AL344" s="2">
        <f>VLOOKUP([jobnumber],OvalData[],MATCH(Table2[[#Headers],[Numer of Top Slats]],Table2[#Headers],0),0)</f>
        <v>0</v>
      </c>
      <c r="AM344" s="2">
        <f>VLOOKUP([jobnumber],OvalData[],MATCH(Table2[[#Headers],[Number of Bottom Slats]],Table2[#Headers],0),0)</f>
        <v>0</v>
      </c>
      <c r="AN344" s="2">
        <f>VLOOKUP([jobnumber],OvalData[],MATCH(Table2[[#Headers],[Solid Bottom Height]],Table2[#Headers],0),0)</f>
        <v>0</v>
      </c>
      <c r="AO344" s="2" t="str">
        <f>VLOOKUP([jobnumber],OvalData[],MATCH(Table2[[#Headers],[slatlength]],Table2[#Headers],0),0)</f>
        <v xml:space="preserve"> 18 ft.- 5 7/ 8"</v>
      </c>
      <c r="AP344" s="2">
        <f>VLOOKUP([jobnumber],OvalData[],MATCH(Table2[[#Headers],[Bottom Slat Length]],Table2[#Headers],0),0)</f>
        <v>0</v>
      </c>
      <c r="AQ344" s="2">
        <f>VLOOKUP([jobnumber],OvalData[],MATCH(Table2[[#Headers],[Number of Perferated Slats]],Table2[#Headers],0),0)</f>
        <v>0</v>
      </c>
      <c r="AR344" s="2">
        <f>VLOOKUP([jobnumber],OvalData[],MATCH(Table2[[#Headers],[First Preferated Slat From End]],Table2[#Headers],0),0)</f>
        <v>0</v>
      </c>
      <c r="AS344" s="2">
        <f>VLOOKUP([jobnumber],OvalData[],MATCH(Table2[[#Headers],[First Preferated Slat From Bottom]],Table2[#Headers],0),0)</f>
        <v>0</v>
      </c>
      <c r="AT344" s="2">
        <f>VLOOKUP([jobnumber],OvalData[],MATCH(Table2[[#Headers],[Total Number of Slats]],Table2[#Headers],0),0)</f>
        <v>51</v>
      </c>
      <c r="AU344" s="2">
        <f>VLOOKUP([jobnumber],OvalData[],MATCH(Table2[[#Headers],[Bottom Bar Slope]],Table2[#Headers],0),0)</f>
        <v>0</v>
      </c>
      <c r="AV344" s="2">
        <f>VLOOKUP([jobnumber],OvalData[],MATCH(Table2[[#Headers],[Bottom Bar Weight]],Table2[#Headers],0),0)</f>
        <v>80.5</v>
      </c>
      <c r="AW344" s="2" t="str">
        <f>VLOOKUP([jobnumber],OvalData[],MATCH(Table2[[#Headers],[Outer Spring Gage]],Table2[#Headers],0),0)</f>
        <v>Null</v>
      </c>
      <c r="AX344" s="2" t="str">
        <f>VLOOKUP([jobnumber],OvalData[],MATCH(Table2[[#Headers],[Outer Spring OD]],Table2[#Headers],0),0)</f>
        <v>Null</v>
      </c>
      <c r="AY344" s="2" t="str">
        <f>VLOOKUP([jobnumber],OvalData[],MATCH(Table2[[#Headers],[Outer Spring Length]],Table2[#Headers],0),0)</f>
        <v>Null</v>
      </c>
      <c r="AZ344" s="2" t="str">
        <f>VLOOKUP([jobnumber],OvalData[],MATCH(Table2[[#Headers],[Outer Spring Stretch]],Table2[#Headers],0),0)</f>
        <v>Null</v>
      </c>
      <c r="BA344" s="2" t="str">
        <f>VLOOKUP([jobnumber],OvalData[],MATCH(Table2[[#Headers],[Outer Spring Torque]],Table2[#Headers],0),0)</f>
        <v>Null</v>
      </c>
      <c r="BB344" s="2" t="str">
        <f>VLOOKUP([jobnumber],OvalData[],MATCH(Table2[[#Headers],[Outer Spring Max Turns]],Table2[#Headers],0),0)</f>
        <v>Null</v>
      </c>
      <c r="BC344" s="2" t="str">
        <f>VLOOKUP([jobnumber],OvalData[],MATCH(Table2[[#Headers],[Outer Spring Weight]],Table2[#Headers],0),0)</f>
        <v>Null</v>
      </c>
      <c r="BD344" s="2" t="str">
        <f>VLOOKUP([jobnumber],OvalData[],MATCH(Table2[[#Headers],[Inner Spring Gage]],Table2[#Headers],0),0)</f>
        <v>Null</v>
      </c>
      <c r="BE344" s="2" t="str">
        <f>VLOOKUP([jobnumber],OvalData[],MATCH(Table2[[#Headers],[Inner Spring OD]],Table2[#Headers],0),0)</f>
        <v>Null</v>
      </c>
      <c r="BF344" s="2" t="str">
        <f>VLOOKUP([jobnumber],OvalData[],MATCH(Table2[[#Headers],[Inner Spring Length]],Table2[#Headers],0),0)</f>
        <v>Null</v>
      </c>
      <c r="BG344" s="2" t="str">
        <f>VLOOKUP([jobnumber],OvalData[],MATCH(Table2[[#Headers],[Inner Spring Stretch]],Table2[#Headers],0),0)</f>
        <v>Null</v>
      </c>
      <c r="BH344" s="2" t="str">
        <f>VLOOKUP([jobnumber],OvalData[],MATCH(Table2[[#Headers],[Inner Spring Torque]],Table2[#Headers],0),0)</f>
        <v>Null</v>
      </c>
      <c r="BI344" s="2" t="str">
        <f>VLOOKUP([jobnumber],OvalData[],MATCH(Table2[[#Headers],[Inner Spring Max Turns]],Table2[#Headers],0),0)</f>
        <v>Null</v>
      </c>
      <c r="BJ344" s="2" t="str">
        <f>VLOOKUP([jobnumber],OvalData[],MATCH(Table2[[#Headers],[Inner Spring Weight]],Table2[#Headers],0),0)</f>
        <v>Null</v>
      </c>
      <c r="BK344" s="2">
        <f>VLOOKUP([jobnumber],OvalData[],MATCH(Table2[[#Headers],[Cycles]],Table2[#Headers],0),0)</f>
        <v>0</v>
      </c>
      <c r="BL344" s="2">
        <f>VLOOKUP([jobnumber],OvalData[],MATCH(Table2[[#Headers],[Total Spring Torque]],Table2[#Headers],0),0)</f>
        <v>0</v>
      </c>
      <c r="BM344" s="2">
        <f>VLOOKUP([jobnumber],OvalData[],MATCH(Table2[[#Headers],[Total Spring Weight]],Table2[#Headers],0),0)</f>
        <v>0</v>
      </c>
      <c r="BN344" s="2">
        <f>VLOOKUP([jobnumber],OvalData[],MATCH(Table2[[#Headers],[Pipe Weight]],Table2[#Headers],0),0)</f>
        <v>688.24239999999998</v>
      </c>
      <c r="BO344" s="2">
        <f>VLOOKUP([jobnumber],OvalData[],MATCH(Table2[[#Headers],[Max Pipe Deflection]],Table2[#Headers],0),0)</f>
        <v>2309</v>
      </c>
      <c r="BP344" s="2">
        <f>VLOOKUP([jobnumber],OvalData[],MATCH(Table2[[#Headers],[Number Non-Insulated Wrap Slats]],Table2[#Headers],0),0)</f>
        <v>0</v>
      </c>
      <c r="BQ344" s="2">
        <f>VLOOKUP([jobnumber],OvalData[],MATCH(Table2[[#Headers],[Number of Insolated Top Slats]],Table2[#Headers],0),0)</f>
        <v>45</v>
      </c>
      <c r="BR344" s="2">
        <f>VLOOKUP([jobnumber],OvalData[],MATCH(Table2[[#Headers],[Insolated Total Slats]],Table2[#Headers],0),0)</f>
        <v>45</v>
      </c>
      <c r="BS344" s="2">
        <f>VLOOKUP([jobnumber],OvalData[],MATCH(Table2[[#Headers],[Number of Slats]],Table2[#Headers],0),0)</f>
        <v>44.69</v>
      </c>
      <c r="BT344" s="2">
        <f>VLOOKUP([jobnumber],OvalData[],MATCH(Table2[[#Headers],[Wrap]],Table2[#Headers],0),0)</f>
        <v>0</v>
      </c>
      <c r="BU344" s="2">
        <f>VLOOKUP([jobnumber],OvalData[],MATCH(Table2[[#Headers],[Wall Angle Thickness]],Table2[#Headers],0),0)</f>
        <v>0</v>
      </c>
      <c r="BV344" s="2">
        <f>VLOOKUP([jobnumber],OvalData[],MATCH(Table2[[#Headers],[windlocks]],Table2[#Headers],0),0)</f>
        <v>0</v>
      </c>
      <c r="BW344" s="2" t="str">
        <f>VLOOKUP([jobnumber],OvalData[],MATCH(Table2[[#Headers],[bottombartype]],Table2[#Headers],0),0)</f>
        <v>SPECIAL</v>
      </c>
      <c r="BX344" s="2">
        <f>VLOOKUP([jobnumber],OvalData[],MATCH(Table2[[#Headers],[endlockweight]],Table2[#Headers],0),0)</f>
        <v>0.17</v>
      </c>
      <c r="BY344" s="2">
        <f>VLOOKUP([jobnumber],OvalData[],MATCH(Table2[[#Headers],[Endlock Total Weight]],Table2[#Headers],0),0)</f>
        <v>7.5972999999999997</v>
      </c>
      <c r="BZ344" s="2">
        <f>VLOOKUP([jobnumber],OvalData[],MATCH(Table2[[#Headers],[Grille Weight]],Table2[#Headers],0),0)</f>
        <v>0</v>
      </c>
      <c r="CA344" s="2">
        <f>VLOOKUP([jobnumber],OvalData[],MATCH(Table2[[#Headers],[barrelrings]],Table2[#Headers],0),0)</f>
        <v>1</v>
      </c>
    </row>
    <row r="345" spans="2:79">
      <c r="B345" s="2" t="str">
        <f>VLOOKUP([jobnumber],OvalData[],MATCH(Table2[[#Headers],[Hand]],Table2[#Headers],0),0)</f>
        <v>RH</v>
      </c>
      <c r="C345" s="2" t="str">
        <f>VLOOKUP([jobnumber],OvalData[],MATCH(Table2[[#Headers],[Model]],Table2[#Headers],0),0)</f>
        <v>SFMPP</v>
      </c>
      <c r="D345" s="2" t="str">
        <f>VLOOKUP([jobnumber],OvalData[],MATCH(Table2[[#Headers],[width]],Table2[#Headers],0),0)</f>
        <v xml:space="preserve"> 18 ft.- 2"</v>
      </c>
      <c r="E345" s="2" t="str">
        <f>VLOOKUP([jobnumber],OvalData[],MATCH(Table2[[#Headers],[stopheight]],Table2[#Headers],0),0)</f>
        <v xml:space="preserve"> 10 ft.- 0"</v>
      </c>
      <c r="F345" s="2" t="str">
        <f>VLOOKUP([jobnumber],OvalData[],MATCH(Table2[[#Headers],[Between Brackets]],Table2[#Headers],0),0)</f>
        <v xml:space="preserve"> 18 ft.- 7 7/ 8"</v>
      </c>
      <c r="G345" s="2" t="str">
        <f>VLOOKUP([jobnumber],OvalData[],MATCH(Table2[[#Headers],[shell]],Table2[#Headers],0),0)</f>
        <v>6 INCH TUBE</v>
      </c>
      <c r="H345" s="2" t="str">
        <f>VLOOKUP([jobnumber],OvalData[],MATCH(Table2[[#Headers],[pipewidth]],Table2[#Headers],0),0)</f>
        <v xml:space="preserve"> 18 ft.- 1 3/ 8"</v>
      </c>
      <c r="I345" s="2">
        <f>VLOOKUP([jobnumber],OvalData[],MATCH(Table2[[#Headers],[Support Tubes]],Table2[#Headers],0),0)</f>
        <v>0</v>
      </c>
      <c r="J345" s="2">
        <f>VLOOKUP([jobnumber],OvalData[],MATCH(Table2[[#Headers],[Upset]],Table2[#Headers],0),0)</f>
        <v>2</v>
      </c>
      <c r="K345" s="2" t="str">
        <f>VLOOKUP([jobnumber],OvalData[],MATCH(Table2[[#Headers],[Guide Type]],Table2[#Headers],0),0)</f>
        <v>SN2-4 5/8-E</v>
      </c>
      <c r="L345" s="2" t="str">
        <f>VLOOKUP([jobnumber],OvalData[],MATCH(Table2[[#Headers],[Wall Angle]],Table2[#Headers],0),0)</f>
        <v xml:space="preserve"> 11 ft.- 8"</v>
      </c>
      <c r="M345" s="2" t="str">
        <f>VLOOKUP([jobnumber],OvalData[],MATCH(Table2[[#Headers],[Middle Angle]],Table2[#Headers],0),0)</f>
        <v xml:space="preserve"> 10 ft.- 4 1/ 2"</v>
      </c>
      <c r="N345" s="2" t="str">
        <f>VLOOKUP([jobnumber],OvalData[],MATCH(Table2[[#Headers],[Front Angle]],Table2[#Headers],0),0)</f>
        <v xml:space="preserve"> 10 ft.- 3"</v>
      </c>
      <c r="O345" s="2">
        <f>VLOOKUP([jobnumber],OvalData[],MATCH(Table2[[#Headers],[Pipe Center Line]],Table2[#Headers],0),0)</f>
        <v>131</v>
      </c>
      <c r="P345" s="2">
        <f>VLOOKUP([jobnumber],OvalData[],MATCH(Table2[[#Headers],[Heat Expansion Gap]],Table2[#Headers],0),0)</f>
        <v>0</v>
      </c>
      <c r="Q345" s="2">
        <f>VLOOKUP([jobnumber],OvalData[],MATCH(Table2[[#Headers],[Hanging Weight Closed]],Table2[#Headers],0),0)</f>
        <v>795</v>
      </c>
      <c r="R345" s="2">
        <f>VLOOKUP([jobnumber],OvalData[],MATCH(Table2[[#Headers],[Hanging Weight Open]],Table2[#Headers],0),0)</f>
        <v>140</v>
      </c>
      <c r="S345" s="2">
        <f>VLOOKUP([jobnumber],OvalData[],MATCH(Table2[[#Headers],[Initial Lever Arm]],Table2[#Headers],0),0)</f>
        <v>4.25</v>
      </c>
      <c r="T345" s="2">
        <f>VLOOKUP([jobnumber],OvalData[],MATCH(Table2[[#Headers],[Turns to Raise]],Table2[#Headers],0),0)</f>
        <v>3.5859999999999999</v>
      </c>
      <c r="U345" s="2">
        <f>VLOOKUP([jobnumber],OvalData[],MATCH(Table2[[#Headers],[Final Lever Arm]],Table2[#Headers],0),0)</f>
        <v>6.37</v>
      </c>
      <c r="V345" s="2">
        <f>VLOOKUP([jobnumber],OvalData[],MATCH(Table2[[#Headers],[Torque Required Closed]],Table2[#Headers],0),0)</f>
        <v>3377.9</v>
      </c>
      <c r="W345" s="2">
        <f>VLOOKUP([jobnumber],OvalData[],MATCH(Table2[[#Headers],[Torque Required Open]],Table2[#Headers],0),0)</f>
        <v>892</v>
      </c>
      <c r="X345" s="2">
        <f>VLOOKUP([jobnumber],OvalData[],MATCH(Table2[[#Headers],[Pre Turns]],Table2[#Headers],0),0)</f>
        <v>1.3332999999999999</v>
      </c>
      <c r="Y345" s="2">
        <f>VLOOKUP([jobnumber],OvalData[],MATCH(Table2[[#Headers],[Required Torque Per Turn]],Table2[#Headers],0),0)</f>
        <v>688</v>
      </c>
      <c r="Z345" s="2">
        <f>VLOOKUP([jobnumber],OvalData[],MATCH(Table2[[#Headers],[Total Turns]],Table2[#Headers],0),0)</f>
        <v>4.91</v>
      </c>
      <c r="AA345" s="2">
        <f>VLOOKUP([jobnumber],OvalData[],MATCH(Table2[[#Headers],[Grille Vision Section]],Table2[#Headers],0),0)</f>
        <v>0</v>
      </c>
      <c r="AB345" s="2">
        <f>VLOOKUP([jobnumber],OvalData[],MATCH(Table2[[#Headers],[Grille Amount]],Table2[#Headers],0),0)</f>
        <v>0</v>
      </c>
      <c r="AC345" s="2">
        <f>VLOOKUP([jobnumber],OvalData[],MATCH(Table2[[#Headers],[Grille Center]],Table2[#Headers],0),0)</f>
        <v>0</v>
      </c>
      <c r="AD345" s="2">
        <f>VLOOKUP([jobnumber],OvalData[],MATCH(Table2[[#Headers],[Grille Pattern]],Table2[#Headers],0),0)</f>
        <v>0</v>
      </c>
      <c r="AE345" s="2">
        <f>VLOOKUP([jobnumber],OvalData[],MATCH(Table2[[#Headers],[Grille First Tube]],Table2[#Headers],0),0)</f>
        <v>0</v>
      </c>
      <c r="AF345" s="2">
        <f>VLOOKUP([jobnumber],OvalData[],MATCH(Table2[[#Headers],[Grille Standard Tube]],Table2[#Headers],0),0)</f>
        <v>0</v>
      </c>
      <c r="AG345" s="2">
        <f>VLOOKUP([jobnumber],OvalData[],MATCH(Table2[[#Headers],[Grille Total Links]],Table2[#Headers],0),0)</f>
        <v>0</v>
      </c>
      <c r="AH345" s="2">
        <f>VLOOKUP([jobnumber],OvalData[],MATCH(Table2[[#Headers],[Grille Rods]],Table2[#Headers],0),0)</f>
        <v>0</v>
      </c>
      <c r="AI345" s="2">
        <f>VLOOKUP([jobnumber],OvalData[],MATCH(Table2[[#Headers],[Grille Rod Length]],Table2[#Headers],0),0)</f>
        <v>0</v>
      </c>
      <c r="AJ345" s="2">
        <f>VLOOKUP([jobnumber],OvalData[],MATCH(Table2[[#Headers],[slattype]],Table2[#Headers],0),0)</f>
        <v>2</v>
      </c>
      <c r="AK345" s="2">
        <f>VLOOKUP([jobnumber],OvalData[],MATCH(Table2[[#Headers],[slatgage]],Table2[#Headers],0),0)</f>
        <v>18</v>
      </c>
      <c r="AL345" s="2">
        <f>VLOOKUP([jobnumber],OvalData[],MATCH(Table2[[#Headers],[Numer of Top Slats]],Table2[#Headers],0),0)</f>
        <v>0</v>
      </c>
      <c r="AM345" s="2">
        <f>VLOOKUP([jobnumber],OvalData[],MATCH(Table2[[#Headers],[Number of Bottom Slats]],Table2[#Headers],0),0)</f>
        <v>0</v>
      </c>
      <c r="AN345" s="2">
        <f>VLOOKUP([jobnumber],OvalData[],MATCH(Table2[[#Headers],[Solid Bottom Height]],Table2[#Headers],0),0)</f>
        <v>0</v>
      </c>
      <c r="AO345" s="2" t="str">
        <f>VLOOKUP([jobnumber],OvalData[],MATCH(Table2[[#Headers],[slatlength]],Table2[#Headers],0),0)</f>
        <v xml:space="preserve"> 18 ft.- 5 7/ 8"</v>
      </c>
      <c r="AP345" s="2">
        <f>VLOOKUP([jobnumber],OvalData[],MATCH(Table2[[#Headers],[Bottom Slat Length]],Table2[#Headers],0),0)</f>
        <v>0</v>
      </c>
      <c r="AQ345" s="2">
        <f>VLOOKUP([jobnumber],OvalData[],MATCH(Table2[[#Headers],[Number of Perferated Slats]],Table2[#Headers],0),0)</f>
        <v>0</v>
      </c>
      <c r="AR345" s="2">
        <f>VLOOKUP([jobnumber],OvalData[],MATCH(Table2[[#Headers],[First Preferated Slat From End]],Table2[#Headers],0),0)</f>
        <v>0</v>
      </c>
      <c r="AS345" s="2">
        <f>VLOOKUP([jobnumber],OvalData[],MATCH(Table2[[#Headers],[First Preferated Slat From Bottom]],Table2[#Headers],0),0)</f>
        <v>0</v>
      </c>
      <c r="AT345" s="2">
        <f>VLOOKUP([jobnumber],OvalData[],MATCH(Table2[[#Headers],[Total Number of Slats]],Table2[#Headers],0),0)</f>
        <v>51</v>
      </c>
      <c r="AU345" s="2">
        <f>VLOOKUP([jobnumber],OvalData[],MATCH(Table2[[#Headers],[Bottom Bar Slope]],Table2[#Headers],0),0)</f>
        <v>0</v>
      </c>
      <c r="AV345" s="2">
        <f>VLOOKUP([jobnumber],OvalData[],MATCH(Table2[[#Headers],[Bottom Bar Weight]],Table2[#Headers],0),0)</f>
        <v>80.5</v>
      </c>
      <c r="AW345" s="2" t="str">
        <f>VLOOKUP([jobnumber],OvalData[],MATCH(Table2[[#Headers],[Outer Spring Gage]],Table2[#Headers],0),0)</f>
        <v>Null</v>
      </c>
      <c r="AX345" s="2" t="str">
        <f>VLOOKUP([jobnumber],OvalData[],MATCH(Table2[[#Headers],[Outer Spring OD]],Table2[#Headers],0),0)</f>
        <v>Null</v>
      </c>
      <c r="AY345" s="2" t="str">
        <f>VLOOKUP([jobnumber],OvalData[],MATCH(Table2[[#Headers],[Outer Spring Length]],Table2[#Headers],0),0)</f>
        <v>Null</v>
      </c>
      <c r="AZ345" s="2" t="str">
        <f>VLOOKUP([jobnumber],OvalData[],MATCH(Table2[[#Headers],[Outer Spring Stretch]],Table2[#Headers],0),0)</f>
        <v>Null</v>
      </c>
      <c r="BA345" s="2" t="str">
        <f>VLOOKUP([jobnumber],OvalData[],MATCH(Table2[[#Headers],[Outer Spring Torque]],Table2[#Headers],0),0)</f>
        <v>Null</v>
      </c>
      <c r="BB345" s="2" t="str">
        <f>VLOOKUP([jobnumber],OvalData[],MATCH(Table2[[#Headers],[Outer Spring Max Turns]],Table2[#Headers],0),0)</f>
        <v>Null</v>
      </c>
      <c r="BC345" s="2" t="str">
        <f>VLOOKUP([jobnumber],OvalData[],MATCH(Table2[[#Headers],[Outer Spring Weight]],Table2[#Headers],0),0)</f>
        <v>Null</v>
      </c>
      <c r="BD345" s="2" t="str">
        <f>VLOOKUP([jobnumber],OvalData[],MATCH(Table2[[#Headers],[Inner Spring Gage]],Table2[#Headers],0),0)</f>
        <v>Null</v>
      </c>
      <c r="BE345" s="2" t="str">
        <f>VLOOKUP([jobnumber],OvalData[],MATCH(Table2[[#Headers],[Inner Spring OD]],Table2[#Headers],0),0)</f>
        <v>Null</v>
      </c>
      <c r="BF345" s="2" t="str">
        <f>VLOOKUP([jobnumber],OvalData[],MATCH(Table2[[#Headers],[Inner Spring Length]],Table2[#Headers],0),0)</f>
        <v>Null</v>
      </c>
      <c r="BG345" s="2" t="str">
        <f>VLOOKUP([jobnumber],OvalData[],MATCH(Table2[[#Headers],[Inner Spring Stretch]],Table2[#Headers],0),0)</f>
        <v>Null</v>
      </c>
      <c r="BH345" s="2" t="str">
        <f>VLOOKUP([jobnumber],OvalData[],MATCH(Table2[[#Headers],[Inner Spring Torque]],Table2[#Headers],0),0)</f>
        <v>Null</v>
      </c>
      <c r="BI345" s="2" t="str">
        <f>VLOOKUP([jobnumber],OvalData[],MATCH(Table2[[#Headers],[Inner Spring Max Turns]],Table2[#Headers],0),0)</f>
        <v>Null</v>
      </c>
      <c r="BJ345" s="2" t="str">
        <f>VLOOKUP([jobnumber],OvalData[],MATCH(Table2[[#Headers],[Inner Spring Weight]],Table2[#Headers],0),0)</f>
        <v>Null</v>
      </c>
      <c r="BK345" s="2">
        <f>VLOOKUP([jobnumber],OvalData[],MATCH(Table2[[#Headers],[Cycles]],Table2[#Headers],0),0)</f>
        <v>0</v>
      </c>
      <c r="BL345" s="2">
        <f>VLOOKUP([jobnumber],OvalData[],MATCH(Table2[[#Headers],[Total Spring Torque]],Table2[#Headers],0),0)</f>
        <v>0</v>
      </c>
      <c r="BM345" s="2">
        <f>VLOOKUP([jobnumber],OvalData[],MATCH(Table2[[#Headers],[Total Spring Weight]],Table2[#Headers],0),0)</f>
        <v>0</v>
      </c>
      <c r="BN345" s="2">
        <f>VLOOKUP([jobnumber],OvalData[],MATCH(Table2[[#Headers],[Pipe Weight]],Table2[#Headers],0),0)</f>
        <v>688.24239999999998</v>
      </c>
      <c r="BO345" s="2">
        <f>VLOOKUP([jobnumber],OvalData[],MATCH(Table2[[#Headers],[Max Pipe Deflection]],Table2[#Headers],0),0)</f>
        <v>2309</v>
      </c>
      <c r="BP345" s="2">
        <f>VLOOKUP([jobnumber],OvalData[],MATCH(Table2[[#Headers],[Number Non-Insulated Wrap Slats]],Table2[#Headers],0),0)</f>
        <v>0</v>
      </c>
      <c r="BQ345" s="2">
        <f>VLOOKUP([jobnumber],OvalData[],MATCH(Table2[[#Headers],[Number of Insolated Top Slats]],Table2[#Headers],0),0)</f>
        <v>45</v>
      </c>
      <c r="BR345" s="2">
        <f>VLOOKUP([jobnumber],OvalData[],MATCH(Table2[[#Headers],[Insolated Total Slats]],Table2[#Headers],0),0)</f>
        <v>45</v>
      </c>
      <c r="BS345" s="2">
        <f>VLOOKUP([jobnumber],OvalData[],MATCH(Table2[[#Headers],[Number of Slats]],Table2[#Headers],0),0)</f>
        <v>44.69</v>
      </c>
      <c r="BT345" s="2">
        <f>VLOOKUP([jobnumber],OvalData[],MATCH(Table2[[#Headers],[Wrap]],Table2[#Headers],0),0)</f>
        <v>0</v>
      </c>
      <c r="BU345" s="2">
        <f>VLOOKUP([jobnumber],OvalData[],MATCH(Table2[[#Headers],[Wall Angle Thickness]],Table2[#Headers],0),0)</f>
        <v>0</v>
      </c>
      <c r="BV345" s="2">
        <f>VLOOKUP([jobnumber],OvalData[],MATCH(Table2[[#Headers],[windlocks]],Table2[#Headers],0),0)</f>
        <v>0</v>
      </c>
      <c r="BW345" s="2" t="str">
        <f>VLOOKUP([jobnumber],OvalData[],MATCH(Table2[[#Headers],[bottombartype]],Table2[#Headers],0),0)</f>
        <v>SPECIAL</v>
      </c>
      <c r="BX345" s="2">
        <f>VLOOKUP([jobnumber],OvalData[],MATCH(Table2[[#Headers],[endlockweight]],Table2[#Headers],0),0)</f>
        <v>0.17</v>
      </c>
      <c r="BY345" s="2">
        <f>VLOOKUP([jobnumber],OvalData[],MATCH(Table2[[#Headers],[Endlock Total Weight]],Table2[#Headers],0),0)</f>
        <v>7.5972999999999997</v>
      </c>
      <c r="BZ345" s="2">
        <f>VLOOKUP([jobnumber],OvalData[],MATCH(Table2[[#Headers],[Grille Weight]],Table2[#Headers],0),0)</f>
        <v>0</v>
      </c>
      <c r="CA345" s="2">
        <f>VLOOKUP([jobnumber],OvalData[],MATCH(Table2[[#Headers],[barrelrings]],Table2[#Headers],0),0)</f>
        <v>1</v>
      </c>
    </row>
    <row r="346" spans="2:79">
      <c r="B346" s="2" t="str">
        <f>VLOOKUP([jobnumber],OvalData[],MATCH(Table2[[#Headers],[Hand]],Table2[#Headers],0),0)</f>
        <v>RH</v>
      </c>
      <c r="C346" s="2" t="str">
        <f>VLOOKUP([jobnumber],OvalData[],MATCH(Table2[[#Headers],[Model]],Table2[#Headers],0),0)</f>
        <v>SFMPP</v>
      </c>
      <c r="D346" s="2" t="str">
        <f>VLOOKUP([jobnumber],OvalData[],MATCH(Table2[[#Headers],[width]],Table2[#Headers],0),0)</f>
        <v xml:space="preserve"> 18 ft.- 2"</v>
      </c>
      <c r="E346" s="2" t="str">
        <f>VLOOKUP([jobnumber],OvalData[],MATCH(Table2[[#Headers],[stopheight]],Table2[#Headers],0),0)</f>
        <v xml:space="preserve"> 10 ft.- 0"</v>
      </c>
      <c r="F346" s="2" t="str">
        <f>VLOOKUP([jobnumber],OvalData[],MATCH(Table2[[#Headers],[Between Brackets]],Table2[#Headers],0),0)</f>
        <v xml:space="preserve"> 18 ft.- 7 7/ 8"</v>
      </c>
      <c r="G346" s="2" t="str">
        <f>VLOOKUP([jobnumber],OvalData[],MATCH(Table2[[#Headers],[shell]],Table2[#Headers],0),0)</f>
        <v>6 INCH TUBE</v>
      </c>
      <c r="H346" s="2" t="str">
        <f>VLOOKUP([jobnumber],OvalData[],MATCH(Table2[[#Headers],[pipewidth]],Table2[#Headers],0),0)</f>
        <v xml:space="preserve"> 18 ft.- 1 3/ 8"</v>
      </c>
      <c r="I346" s="2">
        <f>VLOOKUP([jobnumber],OvalData[],MATCH(Table2[[#Headers],[Support Tubes]],Table2[#Headers],0),0)</f>
        <v>0</v>
      </c>
      <c r="J346" s="2">
        <f>VLOOKUP([jobnumber],OvalData[],MATCH(Table2[[#Headers],[Upset]],Table2[#Headers],0),0)</f>
        <v>2</v>
      </c>
      <c r="K346" s="2" t="str">
        <f>VLOOKUP([jobnumber],OvalData[],MATCH(Table2[[#Headers],[Guide Type]],Table2[#Headers],0),0)</f>
        <v>SN2-4 5/8-E</v>
      </c>
      <c r="L346" s="2" t="str">
        <f>VLOOKUP([jobnumber],OvalData[],MATCH(Table2[[#Headers],[Wall Angle]],Table2[#Headers],0),0)</f>
        <v xml:space="preserve"> 11 ft.- 8"</v>
      </c>
      <c r="M346" s="2" t="str">
        <f>VLOOKUP([jobnumber],OvalData[],MATCH(Table2[[#Headers],[Middle Angle]],Table2[#Headers],0),0)</f>
        <v xml:space="preserve"> 10 ft.- 4 1/ 2"</v>
      </c>
      <c r="N346" s="2" t="str">
        <f>VLOOKUP([jobnumber],OvalData[],MATCH(Table2[[#Headers],[Front Angle]],Table2[#Headers],0),0)</f>
        <v xml:space="preserve"> 10 ft.- 3"</v>
      </c>
      <c r="O346" s="2">
        <f>VLOOKUP([jobnumber],OvalData[],MATCH(Table2[[#Headers],[Pipe Center Line]],Table2[#Headers],0),0)</f>
        <v>131</v>
      </c>
      <c r="P346" s="2">
        <f>VLOOKUP([jobnumber],OvalData[],MATCH(Table2[[#Headers],[Heat Expansion Gap]],Table2[#Headers],0),0)</f>
        <v>0</v>
      </c>
      <c r="Q346" s="2">
        <f>VLOOKUP([jobnumber],OvalData[],MATCH(Table2[[#Headers],[Hanging Weight Closed]],Table2[#Headers],0),0)</f>
        <v>795</v>
      </c>
      <c r="R346" s="2">
        <f>VLOOKUP([jobnumber],OvalData[],MATCH(Table2[[#Headers],[Hanging Weight Open]],Table2[#Headers],0),0)</f>
        <v>140</v>
      </c>
      <c r="S346" s="2">
        <f>VLOOKUP([jobnumber],OvalData[],MATCH(Table2[[#Headers],[Initial Lever Arm]],Table2[#Headers],0),0)</f>
        <v>4.25</v>
      </c>
      <c r="T346" s="2">
        <f>VLOOKUP([jobnumber],OvalData[],MATCH(Table2[[#Headers],[Turns to Raise]],Table2[#Headers],0),0)</f>
        <v>3.5859999999999999</v>
      </c>
      <c r="U346" s="2">
        <f>VLOOKUP([jobnumber],OvalData[],MATCH(Table2[[#Headers],[Final Lever Arm]],Table2[#Headers],0),0)</f>
        <v>6.37</v>
      </c>
      <c r="V346" s="2">
        <f>VLOOKUP([jobnumber],OvalData[],MATCH(Table2[[#Headers],[Torque Required Closed]],Table2[#Headers],0),0)</f>
        <v>3377.9</v>
      </c>
      <c r="W346" s="2">
        <f>VLOOKUP([jobnumber],OvalData[],MATCH(Table2[[#Headers],[Torque Required Open]],Table2[#Headers],0),0)</f>
        <v>892</v>
      </c>
      <c r="X346" s="2">
        <f>VLOOKUP([jobnumber],OvalData[],MATCH(Table2[[#Headers],[Pre Turns]],Table2[#Headers],0),0)</f>
        <v>1.3332999999999999</v>
      </c>
      <c r="Y346" s="2">
        <f>VLOOKUP([jobnumber],OvalData[],MATCH(Table2[[#Headers],[Required Torque Per Turn]],Table2[#Headers],0),0)</f>
        <v>688</v>
      </c>
      <c r="Z346" s="2">
        <f>VLOOKUP([jobnumber],OvalData[],MATCH(Table2[[#Headers],[Total Turns]],Table2[#Headers],0),0)</f>
        <v>4.91</v>
      </c>
      <c r="AA346" s="2">
        <f>VLOOKUP([jobnumber],OvalData[],MATCH(Table2[[#Headers],[Grille Vision Section]],Table2[#Headers],0),0)</f>
        <v>0</v>
      </c>
      <c r="AB346" s="2">
        <f>VLOOKUP([jobnumber],OvalData[],MATCH(Table2[[#Headers],[Grille Amount]],Table2[#Headers],0),0)</f>
        <v>0</v>
      </c>
      <c r="AC346" s="2">
        <f>VLOOKUP([jobnumber],OvalData[],MATCH(Table2[[#Headers],[Grille Center]],Table2[#Headers],0),0)</f>
        <v>0</v>
      </c>
      <c r="AD346" s="2">
        <f>VLOOKUP([jobnumber],OvalData[],MATCH(Table2[[#Headers],[Grille Pattern]],Table2[#Headers],0),0)</f>
        <v>0</v>
      </c>
      <c r="AE346" s="2">
        <f>VLOOKUP([jobnumber],OvalData[],MATCH(Table2[[#Headers],[Grille First Tube]],Table2[#Headers],0),0)</f>
        <v>0</v>
      </c>
      <c r="AF346" s="2">
        <f>VLOOKUP([jobnumber],OvalData[],MATCH(Table2[[#Headers],[Grille Standard Tube]],Table2[#Headers],0),0)</f>
        <v>0</v>
      </c>
      <c r="AG346" s="2">
        <f>VLOOKUP([jobnumber],OvalData[],MATCH(Table2[[#Headers],[Grille Total Links]],Table2[#Headers],0),0)</f>
        <v>0</v>
      </c>
      <c r="AH346" s="2">
        <f>VLOOKUP([jobnumber],OvalData[],MATCH(Table2[[#Headers],[Grille Rods]],Table2[#Headers],0),0)</f>
        <v>0</v>
      </c>
      <c r="AI346" s="2">
        <f>VLOOKUP([jobnumber],OvalData[],MATCH(Table2[[#Headers],[Grille Rod Length]],Table2[#Headers],0),0)</f>
        <v>0</v>
      </c>
      <c r="AJ346" s="2">
        <f>VLOOKUP([jobnumber],OvalData[],MATCH(Table2[[#Headers],[slattype]],Table2[#Headers],0),0)</f>
        <v>2</v>
      </c>
      <c r="AK346" s="2">
        <f>VLOOKUP([jobnumber],OvalData[],MATCH(Table2[[#Headers],[slatgage]],Table2[#Headers],0),0)</f>
        <v>18</v>
      </c>
      <c r="AL346" s="2">
        <f>VLOOKUP([jobnumber],OvalData[],MATCH(Table2[[#Headers],[Numer of Top Slats]],Table2[#Headers],0),0)</f>
        <v>0</v>
      </c>
      <c r="AM346" s="2">
        <f>VLOOKUP([jobnumber],OvalData[],MATCH(Table2[[#Headers],[Number of Bottom Slats]],Table2[#Headers],0),0)</f>
        <v>0</v>
      </c>
      <c r="AN346" s="2">
        <f>VLOOKUP([jobnumber],OvalData[],MATCH(Table2[[#Headers],[Solid Bottom Height]],Table2[#Headers],0),0)</f>
        <v>0</v>
      </c>
      <c r="AO346" s="2" t="str">
        <f>VLOOKUP([jobnumber],OvalData[],MATCH(Table2[[#Headers],[slatlength]],Table2[#Headers],0),0)</f>
        <v xml:space="preserve"> 18 ft.- 5 7/ 8"</v>
      </c>
      <c r="AP346" s="2">
        <f>VLOOKUP([jobnumber],OvalData[],MATCH(Table2[[#Headers],[Bottom Slat Length]],Table2[#Headers],0),0)</f>
        <v>0</v>
      </c>
      <c r="AQ346" s="2">
        <f>VLOOKUP([jobnumber],OvalData[],MATCH(Table2[[#Headers],[Number of Perferated Slats]],Table2[#Headers],0),0)</f>
        <v>0</v>
      </c>
      <c r="AR346" s="2">
        <f>VLOOKUP([jobnumber],OvalData[],MATCH(Table2[[#Headers],[First Preferated Slat From End]],Table2[#Headers],0),0)</f>
        <v>0</v>
      </c>
      <c r="AS346" s="2">
        <f>VLOOKUP([jobnumber],OvalData[],MATCH(Table2[[#Headers],[First Preferated Slat From Bottom]],Table2[#Headers],0),0)</f>
        <v>0</v>
      </c>
      <c r="AT346" s="2">
        <f>VLOOKUP([jobnumber],OvalData[],MATCH(Table2[[#Headers],[Total Number of Slats]],Table2[#Headers],0),0)</f>
        <v>51</v>
      </c>
      <c r="AU346" s="2">
        <f>VLOOKUP([jobnumber],OvalData[],MATCH(Table2[[#Headers],[Bottom Bar Slope]],Table2[#Headers],0),0)</f>
        <v>0</v>
      </c>
      <c r="AV346" s="2">
        <f>VLOOKUP([jobnumber],OvalData[],MATCH(Table2[[#Headers],[Bottom Bar Weight]],Table2[#Headers],0),0)</f>
        <v>80.5</v>
      </c>
      <c r="AW346" s="2" t="str">
        <f>VLOOKUP([jobnumber],OvalData[],MATCH(Table2[[#Headers],[Outer Spring Gage]],Table2[#Headers],0),0)</f>
        <v>Null</v>
      </c>
      <c r="AX346" s="2" t="str">
        <f>VLOOKUP([jobnumber],OvalData[],MATCH(Table2[[#Headers],[Outer Spring OD]],Table2[#Headers],0),0)</f>
        <v>Null</v>
      </c>
      <c r="AY346" s="2" t="str">
        <f>VLOOKUP([jobnumber],OvalData[],MATCH(Table2[[#Headers],[Outer Spring Length]],Table2[#Headers],0),0)</f>
        <v>Null</v>
      </c>
      <c r="AZ346" s="2" t="str">
        <f>VLOOKUP([jobnumber],OvalData[],MATCH(Table2[[#Headers],[Outer Spring Stretch]],Table2[#Headers],0),0)</f>
        <v>Null</v>
      </c>
      <c r="BA346" s="2" t="str">
        <f>VLOOKUP([jobnumber],OvalData[],MATCH(Table2[[#Headers],[Outer Spring Torque]],Table2[#Headers],0),0)</f>
        <v>Null</v>
      </c>
      <c r="BB346" s="2" t="str">
        <f>VLOOKUP([jobnumber],OvalData[],MATCH(Table2[[#Headers],[Outer Spring Max Turns]],Table2[#Headers],0),0)</f>
        <v>Null</v>
      </c>
      <c r="BC346" s="2" t="str">
        <f>VLOOKUP([jobnumber],OvalData[],MATCH(Table2[[#Headers],[Outer Spring Weight]],Table2[#Headers],0),0)</f>
        <v>Null</v>
      </c>
      <c r="BD346" s="2" t="str">
        <f>VLOOKUP([jobnumber],OvalData[],MATCH(Table2[[#Headers],[Inner Spring Gage]],Table2[#Headers],0),0)</f>
        <v>Null</v>
      </c>
      <c r="BE346" s="2" t="str">
        <f>VLOOKUP([jobnumber],OvalData[],MATCH(Table2[[#Headers],[Inner Spring OD]],Table2[#Headers],0),0)</f>
        <v>Null</v>
      </c>
      <c r="BF346" s="2" t="str">
        <f>VLOOKUP([jobnumber],OvalData[],MATCH(Table2[[#Headers],[Inner Spring Length]],Table2[#Headers],0),0)</f>
        <v>Null</v>
      </c>
      <c r="BG346" s="2" t="str">
        <f>VLOOKUP([jobnumber],OvalData[],MATCH(Table2[[#Headers],[Inner Spring Stretch]],Table2[#Headers],0),0)</f>
        <v>Null</v>
      </c>
      <c r="BH346" s="2" t="str">
        <f>VLOOKUP([jobnumber],OvalData[],MATCH(Table2[[#Headers],[Inner Spring Torque]],Table2[#Headers],0),0)</f>
        <v>Null</v>
      </c>
      <c r="BI346" s="2" t="str">
        <f>VLOOKUP([jobnumber],OvalData[],MATCH(Table2[[#Headers],[Inner Spring Max Turns]],Table2[#Headers],0),0)</f>
        <v>Null</v>
      </c>
      <c r="BJ346" s="2" t="str">
        <f>VLOOKUP([jobnumber],OvalData[],MATCH(Table2[[#Headers],[Inner Spring Weight]],Table2[#Headers],0),0)</f>
        <v>Null</v>
      </c>
      <c r="BK346" s="2">
        <f>VLOOKUP([jobnumber],OvalData[],MATCH(Table2[[#Headers],[Cycles]],Table2[#Headers],0),0)</f>
        <v>0</v>
      </c>
      <c r="BL346" s="2">
        <f>VLOOKUP([jobnumber],OvalData[],MATCH(Table2[[#Headers],[Total Spring Torque]],Table2[#Headers],0),0)</f>
        <v>0</v>
      </c>
      <c r="BM346" s="2">
        <f>VLOOKUP([jobnumber],OvalData[],MATCH(Table2[[#Headers],[Total Spring Weight]],Table2[#Headers],0),0)</f>
        <v>0</v>
      </c>
      <c r="BN346" s="2">
        <f>VLOOKUP([jobnumber],OvalData[],MATCH(Table2[[#Headers],[Pipe Weight]],Table2[#Headers],0),0)</f>
        <v>688.24239999999998</v>
      </c>
      <c r="BO346" s="2">
        <f>VLOOKUP([jobnumber],OvalData[],MATCH(Table2[[#Headers],[Max Pipe Deflection]],Table2[#Headers],0),0)</f>
        <v>2309</v>
      </c>
      <c r="BP346" s="2">
        <f>VLOOKUP([jobnumber],OvalData[],MATCH(Table2[[#Headers],[Number Non-Insulated Wrap Slats]],Table2[#Headers],0),0)</f>
        <v>0</v>
      </c>
      <c r="BQ346" s="2">
        <f>VLOOKUP([jobnumber],OvalData[],MATCH(Table2[[#Headers],[Number of Insolated Top Slats]],Table2[#Headers],0),0)</f>
        <v>45</v>
      </c>
      <c r="BR346" s="2">
        <f>VLOOKUP([jobnumber],OvalData[],MATCH(Table2[[#Headers],[Insolated Total Slats]],Table2[#Headers],0),0)</f>
        <v>45</v>
      </c>
      <c r="BS346" s="2">
        <f>VLOOKUP([jobnumber],OvalData[],MATCH(Table2[[#Headers],[Number of Slats]],Table2[#Headers],0),0)</f>
        <v>44.69</v>
      </c>
      <c r="BT346" s="2">
        <f>VLOOKUP([jobnumber],OvalData[],MATCH(Table2[[#Headers],[Wrap]],Table2[#Headers],0),0)</f>
        <v>0</v>
      </c>
      <c r="BU346" s="2">
        <f>VLOOKUP([jobnumber],OvalData[],MATCH(Table2[[#Headers],[Wall Angle Thickness]],Table2[#Headers],0),0)</f>
        <v>0</v>
      </c>
      <c r="BV346" s="2">
        <f>VLOOKUP([jobnumber],OvalData[],MATCH(Table2[[#Headers],[windlocks]],Table2[#Headers],0),0)</f>
        <v>0</v>
      </c>
      <c r="BW346" s="2" t="str">
        <f>VLOOKUP([jobnumber],OvalData[],MATCH(Table2[[#Headers],[bottombartype]],Table2[#Headers],0),0)</f>
        <v>SPECIAL</v>
      </c>
      <c r="BX346" s="2">
        <f>VLOOKUP([jobnumber],OvalData[],MATCH(Table2[[#Headers],[endlockweight]],Table2[#Headers],0),0)</f>
        <v>0.17</v>
      </c>
      <c r="BY346" s="2">
        <f>VLOOKUP([jobnumber],OvalData[],MATCH(Table2[[#Headers],[Endlock Total Weight]],Table2[#Headers],0),0)</f>
        <v>7.5972999999999997</v>
      </c>
      <c r="BZ346" s="2">
        <f>VLOOKUP([jobnumber],OvalData[],MATCH(Table2[[#Headers],[Grille Weight]],Table2[#Headers],0),0)</f>
        <v>0</v>
      </c>
      <c r="CA346" s="2">
        <f>VLOOKUP([jobnumber],OvalData[],MATCH(Table2[[#Headers],[barrelrings]],Table2[#Headers],0),0)</f>
        <v>1</v>
      </c>
    </row>
    <row r="347" spans="2:79">
      <c r="B347" s="2" t="str">
        <f>VLOOKUP([jobnumber],OvalData[],MATCH(Table2[[#Headers],[Hand]],Table2[#Headers],0),0)</f>
        <v>RH</v>
      </c>
      <c r="C347" s="2" t="str">
        <f>VLOOKUP([jobnumber],OvalData[],MATCH(Table2[[#Headers],[Model]],Table2[#Headers],0),0)</f>
        <v>SFMPP</v>
      </c>
      <c r="D347" s="2" t="str">
        <f>VLOOKUP([jobnumber],OvalData[],MATCH(Table2[[#Headers],[width]],Table2[#Headers],0),0)</f>
        <v xml:space="preserve"> 18 ft.- 2"</v>
      </c>
      <c r="E347" s="2" t="str">
        <f>VLOOKUP([jobnumber],OvalData[],MATCH(Table2[[#Headers],[stopheight]],Table2[#Headers],0),0)</f>
        <v xml:space="preserve"> 10 ft.- 0"</v>
      </c>
      <c r="F347" s="2" t="str">
        <f>VLOOKUP([jobnumber],OvalData[],MATCH(Table2[[#Headers],[Between Brackets]],Table2[#Headers],0),0)</f>
        <v xml:space="preserve"> 18 ft.- 7 7/ 8"</v>
      </c>
      <c r="G347" s="2" t="str">
        <f>VLOOKUP([jobnumber],OvalData[],MATCH(Table2[[#Headers],[shell]],Table2[#Headers],0),0)</f>
        <v>6 INCH TUBE</v>
      </c>
      <c r="H347" s="2" t="str">
        <f>VLOOKUP([jobnumber],OvalData[],MATCH(Table2[[#Headers],[pipewidth]],Table2[#Headers],0),0)</f>
        <v xml:space="preserve"> 18 ft.- 1 3/ 8"</v>
      </c>
      <c r="I347" s="2">
        <f>VLOOKUP([jobnumber],OvalData[],MATCH(Table2[[#Headers],[Support Tubes]],Table2[#Headers],0),0)</f>
        <v>0</v>
      </c>
      <c r="J347" s="2">
        <f>VLOOKUP([jobnumber],OvalData[],MATCH(Table2[[#Headers],[Upset]],Table2[#Headers],0),0)</f>
        <v>2</v>
      </c>
      <c r="K347" s="2" t="str">
        <f>VLOOKUP([jobnumber],OvalData[],MATCH(Table2[[#Headers],[Guide Type]],Table2[#Headers],0),0)</f>
        <v>SN2-4 5/8-E</v>
      </c>
      <c r="L347" s="2" t="str">
        <f>VLOOKUP([jobnumber],OvalData[],MATCH(Table2[[#Headers],[Wall Angle]],Table2[#Headers],0),0)</f>
        <v xml:space="preserve"> 11 ft.- 8"</v>
      </c>
      <c r="M347" s="2" t="str">
        <f>VLOOKUP([jobnumber],OvalData[],MATCH(Table2[[#Headers],[Middle Angle]],Table2[#Headers],0),0)</f>
        <v xml:space="preserve"> 10 ft.- 4 1/ 2"</v>
      </c>
      <c r="N347" s="2" t="str">
        <f>VLOOKUP([jobnumber],OvalData[],MATCH(Table2[[#Headers],[Front Angle]],Table2[#Headers],0),0)</f>
        <v xml:space="preserve"> 10 ft.- 3"</v>
      </c>
      <c r="O347" s="2">
        <f>VLOOKUP([jobnumber],OvalData[],MATCH(Table2[[#Headers],[Pipe Center Line]],Table2[#Headers],0),0)</f>
        <v>131</v>
      </c>
      <c r="P347" s="2">
        <f>VLOOKUP([jobnumber],OvalData[],MATCH(Table2[[#Headers],[Heat Expansion Gap]],Table2[#Headers],0),0)</f>
        <v>0</v>
      </c>
      <c r="Q347" s="2">
        <f>VLOOKUP([jobnumber],OvalData[],MATCH(Table2[[#Headers],[Hanging Weight Closed]],Table2[#Headers],0),0)</f>
        <v>795</v>
      </c>
      <c r="R347" s="2">
        <f>VLOOKUP([jobnumber],OvalData[],MATCH(Table2[[#Headers],[Hanging Weight Open]],Table2[#Headers],0),0)</f>
        <v>140</v>
      </c>
      <c r="S347" s="2">
        <f>VLOOKUP([jobnumber],OvalData[],MATCH(Table2[[#Headers],[Initial Lever Arm]],Table2[#Headers],0),0)</f>
        <v>4.25</v>
      </c>
      <c r="T347" s="2">
        <f>VLOOKUP([jobnumber],OvalData[],MATCH(Table2[[#Headers],[Turns to Raise]],Table2[#Headers],0),0)</f>
        <v>3.5859999999999999</v>
      </c>
      <c r="U347" s="2">
        <f>VLOOKUP([jobnumber],OvalData[],MATCH(Table2[[#Headers],[Final Lever Arm]],Table2[#Headers],0),0)</f>
        <v>6.37</v>
      </c>
      <c r="V347" s="2">
        <f>VLOOKUP([jobnumber],OvalData[],MATCH(Table2[[#Headers],[Torque Required Closed]],Table2[#Headers],0),0)</f>
        <v>3377.9</v>
      </c>
      <c r="W347" s="2">
        <f>VLOOKUP([jobnumber],OvalData[],MATCH(Table2[[#Headers],[Torque Required Open]],Table2[#Headers],0),0)</f>
        <v>892</v>
      </c>
      <c r="X347" s="2">
        <f>VLOOKUP([jobnumber],OvalData[],MATCH(Table2[[#Headers],[Pre Turns]],Table2[#Headers],0),0)</f>
        <v>1.3332999999999999</v>
      </c>
      <c r="Y347" s="2">
        <f>VLOOKUP([jobnumber],OvalData[],MATCH(Table2[[#Headers],[Required Torque Per Turn]],Table2[#Headers],0),0)</f>
        <v>688</v>
      </c>
      <c r="Z347" s="2">
        <f>VLOOKUP([jobnumber],OvalData[],MATCH(Table2[[#Headers],[Total Turns]],Table2[#Headers],0),0)</f>
        <v>4.91</v>
      </c>
      <c r="AA347" s="2">
        <f>VLOOKUP([jobnumber],OvalData[],MATCH(Table2[[#Headers],[Grille Vision Section]],Table2[#Headers],0),0)</f>
        <v>0</v>
      </c>
      <c r="AB347" s="2">
        <f>VLOOKUP([jobnumber],OvalData[],MATCH(Table2[[#Headers],[Grille Amount]],Table2[#Headers],0),0)</f>
        <v>0</v>
      </c>
      <c r="AC347" s="2">
        <f>VLOOKUP([jobnumber],OvalData[],MATCH(Table2[[#Headers],[Grille Center]],Table2[#Headers],0),0)</f>
        <v>0</v>
      </c>
      <c r="AD347" s="2">
        <f>VLOOKUP([jobnumber],OvalData[],MATCH(Table2[[#Headers],[Grille Pattern]],Table2[#Headers],0),0)</f>
        <v>0</v>
      </c>
      <c r="AE347" s="2">
        <f>VLOOKUP([jobnumber],OvalData[],MATCH(Table2[[#Headers],[Grille First Tube]],Table2[#Headers],0),0)</f>
        <v>0</v>
      </c>
      <c r="AF347" s="2">
        <f>VLOOKUP([jobnumber],OvalData[],MATCH(Table2[[#Headers],[Grille Standard Tube]],Table2[#Headers],0),0)</f>
        <v>0</v>
      </c>
      <c r="AG347" s="2">
        <f>VLOOKUP([jobnumber],OvalData[],MATCH(Table2[[#Headers],[Grille Total Links]],Table2[#Headers],0),0)</f>
        <v>0</v>
      </c>
      <c r="AH347" s="2">
        <f>VLOOKUP([jobnumber],OvalData[],MATCH(Table2[[#Headers],[Grille Rods]],Table2[#Headers],0),0)</f>
        <v>0</v>
      </c>
      <c r="AI347" s="2">
        <f>VLOOKUP([jobnumber],OvalData[],MATCH(Table2[[#Headers],[Grille Rod Length]],Table2[#Headers],0),0)</f>
        <v>0</v>
      </c>
      <c r="AJ347" s="2">
        <f>VLOOKUP([jobnumber],OvalData[],MATCH(Table2[[#Headers],[slattype]],Table2[#Headers],0),0)</f>
        <v>2</v>
      </c>
      <c r="AK347" s="2">
        <f>VLOOKUP([jobnumber],OvalData[],MATCH(Table2[[#Headers],[slatgage]],Table2[#Headers],0),0)</f>
        <v>18</v>
      </c>
      <c r="AL347" s="2">
        <f>VLOOKUP([jobnumber],OvalData[],MATCH(Table2[[#Headers],[Numer of Top Slats]],Table2[#Headers],0),0)</f>
        <v>0</v>
      </c>
      <c r="AM347" s="2">
        <f>VLOOKUP([jobnumber],OvalData[],MATCH(Table2[[#Headers],[Number of Bottom Slats]],Table2[#Headers],0),0)</f>
        <v>0</v>
      </c>
      <c r="AN347" s="2">
        <f>VLOOKUP([jobnumber],OvalData[],MATCH(Table2[[#Headers],[Solid Bottom Height]],Table2[#Headers],0),0)</f>
        <v>0</v>
      </c>
      <c r="AO347" s="2" t="str">
        <f>VLOOKUP([jobnumber],OvalData[],MATCH(Table2[[#Headers],[slatlength]],Table2[#Headers],0),0)</f>
        <v xml:space="preserve"> 18 ft.- 5 7/ 8"</v>
      </c>
      <c r="AP347" s="2">
        <f>VLOOKUP([jobnumber],OvalData[],MATCH(Table2[[#Headers],[Bottom Slat Length]],Table2[#Headers],0),0)</f>
        <v>0</v>
      </c>
      <c r="AQ347" s="2">
        <f>VLOOKUP([jobnumber],OvalData[],MATCH(Table2[[#Headers],[Number of Perferated Slats]],Table2[#Headers],0),0)</f>
        <v>0</v>
      </c>
      <c r="AR347" s="2">
        <f>VLOOKUP([jobnumber],OvalData[],MATCH(Table2[[#Headers],[First Preferated Slat From End]],Table2[#Headers],0),0)</f>
        <v>0</v>
      </c>
      <c r="AS347" s="2">
        <f>VLOOKUP([jobnumber],OvalData[],MATCH(Table2[[#Headers],[First Preferated Slat From Bottom]],Table2[#Headers],0),0)</f>
        <v>0</v>
      </c>
      <c r="AT347" s="2">
        <f>VLOOKUP([jobnumber],OvalData[],MATCH(Table2[[#Headers],[Total Number of Slats]],Table2[#Headers],0),0)</f>
        <v>51</v>
      </c>
      <c r="AU347" s="2">
        <f>VLOOKUP([jobnumber],OvalData[],MATCH(Table2[[#Headers],[Bottom Bar Slope]],Table2[#Headers],0),0)</f>
        <v>0</v>
      </c>
      <c r="AV347" s="2">
        <f>VLOOKUP([jobnumber],OvalData[],MATCH(Table2[[#Headers],[Bottom Bar Weight]],Table2[#Headers],0),0)</f>
        <v>80.5</v>
      </c>
      <c r="AW347" s="2" t="str">
        <f>VLOOKUP([jobnumber],OvalData[],MATCH(Table2[[#Headers],[Outer Spring Gage]],Table2[#Headers],0),0)</f>
        <v>Null</v>
      </c>
      <c r="AX347" s="2" t="str">
        <f>VLOOKUP([jobnumber],OvalData[],MATCH(Table2[[#Headers],[Outer Spring OD]],Table2[#Headers],0),0)</f>
        <v>Null</v>
      </c>
      <c r="AY347" s="2" t="str">
        <f>VLOOKUP([jobnumber],OvalData[],MATCH(Table2[[#Headers],[Outer Spring Length]],Table2[#Headers],0),0)</f>
        <v>Null</v>
      </c>
      <c r="AZ347" s="2" t="str">
        <f>VLOOKUP([jobnumber],OvalData[],MATCH(Table2[[#Headers],[Outer Spring Stretch]],Table2[#Headers],0),0)</f>
        <v>Null</v>
      </c>
      <c r="BA347" s="2" t="str">
        <f>VLOOKUP([jobnumber],OvalData[],MATCH(Table2[[#Headers],[Outer Spring Torque]],Table2[#Headers],0),0)</f>
        <v>Null</v>
      </c>
      <c r="BB347" s="2" t="str">
        <f>VLOOKUP([jobnumber],OvalData[],MATCH(Table2[[#Headers],[Outer Spring Max Turns]],Table2[#Headers],0),0)</f>
        <v>Null</v>
      </c>
      <c r="BC347" s="2" t="str">
        <f>VLOOKUP([jobnumber],OvalData[],MATCH(Table2[[#Headers],[Outer Spring Weight]],Table2[#Headers],0),0)</f>
        <v>Null</v>
      </c>
      <c r="BD347" s="2" t="str">
        <f>VLOOKUP([jobnumber],OvalData[],MATCH(Table2[[#Headers],[Inner Spring Gage]],Table2[#Headers],0),0)</f>
        <v>Null</v>
      </c>
      <c r="BE347" s="2" t="str">
        <f>VLOOKUP([jobnumber],OvalData[],MATCH(Table2[[#Headers],[Inner Spring OD]],Table2[#Headers],0),0)</f>
        <v>Null</v>
      </c>
      <c r="BF347" s="2" t="str">
        <f>VLOOKUP([jobnumber],OvalData[],MATCH(Table2[[#Headers],[Inner Spring Length]],Table2[#Headers],0),0)</f>
        <v>Null</v>
      </c>
      <c r="BG347" s="2" t="str">
        <f>VLOOKUP([jobnumber],OvalData[],MATCH(Table2[[#Headers],[Inner Spring Stretch]],Table2[#Headers],0),0)</f>
        <v>Null</v>
      </c>
      <c r="BH347" s="2" t="str">
        <f>VLOOKUP([jobnumber],OvalData[],MATCH(Table2[[#Headers],[Inner Spring Torque]],Table2[#Headers],0),0)</f>
        <v>Null</v>
      </c>
      <c r="BI347" s="2" t="str">
        <f>VLOOKUP([jobnumber],OvalData[],MATCH(Table2[[#Headers],[Inner Spring Max Turns]],Table2[#Headers],0),0)</f>
        <v>Null</v>
      </c>
      <c r="BJ347" s="2" t="str">
        <f>VLOOKUP([jobnumber],OvalData[],MATCH(Table2[[#Headers],[Inner Spring Weight]],Table2[#Headers],0),0)</f>
        <v>Null</v>
      </c>
      <c r="BK347" s="2">
        <f>VLOOKUP([jobnumber],OvalData[],MATCH(Table2[[#Headers],[Cycles]],Table2[#Headers],0),0)</f>
        <v>0</v>
      </c>
      <c r="BL347" s="2">
        <f>VLOOKUP([jobnumber],OvalData[],MATCH(Table2[[#Headers],[Total Spring Torque]],Table2[#Headers],0),0)</f>
        <v>0</v>
      </c>
      <c r="BM347" s="2">
        <f>VLOOKUP([jobnumber],OvalData[],MATCH(Table2[[#Headers],[Total Spring Weight]],Table2[#Headers],0),0)</f>
        <v>0</v>
      </c>
      <c r="BN347" s="2">
        <f>VLOOKUP([jobnumber],OvalData[],MATCH(Table2[[#Headers],[Pipe Weight]],Table2[#Headers],0),0)</f>
        <v>688.24239999999998</v>
      </c>
      <c r="BO347" s="2">
        <f>VLOOKUP([jobnumber],OvalData[],MATCH(Table2[[#Headers],[Max Pipe Deflection]],Table2[#Headers],0),0)</f>
        <v>2309</v>
      </c>
      <c r="BP347" s="2">
        <f>VLOOKUP([jobnumber],OvalData[],MATCH(Table2[[#Headers],[Number Non-Insulated Wrap Slats]],Table2[#Headers],0),0)</f>
        <v>0</v>
      </c>
      <c r="BQ347" s="2">
        <f>VLOOKUP([jobnumber],OvalData[],MATCH(Table2[[#Headers],[Number of Insolated Top Slats]],Table2[#Headers],0),0)</f>
        <v>45</v>
      </c>
      <c r="BR347" s="2">
        <f>VLOOKUP([jobnumber],OvalData[],MATCH(Table2[[#Headers],[Insolated Total Slats]],Table2[#Headers],0),0)</f>
        <v>45</v>
      </c>
      <c r="BS347" s="2">
        <f>VLOOKUP([jobnumber],OvalData[],MATCH(Table2[[#Headers],[Number of Slats]],Table2[#Headers],0),0)</f>
        <v>44.69</v>
      </c>
      <c r="BT347" s="2">
        <f>VLOOKUP([jobnumber],OvalData[],MATCH(Table2[[#Headers],[Wrap]],Table2[#Headers],0),0)</f>
        <v>0</v>
      </c>
      <c r="BU347" s="2">
        <f>VLOOKUP([jobnumber],OvalData[],MATCH(Table2[[#Headers],[Wall Angle Thickness]],Table2[#Headers],0),0)</f>
        <v>0</v>
      </c>
      <c r="BV347" s="2">
        <f>VLOOKUP([jobnumber],OvalData[],MATCH(Table2[[#Headers],[windlocks]],Table2[#Headers],0),0)</f>
        <v>0</v>
      </c>
      <c r="BW347" s="2" t="str">
        <f>VLOOKUP([jobnumber],OvalData[],MATCH(Table2[[#Headers],[bottombartype]],Table2[#Headers],0),0)</f>
        <v>SPECIAL</v>
      </c>
      <c r="BX347" s="2">
        <f>VLOOKUP([jobnumber],OvalData[],MATCH(Table2[[#Headers],[endlockweight]],Table2[#Headers],0),0)</f>
        <v>0.17</v>
      </c>
      <c r="BY347" s="2">
        <f>VLOOKUP([jobnumber],OvalData[],MATCH(Table2[[#Headers],[Endlock Total Weight]],Table2[#Headers],0),0)</f>
        <v>7.5972999999999997</v>
      </c>
      <c r="BZ347" s="2">
        <f>VLOOKUP([jobnumber],OvalData[],MATCH(Table2[[#Headers],[Grille Weight]],Table2[#Headers],0),0)</f>
        <v>0</v>
      </c>
      <c r="CA347" s="2">
        <f>VLOOKUP([jobnumber],OvalData[],MATCH(Table2[[#Headers],[barrelrings]],Table2[#Headers],0),0)</f>
        <v>1</v>
      </c>
    </row>
    <row r="348" spans="2:79">
      <c r="B348" s="2" t="str">
        <f>VLOOKUP([jobnumber],OvalData[],MATCH(Table2[[#Headers],[Hand]],Table2[#Headers],0),0)</f>
        <v>RH</v>
      </c>
      <c r="C348" s="2" t="str">
        <f>VLOOKUP([jobnumber],OvalData[],MATCH(Table2[[#Headers],[Model]],Table2[#Headers],0),0)</f>
        <v>SFMPP</v>
      </c>
      <c r="D348" s="2" t="str">
        <f>VLOOKUP([jobnumber],OvalData[],MATCH(Table2[[#Headers],[width]],Table2[#Headers],0),0)</f>
        <v xml:space="preserve"> 18 ft.- 2"</v>
      </c>
      <c r="E348" s="2" t="str">
        <f>VLOOKUP([jobnumber],OvalData[],MATCH(Table2[[#Headers],[stopheight]],Table2[#Headers],0),0)</f>
        <v xml:space="preserve"> 10 ft.- 0"</v>
      </c>
      <c r="F348" s="2" t="str">
        <f>VLOOKUP([jobnumber],OvalData[],MATCH(Table2[[#Headers],[Between Brackets]],Table2[#Headers],0),0)</f>
        <v xml:space="preserve"> 18 ft.- 7 7/ 8"</v>
      </c>
      <c r="G348" s="2" t="str">
        <f>VLOOKUP([jobnumber],OvalData[],MATCH(Table2[[#Headers],[shell]],Table2[#Headers],0),0)</f>
        <v>6 INCH TUBE</v>
      </c>
      <c r="H348" s="2" t="str">
        <f>VLOOKUP([jobnumber],OvalData[],MATCH(Table2[[#Headers],[pipewidth]],Table2[#Headers],0),0)</f>
        <v xml:space="preserve"> 18 ft.- 1 3/ 8"</v>
      </c>
      <c r="I348" s="2">
        <f>VLOOKUP([jobnumber],OvalData[],MATCH(Table2[[#Headers],[Support Tubes]],Table2[#Headers],0),0)</f>
        <v>0</v>
      </c>
      <c r="J348" s="2">
        <f>VLOOKUP([jobnumber],OvalData[],MATCH(Table2[[#Headers],[Upset]],Table2[#Headers],0),0)</f>
        <v>2</v>
      </c>
      <c r="K348" s="2" t="str">
        <f>VLOOKUP([jobnumber],OvalData[],MATCH(Table2[[#Headers],[Guide Type]],Table2[#Headers],0),0)</f>
        <v>SN2-4 5/8-E</v>
      </c>
      <c r="L348" s="2" t="str">
        <f>VLOOKUP([jobnumber],OvalData[],MATCH(Table2[[#Headers],[Wall Angle]],Table2[#Headers],0),0)</f>
        <v xml:space="preserve"> 11 ft.- 8"</v>
      </c>
      <c r="M348" s="2" t="str">
        <f>VLOOKUP([jobnumber],OvalData[],MATCH(Table2[[#Headers],[Middle Angle]],Table2[#Headers],0),0)</f>
        <v xml:space="preserve"> 10 ft.- 4 1/ 2"</v>
      </c>
      <c r="N348" s="2" t="str">
        <f>VLOOKUP([jobnumber],OvalData[],MATCH(Table2[[#Headers],[Front Angle]],Table2[#Headers],0),0)</f>
        <v xml:space="preserve"> 10 ft.- 3"</v>
      </c>
      <c r="O348" s="2">
        <f>VLOOKUP([jobnumber],OvalData[],MATCH(Table2[[#Headers],[Pipe Center Line]],Table2[#Headers],0),0)</f>
        <v>131</v>
      </c>
      <c r="P348" s="2">
        <f>VLOOKUP([jobnumber],OvalData[],MATCH(Table2[[#Headers],[Heat Expansion Gap]],Table2[#Headers],0),0)</f>
        <v>0</v>
      </c>
      <c r="Q348" s="2">
        <f>VLOOKUP([jobnumber],OvalData[],MATCH(Table2[[#Headers],[Hanging Weight Closed]],Table2[#Headers],0),0)</f>
        <v>795</v>
      </c>
      <c r="R348" s="2">
        <f>VLOOKUP([jobnumber],OvalData[],MATCH(Table2[[#Headers],[Hanging Weight Open]],Table2[#Headers],0),0)</f>
        <v>140</v>
      </c>
      <c r="S348" s="2">
        <f>VLOOKUP([jobnumber],OvalData[],MATCH(Table2[[#Headers],[Initial Lever Arm]],Table2[#Headers],0),0)</f>
        <v>4.25</v>
      </c>
      <c r="T348" s="2">
        <f>VLOOKUP([jobnumber],OvalData[],MATCH(Table2[[#Headers],[Turns to Raise]],Table2[#Headers],0),0)</f>
        <v>3.5859999999999999</v>
      </c>
      <c r="U348" s="2">
        <f>VLOOKUP([jobnumber],OvalData[],MATCH(Table2[[#Headers],[Final Lever Arm]],Table2[#Headers],0),0)</f>
        <v>6.37</v>
      </c>
      <c r="V348" s="2">
        <f>VLOOKUP([jobnumber],OvalData[],MATCH(Table2[[#Headers],[Torque Required Closed]],Table2[#Headers],0),0)</f>
        <v>3377.9</v>
      </c>
      <c r="W348" s="2">
        <f>VLOOKUP([jobnumber],OvalData[],MATCH(Table2[[#Headers],[Torque Required Open]],Table2[#Headers],0),0)</f>
        <v>892</v>
      </c>
      <c r="X348" s="2">
        <f>VLOOKUP([jobnumber],OvalData[],MATCH(Table2[[#Headers],[Pre Turns]],Table2[#Headers],0),0)</f>
        <v>1.3332999999999999</v>
      </c>
      <c r="Y348" s="2">
        <f>VLOOKUP([jobnumber],OvalData[],MATCH(Table2[[#Headers],[Required Torque Per Turn]],Table2[#Headers],0),0)</f>
        <v>688</v>
      </c>
      <c r="Z348" s="2">
        <f>VLOOKUP([jobnumber],OvalData[],MATCH(Table2[[#Headers],[Total Turns]],Table2[#Headers],0),0)</f>
        <v>4.91</v>
      </c>
      <c r="AA348" s="2">
        <f>VLOOKUP([jobnumber],OvalData[],MATCH(Table2[[#Headers],[Grille Vision Section]],Table2[#Headers],0),0)</f>
        <v>0</v>
      </c>
      <c r="AB348" s="2">
        <f>VLOOKUP([jobnumber],OvalData[],MATCH(Table2[[#Headers],[Grille Amount]],Table2[#Headers],0),0)</f>
        <v>0</v>
      </c>
      <c r="AC348" s="2">
        <f>VLOOKUP([jobnumber],OvalData[],MATCH(Table2[[#Headers],[Grille Center]],Table2[#Headers],0),0)</f>
        <v>0</v>
      </c>
      <c r="AD348" s="2">
        <f>VLOOKUP([jobnumber],OvalData[],MATCH(Table2[[#Headers],[Grille Pattern]],Table2[#Headers],0),0)</f>
        <v>0</v>
      </c>
      <c r="AE348" s="2">
        <f>VLOOKUP([jobnumber],OvalData[],MATCH(Table2[[#Headers],[Grille First Tube]],Table2[#Headers],0),0)</f>
        <v>0</v>
      </c>
      <c r="AF348" s="2">
        <f>VLOOKUP([jobnumber],OvalData[],MATCH(Table2[[#Headers],[Grille Standard Tube]],Table2[#Headers],0),0)</f>
        <v>0</v>
      </c>
      <c r="AG348" s="2">
        <f>VLOOKUP([jobnumber],OvalData[],MATCH(Table2[[#Headers],[Grille Total Links]],Table2[#Headers],0),0)</f>
        <v>0</v>
      </c>
      <c r="AH348" s="2">
        <f>VLOOKUP([jobnumber],OvalData[],MATCH(Table2[[#Headers],[Grille Rods]],Table2[#Headers],0),0)</f>
        <v>0</v>
      </c>
      <c r="AI348" s="2">
        <f>VLOOKUP([jobnumber],OvalData[],MATCH(Table2[[#Headers],[Grille Rod Length]],Table2[#Headers],0),0)</f>
        <v>0</v>
      </c>
      <c r="AJ348" s="2">
        <f>VLOOKUP([jobnumber],OvalData[],MATCH(Table2[[#Headers],[slattype]],Table2[#Headers],0),0)</f>
        <v>2</v>
      </c>
      <c r="AK348" s="2">
        <f>VLOOKUP([jobnumber],OvalData[],MATCH(Table2[[#Headers],[slatgage]],Table2[#Headers],0),0)</f>
        <v>18</v>
      </c>
      <c r="AL348" s="2">
        <f>VLOOKUP([jobnumber],OvalData[],MATCH(Table2[[#Headers],[Numer of Top Slats]],Table2[#Headers],0),0)</f>
        <v>0</v>
      </c>
      <c r="AM348" s="2">
        <f>VLOOKUP([jobnumber],OvalData[],MATCH(Table2[[#Headers],[Number of Bottom Slats]],Table2[#Headers],0),0)</f>
        <v>0</v>
      </c>
      <c r="AN348" s="2">
        <f>VLOOKUP([jobnumber],OvalData[],MATCH(Table2[[#Headers],[Solid Bottom Height]],Table2[#Headers],0),0)</f>
        <v>0</v>
      </c>
      <c r="AO348" s="2" t="str">
        <f>VLOOKUP([jobnumber],OvalData[],MATCH(Table2[[#Headers],[slatlength]],Table2[#Headers],0),0)</f>
        <v xml:space="preserve"> 18 ft.- 5 7/ 8"</v>
      </c>
      <c r="AP348" s="2">
        <f>VLOOKUP([jobnumber],OvalData[],MATCH(Table2[[#Headers],[Bottom Slat Length]],Table2[#Headers],0),0)</f>
        <v>0</v>
      </c>
      <c r="AQ348" s="2">
        <f>VLOOKUP([jobnumber],OvalData[],MATCH(Table2[[#Headers],[Number of Perferated Slats]],Table2[#Headers],0),0)</f>
        <v>0</v>
      </c>
      <c r="AR348" s="2">
        <f>VLOOKUP([jobnumber],OvalData[],MATCH(Table2[[#Headers],[First Preferated Slat From End]],Table2[#Headers],0),0)</f>
        <v>0</v>
      </c>
      <c r="AS348" s="2">
        <f>VLOOKUP([jobnumber],OvalData[],MATCH(Table2[[#Headers],[First Preferated Slat From Bottom]],Table2[#Headers],0),0)</f>
        <v>0</v>
      </c>
      <c r="AT348" s="2">
        <f>VLOOKUP([jobnumber],OvalData[],MATCH(Table2[[#Headers],[Total Number of Slats]],Table2[#Headers],0),0)</f>
        <v>51</v>
      </c>
      <c r="AU348" s="2">
        <f>VLOOKUP([jobnumber],OvalData[],MATCH(Table2[[#Headers],[Bottom Bar Slope]],Table2[#Headers],0),0)</f>
        <v>0</v>
      </c>
      <c r="AV348" s="2">
        <f>VLOOKUP([jobnumber],OvalData[],MATCH(Table2[[#Headers],[Bottom Bar Weight]],Table2[#Headers],0),0)</f>
        <v>80.5</v>
      </c>
      <c r="AW348" s="2" t="str">
        <f>VLOOKUP([jobnumber],OvalData[],MATCH(Table2[[#Headers],[Outer Spring Gage]],Table2[#Headers],0),0)</f>
        <v>Null</v>
      </c>
      <c r="AX348" s="2" t="str">
        <f>VLOOKUP([jobnumber],OvalData[],MATCH(Table2[[#Headers],[Outer Spring OD]],Table2[#Headers],0),0)</f>
        <v>Null</v>
      </c>
      <c r="AY348" s="2" t="str">
        <f>VLOOKUP([jobnumber],OvalData[],MATCH(Table2[[#Headers],[Outer Spring Length]],Table2[#Headers],0),0)</f>
        <v>Null</v>
      </c>
      <c r="AZ348" s="2" t="str">
        <f>VLOOKUP([jobnumber],OvalData[],MATCH(Table2[[#Headers],[Outer Spring Stretch]],Table2[#Headers],0),0)</f>
        <v>Null</v>
      </c>
      <c r="BA348" s="2" t="str">
        <f>VLOOKUP([jobnumber],OvalData[],MATCH(Table2[[#Headers],[Outer Spring Torque]],Table2[#Headers],0),0)</f>
        <v>Null</v>
      </c>
      <c r="BB348" s="2" t="str">
        <f>VLOOKUP([jobnumber],OvalData[],MATCH(Table2[[#Headers],[Outer Spring Max Turns]],Table2[#Headers],0),0)</f>
        <v>Null</v>
      </c>
      <c r="BC348" s="2" t="str">
        <f>VLOOKUP([jobnumber],OvalData[],MATCH(Table2[[#Headers],[Outer Spring Weight]],Table2[#Headers],0),0)</f>
        <v>Null</v>
      </c>
      <c r="BD348" s="2" t="str">
        <f>VLOOKUP([jobnumber],OvalData[],MATCH(Table2[[#Headers],[Inner Spring Gage]],Table2[#Headers],0),0)</f>
        <v>Null</v>
      </c>
      <c r="BE348" s="2" t="str">
        <f>VLOOKUP([jobnumber],OvalData[],MATCH(Table2[[#Headers],[Inner Spring OD]],Table2[#Headers],0),0)</f>
        <v>Null</v>
      </c>
      <c r="BF348" s="2" t="str">
        <f>VLOOKUP([jobnumber],OvalData[],MATCH(Table2[[#Headers],[Inner Spring Length]],Table2[#Headers],0),0)</f>
        <v>Null</v>
      </c>
      <c r="BG348" s="2" t="str">
        <f>VLOOKUP([jobnumber],OvalData[],MATCH(Table2[[#Headers],[Inner Spring Stretch]],Table2[#Headers],0),0)</f>
        <v>Null</v>
      </c>
      <c r="BH348" s="2" t="str">
        <f>VLOOKUP([jobnumber],OvalData[],MATCH(Table2[[#Headers],[Inner Spring Torque]],Table2[#Headers],0),0)</f>
        <v>Null</v>
      </c>
      <c r="BI348" s="2" t="str">
        <f>VLOOKUP([jobnumber],OvalData[],MATCH(Table2[[#Headers],[Inner Spring Max Turns]],Table2[#Headers],0),0)</f>
        <v>Null</v>
      </c>
      <c r="BJ348" s="2" t="str">
        <f>VLOOKUP([jobnumber],OvalData[],MATCH(Table2[[#Headers],[Inner Spring Weight]],Table2[#Headers],0),0)</f>
        <v>Null</v>
      </c>
      <c r="BK348" s="2">
        <f>VLOOKUP([jobnumber],OvalData[],MATCH(Table2[[#Headers],[Cycles]],Table2[#Headers],0),0)</f>
        <v>0</v>
      </c>
      <c r="BL348" s="2">
        <f>VLOOKUP([jobnumber],OvalData[],MATCH(Table2[[#Headers],[Total Spring Torque]],Table2[#Headers],0),0)</f>
        <v>0</v>
      </c>
      <c r="BM348" s="2">
        <f>VLOOKUP([jobnumber],OvalData[],MATCH(Table2[[#Headers],[Total Spring Weight]],Table2[#Headers],0),0)</f>
        <v>0</v>
      </c>
      <c r="BN348" s="2">
        <f>VLOOKUP([jobnumber],OvalData[],MATCH(Table2[[#Headers],[Pipe Weight]],Table2[#Headers],0),0)</f>
        <v>688.24239999999998</v>
      </c>
      <c r="BO348" s="2">
        <f>VLOOKUP([jobnumber],OvalData[],MATCH(Table2[[#Headers],[Max Pipe Deflection]],Table2[#Headers],0),0)</f>
        <v>2309</v>
      </c>
      <c r="BP348" s="2">
        <f>VLOOKUP([jobnumber],OvalData[],MATCH(Table2[[#Headers],[Number Non-Insulated Wrap Slats]],Table2[#Headers],0),0)</f>
        <v>0</v>
      </c>
      <c r="BQ348" s="2">
        <f>VLOOKUP([jobnumber],OvalData[],MATCH(Table2[[#Headers],[Number of Insolated Top Slats]],Table2[#Headers],0),0)</f>
        <v>45</v>
      </c>
      <c r="BR348" s="2">
        <f>VLOOKUP([jobnumber],OvalData[],MATCH(Table2[[#Headers],[Insolated Total Slats]],Table2[#Headers],0),0)</f>
        <v>45</v>
      </c>
      <c r="BS348" s="2">
        <f>VLOOKUP([jobnumber],OvalData[],MATCH(Table2[[#Headers],[Number of Slats]],Table2[#Headers],0),0)</f>
        <v>44.69</v>
      </c>
      <c r="BT348" s="2">
        <f>VLOOKUP([jobnumber],OvalData[],MATCH(Table2[[#Headers],[Wrap]],Table2[#Headers],0),0)</f>
        <v>0</v>
      </c>
      <c r="BU348" s="2">
        <f>VLOOKUP([jobnumber],OvalData[],MATCH(Table2[[#Headers],[Wall Angle Thickness]],Table2[#Headers],0),0)</f>
        <v>0</v>
      </c>
      <c r="BV348" s="2">
        <f>VLOOKUP([jobnumber],OvalData[],MATCH(Table2[[#Headers],[windlocks]],Table2[#Headers],0),0)</f>
        <v>0</v>
      </c>
      <c r="BW348" s="2" t="str">
        <f>VLOOKUP([jobnumber],OvalData[],MATCH(Table2[[#Headers],[bottombartype]],Table2[#Headers],0),0)</f>
        <v>SPECIAL</v>
      </c>
      <c r="BX348" s="2">
        <f>VLOOKUP([jobnumber],OvalData[],MATCH(Table2[[#Headers],[endlockweight]],Table2[#Headers],0),0)</f>
        <v>0.17</v>
      </c>
      <c r="BY348" s="2">
        <f>VLOOKUP([jobnumber],OvalData[],MATCH(Table2[[#Headers],[Endlock Total Weight]],Table2[#Headers],0),0)</f>
        <v>7.5972999999999997</v>
      </c>
      <c r="BZ348" s="2">
        <f>VLOOKUP([jobnumber],OvalData[],MATCH(Table2[[#Headers],[Grille Weight]],Table2[#Headers],0),0)</f>
        <v>0</v>
      </c>
      <c r="CA348" s="2">
        <f>VLOOKUP([jobnumber],OvalData[],MATCH(Table2[[#Headers],[barrelrings]],Table2[#Headers],0),0)</f>
        <v>1</v>
      </c>
    </row>
    <row r="349" spans="2:79">
      <c r="B349" s="2" t="str">
        <f>VLOOKUP([jobnumber],OvalData[],MATCH(Table2[[#Headers],[Hand]],Table2[#Headers],0),0)</f>
        <v>RH</v>
      </c>
      <c r="C349" s="2" t="str">
        <f>VLOOKUP([jobnumber],OvalData[],MATCH(Table2[[#Headers],[Model]],Table2[#Headers],0),0)</f>
        <v>SFMPP</v>
      </c>
      <c r="D349" s="2" t="str">
        <f>VLOOKUP([jobnumber],OvalData[],MATCH(Table2[[#Headers],[width]],Table2[#Headers],0),0)</f>
        <v xml:space="preserve"> 18 ft.- 2"</v>
      </c>
      <c r="E349" s="2" t="str">
        <f>VLOOKUP([jobnumber],OvalData[],MATCH(Table2[[#Headers],[stopheight]],Table2[#Headers],0),0)</f>
        <v xml:space="preserve"> 10 ft.- 0"</v>
      </c>
      <c r="F349" s="2" t="str">
        <f>VLOOKUP([jobnumber],OvalData[],MATCH(Table2[[#Headers],[Between Brackets]],Table2[#Headers],0),0)</f>
        <v xml:space="preserve"> 18 ft.- 7 7/ 8"</v>
      </c>
      <c r="G349" s="2" t="str">
        <f>VLOOKUP([jobnumber],OvalData[],MATCH(Table2[[#Headers],[shell]],Table2[#Headers],0),0)</f>
        <v>6 INCH TUBE</v>
      </c>
      <c r="H349" s="2" t="str">
        <f>VLOOKUP([jobnumber],OvalData[],MATCH(Table2[[#Headers],[pipewidth]],Table2[#Headers],0),0)</f>
        <v xml:space="preserve"> 18 ft.- 1 3/ 8"</v>
      </c>
      <c r="I349" s="2">
        <f>VLOOKUP([jobnumber],OvalData[],MATCH(Table2[[#Headers],[Support Tubes]],Table2[#Headers],0),0)</f>
        <v>0</v>
      </c>
      <c r="J349" s="2">
        <f>VLOOKUP([jobnumber],OvalData[],MATCH(Table2[[#Headers],[Upset]],Table2[#Headers],0),0)</f>
        <v>2</v>
      </c>
      <c r="K349" s="2" t="str">
        <f>VLOOKUP([jobnumber],OvalData[],MATCH(Table2[[#Headers],[Guide Type]],Table2[#Headers],0),0)</f>
        <v>SN2-4 5/8-E</v>
      </c>
      <c r="L349" s="2" t="str">
        <f>VLOOKUP([jobnumber],OvalData[],MATCH(Table2[[#Headers],[Wall Angle]],Table2[#Headers],0),0)</f>
        <v xml:space="preserve"> 11 ft.- 8"</v>
      </c>
      <c r="M349" s="2" t="str">
        <f>VLOOKUP([jobnumber],OvalData[],MATCH(Table2[[#Headers],[Middle Angle]],Table2[#Headers],0),0)</f>
        <v xml:space="preserve"> 10 ft.- 4 1/ 2"</v>
      </c>
      <c r="N349" s="2" t="str">
        <f>VLOOKUP([jobnumber],OvalData[],MATCH(Table2[[#Headers],[Front Angle]],Table2[#Headers],0),0)</f>
        <v xml:space="preserve"> 10 ft.- 3"</v>
      </c>
      <c r="O349" s="2">
        <f>VLOOKUP([jobnumber],OvalData[],MATCH(Table2[[#Headers],[Pipe Center Line]],Table2[#Headers],0),0)</f>
        <v>131</v>
      </c>
      <c r="P349" s="2">
        <f>VLOOKUP([jobnumber],OvalData[],MATCH(Table2[[#Headers],[Heat Expansion Gap]],Table2[#Headers],0),0)</f>
        <v>0</v>
      </c>
      <c r="Q349" s="2">
        <f>VLOOKUP([jobnumber],OvalData[],MATCH(Table2[[#Headers],[Hanging Weight Closed]],Table2[#Headers],0),0)</f>
        <v>795</v>
      </c>
      <c r="R349" s="2">
        <f>VLOOKUP([jobnumber],OvalData[],MATCH(Table2[[#Headers],[Hanging Weight Open]],Table2[#Headers],0),0)</f>
        <v>140</v>
      </c>
      <c r="S349" s="2">
        <f>VLOOKUP([jobnumber],OvalData[],MATCH(Table2[[#Headers],[Initial Lever Arm]],Table2[#Headers],0),0)</f>
        <v>4.25</v>
      </c>
      <c r="T349" s="2">
        <f>VLOOKUP([jobnumber],OvalData[],MATCH(Table2[[#Headers],[Turns to Raise]],Table2[#Headers],0),0)</f>
        <v>3.5859999999999999</v>
      </c>
      <c r="U349" s="2">
        <f>VLOOKUP([jobnumber],OvalData[],MATCH(Table2[[#Headers],[Final Lever Arm]],Table2[#Headers],0),0)</f>
        <v>6.37</v>
      </c>
      <c r="V349" s="2">
        <f>VLOOKUP([jobnumber],OvalData[],MATCH(Table2[[#Headers],[Torque Required Closed]],Table2[#Headers],0),0)</f>
        <v>3377.9</v>
      </c>
      <c r="W349" s="2">
        <f>VLOOKUP([jobnumber],OvalData[],MATCH(Table2[[#Headers],[Torque Required Open]],Table2[#Headers],0),0)</f>
        <v>892</v>
      </c>
      <c r="X349" s="2">
        <f>VLOOKUP([jobnumber],OvalData[],MATCH(Table2[[#Headers],[Pre Turns]],Table2[#Headers],0),0)</f>
        <v>1.3332999999999999</v>
      </c>
      <c r="Y349" s="2">
        <f>VLOOKUP([jobnumber],OvalData[],MATCH(Table2[[#Headers],[Required Torque Per Turn]],Table2[#Headers],0),0)</f>
        <v>688</v>
      </c>
      <c r="Z349" s="2">
        <f>VLOOKUP([jobnumber],OvalData[],MATCH(Table2[[#Headers],[Total Turns]],Table2[#Headers],0),0)</f>
        <v>4.91</v>
      </c>
      <c r="AA349" s="2">
        <f>VLOOKUP([jobnumber],OvalData[],MATCH(Table2[[#Headers],[Grille Vision Section]],Table2[#Headers],0),0)</f>
        <v>0</v>
      </c>
      <c r="AB349" s="2">
        <f>VLOOKUP([jobnumber],OvalData[],MATCH(Table2[[#Headers],[Grille Amount]],Table2[#Headers],0),0)</f>
        <v>0</v>
      </c>
      <c r="AC349" s="2">
        <f>VLOOKUP([jobnumber],OvalData[],MATCH(Table2[[#Headers],[Grille Center]],Table2[#Headers],0),0)</f>
        <v>0</v>
      </c>
      <c r="AD349" s="2">
        <f>VLOOKUP([jobnumber],OvalData[],MATCH(Table2[[#Headers],[Grille Pattern]],Table2[#Headers],0),0)</f>
        <v>0</v>
      </c>
      <c r="AE349" s="2">
        <f>VLOOKUP([jobnumber],OvalData[],MATCH(Table2[[#Headers],[Grille First Tube]],Table2[#Headers],0),0)</f>
        <v>0</v>
      </c>
      <c r="AF349" s="2">
        <f>VLOOKUP([jobnumber],OvalData[],MATCH(Table2[[#Headers],[Grille Standard Tube]],Table2[#Headers],0),0)</f>
        <v>0</v>
      </c>
      <c r="AG349" s="2">
        <f>VLOOKUP([jobnumber],OvalData[],MATCH(Table2[[#Headers],[Grille Total Links]],Table2[#Headers],0),0)</f>
        <v>0</v>
      </c>
      <c r="AH349" s="2">
        <f>VLOOKUP([jobnumber],OvalData[],MATCH(Table2[[#Headers],[Grille Rods]],Table2[#Headers],0),0)</f>
        <v>0</v>
      </c>
      <c r="AI349" s="2">
        <f>VLOOKUP([jobnumber],OvalData[],MATCH(Table2[[#Headers],[Grille Rod Length]],Table2[#Headers],0),0)</f>
        <v>0</v>
      </c>
      <c r="AJ349" s="2">
        <f>VLOOKUP([jobnumber],OvalData[],MATCH(Table2[[#Headers],[slattype]],Table2[#Headers],0),0)</f>
        <v>2</v>
      </c>
      <c r="AK349" s="2">
        <f>VLOOKUP([jobnumber],OvalData[],MATCH(Table2[[#Headers],[slatgage]],Table2[#Headers],0),0)</f>
        <v>18</v>
      </c>
      <c r="AL349" s="2">
        <f>VLOOKUP([jobnumber],OvalData[],MATCH(Table2[[#Headers],[Numer of Top Slats]],Table2[#Headers],0),0)</f>
        <v>0</v>
      </c>
      <c r="AM349" s="2">
        <f>VLOOKUP([jobnumber],OvalData[],MATCH(Table2[[#Headers],[Number of Bottom Slats]],Table2[#Headers],0),0)</f>
        <v>0</v>
      </c>
      <c r="AN349" s="2">
        <f>VLOOKUP([jobnumber],OvalData[],MATCH(Table2[[#Headers],[Solid Bottom Height]],Table2[#Headers],0),0)</f>
        <v>0</v>
      </c>
      <c r="AO349" s="2" t="str">
        <f>VLOOKUP([jobnumber],OvalData[],MATCH(Table2[[#Headers],[slatlength]],Table2[#Headers],0),0)</f>
        <v xml:space="preserve"> 18 ft.- 5 7/ 8"</v>
      </c>
      <c r="AP349" s="2">
        <f>VLOOKUP([jobnumber],OvalData[],MATCH(Table2[[#Headers],[Bottom Slat Length]],Table2[#Headers],0),0)</f>
        <v>0</v>
      </c>
      <c r="AQ349" s="2">
        <f>VLOOKUP([jobnumber],OvalData[],MATCH(Table2[[#Headers],[Number of Perferated Slats]],Table2[#Headers],0),0)</f>
        <v>0</v>
      </c>
      <c r="AR349" s="2">
        <f>VLOOKUP([jobnumber],OvalData[],MATCH(Table2[[#Headers],[First Preferated Slat From End]],Table2[#Headers],0),0)</f>
        <v>0</v>
      </c>
      <c r="AS349" s="2">
        <f>VLOOKUP([jobnumber],OvalData[],MATCH(Table2[[#Headers],[First Preferated Slat From Bottom]],Table2[#Headers],0),0)</f>
        <v>0</v>
      </c>
      <c r="AT349" s="2">
        <f>VLOOKUP([jobnumber],OvalData[],MATCH(Table2[[#Headers],[Total Number of Slats]],Table2[#Headers],0),0)</f>
        <v>51</v>
      </c>
      <c r="AU349" s="2">
        <f>VLOOKUP([jobnumber],OvalData[],MATCH(Table2[[#Headers],[Bottom Bar Slope]],Table2[#Headers],0),0)</f>
        <v>0</v>
      </c>
      <c r="AV349" s="2">
        <f>VLOOKUP([jobnumber],OvalData[],MATCH(Table2[[#Headers],[Bottom Bar Weight]],Table2[#Headers],0),0)</f>
        <v>80.5</v>
      </c>
      <c r="AW349" s="2" t="str">
        <f>VLOOKUP([jobnumber],OvalData[],MATCH(Table2[[#Headers],[Outer Spring Gage]],Table2[#Headers],0),0)</f>
        <v>Null</v>
      </c>
      <c r="AX349" s="2" t="str">
        <f>VLOOKUP([jobnumber],OvalData[],MATCH(Table2[[#Headers],[Outer Spring OD]],Table2[#Headers],0),0)</f>
        <v>Null</v>
      </c>
      <c r="AY349" s="2" t="str">
        <f>VLOOKUP([jobnumber],OvalData[],MATCH(Table2[[#Headers],[Outer Spring Length]],Table2[#Headers],0),0)</f>
        <v>Null</v>
      </c>
      <c r="AZ349" s="2" t="str">
        <f>VLOOKUP([jobnumber],OvalData[],MATCH(Table2[[#Headers],[Outer Spring Stretch]],Table2[#Headers],0),0)</f>
        <v>Null</v>
      </c>
      <c r="BA349" s="2" t="str">
        <f>VLOOKUP([jobnumber],OvalData[],MATCH(Table2[[#Headers],[Outer Spring Torque]],Table2[#Headers],0),0)</f>
        <v>Null</v>
      </c>
      <c r="BB349" s="2" t="str">
        <f>VLOOKUP([jobnumber],OvalData[],MATCH(Table2[[#Headers],[Outer Spring Max Turns]],Table2[#Headers],0),0)</f>
        <v>Null</v>
      </c>
      <c r="BC349" s="2" t="str">
        <f>VLOOKUP([jobnumber],OvalData[],MATCH(Table2[[#Headers],[Outer Spring Weight]],Table2[#Headers],0),0)</f>
        <v>Null</v>
      </c>
      <c r="BD349" s="2" t="str">
        <f>VLOOKUP([jobnumber],OvalData[],MATCH(Table2[[#Headers],[Inner Spring Gage]],Table2[#Headers],0),0)</f>
        <v>Null</v>
      </c>
      <c r="BE349" s="2" t="str">
        <f>VLOOKUP([jobnumber],OvalData[],MATCH(Table2[[#Headers],[Inner Spring OD]],Table2[#Headers],0),0)</f>
        <v>Null</v>
      </c>
      <c r="BF349" s="2" t="str">
        <f>VLOOKUP([jobnumber],OvalData[],MATCH(Table2[[#Headers],[Inner Spring Length]],Table2[#Headers],0),0)</f>
        <v>Null</v>
      </c>
      <c r="BG349" s="2" t="str">
        <f>VLOOKUP([jobnumber],OvalData[],MATCH(Table2[[#Headers],[Inner Spring Stretch]],Table2[#Headers],0),0)</f>
        <v>Null</v>
      </c>
      <c r="BH349" s="2" t="str">
        <f>VLOOKUP([jobnumber],OvalData[],MATCH(Table2[[#Headers],[Inner Spring Torque]],Table2[#Headers],0),0)</f>
        <v>Null</v>
      </c>
      <c r="BI349" s="2" t="str">
        <f>VLOOKUP([jobnumber],OvalData[],MATCH(Table2[[#Headers],[Inner Spring Max Turns]],Table2[#Headers],0),0)</f>
        <v>Null</v>
      </c>
      <c r="BJ349" s="2" t="str">
        <f>VLOOKUP([jobnumber],OvalData[],MATCH(Table2[[#Headers],[Inner Spring Weight]],Table2[#Headers],0),0)</f>
        <v>Null</v>
      </c>
      <c r="BK349" s="2">
        <f>VLOOKUP([jobnumber],OvalData[],MATCH(Table2[[#Headers],[Cycles]],Table2[#Headers],0),0)</f>
        <v>0</v>
      </c>
      <c r="BL349" s="2">
        <f>VLOOKUP([jobnumber],OvalData[],MATCH(Table2[[#Headers],[Total Spring Torque]],Table2[#Headers],0),0)</f>
        <v>0</v>
      </c>
      <c r="BM349" s="2">
        <f>VLOOKUP([jobnumber],OvalData[],MATCH(Table2[[#Headers],[Total Spring Weight]],Table2[#Headers],0),0)</f>
        <v>0</v>
      </c>
      <c r="BN349" s="2">
        <f>VLOOKUP([jobnumber],OvalData[],MATCH(Table2[[#Headers],[Pipe Weight]],Table2[#Headers],0),0)</f>
        <v>688.24239999999998</v>
      </c>
      <c r="BO349" s="2">
        <f>VLOOKUP([jobnumber],OvalData[],MATCH(Table2[[#Headers],[Max Pipe Deflection]],Table2[#Headers],0),0)</f>
        <v>2309</v>
      </c>
      <c r="BP349" s="2">
        <f>VLOOKUP([jobnumber],OvalData[],MATCH(Table2[[#Headers],[Number Non-Insulated Wrap Slats]],Table2[#Headers],0),0)</f>
        <v>0</v>
      </c>
      <c r="BQ349" s="2">
        <f>VLOOKUP([jobnumber],OvalData[],MATCH(Table2[[#Headers],[Number of Insolated Top Slats]],Table2[#Headers],0),0)</f>
        <v>45</v>
      </c>
      <c r="BR349" s="2">
        <f>VLOOKUP([jobnumber],OvalData[],MATCH(Table2[[#Headers],[Insolated Total Slats]],Table2[#Headers],0),0)</f>
        <v>45</v>
      </c>
      <c r="BS349" s="2">
        <f>VLOOKUP([jobnumber],OvalData[],MATCH(Table2[[#Headers],[Number of Slats]],Table2[#Headers],0),0)</f>
        <v>44.69</v>
      </c>
      <c r="BT349" s="2">
        <f>VLOOKUP([jobnumber],OvalData[],MATCH(Table2[[#Headers],[Wrap]],Table2[#Headers],0),0)</f>
        <v>0</v>
      </c>
      <c r="BU349" s="2">
        <f>VLOOKUP([jobnumber],OvalData[],MATCH(Table2[[#Headers],[Wall Angle Thickness]],Table2[#Headers],0),0)</f>
        <v>0</v>
      </c>
      <c r="BV349" s="2">
        <f>VLOOKUP([jobnumber],OvalData[],MATCH(Table2[[#Headers],[windlocks]],Table2[#Headers],0),0)</f>
        <v>0</v>
      </c>
      <c r="BW349" s="2" t="str">
        <f>VLOOKUP([jobnumber],OvalData[],MATCH(Table2[[#Headers],[bottombartype]],Table2[#Headers],0),0)</f>
        <v>SPECIAL</v>
      </c>
      <c r="BX349" s="2">
        <f>VLOOKUP([jobnumber],OvalData[],MATCH(Table2[[#Headers],[endlockweight]],Table2[#Headers],0),0)</f>
        <v>0.17</v>
      </c>
      <c r="BY349" s="2">
        <f>VLOOKUP([jobnumber],OvalData[],MATCH(Table2[[#Headers],[Endlock Total Weight]],Table2[#Headers],0),0)</f>
        <v>7.5972999999999997</v>
      </c>
      <c r="BZ349" s="2">
        <f>VLOOKUP([jobnumber],OvalData[],MATCH(Table2[[#Headers],[Grille Weight]],Table2[#Headers],0),0)</f>
        <v>0</v>
      </c>
      <c r="CA349" s="2">
        <f>VLOOKUP([jobnumber],OvalData[],MATCH(Table2[[#Headers],[barrelrings]],Table2[#Headers],0),0)</f>
        <v>1</v>
      </c>
    </row>
    <row r="350" spans="2:79">
      <c r="B350" s="2" t="str">
        <f>VLOOKUP([jobnumber],OvalData[],MATCH(Table2[[#Headers],[Hand]],Table2[#Headers],0),0)</f>
        <v>RH</v>
      </c>
      <c r="C350" s="2" t="str">
        <f>VLOOKUP([jobnumber],OvalData[],MATCH(Table2[[#Headers],[Model]],Table2[#Headers],0),0)</f>
        <v>SFMPP</v>
      </c>
      <c r="D350" s="2" t="str">
        <f>VLOOKUP([jobnumber],OvalData[],MATCH(Table2[[#Headers],[width]],Table2[#Headers],0),0)</f>
        <v xml:space="preserve"> 18 ft.- 2"</v>
      </c>
      <c r="E350" s="2" t="str">
        <f>VLOOKUP([jobnumber],OvalData[],MATCH(Table2[[#Headers],[stopheight]],Table2[#Headers],0),0)</f>
        <v xml:space="preserve"> 10 ft.- 0"</v>
      </c>
      <c r="F350" s="2" t="str">
        <f>VLOOKUP([jobnumber],OvalData[],MATCH(Table2[[#Headers],[Between Brackets]],Table2[#Headers],0),0)</f>
        <v xml:space="preserve"> 18 ft.- 7 7/ 8"</v>
      </c>
      <c r="G350" s="2" t="str">
        <f>VLOOKUP([jobnumber],OvalData[],MATCH(Table2[[#Headers],[shell]],Table2[#Headers],0),0)</f>
        <v>6 INCH TUBE</v>
      </c>
      <c r="H350" s="2" t="str">
        <f>VLOOKUP([jobnumber],OvalData[],MATCH(Table2[[#Headers],[pipewidth]],Table2[#Headers],0),0)</f>
        <v xml:space="preserve"> 18 ft.- 1 3/ 8"</v>
      </c>
      <c r="I350" s="2">
        <f>VLOOKUP([jobnumber],OvalData[],MATCH(Table2[[#Headers],[Support Tubes]],Table2[#Headers],0),0)</f>
        <v>0</v>
      </c>
      <c r="J350" s="2">
        <f>VLOOKUP([jobnumber],OvalData[],MATCH(Table2[[#Headers],[Upset]],Table2[#Headers],0),0)</f>
        <v>2</v>
      </c>
      <c r="K350" s="2" t="str">
        <f>VLOOKUP([jobnumber],OvalData[],MATCH(Table2[[#Headers],[Guide Type]],Table2[#Headers],0),0)</f>
        <v>SN2-4 5/8-E</v>
      </c>
      <c r="L350" s="2" t="str">
        <f>VLOOKUP([jobnumber],OvalData[],MATCH(Table2[[#Headers],[Wall Angle]],Table2[#Headers],0),0)</f>
        <v xml:space="preserve"> 11 ft.- 8"</v>
      </c>
      <c r="M350" s="2" t="str">
        <f>VLOOKUP([jobnumber],OvalData[],MATCH(Table2[[#Headers],[Middle Angle]],Table2[#Headers],0),0)</f>
        <v xml:space="preserve"> 10 ft.- 4 1/ 2"</v>
      </c>
      <c r="N350" s="2" t="str">
        <f>VLOOKUP([jobnumber],OvalData[],MATCH(Table2[[#Headers],[Front Angle]],Table2[#Headers],0),0)</f>
        <v xml:space="preserve"> 10 ft.- 3"</v>
      </c>
      <c r="O350" s="2">
        <f>VLOOKUP([jobnumber],OvalData[],MATCH(Table2[[#Headers],[Pipe Center Line]],Table2[#Headers],0),0)</f>
        <v>131</v>
      </c>
      <c r="P350" s="2">
        <f>VLOOKUP([jobnumber],OvalData[],MATCH(Table2[[#Headers],[Heat Expansion Gap]],Table2[#Headers],0),0)</f>
        <v>0</v>
      </c>
      <c r="Q350" s="2">
        <f>VLOOKUP([jobnumber],OvalData[],MATCH(Table2[[#Headers],[Hanging Weight Closed]],Table2[#Headers],0),0)</f>
        <v>795</v>
      </c>
      <c r="R350" s="2">
        <f>VLOOKUP([jobnumber],OvalData[],MATCH(Table2[[#Headers],[Hanging Weight Open]],Table2[#Headers],0),0)</f>
        <v>140</v>
      </c>
      <c r="S350" s="2">
        <f>VLOOKUP([jobnumber],OvalData[],MATCH(Table2[[#Headers],[Initial Lever Arm]],Table2[#Headers],0),0)</f>
        <v>4.25</v>
      </c>
      <c r="T350" s="2">
        <f>VLOOKUP([jobnumber],OvalData[],MATCH(Table2[[#Headers],[Turns to Raise]],Table2[#Headers],0),0)</f>
        <v>3.5859999999999999</v>
      </c>
      <c r="U350" s="2">
        <f>VLOOKUP([jobnumber],OvalData[],MATCH(Table2[[#Headers],[Final Lever Arm]],Table2[#Headers],0),0)</f>
        <v>6.37</v>
      </c>
      <c r="V350" s="2">
        <f>VLOOKUP([jobnumber],OvalData[],MATCH(Table2[[#Headers],[Torque Required Closed]],Table2[#Headers],0),0)</f>
        <v>3377.9</v>
      </c>
      <c r="W350" s="2">
        <f>VLOOKUP([jobnumber],OvalData[],MATCH(Table2[[#Headers],[Torque Required Open]],Table2[#Headers],0),0)</f>
        <v>892</v>
      </c>
      <c r="X350" s="2">
        <f>VLOOKUP([jobnumber],OvalData[],MATCH(Table2[[#Headers],[Pre Turns]],Table2[#Headers],0),0)</f>
        <v>1.3332999999999999</v>
      </c>
      <c r="Y350" s="2">
        <f>VLOOKUP([jobnumber],OvalData[],MATCH(Table2[[#Headers],[Required Torque Per Turn]],Table2[#Headers],0),0)</f>
        <v>688</v>
      </c>
      <c r="Z350" s="2">
        <f>VLOOKUP([jobnumber],OvalData[],MATCH(Table2[[#Headers],[Total Turns]],Table2[#Headers],0),0)</f>
        <v>4.91</v>
      </c>
      <c r="AA350" s="2">
        <f>VLOOKUP([jobnumber],OvalData[],MATCH(Table2[[#Headers],[Grille Vision Section]],Table2[#Headers],0),0)</f>
        <v>0</v>
      </c>
      <c r="AB350" s="2">
        <f>VLOOKUP([jobnumber],OvalData[],MATCH(Table2[[#Headers],[Grille Amount]],Table2[#Headers],0),0)</f>
        <v>0</v>
      </c>
      <c r="AC350" s="2">
        <f>VLOOKUP([jobnumber],OvalData[],MATCH(Table2[[#Headers],[Grille Center]],Table2[#Headers],0),0)</f>
        <v>0</v>
      </c>
      <c r="AD350" s="2">
        <f>VLOOKUP([jobnumber],OvalData[],MATCH(Table2[[#Headers],[Grille Pattern]],Table2[#Headers],0),0)</f>
        <v>0</v>
      </c>
      <c r="AE350" s="2">
        <f>VLOOKUP([jobnumber],OvalData[],MATCH(Table2[[#Headers],[Grille First Tube]],Table2[#Headers],0),0)</f>
        <v>0</v>
      </c>
      <c r="AF350" s="2">
        <f>VLOOKUP([jobnumber],OvalData[],MATCH(Table2[[#Headers],[Grille Standard Tube]],Table2[#Headers],0),0)</f>
        <v>0</v>
      </c>
      <c r="AG350" s="2">
        <f>VLOOKUP([jobnumber],OvalData[],MATCH(Table2[[#Headers],[Grille Total Links]],Table2[#Headers],0),0)</f>
        <v>0</v>
      </c>
      <c r="AH350" s="2">
        <f>VLOOKUP([jobnumber],OvalData[],MATCH(Table2[[#Headers],[Grille Rods]],Table2[#Headers],0),0)</f>
        <v>0</v>
      </c>
      <c r="AI350" s="2">
        <f>VLOOKUP([jobnumber],OvalData[],MATCH(Table2[[#Headers],[Grille Rod Length]],Table2[#Headers],0),0)</f>
        <v>0</v>
      </c>
      <c r="AJ350" s="2">
        <f>VLOOKUP([jobnumber],OvalData[],MATCH(Table2[[#Headers],[slattype]],Table2[#Headers],0),0)</f>
        <v>2</v>
      </c>
      <c r="AK350" s="2">
        <f>VLOOKUP([jobnumber],OvalData[],MATCH(Table2[[#Headers],[slatgage]],Table2[#Headers],0),0)</f>
        <v>18</v>
      </c>
      <c r="AL350" s="2">
        <f>VLOOKUP([jobnumber],OvalData[],MATCH(Table2[[#Headers],[Numer of Top Slats]],Table2[#Headers],0),0)</f>
        <v>0</v>
      </c>
      <c r="AM350" s="2">
        <f>VLOOKUP([jobnumber],OvalData[],MATCH(Table2[[#Headers],[Number of Bottom Slats]],Table2[#Headers],0),0)</f>
        <v>0</v>
      </c>
      <c r="AN350" s="2">
        <f>VLOOKUP([jobnumber],OvalData[],MATCH(Table2[[#Headers],[Solid Bottom Height]],Table2[#Headers],0),0)</f>
        <v>0</v>
      </c>
      <c r="AO350" s="2" t="str">
        <f>VLOOKUP([jobnumber],OvalData[],MATCH(Table2[[#Headers],[slatlength]],Table2[#Headers],0),0)</f>
        <v xml:space="preserve"> 18 ft.- 5 7/ 8"</v>
      </c>
      <c r="AP350" s="2">
        <f>VLOOKUP([jobnumber],OvalData[],MATCH(Table2[[#Headers],[Bottom Slat Length]],Table2[#Headers],0),0)</f>
        <v>0</v>
      </c>
      <c r="AQ350" s="2">
        <f>VLOOKUP([jobnumber],OvalData[],MATCH(Table2[[#Headers],[Number of Perferated Slats]],Table2[#Headers],0),0)</f>
        <v>0</v>
      </c>
      <c r="AR350" s="2">
        <f>VLOOKUP([jobnumber],OvalData[],MATCH(Table2[[#Headers],[First Preferated Slat From End]],Table2[#Headers],0),0)</f>
        <v>0</v>
      </c>
      <c r="AS350" s="2">
        <f>VLOOKUP([jobnumber],OvalData[],MATCH(Table2[[#Headers],[First Preferated Slat From Bottom]],Table2[#Headers],0),0)</f>
        <v>0</v>
      </c>
      <c r="AT350" s="2">
        <f>VLOOKUP([jobnumber],OvalData[],MATCH(Table2[[#Headers],[Total Number of Slats]],Table2[#Headers],0),0)</f>
        <v>51</v>
      </c>
      <c r="AU350" s="2">
        <f>VLOOKUP([jobnumber],OvalData[],MATCH(Table2[[#Headers],[Bottom Bar Slope]],Table2[#Headers],0),0)</f>
        <v>0</v>
      </c>
      <c r="AV350" s="2">
        <f>VLOOKUP([jobnumber],OvalData[],MATCH(Table2[[#Headers],[Bottom Bar Weight]],Table2[#Headers],0),0)</f>
        <v>80.5</v>
      </c>
      <c r="AW350" s="2" t="str">
        <f>VLOOKUP([jobnumber],OvalData[],MATCH(Table2[[#Headers],[Outer Spring Gage]],Table2[#Headers],0),0)</f>
        <v>Null</v>
      </c>
      <c r="AX350" s="2" t="str">
        <f>VLOOKUP([jobnumber],OvalData[],MATCH(Table2[[#Headers],[Outer Spring OD]],Table2[#Headers],0),0)</f>
        <v>Null</v>
      </c>
      <c r="AY350" s="2" t="str">
        <f>VLOOKUP([jobnumber],OvalData[],MATCH(Table2[[#Headers],[Outer Spring Length]],Table2[#Headers],0),0)</f>
        <v>Null</v>
      </c>
      <c r="AZ350" s="2" t="str">
        <f>VLOOKUP([jobnumber],OvalData[],MATCH(Table2[[#Headers],[Outer Spring Stretch]],Table2[#Headers],0),0)</f>
        <v>Null</v>
      </c>
      <c r="BA350" s="2" t="str">
        <f>VLOOKUP([jobnumber],OvalData[],MATCH(Table2[[#Headers],[Outer Spring Torque]],Table2[#Headers],0),0)</f>
        <v>Null</v>
      </c>
      <c r="BB350" s="2" t="str">
        <f>VLOOKUP([jobnumber],OvalData[],MATCH(Table2[[#Headers],[Outer Spring Max Turns]],Table2[#Headers],0),0)</f>
        <v>Null</v>
      </c>
      <c r="BC350" s="2" t="str">
        <f>VLOOKUP([jobnumber],OvalData[],MATCH(Table2[[#Headers],[Outer Spring Weight]],Table2[#Headers],0),0)</f>
        <v>Null</v>
      </c>
      <c r="BD350" s="2" t="str">
        <f>VLOOKUP([jobnumber],OvalData[],MATCH(Table2[[#Headers],[Inner Spring Gage]],Table2[#Headers],0),0)</f>
        <v>Null</v>
      </c>
      <c r="BE350" s="2" t="str">
        <f>VLOOKUP([jobnumber],OvalData[],MATCH(Table2[[#Headers],[Inner Spring OD]],Table2[#Headers],0),0)</f>
        <v>Null</v>
      </c>
      <c r="BF350" s="2" t="str">
        <f>VLOOKUP([jobnumber],OvalData[],MATCH(Table2[[#Headers],[Inner Spring Length]],Table2[#Headers],0),0)</f>
        <v>Null</v>
      </c>
      <c r="BG350" s="2" t="str">
        <f>VLOOKUP([jobnumber],OvalData[],MATCH(Table2[[#Headers],[Inner Spring Stretch]],Table2[#Headers],0),0)</f>
        <v>Null</v>
      </c>
      <c r="BH350" s="2" t="str">
        <f>VLOOKUP([jobnumber],OvalData[],MATCH(Table2[[#Headers],[Inner Spring Torque]],Table2[#Headers],0),0)</f>
        <v>Null</v>
      </c>
      <c r="BI350" s="2" t="str">
        <f>VLOOKUP([jobnumber],OvalData[],MATCH(Table2[[#Headers],[Inner Spring Max Turns]],Table2[#Headers],0),0)</f>
        <v>Null</v>
      </c>
      <c r="BJ350" s="2" t="str">
        <f>VLOOKUP([jobnumber],OvalData[],MATCH(Table2[[#Headers],[Inner Spring Weight]],Table2[#Headers],0),0)</f>
        <v>Null</v>
      </c>
      <c r="BK350" s="2">
        <f>VLOOKUP([jobnumber],OvalData[],MATCH(Table2[[#Headers],[Cycles]],Table2[#Headers],0),0)</f>
        <v>0</v>
      </c>
      <c r="BL350" s="2">
        <f>VLOOKUP([jobnumber],OvalData[],MATCH(Table2[[#Headers],[Total Spring Torque]],Table2[#Headers],0),0)</f>
        <v>0</v>
      </c>
      <c r="BM350" s="2">
        <f>VLOOKUP([jobnumber],OvalData[],MATCH(Table2[[#Headers],[Total Spring Weight]],Table2[#Headers],0),0)</f>
        <v>0</v>
      </c>
      <c r="BN350" s="2">
        <f>VLOOKUP([jobnumber],OvalData[],MATCH(Table2[[#Headers],[Pipe Weight]],Table2[#Headers],0),0)</f>
        <v>688.24239999999998</v>
      </c>
      <c r="BO350" s="2">
        <f>VLOOKUP([jobnumber],OvalData[],MATCH(Table2[[#Headers],[Max Pipe Deflection]],Table2[#Headers],0),0)</f>
        <v>2309</v>
      </c>
      <c r="BP350" s="2">
        <f>VLOOKUP([jobnumber],OvalData[],MATCH(Table2[[#Headers],[Number Non-Insulated Wrap Slats]],Table2[#Headers],0),0)</f>
        <v>0</v>
      </c>
      <c r="BQ350" s="2">
        <f>VLOOKUP([jobnumber],OvalData[],MATCH(Table2[[#Headers],[Number of Insolated Top Slats]],Table2[#Headers],0),0)</f>
        <v>45</v>
      </c>
      <c r="BR350" s="2">
        <f>VLOOKUP([jobnumber],OvalData[],MATCH(Table2[[#Headers],[Insolated Total Slats]],Table2[#Headers],0),0)</f>
        <v>45</v>
      </c>
      <c r="BS350" s="2">
        <f>VLOOKUP([jobnumber],OvalData[],MATCH(Table2[[#Headers],[Number of Slats]],Table2[#Headers],0),0)</f>
        <v>44.69</v>
      </c>
      <c r="BT350" s="2">
        <f>VLOOKUP([jobnumber],OvalData[],MATCH(Table2[[#Headers],[Wrap]],Table2[#Headers],0),0)</f>
        <v>0</v>
      </c>
      <c r="BU350" s="2">
        <f>VLOOKUP([jobnumber],OvalData[],MATCH(Table2[[#Headers],[Wall Angle Thickness]],Table2[#Headers],0),0)</f>
        <v>0</v>
      </c>
      <c r="BV350" s="2">
        <f>VLOOKUP([jobnumber],OvalData[],MATCH(Table2[[#Headers],[windlocks]],Table2[#Headers],0),0)</f>
        <v>0</v>
      </c>
      <c r="BW350" s="2" t="str">
        <f>VLOOKUP([jobnumber],OvalData[],MATCH(Table2[[#Headers],[bottombartype]],Table2[#Headers],0),0)</f>
        <v>SPECIAL</v>
      </c>
      <c r="BX350" s="2">
        <f>VLOOKUP([jobnumber],OvalData[],MATCH(Table2[[#Headers],[endlockweight]],Table2[#Headers],0),0)</f>
        <v>0.17</v>
      </c>
      <c r="BY350" s="2">
        <f>VLOOKUP([jobnumber],OvalData[],MATCH(Table2[[#Headers],[Endlock Total Weight]],Table2[#Headers],0),0)</f>
        <v>7.5972999999999997</v>
      </c>
      <c r="BZ350" s="2">
        <f>VLOOKUP([jobnumber],OvalData[],MATCH(Table2[[#Headers],[Grille Weight]],Table2[#Headers],0),0)</f>
        <v>0</v>
      </c>
      <c r="CA350" s="2">
        <f>VLOOKUP([jobnumber],OvalData[],MATCH(Table2[[#Headers],[barrelrings]],Table2[#Headers],0),0)</f>
        <v>1</v>
      </c>
    </row>
    <row r="351" spans="2:79">
      <c r="B351" s="2" t="str">
        <f>VLOOKUP([jobnumber],OvalData[],MATCH(Table2[[#Headers],[Hand]],Table2[#Headers],0),0)</f>
        <v>RH</v>
      </c>
      <c r="C351" s="2" t="str">
        <f>VLOOKUP([jobnumber],OvalData[],MATCH(Table2[[#Headers],[Model]],Table2[#Headers],0),0)</f>
        <v>SFMPP</v>
      </c>
      <c r="D351" s="2" t="str">
        <f>VLOOKUP([jobnumber],OvalData[],MATCH(Table2[[#Headers],[width]],Table2[#Headers],0),0)</f>
        <v xml:space="preserve"> 18 ft.- 2"</v>
      </c>
      <c r="E351" s="2" t="str">
        <f>VLOOKUP([jobnumber],OvalData[],MATCH(Table2[[#Headers],[stopheight]],Table2[#Headers],0),0)</f>
        <v xml:space="preserve"> 10 ft.- 0"</v>
      </c>
      <c r="F351" s="2" t="str">
        <f>VLOOKUP([jobnumber],OvalData[],MATCH(Table2[[#Headers],[Between Brackets]],Table2[#Headers],0),0)</f>
        <v xml:space="preserve"> 18 ft.- 7 7/ 8"</v>
      </c>
      <c r="G351" s="2" t="str">
        <f>VLOOKUP([jobnumber],OvalData[],MATCH(Table2[[#Headers],[shell]],Table2[#Headers],0),0)</f>
        <v>6 INCH TUBE</v>
      </c>
      <c r="H351" s="2" t="str">
        <f>VLOOKUP([jobnumber],OvalData[],MATCH(Table2[[#Headers],[pipewidth]],Table2[#Headers],0),0)</f>
        <v xml:space="preserve"> 18 ft.- 1 3/ 8"</v>
      </c>
      <c r="I351" s="2">
        <f>VLOOKUP([jobnumber],OvalData[],MATCH(Table2[[#Headers],[Support Tubes]],Table2[#Headers],0),0)</f>
        <v>0</v>
      </c>
      <c r="J351" s="2">
        <f>VLOOKUP([jobnumber],OvalData[],MATCH(Table2[[#Headers],[Upset]],Table2[#Headers],0),0)</f>
        <v>2</v>
      </c>
      <c r="K351" s="2" t="str">
        <f>VLOOKUP([jobnumber],OvalData[],MATCH(Table2[[#Headers],[Guide Type]],Table2[#Headers],0),0)</f>
        <v>SN2-4 5/8-E</v>
      </c>
      <c r="L351" s="2" t="str">
        <f>VLOOKUP([jobnumber],OvalData[],MATCH(Table2[[#Headers],[Wall Angle]],Table2[#Headers],0),0)</f>
        <v xml:space="preserve"> 11 ft.- 8"</v>
      </c>
      <c r="M351" s="2" t="str">
        <f>VLOOKUP([jobnumber],OvalData[],MATCH(Table2[[#Headers],[Middle Angle]],Table2[#Headers],0),0)</f>
        <v xml:space="preserve"> 10 ft.- 4 1/ 2"</v>
      </c>
      <c r="N351" s="2" t="str">
        <f>VLOOKUP([jobnumber],OvalData[],MATCH(Table2[[#Headers],[Front Angle]],Table2[#Headers],0),0)</f>
        <v xml:space="preserve"> 10 ft.- 3"</v>
      </c>
      <c r="O351" s="2">
        <f>VLOOKUP([jobnumber],OvalData[],MATCH(Table2[[#Headers],[Pipe Center Line]],Table2[#Headers],0),0)</f>
        <v>131</v>
      </c>
      <c r="P351" s="2">
        <f>VLOOKUP([jobnumber],OvalData[],MATCH(Table2[[#Headers],[Heat Expansion Gap]],Table2[#Headers],0),0)</f>
        <v>0</v>
      </c>
      <c r="Q351" s="2">
        <f>VLOOKUP([jobnumber],OvalData[],MATCH(Table2[[#Headers],[Hanging Weight Closed]],Table2[#Headers],0),0)</f>
        <v>795</v>
      </c>
      <c r="R351" s="2">
        <f>VLOOKUP([jobnumber],OvalData[],MATCH(Table2[[#Headers],[Hanging Weight Open]],Table2[#Headers],0),0)</f>
        <v>140</v>
      </c>
      <c r="S351" s="2">
        <f>VLOOKUP([jobnumber],OvalData[],MATCH(Table2[[#Headers],[Initial Lever Arm]],Table2[#Headers],0),0)</f>
        <v>4.25</v>
      </c>
      <c r="T351" s="2">
        <f>VLOOKUP([jobnumber],OvalData[],MATCH(Table2[[#Headers],[Turns to Raise]],Table2[#Headers],0),0)</f>
        <v>3.5859999999999999</v>
      </c>
      <c r="U351" s="2">
        <f>VLOOKUP([jobnumber],OvalData[],MATCH(Table2[[#Headers],[Final Lever Arm]],Table2[#Headers],0),0)</f>
        <v>6.37</v>
      </c>
      <c r="V351" s="2">
        <f>VLOOKUP([jobnumber],OvalData[],MATCH(Table2[[#Headers],[Torque Required Closed]],Table2[#Headers],0),0)</f>
        <v>3377.9</v>
      </c>
      <c r="W351" s="2">
        <f>VLOOKUP([jobnumber],OvalData[],MATCH(Table2[[#Headers],[Torque Required Open]],Table2[#Headers],0),0)</f>
        <v>892</v>
      </c>
      <c r="X351" s="2">
        <f>VLOOKUP([jobnumber],OvalData[],MATCH(Table2[[#Headers],[Pre Turns]],Table2[#Headers],0),0)</f>
        <v>1.3332999999999999</v>
      </c>
      <c r="Y351" s="2">
        <f>VLOOKUP([jobnumber],OvalData[],MATCH(Table2[[#Headers],[Required Torque Per Turn]],Table2[#Headers],0),0)</f>
        <v>688</v>
      </c>
      <c r="Z351" s="2">
        <f>VLOOKUP([jobnumber],OvalData[],MATCH(Table2[[#Headers],[Total Turns]],Table2[#Headers],0),0)</f>
        <v>4.91</v>
      </c>
      <c r="AA351" s="2">
        <f>VLOOKUP([jobnumber],OvalData[],MATCH(Table2[[#Headers],[Grille Vision Section]],Table2[#Headers],0),0)</f>
        <v>0</v>
      </c>
      <c r="AB351" s="2">
        <f>VLOOKUP([jobnumber],OvalData[],MATCH(Table2[[#Headers],[Grille Amount]],Table2[#Headers],0),0)</f>
        <v>0</v>
      </c>
      <c r="AC351" s="2">
        <f>VLOOKUP([jobnumber],OvalData[],MATCH(Table2[[#Headers],[Grille Center]],Table2[#Headers],0),0)</f>
        <v>0</v>
      </c>
      <c r="AD351" s="2">
        <f>VLOOKUP([jobnumber],OvalData[],MATCH(Table2[[#Headers],[Grille Pattern]],Table2[#Headers],0),0)</f>
        <v>0</v>
      </c>
      <c r="AE351" s="2">
        <f>VLOOKUP([jobnumber],OvalData[],MATCH(Table2[[#Headers],[Grille First Tube]],Table2[#Headers],0),0)</f>
        <v>0</v>
      </c>
      <c r="AF351" s="2">
        <f>VLOOKUP([jobnumber],OvalData[],MATCH(Table2[[#Headers],[Grille Standard Tube]],Table2[#Headers],0),0)</f>
        <v>0</v>
      </c>
      <c r="AG351" s="2">
        <f>VLOOKUP([jobnumber],OvalData[],MATCH(Table2[[#Headers],[Grille Total Links]],Table2[#Headers],0),0)</f>
        <v>0</v>
      </c>
      <c r="AH351" s="2">
        <f>VLOOKUP([jobnumber],OvalData[],MATCH(Table2[[#Headers],[Grille Rods]],Table2[#Headers],0),0)</f>
        <v>0</v>
      </c>
      <c r="AI351" s="2">
        <f>VLOOKUP([jobnumber],OvalData[],MATCH(Table2[[#Headers],[Grille Rod Length]],Table2[#Headers],0),0)</f>
        <v>0</v>
      </c>
      <c r="AJ351" s="2">
        <f>VLOOKUP([jobnumber],OvalData[],MATCH(Table2[[#Headers],[slattype]],Table2[#Headers],0),0)</f>
        <v>2</v>
      </c>
      <c r="AK351" s="2">
        <f>VLOOKUP([jobnumber],OvalData[],MATCH(Table2[[#Headers],[slatgage]],Table2[#Headers],0),0)</f>
        <v>18</v>
      </c>
      <c r="AL351" s="2">
        <f>VLOOKUP([jobnumber],OvalData[],MATCH(Table2[[#Headers],[Numer of Top Slats]],Table2[#Headers],0),0)</f>
        <v>0</v>
      </c>
      <c r="AM351" s="2">
        <f>VLOOKUP([jobnumber],OvalData[],MATCH(Table2[[#Headers],[Number of Bottom Slats]],Table2[#Headers],0),0)</f>
        <v>0</v>
      </c>
      <c r="AN351" s="2">
        <f>VLOOKUP([jobnumber],OvalData[],MATCH(Table2[[#Headers],[Solid Bottom Height]],Table2[#Headers],0),0)</f>
        <v>0</v>
      </c>
      <c r="AO351" s="2" t="str">
        <f>VLOOKUP([jobnumber],OvalData[],MATCH(Table2[[#Headers],[slatlength]],Table2[#Headers],0),0)</f>
        <v xml:space="preserve"> 18 ft.- 5 7/ 8"</v>
      </c>
      <c r="AP351" s="2">
        <f>VLOOKUP([jobnumber],OvalData[],MATCH(Table2[[#Headers],[Bottom Slat Length]],Table2[#Headers],0),0)</f>
        <v>0</v>
      </c>
      <c r="AQ351" s="2">
        <f>VLOOKUP([jobnumber],OvalData[],MATCH(Table2[[#Headers],[Number of Perferated Slats]],Table2[#Headers],0),0)</f>
        <v>0</v>
      </c>
      <c r="AR351" s="2">
        <f>VLOOKUP([jobnumber],OvalData[],MATCH(Table2[[#Headers],[First Preferated Slat From End]],Table2[#Headers],0),0)</f>
        <v>0</v>
      </c>
      <c r="AS351" s="2">
        <f>VLOOKUP([jobnumber],OvalData[],MATCH(Table2[[#Headers],[First Preferated Slat From Bottom]],Table2[#Headers],0),0)</f>
        <v>0</v>
      </c>
      <c r="AT351" s="2">
        <f>VLOOKUP([jobnumber],OvalData[],MATCH(Table2[[#Headers],[Total Number of Slats]],Table2[#Headers],0),0)</f>
        <v>51</v>
      </c>
      <c r="AU351" s="2">
        <f>VLOOKUP([jobnumber],OvalData[],MATCH(Table2[[#Headers],[Bottom Bar Slope]],Table2[#Headers],0),0)</f>
        <v>0</v>
      </c>
      <c r="AV351" s="2">
        <f>VLOOKUP([jobnumber],OvalData[],MATCH(Table2[[#Headers],[Bottom Bar Weight]],Table2[#Headers],0),0)</f>
        <v>80.5</v>
      </c>
      <c r="AW351" s="2" t="str">
        <f>VLOOKUP([jobnumber],OvalData[],MATCH(Table2[[#Headers],[Outer Spring Gage]],Table2[#Headers],0),0)</f>
        <v>Null</v>
      </c>
      <c r="AX351" s="2" t="str">
        <f>VLOOKUP([jobnumber],OvalData[],MATCH(Table2[[#Headers],[Outer Spring OD]],Table2[#Headers],0),0)</f>
        <v>Null</v>
      </c>
      <c r="AY351" s="2" t="str">
        <f>VLOOKUP([jobnumber],OvalData[],MATCH(Table2[[#Headers],[Outer Spring Length]],Table2[#Headers],0),0)</f>
        <v>Null</v>
      </c>
      <c r="AZ351" s="2" t="str">
        <f>VLOOKUP([jobnumber],OvalData[],MATCH(Table2[[#Headers],[Outer Spring Stretch]],Table2[#Headers],0),0)</f>
        <v>Null</v>
      </c>
      <c r="BA351" s="2" t="str">
        <f>VLOOKUP([jobnumber],OvalData[],MATCH(Table2[[#Headers],[Outer Spring Torque]],Table2[#Headers],0),0)</f>
        <v>Null</v>
      </c>
      <c r="BB351" s="2" t="str">
        <f>VLOOKUP([jobnumber],OvalData[],MATCH(Table2[[#Headers],[Outer Spring Max Turns]],Table2[#Headers],0),0)</f>
        <v>Null</v>
      </c>
      <c r="BC351" s="2" t="str">
        <f>VLOOKUP([jobnumber],OvalData[],MATCH(Table2[[#Headers],[Outer Spring Weight]],Table2[#Headers],0),0)</f>
        <v>Null</v>
      </c>
      <c r="BD351" s="2" t="str">
        <f>VLOOKUP([jobnumber],OvalData[],MATCH(Table2[[#Headers],[Inner Spring Gage]],Table2[#Headers],0),0)</f>
        <v>Null</v>
      </c>
      <c r="BE351" s="2" t="str">
        <f>VLOOKUP([jobnumber],OvalData[],MATCH(Table2[[#Headers],[Inner Spring OD]],Table2[#Headers],0),0)</f>
        <v>Null</v>
      </c>
      <c r="BF351" s="2" t="str">
        <f>VLOOKUP([jobnumber],OvalData[],MATCH(Table2[[#Headers],[Inner Spring Length]],Table2[#Headers],0),0)</f>
        <v>Null</v>
      </c>
      <c r="BG351" s="2" t="str">
        <f>VLOOKUP([jobnumber],OvalData[],MATCH(Table2[[#Headers],[Inner Spring Stretch]],Table2[#Headers],0),0)</f>
        <v>Null</v>
      </c>
      <c r="BH351" s="2" t="str">
        <f>VLOOKUP([jobnumber],OvalData[],MATCH(Table2[[#Headers],[Inner Spring Torque]],Table2[#Headers],0),0)</f>
        <v>Null</v>
      </c>
      <c r="BI351" s="2" t="str">
        <f>VLOOKUP([jobnumber],OvalData[],MATCH(Table2[[#Headers],[Inner Spring Max Turns]],Table2[#Headers],0),0)</f>
        <v>Null</v>
      </c>
      <c r="BJ351" s="2" t="str">
        <f>VLOOKUP([jobnumber],OvalData[],MATCH(Table2[[#Headers],[Inner Spring Weight]],Table2[#Headers],0),0)</f>
        <v>Null</v>
      </c>
      <c r="BK351" s="2">
        <f>VLOOKUP([jobnumber],OvalData[],MATCH(Table2[[#Headers],[Cycles]],Table2[#Headers],0),0)</f>
        <v>0</v>
      </c>
      <c r="BL351" s="2">
        <f>VLOOKUP([jobnumber],OvalData[],MATCH(Table2[[#Headers],[Total Spring Torque]],Table2[#Headers],0),0)</f>
        <v>0</v>
      </c>
      <c r="BM351" s="2">
        <f>VLOOKUP([jobnumber],OvalData[],MATCH(Table2[[#Headers],[Total Spring Weight]],Table2[#Headers],0),0)</f>
        <v>0</v>
      </c>
      <c r="BN351" s="2">
        <f>VLOOKUP([jobnumber],OvalData[],MATCH(Table2[[#Headers],[Pipe Weight]],Table2[#Headers],0),0)</f>
        <v>688.24239999999998</v>
      </c>
      <c r="BO351" s="2">
        <f>VLOOKUP([jobnumber],OvalData[],MATCH(Table2[[#Headers],[Max Pipe Deflection]],Table2[#Headers],0),0)</f>
        <v>2309</v>
      </c>
      <c r="BP351" s="2">
        <f>VLOOKUP([jobnumber],OvalData[],MATCH(Table2[[#Headers],[Number Non-Insulated Wrap Slats]],Table2[#Headers],0),0)</f>
        <v>0</v>
      </c>
      <c r="BQ351" s="2">
        <f>VLOOKUP([jobnumber],OvalData[],MATCH(Table2[[#Headers],[Number of Insolated Top Slats]],Table2[#Headers],0),0)</f>
        <v>45</v>
      </c>
      <c r="BR351" s="2">
        <f>VLOOKUP([jobnumber],OvalData[],MATCH(Table2[[#Headers],[Insolated Total Slats]],Table2[#Headers],0),0)</f>
        <v>45</v>
      </c>
      <c r="BS351" s="2">
        <f>VLOOKUP([jobnumber],OvalData[],MATCH(Table2[[#Headers],[Number of Slats]],Table2[#Headers],0),0)</f>
        <v>44.69</v>
      </c>
      <c r="BT351" s="2">
        <f>VLOOKUP([jobnumber],OvalData[],MATCH(Table2[[#Headers],[Wrap]],Table2[#Headers],0),0)</f>
        <v>0</v>
      </c>
      <c r="BU351" s="2">
        <f>VLOOKUP([jobnumber],OvalData[],MATCH(Table2[[#Headers],[Wall Angle Thickness]],Table2[#Headers],0),0)</f>
        <v>0</v>
      </c>
      <c r="BV351" s="2">
        <f>VLOOKUP([jobnumber],OvalData[],MATCH(Table2[[#Headers],[windlocks]],Table2[#Headers],0),0)</f>
        <v>0</v>
      </c>
      <c r="BW351" s="2" t="str">
        <f>VLOOKUP([jobnumber],OvalData[],MATCH(Table2[[#Headers],[bottombartype]],Table2[#Headers],0),0)</f>
        <v>SPECIAL</v>
      </c>
      <c r="BX351" s="2">
        <f>VLOOKUP([jobnumber],OvalData[],MATCH(Table2[[#Headers],[endlockweight]],Table2[#Headers],0),0)</f>
        <v>0.17</v>
      </c>
      <c r="BY351" s="2">
        <f>VLOOKUP([jobnumber],OvalData[],MATCH(Table2[[#Headers],[Endlock Total Weight]],Table2[#Headers],0),0)</f>
        <v>7.5972999999999997</v>
      </c>
      <c r="BZ351" s="2">
        <f>VLOOKUP([jobnumber],OvalData[],MATCH(Table2[[#Headers],[Grille Weight]],Table2[#Headers],0),0)</f>
        <v>0</v>
      </c>
      <c r="CA351" s="2">
        <f>VLOOKUP([jobnumber],OvalData[],MATCH(Table2[[#Headers],[barrelrings]],Table2[#Headers],0),0)</f>
        <v>1</v>
      </c>
    </row>
    <row r="352" spans="2:79">
      <c r="B352" s="2" t="str">
        <f>VLOOKUP([jobnumber],OvalData[],MATCH(Table2[[#Headers],[Hand]],Table2[#Headers],0),0)</f>
        <v>RH</v>
      </c>
      <c r="C352" s="2" t="str">
        <f>VLOOKUP([jobnumber],OvalData[],MATCH(Table2[[#Headers],[Model]],Table2[#Headers],0),0)</f>
        <v>SFMPP</v>
      </c>
      <c r="D352" s="2" t="str">
        <f>VLOOKUP([jobnumber],OvalData[],MATCH(Table2[[#Headers],[width]],Table2[#Headers],0),0)</f>
        <v xml:space="preserve"> 18 ft.- 2"</v>
      </c>
      <c r="E352" s="2" t="str">
        <f>VLOOKUP([jobnumber],OvalData[],MATCH(Table2[[#Headers],[stopheight]],Table2[#Headers],0),0)</f>
        <v xml:space="preserve"> 10 ft.- 0"</v>
      </c>
      <c r="F352" s="2" t="str">
        <f>VLOOKUP([jobnumber],OvalData[],MATCH(Table2[[#Headers],[Between Brackets]],Table2[#Headers],0),0)</f>
        <v xml:space="preserve"> 18 ft.- 7 7/ 8"</v>
      </c>
      <c r="G352" s="2" t="str">
        <f>VLOOKUP([jobnumber],OvalData[],MATCH(Table2[[#Headers],[shell]],Table2[#Headers],0),0)</f>
        <v>6 INCH TUBE</v>
      </c>
      <c r="H352" s="2" t="str">
        <f>VLOOKUP([jobnumber],OvalData[],MATCH(Table2[[#Headers],[pipewidth]],Table2[#Headers],0),0)</f>
        <v xml:space="preserve"> 18 ft.- 1 3/ 8"</v>
      </c>
      <c r="I352" s="2">
        <f>VLOOKUP([jobnumber],OvalData[],MATCH(Table2[[#Headers],[Support Tubes]],Table2[#Headers],0),0)</f>
        <v>0</v>
      </c>
      <c r="J352" s="2">
        <f>VLOOKUP([jobnumber],OvalData[],MATCH(Table2[[#Headers],[Upset]],Table2[#Headers],0),0)</f>
        <v>2</v>
      </c>
      <c r="K352" s="2" t="str">
        <f>VLOOKUP([jobnumber],OvalData[],MATCH(Table2[[#Headers],[Guide Type]],Table2[#Headers],0),0)</f>
        <v>SN2-4 5/8-E</v>
      </c>
      <c r="L352" s="2" t="str">
        <f>VLOOKUP([jobnumber],OvalData[],MATCH(Table2[[#Headers],[Wall Angle]],Table2[#Headers],0),0)</f>
        <v xml:space="preserve"> 11 ft.- 8"</v>
      </c>
      <c r="M352" s="2" t="str">
        <f>VLOOKUP([jobnumber],OvalData[],MATCH(Table2[[#Headers],[Middle Angle]],Table2[#Headers],0),0)</f>
        <v xml:space="preserve"> 10 ft.- 4 1/ 2"</v>
      </c>
      <c r="N352" s="2" t="str">
        <f>VLOOKUP([jobnumber],OvalData[],MATCH(Table2[[#Headers],[Front Angle]],Table2[#Headers],0),0)</f>
        <v xml:space="preserve"> 10 ft.- 3"</v>
      </c>
      <c r="O352" s="2">
        <f>VLOOKUP([jobnumber],OvalData[],MATCH(Table2[[#Headers],[Pipe Center Line]],Table2[#Headers],0),0)</f>
        <v>131</v>
      </c>
      <c r="P352" s="2">
        <f>VLOOKUP([jobnumber],OvalData[],MATCH(Table2[[#Headers],[Heat Expansion Gap]],Table2[#Headers],0),0)</f>
        <v>0</v>
      </c>
      <c r="Q352" s="2">
        <f>VLOOKUP([jobnumber],OvalData[],MATCH(Table2[[#Headers],[Hanging Weight Closed]],Table2[#Headers],0),0)</f>
        <v>795</v>
      </c>
      <c r="R352" s="2">
        <f>VLOOKUP([jobnumber],OvalData[],MATCH(Table2[[#Headers],[Hanging Weight Open]],Table2[#Headers],0),0)</f>
        <v>140</v>
      </c>
      <c r="S352" s="2">
        <f>VLOOKUP([jobnumber],OvalData[],MATCH(Table2[[#Headers],[Initial Lever Arm]],Table2[#Headers],0),0)</f>
        <v>4.25</v>
      </c>
      <c r="T352" s="2">
        <f>VLOOKUP([jobnumber],OvalData[],MATCH(Table2[[#Headers],[Turns to Raise]],Table2[#Headers],0),0)</f>
        <v>3.5859999999999999</v>
      </c>
      <c r="U352" s="2">
        <f>VLOOKUP([jobnumber],OvalData[],MATCH(Table2[[#Headers],[Final Lever Arm]],Table2[#Headers],0),0)</f>
        <v>6.37</v>
      </c>
      <c r="V352" s="2">
        <f>VLOOKUP([jobnumber],OvalData[],MATCH(Table2[[#Headers],[Torque Required Closed]],Table2[#Headers],0),0)</f>
        <v>3377.9</v>
      </c>
      <c r="W352" s="2">
        <f>VLOOKUP([jobnumber],OvalData[],MATCH(Table2[[#Headers],[Torque Required Open]],Table2[#Headers],0),0)</f>
        <v>892</v>
      </c>
      <c r="X352" s="2">
        <f>VLOOKUP([jobnumber],OvalData[],MATCH(Table2[[#Headers],[Pre Turns]],Table2[#Headers],0),0)</f>
        <v>1.3332999999999999</v>
      </c>
      <c r="Y352" s="2">
        <f>VLOOKUP([jobnumber],OvalData[],MATCH(Table2[[#Headers],[Required Torque Per Turn]],Table2[#Headers],0),0)</f>
        <v>688</v>
      </c>
      <c r="Z352" s="2">
        <f>VLOOKUP([jobnumber],OvalData[],MATCH(Table2[[#Headers],[Total Turns]],Table2[#Headers],0),0)</f>
        <v>4.91</v>
      </c>
      <c r="AA352" s="2">
        <f>VLOOKUP([jobnumber],OvalData[],MATCH(Table2[[#Headers],[Grille Vision Section]],Table2[#Headers],0),0)</f>
        <v>0</v>
      </c>
      <c r="AB352" s="2">
        <f>VLOOKUP([jobnumber],OvalData[],MATCH(Table2[[#Headers],[Grille Amount]],Table2[#Headers],0),0)</f>
        <v>0</v>
      </c>
      <c r="AC352" s="2">
        <f>VLOOKUP([jobnumber],OvalData[],MATCH(Table2[[#Headers],[Grille Center]],Table2[#Headers],0),0)</f>
        <v>0</v>
      </c>
      <c r="AD352" s="2">
        <f>VLOOKUP([jobnumber],OvalData[],MATCH(Table2[[#Headers],[Grille Pattern]],Table2[#Headers],0),0)</f>
        <v>0</v>
      </c>
      <c r="AE352" s="2">
        <f>VLOOKUP([jobnumber],OvalData[],MATCH(Table2[[#Headers],[Grille First Tube]],Table2[#Headers],0),0)</f>
        <v>0</v>
      </c>
      <c r="AF352" s="2">
        <f>VLOOKUP([jobnumber],OvalData[],MATCH(Table2[[#Headers],[Grille Standard Tube]],Table2[#Headers],0),0)</f>
        <v>0</v>
      </c>
      <c r="AG352" s="2">
        <f>VLOOKUP([jobnumber],OvalData[],MATCH(Table2[[#Headers],[Grille Total Links]],Table2[#Headers],0),0)</f>
        <v>0</v>
      </c>
      <c r="AH352" s="2">
        <f>VLOOKUP([jobnumber],OvalData[],MATCH(Table2[[#Headers],[Grille Rods]],Table2[#Headers],0),0)</f>
        <v>0</v>
      </c>
      <c r="AI352" s="2">
        <f>VLOOKUP([jobnumber],OvalData[],MATCH(Table2[[#Headers],[Grille Rod Length]],Table2[#Headers],0),0)</f>
        <v>0</v>
      </c>
      <c r="AJ352" s="2">
        <f>VLOOKUP([jobnumber],OvalData[],MATCH(Table2[[#Headers],[slattype]],Table2[#Headers],0),0)</f>
        <v>2</v>
      </c>
      <c r="AK352" s="2">
        <f>VLOOKUP([jobnumber],OvalData[],MATCH(Table2[[#Headers],[slatgage]],Table2[#Headers],0),0)</f>
        <v>18</v>
      </c>
      <c r="AL352" s="2">
        <f>VLOOKUP([jobnumber],OvalData[],MATCH(Table2[[#Headers],[Numer of Top Slats]],Table2[#Headers],0),0)</f>
        <v>0</v>
      </c>
      <c r="AM352" s="2">
        <f>VLOOKUP([jobnumber],OvalData[],MATCH(Table2[[#Headers],[Number of Bottom Slats]],Table2[#Headers],0),0)</f>
        <v>0</v>
      </c>
      <c r="AN352" s="2">
        <f>VLOOKUP([jobnumber],OvalData[],MATCH(Table2[[#Headers],[Solid Bottom Height]],Table2[#Headers],0),0)</f>
        <v>0</v>
      </c>
      <c r="AO352" s="2" t="str">
        <f>VLOOKUP([jobnumber],OvalData[],MATCH(Table2[[#Headers],[slatlength]],Table2[#Headers],0),0)</f>
        <v xml:space="preserve"> 18 ft.- 5 7/ 8"</v>
      </c>
      <c r="AP352" s="2">
        <f>VLOOKUP([jobnumber],OvalData[],MATCH(Table2[[#Headers],[Bottom Slat Length]],Table2[#Headers],0),0)</f>
        <v>0</v>
      </c>
      <c r="AQ352" s="2">
        <f>VLOOKUP([jobnumber],OvalData[],MATCH(Table2[[#Headers],[Number of Perferated Slats]],Table2[#Headers],0),0)</f>
        <v>0</v>
      </c>
      <c r="AR352" s="2">
        <f>VLOOKUP([jobnumber],OvalData[],MATCH(Table2[[#Headers],[First Preferated Slat From End]],Table2[#Headers],0),0)</f>
        <v>0</v>
      </c>
      <c r="AS352" s="2">
        <f>VLOOKUP([jobnumber],OvalData[],MATCH(Table2[[#Headers],[First Preferated Slat From Bottom]],Table2[#Headers],0),0)</f>
        <v>0</v>
      </c>
      <c r="AT352" s="2">
        <f>VLOOKUP([jobnumber],OvalData[],MATCH(Table2[[#Headers],[Total Number of Slats]],Table2[#Headers],0),0)</f>
        <v>51</v>
      </c>
      <c r="AU352" s="2">
        <f>VLOOKUP([jobnumber],OvalData[],MATCH(Table2[[#Headers],[Bottom Bar Slope]],Table2[#Headers],0),0)</f>
        <v>0</v>
      </c>
      <c r="AV352" s="2">
        <f>VLOOKUP([jobnumber],OvalData[],MATCH(Table2[[#Headers],[Bottom Bar Weight]],Table2[#Headers],0),0)</f>
        <v>80.5</v>
      </c>
      <c r="AW352" s="2" t="str">
        <f>VLOOKUP([jobnumber],OvalData[],MATCH(Table2[[#Headers],[Outer Spring Gage]],Table2[#Headers],0),0)</f>
        <v>Null</v>
      </c>
      <c r="AX352" s="2" t="str">
        <f>VLOOKUP([jobnumber],OvalData[],MATCH(Table2[[#Headers],[Outer Spring OD]],Table2[#Headers],0),0)</f>
        <v>Null</v>
      </c>
      <c r="AY352" s="2" t="str">
        <f>VLOOKUP([jobnumber],OvalData[],MATCH(Table2[[#Headers],[Outer Spring Length]],Table2[#Headers],0),0)</f>
        <v>Null</v>
      </c>
      <c r="AZ352" s="2" t="str">
        <f>VLOOKUP([jobnumber],OvalData[],MATCH(Table2[[#Headers],[Outer Spring Stretch]],Table2[#Headers],0),0)</f>
        <v>Null</v>
      </c>
      <c r="BA352" s="2" t="str">
        <f>VLOOKUP([jobnumber],OvalData[],MATCH(Table2[[#Headers],[Outer Spring Torque]],Table2[#Headers],0),0)</f>
        <v>Null</v>
      </c>
      <c r="BB352" s="2" t="str">
        <f>VLOOKUP([jobnumber],OvalData[],MATCH(Table2[[#Headers],[Outer Spring Max Turns]],Table2[#Headers],0),0)</f>
        <v>Null</v>
      </c>
      <c r="BC352" s="2" t="str">
        <f>VLOOKUP([jobnumber],OvalData[],MATCH(Table2[[#Headers],[Outer Spring Weight]],Table2[#Headers],0),0)</f>
        <v>Null</v>
      </c>
      <c r="BD352" s="2" t="str">
        <f>VLOOKUP([jobnumber],OvalData[],MATCH(Table2[[#Headers],[Inner Spring Gage]],Table2[#Headers],0),0)</f>
        <v>Null</v>
      </c>
      <c r="BE352" s="2" t="str">
        <f>VLOOKUP([jobnumber],OvalData[],MATCH(Table2[[#Headers],[Inner Spring OD]],Table2[#Headers],0),0)</f>
        <v>Null</v>
      </c>
      <c r="BF352" s="2" t="str">
        <f>VLOOKUP([jobnumber],OvalData[],MATCH(Table2[[#Headers],[Inner Spring Length]],Table2[#Headers],0),0)</f>
        <v>Null</v>
      </c>
      <c r="BG352" s="2" t="str">
        <f>VLOOKUP([jobnumber],OvalData[],MATCH(Table2[[#Headers],[Inner Spring Stretch]],Table2[#Headers],0),0)</f>
        <v>Null</v>
      </c>
      <c r="BH352" s="2" t="str">
        <f>VLOOKUP([jobnumber],OvalData[],MATCH(Table2[[#Headers],[Inner Spring Torque]],Table2[#Headers],0),0)</f>
        <v>Null</v>
      </c>
      <c r="BI352" s="2" t="str">
        <f>VLOOKUP([jobnumber],OvalData[],MATCH(Table2[[#Headers],[Inner Spring Max Turns]],Table2[#Headers],0),0)</f>
        <v>Null</v>
      </c>
      <c r="BJ352" s="2" t="str">
        <f>VLOOKUP([jobnumber],OvalData[],MATCH(Table2[[#Headers],[Inner Spring Weight]],Table2[#Headers],0),0)</f>
        <v>Null</v>
      </c>
      <c r="BK352" s="2">
        <f>VLOOKUP([jobnumber],OvalData[],MATCH(Table2[[#Headers],[Cycles]],Table2[#Headers],0),0)</f>
        <v>0</v>
      </c>
      <c r="BL352" s="2">
        <f>VLOOKUP([jobnumber],OvalData[],MATCH(Table2[[#Headers],[Total Spring Torque]],Table2[#Headers],0),0)</f>
        <v>0</v>
      </c>
      <c r="BM352" s="2">
        <f>VLOOKUP([jobnumber],OvalData[],MATCH(Table2[[#Headers],[Total Spring Weight]],Table2[#Headers],0),0)</f>
        <v>0</v>
      </c>
      <c r="BN352" s="2">
        <f>VLOOKUP([jobnumber],OvalData[],MATCH(Table2[[#Headers],[Pipe Weight]],Table2[#Headers],0),0)</f>
        <v>688.24239999999998</v>
      </c>
      <c r="BO352" s="2">
        <f>VLOOKUP([jobnumber],OvalData[],MATCH(Table2[[#Headers],[Max Pipe Deflection]],Table2[#Headers],0),0)</f>
        <v>2309</v>
      </c>
      <c r="BP352" s="2">
        <f>VLOOKUP([jobnumber],OvalData[],MATCH(Table2[[#Headers],[Number Non-Insulated Wrap Slats]],Table2[#Headers],0),0)</f>
        <v>0</v>
      </c>
      <c r="BQ352" s="2">
        <f>VLOOKUP([jobnumber],OvalData[],MATCH(Table2[[#Headers],[Number of Insolated Top Slats]],Table2[#Headers],0),0)</f>
        <v>45</v>
      </c>
      <c r="BR352" s="2">
        <f>VLOOKUP([jobnumber],OvalData[],MATCH(Table2[[#Headers],[Insolated Total Slats]],Table2[#Headers],0),0)</f>
        <v>45</v>
      </c>
      <c r="BS352" s="2">
        <f>VLOOKUP([jobnumber],OvalData[],MATCH(Table2[[#Headers],[Number of Slats]],Table2[#Headers],0),0)</f>
        <v>44.69</v>
      </c>
      <c r="BT352" s="2">
        <f>VLOOKUP([jobnumber],OvalData[],MATCH(Table2[[#Headers],[Wrap]],Table2[#Headers],0),0)</f>
        <v>0</v>
      </c>
      <c r="BU352" s="2">
        <f>VLOOKUP([jobnumber],OvalData[],MATCH(Table2[[#Headers],[Wall Angle Thickness]],Table2[#Headers],0),0)</f>
        <v>0</v>
      </c>
      <c r="BV352" s="2">
        <f>VLOOKUP([jobnumber],OvalData[],MATCH(Table2[[#Headers],[windlocks]],Table2[#Headers],0),0)</f>
        <v>0</v>
      </c>
      <c r="BW352" s="2" t="str">
        <f>VLOOKUP([jobnumber],OvalData[],MATCH(Table2[[#Headers],[bottombartype]],Table2[#Headers],0),0)</f>
        <v>SPECIAL</v>
      </c>
      <c r="BX352" s="2">
        <f>VLOOKUP([jobnumber],OvalData[],MATCH(Table2[[#Headers],[endlockweight]],Table2[#Headers],0),0)</f>
        <v>0.17</v>
      </c>
      <c r="BY352" s="2">
        <f>VLOOKUP([jobnumber],OvalData[],MATCH(Table2[[#Headers],[Endlock Total Weight]],Table2[#Headers],0),0)</f>
        <v>7.5972999999999997</v>
      </c>
      <c r="BZ352" s="2">
        <f>VLOOKUP([jobnumber],OvalData[],MATCH(Table2[[#Headers],[Grille Weight]],Table2[#Headers],0),0)</f>
        <v>0</v>
      </c>
      <c r="CA352" s="2">
        <f>VLOOKUP([jobnumber],OvalData[],MATCH(Table2[[#Headers],[barrelrings]],Table2[#Headers],0),0)</f>
        <v>1</v>
      </c>
    </row>
    <row r="353" spans="2:79">
      <c r="B353" s="2" t="str">
        <f>VLOOKUP([jobnumber],OvalData[],MATCH(Table2[[#Headers],[Hand]],Table2[#Headers],0),0)</f>
        <v>RH</v>
      </c>
      <c r="C353" s="2" t="str">
        <f>VLOOKUP([jobnumber],OvalData[],MATCH(Table2[[#Headers],[Model]],Table2[#Headers],0),0)</f>
        <v>SFMPP</v>
      </c>
      <c r="D353" s="2" t="str">
        <f>VLOOKUP([jobnumber],OvalData[],MATCH(Table2[[#Headers],[width]],Table2[#Headers],0),0)</f>
        <v xml:space="preserve"> 18 ft.- 2"</v>
      </c>
      <c r="E353" s="2" t="str">
        <f>VLOOKUP([jobnumber],OvalData[],MATCH(Table2[[#Headers],[stopheight]],Table2[#Headers],0),0)</f>
        <v xml:space="preserve"> 10 ft.- 0"</v>
      </c>
      <c r="F353" s="2" t="str">
        <f>VLOOKUP([jobnumber],OvalData[],MATCH(Table2[[#Headers],[Between Brackets]],Table2[#Headers],0),0)</f>
        <v xml:space="preserve"> 18 ft.- 7 7/ 8"</v>
      </c>
      <c r="G353" s="2" t="str">
        <f>VLOOKUP([jobnumber],OvalData[],MATCH(Table2[[#Headers],[shell]],Table2[#Headers],0),0)</f>
        <v>6 INCH TUBE</v>
      </c>
      <c r="H353" s="2" t="str">
        <f>VLOOKUP([jobnumber],OvalData[],MATCH(Table2[[#Headers],[pipewidth]],Table2[#Headers],0),0)</f>
        <v xml:space="preserve"> 18 ft.- 1 3/ 8"</v>
      </c>
      <c r="I353" s="2">
        <f>VLOOKUP([jobnumber],OvalData[],MATCH(Table2[[#Headers],[Support Tubes]],Table2[#Headers],0),0)</f>
        <v>0</v>
      </c>
      <c r="J353" s="2">
        <f>VLOOKUP([jobnumber],OvalData[],MATCH(Table2[[#Headers],[Upset]],Table2[#Headers],0),0)</f>
        <v>2</v>
      </c>
      <c r="K353" s="2" t="str">
        <f>VLOOKUP([jobnumber],OvalData[],MATCH(Table2[[#Headers],[Guide Type]],Table2[#Headers],0),0)</f>
        <v>SN2-4 5/8-E</v>
      </c>
      <c r="L353" s="2" t="str">
        <f>VLOOKUP([jobnumber],OvalData[],MATCH(Table2[[#Headers],[Wall Angle]],Table2[#Headers],0),0)</f>
        <v xml:space="preserve"> 11 ft.- 8"</v>
      </c>
      <c r="M353" s="2" t="str">
        <f>VLOOKUP([jobnumber],OvalData[],MATCH(Table2[[#Headers],[Middle Angle]],Table2[#Headers],0),0)</f>
        <v xml:space="preserve"> 10 ft.- 4 1/ 2"</v>
      </c>
      <c r="N353" s="2" t="str">
        <f>VLOOKUP([jobnumber],OvalData[],MATCH(Table2[[#Headers],[Front Angle]],Table2[#Headers],0),0)</f>
        <v xml:space="preserve"> 10 ft.- 3"</v>
      </c>
      <c r="O353" s="2">
        <f>VLOOKUP([jobnumber],OvalData[],MATCH(Table2[[#Headers],[Pipe Center Line]],Table2[#Headers],0),0)</f>
        <v>131</v>
      </c>
      <c r="P353" s="2">
        <f>VLOOKUP([jobnumber],OvalData[],MATCH(Table2[[#Headers],[Heat Expansion Gap]],Table2[#Headers],0),0)</f>
        <v>0</v>
      </c>
      <c r="Q353" s="2">
        <f>VLOOKUP([jobnumber],OvalData[],MATCH(Table2[[#Headers],[Hanging Weight Closed]],Table2[#Headers],0),0)</f>
        <v>795</v>
      </c>
      <c r="R353" s="2">
        <f>VLOOKUP([jobnumber],OvalData[],MATCH(Table2[[#Headers],[Hanging Weight Open]],Table2[#Headers],0),0)</f>
        <v>140</v>
      </c>
      <c r="S353" s="2">
        <f>VLOOKUP([jobnumber],OvalData[],MATCH(Table2[[#Headers],[Initial Lever Arm]],Table2[#Headers],0),0)</f>
        <v>4.25</v>
      </c>
      <c r="T353" s="2">
        <f>VLOOKUP([jobnumber],OvalData[],MATCH(Table2[[#Headers],[Turns to Raise]],Table2[#Headers],0),0)</f>
        <v>3.5859999999999999</v>
      </c>
      <c r="U353" s="2">
        <f>VLOOKUP([jobnumber],OvalData[],MATCH(Table2[[#Headers],[Final Lever Arm]],Table2[#Headers],0),0)</f>
        <v>6.37</v>
      </c>
      <c r="V353" s="2">
        <f>VLOOKUP([jobnumber],OvalData[],MATCH(Table2[[#Headers],[Torque Required Closed]],Table2[#Headers],0),0)</f>
        <v>3377.9</v>
      </c>
      <c r="W353" s="2">
        <f>VLOOKUP([jobnumber],OvalData[],MATCH(Table2[[#Headers],[Torque Required Open]],Table2[#Headers],0),0)</f>
        <v>892</v>
      </c>
      <c r="X353" s="2">
        <f>VLOOKUP([jobnumber],OvalData[],MATCH(Table2[[#Headers],[Pre Turns]],Table2[#Headers],0),0)</f>
        <v>1.3332999999999999</v>
      </c>
      <c r="Y353" s="2">
        <f>VLOOKUP([jobnumber],OvalData[],MATCH(Table2[[#Headers],[Required Torque Per Turn]],Table2[#Headers],0),0)</f>
        <v>688</v>
      </c>
      <c r="Z353" s="2">
        <f>VLOOKUP([jobnumber],OvalData[],MATCH(Table2[[#Headers],[Total Turns]],Table2[#Headers],0),0)</f>
        <v>4.91</v>
      </c>
      <c r="AA353" s="2">
        <f>VLOOKUP([jobnumber],OvalData[],MATCH(Table2[[#Headers],[Grille Vision Section]],Table2[#Headers],0),0)</f>
        <v>0</v>
      </c>
      <c r="AB353" s="2">
        <f>VLOOKUP([jobnumber],OvalData[],MATCH(Table2[[#Headers],[Grille Amount]],Table2[#Headers],0),0)</f>
        <v>0</v>
      </c>
      <c r="AC353" s="2">
        <f>VLOOKUP([jobnumber],OvalData[],MATCH(Table2[[#Headers],[Grille Center]],Table2[#Headers],0),0)</f>
        <v>0</v>
      </c>
      <c r="AD353" s="2">
        <f>VLOOKUP([jobnumber],OvalData[],MATCH(Table2[[#Headers],[Grille Pattern]],Table2[#Headers],0),0)</f>
        <v>0</v>
      </c>
      <c r="AE353" s="2">
        <f>VLOOKUP([jobnumber],OvalData[],MATCH(Table2[[#Headers],[Grille First Tube]],Table2[#Headers],0),0)</f>
        <v>0</v>
      </c>
      <c r="AF353" s="2">
        <f>VLOOKUP([jobnumber],OvalData[],MATCH(Table2[[#Headers],[Grille Standard Tube]],Table2[#Headers],0),0)</f>
        <v>0</v>
      </c>
      <c r="AG353" s="2">
        <f>VLOOKUP([jobnumber],OvalData[],MATCH(Table2[[#Headers],[Grille Total Links]],Table2[#Headers],0),0)</f>
        <v>0</v>
      </c>
      <c r="AH353" s="2">
        <f>VLOOKUP([jobnumber],OvalData[],MATCH(Table2[[#Headers],[Grille Rods]],Table2[#Headers],0),0)</f>
        <v>0</v>
      </c>
      <c r="AI353" s="2">
        <f>VLOOKUP([jobnumber],OvalData[],MATCH(Table2[[#Headers],[Grille Rod Length]],Table2[#Headers],0),0)</f>
        <v>0</v>
      </c>
      <c r="AJ353" s="2">
        <f>VLOOKUP([jobnumber],OvalData[],MATCH(Table2[[#Headers],[slattype]],Table2[#Headers],0),0)</f>
        <v>2</v>
      </c>
      <c r="AK353" s="2">
        <f>VLOOKUP([jobnumber],OvalData[],MATCH(Table2[[#Headers],[slatgage]],Table2[#Headers],0),0)</f>
        <v>18</v>
      </c>
      <c r="AL353" s="2">
        <f>VLOOKUP([jobnumber],OvalData[],MATCH(Table2[[#Headers],[Numer of Top Slats]],Table2[#Headers],0),0)</f>
        <v>0</v>
      </c>
      <c r="AM353" s="2">
        <f>VLOOKUP([jobnumber],OvalData[],MATCH(Table2[[#Headers],[Number of Bottom Slats]],Table2[#Headers],0),0)</f>
        <v>0</v>
      </c>
      <c r="AN353" s="2">
        <f>VLOOKUP([jobnumber],OvalData[],MATCH(Table2[[#Headers],[Solid Bottom Height]],Table2[#Headers],0),0)</f>
        <v>0</v>
      </c>
      <c r="AO353" s="2" t="str">
        <f>VLOOKUP([jobnumber],OvalData[],MATCH(Table2[[#Headers],[slatlength]],Table2[#Headers],0),0)</f>
        <v xml:space="preserve"> 18 ft.- 5 7/ 8"</v>
      </c>
      <c r="AP353" s="2">
        <f>VLOOKUP([jobnumber],OvalData[],MATCH(Table2[[#Headers],[Bottom Slat Length]],Table2[#Headers],0),0)</f>
        <v>0</v>
      </c>
      <c r="AQ353" s="2">
        <f>VLOOKUP([jobnumber],OvalData[],MATCH(Table2[[#Headers],[Number of Perferated Slats]],Table2[#Headers],0),0)</f>
        <v>0</v>
      </c>
      <c r="AR353" s="2">
        <f>VLOOKUP([jobnumber],OvalData[],MATCH(Table2[[#Headers],[First Preferated Slat From End]],Table2[#Headers],0),0)</f>
        <v>0</v>
      </c>
      <c r="AS353" s="2">
        <f>VLOOKUP([jobnumber],OvalData[],MATCH(Table2[[#Headers],[First Preferated Slat From Bottom]],Table2[#Headers],0),0)</f>
        <v>0</v>
      </c>
      <c r="AT353" s="2">
        <f>VLOOKUP([jobnumber],OvalData[],MATCH(Table2[[#Headers],[Total Number of Slats]],Table2[#Headers],0),0)</f>
        <v>51</v>
      </c>
      <c r="AU353" s="2">
        <f>VLOOKUP([jobnumber],OvalData[],MATCH(Table2[[#Headers],[Bottom Bar Slope]],Table2[#Headers],0),0)</f>
        <v>0</v>
      </c>
      <c r="AV353" s="2">
        <f>VLOOKUP([jobnumber],OvalData[],MATCH(Table2[[#Headers],[Bottom Bar Weight]],Table2[#Headers],0),0)</f>
        <v>80.5</v>
      </c>
      <c r="AW353" s="2" t="str">
        <f>VLOOKUP([jobnumber],OvalData[],MATCH(Table2[[#Headers],[Outer Spring Gage]],Table2[#Headers],0),0)</f>
        <v>Null</v>
      </c>
      <c r="AX353" s="2" t="str">
        <f>VLOOKUP([jobnumber],OvalData[],MATCH(Table2[[#Headers],[Outer Spring OD]],Table2[#Headers],0),0)</f>
        <v>Null</v>
      </c>
      <c r="AY353" s="2" t="str">
        <f>VLOOKUP([jobnumber],OvalData[],MATCH(Table2[[#Headers],[Outer Spring Length]],Table2[#Headers],0),0)</f>
        <v>Null</v>
      </c>
      <c r="AZ353" s="2" t="str">
        <f>VLOOKUP([jobnumber],OvalData[],MATCH(Table2[[#Headers],[Outer Spring Stretch]],Table2[#Headers],0),0)</f>
        <v>Null</v>
      </c>
      <c r="BA353" s="2" t="str">
        <f>VLOOKUP([jobnumber],OvalData[],MATCH(Table2[[#Headers],[Outer Spring Torque]],Table2[#Headers],0),0)</f>
        <v>Null</v>
      </c>
      <c r="BB353" s="2" t="str">
        <f>VLOOKUP([jobnumber],OvalData[],MATCH(Table2[[#Headers],[Outer Spring Max Turns]],Table2[#Headers],0),0)</f>
        <v>Null</v>
      </c>
      <c r="BC353" s="2" t="str">
        <f>VLOOKUP([jobnumber],OvalData[],MATCH(Table2[[#Headers],[Outer Spring Weight]],Table2[#Headers],0),0)</f>
        <v>Null</v>
      </c>
      <c r="BD353" s="2" t="str">
        <f>VLOOKUP([jobnumber],OvalData[],MATCH(Table2[[#Headers],[Inner Spring Gage]],Table2[#Headers],0),0)</f>
        <v>Null</v>
      </c>
      <c r="BE353" s="2" t="str">
        <f>VLOOKUP([jobnumber],OvalData[],MATCH(Table2[[#Headers],[Inner Spring OD]],Table2[#Headers],0),0)</f>
        <v>Null</v>
      </c>
      <c r="BF353" s="2" t="str">
        <f>VLOOKUP([jobnumber],OvalData[],MATCH(Table2[[#Headers],[Inner Spring Length]],Table2[#Headers],0),0)</f>
        <v>Null</v>
      </c>
      <c r="BG353" s="2" t="str">
        <f>VLOOKUP([jobnumber],OvalData[],MATCH(Table2[[#Headers],[Inner Spring Stretch]],Table2[#Headers],0),0)</f>
        <v>Null</v>
      </c>
      <c r="BH353" s="2" t="str">
        <f>VLOOKUP([jobnumber],OvalData[],MATCH(Table2[[#Headers],[Inner Spring Torque]],Table2[#Headers],0),0)</f>
        <v>Null</v>
      </c>
      <c r="BI353" s="2" t="str">
        <f>VLOOKUP([jobnumber],OvalData[],MATCH(Table2[[#Headers],[Inner Spring Max Turns]],Table2[#Headers],0),0)</f>
        <v>Null</v>
      </c>
      <c r="BJ353" s="2" t="str">
        <f>VLOOKUP([jobnumber],OvalData[],MATCH(Table2[[#Headers],[Inner Spring Weight]],Table2[#Headers],0),0)</f>
        <v>Null</v>
      </c>
      <c r="BK353" s="2">
        <f>VLOOKUP([jobnumber],OvalData[],MATCH(Table2[[#Headers],[Cycles]],Table2[#Headers],0),0)</f>
        <v>0</v>
      </c>
      <c r="BL353" s="2">
        <f>VLOOKUP([jobnumber],OvalData[],MATCH(Table2[[#Headers],[Total Spring Torque]],Table2[#Headers],0),0)</f>
        <v>0</v>
      </c>
      <c r="BM353" s="2">
        <f>VLOOKUP([jobnumber],OvalData[],MATCH(Table2[[#Headers],[Total Spring Weight]],Table2[#Headers],0),0)</f>
        <v>0</v>
      </c>
      <c r="BN353" s="2">
        <f>VLOOKUP([jobnumber],OvalData[],MATCH(Table2[[#Headers],[Pipe Weight]],Table2[#Headers],0),0)</f>
        <v>688.24239999999998</v>
      </c>
      <c r="BO353" s="2">
        <f>VLOOKUP([jobnumber],OvalData[],MATCH(Table2[[#Headers],[Max Pipe Deflection]],Table2[#Headers],0),0)</f>
        <v>2309</v>
      </c>
      <c r="BP353" s="2">
        <f>VLOOKUP([jobnumber],OvalData[],MATCH(Table2[[#Headers],[Number Non-Insulated Wrap Slats]],Table2[#Headers],0),0)</f>
        <v>0</v>
      </c>
      <c r="BQ353" s="2">
        <f>VLOOKUP([jobnumber],OvalData[],MATCH(Table2[[#Headers],[Number of Insolated Top Slats]],Table2[#Headers],0),0)</f>
        <v>45</v>
      </c>
      <c r="BR353" s="2">
        <f>VLOOKUP([jobnumber],OvalData[],MATCH(Table2[[#Headers],[Insolated Total Slats]],Table2[#Headers],0),0)</f>
        <v>45</v>
      </c>
      <c r="BS353" s="2">
        <f>VLOOKUP([jobnumber],OvalData[],MATCH(Table2[[#Headers],[Number of Slats]],Table2[#Headers],0),0)</f>
        <v>44.69</v>
      </c>
      <c r="BT353" s="2">
        <f>VLOOKUP([jobnumber],OvalData[],MATCH(Table2[[#Headers],[Wrap]],Table2[#Headers],0),0)</f>
        <v>0</v>
      </c>
      <c r="BU353" s="2">
        <f>VLOOKUP([jobnumber],OvalData[],MATCH(Table2[[#Headers],[Wall Angle Thickness]],Table2[#Headers],0),0)</f>
        <v>0</v>
      </c>
      <c r="BV353" s="2">
        <f>VLOOKUP([jobnumber],OvalData[],MATCH(Table2[[#Headers],[windlocks]],Table2[#Headers],0),0)</f>
        <v>0</v>
      </c>
      <c r="BW353" s="2" t="str">
        <f>VLOOKUP([jobnumber],OvalData[],MATCH(Table2[[#Headers],[bottombartype]],Table2[#Headers],0),0)</f>
        <v>SPECIAL</v>
      </c>
      <c r="BX353" s="2">
        <f>VLOOKUP([jobnumber],OvalData[],MATCH(Table2[[#Headers],[endlockweight]],Table2[#Headers],0),0)</f>
        <v>0.17</v>
      </c>
      <c r="BY353" s="2">
        <f>VLOOKUP([jobnumber],OvalData[],MATCH(Table2[[#Headers],[Endlock Total Weight]],Table2[#Headers],0),0)</f>
        <v>7.5972999999999997</v>
      </c>
      <c r="BZ353" s="2">
        <f>VLOOKUP([jobnumber],OvalData[],MATCH(Table2[[#Headers],[Grille Weight]],Table2[#Headers],0),0)</f>
        <v>0</v>
      </c>
      <c r="CA353" s="2">
        <f>VLOOKUP([jobnumber],OvalData[],MATCH(Table2[[#Headers],[barrelrings]],Table2[#Headers],0),0)</f>
        <v>1</v>
      </c>
    </row>
    <row r="354" spans="2:79">
      <c r="B354" s="2" t="str">
        <f>VLOOKUP([jobnumber],OvalData[],MATCH(Table2[[#Headers],[Hand]],Table2[#Headers],0),0)</f>
        <v>RH</v>
      </c>
      <c r="C354" s="2" t="str">
        <f>VLOOKUP([jobnumber],OvalData[],MATCH(Table2[[#Headers],[Model]],Table2[#Headers],0),0)</f>
        <v>SFMPP</v>
      </c>
      <c r="D354" s="2" t="str">
        <f>VLOOKUP([jobnumber],OvalData[],MATCH(Table2[[#Headers],[width]],Table2[#Headers],0),0)</f>
        <v xml:space="preserve"> 18 ft.- 2"</v>
      </c>
      <c r="E354" s="2" t="str">
        <f>VLOOKUP([jobnumber],OvalData[],MATCH(Table2[[#Headers],[stopheight]],Table2[#Headers],0),0)</f>
        <v xml:space="preserve"> 10 ft.- 0"</v>
      </c>
      <c r="F354" s="2" t="str">
        <f>VLOOKUP([jobnumber],OvalData[],MATCH(Table2[[#Headers],[Between Brackets]],Table2[#Headers],0),0)</f>
        <v xml:space="preserve"> 18 ft.- 7 7/ 8"</v>
      </c>
      <c r="G354" s="2" t="str">
        <f>VLOOKUP([jobnumber],OvalData[],MATCH(Table2[[#Headers],[shell]],Table2[#Headers],0),0)</f>
        <v>6 INCH TUBE</v>
      </c>
      <c r="H354" s="2" t="str">
        <f>VLOOKUP([jobnumber],OvalData[],MATCH(Table2[[#Headers],[pipewidth]],Table2[#Headers],0),0)</f>
        <v xml:space="preserve"> 18 ft.- 1 3/ 8"</v>
      </c>
      <c r="I354" s="2">
        <f>VLOOKUP([jobnumber],OvalData[],MATCH(Table2[[#Headers],[Support Tubes]],Table2[#Headers],0),0)</f>
        <v>0</v>
      </c>
      <c r="J354" s="2">
        <f>VLOOKUP([jobnumber],OvalData[],MATCH(Table2[[#Headers],[Upset]],Table2[#Headers],0),0)</f>
        <v>2</v>
      </c>
      <c r="K354" s="2" t="str">
        <f>VLOOKUP([jobnumber],OvalData[],MATCH(Table2[[#Headers],[Guide Type]],Table2[#Headers],0),0)</f>
        <v>SN2-4 5/8-E</v>
      </c>
      <c r="L354" s="2" t="str">
        <f>VLOOKUP([jobnumber],OvalData[],MATCH(Table2[[#Headers],[Wall Angle]],Table2[#Headers],0),0)</f>
        <v xml:space="preserve"> 11 ft.- 8"</v>
      </c>
      <c r="M354" s="2" t="str">
        <f>VLOOKUP([jobnumber],OvalData[],MATCH(Table2[[#Headers],[Middle Angle]],Table2[#Headers],0),0)</f>
        <v xml:space="preserve"> 10 ft.- 4 1/ 2"</v>
      </c>
      <c r="N354" s="2" t="str">
        <f>VLOOKUP([jobnumber],OvalData[],MATCH(Table2[[#Headers],[Front Angle]],Table2[#Headers],0),0)</f>
        <v xml:space="preserve"> 10 ft.- 3"</v>
      </c>
      <c r="O354" s="2">
        <f>VLOOKUP([jobnumber],OvalData[],MATCH(Table2[[#Headers],[Pipe Center Line]],Table2[#Headers],0),0)</f>
        <v>131</v>
      </c>
      <c r="P354" s="2">
        <f>VLOOKUP([jobnumber],OvalData[],MATCH(Table2[[#Headers],[Heat Expansion Gap]],Table2[#Headers],0),0)</f>
        <v>0</v>
      </c>
      <c r="Q354" s="2">
        <f>VLOOKUP([jobnumber],OvalData[],MATCH(Table2[[#Headers],[Hanging Weight Closed]],Table2[#Headers],0),0)</f>
        <v>795</v>
      </c>
      <c r="R354" s="2">
        <f>VLOOKUP([jobnumber],OvalData[],MATCH(Table2[[#Headers],[Hanging Weight Open]],Table2[#Headers],0),0)</f>
        <v>140</v>
      </c>
      <c r="S354" s="2">
        <f>VLOOKUP([jobnumber],OvalData[],MATCH(Table2[[#Headers],[Initial Lever Arm]],Table2[#Headers],0),0)</f>
        <v>4.25</v>
      </c>
      <c r="T354" s="2">
        <f>VLOOKUP([jobnumber],OvalData[],MATCH(Table2[[#Headers],[Turns to Raise]],Table2[#Headers],0),0)</f>
        <v>3.5859999999999999</v>
      </c>
      <c r="U354" s="2">
        <f>VLOOKUP([jobnumber],OvalData[],MATCH(Table2[[#Headers],[Final Lever Arm]],Table2[#Headers],0),0)</f>
        <v>6.37</v>
      </c>
      <c r="V354" s="2">
        <f>VLOOKUP([jobnumber],OvalData[],MATCH(Table2[[#Headers],[Torque Required Closed]],Table2[#Headers],0),0)</f>
        <v>3377.9</v>
      </c>
      <c r="W354" s="2">
        <f>VLOOKUP([jobnumber],OvalData[],MATCH(Table2[[#Headers],[Torque Required Open]],Table2[#Headers],0),0)</f>
        <v>892</v>
      </c>
      <c r="X354" s="2">
        <f>VLOOKUP([jobnumber],OvalData[],MATCH(Table2[[#Headers],[Pre Turns]],Table2[#Headers],0),0)</f>
        <v>1.3332999999999999</v>
      </c>
      <c r="Y354" s="2">
        <f>VLOOKUP([jobnumber],OvalData[],MATCH(Table2[[#Headers],[Required Torque Per Turn]],Table2[#Headers],0),0)</f>
        <v>688</v>
      </c>
      <c r="Z354" s="2">
        <f>VLOOKUP([jobnumber],OvalData[],MATCH(Table2[[#Headers],[Total Turns]],Table2[#Headers],0),0)</f>
        <v>4.91</v>
      </c>
      <c r="AA354" s="2">
        <f>VLOOKUP([jobnumber],OvalData[],MATCH(Table2[[#Headers],[Grille Vision Section]],Table2[#Headers],0),0)</f>
        <v>0</v>
      </c>
      <c r="AB354" s="2">
        <f>VLOOKUP([jobnumber],OvalData[],MATCH(Table2[[#Headers],[Grille Amount]],Table2[#Headers],0),0)</f>
        <v>0</v>
      </c>
      <c r="AC354" s="2">
        <f>VLOOKUP([jobnumber],OvalData[],MATCH(Table2[[#Headers],[Grille Center]],Table2[#Headers],0),0)</f>
        <v>0</v>
      </c>
      <c r="AD354" s="2">
        <f>VLOOKUP([jobnumber],OvalData[],MATCH(Table2[[#Headers],[Grille Pattern]],Table2[#Headers],0),0)</f>
        <v>0</v>
      </c>
      <c r="AE354" s="2">
        <f>VLOOKUP([jobnumber],OvalData[],MATCH(Table2[[#Headers],[Grille First Tube]],Table2[#Headers],0),0)</f>
        <v>0</v>
      </c>
      <c r="AF354" s="2">
        <f>VLOOKUP([jobnumber],OvalData[],MATCH(Table2[[#Headers],[Grille Standard Tube]],Table2[#Headers],0),0)</f>
        <v>0</v>
      </c>
      <c r="AG354" s="2">
        <f>VLOOKUP([jobnumber],OvalData[],MATCH(Table2[[#Headers],[Grille Total Links]],Table2[#Headers],0),0)</f>
        <v>0</v>
      </c>
      <c r="AH354" s="2">
        <f>VLOOKUP([jobnumber],OvalData[],MATCH(Table2[[#Headers],[Grille Rods]],Table2[#Headers],0),0)</f>
        <v>0</v>
      </c>
      <c r="AI354" s="2">
        <f>VLOOKUP([jobnumber],OvalData[],MATCH(Table2[[#Headers],[Grille Rod Length]],Table2[#Headers],0),0)</f>
        <v>0</v>
      </c>
      <c r="AJ354" s="2">
        <f>VLOOKUP([jobnumber],OvalData[],MATCH(Table2[[#Headers],[slattype]],Table2[#Headers],0),0)</f>
        <v>2</v>
      </c>
      <c r="AK354" s="2">
        <f>VLOOKUP([jobnumber],OvalData[],MATCH(Table2[[#Headers],[slatgage]],Table2[#Headers],0),0)</f>
        <v>18</v>
      </c>
      <c r="AL354" s="2">
        <f>VLOOKUP([jobnumber],OvalData[],MATCH(Table2[[#Headers],[Numer of Top Slats]],Table2[#Headers],0),0)</f>
        <v>0</v>
      </c>
      <c r="AM354" s="2">
        <f>VLOOKUP([jobnumber],OvalData[],MATCH(Table2[[#Headers],[Number of Bottom Slats]],Table2[#Headers],0),0)</f>
        <v>0</v>
      </c>
      <c r="AN354" s="2">
        <f>VLOOKUP([jobnumber],OvalData[],MATCH(Table2[[#Headers],[Solid Bottom Height]],Table2[#Headers],0),0)</f>
        <v>0</v>
      </c>
      <c r="AO354" s="2" t="str">
        <f>VLOOKUP([jobnumber],OvalData[],MATCH(Table2[[#Headers],[slatlength]],Table2[#Headers],0),0)</f>
        <v xml:space="preserve"> 18 ft.- 5 7/ 8"</v>
      </c>
      <c r="AP354" s="2">
        <f>VLOOKUP([jobnumber],OvalData[],MATCH(Table2[[#Headers],[Bottom Slat Length]],Table2[#Headers],0),0)</f>
        <v>0</v>
      </c>
      <c r="AQ354" s="2">
        <f>VLOOKUP([jobnumber],OvalData[],MATCH(Table2[[#Headers],[Number of Perferated Slats]],Table2[#Headers],0),0)</f>
        <v>0</v>
      </c>
      <c r="AR354" s="2">
        <f>VLOOKUP([jobnumber],OvalData[],MATCH(Table2[[#Headers],[First Preferated Slat From End]],Table2[#Headers],0),0)</f>
        <v>0</v>
      </c>
      <c r="AS354" s="2">
        <f>VLOOKUP([jobnumber],OvalData[],MATCH(Table2[[#Headers],[First Preferated Slat From Bottom]],Table2[#Headers],0),0)</f>
        <v>0</v>
      </c>
      <c r="AT354" s="2">
        <f>VLOOKUP([jobnumber],OvalData[],MATCH(Table2[[#Headers],[Total Number of Slats]],Table2[#Headers],0),0)</f>
        <v>51</v>
      </c>
      <c r="AU354" s="2">
        <f>VLOOKUP([jobnumber],OvalData[],MATCH(Table2[[#Headers],[Bottom Bar Slope]],Table2[#Headers],0),0)</f>
        <v>0</v>
      </c>
      <c r="AV354" s="2">
        <f>VLOOKUP([jobnumber],OvalData[],MATCH(Table2[[#Headers],[Bottom Bar Weight]],Table2[#Headers],0),0)</f>
        <v>80.5</v>
      </c>
      <c r="AW354" s="2" t="str">
        <f>VLOOKUP([jobnumber],OvalData[],MATCH(Table2[[#Headers],[Outer Spring Gage]],Table2[#Headers],0),0)</f>
        <v>Null</v>
      </c>
      <c r="AX354" s="2" t="str">
        <f>VLOOKUP([jobnumber],OvalData[],MATCH(Table2[[#Headers],[Outer Spring OD]],Table2[#Headers],0),0)</f>
        <v>Null</v>
      </c>
      <c r="AY354" s="2" t="str">
        <f>VLOOKUP([jobnumber],OvalData[],MATCH(Table2[[#Headers],[Outer Spring Length]],Table2[#Headers],0),0)</f>
        <v>Null</v>
      </c>
      <c r="AZ354" s="2" t="str">
        <f>VLOOKUP([jobnumber],OvalData[],MATCH(Table2[[#Headers],[Outer Spring Stretch]],Table2[#Headers],0),0)</f>
        <v>Null</v>
      </c>
      <c r="BA354" s="2" t="str">
        <f>VLOOKUP([jobnumber],OvalData[],MATCH(Table2[[#Headers],[Outer Spring Torque]],Table2[#Headers],0),0)</f>
        <v>Null</v>
      </c>
      <c r="BB354" s="2" t="str">
        <f>VLOOKUP([jobnumber],OvalData[],MATCH(Table2[[#Headers],[Outer Spring Max Turns]],Table2[#Headers],0),0)</f>
        <v>Null</v>
      </c>
      <c r="BC354" s="2" t="str">
        <f>VLOOKUP([jobnumber],OvalData[],MATCH(Table2[[#Headers],[Outer Spring Weight]],Table2[#Headers],0),0)</f>
        <v>Null</v>
      </c>
      <c r="BD354" s="2" t="str">
        <f>VLOOKUP([jobnumber],OvalData[],MATCH(Table2[[#Headers],[Inner Spring Gage]],Table2[#Headers],0),0)</f>
        <v>Null</v>
      </c>
      <c r="BE354" s="2" t="str">
        <f>VLOOKUP([jobnumber],OvalData[],MATCH(Table2[[#Headers],[Inner Spring OD]],Table2[#Headers],0),0)</f>
        <v>Null</v>
      </c>
      <c r="BF354" s="2" t="str">
        <f>VLOOKUP([jobnumber],OvalData[],MATCH(Table2[[#Headers],[Inner Spring Length]],Table2[#Headers],0),0)</f>
        <v>Null</v>
      </c>
      <c r="BG354" s="2" t="str">
        <f>VLOOKUP([jobnumber],OvalData[],MATCH(Table2[[#Headers],[Inner Spring Stretch]],Table2[#Headers],0),0)</f>
        <v>Null</v>
      </c>
      <c r="BH354" s="2" t="str">
        <f>VLOOKUP([jobnumber],OvalData[],MATCH(Table2[[#Headers],[Inner Spring Torque]],Table2[#Headers],0),0)</f>
        <v>Null</v>
      </c>
      <c r="BI354" s="2" t="str">
        <f>VLOOKUP([jobnumber],OvalData[],MATCH(Table2[[#Headers],[Inner Spring Max Turns]],Table2[#Headers],0),0)</f>
        <v>Null</v>
      </c>
      <c r="BJ354" s="2" t="str">
        <f>VLOOKUP([jobnumber],OvalData[],MATCH(Table2[[#Headers],[Inner Spring Weight]],Table2[#Headers],0),0)</f>
        <v>Null</v>
      </c>
      <c r="BK354" s="2">
        <f>VLOOKUP([jobnumber],OvalData[],MATCH(Table2[[#Headers],[Cycles]],Table2[#Headers],0),0)</f>
        <v>0</v>
      </c>
      <c r="BL354" s="2">
        <f>VLOOKUP([jobnumber],OvalData[],MATCH(Table2[[#Headers],[Total Spring Torque]],Table2[#Headers],0),0)</f>
        <v>0</v>
      </c>
      <c r="BM354" s="2">
        <f>VLOOKUP([jobnumber],OvalData[],MATCH(Table2[[#Headers],[Total Spring Weight]],Table2[#Headers],0),0)</f>
        <v>0</v>
      </c>
      <c r="BN354" s="2">
        <f>VLOOKUP([jobnumber],OvalData[],MATCH(Table2[[#Headers],[Pipe Weight]],Table2[#Headers],0),0)</f>
        <v>688.24239999999998</v>
      </c>
      <c r="BO354" s="2">
        <f>VLOOKUP([jobnumber],OvalData[],MATCH(Table2[[#Headers],[Max Pipe Deflection]],Table2[#Headers],0),0)</f>
        <v>2309</v>
      </c>
      <c r="BP354" s="2">
        <f>VLOOKUP([jobnumber],OvalData[],MATCH(Table2[[#Headers],[Number Non-Insulated Wrap Slats]],Table2[#Headers],0),0)</f>
        <v>0</v>
      </c>
      <c r="BQ354" s="2">
        <f>VLOOKUP([jobnumber],OvalData[],MATCH(Table2[[#Headers],[Number of Insolated Top Slats]],Table2[#Headers],0),0)</f>
        <v>45</v>
      </c>
      <c r="BR354" s="2">
        <f>VLOOKUP([jobnumber],OvalData[],MATCH(Table2[[#Headers],[Insolated Total Slats]],Table2[#Headers],0),0)</f>
        <v>45</v>
      </c>
      <c r="BS354" s="2">
        <f>VLOOKUP([jobnumber],OvalData[],MATCH(Table2[[#Headers],[Number of Slats]],Table2[#Headers],0),0)</f>
        <v>44.69</v>
      </c>
      <c r="BT354" s="2">
        <f>VLOOKUP([jobnumber],OvalData[],MATCH(Table2[[#Headers],[Wrap]],Table2[#Headers],0),0)</f>
        <v>0</v>
      </c>
      <c r="BU354" s="2">
        <f>VLOOKUP([jobnumber],OvalData[],MATCH(Table2[[#Headers],[Wall Angle Thickness]],Table2[#Headers],0),0)</f>
        <v>0</v>
      </c>
      <c r="BV354" s="2">
        <f>VLOOKUP([jobnumber],OvalData[],MATCH(Table2[[#Headers],[windlocks]],Table2[#Headers],0),0)</f>
        <v>0</v>
      </c>
      <c r="BW354" s="2" t="str">
        <f>VLOOKUP([jobnumber],OvalData[],MATCH(Table2[[#Headers],[bottombartype]],Table2[#Headers],0),0)</f>
        <v>SPECIAL</v>
      </c>
      <c r="BX354" s="2">
        <f>VLOOKUP([jobnumber],OvalData[],MATCH(Table2[[#Headers],[endlockweight]],Table2[#Headers],0),0)</f>
        <v>0.17</v>
      </c>
      <c r="BY354" s="2">
        <f>VLOOKUP([jobnumber],OvalData[],MATCH(Table2[[#Headers],[Endlock Total Weight]],Table2[#Headers],0),0)</f>
        <v>7.5972999999999997</v>
      </c>
      <c r="BZ354" s="2">
        <f>VLOOKUP([jobnumber],OvalData[],MATCH(Table2[[#Headers],[Grille Weight]],Table2[#Headers],0),0)</f>
        <v>0</v>
      </c>
      <c r="CA354" s="2">
        <f>VLOOKUP([jobnumber],OvalData[],MATCH(Table2[[#Headers],[barrelrings]],Table2[#Headers],0),0)</f>
        <v>1</v>
      </c>
    </row>
    <row r="355" spans="2:79">
      <c r="B355" s="2" t="str">
        <f>VLOOKUP([jobnumber],OvalData[],MATCH(Table2[[#Headers],[Hand]],Table2[#Headers],0),0)</f>
        <v>RH</v>
      </c>
      <c r="C355" s="2" t="str">
        <f>VLOOKUP([jobnumber],OvalData[],MATCH(Table2[[#Headers],[Model]],Table2[#Headers],0),0)</f>
        <v>SFMPP</v>
      </c>
      <c r="D355" s="2" t="str">
        <f>VLOOKUP([jobnumber],OvalData[],MATCH(Table2[[#Headers],[width]],Table2[#Headers],0),0)</f>
        <v xml:space="preserve"> 18 ft.- 2"</v>
      </c>
      <c r="E355" s="2" t="str">
        <f>VLOOKUP([jobnumber],OvalData[],MATCH(Table2[[#Headers],[stopheight]],Table2[#Headers],0),0)</f>
        <v xml:space="preserve"> 10 ft.- 0"</v>
      </c>
      <c r="F355" s="2" t="str">
        <f>VLOOKUP([jobnumber],OvalData[],MATCH(Table2[[#Headers],[Between Brackets]],Table2[#Headers],0),0)</f>
        <v xml:space="preserve"> 18 ft.- 7 7/ 8"</v>
      </c>
      <c r="G355" s="2" t="str">
        <f>VLOOKUP([jobnumber],OvalData[],MATCH(Table2[[#Headers],[shell]],Table2[#Headers],0),0)</f>
        <v>6 INCH TUBE</v>
      </c>
      <c r="H355" s="2" t="str">
        <f>VLOOKUP([jobnumber],OvalData[],MATCH(Table2[[#Headers],[pipewidth]],Table2[#Headers],0),0)</f>
        <v xml:space="preserve"> 18 ft.- 1 3/ 8"</v>
      </c>
      <c r="I355" s="2">
        <f>VLOOKUP([jobnumber],OvalData[],MATCH(Table2[[#Headers],[Support Tubes]],Table2[#Headers],0),0)</f>
        <v>0</v>
      </c>
      <c r="J355" s="2">
        <f>VLOOKUP([jobnumber],OvalData[],MATCH(Table2[[#Headers],[Upset]],Table2[#Headers],0),0)</f>
        <v>2</v>
      </c>
      <c r="K355" s="2" t="str">
        <f>VLOOKUP([jobnumber],OvalData[],MATCH(Table2[[#Headers],[Guide Type]],Table2[#Headers],0),0)</f>
        <v>SN2-4 5/8-E</v>
      </c>
      <c r="L355" s="2" t="str">
        <f>VLOOKUP([jobnumber],OvalData[],MATCH(Table2[[#Headers],[Wall Angle]],Table2[#Headers],0),0)</f>
        <v xml:space="preserve"> 11 ft.- 8"</v>
      </c>
      <c r="M355" s="2" t="str">
        <f>VLOOKUP([jobnumber],OvalData[],MATCH(Table2[[#Headers],[Middle Angle]],Table2[#Headers],0),0)</f>
        <v xml:space="preserve"> 10 ft.- 4 1/ 2"</v>
      </c>
      <c r="N355" s="2" t="str">
        <f>VLOOKUP([jobnumber],OvalData[],MATCH(Table2[[#Headers],[Front Angle]],Table2[#Headers],0),0)</f>
        <v xml:space="preserve"> 10 ft.- 3"</v>
      </c>
      <c r="O355" s="2">
        <f>VLOOKUP([jobnumber],OvalData[],MATCH(Table2[[#Headers],[Pipe Center Line]],Table2[#Headers],0),0)</f>
        <v>131</v>
      </c>
      <c r="P355" s="2">
        <f>VLOOKUP([jobnumber],OvalData[],MATCH(Table2[[#Headers],[Heat Expansion Gap]],Table2[#Headers],0),0)</f>
        <v>0</v>
      </c>
      <c r="Q355" s="2">
        <f>VLOOKUP([jobnumber],OvalData[],MATCH(Table2[[#Headers],[Hanging Weight Closed]],Table2[#Headers],0),0)</f>
        <v>795</v>
      </c>
      <c r="R355" s="2">
        <f>VLOOKUP([jobnumber],OvalData[],MATCH(Table2[[#Headers],[Hanging Weight Open]],Table2[#Headers],0),0)</f>
        <v>140</v>
      </c>
      <c r="S355" s="2">
        <f>VLOOKUP([jobnumber],OvalData[],MATCH(Table2[[#Headers],[Initial Lever Arm]],Table2[#Headers],0),0)</f>
        <v>4.25</v>
      </c>
      <c r="T355" s="2">
        <f>VLOOKUP([jobnumber],OvalData[],MATCH(Table2[[#Headers],[Turns to Raise]],Table2[#Headers],0),0)</f>
        <v>3.5859999999999999</v>
      </c>
      <c r="U355" s="2">
        <f>VLOOKUP([jobnumber],OvalData[],MATCH(Table2[[#Headers],[Final Lever Arm]],Table2[#Headers],0),0)</f>
        <v>6.37</v>
      </c>
      <c r="V355" s="2">
        <f>VLOOKUP([jobnumber],OvalData[],MATCH(Table2[[#Headers],[Torque Required Closed]],Table2[#Headers],0),0)</f>
        <v>3377.9</v>
      </c>
      <c r="W355" s="2">
        <f>VLOOKUP([jobnumber],OvalData[],MATCH(Table2[[#Headers],[Torque Required Open]],Table2[#Headers],0),0)</f>
        <v>892</v>
      </c>
      <c r="X355" s="2">
        <f>VLOOKUP([jobnumber],OvalData[],MATCH(Table2[[#Headers],[Pre Turns]],Table2[#Headers],0),0)</f>
        <v>1.3332999999999999</v>
      </c>
      <c r="Y355" s="2">
        <f>VLOOKUP([jobnumber],OvalData[],MATCH(Table2[[#Headers],[Required Torque Per Turn]],Table2[#Headers],0),0)</f>
        <v>688</v>
      </c>
      <c r="Z355" s="2">
        <f>VLOOKUP([jobnumber],OvalData[],MATCH(Table2[[#Headers],[Total Turns]],Table2[#Headers],0),0)</f>
        <v>4.91</v>
      </c>
      <c r="AA355" s="2">
        <f>VLOOKUP([jobnumber],OvalData[],MATCH(Table2[[#Headers],[Grille Vision Section]],Table2[#Headers],0),0)</f>
        <v>0</v>
      </c>
      <c r="AB355" s="2">
        <f>VLOOKUP([jobnumber],OvalData[],MATCH(Table2[[#Headers],[Grille Amount]],Table2[#Headers],0),0)</f>
        <v>0</v>
      </c>
      <c r="AC355" s="2">
        <f>VLOOKUP([jobnumber],OvalData[],MATCH(Table2[[#Headers],[Grille Center]],Table2[#Headers],0),0)</f>
        <v>0</v>
      </c>
      <c r="AD355" s="2">
        <f>VLOOKUP([jobnumber],OvalData[],MATCH(Table2[[#Headers],[Grille Pattern]],Table2[#Headers],0),0)</f>
        <v>0</v>
      </c>
      <c r="AE355" s="2">
        <f>VLOOKUP([jobnumber],OvalData[],MATCH(Table2[[#Headers],[Grille First Tube]],Table2[#Headers],0),0)</f>
        <v>0</v>
      </c>
      <c r="AF355" s="2">
        <f>VLOOKUP([jobnumber],OvalData[],MATCH(Table2[[#Headers],[Grille Standard Tube]],Table2[#Headers],0),0)</f>
        <v>0</v>
      </c>
      <c r="AG355" s="2">
        <f>VLOOKUP([jobnumber],OvalData[],MATCH(Table2[[#Headers],[Grille Total Links]],Table2[#Headers],0),0)</f>
        <v>0</v>
      </c>
      <c r="AH355" s="2">
        <f>VLOOKUP([jobnumber],OvalData[],MATCH(Table2[[#Headers],[Grille Rods]],Table2[#Headers],0),0)</f>
        <v>0</v>
      </c>
      <c r="AI355" s="2">
        <f>VLOOKUP([jobnumber],OvalData[],MATCH(Table2[[#Headers],[Grille Rod Length]],Table2[#Headers],0),0)</f>
        <v>0</v>
      </c>
      <c r="AJ355" s="2">
        <f>VLOOKUP([jobnumber],OvalData[],MATCH(Table2[[#Headers],[slattype]],Table2[#Headers],0),0)</f>
        <v>2</v>
      </c>
      <c r="AK355" s="2">
        <f>VLOOKUP([jobnumber],OvalData[],MATCH(Table2[[#Headers],[slatgage]],Table2[#Headers],0),0)</f>
        <v>18</v>
      </c>
      <c r="AL355" s="2">
        <f>VLOOKUP([jobnumber],OvalData[],MATCH(Table2[[#Headers],[Numer of Top Slats]],Table2[#Headers],0),0)</f>
        <v>0</v>
      </c>
      <c r="AM355" s="2">
        <f>VLOOKUP([jobnumber],OvalData[],MATCH(Table2[[#Headers],[Number of Bottom Slats]],Table2[#Headers],0),0)</f>
        <v>0</v>
      </c>
      <c r="AN355" s="2">
        <f>VLOOKUP([jobnumber],OvalData[],MATCH(Table2[[#Headers],[Solid Bottom Height]],Table2[#Headers],0),0)</f>
        <v>0</v>
      </c>
      <c r="AO355" s="2" t="str">
        <f>VLOOKUP([jobnumber],OvalData[],MATCH(Table2[[#Headers],[slatlength]],Table2[#Headers],0),0)</f>
        <v xml:space="preserve"> 18 ft.- 5 7/ 8"</v>
      </c>
      <c r="AP355" s="2">
        <f>VLOOKUP([jobnumber],OvalData[],MATCH(Table2[[#Headers],[Bottom Slat Length]],Table2[#Headers],0),0)</f>
        <v>0</v>
      </c>
      <c r="AQ355" s="2">
        <f>VLOOKUP([jobnumber],OvalData[],MATCH(Table2[[#Headers],[Number of Perferated Slats]],Table2[#Headers],0),0)</f>
        <v>0</v>
      </c>
      <c r="AR355" s="2">
        <f>VLOOKUP([jobnumber],OvalData[],MATCH(Table2[[#Headers],[First Preferated Slat From End]],Table2[#Headers],0),0)</f>
        <v>0</v>
      </c>
      <c r="AS355" s="2">
        <f>VLOOKUP([jobnumber],OvalData[],MATCH(Table2[[#Headers],[First Preferated Slat From Bottom]],Table2[#Headers],0),0)</f>
        <v>0</v>
      </c>
      <c r="AT355" s="2">
        <f>VLOOKUP([jobnumber],OvalData[],MATCH(Table2[[#Headers],[Total Number of Slats]],Table2[#Headers],0),0)</f>
        <v>51</v>
      </c>
      <c r="AU355" s="2">
        <f>VLOOKUP([jobnumber],OvalData[],MATCH(Table2[[#Headers],[Bottom Bar Slope]],Table2[#Headers],0),0)</f>
        <v>0</v>
      </c>
      <c r="AV355" s="2">
        <f>VLOOKUP([jobnumber],OvalData[],MATCH(Table2[[#Headers],[Bottom Bar Weight]],Table2[#Headers],0),0)</f>
        <v>80.5</v>
      </c>
      <c r="AW355" s="2" t="str">
        <f>VLOOKUP([jobnumber],OvalData[],MATCH(Table2[[#Headers],[Outer Spring Gage]],Table2[#Headers],0),0)</f>
        <v>Null</v>
      </c>
      <c r="AX355" s="2" t="str">
        <f>VLOOKUP([jobnumber],OvalData[],MATCH(Table2[[#Headers],[Outer Spring OD]],Table2[#Headers],0),0)</f>
        <v>Null</v>
      </c>
      <c r="AY355" s="2" t="str">
        <f>VLOOKUP([jobnumber],OvalData[],MATCH(Table2[[#Headers],[Outer Spring Length]],Table2[#Headers],0),0)</f>
        <v>Null</v>
      </c>
      <c r="AZ355" s="2" t="str">
        <f>VLOOKUP([jobnumber],OvalData[],MATCH(Table2[[#Headers],[Outer Spring Stretch]],Table2[#Headers],0),0)</f>
        <v>Null</v>
      </c>
      <c r="BA355" s="2" t="str">
        <f>VLOOKUP([jobnumber],OvalData[],MATCH(Table2[[#Headers],[Outer Spring Torque]],Table2[#Headers],0),0)</f>
        <v>Null</v>
      </c>
      <c r="BB355" s="2" t="str">
        <f>VLOOKUP([jobnumber],OvalData[],MATCH(Table2[[#Headers],[Outer Spring Max Turns]],Table2[#Headers],0),0)</f>
        <v>Null</v>
      </c>
      <c r="BC355" s="2" t="str">
        <f>VLOOKUP([jobnumber],OvalData[],MATCH(Table2[[#Headers],[Outer Spring Weight]],Table2[#Headers],0),0)</f>
        <v>Null</v>
      </c>
      <c r="BD355" s="2" t="str">
        <f>VLOOKUP([jobnumber],OvalData[],MATCH(Table2[[#Headers],[Inner Spring Gage]],Table2[#Headers],0),0)</f>
        <v>Null</v>
      </c>
      <c r="BE355" s="2" t="str">
        <f>VLOOKUP([jobnumber],OvalData[],MATCH(Table2[[#Headers],[Inner Spring OD]],Table2[#Headers],0),0)</f>
        <v>Null</v>
      </c>
      <c r="BF355" s="2" t="str">
        <f>VLOOKUP([jobnumber],OvalData[],MATCH(Table2[[#Headers],[Inner Spring Length]],Table2[#Headers],0),0)</f>
        <v>Null</v>
      </c>
      <c r="BG355" s="2" t="str">
        <f>VLOOKUP([jobnumber],OvalData[],MATCH(Table2[[#Headers],[Inner Spring Stretch]],Table2[#Headers],0),0)</f>
        <v>Null</v>
      </c>
      <c r="BH355" s="2" t="str">
        <f>VLOOKUP([jobnumber],OvalData[],MATCH(Table2[[#Headers],[Inner Spring Torque]],Table2[#Headers],0),0)</f>
        <v>Null</v>
      </c>
      <c r="BI355" s="2" t="str">
        <f>VLOOKUP([jobnumber],OvalData[],MATCH(Table2[[#Headers],[Inner Spring Max Turns]],Table2[#Headers],0),0)</f>
        <v>Null</v>
      </c>
      <c r="BJ355" s="2" t="str">
        <f>VLOOKUP([jobnumber],OvalData[],MATCH(Table2[[#Headers],[Inner Spring Weight]],Table2[#Headers],0),0)</f>
        <v>Null</v>
      </c>
      <c r="BK355" s="2">
        <f>VLOOKUP([jobnumber],OvalData[],MATCH(Table2[[#Headers],[Cycles]],Table2[#Headers],0),0)</f>
        <v>0</v>
      </c>
      <c r="BL355" s="2">
        <f>VLOOKUP([jobnumber],OvalData[],MATCH(Table2[[#Headers],[Total Spring Torque]],Table2[#Headers],0),0)</f>
        <v>0</v>
      </c>
      <c r="BM355" s="2">
        <f>VLOOKUP([jobnumber],OvalData[],MATCH(Table2[[#Headers],[Total Spring Weight]],Table2[#Headers],0),0)</f>
        <v>0</v>
      </c>
      <c r="BN355" s="2">
        <f>VLOOKUP([jobnumber],OvalData[],MATCH(Table2[[#Headers],[Pipe Weight]],Table2[#Headers],0),0)</f>
        <v>688.24239999999998</v>
      </c>
      <c r="BO355" s="2">
        <f>VLOOKUP([jobnumber],OvalData[],MATCH(Table2[[#Headers],[Max Pipe Deflection]],Table2[#Headers],0),0)</f>
        <v>2309</v>
      </c>
      <c r="BP355" s="2">
        <f>VLOOKUP([jobnumber],OvalData[],MATCH(Table2[[#Headers],[Number Non-Insulated Wrap Slats]],Table2[#Headers],0),0)</f>
        <v>0</v>
      </c>
      <c r="BQ355" s="2">
        <f>VLOOKUP([jobnumber],OvalData[],MATCH(Table2[[#Headers],[Number of Insolated Top Slats]],Table2[#Headers],0),0)</f>
        <v>45</v>
      </c>
      <c r="BR355" s="2">
        <f>VLOOKUP([jobnumber],OvalData[],MATCH(Table2[[#Headers],[Insolated Total Slats]],Table2[#Headers],0),0)</f>
        <v>45</v>
      </c>
      <c r="BS355" s="2">
        <f>VLOOKUP([jobnumber],OvalData[],MATCH(Table2[[#Headers],[Number of Slats]],Table2[#Headers],0),0)</f>
        <v>44.69</v>
      </c>
      <c r="BT355" s="2">
        <f>VLOOKUP([jobnumber],OvalData[],MATCH(Table2[[#Headers],[Wrap]],Table2[#Headers],0),0)</f>
        <v>0</v>
      </c>
      <c r="BU355" s="2">
        <f>VLOOKUP([jobnumber],OvalData[],MATCH(Table2[[#Headers],[Wall Angle Thickness]],Table2[#Headers],0),0)</f>
        <v>0</v>
      </c>
      <c r="BV355" s="2">
        <f>VLOOKUP([jobnumber],OvalData[],MATCH(Table2[[#Headers],[windlocks]],Table2[#Headers],0),0)</f>
        <v>0</v>
      </c>
      <c r="BW355" s="2" t="str">
        <f>VLOOKUP([jobnumber],OvalData[],MATCH(Table2[[#Headers],[bottombartype]],Table2[#Headers],0),0)</f>
        <v>SPECIAL</v>
      </c>
      <c r="BX355" s="2">
        <f>VLOOKUP([jobnumber],OvalData[],MATCH(Table2[[#Headers],[endlockweight]],Table2[#Headers],0),0)</f>
        <v>0.17</v>
      </c>
      <c r="BY355" s="2">
        <f>VLOOKUP([jobnumber],OvalData[],MATCH(Table2[[#Headers],[Endlock Total Weight]],Table2[#Headers],0),0)</f>
        <v>7.5972999999999997</v>
      </c>
      <c r="BZ355" s="2">
        <f>VLOOKUP([jobnumber],OvalData[],MATCH(Table2[[#Headers],[Grille Weight]],Table2[#Headers],0),0)</f>
        <v>0</v>
      </c>
      <c r="CA355" s="2">
        <f>VLOOKUP([jobnumber],OvalData[],MATCH(Table2[[#Headers],[barrelrings]],Table2[#Headers],0),0)</f>
        <v>1</v>
      </c>
    </row>
    <row r="356" spans="2:79">
      <c r="B356" s="2" t="str">
        <f>VLOOKUP([jobnumber],OvalData[],MATCH(Table2[[#Headers],[Hand]],Table2[#Headers],0),0)</f>
        <v>RH</v>
      </c>
      <c r="C356" s="2" t="str">
        <f>VLOOKUP([jobnumber],OvalData[],MATCH(Table2[[#Headers],[Model]],Table2[#Headers],0),0)</f>
        <v>SFMPP</v>
      </c>
      <c r="D356" s="2" t="str">
        <f>VLOOKUP([jobnumber],OvalData[],MATCH(Table2[[#Headers],[width]],Table2[#Headers],0),0)</f>
        <v xml:space="preserve"> 18 ft.- 2"</v>
      </c>
      <c r="E356" s="2" t="str">
        <f>VLOOKUP([jobnumber],OvalData[],MATCH(Table2[[#Headers],[stopheight]],Table2[#Headers],0),0)</f>
        <v xml:space="preserve"> 10 ft.- 0"</v>
      </c>
      <c r="F356" s="2" t="str">
        <f>VLOOKUP([jobnumber],OvalData[],MATCH(Table2[[#Headers],[Between Brackets]],Table2[#Headers],0),0)</f>
        <v xml:space="preserve"> 18 ft.- 7 7/ 8"</v>
      </c>
      <c r="G356" s="2" t="str">
        <f>VLOOKUP([jobnumber],OvalData[],MATCH(Table2[[#Headers],[shell]],Table2[#Headers],0),0)</f>
        <v>6 INCH TUBE</v>
      </c>
      <c r="H356" s="2" t="str">
        <f>VLOOKUP([jobnumber],OvalData[],MATCH(Table2[[#Headers],[pipewidth]],Table2[#Headers],0),0)</f>
        <v xml:space="preserve"> 18 ft.- 1 3/ 8"</v>
      </c>
      <c r="I356" s="2">
        <f>VLOOKUP([jobnumber],OvalData[],MATCH(Table2[[#Headers],[Support Tubes]],Table2[#Headers],0),0)</f>
        <v>0</v>
      </c>
      <c r="J356" s="2">
        <f>VLOOKUP([jobnumber],OvalData[],MATCH(Table2[[#Headers],[Upset]],Table2[#Headers],0),0)</f>
        <v>2</v>
      </c>
      <c r="K356" s="2" t="str">
        <f>VLOOKUP([jobnumber],OvalData[],MATCH(Table2[[#Headers],[Guide Type]],Table2[#Headers],0),0)</f>
        <v>SN2-4 5/8-E</v>
      </c>
      <c r="L356" s="2" t="str">
        <f>VLOOKUP([jobnumber],OvalData[],MATCH(Table2[[#Headers],[Wall Angle]],Table2[#Headers],0),0)</f>
        <v xml:space="preserve"> 11 ft.- 8"</v>
      </c>
      <c r="M356" s="2" t="str">
        <f>VLOOKUP([jobnumber],OvalData[],MATCH(Table2[[#Headers],[Middle Angle]],Table2[#Headers],0),0)</f>
        <v xml:space="preserve"> 10 ft.- 4 1/ 2"</v>
      </c>
      <c r="N356" s="2" t="str">
        <f>VLOOKUP([jobnumber],OvalData[],MATCH(Table2[[#Headers],[Front Angle]],Table2[#Headers],0),0)</f>
        <v xml:space="preserve"> 10 ft.- 3"</v>
      </c>
      <c r="O356" s="2">
        <f>VLOOKUP([jobnumber],OvalData[],MATCH(Table2[[#Headers],[Pipe Center Line]],Table2[#Headers],0),0)</f>
        <v>131</v>
      </c>
      <c r="P356" s="2">
        <f>VLOOKUP([jobnumber],OvalData[],MATCH(Table2[[#Headers],[Heat Expansion Gap]],Table2[#Headers],0),0)</f>
        <v>0</v>
      </c>
      <c r="Q356" s="2">
        <f>VLOOKUP([jobnumber],OvalData[],MATCH(Table2[[#Headers],[Hanging Weight Closed]],Table2[#Headers],0),0)</f>
        <v>795</v>
      </c>
      <c r="R356" s="2">
        <f>VLOOKUP([jobnumber],OvalData[],MATCH(Table2[[#Headers],[Hanging Weight Open]],Table2[#Headers],0),0)</f>
        <v>140</v>
      </c>
      <c r="S356" s="2">
        <f>VLOOKUP([jobnumber],OvalData[],MATCH(Table2[[#Headers],[Initial Lever Arm]],Table2[#Headers],0),0)</f>
        <v>4.25</v>
      </c>
      <c r="T356" s="2">
        <f>VLOOKUP([jobnumber],OvalData[],MATCH(Table2[[#Headers],[Turns to Raise]],Table2[#Headers],0),0)</f>
        <v>3.5859999999999999</v>
      </c>
      <c r="U356" s="2">
        <f>VLOOKUP([jobnumber],OvalData[],MATCH(Table2[[#Headers],[Final Lever Arm]],Table2[#Headers],0),0)</f>
        <v>6.37</v>
      </c>
      <c r="V356" s="2">
        <f>VLOOKUP([jobnumber],OvalData[],MATCH(Table2[[#Headers],[Torque Required Closed]],Table2[#Headers],0),0)</f>
        <v>3377.9</v>
      </c>
      <c r="W356" s="2">
        <f>VLOOKUP([jobnumber],OvalData[],MATCH(Table2[[#Headers],[Torque Required Open]],Table2[#Headers],0),0)</f>
        <v>892</v>
      </c>
      <c r="X356" s="2">
        <f>VLOOKUP([jobnumber],OvalData[],MATCH(Table2[[#Headers],[Pre Turns]],Table2[#Headers],0),0)</f>
        <v>1.3332999999999999</v>
      </c>
      <c r="Y356" s="2">
        <f>VLOOKUP([jobnumber],OvalData[],MATCH(Table2[[#Headers],[Required Torque Per Turn]],Table2[#Headers],0),0)</f>
        <v>688</v>
      </c>
      <c r="Z356" s="2">
        <f>VLOOKUP([jobnumber],OvalData[],MATCH(Table2[[#Headers],[Total Turns]],Table2[#Headers],0),0)</f>
        <v>4.91</v>
      </c>
      <c r="AA356" s="2">
        <f>VLOOKUP([jobnumber],OvalData[],MATCH(Table2[[#Headers],[Grille Vision Section]],Table2[#Headers],0),0)</f>
        <v>0</v>
      </c>
      <c r="AB356" s="2">
        <f>VLOOKUP([jobnumber],OvalData[],MATCH(Table2[[#Headers],[Grille Amount]],Table2[#Headers],0),0)</f>
        <v>0</v>
      </c>
      <c r="AC356" s="2">
        <f>VLOOKUP([jobnumber],OvalData[],MATCH(Table2[[#Headers],[Grille Center]],Table2[#Headers],0),0)</f>
        <v>0</v>
      </c>
      <c r="AD356" s="2">
        <f>VLOOKUP([jobnumber],OvalData[],MATCH(Table2[[#Headers],[Grille Pattern]],Table2[#Headers],0),0)</f>
        <v>0</v>
      </c>
      <c r="AE356" s="2">
        <f>VLOOKUP([jobnumber],OvalData[],MATCH(Table2[[#Headers],[Grille First Tube]],Table2[#Headers],0),0)</f>
        <v>0</v>
      </c>
      <c r="AF356" s="2">
        <f>VLOOKUP([jobnumber],OvalData[],MATCH(Table2[[#Headers],[Grille Standard Tube]],Table2[#Headers],0),0)</f>
        <v>0</v>
      </c>
      <c r="AG356" s="2">
        <f>VLOOKUP([jobnumber],OvalData[],MATCH(Table2[[#Headers],[Grille Total Links]],Table2[#Headers],0),0)</f>
        <v>0</v>
      </c>
      <c r="AH356" s="2">
        <f>VLOOKUP([jobnumber],OvalData[],MATCH(Table2[[#Headers],[Grille Rods]],Table2[#Headers],0),0)</f>
        <v>0</v>
      </c>
      <c r="AI356" s="2">
        <f>VLOOKUP([jobnumber],OvalData[],MATCH(Table2[[#Headers],[Grille Rod Length]],Table2[#Headers],0),0)</f>
        <v>0</v>
      </c>
      <c r="AJ356" s="2">
        <f>VLOOKUP([jobnumber],OvalData[],MATCH(Table2[[#Headers],[slattype]],Table2[#Headers],0),0)</f>
        <v>2</v>
      </c>
      <c r="AK356" s="2">
        <f>VLOOKUP([jobnumber],OvalData[],MATCH(Table2[[#Headers],[slatgage]],Table2[#Headers],0),0)</f>
        <v>18</v>
      </c>
      <c r="AL356" s="2">
        <f>VLOOKUP([jobnumber],OvalData[],MATCH(Table2[[#Headers],[Numer of Top Slats]],Table2[#Headers],0),0)</f>
        <v>0</v>
      </c>
      <c r="AM356" s="2">
        <f>VLOOKUP([jobnumber],OvalData[],MATCH(Table2[[#Headers],[Number of Bottom Slats]],Table2[#Headers],0),0)</f>
        <v>0</v>
      </c>
      <c r="AN356" s="2">
        <f>VLOOKUP([jobnumber],OvalData[],MATCH(Table2[[#Headers],[Solid Bottom Height]],Table2[#Headers],0),0)</f>
        <v>0</v>
      </c>
      <c r="AO356" s="2" t="str">
        <f>VLOOKUP([jobnumber],OvalData[],MATCH(Table2[[#Headers],[slatlength]],Table2[#Headers],0),0)</f>
        <v xml:space="preserve"> 18 ft.- 5 7/ 8"</v>
      </c>
      <c r="AP356" s="2">
        <f>VLOOKUP([jobnumber],OvalData[],MATCH(Table2[[#Headers],[Bottom Slat Length]],Table2[#Headers],0),0)</f>
        <v>0</v>
      </c>
      <c r="AQ356" s="2">
        <f>VLOOKUP([jobnumber],OvalData[],MATCH(Table2[[#Headers],[Number of Perferated Slats]],Table2[#Headers],0),0)</f>
        <v>0</v>
      </c>
      <c r="AR356" s="2">
        <f>VLOOKUP([jobnumber],OvalData[],MATCH(Table2[[#Headers],[First Preferated Slat From End]],Table2[#Headers],0),0)</f>
        <v>0</v>
      </c>
      <c r="AS356" s="2">
        <f>VLOOKUP([jobnumber],OvalData[],MATCH(Table2[[#Headers],[First Preferated Slat From Bottom]],Table2[#Headers],0),0)</f>
        <v>0</v>
      </c>
      <c r="AT356" s="2">
        <f>VLOOKUP([jobnumber],OvalData[],MATCH(Table2[[#Headers],[Total Number of Slats]],Table2[#Headers],0),0)</f>
        <v>51</v>
      </c>
      <c r="AU356" s="2">
        <f>VLOOKUP([jobnumber],OvalData[],MATCH(Table2[[#Headers],[Bottom Bar Slope]],Table2[#Headers],0),0)</f>
        <v>0</v>
      </c>
      <c r="AV356" s="2">
        <f>VLOOKUP([jobnumber],OvalData[],MATCH(Table2[[#Headers],[Bottom Bar Weight]],Table2[#Headers],0),0)</f>
        <v>80.5</v>
      </c>
      <c r="AW356" s="2" t="str">
        <f>VLOOKUP([jobnumber],OvalData[],MATCH(Table2[[#Headers],[Outer Spring Gage]],Table2[#Headers],0),0)</f>
        <v>Null</v>
      </c>
      <c r="AX356" s="2" t="str">
        <f>VLOOKUP([jobnumber],OvalData[],MATCH(Table2[[#Headers],[Outer Spring OD]],Table2[#Headers],0),0)</f>
        <v>Null</v>
      </c>
      <c r="AY356" s="2" t="str">
        <f>VLOOKUP([jobnumber],OvalData[],MATCH(Table2[[#Headers],[Outer Spring Length]],Table2[#Headers],0),0)</f>
        <v>Null</v>
      </c>
      <c r="AZ356" s="2" t="str">
        <f>VLOOKUP([jobnumber],OvalData[],MATCH(Table2[[#Headers],[Outer Spring Stretch]],Table2[#Headers],0),0)</f>
        <v>Null</v>
      </c>
      <c r="BA356" s="2" t="str">
        <f>VLOOKUP([jobnumber],OvalData[],MATCH(Table2[[#Headers],[Outer Spring Torque]],Table2[#Headers],0),0)</f>
        <v>Null</v>
      </c>
      <c r="BB356" s="2" t="str">
        <f>VLOOKUP([jobnumber],OvalData[],MATCH(Table2[[#Headers],[Outer Spring Max Turns]],Table2[#Headers],0),0)</f>
        <v>Null</v>
      </c>
      <c r="BC356" s="2" t="str">
        <f>VLOOKUP([jobnumber],OvalData[],MATCH(Table2[[#Headers],[Outer Spring Weight]],Table2[#Headers],0),0)</f>
        <v>Null</v>
      </c>
      <c r="BD356" s="2" t="str">
        <f>VLOOKUP([jobnumber],OvalData[],MATCH(Table2[[#Headers],[Inner Spring Gage]],Table2[#Headers],0),0)</f>
        <v>Null</v>
      </c>
      <c r="BE356" s="2" t="str">
        <f>VLOOKUP([jobnumber],OvalData[],MATCH(Table2[[#Headers],[Inner Spring OD]],Table2[#Headers],0),0)</f>
        <v>Null</v>
      </c>
      <c r="BF356" s="2" t="str">
        <f>VLOOKUP([jobnumber],OvalData[],MATCH(Table2[[#Headers],[Inner Spring Length]],Table2[#Headers],0),0)</f>
        <v>Null</v>
      </c>
      <c r="BG356" s="2" t="str">
        <f>VLOOKUP([jobnumber],OvalData[],MATCH(Table2[[#Headers],[Inner Spring Stretch]],Table2[#Headers],0),0)</f>
        <v>Null</v>
      </c>
      <c r="BH356" s="2" t="str">
        <f>VLOOKUP([jobnumber],OvalData[],MATCH(Table2[[#Headers],[Inner Spring Torque]],Table2[#Headers],0),0)</f>
        <v>Null</v>
      </c>
      <c r="BI356" s="2" t="str">
        <f>VLOOKUP([jobnumber],OvalData[],MATCH(Table2[[#Headers],[Inner Spring Max Turns]],Table2[#Headers],0),0)</f>
        <v>Null</v>
      </c>
      <c r="BJ356" s="2" t="str">
        <f>VLOOKUP([jobnumber],OvalData[],MATCH(Table2[[#Headers],[Inner Spring Weight]],Table2[#Headers],0),0)</f>
        <v>Null</v>
      </c>
      <c r="BK356" s="2">
        <f>VLOOKUP([jobnumber],OvalData[],MATCH(Table2[[#Headers],[Cycles]],Table2[#Headers],0),0)</f>
        <v>0</v>
      </c>
      <c r="BL356" s="2">
        <f>VLOOKUP([jobnumber],OvalData[],MATCH(Table2[[#Headers],[Total Spring Torque]],Table2[#Headers],0),0)</f>
        <v>0</v>
      </c>
      <c r="BM356" s="2">
        <f>VLOOKUP([jobnumber],OvalData[],MATCH(Table2[[#Headers],[Total Spring Weight]],Table2[#Headers],0),0)</f>
        <v>0</v>
      </c>
      <c r="BN356" s="2">
        <f>VLOOKUP([jobnumber],OvalData[],MATCH(Table2[[#Headers],[Pipe Weight]],Table2[#Headers],0),0)</f>
        <v>688.24239999999998</v>
      </c>
      <c r="BO356" s="2">
        <f>VLOOKUP([jobnumber],OvalData[],MATCH(Table2[[#Headers],[Max Pipe Deflection]],Table2[#Headers],0),0)</f>
        <v>2309</v>
      </c>
      <c r="BP356" s="2">
        <f>VLOOKUP([jobnumber],OvalData[],MATCH(Table2[[#Headers],[Number Non-Insulated Wrap Slats]],Table2[#Headers],0),0)</f>
        <v>0</v>
      </c>
      <c r="BQ356" s="2">
        <f>VLOOKUP([jobnumber],OvalData[],MATCH(Table2[[#Headers],[Number of Insolated Top Slats]],Table2[#Headers],0),0)</f>
        <v>45</v>
      </c>
      <c r="BR356" s="2">
        <f>VLOOKUP([jobnumber],OvalData[],MATCH(Table2[[#Headers],[Insolated Total Slats]],Table2[#Headers],0),0)</f>
        <v>45</v>
      </c>
      <c r="BS356" s="2">
        <f>VLOOKUP([jobnumber],OvalData[],MATCH(Table2[[#Headers],[Number of Slats]],Table2[#Headers],0),0)</f>
        <v>44.69</v>
      </c>
      <c r="BT356" s="2">
        <f>VLOOKUP([jobnumber],OvalData[],MATCH(Table2[[#Headers],[Wrap]],Table2[#Headers],0),0)</f>
        <v>0</v>
      </c>
      <c r="BU356" s="2">
        <f>VLOOKUP([jobnumber],OvalData[],MATCH(Table2[[#Headers],[Wall Angle Thickness]],Table2[#Headers],0),0)</f>
        <v>0</v>
      </c>
      <c r="BV356" s="2">
        <f>VLOOKUP([jobnumber],OvalData[],MATCH(Table2[[#Headers],[windlocks]],Table2[#Headers],0),0)</f>
        <v>0</v>
      </c>
      <c r="BW356" s="2" t="str">
        <f>VLOOKUP([jobnumber],OvalData[],MATCH(Table2[[#Headers],[bottombartype]],Table2[#Headers],0),0)</f>
        <v>SPECIAL</v>
      </c>
      <c r="BX356" s="2">
        <f>VLOOKUP([jobnumber],OvalData[],MATCH(Table2[[#Headers],[endlockweight]],Table2[#Headers],0),0)</f>
        <v>0.17</v>
      </c>
      <c r="BY356" s="2">
        <f>VLOOKUP([jobnumber],OvalData[],MATCH(Table2[[#Headers],[Endlock Total Weight]],Table2[#Headers],0),0)</f>
        <v>7.5972999999999997</v>
      </c>
      <c r="BZ356" s="2">
        <f>VLOOKUP([jobnumber],OvalData[],MATCH(Table2[[#Headers],[Grille Weight]],Table2[#Headers],0),0)</f>
        <v>0</v>
      </c>
      <c r="CA356" s="2">
        <f>VLOOKUP([jobnumber],OvalData[],MATCH(Table2[[#Headers],[barrelrings]],Table2[#Headers],0),0)</f>
        <v>1</v>
      </c>
    </row>
    <row r="357" spans="2:79">
      <c r="B357" s="2" t="str">
        <f>VLOOKUP([jobnumber],OvalData[],MATCH(Table2[[#Headers],[Hand]],Table2[#Headers],0),0)</f>
        <v>RH</v>
      </c>
      <c r="C357" s="2" t="str">
        <f>VLOOKUP([jobnumber],OvalData[],MATCH(Table2[[#Headers],[Model]],Table2[#Headers],0),0)</f>
        <v>SFMPP</v>
      </c>
      <c r="D357" s="2" t="str">
        <f>VLOOKUP([jobnumber],OvalData[],MATCH(Table2[[#Headers],[width]],Table2[#Headers],0),0)</f>
        <v xml:space="preserve"> 18 ft.- 2"</v>
      </c>
      <c r="E357" s="2" t="str">
        <f>VLOOKUP([jobnumber],OvalData[],MATCH(Table2[[#Headers],[stopheight]],Table2[#Headers],0),0)</f>
        <v xml:space="preserve"> 10 ft.- 0"</v>
      </c>
      <c r="F357" s="2" t="str">
        <f>VLOOKUP([jobnumber],OvalData[],MATCH(Table2[[#Headers],[Between Brackets]],Table2[#Headers],0),0)</f>
        <v xml:space="preserve"> 18 ft.- 7 7/ 8"</v>
      </c>
      <c r="G357" s="2" t="str">
        <f>VLOOKUP([jobnumber],OvalData[],MATCH(Table2[[#Headers],[shell]],Table2[#Headers],0),0)</f>
        <v>6 INCH TUBE</v>
      </c>
      <c r="H357" s="2" t="str">
        <f>VLOOKUP([jobnumber],OvalData[],MATCH(Table2[[#Headers],[pipewidth]],Table2[#Headers],0),0)</f>
        <v xml:space="preserve"> 18 ft.- 1 3/ 8"</v>
      </c>
      <c r="I357" s="2">
        <f>VLOOKUP([jobnumber],OvalData[],MATCH(Table2[[#Headers],[Support Tubes]],Table2[#Headers],0),0)</f>
        <v>0</v>
      </c>
      <c r="J357" s="2">
        <f>VLOOKUP([jobnumber],OvalData[],MATCH(Table2[[#Headers],[Upset]],Table2[#Headers],0),0)</f>
        <v>2</v>
      </c>
      <c r="K357" s="2" t="str">
        <f>VLOOKUP([jobnumber],OvalData[],MATCH(Table2[[#Headers],[Guide Type]],Table2[#Headers],0),0)</f>
        <v>SN2-4 5/8-E</v>
      </c>
      <c r="L357" s="2" t="str">
        <f>VLOOKUP([jobnumber],OvalData[],MATCH(Table2[[#Headers],[Wall Angle]],Table2[#Headers],0),0)</f>
        <v xml:space="preserve"> 11 ft.- 8"</v>
      </c>
      <c r="M357" s="2" t="str">
        <f>VLOOKUP([jobnumber],OvalData[],MATCH(Table2[[#Headers],[Middle Angle]],Table2[#Headers],0),0)</f>
        <v xml:space="preserve"> 10 ft.- 4 1/ 2"</v>
      </c>
      <c r="N357" s="2" t="str">
        <f>VLOOKUP([jobnumber],OvalData[],MATCH(Table2[[#Headers],[Front Angle]],Table2[#Headers],0),0)</f>
        <v xml:space="preserve"> 10 ft.- 3"</v>
      </c>
      <c r="O357" s="2">
        <f>VLOOKUP([jobnumber],OvalData[],MATCH(Table2[[#Headers],[Pipe Center Line]],Table2[#Headers],0),0)</f>
        <v>131</v>
      </c>
      <c r="P357" s="2">
        <f>VLOOKUP([jobnumber],OvalData[],MATCH(Table2[[#Headers],[Heat Expansion Gap]],Table2[#Headers],0),0)</f>
        <v>0</v>
      </c>
      <c r="Q357" s="2">
        <f>VLOOKUP([jobnumber],OvalData[],MATCH(Table2[[#Headers],[Hanging Weight Closed]],Table2[#Headers],0),0)</f>
        <v>795</v>
      </c>
      <c r="R357" s="2">
        <f>VLOOKUP([jobnumber],OvalData[],MATCH(Table2[[#Headers],[Hanging Weight Open]],Table2[#Headers],0),0)</f>
        <v>140</v>
      </c>
      <c r="S357" s="2">
        <f>VLOOKUP([jobnumber],OvalData[],MATCH(Table2[[#Headers],[Initial Lever Arm]],Table2[#Headers],0),0)</f>
        <v>4.25</v>
      </c>
      <c r="T357" s="2">
        <f>VLOOKUP([jobnumber],OvalData[],MATCH(Table2[[#Headers],[Turns to Raise]],Table2[#Headers],0),0)</f>
        <v>3.5859999999999999</v>
      </c>
      <c r="U357" s="2">
        <f>VLOOKUP([jobnumber],OvalData[],MATCH(Table2[[#Headers],[Final Lever Arm]],Table2[#Headers],0),0)</f>
        <v>6.37</v>
      </c>
      <c r="V357" s="2">
        <f>VLOOKUP([jobnumber],OvalData[],MATCH(Table2[[#Headers],[Torque Required Closed]],Table2[#Headers],0),0)</f>
        <v>3377.9</v>
      </c>
      <c r="W357" s="2">
        <f>VLOOKUP([jobnumber],OvalData[],MATCH(Table2[[#Headers],[Torque Required Open]],Table2[#Headers],0),0)</f>
        <v>892</v>
      </c>
      <c r="X357" s="2">
        <f>VLOOKUP([jobnumber],OvalData[],MATCH(Table2[[#Headers],[Pre Turns]],Table2[#Headers],0),0)</f>
        <v>1.3332999999999999</v>
      </c>
      <c r="Y357" s="2">
        <f>VLOOKUP([jobnumber],OvalData[],MATCH(Table2[[#Headers],[Required Torque Per Turn]],Table2[#Headers],0),0)</f>
        <v>688</v>
      </c>
      <c r="Z357" s="2">
        <f>VLOOKUP([jobnumber],OvalData[],MATCH(Table2[[#Headers],[Total Turns]],Table2[#Headers],0),0)</f>
        <v>4.91</v>
      </c>
      <c r="AA357" s="2">
        <f>VLOOKUP([jobnumber],OvalData[],MATCH(Table2[[#Headers],[Grille Vision Section]],Table2[#Headers],0),0)</f>
        <v>0</v>
      </c>
      <c r="AB357" s="2">
        <f>VLOOKUP([jobnumber],OvalData[],MATCH(Table2[[#Headers],[Grille Amount]],Table2[#Headers],0),0)</f>
        <v>0</v>
      </c>
      <c r="AC357" s="2">
        <f>VLOOKUP([jobnumber],OvalData[],MATCH(Table2[[#Headers],[Grille Center]],Table2[#Headers],0),0)</f>
        <v>0</v>
      </c>
      <c r="AD357" s="2">
        <f>VLOOKUP([jobnumber],OvalData[],MATCH(Table2[[#Headers],[Grille Pattern]],Table2[#Headers],0),0)</f>
        <v>0</v>
      </c>
      <c r="AE357" s="2">
        <f>VLOOKUP([jobnumber],OvalData[],MATCH(Table2[[#Headers],[Grille First Tube]],Table2[#Headers],0),0)</f>
        <v>0</v>
      </c>
      <c r="AF357" s="2">
        <f>VLOOKUP([jobnumber],OvalData[],MATCH(Table2[[#Headers],[Grille Standard Tube]],Table2[#Headers],0),0)</f>
        <v>0</v>
      </c>
      <c r="AG357" s="2">
        <f>VLOOKUP([jobnumber],OvalData[],MATCH(Table2[[#Headers],[Grille Total Links]],Table2[#Headers],0),0)</f>
        <v>0</v>
      </c>
      <c r="AH357" s="2">
        <f>VLOOKUP([jobnumber],OvalData[],MATCH(Table2[[#Headers],[Grille Rods]],Table2[#Headers],0),0)</f>
        <v>0</v>
      </c>
      <c r="AI357" s="2">
        <f>VLOOKUP([jobnumber],OvalData[],MATCH(Table2[[#Headers],[Grille Rod Length]],Table2[#Headers],0),0)</f>
        <v>0</v>
      </c>
      <c r="AJ357" s="2">
        <f>VLOOKUP([jobnumber],OvalData[],MATCH(Table2[[#Headers],[slattype]],Table2[#Headers],0),0)</f>
        <v>2</v>
      </c>
      <c r="AK357" s="2">
        <f>VLOOKUP([jobnumber],OvalData[],MATCH(Table2[[#Headers],[slatgage]],Table2[#Headers],0),0)</f>
        <v>18</v>
      </c>
      <c r="AL357" s="2">
        <f>VLOOKUP([jobnumber],OvalData[],MATCH(Table2[[#Headers],[Numer of Top Slats]],Table2[#Headers],0),0)</f>
        <v>0</v>
      </c>
      <c r="AM357" s="2">
        <f>VLOOKUP([jobnumber],OvalData[],MATCH(Table2[[#Headers],[Number of Bottom Slats]],Table2[#Headers],0),0)</f>
        <v>0</v>
      </c>
      <c r="AN357" s="2">
        <f>VLOOKUP([jobnumber],OvalData[],MATCH(Table2[[#Headers],[Solid Bottom Height]],Table2[#Headers],0),0)</f>
        <v>0</v>
      </c>
      <c r="AO357" s="2" t="str">
        <f>VLOOKUP([jobnumber],OvalData[],MATCH(Table2[[#Headers],[slatlength]],Table2[#Headers],0),0)</f>
        <v xml:space="preserve"> 18 ft.- 5 7/ 8"</v>
      </c>
      <c r="AP357" s="2">
        <f>VLOOKUP([jobnumber],OvalData[],MATCH(Table2[[#Headers],[Bottom Slat Length]],Table2[#Headers],0),0)</f>
        <v>0</v>
      </c>
      <c r="AQ357" s="2">
        <f>VLOOKUP([jobnumber],OvalData[],MATCH(Table2[[#Headers],[Number of Perferated Slats]],Table2[#Headers],0),0)</f>
        <v>0</v>
      </c>
      <c r="AR357" s="2">
        <f>VLOOKUP([jobnumber],OvalData[],MATCH(Table2[[#Headers],[First Preferated Slat From End]],Table2[#Headers],0),0)</f>
        <v>0</v>
      </c>
      <c r="AS357" s="2">
        <f>VLOOKUP([jobnumber],OvalData[],MATCH(Table2[[#Headers],[First Preferated Slat From Bottom]],Table2[#Headers],0),0)</f>
        <v>0</v>
      </c>
      <c r="AT357" s="2">
        <f>VLOOKUP([jobnumber],OvalData[],MATCH(Table2[[#Headers],[Total Number of Slats]],Table2[#Headers],0),0)</f>
        <v>51</v>
      </c>
      <c r="AU357" s="2">
        <f>VLOOKUP([jobnumber],OvalData[],MATCH(Table2[[#Headers],[Bottom Bar Slope]],Table2[#Headers],0),0)</f>
        <v>0</v>
      </c>
      <c r="AV357" s="2">
        <f>VLOOKUP([jobnumber],OvalData[],MATCH(Table2[[#Headers],[Bottom Bar Weight]],Table2[#Headers],0),0)</f>
        <v>80.5</v>
      </c>
      <c r="AW357" s="2" t="str">
        <f>VLOOKUP([jobnumber],OvalData[],MATCH(Table2[[#Headers],[Outer Spring Gage]],Table2[#Headers],0),0)</f>
        <v>Null</v>
      </c>
      <c r="AX357" s="2" t="str">
        <f>VLOOKUP([jobnumber],OvalData[],MATCH(Table2[[#Headers],[Outer Spring OD]],Table2[#Headers],0),0)</f>
        <v>Null</v>
      </c>
      <c r="AY357" s="2" t="str">
        <f>VLOOKUP([jobnumber],OvalData[],MATCH(Table2[[#Headers],[Outer Spring Length]],Table2[#Headers],0),0)</f>
        <v>Null</v>
      </c>
      <c r="AZ357" s="2" t="str">
        <f>VLOOKUP([jobnumber],OvalData[],MATCH(Table2[[#Headers],[Outer Spring Stretch]],Table2[#Headers],0),0)</f>
        <v>Null</v>
      </c>
      <c r="BA357" s="2" t="str">
        <f>VLOOKUP([jobnumber],OvalData[],MATCH(Table2[[#Headers],[Outer Spring Torque]],Table2[#Headers],0),0)</f>
        <v>Null</v>
      </c>
      <c r="BB357" s="2" t="str">
        <f>VLOOKUP([jobnumber],OvalData[],MATCH(Table2[[#Headers],[Outer Spring Max Turns]],Table2[#Headers],0),0)</f>
        <v>Null</v>
      </c>
      <c r="BC357" s="2" t="str">
        <f>VLOOKUP([jobnumber],OvalData[],MATCH(Table2[[#Headers],[Outer Spring Weight]],Table2[#Headers],0),0)</f>
        <v>Null</v>
      </c>
      <c r="BD357" s="2" t="str">
        <f>VLOOKUP([jobnumber],OvalData[],MATCH(Table2[[#Headers],[Inner Spring Gage]],Table2[#Headers],0),0)</f>
        <v>Null</v>
      </c>
      <c r="BE357" s="2" t="str">
        <f>VLOOKUP([jobnumber],OvalData[],MATCH(Table2[[#Headers],[Inner Spring OD]],Table2[#Headers],0),0)</f>
        <v>Null</v>
      </c>
      <c r="BF357" s="2" t="str">
        <f>VLOOKUP([jobnumber],OvalData[],MATCH(Table2[[#Headers],[Inner Spring Length]],Table2[#Headers],0),0)</f>
        <v>Null</v>
      </c>
      <c r="BG357" s="2" t="str">
        <f>VLOOKUP([jobnumber],OvalData[],MATCH(Table2[[#Headers],[Inner Spring Stretch]],Table2[#Headers],0),0)</f>
        <v>Null</v>
      </c>
      <c r="BH357" s="2" t="str">
        <f>VLOOKUP([jobnumber],OvalData[],MATCH(Table2[[#Headers],[Inner Spring Torque]],Table2[#Headers],0),0)</f>
        <v>Null</v>
      </c>
      <c r="BI357" s="2" t="str">
        <f>VLOOKUP([jobnumber],OvalData[],MATCH(Table2[[#Headers],[Inner Spring Max Turns]],Table2[#Headers],0),0)</f>
        <v>Null</v>
      </c>
      <c r="BJ357" s="2" t="str">
        <f>VLOOKUP([jobnumber],OvalData[],MATCH(Table2[[#Headers],[Inner Spring Weight]],Table2[#Headers],0),0)</f>
        <v>Null</v>
      </c>
      <c r="BK357" s="2">
        <f>VLOOKUP([jobnumber],OvalData[],MATCH(Table2[[#Headers],[Cycles]],Table2[#Headers],0),0)</f>
        <v>0</v>
      </c>
      <c r="BL357" s="2">
        <f>VLOOKUP([jobnumber],OvalData[],MATCH(Table2[[#Headers],[Total Spring Torque]],Table2[#Headers],0),0)</f>
        <v>0</v>
      </c>
      <c r="BM357" s="2">
        <f>VLOOKUP([jobnumber],OvalData[],MATCH(Table2[[#Headers],[Total Spring Weight]],Table2[#Headers],0),0)</f>
        <v>0</v>
      </c>
      <c r="BN357" s="2">
        <f>VLOOKUP([jobnumber],OvalData[],MATCH(Table2[[#Headers],[Pipe Weight]],Table2[#Headers],0),0)</f>
        <v>688.24239999999998</v>
      </c>
      <c r="BO357" s="2">
        <f>VLOOKUP([jobnumber],OvalData[],MATCH(Table2[[#Headers],[Max Pipe Deflection]],Table2[#Headers],0),0)</f>
        <v>2309</v>
      </c>
      <c r="BP357" s="2">
        <f>VLOOKUP([jobnumber],OvalData[],MATCH(Table2[[#Headers],[Number Non-Insulated Wrap Slats]],Table2[#Headers],0),0)</f>
        <v>0</v>
      </c>
      <c r="BQ357" s="2">
        <f>VLOOKUP([jobnumber],OvalData[],MATCH(Table2[[#Headers],[Number of Insolated Top Slats]],Table2[#Headers],0),0)</f>
        <v>45</v>
      </c>
      <c r="BR357" s="2">
        <f>VLOOKUP([jobnumber],OvalData[],MATCH(Table2[[#Headers],[Insolated Total Slats]],Table2[#Headers],0),0)</f>
        <v>45</v>
      </c>
      <c r="BS357" s="2">
        <f>VLOOKUP([jobnumber],OvalData[],MATCH(Table2[[#Headers],[Number of Slats]],Table2[#Headers],0),0)</f>
        <v>44.69</v>
      </c>
      <c r="BT357" s="2">
        <f>VLOOKUP([jobnumber],OvalData[],MATCH(Table2[[#Headers],[Wrap]],Table2[#Headers],0),0)</f>
        <v>0</v>
      </c>
      <c r="BU357" s="2">
        <f>VLOOKUP([jobnumber],OvalData[],MATCH(Table2[[#Headers],[Wall Angle Thickness]],Table2[#Headers],0),0)</f>
        <v>0</v>
      </c>
      <c r="BV357" s="2">
        <f>VLOOKUP([jobnumber],OvalData[],MATCH(Table2[[#Headers],[windlocks]],Table2[#Headers],0),0)</f>
        <v>0</v>
      </c>
      <c r="BW357" s="2" t="str">
        <f>VLOOKUP([jobnumber],OvalData[],MATCH(Table2[[#Headers],[bottombartype]],Table2[#Headers],0),0)</f>
        <v>SPECIAL</v>
      </c>
      <c r="BX357" s="2">
        <f>VLOOKUP([jobnumber],OvalData[],MATCH(Table2[[#Headers],[endlockweight]],Table2[#Headers],0),0)</f>
        <v>0.17</v>
      </c>
      <c r="BY357" s="2">
        <f>VLOOKUP([jobnumber],OvalData[],MATCH(Table2[[#Headers],[Endlock Total Weight]],Table2[#Headers],0),0)</f>
        <v>7.5972999999999997</v>
      </c>
      <c r="BZ357" s="2">
        <f>VLOOKUP([jobnumber],OvalData[],MATCH(Table2[[#Headers],[Grille Weight]],Table2[#Headers],0),0)</f>
        <v>0</v>
      </c>
      <c r="CA357" s="2">
        <f>VLOOKUP([jobnumber],OvalData[],MATCH(Table2[[#Headers],[barrelrings]],Table2[#Headers],0),0)</f>
        <v>1</v>
      </c>
    </row>
    <row r="358" spans="2:79">
      <c r="B358" s="2" t="str">
        <f>VLOOKUP([jobnumber],OvalData[],MATCH(Table2[[#Headers],[Hand]],Table2[#Headers],0),0)</f>
        <v>RH</v>
      </c>
      <c r="C358" s="2" t="str">
        <f>VLOOKUP([jobnumber],OvalData[],MATCH(Table2[[#Headers],[Model]],Table2[#Headers],0),0)</f>
        <v>SFMPP</v>
      </c>
      <c r="D358" s="2" t="str">
        <f>VLOOKUP([jobnumber],OvalData[],MATCH(Table2[[#Headers],[width]],Table2[#Headers],0),0)</f>
        <v xml:space="preserve"> 18 ft.- 2"</v>
      </c>
      <c r="E358" s="2" t="str">
        <f>VLOOKUP([jobnumber],OvalData[],MATCH(Table2[[#Headers],[stopheight]],Table2[#Headers],0),0)</f>
        <v xml:space="preserve"> 10 ft.- 0"</v>
      </c>
      <c r="F358" s="2" t="str">
        <f>VLOOKUP([jobnumber],OvalData[],MATCH(Table2[[#Headers],[Between Brackets]],Table2[#Headers],0),0)</f>
        <v xml:space="preserve"> 18 ft.- 7 7/ 8"</v>
      </c>
      <c r="G358" s="2" t="str">
        <f>VLOOKUP([jobnumber],OvalData[],MATCH(Table2[[#Headers],[shell]],Table2[#Headers],0),0)</f>
        <v>6 INCH TUBE</v>
      </c>
      <c r="H358" s="2" t="str">
        <f>VLOOKUP([jobnumber],OvalData[],MATCH(Table2[[#Headers],[pipewidth]],Table2[#Headers],0),0)</f>
        <v xml:space="preserve"> 18 ft.- 1 3/ 8"</v>
      </c>
      <c r="I358" s="2">
        <f>VLOOKUP([jobnumber],OvalData[],MATCH(Table2[[#Headers],[Support Tubes]],Table2[#Headers],0),0)</f>
        <v>0</v>
      </c>
      <c r="J358" s="2">
        <f>VLOOKUP([jobnumber],OvalData[],MATCH(Table2[[#Headers],[Upset]],Table2[#Headers],0),0)</f>
        <v>2</v>
      </c>
      <c r="K358" s="2" t="str">
        <f>VLOOKUP([jobnumber],OvalData[],MATCH(Table2[[#Headers],[Guide Type]],Table2[#Headers],0),0)</f>
        <v>SN2-4 5/8-E</v>
      </c>
      <c r="L358" s="2" t="str">
        <f>VLOOKUP([jobnumber],OvalData[],MATCH(Table2[[#Headers],[Wall Angle]],Table2[#Headers],0),0)</f>
        <v xml:space="preserve"> 11 ft.- 8"</v>
      </c>
      <c r="M358" s="2" t="str">
        <f>VLOOKUP([jobnumber],OvalData[],MATCH(Table2[[#Headers],[Middle Angle]],Table2[#Headers],0),0)</f>
        <v xml:space="preserve"> 10 ft.- 4 1/ 2"</v>
      </c>
      <c r="N358" s="2" t="str">
        <f>VLOOKUP([jobnumber],OvalData[],MATCH(Table2[[#Headers],[Front Angle]],Table2[#Headers],0),0)</f>
        <v xml:space="preserve"> 10 ft.- 3"</v>
      </c>
      <c r="O358" s="2">
        <f>VLOOKUP([jobnumber],OvalData[],MATCH(Table2[[#Headers],[Pipe Center Line]],Table2[#Headers],0),0)</f>
        <v>131</v>
      </c>
      <c r="P358" s="2">
        <f>VLOOKUP([jobnumber],OvalData[],MATCH(Table2[[#Headers],[Heat Expansion Gap]],Table2[#Headers],0),0)</f>
        <v>0</v>
      </c>
      <c r="Q358" s="2">
        <f>VLOOKUP([jobnumber],OvalData[],MATCH(Table2[[#Headers],[Hanging Weight Closed]],Table2[#Headers],0),0)</f>
        <v>795</v>
      </c>
      <c r="R358" s="2">
        <f>VLOOKUP([jobnumber],OvalData[],MATCH(Table2[[#Headers],[Hanging Weight Open]],Table2[#Headers],0),0)</f>
        <v>140</v>
      </c>
      <c r="S358" s="2">
        <f>VLOOKUP([jobnumber],OvalData[],MATCH(Table2[[#Headers],[Initial Lever Arm]],Table2[#Headers],0),0)</f>
        <v>4.25</v>
      </c>
      <c r="T358" s="2">
        <f>VLOOKUP([jobnumber],OvalData[],MATCH(Table2[[#Headers],[Turns to Raise]],Table2[#Headers],0),0)</f>
        <v>3.5859999999999999</v>
      </c>
      <c r="U358" s="2">
        <f>VLOOKUP([jobnumber],OvalData[],MATCH(Table2[[#Headers],[Final Lever Arm]],Table2[#Headers],0),0)</f>
        <v>6.37</v>
      </c>
      <c r="V358" s="2">
        <f>VLOOKUP([jobnumber],OvalData[],MATCH(Table2[[#Headers],[Torque Required Closed]],Table2[#Headers],0),0)</f>
        <v>3377.9</v>
      </c>
      <c r="W358" s="2">
        <f>VLOOKUP([jobnumber],OvalData[],MATCH(Table2[[#Headers],[Torque Required Open]],Table2[#Headers],0),0)</f>
        <v>892</v>
      </c>
      <c r="X358" s="2">
        <f>VLOOKUP([jobnumber],OvalData[],MATCH(Table2[[#Headers],[Pre Turns]],Table2[#Headers],0),0)</f>
        <v>1.3332999999999999</v>
      </c>
      <c r="Y358" s="2">
        <f>VLOOKUP([jobnumber],OvalData[],MATCH(Table2[[#Headers],[Required Torque Per Turn]],Table2[#Headers],0),0)</f>
        <v>688</v>
      </c>
      <c r="Z358" s="2">
        <f>VLOOKUP([jobnumber],OvalData[],MATCH(Table2[[#Headers],[Total Turns]],Table2[#Headers],0),0)</f>
        <v>4.91</v>
      </c>
      <c r="AA358" s="2">
        <f>VLOOKUP([jobnumber],OvalData[],MATCH(Table2[[#Headers],[Grille Vision Section]],Table2[#Headers],0),0)</f>
        <v>0</v>
      </c>
      <c r="AB358" s="2">
        <f>VLOOKUP([jobnumber],OvalData[],MATCH(Table2[[#Headers],[Grille Amount]],Table2[#Headers],0),0)</f>
        <v>0</v>
      </c>
      <c r="AC358" s="2">
        <f>VLOOKUP([jobnumber],OvalData[],MATCH(Table2[[#Headers],[Grille Center]],Table2[#Headers],0),0)</f>
        <v>0</v>
      </c>
      <c r="AD358" s="2">
        <f>VLOOKUP([jobnumber],OvalData[],MATCH(Table2[[#Headers],[Grille Pattern]],Table2[#Headers],0),0)</f>
        <v>0</v>
      </c>
      <c r="AE358" s="2">
        <f>VLOOKUP([jobnumber],OvalData[],MATCH(Table2[[#Headers],[Grille First Tube]],Table2[#Headers],0),0)</f>
        <v>0</v>
      </c>
      <c r="AF358" s="2">
        <f>VLOOKUP([jobnumber],OvalData[],MATCH(Table2[[#Headers],[Grille Standard Tube]],Table2[#Headers],0),0)</f>
        <v>0</v>
      </c>
      <c r="AG358" s="2">
        <f>VLOOKUP([jobnumber],OvalData[],MATCH(Table2[[#Headers],[Grille Total Links]],Table2[#Headers],0),0)</f>
        <v>0</v>
      </c>
      <c r="AH358" s="2">
        <f>VLOOKUP([jobnumber],OvalData[],MATCH(Table2[[#Headers],[Grille Rods]],Table2[#Headers],0),0)</f>
        <v>0</v>
      </c>
      <c r="AI358" s="2">
        <f>VLOOKUP([jobnumber],OvalData[],MATCH(Table2[[#Headers],[Grille Rod Length]],Table2[#Headers],0),0)</f>
        <v>0</v>
      </c>
      <c r="AJ358" s="2">
        <f>VLOOKUP([jobnumber],OvalData[],MATCH(Table2[[#Headers],[slattype]],Table2[#Headers],0),0)</f>
        <v>2</v>
      </c>
      <c r="AK358" s="2">
        <f>VLOOKUP([jobnumber],OvalData[],MATCH(Table2[[#Headers],[slatgage]],Table2[#Headers],0),0)</f>
        <v>18</v>
      </c>
      <c r="AL358" s="2">
        <f>VLOOKUP([jobnumber],OvalData[],MATCH(Table2[[#Headers],[Numer of Top Slats]],Table2[#Headers],0),0)</f>
        <v>0</v>
      </c>
      <c r="AM358" s="2">
        <f>VLOOKUP([jobnumber],OvalData[],MATCH(Table2[[#Headers],[Number of Bottom Slats]],Table2[#Headers],0),0)</f>
        <v>0</v>
      </c>
      <c r="AN358" s="2">
        <f>VLOOKUP([jobnumber],OvalData[],MATCH(Table2[[#Headers],[Solid Bottom Height]],Table2[#Headers],0),0)</f>
        <v>0</v>
      </c>
      <c r="AO358" s="2" t="str">
        <f>VLOOKUP([jobnumber],OvalData[],MATCH(Table2[[#Headers],[slatlength]],Table2[#Headers],0),0)</f>
        <v xml:space="preserve"> 18 ft.- 5 7/ 8"</v>
      </c>
      <c r="AP358" s="2">
        <f>VLOOKUP([jobnumber],OvalData[],MATCH(Table2[[#Headers],[Bottom Slat Length]],Table2[#Headers],0),0)</f>
        <v>0</v>
      </c>
      <c r="AQ358" s="2">
        <f>VLOOKUP([jobnumber],OvalData[],MATCH(Table2[[#Headers],[Number of Perferated Slats]],Table2[#Headers],0),0)</f>
        <v>0</v>
      </c>
      <c r="AR358" s="2">
        <f>VLOOKUP([jobnumber],OvalData[],MATCH(Table2[[#Headers],[First Preferated Slat From End]],Table2[#Headers],0),0)</f>
        <v>0</v>
      </c>
      <c r="AS358" s="2">
        <f>VLOOKUP([jobnumber],OvalData[],MATCH(Table2[[#Headers],[First Preferated Slat From Bottom]],Table2[#Headers],0),0)</f>
        <v>0</v>
      </c>
      <c r="AT358" s="2">
        <f>VLOOKUP([jobnumber],OvalData[],MATCH(Table2[[#Headers],[Total Number of Slats]],Table2[#Headers],0),0)</f>
        <v>51</v>
      </c>
      <c r="AU358" s="2">
        <f>VLOOKUP([jobnumber],OvalData[],MATCH(Table2[[#Headers],[Bottom Bar Slope]],Table2[#Headers],0),0)</f>
        <v>0</v>
      </c>
      <c r="AV358" s="2">
        <f>VLOOKUP([jobnumber],OvalData[],MATCH(Table2[[#Headers],[Bottom Bar Weight]],Table2[#Headers],0),0)</f>
        <v>80.5</v>
      </c>
      <c r="AW358" s="2" t="str">
        <f>VLOOKUP([jobnumber],OvalData[],MATCH(Table2[[#Headers],[Outer Spring Gage]],Table2[#Headers],0),0)</f>
        <v>Null</v>
      </c>
      <c r="AX358" s="2" t="str">
        <f>VLOOKUP([jobnumber],OvalData[],MATCH(Table2[[#Headers],[Outer Spring OD]],Table2[#Headers],0),0)</f>
        <v>Null</v>
      </c>
      <c r="AY358" s="2" t="str">
        <f>VLOOKUP([jobnumber],OvalData[],MATCH(Table2[[#Headers],[Outer Spring Length]],Table2[#Headers],0),0)</f>
        <v>Null</v>
      </c>
      <c r="AZ358" s="2" t="str">
        <f>VLOOKUP([jobnumber],OvalData[],MATCH(Table2[[#Headers],[Outer Spring Stretch]],Table2[#Headers],0),0)</f>
        <v>Null</v>
      </c>
      <c r="BA358" s="2" t="str">
        <f>VLOOKUP([jobnumber],OvalData[],MATCH(Table2[[#Headers],[Outer Spring Torque]],Table2[#Headers],0),0)</f>
        <v>Null</v>
      </c>
      <c r="BB358" s="2" t="str">
        <f>VLOOKUP([jobnumber],OvalData[],MATCH(Table2[[#Headers],[Outer Spring Max Turns]],Table2[#Headers],0),0)</f>
        <v>Null</v>
      </c>
      <c r="BC358" s="2" t="str">
        <f>VLOOKUP([jobnumber],OvalData[],MATCH(Table2[[#Headers],[Outer Spring Weight]],Table2[#Headers],0),0)</f>
        <v>Null</v>
      </c>
      <c r="BD358" s="2" t="str">
        <f>VLOOKUP([jobnumber],OvalData[],MATCH(Table2[[#Headers],[Inner Spring Gage]],Table2[#Headers],0),0)</f>
        <v>Null</v>
      </c>
      <c r="BE358" s="2" t="str">
        <f>VLOOKUP([jobnumber],OvalData[],MATCH(Table2[[#Headers],[Inner Spring OD]],Table2[#Headers],0),0)</f>
        <v>Null</v>
      </c>
      <c r="BF358" s="2" t="str">
        <f>VLOOKUP([jobnumber],OvalData[],MATCH(Table2[[#Headers],[Inner Spring Length]],Table2[#Headers],0),0)</f>
        <v>Null</v>
      </c>
      <c r="BG358" s="2" t="str">
        <f>VLOOKUP([jobnumber],OvalData[],MATCH(Table2[[#Headers],[Inner Spring Stretch]],Table2[#Headers],0),0)</f>
        <v>Null</v>
      </c>
      <c r="BH358" s="2" t="str">
        <f>VLOOKUP([jobnumber],OvalData[],MATCH(Table2[[#Headers],[Inner Spring Torque]],Table2[#Headers],0),0)</f>
        <v>Null</v>
      </c>
      <c r="BI358" s="2" t="str">
        <f>VLOOKUP([jobnumber],OvalData[],MATCH(Table2[[#Headers],[Inner Spring Max Turns]],Table2[#Headers],0),0)</f>
        <v>Null</v>
      </c>
      <c r="BJ358" s="2" t="str">
        <f>VLOOKUP([jobnumber],OvalData[],MATCH(Table2[[#Headers],[Inner Spring Weight]],Table2[#Headers],0),0)</f>
        <v>Null</v>
      </c>
      <c r="BK358" s="2">
        <f>VLOOKUP([jobnumber],OvalData[],MATCH(Table2[[#Headers],[Cycles]],Table2[#Headers],0),0)</f>
        <v>0</v>
      </c>
      <c r="BL358" s="2">
        <f>VLOOKUP([jobnumber],OvalData[],MATCH(Table2[[#Headers],[Total Spring Torque]],Table2[#Headers],0),0)</f>
        <v>0</v>
      </c>
      <c r="BM358" s="2">
        <f>VLOOKUP([jobnumber],OvalData[],MATCH(Table2[[#Headers],[Total Spring Weight]],Table2[#Headers],0),0)</f>
        <v>0</v>
      </c>
      <c r="BN358" s="2">
        <f>VLOOKUP([jobnumber],OvalData[],MATCH(Table2[[#Headers],[Pipe Weight]],Table2[#Headers],0),0)</f>
        <v>688.24239999999998</v>
      </c>
      <c r="BO358" s="2">
        <f>VLOOKUP([jobnumber],OvalData[],MATCH(Table2[[#Headers],[Max Pipe Deflection]],Table2[#Headers],0),0)</f>
        <v>2309</v>
      </c>
      <c r="BP358" s="2">
        <f>VLOOKUP([jobnumber],OvalData[],MATCH(Table2[[#Headers],[Number Non-Insulated Wrap Slats]],Table2[#Headers],0),0)</f>
        <v>0</v>
      </c>
      <c r="BQ358" s="2">
        <f>VLOOKUP([jobnumber],OvalData[],MATCH(Table2[[#Headers],[Number of Insolated Top Slats]],Table2[#Headers],0),0)</f>
        <v>45</v>
      </c>
      <c r="BR358" s="2">
        <f>VLOOKUP([jobnumber],OvalData[],MATCH(Table2[[#Headers],[Insolated Total Slats]],Table2[#Headers],0),0)</f>
        <v>45</v>
      </c>
      <c r="BS358" s="2">
        <f>VLOOKUP([jobnumber],OvalData[],MATCH(Table2[[#Headers],[Number of Slats]],Table2[#Headers],0),0)</f>
        <v>44.69</v>
      </c>
      <c r="BT358" s="2">
        <f>VLOOKUP([jobnumber],OvalData[],MATCH(Table2[[#Headers],[Wrap]],Table2[#Headers],0),0)</f>
        <v>0</v>
      </c>
      <c r="BU358" s="2">
        <f>VLOOKUP([jobnumber],OvalData[],MATCH(Table2[[#Headers],[Wall Angle Thickness]],Table2[#Headers],0),0)</f>
        <v>0</v>
      </c>
      <c r="BV358" s="2">
        <f>VLOOKUP([jobnumber],OvalData[],MATCH(Table2[[#Headers],[windlocks]],Table2[#Headers],0),0)</f>
        <v>0</v>
      </c>
      <c r="BW358" s="2" t="str">
        <f>VLOOKUP([jobnumber],OvalData[],MATCH(Table2[[#Headers],[bottombartype]],Table2[#Headers],0),0)</f>
        <v>SPECIAL</v>
      </c>
      <c r="BX358" s="2">
        <f>VLOOKUP([jobnumber],OvalData[],MATCH(Table2[[#Headers],[endlockweight]],Table2[#Headers],0),0)</f>
        <v>0.17</v>
      </c>
      <c r="BY358" s="2">
        <f>VLOOKUP([jobnumber],OvalData[],MATCH(Table2[[#Headers],[Endlock Total Weight]],Table2[#Headers],0),0)</f>
        <v>7.5972999999999997</v>
      </c>
      <c r="BZ358" s="2">
        <f>VLOOKUP([jobnumber],OvalData[],MATCH(Table2[[#Headers],[Grille Weight]],Table2[#Headers],0),0)</f>
        <v>0</v>
      </c>
      <c r="CA358" s="2">
        <f>VLOOKUP([jobnumber],OvalData[],MATCH(Table2[[#Headers],[barrelrings]],Table2[#Headers],0),0)</f>
        <v>1</v>
      </c>
    </row>
    <row r="359" spans="2:79">
      <c r="B359" s="2" t="str">
        <f>VLOOKUP([jobnumber],OvalData[],MATCH(Table2[[#Headers],[Hand]],Table2[#Headers],0),0)</f>
        <v>RH</v>
      </c>
      <c r="C359" s="2" t="str">
        <f>VLOOKUP([jobnumber],OvalData[],MATCH(Table2[[#Headers],[Model]],Table2[#Headers],0),0)</f>
        <v>SFMPP</v>
      </c>
      <c r="D359" s="2" t="str">
        <f>VLOOKUP([jobnumber],OvalData[],MATCH(Table2[[#Headers],[width]],Table2[#Headers],0),0)</f>
        <v xml:space="preserve"> 18 ft.- 2"</v>
      </c>
      <c r="E359" s="2" t="str">
        <f>VLOOKUP([jobnumber],OvalData[],MATCH(Table2[[#Headers],[stopheight]],Table2[#Headers],0),0)</f>
        <v xml:space="preserve"> 10 ft.- 0"</v>
      </c>
      <c r="F359" s="2" t="str">
        <f>VLOOKUP([jobnumber],OvalData[],MATCH(Table2[[#Headers],[Between Brackets]],Table2[#Headers],0),0)</f>
        <v xml:space="preserve"> 18 ft.- 7 7/ 8"</v>
      </c>
      <c r="G359" s="2" t="str">
        <f>VLOOKUP([jobnumber],OvalData[],MATCH(Table2[[#Headers],[shell]],Table2[#Headers],0),0)</f>
        <v>6 INCH TUBE</v>
      </c>
      <c r="H359" s="2" t="str">
        <f>VLOOKUP([jobnumber],OvalData[],MATCH(Table2[[#Headers],[pipewidth]],Table2[#Headers],0),0)</f>
        <v xml:space="preserve"> 18 ft.- 1 3/ 8"</v>
      </c>
      <c r="I359" s="2">
        <f>VLOOKUP([jobnumber],OvalData[],MATCH(Table2[[#Headers],[Support Tubes]],Table2[#Headers],0),0)</f>
        <v>0</v>
      </c>
      <c r="J359" s="2">
        <f>VLOOKUP([jobnumber],OvalData[],MATCH(Table2[[#Headers],[Upset]],Table2[#Headers],0),0)</f>
        <v>2</v>
      </c>
      <c r="K359" s="2" t="str">
        <f>VLOOKUP([jobnumber],OvalData[],MATCH(Table2[[#Headers],[Guide Type]],Table2[#Headers],0),0)</f>
        <v>SN2-4 5/8-E</v>
      </c>
      <c r="L359" s="2" t="str">
        <f>VLOOKUP([jobnumber],OvalData[],MATCH(Table2[[#Headers],[Wall Angle]],Table2[#Headers],0),0)</f>
        <v xml:space="preserve"> 11 ft.- 8"</v>
      </c>
      <c r="M359" s="2" t="str">
        <f>VLOOKUP([jobnumber],OvalData[],MATCH(Table2[[#Headers],[Middle Angle]],Table2[#Headers],0),0)</f>
        <v xml:space="preserve"> 10 ft.- 4 1/ 2"</v>
      </c>
      <c r="N359" s="2" t="str">
        <f>VLOOKUP([jobnumber],OvalData[],MATCH(Table2[[#Headers],[Front Angle]],Table2[#Headers],0),0)</f>
        <v xml:space="preserve"> 10 ft.- 3"</v>
      </c>
      <c r="O359" s="2">
        <f>VLOOKUP([jobnumber],OvalData[],MATCH(Table2[[#Headers],[Pipe Center Line]],Table2[#Headers],0),0)</f>
        <v>131</v>
      </c>
      <c r="P359" s="2">
        <f>VLOOKUP([jobnumber],OvalData[],MATCH(Table2[[#Headers],[Heat Expansion Gap]],Table2[#Headers],0),0)</f>
        <v>0</v>
      </c>
      <c r="Q359" s="2">
        <f>VLOOKUP([jobnumber],OvalData[],MATCH(Table2[[#Headers],[Hanging Weight Closed]],Table2[#Headers],0),0)</f>
        <v>795</v>
      </c>
      <c r="R359" s="2">
        <f>VLOOKUP([jobnumber],OvalData[],MATCH(Table2[[#Headers],[Hanging Weight Open]],Table2[#Headers],0),0)</f>
        <v>140</v>
      </c>
      <c r="S359" s="2">
        <f>VLOOKUP([jobnumber],OvalData[],MATCH(Table2[[#Headers],[Initial Lever Arm]],Table2[#Headers],0),0)</f>
        <v>4.25</v>
      </c>
      <c r="T359" s="2">
        <f>VLOOKUP([jobnumber],OvalData[],MATCH(Table2[[#Headers],[Turns to Raise]],Table2[#Headers],0),0)</f>
        <v>3.5859999999999999</v>
      </c>
      <c r="U359" s="2">
        <f>VLOOKUP([jobnumber],OvalData[],MATCH(Table2[[#Headers],[Final Lever Arm]],Table2[#Headers],0),0)</f>
        <v>6.37</v>
      </c>
      <c r="V359" s="2">
        <f>VLOOKUP([jobnumber],OvalData[],MATCH(Table2[[#Headers],[Torque Required Closed]],Table2[#Headers],0),0)</f>
        <v>3377.9</v>
      </c>
      <c r="W359" s="2">
        <f>VLOOKUP([jobnumber],OvalData[],MATCH(Table2[[#Headers],[Torque Required Open]],Table2[#Headers],0),0)</f>
        <v>892</v>
      </c>
      <c r="X359" s="2">
        <f>VLOOKUP([jobnumber],OvalData[],MATCH(Table2[[#Headers],[Pre Turns]],Table2[#Headers],0),0)</f>
        <v>1.3332999999999999</v>
      </c>
      <c r="Y359" s="2">
        <f>VLOOKUP([jobnumber],OvalData[],MATCH(Table2[[#Headers],[Required Torque Per Turn]],Table2[#Headers],0),0)</f>
        <v>688</v>
      </c>
      <c r="Z359" s="2">
        <f>VLOOKUP([jobnumber],OvalData[],MATCH(Table2[[#Headers],[Total Turns]],Table2[#Headers],0),0)</f>
        <v>4.91</v>
      </c>
      <c r="AA359" s="2">
        <f>VLOOKUP([jobnumber],OvalData[],MATCH(Table2[[#Headers],[Grille Vision Section]],Table2[#Headers],0),0)</f>
        <v>0</v>
      </c>
      <c r="AB359" s="2">
        <f>VLOOKUP([jobnumber],OvalData[],MATCH(Table2[[#Headers],[Grille Amount]],Table2[#Headers],0),0)</f>
        <v>0</v>
      </c>
      <c r="AC359" s="2">
        <f>VLOOKUP([jobnumber],OvalData[],MATCH(Table2[[#Headers],[Grille Center]],Table2[#Headers],0),0)</f>
        <v>0</v>
      </c>
      <c r="AD359" s="2">
        <f>VLOOKUP([jobnumber],OvalData[],MATCH(Table2[[#Headers],[Grille Pattern]],Table2[#Headers],0),0)</f>
        <v>0</v>
      </c>
      <c r="AE359" s="2">
        <f>VLOOKUP([jobnumber],OvalData[],MATCH(Table2[[#Headers],[Grille First Tube]],Table2[#Headers],0),0)</f>
        <v>0</v>
      </c>
      <c r="AF359" s="2">
        <f>VLOOKUP([jobnumber],OvalData[],MATCH(Table2[[#Headers],[Grille Standard Tube]],Table2[#Headers],0),0)</f>
        <v>0</v>
      </c>
      <c r="AG359" s="2">
        <f>VLOOKUP([jobnumber],OvalData[],MATCH(Table2[[#Headers],[Grille Total Links]],Table2[#Headers],0),0)</f>
        <v>0</v>
      </c>
      <c r="AH359" s="2">
        <f>VLOOKUP([jobnumber],OvalData[],MATCH(Table2[[#Headers],[Grille Rods]],Table2[#Headers],0),0)</f>
        <v>0</v>
      </c>
      <c r="AI359" s="2">
        <f>VLOOKUP([jobnumber],OvalData[],MATCH(Table2[[#Headers],[Grille Rod Length]],Table2[#Headers],0),0)</f>
        <v>0</v>
      </c>
      <c r="AJ359" s="2">
        <f>VLOOKUP([jobnumber],OvalData[],MATCH(Table2[[#Headers],[slattype]],Table2[#Headers],0),0)</f>
        <v>2</v>
      </c>
      <c r="AK359" s="2">
        <f>VLOOKUP([jobnumber],OvalData[],MATCH(Table2[[#Headers],[slatgage]],Table2[#Headers],0),0)</f>
        <v>18</v>
      </c>
      <c r="AL359" s="2">
        <f>VLOOKUP([jobnumber],OvalData[],MATCH(Table2[[#Headers],[Numer of Top Slats]],Table2[#Headers],0),0)</f>
        <v>0</v>
      </c>
      <c r="AM359" s="2">
        <f>VLOOKUP([jobnumber],OvalData[],MATCH(Table2[[#Headers],[Number of Bottom Slats]],Table2[#Headers],0),0)</f>
        <v>0</v>
      </c>
      <c r="AN359" s="2">
        <f>VLOOKUP([jobnumber],OvalData[],MATCH(Table2[[#Headers],[Solid Bottom Height]],Table2[#Headers],0),0)</f>
        <v>0</v>
      </c>
      <c r="AO359" s="2" t="str">
        <f>VLOOKUP([jobnumber],OvalData[],MATCH(Table2[[#Headers],[slatlength]],Table2[#Headers],0),0)</f>
        <v xml:space="preserve"> 18 ft.- 5 7/ 8"</v>
      </c>
      <c r="AP359" s="2">
        <f>VLOOKUP([jobnumber],OvalData[],MATCH(Table2[[#Headers],[Bottom Slat Length]],Table2[#Headers],0),0)</f>
        <v>0</v>
      </c>
      <c r="AQ359" s="2">
        <f>VLOOKUP([jobnumber],OvalData[],MATCH(Table2[[#Headers],[Number of Perferated Slats]],Table2[#Headers],0),0)</f>
        <v>0</v>
      </c>
      <c r="AR359" s="2">
        <f>VLOOKUP([jobnumber],OvalData[],MATCH(Table2[[#Headers],[First Preferated Slat From End]],Table2[#Headers],0),0)</f>
        <v>0</v>
      </c>
      <c r="AS359" s="2">
        <f>VLOOKUP([jobnumber],OvalData[],MATCH(Table2[[#Headers],[First Preferated Slat From Bottom]],Table2[#Headers],0),0)</f>
        <v>0</v>
      </c>
      <c r="AT359" s="2">
        <f>VLOOKUP([jobnumber],OvalData[],MATCH(Table2[[#Headers],[Total Number of Slats]],Table2[#Headers],0),0)</f>
        <v>51</v>
      </c>
      <c r="AU359" s="2">
        <f>VLOOKUP([jobnumber],OvalData[],MATCH(Table2[[#Headers],[Bottom Bar Slope]],Table2[#Headers],0),0)</f>
        <v>0</v>
      </c>
      <c r="AV359" s="2">
        <f>VLOOKUP([jobnumber],OvalData[],MATCH(Table2[[#Headers],[Bottom Bar Weight]],Table2[#Headers],0),0)</f>
        <v>80.5</v>
      </c>
      <c r="AW359" s="2" t="str">
        <f>VLOOKUP([jobnumber],OvalData[],MATCH(Table2[[#Headers],[Outer Spring Gage]],Table2[#Headers],0),0)</f>
        <v>Null</v>
      </c>
      <c r="AX359" s="2" t="str">
        <f>VLOOKUP([jobnumber],OvalData[],MATCH(Table2[[#Headers],[Outer Spring OD]],Table2[#Headers],0),0)</f>
        <v>Null</v>
      </c>
      <c r="AY359" s="2" t="str">
        <f>VLOOKUP([jobnumber],OvalData[],MATCH(Table2[[#Headers],[Outer Spring Length]],Table2[#Headers],0),0)</f>
        <v>Null</v>
      </c>
      <c r="AZ359" s="2" t="str">
        <f>VLOOKUP([jobnumber],OvalData[],MATCH(Table2[[#Headers],[Outer Spring Stretch]],Table2[#Headers],0),0)</f>
        <v>Null</v>
      </c>
      <c r="BA359" s="2" t="str">
        <f>VLOOKUP([jobnumber],OvalData[],MATCH(Table2[[#Headers],[Outer Spring Torque]],Table2[#Headers],0),0)</f>
        <v>Null</v>
      </c>
      <c r="BB359" s="2" t="str">
        <f>VLOOKUP([jobnumber],OvalData[],MATCH(Table2[[#Headers],[Outer Spring Max Turns]],Table2[#Headers],0),0)</f>
        <v>Null</v>
      </c>
      <c r="BC359" s="2" t="str">
        <f>VLOOKUP([jobnumber],OvalData[],MATCH(Table2[[#Headers],[Outer Spring Weight]],Table2[#Headers],0),0)</f>
        <v>Null</v>
      </c>
      <c r="BD359" s="2" t="str">
        <f>VLOOKUP([jobnumber],OvalData[],MATCH(Table2[[#Headers],[Inner Spring Gage]],Table2[#Headers],0),0)</f>
        <v>Null</v>
      </c>
      <c r="BE359" s="2" t="str">
        <f>VLOOKUP([jobnumber],OvalData[],MATCH(Table2[[#Headers],[Inner Spring OD]],Table2[#Headers],0),0)</f>
        <v>Null</v>
      </c>
      <c r="BF359" s="2" t="str">
        <f>VLOOKUP([jobnumber],OvalData[],MATCH(Table2[[#Headers],[Inner Spring Length]],Table2[#Headers],0),0)</f>
        <v>Null</v>
      </c>
      <c r="BG359" s="2" t="str">
        <f>VLOOKUP([jobnumber],OvalData[],MATCH(Table2[[#Headers],[Inner Spring Stretch]],Table2[#Headers],0),0)</f>
        <v>Null</v>
      </c>
      <c r="BH359" s="2" t="str">
        <f>VLOOKUP([jobnumber],OvalData[],MATCH(Table2[[#Headers],[Inner Spring Torque]],Table2[#Headers],0),0)</f>
        <v>Null</v>
      </c>
      <c r="BI359" s="2" t="str">
        <f>VLOOKUP([jobnumber],OvalData[],MATCH(Table2[[#Headers],[Inner Spring Max Turns]],Table2[#Headers],0),0)</f>
        <v>Null</v>
      </c>
      <c r="BJ359" s="2" t="str">
        <f>VLOOKUP([jobnumber],OvalData[],MATCH(Table2[[#Headers],[Inner Spring Weight]],Table2[#Headers],0),0)</f>
        <v>Null</v>
      </c>
      <c r="BK359" s="2">
        <f>VLOOKUP([jobnumber],OvalData[],MATCH(Table2[[#Headers],[Cycles]],Table2[#Headers],0),0)</f>
        <v>0</v>
      </c>
      <c r="BL359" s="2">
        <f>VLOOKUP([jobnumber],OvalData[],MATCH(Table2[[#Headers],[Total Spring Torque]],Table2[#Headers],0),0)</f>
        <v>0</v>
      </c>
      <c r="BM359" s="2">
        <f>VLOOKUP([jobnumber],OvalData[],MATCH(Table2[[#Headers],[Total Spring Weight]],Table2[#Headers],0),0)</f>
        <v>0</v>
      </c>
      <c r="BN359" s="2">
        <f>VLOOKUP([jobnumber],OvalData[],MATCH(Table2[[#Headers],[Pipe Weight]],Table2[#Headers],0),0)</f>
        <v>688.24239999999998</v>
      </c>
      <c r="BO359" s="2">
        <f>VLOOKUP([jobnumber],OvalData[],MATCH(Table2[[#Headers],[Max Pipe Deflection]],Table2[#Headers],0),0)</f>
        <v>2309</v>
      </c>
      <c r="BP359" s="2">
        <f>VLOOKUP([jobnumber],OvalData[],MATCH(Table2[[#Headers],[Number Non-Insulated Wrap Slats]],Table2[#Headers],0),0)</f>
        <v>0</v>
      </c>
      <c r="BQ359" s="2">
        <f>VLOOKUP([jobnumber],OvalData[],MATCH(Table2[[#Headers],[Number of Insolated Top Slats]],Table2[#Headers],0),0)</f>
        <v>45</v>
      </c>
      <c r="BR359" s="2">
        <f>VLOOKUP([jobnumber],OvalData[],MATCH(Table2[[#Headers],[Insolated Total Slats]],Table2[#Headers],0),0)</f>
        <v>45</v>
      </c>
      <c r="BS359" s="2">
        <f>VLOOKUP([jobnumber],OvalData[],MATCH(Table2[[#Headers],[Number of Slats]],Table2[#Headers],0),0)</f>
        <v>44.69</v>
      </c>
      <c r="BT359" s="2">
        <f>VLOOKUP([jobnumber],OvalData[],MATCH(Table2[[#Headers],[Wrap]],Table2[#Headers],0),0)</f>
        <v>0</v>
      </c>
      <c r="BU359" s="2">
        <f>VLOOKUP([jobnumber],OvalData[],MATCH(Table2[[#Headers],[Wall Angle Thickness]],Table2[#Headers],0),0)</f>
        <v>0</v>
      </c>
      <c r="BV359" s="2">
        <f>VLOOKUP([jobnumber],OvalData[],MATCH(Table2[[#Headers],[windlocks]],Table2[#Headers],0),0)</f>
        <v>0</v>
      </c>
      <c r="BW359" s="2" t="str">
        <f>VLOOKUP([jobnumber],OvalData[],MATCH(Table2[[#Headers],[bottombartype]],Table2[#Headers],0),0)</f>
        <v>SPECIAL</v>
      </c>
      <c r="BX359" s="2">
        <f>VLOOKUP([jobnumber],OvalData[],MATCH(Table2[[#Headers],[endlockweight]],Table2[#Headers],0),0)</f>
        <v>0.17</v>
      </c>
      <c r="BY359" s="2">
        <f>VLOOKUP([jobnumber],OvalData[],MATCH(Table2[[#Headers],[Endlock Total Weight]],Table2[#Headers],0),0)</f>
        <v>7.5972999999999997</v>
      </c>
      <c r="BZ359" s="2">
        <f>VLOOKUP([jobnumber],OvalData[],MATCH(Table2[[#Headers],[Grille Weight]],Table2[#Headers],0),0)</f>
        <v>0</v>
      </c>
      <c r="CA359" s="2">
        <f>VLOOKUP([jobnumber],OvalData[],MATCH(Table2[[#Headers],[barrelrings]],Table2[#Headers],0),0)</f>
        <v>1</v>
      </c>
    </row>
    <row r="360" spans="2:79">
      <c r="B360" s="2" t="str">
        <f>VLOOKUP([jobnumber],OvalData[],MATCH(Table2[[#Headers],[Hand]],Table2[#Headers],0),0)</f>
        <v>RH</v>
      </c>
      <c r="C360" s="2" t="str">
        <f>VLOOKUP([jobnumber],OvalData[],MATCH(Table2[[#Headers],[Model]],Table2[#Headers],0),0)</f>
        <v>SFMPP</v>
      </c>
      <c r="D360" s="2" t="str">
        <f>VLOOKUP([jobnumber],OvalData[],MATCH(Table2[[#Headers],[width]],Table2[#Headers],0),0)</f>
        <v xml:space="preserve"> 18 ft.- 2"</v>
      </c>
      <c r="E360" s="2" t="str">
        <f>VLOOKUP([jobnumber],OvalData[],MATCH(Table2[[#Headers],[stopheight]],Table2[#Headers],0),0)</f>
        <v xml:space="preserve"> 10 ft.- 0"</v>
      </c>
      <c r="F360" s="2" t="str">
        <f>VLOOKUP([jobnumber],OvalData[],MATCH(Table2[[#Headers],[Between Brackets]],Table2[#Headers],0),0)</f>
        <v xml:space="preserve"> 18 ft.- 7 7/ 8"</v>
      </c>
      <c r="G360" s="2" t="str">
        <f>VLOOKUP([jobnumber],OvalData[],MATCH(Table2[[#Headers],[shell]],Table2[#Headers],0),0)</f>
        <v>6 INCH TUBE</v>
      </c>
      <c r="H360" s="2" t="str">
        <f>VLOOKUP([jobnumber],OvalData[],MATCH(Table2[[#Headers],[pipewidth]],Table2[#Headers],0),0)</f>
        <v xml:space="preserve"> 18 ft.- 1 3/ 8"</v>
      </c>
      <c r="I360" s="2">
        <f>VLOOKUP([jobnumber],OvalData[],MATCH(Table2[[#Headers],[Support Tubes]],Table2[#Headers],0),0)</f>
        <v>0</v>
      </c>
      <c r="J360" s="2">
        <f>VLOOKUP([jobnumber],OvalData[],MATCH(Table2[[#Headers],[Upset]],Table2[#Headers],0),0)</f>
        <v>2</v>
      </c>
      <c r="K360" s="2" t="str">
        <f>VLOOKUP([jobnumber],OvalData[],MATCH(Table2[[#Headers],[Guide Type]],Table2[#Headers],0),0)</f>
        <v>SN2-4 5/8-E</v>
      </c>
      <c r="L360" s="2" t="str">
        <f>VLOOKUP([jobnumber],OvalData[],MATCH(Table2[[#Headers],[Wall Angle]],Table2[#Headers],0),0)</f>
        <v xml:space="preserve"> 11 ft.- 8"</v>
      </c>
      <c r="M360" s="2" t="str">
        <f>VLOOKUP([jobnumber],OvalData[],MATCH(Table2[[#Headers],[Middle Angle]],Table2[#Headers],0),0)</f>
        <v xml:space="preserve"> 10 ft.- 4 1/ 2"</v>
      </c>
      <c r="N360" s="2" t="str">
        <f>VLOOKUP([jobnumber],OvalData[],MATCH(Table2[[#Headers],[Front Angle]],Table2[#Headers],0),0)</f>
        <v xml:space="preserve"> 10 ft.- 3"</v>
      </c>
      <c r="O360" s="2">
        <f>VLOOKUP([jobnumber],OvalData[],MATCH(Table2[[#Headers],[Pipe Center Line]],Table2[#Headers],0),0)</f>
        <v>131</v>
      </c>
      <c r="P360" s="2">
        <f>VLOOKUP([jobnumber],OvalData[],MATCH(Table2[[#Headers],[Heat Expansion Gap]],Table2[#Headers],0),0)</f>
        <v>0</v>
      </c>
      <c r="Q360" s="2">
        <f>VLOOKUP([jobnumber],OvalData[],MATCH(Table2[[#Headers],[Hanging Weight Closed]],Table2[#Headers],0),0)</f>
        <v>795</v>
      </c>
      <c r="R360" s="2">
        <f>VLOOKUP([jobnumber],OvalData[],MATCH(Table2[[#Headers],[Hanging Weight Open]],Table2[#Headers],0),0)</f>
        <v>140</v>
      </c>
      <c r="S360" s="2">
        <f>VLOOKUP([jobnumber],OvalData[],MATCH(Table2[[#Headers],[Initial Lever Arm]],Table2[#Headers],0),0)</f>
        <v>4.25</v>
      </c>
      <c r="T360" s="2">
        <f>VLOOKUP([jobnumber],OvalData[],MATCH(Table2[[#Headers],[Turns to Raise]],Table2[#Headers],0),0)</f>
        <v>3.5859999999999999</v>
      </c>
      <c r="U360" s="2">
        <f>VLOOKUP([jobnumber],OvalData[],MATCH(Table2[[#Headers],[Final Lever Arm]],Table2[#Headers],0),0)</f>
        <v>6.37</v>
      </c>
      <c r="V360" s="2">
        <f>VLOOKUP([jobnumber],OvalData[],MATCH(Table2[[#Headers],[Torque Required Closed]],Table2[#Headers],0),0)</f>
        <v>3377.9</v>
      </c>
      <c r="W360" s="2">
        <f>VLOOKUP([jobnumber],OvalData[],MATCH(Table2[[#Headers],[Torque Required Open]],Table2[#Headers],0),0)</f>
        <v>892</v>
      </c>
      <c r="X360" s="2">
        <f>VLOOKUP([jobnumber],OvalData[],MATCH(Table2[[#Headers],[Pre Turns]],Table2[#Headers],0),0)</f>
        <v>1.3332999999999999</v>
      </c>
      <c r="Y360" s="2">
        <f>VLOOKUP([jobnumber],OvalData[],MATCH(Table2[[#Headers],[Required Torque Per Turn]],Table2[#Headers],0),0)</f>
        <v>688</v>
      </c>
      <c r="Z360" s="2">
        <f>VLOOKUP([jobnumber],OvalData[],MATCH(Table2[[#Headers],[Total Turns]],Table2[#Headers],0),0)</f>
        <v>4.91</v>
      </c>
      <c r="AA360" s="2">
        <f>VLOOKUP([jobnumber],OvalData[],MATCH(Table2[[#Headers],[Grille Vision Section]],Table2[#Headers],0),0)</f>
        <v>0</v>
      </c>
      <c r="AB360" s="2">
        <f>VLOOKUP([jobnumber],OvalData[],MATCH(Table2[[#Headers],[Grille Amount]],Table2[#Headers],0),0)</f>
        <v>0</v>
      </c>
      <c r="AC360" s="2">
        <f>VLOOKUP([jobnumber],OvalData[],MATCH(Table2[[#Headers],[Grille Center]],Table2[#Headers],0),0)</f>
        <v>0</v>
      </c>
      <c r="AD360" s="2">
        <f>VLOOKUP([jobnumber],OvalData[],MATCH(Table2[[#Headers],[Grille Pattern]],Table2[#Headers],0),0)</f>
        <v>0</v>
      </c>
      <c r="AE360" s="2">
        <f>VLOOKUP([jobnumber],OvalData[],MATCH(Table2[[#Headers],[Grille First Tube]],Table2[#Headers],0),0)</f>
        <v>0</v>
      </c>
      <c r="AF360" s="2">
        <f>VLOOKUP([jobnumber],OvalData[],MATCH(Table2[[#Headers],[Grille Standard Tube]],Table2[#Headers],0),0)</f>
        <v>0</v>
      </c>
      <c r="AG360" s="2">
        <f>VLOOKUP([jobnumber],OvalData[],MATCH(Table2[[#Headers],[Grille Total Links]],Table2[#Headers],0),0)</f>
        <v>0</v>
      </c>
      <c r="AH360" s="2">
        <f>VLOOKUP([jobnumber],OvalData[],MATCH(Table2[[#Headers],[Grille Rods]],Table2[#Headers],0),0)</f>
        <v>0</v>
      </c>
      <c r="AI360" s="2">
        <f>VLOOKUP([jobnumber],OvalData[],MATCH(Table2[[#Headers],[Grille Rod Length]],Table2[#Headers],0),0)</f>
        <v>0</v>
      </c>
      <c r="AJ360" s="2">
        <f>VLOOKUP([jobnumber],OvalData[],MATCH(Table2[[#Headers],[slattype]],Table2[#Headers],0),0)</f>
        <v>2</v>
      </c>
      <c r="AK360" s="2">
        <f>VLOOKUP([jobnumber],OvalData[],MATCH(Table2[[#Headers],[slatgage]],Table2[#Headers],0),0)</f>
        <v>18</v>
      </c>
      <c r="AL360" s="2">
        <f>VLOOKUP([jobnumber],OvalData[],MATCH(Table2[[#Headers],[Numer of Top Slats]],Table2[#Headers],0),0)</f>
        <v>0</v>
      </c>
      <c r="AM360" s="2">
        <f>VLOOKUP([jobnumber],OvalData[],MATCH(Table2[[#Headers],[Number of Bottom Slats]],Table2[#Headers],0),0)</f>
        <v>0</v>
      </c>
      <c r="AN360" s="2">
        <f>VLOOKUP([jobnumber],OvalData[],MATCH(Table2[[#Headers],[Solid Bottom Height]],Table2[#Headers],0),0)</f>
        <v>0</v>
      </c>
      <c r="AO360" s="2" t="str">
        <f>VLOOKUP([jobnumber],OvalData[],MATCH(Table2[[#Headers],[slatlength]],Table2[#Headers],0),0)</f>
        <v xml:space="preserve"> 18 ft.- 5 7/ 8"</v>
      </c>
      <c r="AP360" s="2">
        <f>VLOOKUP([jobnumber],OvalData[],MATCH(Table2[[#Headers],[Bottom Slat Length]],Table2[#Headers],0),0)</f>
        <v>0</v>
      </c>
      <c r="AQ360" s="2">
        <f>VLOOKUP([jobnumber],OvalData[],MATCH(Table2[[#Headers],[Number of Perferated Slats]],Table2[#Headers],0),0)</f>
        <v>0</v>
      </c>
      <c r="AR360" s="2">
        <f>VLOOKUP([jobnumber],OvalData[],MATCH(Table2[[#Headers],[First Preferated Slat From End]],Table2[#Headers],0),0)</f>
        <v>0</v>
      </c>
      <c r="AS360" s="2">
        <f>VLOOKUP([jobnumber],OvalData[],MATCH(Table2[[#Headers],[First Preferated Slat From Bottom]],Table2[#Headers],0),0)</f>
        <v>0</v>
      </c>
      <c r="AT360" s="2">
        <f>VLOOKUP([jobnumber],OvalData[],MATCH(Table2[[#Headers],[Total Number of Slats]],Table2[#Headers],0),0)</f>
        <v>51</v>
      </c>
      <c r="AU360" s="2">
        <f>VLOOKUP([jobnumber],OvalData[],MATCH(Table2[[#Headers],[Bottom Bar Slope]],Table2[#Headers],0),0)</f>
        <v>0</v>
      </c>
      <c r="AV360" s="2">
        <f>VLOOKUP([jobnumber],OvalData[],MATCH(Table2[[#Headers],[Bottom Bar Weight]],Table2[#Headers],0),0)</f>
        <v>80.5</v>
      </c>
      <c r="AW360" s="2" t="str">
        <f>VLOOKUP([jobnumber],OvalData[],MATCH(Table2[[#Headers],[Outer Spring Gage]],Table2[#Headers],0),0)</f>
        <v>Null</v>
      </c>
      <c r="AX360" s="2" t="str">
        <f>VLOOKUP([jobnumber],OvalData[],MATCH(Table2[[#Headers],[Outer Spring OD]],Table2[#Headers],0),0)</f>
        <v>Null</v>
      </c>
      <c r="AY360" s="2" t="str">
        <f>VLOOKUP([jobnumber],OvalData[],MATCH(Table2[[#Headers],[Outer Spring Length]],Table2[#Headers],0),0)</f>
        <v>Null</v>
      </c>
      <c r="AZ360" s="2" t="str">
        <f>VLOOKUP([jobnumber],OvalData[],MATCH(Table2[[#Headers],[Outer Spring Stretch]],Table2[#Headers],0),0)</f>
        <v>Null</v>
      </c>
      <c r="BA360" s="2" t="str">
        <f>VLOOKUP([jobnumber],OvalData[],MATCH(Table2[[#Headers],[Outer Spring Torque]],Table2[#Headers],0),0)</f>
        <v>Null</v>
      </c>
      <c r="BB360" s="2" t="str">
        <f>VLOOKUP([jobnumber],OvalData[],MATCH(Table2[[#Headers],[Outer Spring Max Turns]],Table2[#Headers],0),0)</f>
        <v>Null</v>
      </c>
      <c r="BC360" s="2" t="str">
        <f>VLOOKUP([jobnumber],OvalData[],MATCH(Table2[[#Headers],[Outer Spring Weight]],Table2[#Headers],0),0)</f>
        <v>Null</v>
      </c>
      <c r="BD360" s="2" t="str">
        <f>VLOOKUP([jobnumber],OvalData[],MATCH(Table2[[#Headers],[Inner Spring Gage]],Table2[#Headers],0),0)</f>
        <v>Null</v>
      </c>
      <c r="BE360" s="2" t="str">
        <f>VLOOKUP([jobnumber],OvalData[],MATCH(Table2[[#Headers],[Inner Spring OD]],Table2[#Headers],0),0)</f>
        <v>Null</v>
      </c>
      <c r="BF360" s="2" t="str">
        <f>VLOOKUP([jobnumber],OvalData[],MATCH(Table2[[#Headers],[Inner Spring Length]],Table2[#Headers],0),0)</f>
        <v>Null</v>
      </c>
      <c r="BG360" s="2" t="str">
        <f>VLOOKUP([jobnumber],OvalData[],MATCH(Table2[[#Headers],[Inner Spring Stretch]],Table2[#Headers],0),0)</f>
        <v>Null</v>
      </c>
      <c r="BH360" s="2" t="str">
        <f>VLOOKUP([jobnumber],OvalData[],MATCH(Table2[[#Headers],[Inner Spring Torque]],Table2[#Headers],0),0)</f>
        <v>Null</v>
      </c>
      <c r="BI360" s="2" t="str">
        <f>VLOOKUP([jobnumber],OvalData[],MATCH(Table2[[#Headers],[Inner Spring Max Turns]],Table2[#Headers],0),0)</f>
        <v>Null</v>
      </c>
      <c r="BJ360" s="2" t="str">
        <f>VLOOKUP([jobnumber],OvalData[],MATCH(Table2[[#Headers],[Inner Spring Weight]],Table2[#Headers],0),0)</f>
        <v>Null</v>
      </c>
      <c r="BK360" s="2">
        <f>VLOOKUP([jobnumber],OvalData[],MATCH(Table2[[#Headers],[Cycles]],Table2[#Headers],0),0)</f>
        <v>0</v>
      </c>
      <c r="BL360" s="2">
        <f>VLOOKUP([jobnumber],OvalData[],MATCH(Table2[[#Headers],[Total Spring Torque]],Table2[#Headers],0),0)</f>
        <v>0</v>
      </c>
      <c r="BM360" s="2">
        <f>VLOOKUP([jobnumber],OvalData[],MATCH(Table2[[#Headers],[Total Spring Weight]],Table2[#Headers],0),0)</f>
        <v>0</v>
      </c>
      <c r="BN360" s="2">
        <f>VLOOKUP([jobnumber],OvalData[],MATCH(Table2[[#Headers],[Pipe Weight]],Table2[#Headers],0),0)</f>
        <v>688.24239999999998</v>
      </c>
      <c r="BO360" s="2">
        <f>VLOOKUP([jobnumber],OvalData[],MATCH(Table2[[#Headers],[Max Pipe Deflection]],Table2[#Headers],0),0)</f>
        <v>2309</v>
      </c>
      <c r="BP360" s="2">
        <f>VLOOKUP([jobnumber],OvalData[],MATCH(Table2[[#Headers],[Number Non-Insulated Wrap Slats]],Table2[#Headers],0),0)</f>
        <v>0</v>
      </c>
      <c r="BQ360" s="2">
        <f>VLOOKUP([jobnumber],OvalData[],MATCH(Table2[[#Headers],[Number of Insolated Top Slats]],Table2[#Headers],0),0)</f>
        <v>45</v>
      </c>
      <c r="BR360" s="2">
        <f>VLOOKUP([jobnumber],OvalData[],MATCH(Table2[[#Headers],[Insolated Total Slats]],Table2[#Headers],0),0)</f>
        <v>45</v>
      </c>
      <c r="BS360" s="2">
        <f>VLOOKUP([jobnumber],OvalData[],MATCH(Table2[[#Headers],[Number of Slats]],Table2[#Headers],0),0)</f>
        <v>44.69</v>
      </c>
      <c r="BT360" s="2">
        <f>VLOOKUP([jobnumber],OvalData[],MATCH(Table2[[#Headers],[Wrap]],Table2[#Headers],0),0)</f>
        <v>0</v>
      </c>
      <c r="BU360" s="2">
        <f>VLOOKUP([jobnumber],OvalData[],MATCH(Table2[[#Headers],[Wall Angle Thickness]],Table2[#Headers],0),0)</f>
        <v>0</v>
      </c>
      <c r="BV360" s="2">
        <f>VLOOKUP([jobnumber],OvalData[],MATCH(Table2[[#Headers],[windlocks]],Table2[#Headers],0),0)</f>
        <v>0</v>
      </c>
      <c r="BW360" s="2" t="str">
        <f>VLOOKUP([jobnumber],OvalData[],MATCH(Table2[[#Headers],[bottombartype]],Table2[#Headers],0),0)</f>
        <v>SPECIAL</v>
      </c>
      <c r="BX360" s="2">
        <f>VLOOKUP([jobnumber],OvalData[],MATCH(Table2[[#Headers],[endlockweight]],Table2[#Headers],0),0)</f>
        <v>0.17</v>
      </c>
      <c r="BY360" s="2">
        <f>VLOOKUP([jobnumber],OvalData[],MATCH(Table2[[#Headers],[Endlock Total Weight]],Table2[#Headers],0),0)</f>
        <v>7.5972999999999997</v>
      </c>
      <c r="BZ360" s="2">
        <f>VLOOKUP([jobnumber],OvalData[],MATCH(Table2[[#Headers],[Grille Weight]],Table2[#Headers],0),0)</f>
        <v>0</v>
      </c>
      <c r="CA360" s="2">
        <f>VLOOKUP([jobnumber],OvalData[],MATCH(Table2[[#Headers],[barrelrings]],Table2[#Headers],0),0)</f>
        <v>1</v>
      </c>
    </row>
    <row r="361" spans="2:79">
      <c r="B361" s="2" t="str">
        <f>VLOOKUP([jobnumber],OvalData[],MATCH(Table2[[#Headers],[Hand]],Table2[#Headers],0),0)</f>
        <v>RH</v>
      </c>
      <c r="C361" s="2" t="str">
        <f>VLOOKUP([jobnumber],OvalData[],MATCH(Table2[[#Headers],[Model]],Table2[#Headers],0),0)</f>
        <v>SFMPP</v>
      </c>
      <c r="D361" s="2" t="str">
        <f>VLOOKUP([jobnumber],OvalData[],MATCH(Table2[[#Headers],[width]],Table2[#Headers],0),0)</f>
        <v xml:space="preserve"> 18 ft.- 2"</v>
      </c>
      <c r="E361" s="2" t="str">
        <f>VLOOKUP([jobnumber],OvalData[],MATCH(Table2[[#Headers],[stopheight]],Table2[#Headers],0),0)</f>
        <v xml:space="preserve"> 10 ft.- 0"</v>
      </c>
      <c r="F361" s="2" t="str">
        <f>VLOOKUP([jobnumber],OvalData[],MATCH(Table2[[#Headers],[Between Brackets]],Table2[#Headers],0),0)</f>
        <v xml:space="preserve"> 18 ft.- 7 7/ 8"</v>
      </c>
      <c r="G361" s="2" t="str">
        <f>VLOOKUP([jobnumber],OvalData[],MATCH(Table2[[#Headers],[shell]],Table2[#Headers],0),0)</f>
        <v>6 INCH TUBE</v>
      </c>
      <c r="H361" s="2" t="str">
        <f>VLOOKUP([jobnumber],OvalData[],MATCH(Table2[[#Headers],[pipewidth]],Table2[#Headers],0),0)</f>
        <v xml:space="preserve"> 18 ft.- 1 3/ 8"</v>
      </c>
      <c r="I361" s="2">
        <f>VLOOKUP([jobnumber],OvalData[],MATCH(Table2[[#Headers],[Support Tubes]],Table2[#Headers],0),0)</f>
        <v>0</v>
      </c>
      <c r="J361" s="2">
        <f>VLOOKUP([jobnumber],OvalData[],MATCH(Table2[[#Headers],[Upset]],Table2[#Headers],0),0)</f>
        <v>2</v>
      </c>
      <c r="K361" s="2" t="str">
        <f>VLOOKUP([jobnumber],OvalData[],MATCH(Table2[[#Headers],[Guide Type]],Table2[#Headers],0),0)</f>
        <v>SN2-4 5/8-E</v>
      </c>
      <c r="L361" s="2" t="str">
        <f>VLOOKUP([jobnumber],OvalData[],MATCH(Table2[[#Headers],[Wall Angle]],Table2[#Headers],0),0)</f>
        <v xml:space="preserve"> 11 ft.- 8"</v>
      </c>
      <c r="M361" s="2" t="str">
        <f>VLOOKUP([jobnumber],OvalData[],MATCH(Table2[[#Headers],[Middle Angle]],Table2[#Headers],0),0)</f>
        <v xml:space="preserve"> 10 ft.- 4 1/ 2"</v>
      </c>
      <c r="N361" s="2" t="str">
        <f>VLOOKUP([jobnumber],OvalData[],MATCH(Table2[[#Headers],[Front Angle]],Table2[#Headers],0),0)</f>
        <v xml:space="preserve"> 10 ft.- 3"</v>
      </c>
      <c r="O361" s="2">
        <f>VLOOKUP([jobnumber],OvalData[],MATCH(Table2[[#Headers],[Pipe Center Line]],Table2[#Headers],0),0)</f>
        <v>131</v>
      </c>
      <c r="P361" s="2">
        <f>VLOOKUP([jobnumber],OvalData[],MATCH(Table2[[#Headers],[Heat Expansion Gap]],Table2[#Headers],0),0)</f>
        <v>0</v>
      </c>
      <c r="Q361" s="2">
        <f>VLOOKUP([jobnumber],OvalData[],MATCH(Table2[[#Headers],[Hanging Weight Closed]],Table2[#Headers],0),0)</f>
        <v>795</v>
      </c>
      <c r="R361" s="2">
        <f>VLOOKUP([jobnumber],OvalData[],MATCH(Table2[[#Headers],[Hanging Weight Open]],Table2[#Headers],0),0)</f>
        <v>140</v>
      </c>
      <c r="S361" s="2">
        <f>VLOOKUP([jobnumber],OvalData[],MATCH(Table2[[#Headers],[Initial Lever Arm]],Table2[#Headers],0),0)</f>
        <v>4.25</v>
      </c>
      <c r="T361" s="2">
        <f>VLOOKUP([jobnumber],OvalData[],MATCH(Table2[[#Headers],[Turns to Raise]],Table2[#Headers],0),0)</f>
        <v>3.5859999999999999</v>
      </c>
      <c r="U361" s="2">
        <f>VLOOKUP([jobnumber],OvalData[],MATCH(Table2[[#Headers],[Final Lever Arm]],Table2[#Headers],0),0)</f>
        <v>6.37</v>
      </c>
      <c r="V361" s="2">
        <f>VLOOKUP([jobnumber],OvalData[],MATCH(Table2[[#Headers],[Torque Required Closed]],Table2[#Headers],0),0)</f>
        <v>3377.9</v>
      </c>
      <c r="W361" s="2">
        <f>VLOOKUP([jobnumber],OvalData[],MATCH(Table2[[#Headers],[Torque Required Open]],Table2[#Headers],0),0)</f>
        <v>892</v>
      </c>
      <c r="X361" s="2">
        <f>VLOOKUP([jobnumber],OvalData[],MATCH(Table2[[#Headers],[Pre Turns]],Table2[#Headers],0),0)</f>
        <v>1.3332999999999999</v>
      </c>
      <c r="Y361" s="2">
        <f>VLOOKUP([jobnumber],OvalData[],MATCH(Table2[[#Headers],[Required Torque Per Turn]],Table2[#Headers],0),0)</f>
        <v>688</v>
      </c>
      <c r="Z361" s="2">
        <f>VLOOKUP([jobnumber],OvalData[],MATCH(Table2[[#Headers],[Total Turns]],Table2[#Headers],0),0)</f>
        <v>4.91</v>
      </c>
      <c r="AA361" s="2">
        <f>VLOOKUP([jobnumber],OvalData[],MATCH(Table2[[#Headers],[Grille Vision Section]],Table2[#Headers],0),0)</f>
        <v>0</v>
      </c>
      <c r="AB361" s="2">
        <f>VLOOKUP([jobnumber],OvalData[],MATCH(Table2[[#Headers],[Grille Amount]],Table2[#Headers],0),0)</f>
        <v>0</v>
      </c>
      <c r="AC361" s="2">
        <f>VLOOKUP([jobnumber],OvalData[],MATCH(Table2[[#Headers],[Grille Center]],Table2[#Headers],0),0)</f>
        <v>0</v>
      </c>
      <c r="AD361" s="2">
        <f>VLOOKUP([jobnumber],OvalData[],MATCH(Table2[[#Headers],[Grille Pattern]],Table2[#Headers],0),0)</f>
        <v>0</v>
      </c>
      <c r="AE361" s="2">
        <f>VLOOKUP([jobnumber],OvalData[],MATCH(Table2[[#Headers],[Grille First Tube]],Table2[#Headers],0),0)</f>
        <v>0</v>
      </c>
      <c r="AF361" s="2">
        <f>VLOOKUP([jobnumber],OvalData[],MATCH(Table2[[#Headers],[Grille Standard Tube]],Table2[#Headers],0),0)</f>
        <v>0</v>
      </c>
      <c r="AG361" s="2">
        <f>VLOOKUP([jobnumber],OvalData[],MATCH(Table2[[#Headers],[Grille Total Links]],Table2[#Headers],0),0)</f>
        <v>0</v>
      </c>
      <c r="AH361" s="2">
        <f>VLOOKUP([jobnumber],OvalData[],MATCH(Table2[[#Headers],[Grille Rods]],Table2[#Headers],0),0)</f>
        <v>0</v>
      </c>
      <c r="AI361" s="2">
        <f>VLOOKUP([jobnumber],OvalData[],MATCH(Table2[[#Headers],[Grille Rod Length]],Table2[#Headers],0),0)</f>
        <v>0</v>
      </c>
      <c r="AJ361" s="2">
        <f>VLOOKUP([jobnumber],OvalData[],MATCH(Table2[[#Headers],[slattype]],Table2[#Headers],0),0)</f>
        <v>2</v>
      </c>
      <c r="AK361" s="2">
        <f>VLOOKUP([jobnumber],OvalData[],MATCH(Table2[[#Headers],[slatgage]],Table2[#Headers],0),0)</f>
        <v>18</v>
      </c>
      <c r="AL361" s="2">
        <f>VLOOKUP([jobnumber],OvalData[],MATCH(Table2[[#Headers],[Numer of Top Slats]],Table2[#Headers],0),0)</f>
        <v>0</v>
      </c>
      <c r="AM361" s="2">
        <f>VLOOKUP([jobnumber],OvalData[],MATCH(Table2[[#Headers],[Number of Bottom Slats]],Table2[#Headers],0),0)</f>
        <v>0</v>
      </c>
      <c r="AN361" s="2">
        <f>VLOOKUP([jobnumber],OvalData[],MATCH(Table2[[#Headers],[Solid Bottom Height]],Table2[#Headers],0),0)</f>
        <v>0</v>
      </c>
      <c r="AO361" s="2" t="str">
        <f>VLOOKUP([jobnumber],OvalData[],MATCH(Table2[[#Headers],[slatlength]],Table2[#Headers],0),0)</f>
        <v xml:space="preserve"> 18 ft.- 5 7/ 8"</v>
      </c>
      <c r="AP361" s="2">
        <f>VLOOKUP([jobnumber],OvalData[],MATCH(Table2[[#Headers],[Bottom Slat Length]],Table2[#Headers],0),0)</f>
        <v>0</v>
      </c>
      <c r="AQ361" s="2">
        <f>VLOOKUP([jobnumber],OvalData[],MATCH(Table2[[#Headers],[Number of Perferated Slats]],Table2[#Headers],0),0)</f>
        <v>0</v>
      </c>
      <c r="AR361" s="2">
        <f>VLOOKUP([jobnumber],OvalData[],MATCH(Table2[[#Headers],[First Preferated Slat From End]],Table2[#Headers],0),0)</f>
        <v>0</v>
      </c>
      <c r="AS361" s="2">
        <f>VLOOKUP([jobnumber],OvalData[],MATCH(Table2[[#Headers],[First Preferated Slat From Bottom]],Table2[#Headers],0),0)</f>
        <v>0</v>
      </c>
      <c r="AT361" s="2">
        <f>VLOOKUP([jobnumber],OvalData[],MATCH(Table2[[#Headers],[Total Number of Slats]],Table2[#Headers],0),0)</f>
        <v>51</v>
      </c>
      <c r="AU361" s="2">
        <f>VLOOKUP([jobnumber],OvalData[],MATCH(Table2[[#Headers],[Bottom Bar Slope]],Table2[#Headers],0),0)</f>
        <v>0</v>
      </c>
      <c r="AV361" s="2">
        <f>VLOOKUP([jobnumber],OvalData[],MATCH(Table2[[#Headers],[Bottom Bar Weight]],Table2[#Headers],0),0)</f>
        <v>80.5</v>
      </c>
      <c r="AW361" s="2" t="str">
        <f>VLOOKUP([jobnumber],OvalData[],MATCH(Table2[[#Headers],[Outer Spring Gage]],Table2[#Headers],0),0)</f>
        <v>Null</v>
      </c>
      <c r="AX361" s="2" t="str">
        <f>VLOOKUP([jobnumber],OvalData[],MATCH(Table2[[#Headers],[Outer Spring OD]],Table2[#Headers],0),0)</f>
        <v>Null</v>
      </c>
      <c r="AY361" s="2" t="str">
        <f>VLOOKUP([jobnumber],OvalData[],MATCH(Table2[[#Headers],[Outer Spring Length]],Table2[#Headers],0),0)</f>
        <v>Null</v>
      </c>
      <c r="AZ361" s="2" t="str">
        <f>VLOOKUP([jobnumber],OvalData[],MATCH(Table2[[#Headers],[Outer Spring Stretch]],Table2[#Headers],0),0)</f>
        <v>Null</v>
      </c>
      <c r="BA361" s="2" t="str">
        <f>VLOOKUP([jobnumber],OvalData[],MATCH(Table2[[#Headers],[Outer Spring Torque]],Table2[#Headers],0),0)</f>
        <v>Null</v>
      </c>
      <c r="BB361" s="2" t="str">
        <f>VLOOKUP([jobnumber],OvalData[],MATCH(Table2[[#Headers],[Outer Spring Max Turns]],Table2[#Headers],0),0)</f>
        <v>Null</v>
      </c>
      <c r="BC361" s="2" t="str">
        <f>VLOOKUP([jobnumber],OvalData[],MATCH(Table2[[#Headers],[Outer Spring Weight]],Table2[#Headers],0),0)</f>
        <v>Null</v>
      </c>
      <c r="BD361" s="2" t="str">
        <f>VLOOKUP([jobnumber],OvalData[],MATCH(Table2[[#Headers],[Inner Spring Gage]],Table2[#Headers],0),0)</f>
        <v>Null</v>
      </c>
      <c r="BE361" s="2" t="str">
        <f>VLOOKUP([jobnumber],OvalData[],MATCH(Table2[[#Headers],[Inner Spring OD]],Table2[#Headers],0),0)</f>
        <v>Null</v>
      </c>
      <c r="BF361" s="2" t="str">
        <f>VLOOKUP([jobnumber],OvalData[],MATCH(Table2[[#Headers],[Inner Spring Length]],Table2[#Headers],0),0)</f>
        <v>Null</v>
      </c>
      <c r="BG361" s="2" t="str">
        <f>VLOOKUP([jobnumber],OvalData[],MATCH(Table2[[#Headers],[Inner Spring Stretch]],Table2[#Headers],0),0)</f>
        <v>Null</v>
      </c>
      <c r="BH361" s="2" t="str">
        <f>VLOOKUP([jobnumber],OvalData[],MATCH(Table2[[#Headers],[Inner Spring Torque]],Table2[#Headers],0),0)</f>
        <v>Null</v>
      </c>
      <c r="BI361" s="2" t="str">
        <f>VLOOKUP([jobnumber],OvalData[],MATCH(Table2[[#Headers],[Inner Spring Max Turns]],Table2[#Headers],0),0)</f>
        <v>Null</v>
      </c>
      <c r="BJ361" s="2" t="str">
        <f>VLOOKUP([jobnumber],OvalData[],MATCH(Table2[[#Headers],[Inner Spring Weight]],Table2[#Headers],0),0)</f>
        <v>Null</v>
      </c>
      <c r="BK361" s="2">
        <f>VLOOKUP([jobnumber],OvalData[],MATCH(Table2[[#Headers],[Cycles]],Table2[#Headers],0),0)</f>
        <v>0</v>
      </c>
      <c r="BL361" s="2">
        <f>VLOOKUP([jobnumber],OvalData[],MATCH(Table2[[#Headers],[Total Spring Torque]],Table2[#Headers],0),0)</f>
        <v>0</v>
      </c>
      <c r="BM361" s="2">
        <f>VLOOKUP([jobnumber],OvalData[],MATCH(Table2[[#Headers],[Total Spring Weight]],Table2[#Headers],0),0)</f>
        <v>0</v>
      </c>
      <c r="BN361" s="2">
        <f>VLOOKUP([jobnumber],OvalData[],MATCH(Table2[[#Headers],[Pipe Weight]],Table2[#Headers],0),0)</f>
        <v>688.24239999999998</v>
      </c>
      <c r="BO361" s="2">
        <f>VLOOKUP([jobnumber],OvalData[],MATCH(Table2[[#Headers],[Max Pipe Deflection]],Table2[#Headers],0),0)</f>
        <v>2309</v>
      </c>
      <c r="BP361" s="2">
        <f>VLOOKUP([jobnumber],OvalData[],MATCH(Table2[[#Headers],[Number Non-Insulated Wrap Slats]],Table2[#Headers],0),0)</f>
        <v>0</v>
      </c>
      <c r="BQ361" s="2">
        <f>VLOOKUP([jobnumber],OvalData[],MATCH(Table2[[#Headers],[Number of Insolated Top Slats]],Table2[#Headers],0),0)</f>
        <v>45</v>
      </c>
      <c r="BR361" s="2">
        <f>VLOOKUP([jobnumber],OvalData[],MATCH(Table2[[#Headers],[Insolated Total Slats]],Table2[#Headers],0),0)</f>
        <v>45</v>
      </c>
      <c r="BS361" s="2">
        <f>VLOOKUP([jobnumber],OvalData[],MATCH(Table2[[#Headers],[Number of Slats]],Table2[#Headers],0),0)</f>
        <v>44.69</v>
      </c>
      <c r="BT361" s="2">
        <f>VLOOKUP([jobnumber],OvalData[],MATCH(Table2[[#Headers],[Wrap]],Table2[#Headers],0),0)</f>
        <v>0</v>
      </c>
      <c r="BU361" s="2">
        <f>VLOOKUP([jobnumber],OvalData[],MATCH(Table2[[#Headers],[Wall Angle Thickness]],Table2[#Headers],0),0)</f>
        <v>0</v>
      </c>
      <c r="BV361" s="2">
        <f>VLOOKUP([jobnumber],OvalData[],MATCH(Table2[[#Headers],[windlocks]],Table2[#Headers],0),0)</f>
        <v>0</v>
      </c>
      <c r="BW361" s="2" t="str">
        <f>VLOOKUP([jobnumber],OvalData[],MATCH(Table2[[#Headers],[bottombartype]],Table2[#Headers],0),0)</f>
        <v>SPECIAL</v>
      </c>
      <c r="BX361" s="2">
        <f>VLOOKUP([jobnumber],OvalData[],MATCH(Table2[[#Headers],[endlockweight]],Table2[#Headers],0),0)</f>
        <v>0.17</v>
      </c>
      <c r="BY361" s="2">
        <f>VLOOKUP([jobnumber],OvalData[],MATCH(Table2[[#Headers],[Endlock Total Weight]],Table2[#Headers],0),0)</f>
        <v>7.5972999999999997</v>
      </c>
      <c r="BZ361" s="2">
        <f>VLOOKUP([jobnumber],OvalData[],MATCH(Table2[[#Headers],[Grille Weight]],Table2[#Headers],0),0)</f>
        <v>0</v>
      </c>
      <c r="CA361" s="2">
        <f>VLOOKUP([jobnumber],OvalData[],MATCH(Table2[[#Headers],[barrelrings]],Table2[#Headers],0),0)</f>
        <v>1</v>
      </c>
    </row>
    <row r="362" spans="2:79">
      <c r="B362" s="2" t="str">
        <f>VLOOKUP([jobnumber],OvalData[],MATCH(Table2[[#Headers],[Hand]],Table2[#Headers],0),0)</f>
        <v>RH</v>
      </c>
      <c r="C362" s="2" t="str">
        <f>VLOOKUP([jobnumber],OvalData[],MATCH(Table2[[#Headers],[Model]],Table2[#Headers],0),0)</f>
        <v>SFMPP</v>
      </c>
      <c r="D362" s="2" t="str">
        <f>VLOOKUP([jobnumber],OvalData[],MATCH(Table2[[#Headers],[width]],Table2[#Headers],0),0)</f>
        <v xml:space="preserve"> 18 ft.- 2"</v>
      </c>
      <c r="E362" s="2" t="str">
        <f>VLOOKUP([jobnumber],OvalData[],MATCH(Table2[[#Headers],[stopheight]],Table2[#Headers],0),0)</f>
        <v xml:space="preserve"> 10 ft.- 0"</v>
      </c>
      <c r="F362" s="2" t="str">
        <f>VLOOKUP([jobnumber],OvalData[],MATCH(Table2[[#Headers],[Between Brackets]],Table2[#Headers],0),0)</f>
        <v xml:space="preserve"> 18 ft.- 7 7/ 8"</v>
      </c>
      <c r="G362" s="2" t="str">
        <f>VLOOKUP([jobnumber],OvalData[],MATCH(Table2[[#Headers],[shell]],Table2[#Headers],0),0)</f>
        <v>6 INCH TUBE</v>
      </c>
      <c r="H362" s="2" t="str">
        <f>VLOOKUP([jobnumber],OvalData[],MATCH(Table2[[#Headers],[pipewidth]],Table2[#Headers],0),0)</f>
        <v xml:space="preserve"> 18 ft.- 1 3/ 8"</v>
      </c>
      <c r="I362" s="2">
        <f>VLOOKUP([jobnumber],OvalData[],MATCH(Table2[[#Headers],[Support Tubes]],Table2[#Headers],0),0)</f>
        <v>0</v>
      </c>
      <c r="J362" s="2">
        <f>VLOOKUP([jobnumber],OvalData[],MATCH(Table2[[#Headers],[Upset]],Table2[#Headers],0),0)</f>
        <v>2</v>
      </c>
      <c r="K362" s="2" t="str">
        <f>VLOOKUP([jobnumber],OvalData[],MATCH(Table2[[#Headers],[Guide Type]],Table2[#Headers],0),0)</f>
        <v>SN2-4 5/8-E</v>
      </c>
      <c r="L362" s="2" t="str">
        <f>VLOOKUP([jobnumber],OvalData[],MATCH(Table2[[#Headers],[Wall Angle]],Table2[#Headers],0),0)</f>
        <v xml:space="preserve"> 11 ft.- 8"</v>
      </c>
      <c r="M362" s="2" t="str">
        <f>VLOOKUP([jobnumber],OvalData[],MATCH(Table2[[#Headers],[Middle Angle]],Table2[#Headers],0),0)</f>
        <v xml:space="preserve"> 10 ft.- 4 1/ 2"</v>
      </c>
      <c r="N362" s="2" t="str">
        <f>VLOOKUP([jobnumber],OvalData[],MATCH(Table2[[#Headers],[Front Angle]],Table2[#Headers],0),0)</f>
        <v xml:space="preserve"> 10 ft.- 3"</v>
      </c>
      <c r="O362" s="2">
        <f>VLOOKUP([jobnumber],OvalData[],MATCH(Table2[[#Headers],[Pipe Center Line]],Table2[#Headers],0),0)</f>
        <v>131</v>
      </c>
      <c r="P362" s="2">
        <f>VLOOKUP([jobnumber],OvalData[],MATCH(Table2[[#Headers],[Heat Expansion Gap]],Table2[#Headers],0),0)</f>
        <v>0</v>
      </c>
      <c r="Q362" s="2">
        <f>VLOOKUP([jobnumber],OvalData[],MATCH(Table2[[#Headers],[Hanging Weight Closed]],Table2[#Headers],0),0)</f>
        <v>795</v>
      </c>
      <c r="R362" s="2">
        <f>VLOOKUP([jobnumber],OvalData[],MATCH(Table2[[#Headers],[Hanging Weight Open]],Table2[#Headers],0),0)</f>
        <v>140</v>
      </c>
      <c r="S362" s="2">
        <f>VLOOKUP([jobnumber],OvalData[],MATCH(Table2[[#Headers],[Initial Lever Arm]],Table2[#Headers],0),0)</f>
        <v>4.25</v>
      </c>
      <c r="T362" s="2">
        <f>VLOOKUP([jobnumber],OvalData[],MATCH(Table2[[#Headers],[Turns to Raise]],Table2[#Headers],0),0)</f>
        <v>3.5859999999999999</v>
      </c>
      <c r="U362" s="2">
        <f>VLOOKUP([jobnumber],OvalData[],MATCH(Table2[[#Headers],[Final Lever Arm]],Table2[#Headers],0),0)</f>
        <v>6.37</v>
      </c>
      <c r="V362" s="2">
        <f>VLOOKUP([jobnumber],OvalData[],MATCH(Table2[[#Headers],[Torque Required Closed]],Table2[#Headers],0),0)</f>
        <v>3377.9</v>
      </c>
      <c r="W362" s="2">
        <f>VLOOKUP([jobnumber],OvalData[],MATCH(Table2[[#Headers],[Torque Required Open]],Table2[#Headers],0),0)</f>
        <v>892</v>
      </c>
      <c r="X362" s="2">
        <f>VLOOKUP([jobnumber],OvalData[],MATCH(Table2[[#Headers],[Pre Turns]],Table2[#Headers],0),0)</f>
        <v>1.3332999999999999</v>
      </c>
      <c r="Y362" s="2">
        <f>VLOOKUP([jobnumber],OvalData[],MATCH(Table2[[#Headers],[Required Torque Per Turn]],Table2[#Headers],0),0)</f>
        <v>688</v>
      </c>
      <c r="Z362" s="2">
        <f>VLOOKUP([jobnumber],OvalData[],MATCH(Table2[[#Headers],[Total Turns]],Table2[#Headers],0),0)</f>
        <v>4.91</v>
      </c>
      <c r="AA362" s="2">
        <f>VLOOKUP([jobnumber],OvalData[],MATCH(Table2[[#Headers],[Grille Vision Section]],Table2[#Headers],0),0)</f>
        <v>0</v>
      </c>
      <c r="AB362" s="2">
        <f>VLOOKUP([jobnumber],OvalData[],MATCH(Table2[[#Headers],[Grille Amount]],Table2[#Headers],0),0)</f>
        <v>0</v>
      </c>
      <c r="AC362" s="2">
        <f>VLOOKUP([jobnumber],OvalData[],MATCH(Table2[[#Headers],[Grille Center]],Table2[#Headers],0),0)</f>
        <v>0</v>
      </c>
      <c r="AD362" s="2">
        <f>VLOOKUP([jobnumber],OvalData[],MATCH(Table2[[#Headers],[Grille Pattern]],Table2[#Headers],0),0)</f>
        <v>0</v>
      </c>
      <c r="AE362" s="2">
        <f>VLOOKUP([jobnumber],OvalData[],MATCH(Table2[[#Headers],[Grille First Tube]],Table2[#Headers],0),0)</f>
        <v>0</v>
      </c>
      <c r="AF362" s="2">
        <f>VLOOKUP([jobnumber],OvalData[],MATCH(Table2[[#Headers],[Grille Standard Tube]],Table2[#Headers],0),0)</f>
        <v>0</v>
      </c>
      <c r="AG362" s="2">
        <f>VLOOKUP([jobnumber],OvalData[],MATCH(Table2[[#Headers],[Grille Total Links]],Table2[#Headers],0),0)</f>
        <v>0</v>
      </c>
      <c r="AH362" s="2">
        <f>VLOOKUP([jobnumber],OvalData[],MATCH(Table2[[#Headers],[Grille Rods]],Table2[#Headers],0),0)</f>
        <v>0</v>
      </c>
      <c r="AI362" s="2">
        <f>VLOOKUP([jobnumber],OvalData[],MATCH(Table2[[#Headers],[Grille Rod Length]],Table2[#Headers],0),0)</f>
        <v>0</v>
      </c>
      <c r="AJ362" s="2">
        <f>VLOOKUP([jobnumber],OvalData[],MATCH(Table2[[#Headers],[slattype]],Table2[#Headers],0),0)</f>
        <v>2</v>
      </c>
      <c r="AK362" s="2">
        <f>VLOOKUP([jobnumber],OvalData[],MATCH(Table2[[#Headers],[slatgage]],Table2[#Headers],0),0)</f>
        <v>18</v>
      </c>
      <c r="AL362" s="2">
        <f>VLOOKUP([jobnumber],OvalData[],MATCH(Table2[[#Headers],[Numer of Top Slats]],Table2[#Headers],0),0)</f>
        <v>0</v>
      </c>
      <c r="AM362" s="2">
        <f>VLOOKUP([jobnumber],OvalData[],MATCH(Table2[[#Headers],[Number of Bottom Slats]],Table2[#Headers],0),0)</f>
        <v>0</v>
      </c>
      <c r="AN362" s="2">
        <f>VLOOKUP([jobnumber],OvalData[],MATCH(Table2[[#Headers],[Solid Bottom Height]],Table2[#Headers],0),0)</f>
        <v>0</v>
      </c>
      <c r="AO362" s="2" t="str">
        <f>VLOOKUP([jobnumber],OvalData[],MATCH(Table2[[#Headers],[slatlength]],Table2[#Headers],0),0)</f>
        <v xml:space="preserve"> 18 ft.- 5 7/ 8"</v>
      </c>
      <c r="AP362" s="2">
        <f>VLOOKUP([jobnumber],OvalData[],MATCH(Table2[[#Headers],[Bottom Slat Length]],Table2[#Headers],0),0)</f>
        <v>0</v>
      </c>
      <c r="AQ362" s="2">
        <f>VLOOKUP([jobnumber],OvalData[],MATCH(Table2[[#Headers],[Number of Perferated Slats]],Table2[#Headers],0),0)</f>
        <v>0</v>
      </c>
      <c r="AR362" s="2">
        <f>VLOOKUP([jobnumber],OvalData[],MATCH(Table2[[#Headers],[First Preferated Slat From End]],Table2[#Headers],0),0)</f>
        <v>0</v>
      </c>
      <c r="AS362" s="2">
        <f>VLOOKUP([jobnumber],OvalData[],MATCH(Table2[[#Headers],[First Preferated Slat From Bottom]],Table2[#Headers],0),0)</f>
        <v>0</v>
      </c>
      <c r="AT362" s="2">
        <f>VLOOKUP([jobnumber],OvalData[],MATCH(Table2[[#Headers],[Total Number of Slats]],Table2[#Headers],0),0)</f>
        <v>51</v>
      </c>
      <c r="AU362" s="2">
        <f>VLOOKUP([jobnumber],OvalData[],MATCH(Table2[[#Headers],[Bottom Bar Slope]],Table2[#Headers],0),0)</f>
        <v>0</v>
      </c>
      <c r="AV362" s="2">
        <f>VLOOKUP([jobnumber],OvalData[],MATCH(Table2[[#Headers],[Bottom Bar Weight]],Table2[#Headers],0),0)</f>
        <v>80.5</v>
      </c>
      <c r="AW362" s="2" t="str">
        <f>VLOOKUP([jobnumber],OvalData[],MATCH(Table2[[#Headers],[Outer Spring Gage]],Table2[#Headers],0),0)</f>
        <v>Null</v>
      </c>
      <c r="AX362" s="2" t="str">
        <f>VLOOKUP([jobnumber],OvalData[],MATCH(Table2[[#Headers],[Outer Spring OD]],Table2[#Headers],0),0)</f>
        <v>Null</v>
      </c>
      <c r="AY362" s="2" t="str">
        <f>VLOOKUP([jobnumber],OvalData[],MATCH(Table2[[#Headers],[Outer Spring Length]],Table2[#Headers],0),0)</f>
        <v>Null</v>
      </c>
      <c r="AZ362" s="2" t="str">
        <f>VLOOKUP([jobnumber],OvalData[],MATCH(Table2[[#Headers],[Outer Spring Stretch]],Table2[#Headers],0),0)</f>
        <v>Null</v>
      </c>
      <c r="BA362" s="2" t="str">
        <f>VLOOKUP([jobnumber],OvalData[],MATCH(Table2[[#Headers],[Outer Spring Torque]],Table2[#Headers],0),0)</f>
        <v>Null</v>
      </c>
      <c r="BB362" s="2" t="str">
        <f>VLOOKUP([jobnumber],OvalData[],MATCH(Table2[[#Headers],[Outer Spring Max Turns]],Table2[#Headers],0),0)</f>
        <v>Null</v>
      </c>
      <c r="BC362" s="2" t="str">
        <f>VLOOKUP([jobnumber],OvalData[],MATCH(Table2[[#Headers],[Outer Spring Weight]],Table2[#Headers],0),0)</f>
        <v>Null</v>
      </c>
      <c r="BD362" s="2" t="str">
        <f>VLOOKUP([jobnumber],OvalData[],MATCH(Table2[[#Headers],[Inner Spring Gage]],Table2[#Headers],0),0)</f>
        <v>Null</v>
      </c>
      <c r="BE362" s="2" t="str">
        <f>VLOOKUP([jobnumber],OvalData[],MATCH(Table2[[#Headers],[Inner Spring OD]],Table2[#Headers],0),0)</f>
        <v>Null</v>
      </c>
      <c r="BF362" s="2" t="str">
        <f>VLOOKUP([jobnumber],OvalData[],MATCH(Table2[[#Headers],[Inner Spring Length]],Table2[#Headers],0),0)</f>
        <v>Null</v>
      </c>
      <c r="BG362" s="2" t="str">
        <f>VLOOKUP([jobnumber],OvalData[],MATCH(Table2[[#Headers],[Inner Spring Stretch]],Table2[#Headers],0),0)</f>
        <v>Null</v>
      </c>
      <c r="BH362" s="2" t="str">
        <f>VLOOKUP([jobnumber],OvalData[],MATCH(Table2[[#Headers],[Inner Spring Torque]],Table2[#Headers],0),0)</f>
        <v>Null</v>
      </c>
      <c r="BI362" s="2" t="str">
        <f>VLOOKUP([jobnumber],OvalData[],MATCH(Table2[[#Headers],[Inner Spring Max Turns]],Table2[#Headers],0),0)</f>
        <v>Null</v>
      </c>
      <c r="BJ362" s="2" t="str">
        <f>VLOOKUP([jobnumber],OvalData[],MATCH(Table2[[#Headers],[Inner Spring Weight]],Table2[#Headers],0),0)</f>
        <v>Null</v>
      </c>
      <c r="BK362" s="2">
        <f>VLOOKUP([jobnumber],OvalData[],MATCH(Table2[[#Headers],[Cycles]],Table2[#Headers],0),0)</f>
        <v>0</v>
      </c>
      <c r="BL362" s="2">
        <f>VLOOKUP([jobnumber],OvalData[],MATCH(Table2[[#Headers],[Total Spring Torque]],Table2[#Headers],0),0)</f>
        <v>0</v>
      </c>
      <c r="BM362" s="2">
        <f>VLOOKUP([jobnumber],OvalData[],MATCH(Table2[[#Headers],[Total Spring Weight]],Table2[#Headers],0),0)</f>
        <v>0</v>
      </c>
      <c r="BN362" s="2">
        <f>VLOOKUP([jobnumber],OvalData[],MATCH(Table2[[#Headers],[Pipe Weight]],Table2[#Headers],0),0)</f>
        <v>688.24239999999998</v>
      </c>
      <c r="BO362" s="2">
        <f>VLOOKUP([jobnumber],OvalData[],MATCH(Table2[[#Headers],[Max Pipe Deflection]],Table2[#Headers],0),0)</f>
        <v>2309</v>
      </c>
      <c r="BP362" s="2">
        <f>VLOOKUP([jobnumber],OvalData[],MATCH(Table2[[#Headers],[Number Non-Insulated Wrap Slats]],Table2[#Headers],0),0)</f>
        <v>0</v>
      </c>
      <c r="BQ362" s="2">
        <f>VLOOKUP([jobnumber],OvalData[],MATCH(Table2[[#Headers],[Number of Insolated Top Slats]],Table2[#Headers],0),0)</f>
        <v>45</v>
      </c>
      <c r="BR362" s="2">
        <f>VLOOKUP([jobnumber],OvalData[],MATCH(Table2[[#Headers],[Insolated Total Slats]],Table2[#Headers],0),0)</f>
        <v>45</v>
      </c>
      <c r="BS362" s="2">
        <f>VLOOKUP([jobnumber],OvalData[],MATCH(Table2[[#Headers],[Number of Slats]],Table2[#Headers],0),0)</f>
        <v>44.69</v>
      </c>
      <c r="BT362" s="2">
        <f>VLOOKUP([jobnumber],OvalData[],MATCH(Table2[[#Headers],[Wrap]],Table2[#Headers],0),0)</f>
        <v>0</v>
      </c>
      <c r="BU362" s="2">
        <f>VLOOKUP([jobnumber],OvalData[],MATCH(Table2[[#Headers],[Wall Angle Thickness]],Table2[#Headers],0),0)</f>
        <v>0</v>
      </c>
      <c r="BV362" s="2">
        <f>VLOOKUP([jobnumber],OvalData[],MATCH(Table2[[#Headers],[windlocks]],Table2[#Headers],0),0)</f>
        <v>0</v>
      </c>
      <c r="BW362" s="2" t="str">
        <f>VLOOKUP([jobnumber],OvalData[],MATCH(Table2[[#Headers],[bottombartype]],Table2[#Headers],0),0)</f>
        <v>SPECIAL</v>
      </c>
      <c r="BX362" s="2">
        <f>VLOOKUP([jobnumber],OvalData[],MATCH(Table2[[#Headers],[endlockweight]],Table2[#Headers],0),0)</f>
        <v>0.17</v>
      </c>
      <c r="BY362" s="2">
        <f>VLOOKUP([jobnumber],OvalData[],MATCH(Table2[[#Headers],[Endlock Total Weight]],Table2[#Headers],0),0)</f>
        <v>7.5972999999999997</v>
      </c>
      <c r="BZ362" s="2">
        <f>VLOOKUP([jobnumber],OvalData[],MATCH(Table2[[#Headers],[Grille Weight]],Table2[#Headers],0),0)</f>
        <v>0</v>
      </c>
      <c r="CA362" s="2">
        <f>VLOOKUP([jobnumber],OvalData[],MATCH(Table2[[#Headers],[barrelrings]],Table2[#Headers],0),0)</f>
        <v>1</v>
      </c>
    </row>
    <row r="363" spans="2:79">
      <c r="B363" s="2" t="str">
        <f>VLOOKUP([jobnumber],OvalData[],MATCH(Table2[[#Headers],[Hand]],Table2[#Headers],0),0)</f>
        <v>RH</v>
      </c>
      <c r="C363" s="2" t="str">
        <f>VLOOKUP([jobnumber],OvalData[],MATCH(Table2[[#Headers],[Model]],Table2[#Headers],0),0)</f>
        <v>SFMPP</v>
      </c>
      <c r="D363" s="2" t="str">
        <f>VLOOKUP([jobnumber],OvalData[],MATCH(Table2[[#Headers],[width]],Table2[#Headers],0),0)</f>
        <v xml:space="preserve"> 18 ft.- 2"</v>
      </c>
      <c r="E363" s="2" t="str">
        <f>VLOOKUP([jobnumber],OvalData[],MATCH(Table2[[#Headers],[stopheight]],Table2[#Headers],0),0)</f>
        <v xml:space="preserve"> 10 ft.- 0"</v>
      </c>
      <c r="F363" s="2" t="str">
        <f>VLOOKUP([jobnumber],OvalData[],MATCH(Table2[[#Headers],[Between Brackets]],Table2[#Headers],0),0)</f>
        <v xml:space="preserve"> 18 ft.- 7 7/ 8"</v>
      </c>
      <c r="G363" s="2" t="str">
        <f>VLOOKUP([jobnumber],OvalData[],MATCH(Table2[[#Headers],[shell]],Table2[#Headers],0),0)</f>
        <v>6 INCH TUBE</v>
      </c>
      <c r="H363" s="2" t="str">
        <f>VLOOKUP([jobnumber],OvalData[],MATCH(Table2[[#Headers],[pipewidth]],Table2[#Headers],0),0)</f>
        <v xml:space="preserve"> 18 ft.- 1 3/ 8"</v>
      </c>
      <c r="I363" s="2">
        <f>VLOOKUP([jobnumber],OvalData[],MATCH(Table2[[#Headers],[Support Tubes]],Table2[#Headers],0),0)</f>
        <v>0</v>
      </c>
      <c r="J363" s="2">
        <f>VLOOKUP([jobnumber],OvalData[],MATCH(Table2[[#Headers],[Upset]],Table2[#Headers],0),0)</f>
        <v>2</v>
      </c>
      <c r="K363" s="2" t="str">
        <f>VLOOKUP([jobnumber],OvalData[],MATCH(Table2[[#Headers],[Guide Type]],Table2[#Headers],0),0)</f>
        <v>SN2-4 5/8-E</v>
      </c>
      <c r="L363" s="2" t="str">
        <f>VLOOKUP([jobnumber],OvalData[],MATCH(Table2[[#Headers],[Wall Angle]],Table2[#Headers],0),0)</f>
        <v xml:space="preserve"> 11 ft.- 8"</v>
      </c>
      <c r="M363" s="2" t="str">
        <f>VLOOKUP([jobnumber],OvalData[],MATCH(Table2[[#Headers],[Middle Angle]],Table2[#Headers],0),0)</f>
        <v xml:space="preserve"> 10 ft.- 4 1/ 2"</v>
      </c>
      <c r="N363" s="2" t="str">
        <f>VLOOKUP([jobnumber],OvalData[],MATCH(Table2[[#Headers],[Front Angle]],Table2[#Headers],0),0)</f>
        <v xml:space="preserve"> 10 ft.- 3"</v>
      </c>
      <c r="O363" s="2">
        <f>VLOOKUP([jobnumber],OvalData[],MATCH(Table2[[#Headers],[Pipe Center Line]],Table2[#Headers],0),0)</f>
        <v>131</v>
      </c>
      <c r="P363" s="2">
        <f>VLOOKUP([jobnumber],OvalData[],MATCH(Table2[[#Headers],[Heat Expansion Gap]],Table2[#Headers],0),0)</f>
        <v>0</v>
      </c>
      <c r="Q363" s="2">
        <f>VLOOKUP([jobnumber],OvalData[],MATCH(Table2[[#Headers],[Hanging Weight Closed]],Table2[#Headers],0),0)</f>
        <v>795</v>
      </c>
      <c r="R363" s="2">
        <f>VLOOKUP([jobnumber],OvalData[],MATCH(Table2[[#Headers],[Hanging Weight Open]],Table2[#Headers],0),0)</f>
        <v>140</v>
      </c>
      <c r="S363" s="2">
        <f>VLOOKUP([jobnumber],OvalData[],MATCH(Table2[[#Headers],[Initial Lever Arm]],Table2[#Headers],0),0)</f>
        <v>4.25</v>
      </c>
      <c r="T363" s="2">
        <f>VLOOKUP([jobnumber],OvalData[],MATCH(Table2[[#Headers],[Turns to Raise]],Table2[#Headers],0),0)</f>
        <v>3.5859999999999999</v>
      </c>
      <c r="U363" s="2">
        <f>VLOOKUP([jobnumber],OvalData[],MATCH(Table2[[#Headers],[Final Lever Arm]],Table2[#Headers],0),0)</f>
        <v>6.37</v>
      </c>
      <c r="V363" s="2">
        <f>VLOOKUP([jobnumber],OvalData[],MATCH(Table2[[#Headers],[Torque Required Closed]],Table2[#Headers],0),0)</f>
        <v>3377.9</v>
      </c>
      <c r="W363" s="2">
        <f>VLOOKUP([jobnumber],OvalData[],MATCH(Table2[[#Headers],[Torque Required Open]],Table2[#Headers],0),0)</f>
        <v>892</v>
      </c>
      <c r="X363" s="2">
        <f>VLOOKUP([jobnumber],OvalData[],MATCH(Table2[[#Headers],[Pre Turns]],Table2[#Headers],0),0)</f>
        <v>1.3332999999999999</v>
      </c>
      <c r="Y363" s="2">
        <f>VLOOKUP([jobnumber],OvalData[],MATCH(Table2[[#Headers],[Required Torque Per Turn]],Table2[#Headers],0),0)</f>
        <v>688</v>
      </c>
      <c r="Z363" s="2">
        <f>VLOOKUP([jobnumber],OvalData[],MATCH(Table2[[#Headers],[Total Turns]],Table2[#Headers],0),0)</f>
        <v>4.91</v>
      </c>
      <c r="AA363" s="2">
        <f>VLOOKUP([jobnumber],OvalData[],MATCH(Table2[[#Headers],[Grille Vision Section]],Table2[#Headers],0),0)</f>
        <v>0</v>
      </c>
      <c r="AB363" s="2">
        <f>VLOOKUP([jobnumber],OvalData[],MATCH(Table2[[#Headers],[Grille Amount]],Table2[#Headers],0),0)</f>
        <v>0</v>
      </c>
      <c r="AC363" s="2">
        <f>VLOOKUP([jobnumber],OvalData[],MATCH(Table2[[#Headers],[Grille Center]],Table2[#Headers],0),0)</f>
        <v>0</v>
      </c>
      <c r="AD363" s="2">
        <f>VLOOKUP([jobnumber],OvalData[],MATCH(Table2[[#Headers],[Grille Pattern]],Table2[#Headers],0),0)</f>
        <v>0</v>
      </c>
      <c r="AE363" s="2">
        <f>VLOOKUP([jobnumber],OvalData[],MATCH(Table2[[#Headers],[Grille First Tube]],Table2[#Headers],0),0)</f>
        <v>0</v>
      </c>
      <c r="AF363" s="2">
        <f>VLOOKUP([jobnumber],OvalData[],MATCH(Table2[[#Headers],[Grille Standard Tube]],Table2[#Headers],0),0)</f>
        <v>0</v>
      </c>
      <c r="AG363" s="2">
        <f>VLOOKUP([jobnumber],OvalData[],MATCH(Table2[[#Headers],[Grille Total Links]],Table2[#Headers],0),0)</f>
        <v>0</v>
      </c>
      <c r="AH363" s="2">
        <f>VLOOKUP([jobnumber],OvalData[],MATCH(Table2[[#Headers],[Grille Rods]],Table2[#Headers],0),0)</f>
        <v>0</v>
      </c>
      <c r="AI363" s="2">
        <f>VLOOKUP([jobnumber],OvalData[],MATCH(Table2[[#Headers],[Grille Rod Length]],Table2[#Headers],0),0)</f>
        <v>0</v>
      </c>
      <c r="AJ363" s="2">
        <f>VLOOKUP([jobnumber],OvalData[],MATCH(Table2[[#Headers],[slattype]],Table2[#Headers],0),0)</f>
        <v>2</v>
      </c>
      <c r="AK363" s="2">
        <f>VLOOKUP([jobnumber],OvalData[],MATCH(Table2[[#Headers],[slatgage]],Table2[#Headers],0),0)</f>
        <v>18</v>
      </c>
      <c r="AL363" s="2">
        <f>VLOOKUP([jobnumber],OvalData[],MATCH(Table2[[#Headers],[Numer of Top Slats]],Table2[#Headers],0),0)</f>
        <v>0</v>
      </c>
      <c r="AM363" s="2">
        <f>VLOOKUP([jobnumber],OvalData[],MATCH(Table2[[#Headers],[Number of Bottom Slats]],Table2[#Headers],0),0)</f>
        <v>0</v>
      </c>
      <c r="AN363" s="2">
        <f>VLOOKUP([jobnumber],OvalData[],MATCH(Table2[[#Headers],[Solid Bottom Height]],Table2[#Headers],0),0)</f>
        <v>0</v>
      </c>
      <c r="AO363" s="2" t="str">
        <f>VLOOKUP([jobnumber],OvalData[],MATCH(Table2[[#Headers],[slatlength]],Table2[#Headers],0),0)</f>
        <v xml:space="preserve"> 18 ft.- 5 7/ 8"</v>
      </c>
      <c r="AP363" s="2">
        <f>VLOOKUP([jobnumber],OvalData[],MATCH(Table2[[#Headers],[Bottom Slat Length]],Table2[#Headers],0),0)</f>
        <v>0</v>
      </c>
      <c r="AQ363" s="2">
        <f>VLOOKUP([jobnumber],OvalData[],MATCH(Table2[[#Headers],[Number of Perferated Slats]],Table2[#Headers],0),0)</f>
        <v>0</v>
      </c>
      <c r="AR363" s="2">
        <f>VLOOKUP([jobnumber],OvalData[],MATCH(Table2[[#Headers],[First Preferated Slat From End]],Table2[#Headers],0),0)</f>
        <v>0</v>
      </c>
      <c r="AS363" s="2">
        <f>VLOOKUP([jobnumber],OvalData[],MATCH(Table2[[#Headers],[First Preferated Slat From Bottom]],Table2[#Headers],0),0)</f>
        <v>0</v>
      </c>
      <c r="AT363" s="2">
        <f>VLOOKUP([jobnumber],OvalData[],MATCH(Table2[[#Headers],[Total Number of Slats]],Table2[#Headers],0),0)</f>
        <v>51</v>
      </c>
      <c r="AU363" s="2">
        <f>VLOOKUP([jobnumber],OvalData[],MATCH(Table2[[#Headers],[Bottom Bar Slope]],Table2[#Headers],0),0)</f>
        <v>0</v>
      </c>
      <c r="AV363" s="2">
        <f>VLOOKUP([jobnumber],OvalData[],MATCH(Table2[[#Headers],[Bottom Bar Weight]],Table2[#Headers],0),0)</f>
        <v>80.5</v>
      </c>
      <c r="AW363" s="2" t="str">
        <f>VLOOKUP([jobnumber],OvalData[],MATCH(Table2[[#Headers],[Outer Spring Gage]],Table2[#Headers],0),0)</f>
        <v>Null</v>
      </c>
      <c r="AX363" s="2" t="str">
        <f>VLOOKUP([jobnumber],OvalData[],MATCH(Table2[[#Headers],[Outer Spring OD]],Table2[#Headers],0),0)</f>
        <v>Null</v>
      </c>
      <c r="AY363" s="2" t="str">
        <f>VLOOKUP([jobnumber],OvalData[],MATCH(Table2[[#Headers],[Outer Spring Length]],Table2[#Headers],0),0)</f>
        <v>Null</v>
      </c>
      <c r="AZ363" s="2" t="str">
        <f>VLOOKUP([jobnumber],OvalData[],MATCH(Table2[[#Headers],[Outer Spring Stretch]],Table2[#Headers],0),0)</f>
        <v>Null</v>
      </c>
      <c r="BA363" s="2" t="str">
        <f>VLOOKUP([jobnumber],OvalData[],MATCH(Table2[[#Headers],[Outer Spring Torque]],Table2[#Headers],0),0)</f>
        <v>Null</v>
      </c>
      <c r="BB363" s="2" t="str">
        <f>VLOOKUP([jobnumber],OvalData[],MATCH(Table2[[#Headers],[Outer Spring Max Turns]],Table2[#Headers],0),0)</f>
        <v>Null</v>
      </c>
      <c r="BC363" s="2" t="str">
        <f>VLOOKUP([jobnumber],OvalData[],MATCH(Table2[[#Headers],[Outer Spring Weight]],Table2[#Headers],0),0)</f>
        <v>Null</v>
      </c>
      <c r="BD363" s="2" t="str">
        <f>VLOOKUP([jobnumber],OvalData[],MATCH(Table2[[#Headers],[Inner Spring Gage]],Table2[#Headers],0),0)</f>
        <v>Null</v>
      </c>
      <c r="BE363" s="2" t="str">
        <f>VLOOKUP([jobnumber],OvalData[],MATCH(Table2[[#Headers],[Inner Spring OD]],Table2[#Headers],0),0)</f>
        <v>Null</v>
      </c>
      <c r="BF363" s="2" t="str">
        <f>VLOOKUP([jobnumber],OvalData[],MATCH(Table2[[#Headers],[Inner Spring Length]],Table2[#Headers],0),0)</f>
        <v>Null</v>
      </c>
      <c r="BG363" s="2" t="str">
        <f>VLOOKUP([jobnumber],OvalData[],MATCH(Table2[[#Headers],[Inner Spring Stretch]],Table2[#Headers],0),0)</f>
        <v>Null</v>
      </c>
      <c r="BH363" s="2" t="str">
        <f>VLOOKUP([jobnumber],OvalData[],MATCH(Table2[[#Headers],[Inner Spring Torque]],Table2[#Headers],0),0)</f>
        <v>Null</v>
      </c>
      <c r="BI363" s="2" t="str">
        <f>VLOOKUP([jobnumber],OvalData[],MATCH(Table2[[#Headers],[Inner Spring Max Turns]],Table2[#Headers],0),0)</f>
        <v>Null</v>
      </c>
      <c r="BJ363" s="2" t="str">
        <f>VLOOKUP([jobnumber],OvalData[],MATCH(Table2[[#Headers],[Inner Spring Weight]],Table2[#Headers],0),0)</f>
        <v>Null</v>
      </c>
      <c r="BK363" s="2">
        <f>VLOOKUP([jobnumber],OvalData[],MATCH(Table2[[#Headers],[Cycles]],Table2[#Headers],0),0)</f>
        <v>0</v>
      </c>
      <c r="BL363" s="2">
        <f>VLOOKUP([jobnumber],OvalData[],MATCH(Table2[[#Headers],[Total Spring Torque]],Table2[#Headers],0),0)</f>
        <v>0</v>
      </c>
      <c r="BM363" s="2">
        <f>VLOOKUP([jobnumber],OvalData[],MATCH(Table2[[#Headers],[Total Spring Weight]],Table2[#Headers],0),0)</f>
        <v>0</v>
      </c>
      <c r="BN363" s="2">
        <f>VLOOKUP([jobnumber],OvalData[],MATCH(Table2[[#Headers],[Pipe Weight]],Table2[#Headers],0),0)</f>
        <v>688.24239999999998</v>
      </c>
      <c r="BO363" s="2">
        <f>VLOOKUP([jobnumber],OvalData[],MATCH(Table2[[#Headers],[Max Pipe Deflection]],Table2[#Headers],0),0)</f>
        <v>2309</v>
      </c>
      <c r="BP363" s="2">
        <f>VLOOKUP([jobnumber],OvalData[],MATCH(Table2[[#Headers],[Number Non-Insulated Wrap Slats]],Table2[#Headers],0),0)</f>
        <v>0</v>
      </c>
      <c r="BQ363" s="2">
        <f>VLOOKUP([jobnumber],OvalData[],MATCH(Table2[[#Headers],[Number of Insolated Top Slats]],Table2[#Headers],0),0)</f>
        <v>45</v>
      </c>
      <c r="BR363" s="2">
        <f>VLOOKUP([jobnumber],OvalData[],MATCH(Table2[[#Headers],[Insolated Total Slats]],Table2[#Headers],0),0)</f>
        <v>45</v>
      </c>
      <c r="BS363" s="2">
        <f>VLOOKUP([jobnumber],OvalData[],MATCH(Table2[[#Headers],[Number of Slats]],Table2[#Headers],0),0)</f>
        <v>44.69</v>
      </c>
      <c r="BT363" s="2">
        <f>VLOOKUP([jobnumber],OvalData[],MATCH(Table2[[#Headers],[Wrap]],Table2[#Headers],0),0)</f>
        <v>0</v>
      </c>
      <c r="BU363" s="2">
        <f>VLOOKUP([jobnumber],OvalData[],MATCH(Table2[[#Headers],[Wall Angle Thickness]],Table2[#Headers],0),0)</f>
        <v>0</v>
      </c>
      <c r="BV363" s="2">
        <f>VLOOKUP([jobnumber],OvalData[],MATCH(Table2[[#Headers],[windlocks]],Table2[#Headers],0),0)</f>
        <v>0</v>
      </c>
      <c r="BW363" s="2" t="str">
        <f>VLOOKUP([jobnumber],OvalData[],MATCH(Table2[[#Headers],[bottombartype]],Table2[#Headers],0),0)</f>
        <v>SPECIAL</v>
      </c>
      <c r="BX363" s="2">
        <f>VLOOKUP([jobnumber],OvalData[],MATCH(Table2[[#Headers],[endlockweight]],Table2[#Headers],0),0)</f>
        <v>0.17</v>
      </c>
      <c r="BY363" s="2">
        <f>VLOOKUP([jobnumber],OvalData[],MATCH(Table2[[#Headers],[Endlock Total Weight]],Table2[#Headers],0),0)</f>
        <v>7.5972999999999997</v>
      </c>
      <c r="BZ363" s="2">
        <f>VLOOKUP([jobnumber],OvalData[],MATCH(Table2[[#Headers],[Grille Weight]],Table2[#Headers],0),0)</f>
        <v>0</v>
      </c>
      <c r="CA363" s="2">
        <f>VLOOKUP([jobnumber],OvalData[],MATCH(Table2[[#Headers],[barrelrings]],Table2[#Headers],0),0)</f>
        <v>1</v>
      </c>
    </row>
    <row r="364" spans="2:79">
      <c r="B364" s="2" t="str">
        <f>VLOOKUP([jobnumber],OvalData[],MATCH(Table2[[#Headers],[Hand]],Table2[#Headers],0),0)</f>
        <v>RH</v>
      </c>
      <c r="C364" s="2" t="str">
        <f>VLOOKUP([jobnumber],OvalData[],MATCH(Table2[[#Headers],[Model]],Table2[#Headers],0),0)</f>
        <v>SFMPP</v>
      </c>
      <c r="D364" s="2" t="str">
        <f>VLOOKUP([jobnumber],OvalData[],MATCH(Table2[[#Headers],[width]],Table2[#Headers],0),0)</f>
        <v xml:space="preserve"> 18 ft.- 2"</v>
      </c>
      <c r="E364" s="2" t="str">
        <f>VLOOKUP([jobnumber],OvalData[],MATCH(Table2[[#Headers],[stopheight]],Table2[#Headers],0),0)</f>
        <v xml:space="preserve"> 10 ft.- 0"</v>
      </c>
      <c r="F364" s="2" t="str">
        <f>VLOOKUP([jobnumber],OvalData[],MATCH(Table2[[#Headers],[Between Brackets]],Table2[#Headers],0),0)</f>
        <v xml:space="preserve"> 18 ft.- 7 7/ 8"</v>
      </c>
      <c r="G364" s="2" t="str">
        <f>VLOOKUP([jobnumber],OvalData[],MATCH(Table2[[#Headers],[shell]],Table2[#Headers],0),0)</f>
        <v>6 INCH TUBE</v>
      </c>
      <c r="H364" s="2" t="str">
        <f>VLOOKUP([jobnumber],OvalData[],MATCH(Table2[[#Headers],[pipewidth]],Table2[#Headers],0),0)</f>
        <v xml:space="preserve"> 18 ft.- 1 3/ 8"</v>
      </c>
      <c r="I364" s="2">
        <f>VLOOKUP([jobnumber],OvalData[],MATCH(Table2[[#Headers],[Support Tubes]],Table2[#Headers],0),0)</f>
        <v>0</v>
      </c>
      <c r="J364" s="2">
        <f>VLOOKUP([jobnumber],OvalData[],MATCH(Table2[[#Headers],[Upset]],Table2[#Headers],0),0)</f>
        <v>2</v>
      </c>
      <c r="K364" s="2" t="str">
        <f>VLOOKUP([jobnumber],OvalData[],MATCH(Table2[[#Headers],[Guide Type]],Table2[#Headers],0),0)</f>
        <v>SN2-4 5/8-E</v>
      </c>
      <c r="L364" s="2" t="str">
        <f>VLOOKUP([jobnumber],OvalData[],MATCH(Table2[[#Headers],[Wall Angle]],Table2[#Headers],0),0)</f>
        <v xml:space="preserve"> 11 ft.- 8"</v>
      </c>
      <c r="M364" s="2" t="str">
        <f>VLOOKUP([jobnumber],OvalData[],MATCH(Table2[[#Headers],[Middle Angle]],Table2[#Headers],0),0)</f>
        <v xml:space="preserve"> 10 ft.- 4 1/ 2"</v>
      </c>
      <c r="N364" s="2" t="str">
        <f>VLOOKUP([jobnumber],OvalData[],MATCH(Table2[[#Headers],[Front Angle]],Table2[#Headers],0),0)</f>
        <v xml:space="preserve"> 10 ft.- 3"</v>
      </c>
      <c r="O364" s="2">
        <f>VLOOKUP([jobnumber],OvalData[],MATCH(Table2[[#Headers],[Pipe Center Line]],Table2[#Headers],0),0)</f>
        <v>131</v>
      </c>
      <c r="P364" s="2">
        <f>VLOOKUP([jobnumber],OvalData[],MATCH(Table2[[#Headers],[Heat Expansion Gap]],Table2[#Headers],0),0)</f>
        <v>0</v>
      </c>
      <c r="Q364" s="2">
        <f>VLOOKUP([jobnumber],OvalData[],MATCH(Table2[[#Headers],[Hanging Weight Closed]],Table2[#Headers],0),0)</f>
        <v>795</v>
      </c>
      <c r="R364" s="2">
        <f>VLOOKUP([jobnumber],OvalData[],MATCH(Table2[[#Headers],[Hanging Weight Open]],Table2[#Headers],0),0)</f>
        <v>140</v>
      </c>
      <c r="S364" s="2">
        <f>VLOOKUP([jobnumber],OvalData[],MATCH(Table2[[#Headers],[Initial Lever Arm]],Table2[#Headers],0),0)</f>
        <v>4.25</v>
      </c>
      <c r="T364" s="2">
        <f>VLOOKUP([jobnumber],OvalData[],MATCH(Table2[[#Headers],[Turns to Raise]],Table2[#Headers],0),0)</f>
        <v>3.5859999999999999</v>
      </c>
      <c r="U364" s="2">
        <f>VLOOKUP([jobnumber],OvalData[],MATCH(Table2[[#Headers],[Final Lever Arm]],Table2[#Headers],0),0)</f>
        <v>6.37</v>
      </c>
      <c r="V364" s="2">
        <f>VLOOKUP([jobnumber],OvalData[],MATCH(Table2[[#Headers],[Torque Required Closed]],Table2[#Headers],0),0)</f>
        <v>3377.9</v>
      </c>
      <c r="W364" s="2">
        <f>VLOOKUP([jobnumber],OvalData[],MATCH(Table2[[#Headers],[Torque Required Open]],Table2[#Headers],0),0)</f>
        <v>892</v>
      </c>
      <c r="X364" s="2">
        <f>VLOOKUP([jobnumber],OvalData[],MATCH(Table2[[#Headers],[Pre Turns]],Table2[#Headers],0),0)</f>
        <v>1.3332999999999999</v>
      </c>
      <c r="Y364" s="2">
        <f>VLOOKUP([jobnumber],OvalData[],MATCH(Table2[[#Headers],[Required Torque Per Turn]],Table2[#Headers],0),0)</f>
        <v>688</v>
      </c>
      <c r="Z364" s="2">
        <f>VLOOKUP([jobnumber],OvalData[],MATCH(Table2[[#Headers],[Total Turns]],Table2[#Headers],0),0)</f>
        <v>4.91</v>
      </c>
      <c r="AA364" s="2">
        <f>VLOOKUP([jobnumber],OvalData[],MATCH(Table2[[#Headers],[Grille Vision Section]],Table2[#Headers],0),0)</f>
        <v>0</v>
      </c>
      <c r="AB364" s="2">
        <f>VLOOKUP([jobnumber],OvalData[],MATCH(Table2[[#Headers],[Grille Amount]],Table2[#Headers],0),0)</f>
        <v>0</v>
      </c>
      <c r="AC364" s="2">
        <f>VLOOKUP([jobnumber],OvalData[],MATCH(Table2[[#Headers],[Grille Center]],Table2[#Headers],0),0)</f>
        <v>0</v>
      </c>
      <c r="AD364" s="2">
        <f>VLOOKUP([jobnumber],OvalData[],MATCH(Table2[[#Headers],[Grille Pattern]],Table2[#Headers],0),0)</f>
        <v>0</v>
      </c>
      <c r="AE364" s="2">
        <f>VLOOKUP([jobnumber],OvalData[],MATCH(Table2[[#Headers],[Grille First Tube]],Table2[#Headers],0),0)</f>
        <v>0</v>
      </c>
      <c r="AF364" s="2">
        <f>VLOOKUP([jobnumber],OvalData[],MATCH(Table2[[#Headers],[Grille Standard Tube]],Table2[#Headers],0),0)</f>
        <v>0</v>
      </c>
      <c r="AG364" s="2">
        <f>VLOOKUP([jobnumber],OvalData[],MATCH(Table2[[#Headers],[Grille Total Links]],Table2[#Headers],0),0)</f>
        <v>0</v>
      </c>
      <c r="AH364" s="2">
        <f>VLOOKUP([jobnumber],OvalData[],MATCH(Table2[[#Headers],[Grille Rods]],Table2[#Headers],0),0)</f>
        <v>0</v>
      </c>
      <c r="AI364" s="2">
        <f>VLOOKUP([jobnumber],OvalData[],MATCH(Table2[[#Headers],[Grille Rod Length]],Table2[#Headers],0),0)</f>
        <v>0</v>
      </c>
      <c r="AJ364" s="2">
        <f>VLOOKUP([jobnumber],OvalData[],MATCH(Table2[[#Headers],[slattype]],Table2[#Headers],0),0)</f>
        <v>2</v>
      </c>
      <c r="AK364" s="2">
        <f>VLOOKUP([jobnumber],OvalData[],MATCH(Table2[[#Headers],[slatgage]],Table2[#Headers],0),0)</f>
        <v>18</v>
      </c>
      <c r="AL364" s="2">
        <f>VLOOKUP([jobnumber],OvalData[],MATCH(Table2[[#Headers],[Numer of Top Slats]],Table2[#Headers],0),0)</f>
        <v>0</v>
      </c>
      <c r="AM364" s="2">
        <f>VLOOKUP([jobnumber],OvalData[],MATCH(Table2[[#Headers],[Number of Bottom Slats]],Table2[#Headers],0),0)</f>
        <v>0</v>
      </c>
      <c r="AN364" s="2">
        <f>VLOOKUP([jobnumber],OvalData[],MATCH(Table2[[#Headers],[Solid Bottom Height]],Table2[#Headers],0),0)</f>
        <v>0</v>
      </c>
      <c r="AO364" s="2" t="str">
        <f>VLOOKUP([jobnumber],OvalData[],MATCH(Table2[[#Headers],[slatlength]],Table2[#Headers],0),0)</f>
        <v xml:space="preserve"> 18 ft.- 5 7/ 8"</v>
      </c>
      <c r="AP364" s="2">
        <f>VLOOKUP([jobnumber],OvalData[],MATCH(Table2[[#Headers],[Bottom Slat Length]],Table2[#Headers],0),0)</f>
        <v>0</v>
      </c>
      <c r="AQ364" s="2">
        <f>VLOOKUP([jobnumber],OvalData[],MATCH(Table2[[#Headers],[Number of Perferated Slats]],Table2[#Headers],0),0)</f>
        <v>0</v>
      </c>
      <c r="AR364" s="2">
        <f>VLOOKUP([jobnumber],OvalData[],MATCH(Table2[[#Headers],[First Preferated Slat From End]],Table2[#Headers],0),0)</f>
        <v>0</v>
      </c>
      <c r="AS364" s="2">
        <f>VLOOKUP([jobnumber],OvalData[],MATCH(Table2[[#Headers],[First Preferated Slat From Bottom]],Table2[#Headers],0),0)</f>
        <v>0</v>
      </c>
      <c r="AT364" s="2">
        <f>VLOOKUP([jobnumber],OvalData[],MATCH(Table2[[#Headers],[Total Number of Slats]],Table2[#Headers],0),0)</f>
        <v>51</v>
      </c>
      <c r="AU364" s="2">
        <f>VLOOKUP([jobnumber],OvalData[],MATCH(Table2[[#Headers],[Bottom Bar Slope]],Table2[#Headers],0),0)</f>
        <v>0</v>
      </c>
      <c r="AV364" s="2">
        <f>VLOOKUP([jobnumber],OvalData[],MATCH(Table2[[#Headers],[Bottom Bar Weight]],Table2[#Headers],0),0)</f>
        <v>80.5</v>
      </c>
      <c r="AW364" s="2" t="str">
        <f>VLOOKUP([jobnumber],OvalData[],MATCH(Table2[[#Headers],[Outer Spring Gage]],Table2[#Headers],0),0)</f>
        <v>Null</v>
      </c>
      <c r="AX364" s="2" t="str">
        <f>VLOOKUP([jobnumber],OvalData[],MATCH(Table2[[#Headers],[Outer Spring OD]],Table2[#Headers],0),0)</f>
        <v>Null</v>
      </c>
      <c r="AY364" s="2" t="str">
        <f>VLOOKUP([jobnumber],OvalData[],MATCH(Table2[[#Headers],[Outer Spring Length]],Table2[#Headers],0),0)</f>
        <v>Null</v>
      </c>
      <c r="AZ364" s="2" t="str">
        <f>VLOOKUP([jobnumber],OvalData[],MATCH(Table2[[#Headers],[Outer Spring Stretch]],Table2[#Headers],0),0)</f>
        <v>Null</v>
      </c>
      <c r="BA364" s="2" t="str">
        <f>VLOOKUP([jobnumber],OvalData[],MATCH(Table2[[#Headers],[Outer Spring Torque]],Table2[#Headers],0),0)</f>
        <v>Null</v>
      </c>
      <c r="BB364" s="2" t="str">
        <f>VLOOKUP([jobnumber],OvalData[],MATCH(Table2[[#Headers],[Outer Spring Max Turns]],Table2[#Headers],0),0)</f>
        <v>Null</v>
      </c>
      <c r="BC364" s="2" t="str">
        <f>VLOOKUP([jobnumber],OvalData[],MATCH(Table2[[#Headers],[Outer Spring Weight]],Table2[#Headers],0),0)</f>
        <v>Null</v>
      </c>
      <c r="BD364" s="2" t="str">
        <f>VLOOKUP([jobnumber],OvalData[],MATCH(Table2[[#Headers],[Inner Spring Gage]],Table2[#Headers],0),0)</f>
        <v>Null</v>
      </c>
      <c r="BE364" s="2" t="str">
        <f>VLOOKUP([jobnumber],OvalData[],MATCH(Table2[[#Headers],[Inner Spring OD]],Table2[#Headers],0),0)</f>
        <v>Null</v>
      </c>
      <c r="BF364" s="2" t="str">
        <f>VLOOKUP([jobnumber],OvalData[],MATCH(Table2[[#Headers],[Inner Spring Length]],Table2[#Headers],0),0)</f>
        <v>Null</v>
      </c>
      <c r="BG364" s="2" t="str">
        <f>VLOOKUP([jobnumber],OvalData[],MATCH(Table2[[#Headers],[Inner Spring Stretch]],Table2[#Headers],0),0)</f>
        <v>Null</v>
      </c>
      <c r="BH364" s="2" t="str">
        <f>VLOOKUP([jobnumber],OvalData[],MATCH(Table2[[#Headers],[Inner Spring Torque]],Table2[#Headers],0),0)</f>
        <v>Null</v>
      </c>
      <c r="BI364" s="2" t="str">
        <f>VLOOKUP([jobnumber],OvalData[],MATCH(Table2[[#Headers],[Inner Spring Max Turns]],Table2[#Headers],0),0)</f>
        <v>Null</v>
      </c>
      <c r="BJ364" s="2" t="str">
        <f>VLOOKUP([jobnumber],OvalData[],MATCH(Table2[[#Headers],[Inner Spring Weight]],Table2[#Headers],0),0)</f>
        <v>Null</v>
      </c>
      <c r="BK364" s="2">
        <f>VLOOKUP([jobnumber],OvalData[],MATCH(Table2[[#Headers],[Cycles]],Table2[#Headers],0),0)</f>
        <v>0</v>
      </c>
      <c r="BL364" s="2">
        <f>VLOOKUP([jobnumber],OvalData[],MATCH(Table2[[#Headers],[Total Spring Torque]],Table2[#Headers],0),0)</f>
        <v>0</v>
      </c>
      <c r="BM364" s="2">
        <f>VLOOKUP([jobnumber],OvalData[],MATCH(Table2[[#Headers],[Total Spring Weight]],Table2[#Headers],0),0)</f>
        <v>0</v>
      </c>
      <c r="BN364" s="2">
        <f>VLOOKUP([jobnumber],OvalData[],MATCH(Table2[[#Headers],[Pipe Weight]],Table2[#Headers],0),0)</f>
        <v>688.24239999999998</v>
      </c>
      <c r="BO364" s="2">
        <f>VLOOKUP([jobnumber],OvalData[],MATCH(Table2[[#Headers],[Max Pipe Deflection]],Table2[#Headers],0),0)</f>
        <v>2309</v>
      </c>
      <c r="BP364" s="2">
        <f>VLOOKUP([jobnumber],OvalData[],MATCH(Table2[[#Headers],[Number Non-Insulated Wrap Slats]],Table2[#Headers],0),0)</f>
        <v>0</v>
      </c>
      <c r="BQ364" s="2">
        <f>VLOOKUP([jobnumber],OvalData[],MATCH(Table2[[#Headers],[Number of Insolated Top Slats]],Table2[#Headers],0),0)</f>
        <v>45</v>
      </c>
      <c r="BR364" s="2">
        <f>VLOOKUP([jobnumber],OvalData[],MATCH(Table2[[#Headers],[Insolated Total Slats]],Table2[#Headers],0),0)</f>
        <v>45</v>
      </c>
      <c r="BS364" s="2">
        <f>VLOOKUP([jobnumber],OvalData[],MATCH(Table2[[#Headers],[Number of Slats]],Table2[#Headers],0),0)</f>
        <v>44.69</v>
      </c>
      <c r="BT364" s="2">
        <f>VLOOKUP([jobnumber],OvalData[],MATCH(Table2[[#Headers],[Wrap]],Table2[#Headers],0),0)</f>
        <v>0</v>
      </c>
      <c r="BU364" s="2">
        <f>VLOOKUP([jobnumber],OvalData[],MATCH(Table2[[#Headers],[Wall Angle Thickness]],Table2[#Headers],0),0)</f>
        <v>0</v>
      </c>
      <c r="BV364" s="2">
        <f>VLOOKUP([jobnumber],OvalData[],MATCH(Table2[[#Headers],[windlocks]],Table2[#Headers],0),0)</f>
        <v>0</v>
      </c>
      <c r="BW364" s="2" t="str">
        <f>VLOOKUP([jobnumber],OvalData[],MATCH(Table2[[#Headers],[bottombartype]],Table2[#Headers],0),0)</f>
        <v>SPECIAL</v>
      </c>
      <c r="BX364" s="2">
        <f>VLOOKUP([jobnumber],OvalData[],MATCH(Table2[[#Headers],[endlockweight]],Table2[#Headers],0),0)</f>
        <v>0.17</v>
      </c>
      <c r="BY364" s="2">
        <f>VLOOKUP([jobnumber],OvalData[],MATCH(Table2[[#Headers],[Endlock Total Weight]],Table2[#Headers],0),0)</f>
        <v>7.5972999999999997</v>
      </c>
      <c r="BZ364" s="2">
        <f>VLOOKUP([jobnumber],OvalData[],MATCH(Table2[[#Headers],[Grille Weight]],Table2[#Headers],0),0)</f>
        <v>0</v>
      </c>
      <c r="CA364" s="2">
        <f>VLOOKUP([jobnumber],OvalData[],MATCH(Table2[[#Headers],[barrelrings]],Table2[#Headers],0),0)</f>
        <v>1</v>
      </c>
    </row>
    <row r="365" spans="2:79">
      <c r="B365" s="2" t="str">
        <f>VLOOKUP([jobnumber],OvalData[],MATCH(Table2[[#Headers],[Hand]],Table2[#Headers],0),0)</f>
        <v>RH</v>
      </c>
      <c r="C365" s="2" t="str">
        <f>VLOOKUP([jobnumber],OvalData[],MATCH(Table2[[#Headers],[Model]],Table2[#Headers],0),0)</f>
        <v>SFMPP</v>
      </c>
      <c r="D365" s="2" t="str">
        <f>VLOOKUP([jobnumber],OvalData[],MATCH(Table2[[#Headers],[width]],Table2[#Headers],0),0)</f>
        <v xml:space="preserve"> 18 ft.- 2"</v>
      </c>
      <c r="E365" s="2" t="str">
        <f>VLOOKUP([jobnumber],OvalData[],MATCH(Table2[[#Headers],[stopheight]],Table2[#Headers],0),0)</f>
        <v xml:space="preserve"> 10 ft.- 0"</v>
      </c>
      <c r="F365" s="2" t="str">
        <f>VLOOKUP([jobnumber],OvalData[],MATCH(Table2[[#Headers],[Between Brackets]],Table2[#Headers],0),0)</f>
        <v xml:space="preserve"> 18 ft.- 7 7/ 8"</v>
      </c>
      <c r="G365" s="2" t="str">
        <f>VLOOKUP([jobnumber],OvalData[],MATCH(Table2[[#Headers],[shell]],Table2[#Headers],0),0)</f>
        <v>6 INCH TUBE</v>
      </c>
      <c r="H365" s="2" t="str">
        <f>VLOOKUP([jobnumber],OvalData[],MATCH(Table2[[#Headers],[pipewidth]],Table2[#Headers],0),0)</f>
        <v xml:space="preserve"> 18 ft.- 1 3/ 8"</v>
      </c>
      <c r="I365" s="2">
        <f>VLOOKUP([jobnumber],OvalData[],MATCH(Table2[[#Headers],[Support Tubes]],Table2[#Headers],0),0)</f>
        <v>0</v>
      </c>
      <c r="J365" s="2">
        <f>VLOOKUP([jobnumber],OvalData[],MATCH(Table2[[#Headers],[Upset]],Table2[#Headers],0),0)</f>
        <v>2</v>
      </c>
      <c r="K365" s="2" t="str">
        <f>VLOOKUP([jobnumber],OvalData[],MATCH(Table2[[#Headers],[Guide Type]],Table2[#Headers],0),0)</f>
        <v>SN2-4 5/8-E</v>
      </c>
      <c r="L365" s="2" t="str">
        <f>VLOOKUP([jobnumber],OvalData[],MATCH(Table2[[#Headers],[Wall Angle]],Table2[#Headers],0),0)</f>
        <v xml:space="preserve"> 11 ft.- 8"</v>
      </c>
      <c r="M365" s="2" t="str">
        <f>VLOOKUP([jobnumber],OvalData[],MATCH(Table2[[#Headers],[Middle Angle]],Table2[#Headers],0),0)</f>
        <v xml:space="preserve"> 10 ft.- 4 1/ 2"</v>
      </c>
      <c r="N365" s="2" t="str">
        <f>VLOOKUP([jobnumber],OvalData[],MATCH(Table2[[#Headers],[Front Angle]],Table2[#Headers],0),0)</f>
        <v xml:space="preserve"> 10 ft.- 3"</v>
      </c>
      <c r="O365" s="2">
        <f>VLOOKUP([jobnumber],OvalData[],MATCH(Table2[[#Headers],[Pipe Center Line]],Table2[#Headers],0),0)</f>
        <v>131</v>
      </c>
      <c r="P365" s="2">
        <f>VLOOKUP([jobnumber],OvalData[],MATCH(Table2[[#Headers],[Heat Expansion Gap]],Table2[#Headers],0),0)</f>
        <v>0</v>
      </c>
      <c r="Q365" s="2">
        <f>VLOOKUP([jobnumber],OvalData[],MATCH(Table2[[#Headers],[Hanging Weight Closed]],Table2[#Headers],0),0)</f>
        <v>795</v>
      </c>
      <c r="R365" s="2">
        <f>VLOOKUP([jobnumber],OvalData[],MATCH(Table2[[#Headers],[Hanging Weight Open]],Table2[#Headers],0),0)</f>
        <v>140</v>
      </c>
      <c r="S365" s="2">
        <f>VLOOKUP([jobnumber],OvalData[],MATCH(Table2[[#Headers],[Initial Lever Arm]],Table2[#Headers],0),0)</f>
        <v>4.25</v>
      </c>
      <c r="T365" s="2">
        <f>VLOOKUP([jobnumber],OvalData[],MATCH(Table2[[#Headers],[Turns to Raise]],Table2[#Headers],0),0)</f>
        <v>3.5859999999999999</v>
      </c>
      <c r="U365" s="2">
        <f>VLOOKUP([jobnumber],OvalData[],MATCH(Table2[[#Headers],[Final Lever Arm]],Table2[#Headers],0),0)</f>
        <v>6.37</v>
      </c>
      <c r="V365" s="2">
        <f>VLOOKUP([jobnumber],OvalData[],MATCH(Table2[[#Headers],[Torque Required Closed]],Table2[#Headers],0),0)</f>
        <v>3377.9</v>
      </c>
      <c r="W365" s="2">
        <f>VLOOKUP([jobnumber],OvalData[],MATCH(Table2[[#Headers],[Torque Required Open]],Table2[#Headers],0),0)</f>
        <v>892</v>
      </c>
      <c r="X365" s="2">
        <f>VLOOKUP([jobnumber],OvalData[],MATCH(Table2[[#Headers],[Pre Turns]],Table2[#Headers],0),0)</f>
        <v>1.3332999999999999</v>
      </c>
      <c r="Y365" s="2">
        <f>VLOOKUP([jobnumber],OvalData[],MATCH(Table2[[#Headers],[Required Torque Per Turn]],Table2[#Headers],0),0)</f>
        <v>688</v>
      </c>
      <c r="Z365" s="2">
        <f>VLOOKUP([jobnumber],OvalData[],MATCH(Table2[[#Headers],[Total Turns]],Table2[#Headers],0),0)</f>
        <v>4.91</v>
      </c>
      <c r="AA365" s="2">
        <f>VLOOKUP([jobnumber],OvalData[],MATCH(Table2[[#Headers],[Grille Vision Section]],Table2[#Headers],0),0)</f>
        <v>0</v>
      </c>
      <c r="AB365" s="2">
        <f>VLOOKUP([jobnumber],OvalData[],MATCH(Table2[[#Headers],[Grille Amount]],Table2[#Headers],0),0)</f>
        <v>0</v>
      </c>
      <c r="AC365" s="2">
        <f>VLOOKUP([jobnumber],OvalData[],MATCH(Table2[[#Headers],[Grille Center]],Table2[#Headers],0),0)</f>
        <v>0</v>
      </c>
      <c r="AD365" s="2">
        <f>VLOOKUP([jobnumber],OvalData[],MATCH(Table2[[#Headers],[Grille Pattern]],Table2[#Headers],0),0)</f>
        <v>0</v>
      </c>
      <c r="AE365" s="2">
        <f>VLOOKUP([jobnumber],OvalData[],MATCH(Table2[[#Headers],[Grille First Tube]],Table2[#Headers],0),0)</f>
        <v>0</v>
      </c>
      <c r="AF365" s="2">
        <f>VLOOKUP([jobnumber],OvalData[],MATCH(Table2[[#Headers],[Grille Standard Tube]],Table2[#Headers],0),0)</f>
        <v>0</v>
      </c>
      <c r="AG365" s="2">
        <f>VLOOKUP([jobnumber],OvalData[],MATCH(Table2[[#Headers],[Grille Total Links]],Table2[#Headers],0),0)</f>
        <v>0</v>
      </c>
      <c r="AH365" s="2">
        <f>VLOOKUP([jobnumber],OvalData[],MATCH(Table2[[#Headers],[Grille Rods]],Table2[#Headers],0),0)</f>
        <v>0</v>
      </c>
      <c r="AI365" s="2">
        <f>VLOOKUP([jobnumber],OvalData[],MATCH(Table2[[#Headers],[Grille Rod Length]],Table2[#Headers],0),0)</f>
        <v>0</v>
      </c>
      <c r="AJ365" s="2">
        <f>VLOOKUP([jobnumber],OvalData[],MATCH(Table2[[#Headers],[slattype]],Table2[#Headers],0),0)</f>
        <v>2</v>
      </c>
      <c r="AK365" s="2">
        <f>VLOOKUP([jobnumber],OvalData[],MATCH(Table2[[#Headers],[slatgage]],Table2[#Headers],0),0)</f>
        <v>18</v>
      </c>
      <c r="AL365" s="2">
        <f>VLOOKUP([jobnumber],OvalData[],MATCH(Table2[[#Headers],[Numer of Top Slats]],Table2[#Headers],0),0)</f>
        <v>0</v>
      </c>
      <c r="AM365" s="2">
        <f>VLOOKUP([jobnumber],OvalData[],MATCH(Table2[[#Headers],[Number of Bottom Slats]],Table2[#Headers],0),0)</f>
        <v>0</v>
      </c>
      <c r="AN365" s="2">
        <f>VLOOKUP([jobnumber],OvalData[],MATCH(Table2[[#Headers],[Solid Bottom Height]],Table2[#Headers],0),0)</f>
        <v>0</v>
      </c>
      <c r="AO365" s="2" t="str">
        <f>VLOOKUP([jobnumber],OvalData[],MATCH(Table2[[#Headers],[slatlength]],Table2[#Headers],0),0)</f>
        <v xml:space="preserve"> 18 ft.- 5 7/ 8"</v>
      </c>
      <c r="AP365" s="2">
        <f>VLOOKUP([jobnumber],OvalData[],MATCH(Table2[[#Headers],[Bottom Slat Length]],Table2[#Headers],0),0)</f>
        <v>0</v>
      </c>
      <c r="AQ365" s="2">
        <f>VLOOKUP([jobnumber],OvalData[],MATCH(Table2[[#Headers],[Number of Perferated Slats]],Table2[#Headers],0),0)</f>
        <v>0</v>
      </c>
      <c r="AR365" s="2">
        <f>VLOOKUP([jobnumber],OvalData[],MATCH(Table2[[#Headers],[First Preferated Slat From End]],Table2[#Headers],0),0)</f>
        <v>0</v>
      </c>
      <c r="AS365" s="2">
        <f>VLOOKUP([jobnumber],OvalData[],MATCH(Table2[[#Headers],[First Preferated Slat From Bottom]],Table2[#Headers],0),0)</f>
        <v>0</v>
      </c>
      <c r="AT365" s="2">
        <f>VLOOKUP([jobnumber],OvalData[],MATCH(Table2[[#Headers],[Total Number of Slats]],Table2[#Headers],0),0)</f>
        <v>51</v>
      </c>
      <c r="AU365" s="2">
        <f>VLOOKUP([jobnumber],OvalData[],MATCH(Table2[[#Headers],[Bottom Bar Slope]],Table2[#Headers],0),0)</f>
        <v>0</v>
      </c>
      <c r="AV365" s="2">
        <f>VLOOKUP([jobnumber],OvalData[],MATCH(Table2[[#Headers],[Bottom Bar Weight]],Table2[#Headers],0),0)</f>
        <v>80.5</v>
      </c>
      <c r="AW365" s="2" t="str">
        <f>VLOOKUP([jobnumber],OvalData[],MATCH(Table2[[#Headers],[Outer Spring Gage]],Table2[#Headers],0),0)</f>
        <v>Null</v>
      </c>
      <c r="AX365" s="2" t="str">
        <f>VLOOKUP([jobnumber],OvalData[],MATCH(Table2[[#Headers],[Outer Spring OD]],Table2[#Headers],0),0)</f>
        <v>Null</v>
      </c>
      <c r="AY365" s="2" t="str">
        <f>VLOOKUP([jobnumber],OvalData[],MATCH(Table2[[#Headers],[Outer Spring Length]],Table2[#Headers],0),0)</f>
        <v>Null</v>
      </c>
      <c r="AZ365" s="2" t="str">
        <f>VLOOKUP([jobnumber],OvalData[],MATCH(Table2[[#Headers],[Outer Spring Stretch]],Table2[#Headers],0),0)</f>
        <v>Null</v>
      </c>
      <c r="BA365" s="2" t="str">
        <f>VLOOKUP([jobnumber],OvalData[],MATCH(Table2[[#Headers],[Outer Spring Torque]],Table2[#Headers],0),0)</f>
        <v>Null</v>
      </c>
      <c r="BB365" s="2" t="str">
        <f>VLOOKUP([jobnumber],OvalData[],MATCH(Table2[[#Headers],[Outer Spring Max Turns]],Table2[#Headers],0),0)</f>
        <v>Null</v>
      </c>
      <c r="BC365" s="2" t="str">
        <f>VLOOKUP([jobnumber],OvalData[],MATCH(Table2[[#Headers],[Outer Spring Weight]],Table2[#Headers],0),0)</f>
        <v>Null</v>
      </c>
      <c r="BD365" s="2" t="str">
        <f>VLOOKUP([jobnumber],OvalData[],MATCH(Table2[[#Headers],[Inner Spring Gage]],Table2[#Headers],0),0)</f>
        <v>Null</v>
      </c>
      <c r="BE365" s="2" t="str">
        <f>VLOOKUP([jobnumber],OvalData[],MATCH(Table2[[#Headers],[Inner Spring OD]],Table2[#Headers],0),0)</f>
        <v>Null</v>
      </c>
      <c r="BF365" s="2" t="str">
        <f>VLOOKUP([jobnumber],OvalData[],MATCH(Table2[[#Headers],[Inner Spring Length]],Table2[#Headers],0),0)</f>
        <v>Null</v>
      </c>
      <c r="BG365" s="2" t="str">
        <f>VLOOKUP([jobnumber],OvalData[],MATCH(Table2[[#Headers],[Inner Spring Stretch]],Table2[#Headers],0),0)</f>
        <v>Null</v>
      </c>
      <c r="BH365" s="2" t="str">
        <f>VLOOKUP([jobnumber],OvalData[],MATCH(Table2[[#Headers],[Inner Spring Torque]],Table2[#Headers],0),0)</f>
        <v>Null</v>
      </c>
      <c r="BI365" s="2" t="str">
        <f>VLOOKUP([jobnumber],OvalData[],MATCH(Table2[[#Headers],[Inner Spring Max Turns]],Table2[#Headers],0),0)</f>
        <v>Null</v>
      </c>
      <c r="BJ365" s="2" t="str">
        <f>VLOOKUP([jobnumber],OvalData[],MATCH(Table2[[#Headers],[Inner Spring Weight]],Table2[#Headers],0),0)</f>
        <v>Null</v>
      </c>
      <c r="BK365" s="2">
        <f>VLOOKUP([jobnumber],OvalData[],MATCH(Table2[[#Headers],[Cycles]],Table2[#Headers],0),0)</f>
        <v>0</v>
      </c>
      <c r="BL365" s="2">
        <f>VLOOKUP([jobnumber],OvalData[],MATCH(Table2[[#Headers],[Total Spring Torque]],Table2[#Headers],0),0)</f>
        <v>0</v>
      </c>
      <c r="BM365" s="2">
        <f>VLOOKUP([jobnumber],OvalData[],MATCH(Table2[[#Headers],[Total Spring Weight]],Table2[#Headers],0),0)</f>
        <v>0</v>
      </c>
      <c r="BN365" s="2">
        <f>VLOOKUP([jobnumber],OvalData[],MATCH(Table2[[#Headers],[Pipe Weight]],Table2[#Headers],0),0)</f>
        <v>688.24239999999998</v>
      </c>
      <c r="BO365" s="2">
        <f>VLOOKUP([jobnumber],OvalData[],MATCH(Table2[[#Headers],[Max Pipe Deflection]],Table2[#Headers],0),0)</f>
        <v>2309</v>
      </c>
      <c r="BP365" s="2">
        <f>VLOOKUP([jobnumber],OvalData[],MATCH(Table2[[#Headers],[Number Non-Insulated Wrap Slats]],Table2[#Headers],0),0)</f>
        <v>0</v>
      </c>
      <c r="BQ365" s="2">
        <f>VLOOKUP([jobnumber],OvalData[],MATCH(Table2[[#Headers],[Number of Insolated Top Slats]],Table2[#Headers],0),0)</f>
        <v>45</v>
      </c>
      <c r="BR365" s="2">
        <f>VLOOKUP([jobnumber],OvalData[],MATCH(Table2[[#Headers],[Insolated Total Slats]],Table2[#Headers],0),0)</f>
        <v>45</v>
      </c>
      <c r="BS365" s="2">
        <f>VLOOKUP([jobnumber],OvalData[],MATCH(Table2[[#Headers],[Number of Slats]],Table2[#Headers],0),0)</f>
        <v>44.69</v>
      </c>
      <c r="BT365" s="2">
        <f>VLOOKUP([jobnumber],OvalData[],MATCH(Table2[[#Headers],[Wrap]],Table2[#Headers],0),0)</f>
        <v>0</v>
      </c>
      <c r="BU365" s="2">
        <f>VLOOKUP([jobnumber],OvalData[],MATCH(Table2[[#Headers],[Wall Angle Thickness]],Table2[#Headers],0),0)</f>
        <v>0</v>
      </c>
      <c r="BV365" s="2">
        <f>VLOOKUP([jobnumber],OvalData[],MATCH(Table2[[#Headers],[windlocks]],Table2[#Headers],0),0)</f>
        <v>0</v>
      </c>
      <c r="BW365" s="2" t="str">
        <f>VLOOKUP([jobnumber],OvalData[],MATCH(Table2[[#Headers],[bottombartype]],Table2[#Headers],0),0)</f>
        <v>SPECIAL</v>
      </c>
      <c r="BX365" s="2">
        <f>VLOOKUP([jobnumber],OvalData[],MATCH(Table2[[#Headers],[endlockweight]],Table2[#Headers],0),0)</f>
        <v>0.17</v>
      </c>
      <c r="BY365" s="2">
        <f>VLOOKUP([jobnumber],OvalData[],MATCH(Table2[[#Headers],[Endlock Total Weight]],Table2[#Headers],0),0)</f>
        <v>7.5972999999999997</v>
      </c>
      <c r="BZ365" s="2">
        <f>VLOOKUP([jobnumber],OvalData[],MATCH(Table2[[#Headers],[Grille Weight]],Table2[#Headers],0),0)</f>
        <v>0</v>
      </c>
      <c r="CA365" s="2">
        <f>VLOOKUP([jobnumber],OvalData[],MATCH(Table2[[#Headers],[barrelrings]],Table2[#Headers],0),0)</f>
        <v>1</v>
      </c>
    </row>
    <row r="366" spans="2:79">
      <c r="B366" s="2" t="str">
        <f>VLOOKUP([jobnumber],OvalData[],MATCH(Table2[[#Headers],[Hand]],Table2[#Headers],0),0)</f>
        <v>RH</v>
      </c>
      <c r="C366" s="2" t="str">
        <f>VLOOKUP([jobnumber],OvalData[],MATCH(Table2[[#Headers],[Model]],Table2[#Headers],0),0)</f>
        <v>SFMPP</v>
      </c>
      <c r="D366" s="2" t="str">
        <f>VLOOKUP([jobnumber],OvalData[],MATCH(Table2[[#Headers],[width]],Table2[#Headers],0),0)</f>
        <v xml:space="preserve"> 18 ft.- 2"</v>
      </c>
      <c r="E366" s="2" t="str">
        <f>VLOOKUP([jobnumber],OvalData[],MATCH(Table2[[#Headers],[stopheight]],Table2[#Headers],0),0)</f>
        <v xml:space="preserve"> 10 ft.- 0"</v>
      </c>
      <c r="F366" s="2" t="str">
        <f>VLOOKUP([jobnumber],OvalData[],MATCH(Table2[[#Headers],[Between Brackets]],Table2[#Headers],0),0)</f>
        <v xml:space="preserve"> 18 ft.- 7 7/ 8"</v>
      </c>
      <c r="G366" s="2" t="str">
        <f>VLOOKUP([jobnumber],OvalData[],MATCH(Table2[[#Headers],[shell]],Table2[#Headers],0),0)</f>
        <v>6 INCH TUBE</v>
      </c>
      <c r="H366" s="2" t="str">
        <f>VLOOKUP([jobnumber],OvalData[],MATCH(Table2[[#Headers],[pipewidth]],Table2[#Headers],0),0)</f>
        <v xml:space="preserve"> 18 ft.- 1 3/ 8"</v>
      </c>
      <c r="I366" s="2">
        <f>VLOOKUP([jobnumber],OvalData[],MATCH(Table2[[#Headers],[Support Tubes]],Table2[#Headers],0),0)</f>
        <v>0</v>
      </c>
      <c r="J366" s="2">
        <f>VLOOKUP([jobnumber],OvalData[],MATCH(Table2[[#Headers],[Upset]],Table2[#Headers],0),0)</f>
        <v>2</v>
      </c>
      <c r="K366" s="2" t="str">
        <f>VLOOKUP([jobnumber],OvalData[],MATCH(Table2[[#Headers],[Guide Type]],Table2[#Headers],0),0)</f>
        <v>SN2-4 5/8-E</v>
      </c>
      <c r="L366" s="2" t="str">
        <f>VLOOKUP([jobnumber],OvalData[],MATCH(Table2[[#Headers],[Wall Angle]],Table2[#Headers],0),0)</f>
        <v xml:space="preserve"> 11 ft.- 8"</v>
      </c>
      <c r="M366" s="2" t="str">
        <f>VLOOKUP([jobnumber],OvalData[],MATCH(Table2[[#Headers],[Middle Angle]],Table2[#Headers],0),0)</f>
        <v xml:space="preserve"> 10 ft.- 4 1/ 2"</v>
      </c>
      <c r="N366" s="2" t="str">
        <f>VLOOKUP([jobnumber],OvalData[],MATCH(Table2[[#Headers],[Front Angle]],Table2[#Headers],0),0)</f>
        <v xml:space="preserve"> 10 ft.- 3"</v>
      </c>
      <c r="O366" s="2">
        <f>VLOOKUP([jobnumber],OvalData[],MATCH(Table2[[#Headers],[Pipe Center Line]],Table2[#Headers],0),0)</f>
        <v>131</v>
      </c>
      <c r="P366" s="2">
        <f>VLOOKUP([jobnumber],OvalData[],MATCH(Table2[[#Headers],[Heat Expansion Gap]],Table2[#Headers],0),0)</f>
        <v>0</v>
      </c>
      <c r="Q366" s="2">
        <f>VLOOKUP([jobnumber],OvalData[],MATCH(Table2[[#Headers],[Hanging Weight Closed]],Table2[#Headers],0),0)</f>
        <v>795</v>
      </c>
      <c r="R366" s="2">
        <f>VLOOKUP([jobnumber],OvalData[],MATCH(Table2[[#Headers],[Hanging Weight Open]],Table2[#Headers],0),0)</f>
        <v>140</v>
      </c>
      <c r="S366" s="2">
        <f>VLOOKUP([jobnumber],OvalData[],MATCH(Table2[[#Headers],[Initial Lever Arm]],Table2[#Headers],0),0)</f>
        <v>4.25</v>
      </c>
      <c r="T366" s="2">
        <f>VLOOKUP([jobnumber],OvalData[],MATCH(Table2[[#Headers],[Turns to Raise]],Table2[#Headers],0),0)</f>
        <v>3.5859999999999999</v>
      </c>
      <c r="U366" s="2">
        <f>VLOOKUP([jobnumber],OvalData[],MATCH(Table2[[#Headers],[Final Lever Arm]],Table2[#Headers],0),0)</f>
        <v>6.37</v>
      </c>
      <c r="V366" s="2">
        <f>VLOOKUP([jobnumber],OvalData[],MATCH(Table2[[#Headers],[Torque Required Closed]],Table2[#Headers],0),0)</f>
        <v>3377.9</v>
      </c>
      <c r="W366" s="2">
        <f>VLOOKUP([jobnumber],OvalData[],MATCH(Table2[[#Headers],[Torque Required Open]],Table2[#Headers],0),0)</f>
        <v>892</v>
      </c>
      <c r="X366" s="2">
        <f>VLOOKUP([jobnumber],OvalData[],MATCH(Table2[[#Headers],[Pre Turns]],Table2[#Headers],0),0)</f>
        <v>1.3332999999999999</v>
      </c>
      <c r="Y366" s="2">
        <f>VLOOKUP([jobnumber],OvalData[],MATCH(Table2[[#Headers],[Required Torque Per Turn]],Table2[#Headers],0),0)</f>
        <v>688</v>
      </c>
      <c r="Z366" s="2">
        <f>VLOOKUP([jobnumber],OvalData[],MATCH(Table2[[#Headers],[Total Turns]],Table2[#Headers],0),0)</f>
        <v>4.91</v>
      </c>
      <c r="AA366" s="2">
        <f>VLOOKUP([jobnumber],OvalData[],MATCH(Table2[[#Headers],[Grille Vision Section]],Table2[#Headers],0),0)</f>
        <v>0</v>
      </c>
      <c r="AB366" s="2">
        <f>VLOOKUP([jobnumber],OvalData[],MATCH(Table2[[#Headers],[Grille Amount]],Table2[#Headers],0),0)</f>
        <v>0</v>
      </c>
      <c r="AC366" s="2">
        <f>VLOOKUP([jobnumber],OvalData[],MATCH(Table2[[#Headers],[Grille Center]],Table2[#Headers],0),0)</f>
        <v>0</v>
      </c>
      <c r="AD366" s="2">
        <f>VLOOKUP([jobnumber],OvalData[],MATCH(Table2[[#Headers],[Grille Pattern]],Table2[#Headers],0),0)</f>
        <v>0</v>
      </c>
      <c r="AE366" s="2">
        <f>VLOOKUP([jobnumber],OvalData[],MATCH(Table2[[#Headers],[Grille First Tube]],Table2[#Headers],0),0)</f>
        <v>0</v>
      </c>
      <c r="AF366" s="2">
        <f>VLOOKUP([jobnumber],OvalData[],MATCH(Table2[[#Headers],[Grille Standard Tube]],Table2[#Headers],0),0)</f>
        <v>0</v>
      </c>
      <c r="AG366" s="2">
        <f>VLOOKUP([jobnumber],OvalData[],MATCH(Table2[[#Headers],[Grille Total Links]],Table2[#Headers],0),0)</f>
        <v>0</v>
      </c>
      <c r="AH366" s="2">
        <f>VLOOKUP([jobnumber],OvalData[],MATCH(Table2[[#Headers],[Grille Rods]],Table2[#Headers],0),0)</f>
        <v>0</v>
      </c>
      <c r="AI366" s="2">
        <f>VLOOKUP([jobnumber],OvalData[],MATCH(Table2[[#Headers],[Grille Rod Length]],Table2[#Headers],0),0)</f>
        <v>0</v>
      </c>
      <c r="AJ366" s="2">
        <f>VLOOKUP([jobnumber],OvalData[],MATCH(Table2[[#Headers],[slattype]],Table2[#Headers],0),0)</f>
        <v>2</v>
      </c>
      <c r="AK366" s="2">
        <f>VLOOKUP([jobnumber],OvalData[],MATCH(Table2[[#Headers],[slatgage]],Table2[#Headers],0),0)</f>
        <v>18</v>
      </c>
      <c r="AL366" s="2">
        <f>VLOOKUP([jobnumber],OvalData[],MATCH(Table2[[#Headers],[Numer of Top Slats]],Table2[#Headers],0),0)</f>
        <v>0</v>
      </c>
      <c r="AM366" s="2">
        <f>VLOOKUP([jobnumber],OvalData[],MATCH(Table2[[#Headers],[Number of Bottom Slats]],Table2[#Headers],0),0)</f>
        <v>0</v>
      </c>
      <c r="AN366" s="2">
        <f>VLOOKUP([jobnumber],OvalData[],MATCH(Table2[[#Headers],[Solid Bottom Height]],Table2[#Headers],0),0)</f>
        <v>0</v>
      </c>
      <c r="AO366" s="2" t="str">
        <f>VLOOKUP([jobnumber],OvalData[],MATCH(Table2[[#Headers],[slatlength]],Table2[#Headers],0),0)</f>
        <v xml:space="preserve"> 18 ft.- 5 7/ 8"</v>
      </c>
      <c r="AP366" s="2">
        <f>VLOOKUP([jobnumber],OvalData[],MATCH(Table2[[#Headers],[Bottom Slat Length]],Table2[#Headers],0),0)</f>
        <v>0</v>
      </c>
      <c r="AQ366" s="2">
        <f>VLOOKUP([jobnumber],OvalData[],MATCH(Table2[[#Headers],[Number of Perferated Slats]],Table2[#Headers],0),0)</f>
        <v>0</v>
      </c>
      <c r="AR366" s="2">
        <f>VLOOKUP([jobnumber],OvalData[],MATCH(Table2[[#Headers],[First Preferated Slat From End]],Table2[#Headers],0),0)</f>
        <v>0</v>
      </c>
      <c r="AS366" s="2">
        <f>VLOOKUP([jobnumber],OvalData[],MATCH(Table2[[#Headers],[First Preferated Slat From Bottom]],Table2[#Headers],0),0)</f>
        <v>0</v>
      </c>
      <c r="AT366" s="2">
        <f>VLOOKUP([jobnumber],OvalData[],MATCH(Table2[[#Headers],[Total Number of Slats]],Table2[#Headers],0),0)</f>
        <v>51</v>
      </c>
      <c r="AU366" s="2">
        <f>VLOOKUP([jobnumber],OvalData[],MATCH(Table2[[#Headers],[Bottom Bar Slope]],Table2[#Headers],0),0)</f>
        <v>0</v>
      </c>
      <c r="AV366" s="2">
        <f>VLOOKUP([jobnumber],OvalData[],MATCH(Table2[[#Headers],[Bottom Bar Weight]],Table2[#Headers],0),0)</f>
        <v>80.5</v>
      </c>
      <c r="AW366" s="2" t="str">
        <f>VLOOKUP([jobnumber],OvalData[],MATCH(Table2[[#Headers],[Outer Spring Gage]],Table2[#Headers],0),0)</f>
        <v>Null</v>
      </c>
      <c r="AX366" s="2" t="str">
        <f>VLOOKUP([jobnumber],OvalData[],MATCH(Table2[[#Headers],[Outer Spring OD]],Table2[#Headers],0),0)</f>
        <v>Null</v>
      </c>
      <c r="AY366" s="2" t="str">
        <f>VLOOKUP([jobnumber],OvalData[],MATCH(Table2[[#Headers],[Outer Spring Length]],Table2[#Headers],0),0)</f>
        <v>Null</v>
      </c>
      <c r="AZ366" s="2" t="str">
        <f>VLOOKUP([jobnumber],OvalData[],MATCH(Table2[[#Headers],[Outer Spring Stretch]],Table2[#Headers],0),0)</f>
        <v>Null</v>
      </c>
      <c r="BA366" s="2" t="str">
        <f>VLOOKUP([jobnumber],OvalData[],MATCH(Table2[[#Headers],[Outer Spring Torque]],Table2[#Headers],0),0)</f>
        <v>Null</v>
      </c>
      <c r="BB366" s="2" t="str">
        <f>VLOOKUP([jobnumber],OvalData[],MATCH(Table2[[#Headers],[Outer Spring Max Turns]],Table2[#Headers],0),0)</f>
        <v>Null</v>
      </c>
      <c r="BC366" s="2" t="str">
        <f>VLOOKUP([jobnumber],OvalData[],MATCH(Table2[[#Headers],[Outer Spring Weight]],Table2[#Headers],0),0)</f>
        <v>Null</v>
      </c>
      <c r="BD366" s="2" t="str">
        <f>VLOOKUP([jobnumber],OvalData[],MATCH(Table2[[#Headers],[Inner Spring Gage]],Table2[#Headers],0),0)</f>
        <v>Null</v>
      </c>
      <c r="BE366" s="2" t="str">
        <f>VLOOKUP([jobnumber],OvalData[],MATCH(Table2[[#Headers],[Inner Spring OD]],Table2[#Headers],0),0)</f>
        <v>Null</v>
      </c>
      <c r="BF366" s="2" t="str">
        <f>VLOOKUP([jobnumber],OvalData[],MATCH(Table2[[#Headers],[Inner Spring Length]],Table2[#Headers],0),0)</f>
        <v>Null</v>
      </c>
      <c r="BG366" s="2" t="str">
        <f>VLOOKUP([jobnumber],OvalData[],MATCH(Table2[[#Headers],[Inner Spring Stretch]],Table2[#Headers],0),0)</f>
        <v>Null</v>
      </c>
      <c r="BH366" s="2" t="str">
        <f>VLOOKUP([jobnumber],OvalData[],MATCH(Table2[[#Headers],[Inner Spring Torque]],Table2[#Headers],0),0)</f>
        <v>Null</v>
      </c>
      <c r="BI366" s="2" t="str">
        <f>VLOOKUP([jobnumber],OvalData[],MATCH(Table2[[#Headers],[Inner Spring Max Turns]],Table2[#Headers],0),0)</f>
        <v>Null</v>
      </c>
      <c r="BJ366" s="2" t="str">
        <f>VLOOKUP([jobnumber],OvalData[],MATCH(Table2[[#Headers],[Inner Spring Weight]],Table2[#Headers],0),0)</f>
        <v>Null</v>
      </c>
      <c r="BK366" s="2">
        <f>VLOOKUP([jobnumber],OvalData[],MATCH(Table2[[#Headers],[Cycles]],Table2[#Headers],0),0)</f>
        <v>0</v>
      </c>
      <c r="BL366" s="2">
        <f>VLOOKUP([jobnumber],OvalData[],MATCH(Table2[[#Headers],[Total Spring Torque]],Table2[#Headers],0),0)</f>
        <v>0</v>
      </c>
      <c r="BM366" s="2">
        <f>VLOOKUP([jobnumber],OvalData[],MATCH(Table2[[#Headers],[Total Spring Weight]],Table2[#Headers],0),0)</f>
        <v>0</v>
      </c>
      <c r="BN366" s="2">
        <f>VLOOKUP([jobnumber],OvalData[],MATCH(Table2[[#Headers],[Pipe Weight]],Table2[#Headers],0),0)</f>
        <v>688.24239999999998</v>
      </c>
      <c r="BO366" s="2">
        <f>VLOOKUP([jobnumber],OvalData[],MATCH(Table2[[#Headers],[Max Pipe Deflection]],Table2[#Headers],0),0)</f>
        <v>2309</v>
      </c>
      <c r="BP366" s="2">
        <f>VLOOKUP([jobnumber],OvalData[],MATCH(Table2[[#Headers],[Number Non-Insulated Wrap Slats]],Table2[#Headers],0),0)</f>
        <v>0</v>
      </c>
      <c r="BQ366" s="2">
        <f>VLOOKUP([jobnumber],OvalData[],MATCH(Table2[[#Headers],[Number of Insolated Top Slats]],Table2[#Headers],0),0)</f>
        <v>45</v>
      </c>
      <c r="BR366" s="2">
        <f>VLOOKUP([jobnumber],OvalData[],MATCH(Table2[[#Headers],[Insolated Total Slats]],Table2[#Headers],0),0)</f>
        <v>45</v>
      </c>
      <c r="BS366" s="2">
        <f>VLOOKUP([jobnumber],OvalData[],MATCH(Table2[[#Headers],[Number of Slats]],Table2[#Headers],0),0)</f>
        <v>44.69</v>
      </c>
      <c r="BT366" s="2">
        <f>VLOOKUP([jobnumber],OvalData[],MATCH(Table2[[#Headers],[Wrap]],Table2[#Headers],0),0)</f>
        <v>0</v>
      </c>
      <c r="BU366" s="2">
        <f>VLOOKUP([jobnumber],OvalData[],MATCH(Table2[[#Headers],[Wall Angle Thickness]],Table2[#Headers],0),0)</f>
        <v>0</v>
      </c>
      <c r="BV366" s="2">
        <f>VLOOKUP([jobnumber],OvalData[],MATCH(Table2[[#Headers],[windlocks]],Table2[#Headers],0),0)</f>
        <v>0</v>
      </c>
      <c r="BW366" s="2" t="str">
        <f>VLOOKUP([jobnumber],OvalData[],MATCH(Table2[[#Headers],[bottombartype]],Table2[#Headers],0),0)</f>
        <v>SPECIAL</v>
      </c>
      <c r="BX366" s="2">
        <f>VLOOKUP([jobnumber],OvalData[],MATCH(Table2[[#Headers],[endlockweight]],Table2[#Headers],0),0)</f>
        <v>0.17</v>
      </c>
      <c r="BY366" s="2">
        <f>VLOOKUP([jobnumber],OvalData[],MATCH(Table2[[#Headers],[Endlock Total Weight]],Table2[#Headers],0),0)</f>
        <v>7.5972999999999997</v>
      </c>
      <c r="BZ366" s="2">
        <f>VLOOKUP([jobnumber],OvalData[],MATCH(Table2[[#Headers],[Grille Weight]],Table2[#Headers],0),0)</f>
        <v>0</v>
      </c>
      <c r="CA366" s="2">
        <f>VLOOKUP([jobnumber],OvalData[],MATCH(Table2[[#Headers],[barrelrings]],Table2[#Headers],0),0)</f>
        <v>1</v>
      </c>
    </row>
    <row r="367" spans="2:79">
      <c r="B367" s="2" t="str">
        <f>VLOOKUP([jobnumber],OvalData[],MATCH(Table2[[#Headers],[Hand]],Table2[#Headers],0),0)</f>
        <v>RH</v>
      </c>
      <c r="C367" s="2" t="str">
        <f>VLOOKUP([jobnumber],OvalData[],MATCH(Table2[[#Headers],[Model]],Table2[#Headers],0),0)</f>
        <v>SFMPP</v>
      </c>
      <c r="D367" s="2" t="str">
        <f>VLOOKUP([jobnumber],OvalData[],MATCH(Table2[[#Headers],[width]],Table2[#Headers],0),0)</f>
        <v xml:space="preserve"> 18 ft.- 2"</v>
      </c>
      <c r="E367" s="2" t="str">
        <f>VLOOKUP([jobnumber],OvalData[],MATCH(Table2[[#Headers],[stopheight]],Table2[#Headers],0),0)</f>
        <v xml:space="preserve"> 10 ft.- 0"</v>
      </c>
      <c r="F367" s="2" t="str">
        <f>VLOOKUP([jobnumber],OvalData[],MATCH(Table2[[#Headers],[Between Brackets]],Table2[#Headers],0),0)</f>
        <v xml:space="preserve"> 18 ft.- 7 7/ 8"</v>
      </c>
      <c r="G367" s="2" t="str">
        <f>VLOOKUP([jobnumber],OvalData[],MATCH(Table2[[#Headers],[shell]],Table2[#Headers],0),0)</f>
        <v>6 INCH TUBE</v>
      </c>
      <c r="H367" s="2" t="str">
        <f>VLOOKUP([jobnumber],OvalData[],MATCH(Table2[[#Headers],[pipewidth]],Table2[#Headers],0),0)</f>
        <v xml:space="preserve"> 18 ft.- 1 3/ 8"</v>
      </c>
      <c r="I367" s="2">
        <f>VLOOKUP([jobnumber],OvalData[],MATCH(Table2[[#Headers],[Support Tubes]],Table2[#Headers],0),0)</f>
        <v>0</v>
      </c>
      <c r="J367" s="2">
        <f>VLOOKUP([jobnumber],OvalData[],MATCH(Table2[[#Headers],[Upset]],Table2[#Headers],0),0)</f>
        <v>2</v>
      </c>
      <c r="K367" s="2" t="str">
        <f>VLOOKUP([jobnumber],OvalData[],MATCH(Table2[[#Headers],[Guide Type]],Table2[#Headers],0),0)</f>
        <v>SN2-4 5/8-E</v>
      </c>
      <c r="L367" s="2" t="str">
        <f>VLOOKUP([jobnumber],OvalData[],MATCH(Table2[[#Headers],[Wall Angle]],Table2[#Headers],0),0)</f>
        <v xml:space="preserve"> 11 ft.- 8"</v>
      </c>
      <c r="M367" s="2" t="str">
        <f>VLOOKUP([jobnumber],OvalData[],MATCH(Table2[[#Headers],[Middle Angle]],Table2[#Headers],0),0)</f>
        <v xml:space="preserve"> 10 ft.- 4 1/ 2"</v>
      </c>
      <c r="N367" s="2" t="str">
        <f>VLOOKUP([jobnumber],OvalData[],MATCH(Table2[[#Headers],[Front Angle]],Table2[#Headers],0),0)</f>
        <v xml:space="preserve"> 10 ft.- 3"</v>
      </c>
      <c r="O367" s="2">
        <f>VLOOKUP([jobnumber],OvalData[],MATCH(Table2[[#Headers],[Pipe Center Line]],Table2[#Headers],0),0)</f>
        <v>131</v>
      </c>
      <c r="P367" s="2">
        <f>VLOOKUP([jobnumber],OvalData[],MATCH(Table2[[#Headers],[Heat Expansion Gap]],Table2[#Headers],0),0)</f>
        <v>0</v>
      </c>
      <c r="Q367" s="2">
        <f>VLOOKUP([jobnumber],OvalData[],MATCH(Table2[[#Headers],[Hanging Weight Closed]],Table2[#Headers],0),0)</f>
        <v>795</v>
      </c>
      <c r="R367" s="2">
        <f>VLOOKUP([jobnumber],OvalData[],MATCH(Table2[[#Headers],[Hanging Weight Open]],Table2[#Headers],0),0)</f>
        <v>140</v>
      </c>
      <c r="S367" s="2">
        <f>VLOOKUP([jobnumber],OvalData[],MATCH(Table2[[#Headers],[Initial Lever Arm]],Table2[#Headers],0),0)</f>
        <v>4.25</v>
      </c>
      <c r="T367" s="2">
        <f>VLOOKUP([jobnumber],OvalData[],MATCH(Table2[[#Headers],[Turns to Raise]],Table2[#Headers],0),0)</f>
        <v>3.5859999999999999</v>
      </c>
      <c r="U367" s="2">
        <f>VLOOKUP([jobnumber],OvalData[],MATCH(Table2[[#Headers],[Final Lever Arm]],Table2[#Headers],0),0)</f>
        <v>6.37</v>
      </c>
      <c r="V367" s="2">
        <f>VLOOKUP([jobnumber],OvalData[],MATCH(Table2[[#Headers],[Torque Required Closed]],Table2[#Headers],0),0)</f>
        <v>3377.9</v>
      </c>
      <c r="W367" s="2">
        <f>VLOOKUP([jobnumber],OvalData[],MATCH(Table2[[#Headers],[Torque Required Open]],Table2[#Headers],0),0)</f>
        <v>892</v>
      </c>
      <c r="X367" s="2">
        <f>VLOOKUP([jobnumber],OvalData[],MATCH(Table2[[#Headers],[Pre Turns]],Table2[#Headers],0),0)</f>
        <v>1.3332999999999999</v>
      </c>
      <c r="Y367" s="2">
        <f>VLOOKUP([jobnumber],OvalData[],MATCH(Table2[[#Headers],[Required Torque Per Turn]],Table2[#Headers],0),0)</f>
        <v>688</v>
      </c>
      <c r="Z367" s="2">
        <f>VLOOKUP([jobnumber],OvalData[],MATCH(Table2[[#Headers],[Total Turns]],Table2[#Headers],0),0)</f>
        <v>4.91</v>
      </c>
      <c r="AA367" s="2">
        <f>VLOOKUP([jobnumber],OvalData[],MATCH(Table2[[#Headers],[Grille Vision Section]],Table2[#Headers],0),0)</f>
        <v>0</v>
      </c>
      <c r="AB367" s="2">
        <f>VLOOKUP([jobnumber],OvalData[],MATCH(Table2[[#Headers],[Grille Amount]],Table2[#Headers],0),0)</f>
        <v>0</v>
      </c>
      <c r="AC367" s="2">
        <f>VLOOKUP([jobnumber],OvalData[],MATCH(Table2[[#Headers],[Grille Center]],Table2[#Headers],0),0)</f>
        <v>0</v>
      </c>
      <c r="AD367" s="2">
        <f>VLOOKUP([jobnumber],OvalData[],MATCH(Table2[[#Headers],[Grille Pattern]],Table2[#Headers],0),0)</f>
        <v>0</v>
      </c>
      <c r="AE367" s="2">
        <f>VLOOKUP([jobnumber],OvalData[],MATCH(Table2[[#Headers],[Grille First Tube]],Table2[#Headers],0),0)</f>
        <v>0</v>
      </c>
      <c r="AF367" s="2">
        <f>VLOOKUP([jobnumber],OvalData[],MATCH(Table2[[#Headers],[Grille Standard Tube]],Table2[#Headers],0),0)</f>
        <v>0</v>
      </c>
      <c r="AG367" s="2">
        <f>VLOOKUP([jobnumber],OvalData[],MATCH(Table2[[#Headers],[Grille Total Links]],Table2[#Headers],0),0)</f>
        <v>0</v>
      </c>
      <c r="AH367" s="2">
        <f>VLOOKUP([jobnumber],OvalData[],MATCH(Table2[[#Headers],[Grille Rods]],Table2[#Headers],0),0)</f>
        <v>0</v>
      </c>
      <c r="AI367" s="2">
        <f>VLOOKUP([jobnumber],OvalData[],MATCH(Table2[[#Headers],[Grille Rod Length]],Table2[#Headers],0),0)</f>
        <v>0</v>
      </c>
      <c r="AJ367" s="2">
        <f>VLOOKUP([jobnumber],OvalData[],MATCH(Table2[[#Headers],[slattype]],Table2[#Headers],0),0)</f>
        <v>2</v>
      </c>
      <c r="AK367" s="2">
        <f>VLOOKUP([jobnumber],OvalData[],MATCH(Table2[[#Headers],[slatgage]],Table2[#Headers],0),0)</f>
        <v>18</v>
      </c>
      <c r="AL367" s="2">
        <f>VLOOKUP([jobnumber],OvalData[],MATCH(Table2[[#Headers],[Numer of Top Slats]],Table2[#Headers],0),0)</f>
        <v>0</v>
      </c>
      <c r="AM367" s="2">
        <f>VLOOKUP([jobnumber],OvalData[],MATCH(Table2[[#Headers],[Number of Bottom Slats]],Table2[#Headers],0),0)</f>
        <v>0</v>
      </c>
      <c r="AN367" s="2">
        <f>VLOOKUP([jobnumber],OvalData[],MATCH(Table2[[#Headers],[Solid Bottom Height]],Table2[#Headers],0),0)</f>
        <v>0</v>
      </c>
      <c r="AO367" s="2" t="str">
        <f>VLOOKUP([jobnumber],OvalData[],MATCH(Table2[[#Headers],[slatlength]],Table2[#Headers],0),0)</f>
        <v xml:space="preserve"> 18 ft.- 5 7/ 8"</v>
      </c>
      <c r="AP367" s="2">
        <f>VLOOKUP([jobnumber],OvalData[],MATCH(Table2[[#Headers],[Bottom Slat Length]],Table2[#Headers],0),0)</f>
        <v>0</v>
      </c>
      <c r="AQ367" s="2">
        <f>VLOOKUP([jobnumber],OvalData[],MATCH(Table2[[#Headers],[Number of Perferated Slats]],Table2[#Headers],0),0)</f>
        <v>0</v>
      </c>
      <c r="AR367" s="2">
        <f>VLOOKUP([jobnumber],OvalData[],MATCH(Table2[[#Headers],[First Preferated Slat From End]],Table2[#Headers],0),0)</f>
        <v>0</v>
      </c>
      <c r="AS367" s="2">
        <f>VLOOKUP([jobnumber],OvalData[],MATCH(Table2[[#Headers],[First Preferated Slat From Bottom]],Table2[#Headers],0),0)</f>
        <v>0</v>
      </c>
      <c r="AT367" s="2">
        <f>VLOOKUP([jobnumber],OvalData[],MATCH(Table2[[#Headers],[Total Number of Slats]],Table2[#Headers],0),0)</f>
        <v>51</v>
      </c>
      <c r="AU367" s="2">
        <f>VLOOKUP([jobnumber],OvalData[],MATCH(Table2[[#Headers],[Bottom Bar Slope]],Table2[#Headers],0),0)</f>
        <v>0</v>
      </c>
      <c r="AV367" s="2">
        <f>VLOOKUP([jobnumber],OvalData[],MATCH(Table2[[#Headers],[Bottom Bar Weight]],Table2[#Headers],0),0)</f>
        <v>80.5</v>
      </c>
      <c r="AW367" s="2" t="str">
        <f>VLOOKUP([jobnumber],OvalData[],MATCH(Table2[[#Headers],[Outer Spring Gage]],Table2[#Headers],0),0)</f>
        <v>Null</v>
      </c>
      <c r="AX367" s="2" t="str">
        <f>VLOOKUP([jobnumber],OvalData[],MATCH(Table2[[#Headers],[Outer Spring OD]],Table2[#Headers],0),0)</f>
        <v>Null</v>
      </c>
      <c r="AY367" s="2" t="str">
        <f>VLOOKUP([jobnumber],OvalData[],MATCH(Table2[[#Headers],[Outer Spring Length]],Table2[#Headers],0),0)</f>
        <v>Null</v>
      </c>
      <c r="AZ367" s="2" t="str">
        <f>VLOOKUP([jobnumber],OvalData[],MATCH(Table2[[#Headers],[Outer Spring Stretch]],Table2[#Headers],0),0)</f>
        <v>Null</v>
      </c>
      <c r="BA367" s="2" t="str">
        <f>VLOOKUP([jobnumber],OvalData[],MATCH(Table2[[#Headers],[Outer Spring Torque]],Table2[#Headers],0),0)</f>
        <v>Null</v>
      </c>
      <c r="BB367" s="2" t="str">
        <f>VLOOKUP([jobnumber],OvalData[],MATCH(Table2[[#Headers],[Outer Spring Max Turns]],Table2[#Headers],0),0)</f>
        <v>Null</v>
      </c>
      <c r="BC367" s="2" t="str">
        <f>VLOOKUP([jobnumber],OvalData[],MATCH(Table2[[#Headers],[Outer Spring Weight]],Table2[#Headers],0),0)</f>
        <v>Null</v>
      </c>
      <c r="BD367" s="2" t="str">
        <f>VLOOKUP([jobnumber],OvalData[],MATCH(Table2[[#Headers],[Inner Spring Gage]],Table2[#Headers],0),0)</f>
        <v>Null</v>
      </c>
      <c r="BE367" s="2" t="str">
        <f>VLOOKUP([jobnumber],OvalData[],MATCH(Table2[[#Headers],[Inner Spring OD]],Table2[#Headers],0),0)</f>
        <v>Null</v>
      </c>
      <c r="BF367" s="2" t="str">
        <f>VLOOKUP([jobnumber],OvalData[],MATCH(Table2[[#Headers],[Inner Spring Length]],Table2[#Headers],0),0)</f>
        <v>Null</v>
      </c>
      <c r="BG367" s="2" t="str">
        <f>VLOOKUP([jobnumber],OvalData[],MATCH(Table2[[#Headers],[Inner Spring Stretch]],Table2[#Headers],0),0)</f>
        <v>Null</v>
      </c>
      <c r="BH367" s="2" t="str">
        <f>VLOOKUP([jobnumber],OvalData[],MATCH(Table2[[#Headers],[Inner Spring Torque]],Table2[#Headers],0),0)</f>
        <v>Null</v>
      </c>
      <c r="BI367" s="2" t="str">
        <f>VLOOKUP([jobnumber],OvalData[],MATCH(Table2[[#Headers],[Inner Spring Max Turns]],Table2[#Headers],0),0)</f>
        <v>Null</v>
      </c>
      <c r="BJ367" s="2" t="str">
        <f>VLOOKUP([jobnumber],OvalData[],MATCH(Table2[[#Headers],[Inner Spring Weight]],Table2[#Headers],0),0)</f>
        <v>Null</v>
      </c>
      <c r="BK367" s="2">
        <f>VLOOKUP([jobnumber],OvalData[],MATCH(Table2[[#Headers],[Cycles]],Table2[#Headers],0),0)</f>
        <v>0</v>
      </c>
      <c r="BL367" s="2">
        <f>VLOOKUP([jobnumber],OvalData[],MATCH(Table2[[#Headers],[Total Spring Torque]],Table2[#Headers],0),0)</f>
        <v>0</v>
      </c>
      <c r="BM367" s="2">
        <f>VLOOKUP([jobnumber],OvalData[],MATCH(Table2[[#Headers],[Total Spring Weight]],Table2[#Headers],0),0)</f>
        <v>0</v>
      </c>
      <c r="BN367" s="2">
        <f>VLOOKUP([jobnumber],OvalData[],MATCH(Table2[[#Headers],[Pipe Weight]],Table2[#Headers],0),0)</f>
        <v>688.24239999999998</v>
      </c>
      <c r="BO367" s="2">
        <f>VLOOKUP([jobnumber],OvalData[],MATCH(Table2[[#Headers],[Max Pipe Deflection]],Table2[#Headers],0),0)</f>
        <v>2309</v>
      </c>
      <c r="BP367" s="2">
        <f>VLOOKUP([jobnumber],OvalData[],MATCH(Table2[[#Headers],[Number Non-Insulated Wrap Slats]],Table2[#Headers],0),0)</f>
        <v>0</v>
      </c>
      <c r="BQ367" s="2">
        <f>VLOOKUP([jobnumber],OvalData[],MATCH(Table2[[#Headers],[Number of Insolated Top Slats]],Table2[#Headers],0),0)</f>
        <v>45</v>
      </c>
      <c r="BR367" s="2">
        <f>VLOOKUP([jobnumber],OvalData[],MATCH(Table2[[#Headers],[Insolated Total Slats]],Table2[#Headers],0),0)</f>
        <v>45</v>
      </c>
      <c r="BS367" s="2">
        <f>VLOOKUP([jobnumber],OvalData[],MATCH(Table2[[#Headers],[Number of Slats]],Table2[#Headers],0),0)</f>
        <v>44.69</v>
      </c>
      <c r="BT367" s="2">
        <f>VLOOKUP([jobnumber],OvalData[],MATCH(Table2[[#Headers],[Wrap]],Table2[#Headers],0),0)</f>
        <v>0</v>
      </c>
      <c r="BU367" s="2">
        <f>VLOOKUP([jobnumber],OvalData[],MATCH(Table2[[#Headers],[Wall Angle Thickness]],Table2[#Headers],0),0)</f>
        <v>0</v>
      </c>
      <c r="BV367" s="2">
        <f>VLOOKUP([jobnumber],OvalData[],MATCH(Table2[[#Headers],[windlocks]],Table2[#Headers],0),0)</f>
        <v>0</v>
      </c>
      <c r="BW367" s="2" t="str">
        <f>VLOOKUP([jobnumber],OvalData[],MATCH(Table2[[#Headers],[bottombartype]],Table2[#Headers],0),0)</f>
        <v>SPECIAL</v>
      </c>
      <c r="BX367" s="2">
        <f>VLOOKUP([jobnumber],OvalData[],MATCH(Table2[[#Headers],[endlockweight]],Table2[#Headers],0),0)</f>
        <v>0.17</v>
      </c>
      <c r="BY367" s="2">
        <f>VLOOKUP([jobnumber],OvalData[],MATCH(Table2[[#Headers],[Endlock Total Weight]],Table2[#Headers],0),0)</f>
        <v>7.5972999999999997</v>
      </c>
      <c r="BZ367" s="2">
        <f>VLOOKUP([jobnumber],OvalData[],MATCH(Table2[[#Headers],[Grille Weight]],Table2[#Headers],0),0)</f>
        <v>0</v>
      </c>
      <c r="CA367" s="2">
        <f>VLOOKUP([jobnumber],OvalData[],MATCH(Table2[[#Headers],[barrelrings]],Table2[#Headers],0),0)</f>
        <v>1</v>
      </c>
    </row>
    <row r="368" spans="2:79">
      <c r="B368" s="2" t="str">
        <f>VLOOKUP([jobnumber],OvalData[],MATCH(Table2[[#Headers],[Hand]],Table2[#Headers],0),0)</f>
        <v>RH</v>
      </c>
      <c r="C368" s="2" t="str">
        <f>VLOOKUP([jobnumber],OvalData[],MATCH(Table2[[#Headers],[Model]],Table2[#Headers],0),0)</f>
        <v>SFMPP</v>
      </c>
      <c r="D368" s="2" t="str">
        <f>VLOOKUP([jobnumber],OvalData[],MATCH(Table2[[#Headers],[width]],Table2[#Headers],0),0)</f>
        <v xml:space="preserve"> 18 ft.- 2"</v>
      </c>
      <c r="E368" s="2" t="str">
        <f>VLOOKUP([jobnumber],OvalData[],MATCH(Table2[[#Headers],[stopheight]],Table2[#Headers],0),0)</f>
        <v xml:space="preserve"> 10 ft.- 0"</v>
      </c>
      <c r="F368" s="2" t="str">
        <f>VLOOKUP([jobnumber],OvalData[],MATCH(Table2[[#Headers],[Between Brackets]],Table2[#Headers],0),0)</f>
        <v xml:space="preserve"> 18 ft.- 7 7/ 8"</v>
      </c>
      <c r="G368" s="2" t="str">
        <f>VLOOKUP([jobnumber],OvalData[],MATCH(Table2[[#Headers],[shell]],Table2[#Headers],0),0)</f>
        <v>6 INCH TUBE</v>
      </c>
      <c r="H368" s="2" t="str">
        <f>VLOOKUP([jobnumber],OvalData[],MATCH(Table2[[#Headers],[pipewidth]],Table2[#Headers],0),0)</f>
        <v xml:space="preserve"> 18 ft.- 1 3/ 8"</v>
      </c>
      <c r="I368" s="2">
        <f>VLOOKUP([jobnumber],OvalData[],MATCH(Table2[[#Headers],[Support Tubes]],Table2[#Headers],0),0)</f>
        <v>0</v>
      </c>
      <c r="J368" s="2">
        <f>VLOOKUP([jobnumber],OvalData[],MATCH(Table2[[#Headers],[Upset]],Table2[#Headers],0),0)</f>
        <v>2</v>
      </c>
      <c r="K368" s="2" t="str">
        <f>VLOOKUP([jobnumber],OvalData[],MATCH(Table2[[#Headers],[Guide Type]],Table2[#Headers],0),0)</f>
        <v>SN2-4 5/8-E</v>
      </c>
      <c r="L368" s="2" t="str">
        <f>VLOOKUP([jobnumber],OvalData[],MATCH(Table2[[#Headers],[Wall Angle]],Table2[#Headers],0),0)</f>
        <v xml:space="preserve"> 11 ft.- 8"</v>
      </c>
      <c r="M368" s="2" t="str">
        <f>VLOOKUP([jobnumber],OvalData[],MATCH(Table2[[#Headers],[Middle Angle]],Table2[#Headers],0),0)</f>
        <v xml:space="preserve"> 10 ft.- 4 1/ 2"</v>
      </c>
      <c r="N368" s="2" t="str">
        <f>VLOOKUP([jobnumber],OvalData[],MATCH(Table2[[#Headers],[Front Angle]],Table2[#Headers],0),0)</f>
        <v xml:space="preserve"> 10 ft.- 3"</v>
      </c>
      <c r="O368" s="2">
        <f>VLOOKUP([jobnumber],OvalData[],MATCH(Table2[[#Headers],[Pipe Center Line]],Table2[#Headers],0),0)</f>
        <v>131</v>
      </c>
      <c r="P368" s="2">
        <f>VLOOKUP([jobnumber],OvalData[],MATCH(Table2[[#Headers],[Heat Expansion Gap]],Table2[#Headers],0),0)</f>
        <v>0</v>
      </c>
      <c r="Q368" s="2">
        <f>VLOOKUP([jobnumber],OvalData[],MATCH(Table2[[#Headers],[Hanging Weight Closed]],Table2[#Headers],0),0)</f>
        <v>795</v>
      </c>
      <c r="R368" s="2">
        <f>VLOOKUP([jobnumber],OvalData[],MATCH(Table2[[#Headers],[Hanging Weight Open]],Table2[#Headers],0),0)</f>
        <v>140</v>
      </c>
      <c r="S368" s="2">
        <f>VLOOKUP([jobnumber],OvalData[],MATCH(Table2[[#Headers],[Initial Lever Arm]],Table2[#Headers],0),0)</f>
        <v>4.25</v>
      </c>
      <c r="T368" s="2">
        <f>VLOOKUP([jobnumber],OvalData[],MATCH(Table2[[#Headers],[Turns to Raise]],Table2[#Headers],0),0)</f>
        <v>3.5859999999999999</v>
      </c>
      <c r="U368" s="2">
        <f>VLOOKUP([jobnumber],OvalData[],MATCH(Table2[[#Headers],[Final Lever Arm]],Table2[#Headers],0),0)</f>
        <v>6.37</v>
      </c>
      <c r="V368" s="2">
        <f>VLOOKUP([jobnumber],OvalData[],MATCH(Table2[[#Headers],[Torque Required Closed]],Table2[#Headers],0),0)</f>
        <v>3377.9</v>
      </c>
      <c r="W368" s="2">
        <f>VLOOKUP([jobnumber],OvalData[],MATCH(Table2[[#Headers],[Torque Required Open]],Table2[#Headers],0),0)</f>
        <v>892</v>
      </c>
      <c r="X368" s="2">
        <f>VLOOKUP([jobnumber],OvalData[],MATCH(Table2[[#Headers],[Pre Turns]],Table2[#Headers],0),0)</f>
        <v>1.3332999999999999</v>
      </c>
      <c r="Y368" s="2">
        <f>VLOOKUP([jobnumber],OvalData[],MATCH(Table2[[#Headers],[Required Torque Per Turn]],Table2[#Headers],0),0)</f>
        <v>688</v>
      </c>
      <c r="Z368" s="2">
        <f>VLOOKUP([jobnumber],OvalData[],MATCH(Table2[[#Headers],[Total Turns]],Table2[#Headers],0),0)</f>
        <v>4.91</v>
      </c>
      <c r="AA368" s="2">
        <f>VLOOKUP([jobnumber],OvalData[],MATCH(Table2[[#Headers],[Grille Vision Section]],Table2[#Headers],0),0)</f>
        <v>0</v>
      </c>
      <c r="AB368" s="2">
        <f>VLOOKUP([jobnumber],OvalData[],MATCH(Table2[[#Headers],[Grille Amount]],Table2[#Headers],0),0)</f>
        <v>0</v>
      </c>
      <c r="AC368" s="2">
        <f>VLOOKUP([jobnumber],OvalData[],MATCH(Table2[[#Headers],[Grille Center]],Table2[#Headers],0),0)</f>
        <v>0</v>
      </c>
      <c r="AD368" s="2">
        <f>VLOOKUP([jobnumber],OvalData[],MATCH(Table2[[#Headers],[Grille Pattern]],Table2[#Headers],0),0)</f>
        <v>0</v>
      </c>
      <c r="AE368" s="2">
        <f>VLOOKUP([jobnumber],OvalData[],MATCH(Table2[[#Headers],[Grille First Tube]],Table2[#Headers],0),0)</f>
        <v>0</v>
      </c>
      <c r="AF368" s="2">
        <f>VLOOKUP([jobnumber],OvalData[],MATCH(Table2[[#Headers],[Grille Standard Tube]],Table2[#Headers],0),0)</f>
        <v>0</v>
      </c>
      <c r="AG368" s="2">
        <f>VLOOKUP([jobnumber],OvalData[],MATCH(Table2[[#Headers],[Grille Total Links]],Table2[#Headers],0),0)</f>
        <v>0</v>
      </c>
      <c r="AH368" s="2">
        <f>VLOOKUP([jobnumber],OvalData[],MATCH(Table2[[#Headers],[Grille Rods]],Table2[#Headers],0),0)</f>
        <v>0</v>
      </c>
      <c r="AI368" s="2">
        <f>VLOOKUP([jobnumber],OvalData[],MATCH(Table2[[#Headers],[Grille Rod Length]],Table2[#Headers],0),0)</f>
        <v>0</v>
      </c>
      <c r="AJ368" s="2">
        <f>VLOOKUP([jobnumber],OvalData[],MATCH(Table2[[#Headers],[slattype]],Table2[#Headers],0),0)</f>
        <v>2</v>
      </c>
      <c r="AK368" s="2">
        <f>VLOOKUP([jobnumber],OvalData[],MATCH(Table2[[#Headers],[slatgage]],Table2[#Headers],0),0)</f>
        <v>18</v>
      </c>
      <c r="AL368" s="2">
        <f>VLOOKUP([jobnumber],OvalData[],MATCH(Table2[[#Headers],[Numer of Top Slats]],Table2[#Headers],0),0)</f>
        <v>0</v>
      </c>
      <c r="AM368" s="2">
        <f>VLOOKUP([jobnumber],OvalData[],MATCH(Table2[[#Headers],[Number of Bottom Slats]],Table2[#Headers],0),0)</f>
        <v>0</v>
      </c>
      <c r="AN368" s="2">
        <f>VLOOKUP([jobnumber],OvalData[],MATCH(Table2[[#Headers],[Solid Bottom Height]],Table2[#Headers],0),0)</f>
        <v>0</v>
      </c>
      <c r="AO368" s="2" t="str">
        <f>VLOOKUP([jobnumber],OvalData[],MATCH(Table2[[#Headers],[slatlength]],Table2[#Headers],0),0)</f>
        <v xml:space="preserve"> 18 ft.- 5 7/ 8"</v>
      </c>
      <c r="AP368" s="2">
        <f>VLOOKUP([jobnumber],OvalData[],MATCH(Table2[[#Headers],[Bottom Slat Length]],Table2[#Headers],0),0)</f>
        <v>0</v>
      </c>
      <c r="AQ368" s="2">
        <f>VLOOKUP([jobnumber],OvalData[],MATCH(Table2[[#Headers],[Number of Perferated Slats]],Table2[#Headers],0),0)</f>
        <v>0</v>
      </c>
      <c r="AR368" s="2">
        <f>VLOOKUP([jobnumber],OvalData[],MATCH(Table2[[#Headers],[First Preferated Slat From End]],Table2[#Headers],0),0)</f>
        <v>0</v>
      </c>
      <c r="AS368" s="2">
        <f>VLOOKUP([jobnumber],OvalData[],MATCH(Table2[[#Headers],[First Preferated Slat From Bottom]],Table2[#Headers],0),0)</f>
        <v>0</v>
      </c>
      <c r="AT368" s="2">
        <f>VLOOKUP([jobnumber],OvalData[],MATCH(Table2[[#Headers],[Total Number of Slats]],Table2[#Headers],0),0)</f>
        <v>51</v>
      </c>
      <c r="AU368" s="2">
        <f>VLOOKUP([jobnumber],OvalData[],MATCH(Table2[[#Headers],[Bottom Bar Slope]],Table2[#Headers],0),0)</f>
        <v>0</v>
      </c>
      <c r="AV368" s="2">
        <f>VLOOKUP([jobnumber],OvalData[],MATCH(Table2[[#Headers],[Bottom Bar Weight]],Table2[#Headers],0),0)</f>
        <v>80.5</v>
      </c>
      <c r="AW368" s="2" t="str">
        <f>VLOOKUP([jobnumber],OvalData[],MATCH(Table2[[#Headers],[Outer Spring Gage]],Table2[#Headers],0),0)</f>
        <v>Null</v>
      </c>
      <c r="AX368" s="2" t="str">
        <f>VLOOKUP([jobnumber],OvalData[],MATCH(Table2[[#Headers],[Outer Spring OD]],Table2[#Headers],0),0)</f>
        <v>Null</v>
      </c>
      <c r="AY368" s="2" t="str">
        <f>VLOOKUP([jobnumber],OvalData[],MATCH(Table2[[#Headers],[Outer Spring Length]],Table2[#Headers],0),0)</f>
        <v>Null</v>
      </c>
      <c r="AZ368" s="2" t="str">
        <f>VLOOKUP([jobnumber],OvalData[],MATCH(Table2[[#Headers],[Outer Spring Stretch]],Table2[#Headers],0),0)</f>
        <v>Null</v>
      </c>
      <c r="BA368" s="2" t="str">
        <f>VLOOKUP([jobnumber],OvalData[],MATCH(Table2[[#Headers],[Outer Spring Torque]],Table2[#Headers],0),0)</f>
        <v>Null</v>
      </c>
      <c r="BB368" s="2" t="str">
        <f>VLOOKUP([jobnumber],OvalData[],MATCH(Table2[[#Headers],[Outer Spring Max Turns]],Table2[#Headers],0),0)</f>
        <v>Null</v>
      </c>
      <c r="BC368" s="2" t="str">
        <f>VLOOKUP([jobnumber],OvalData[],MATCH(Table2[[#Headers],[Outer Spring Weight]],Table2[#Headers],0),0)</f>
        <v>Null</v>
      </c>
      <c r="BD368" s="2" t="str">
        <f>VLOOKUP([jobnumber],OvalData[],MATCH(Table2[[#Headers],[Inner Spring Gage]],Table2[#Headers],0),0)</f>
        <v>Null</v>
      </c>
      <c r="BE368" s="2" t="str">
        <f>VLOOKUP([jobnumber],OvalData[],MATCH(Table2[[#Headers],[Inner Spring OD]],Table2[#Headers],0),0)</f>
        <v>Null</v>
      </c>
      <c r="BF368" s="2" t="str">
        <f>VLOOKUP([jobnumber],OvalData[],MATCH(Table2[[#Headers],[Inner Spring Length]],Table2[#Headers],0),0)</f>
        <v>Null</v>
      </c>
      <c r="BG368" s="2" t="str">
        <f>VLOOKUP([jobnumber],OvalData[],MATCH(Table2[[#Headers],[Inner Spring Stretch]],Table2[#Headers],0),0)</f>
        <v>Null</v>
      </c>
      <c r="BH368" s="2" t="str">
        <f>VLOOKUP([jobnumber],OvalData[],MATCH(Table2[[#Headers],[Inner Spring Torque]],Table2[#Headers],0),0)</f>
        <v>Null</v>
      </c>
      <c r="BI368" s="2" t="str">
        <f>VLOOKUP([jobnumber],OvalData[],MATCH(Table2[[#Headers],[Inner Spring Max Turns]],Table2[#Headers],0),0)</f>
        <v>Null</v>
      </c>
      <c r="BJ368" s="2" t="str">
        <f>VLOOKUP([jobnumber],OvalData[],MATCH(Table2[[#Headers],[Inner Spring Weight]],Table2[#Headers],0),0)</f>
        <v>Null</v>
      </c>
      <c r="BK368" s="2">
        <f>VLOOKUP([jobnumber],OvalData[],MATCH(Table2[[#Headers],[Cycles]],Table2[#Headers],0),0)</f>
        <v>0</v>
      </c>
      <c r="BL368" s="2">
        <f>VLOOKUP([jobnumber],OvalData[],MATCH(Table2[[#Headers],[Total Spring Torque]],Table2[#Headers],0),0)</f>
        <v>0</v>
      </c>
      <c r="BM368" s="2">
        <f>VLOOKUP([jobnumber],OvalData[],MATCH(Table2[[#Headers],[Total Spring Weight]],Table2[#Headers],0),0)</f>
        <v>0</v>
      </c>
      <c r="BN368" s="2">
        <f>VLOOKUP([jobnumber],OvalData[],MATCH(Table2[[#Headers],[Pipe Weight]],Table2[#Headers],0),0)</f>
        <v>688.24239999999998</v>
      </c>
      <c r="BO368" s="2">
        <f>VLOOKUP([jobnumber],OvalData[],MATCH(Table2[[#Headers],[Max Pipe Deflection]],Table2[#Headers],0),0)</f>
        <v>2309</v>
      </c>
      <c r="BP368" s="2">
        <f>VLOOKUP([jobnumber],OvalData[],MATCH(Table2[[#Headers],[Number Non-Insulated Wrap Slats]],Table2[#Headers],0),0)</f>
        <v>0</v>
      </c>
      <c r="BQ368" s="2">
        <f>VLOOKUP([jobnumber],OvalData[],MATCH(Table2[[#Headers],[Number of Insolated Top Slats]],Table2[#Headers],0),0)</f>
        <v>45</v>
      </c>
      <c r="BR368" s="2">
        <f>VLOOKUP([jobnumber],OvalData[],MATCH(Table2[[#Headers],[Insolated Total Slats]],Table2[#Headers],0),0)</f>
        <v>45</v>
      </c>
      <c r="BS368" s="2">
        <f>VLOOKUP([jobnumber],OvalData[],MATCH(Table2[[#Headers],[Number of Slats]],Table2[#Headers],0),0)</f>
        <v>44.69</v>
      </c>
      <c r="BT368" s="2">
        <f>VLOOKUP([jobnumber],OvalData[],MATCH(Table2[[#Headers],[Wrap]],Table2[#Headers],0),0)</f>
        <v>0</v>
      </c>
      <c r="BU368" s="2">
        <f>VLOOKUP([jobnumber],OvalData[],MATCH(Table2[[#Headers],[Wall Angle Thickness]],Table2[#Headers],0),0)</f>
        <v>0</v>
      </c>
      <c r="BV368" s="2">
        <f>VLOOKUP([jobnumber],OvalData[],MATCH(Table2[[#Headers],[windlocks]],Table2[#Headers],0),0)</f>
        <v>0</v>
      </c>
      <c r="BW368" s="2" t="str">
        <f>VLOOKUP([jobnumber],OvalData[],MATCH(Table2[[#Headers],[bottombartype]],Table2[#Headers],0),0)</f>
        <v>SPECIAL</v>
      </c>
      <c r="BX368" s="2">
        <f>VLOOKUP([jobnumber],OvalData[],MATCH(Table2[[#Headers],[endlockweight]],Table2[#Headers],0),0)</f>
        <v>0.17</v>
      </c>
      <c r="BY368" s="2">
        <f>VLOOKUP([jobnumber],OvalData[],MATCH(Table2[[#Headers],[Endlock Total Weight]],Table2[#Headers],0),0)</f>
        <v>7.5972999999999997</v>
      </c>
      <c r="BZ368" s="2">
        <f>VLOOKUP([jobnumber],OvalData[],MATCH(Table2[[#Headers],[Grille Weight]],Table2[#Headers],0),0)</f>
        <v>0</v>
      </c>
      <c r="CA368" s="2">
        <f>VLOOKUP([jobnumber],OvalData[],MATCH(Table2[[#Headers],[barrelrings]],Table2[#Headers],0),0)</f>
        <v>1</v>
      </c>
    </row>
    <row r="369" spans="2:79">
      <c r="B369" s="2" t="str">
        <f>VLOOKUP([jobnumber],OvalData[],MATCH(Table2[[#Headers],[Hand]],Table2[#Headers],0),0)</f>
        <v>RH</v>
      </c>
      <c r="C369" s="2" t="str">
        <f>VLOOKUP([jobnumber],OvalData[],MATCH(Table2[[#Headers],[Model]],Table2[#Headers],0),0)</f>
        <v>SFMPP</v>
      </c>
      <c r="D369" s="2" t="str">
        <f>VLOOKUP([jobnumber],OvalData[],MATCH(Table2[[#Headers],[width]],Table2[#Headers],0),0)</f>
        <v xml:space="preserve"> 18 ft.- 2"</v>
      </c>
      <c r="E369" s="2" t="str">
        <f>VLOOKUP([jobnumber],OvalData[],MATCH(Table2[[#Headers],[stopheight]],Table2[#Headers],0),0)</f>
        <v xml:space="preserve"> 10 ft.- 0"</v>
      </c>
      <c r="F369" s="2" t="str">
        <f>VLOOKUP([jobnumber],OvalData[],MATCH(Table2[[#Headers],[Between Brackets]],Table2[#Headers],0),0)</f>
        <v xml:space="preserve"> 18 ft.- 7 7/ 8"</v>
      </c>
      <c r="G369" s="2" t="str">
        <f>VLOOKUP([jobnumber],OvalData[],MATCH(Table2[[#Headers],[shell]],Table2[#Headers],0),0)</f>
        <v>6 INCH TUBE</v>
      </c>
      <c r="H369" s="2" t="str">
        <f>VLOOKUP([jobnumber],OvalData[],MATCH(Table2[[#Headers],[pipewidth]],Table2[#Headers],0),0)</f>
        <v xml:space="preserve"> 18 ft.- 1 3/ 8"</v>
      </c>
      <c r="I369" s="2">
        <f>VLOOKUP([jobnumber],OvalData[],MATCH(Table2[[#Headers],[Support Tubes]],Table2[#Headers],0),0)</f>
        <v>0</v>
      </c>
      <c r="J369" s="2">
        <f>VLOOKUP([jobnumber],OvalData[],MATCH(Table2[[#Headers],[Upset]],Table2[#Headers],0),0)</f>
        <v>2</v>
      </c>
      <c r="K369" s="2" t="str">
        <f>VLOOKUP([jobnumber],OvalData[],MATCH(Table2[[#Headers],[Guide Type]],Table2[#Headers],0),0)</f>
        <v>SN2-4 5/8-E</v>
      </c>
      <c r="L369" s="2" t="str">
        <f>VLOOKUP([jobnumber],OvalData[],MATCH(Table2[[#Headers],[Wall Angle]],Table2[#Headers],0),0)</f>
        <v xml:space="preserve"> 11 ft.- 8"</v>
      </c>
      <c r="M369" s="2" t="str">
        <f>VLOOKUP([jobnumber],OvalData[],MATCH(Table2[[#Headers],[Middle Angle]],Table2[#Headers],0),0)</f>
        <v xml:space="preserve"> 10 ft.- 4 1/ 2"</v>
      </c>
      <c r="N369" s="2" t="str">
        <f>VLOOKUP([jobnumber],OvalData[],MATCH(Table2[[#Headers],[Front Angle]],Table2[#Headers],0),0)</f>
        <v xml:space="preserve"> 10 ft.- 3"</v>
      </c>
      <c r="O369" s="2">
        <f>VLOOKUP([jobnumber],OvalData[],MATCH(Table2[[#Headers],[Pipe Center Line]],Table2[#Headers],0),0)</f>
        <v>131</v>
      </c>
      <c r="P369" s="2">
        <f>VLOOKUP([jobnumber],OvalData[],MATCH(Table2[[#Headers],[Heat Expansion Gap]],Table2[#Headers],0),0)</f>
        <v>0</v>
      </c>
      <c r="Q369" s="2">
        <f>VLOOKUP([jobnumber],OvalData[],MATCH(Table2[[#Headers],[Hanging Weight Closed]],Table2[#Headers],0),0)</f>
        <v>795</v>
      </c>
      <c r="R369" s="2">
        <f>VLOOKUP([jobnumber],OvalData[],MATCH(Table2[[#Headers],[Hanging Weight Open]],Table2[#Headers],0),0)</f>
        <v>140</v>
      </c>
      <c r="S369" s="2">
        <f>VLOOKUP([jobnumber],OvalData[],MATCH(Table2[[#Headers],[Initial Lever Arm]],Table2[#Headers],0),0)</f>
        <v>4.25</v>
      </c>
      <c r="T369" s="2">
        <f>VLOOKUP([jobnumber],OvalData[],MATCH(Table2[[#Headers],[Turns to Raise]],Table2[#Headers],0),0)</f>
        <v>3.5859999999999999</v>
      </c>
      <c r="U369" s="2">
        <f>VLOOKUP([jobnumber],OvalData[],MATCH(Table2[[#Headers],[Final Lever Arm]],Table2[#Headers],0),0)</f>
        <v>6.37</v>
      </c>
      <c r="V369" s="2">
        <f>VLOOKUP([jobnumber],OvalData[],MATCH(Table2[[#Headers],[Torque Required Closed]],Table2[#Headers],0),0)</f>
        <v>3377.9</v>
      </c>
      <c r="W369" s="2">
        <f>VLOOKUP([jobnumber],OvalData[],MATCH(Table2[[#Headers],[Torque Required Open]],Table2[#Headers],0),0)</f>
        <v>892</v>
      </c>
      <c r="X369" s="2">
        <f>VLOOKUP([jobnumber],OvalData[],MATCH(Table2[[#Headers],[Pre Turns]],Table2[#Headers],0),0)</f>
        <v>1.3332999999999999</v>
      </c>
      <c r="Y369" s="2">
        <f>VLOOKUP([jobnumber],OvalData[],MATCH(Table2[[#Headers],[Required Torque Per Turn]],Table2[#Headers],0),0)</f>
        <v>688</v>
      </c>
      <c r="Z369" s="2">
        <f>VLOOKUP([jobnumber],OvalData[],MATCH(Table2[[#Headers],[Total Turns]],Table2[#Headers],0),0)</f>
        <v>4.91</v>
      </c>
      <c r="AA369" s="2">
        <f>VLOOKUP([jobnumber],OvalData[],MATCH(Table2[[#Headers],[Grille Vision Section]],Table2[#Headers],0),0)</f>
        <v>0</v>
      </c>
      <c r="AB369" s="2">
        <f>VLOOKUP([jobnumber],OvalData[],MATCH(Table2[[#Headers],[Grille Amount]],Table2[#Headers],0),0)</f>
        <v>0</v>
      </c>
      <c r="AC369" s="2">
        <f>VLOOKUP([jobnumber],OvalData[],MATCH(Table2[[#Headers],[Grille Center]],Table2[#Headers],0),0)</f>
        <v>0</v>
      </c>
      <c r="AD369" s="2">
        <f>VLOOKUP([jobnumber],OvalData[],MATCH(Table2[[#Headers],[Grille Pattern]],Table2[#Headers],0),0)</f>
        <v>0</v>
      </c>
      <c r="AE369" s="2">
        <f>VLOOKUP([jobnumber],OvalData[],MATCH(Table2[[#Headers],[Grille First Tube]],Table2[#Headers],0),0)</f>
        <v>0</v>
      </c>
      <c r="AF369" s="2">
        <f>VLOOKUP([jobnumber],OvalData[],MATCH(Table2[[#Headers],[Grille Standard Tube]],Table2[#Headers],0),0)</f>
        <v>0</v>
      </c>
      <c r="AG369" s="2">
        <f>VLOOKUP([jobnumber],OvalData[],MATCH(Table2[[#Headers],[Grille Total Links]],Table2[#Headers],0),0)</f>
        <v>0</v>
      </c>
      <c r="AH369" s="2">
        <f>VLOOKUP([jobnumber],OvalData[],MATCH(Table2[[#Headers],[Grille Rods]],Table2[#Headers],0),0)</f>
        <v>0</v>
      </c>
      <c r="AI369" s="2">
        <f>VLOOKUP([jobnumber],OvalData[],MATCH(Table2[[#Headers],[Grille Rod Length]],Table2[#Headers],0),0)</f>
        <v>0</v>
      </c>
      <c r="AJ369" s="2">
        <f>VLOOKUP([jobnumber],OvalData[],MATCH(Table2[[#Headers],[slattype]],Table2[#Headers],0),0)</f>
        <v>2</v>
      </c>
      <c r="AK369" s="2">
        <f>VLOOKUP([jobnumber],OvalData[],MATCH(Table2[[#Headers],[slatgage]],Table2[#Headers],0),0)</f>
        <v>18</v>
      </c>
      <c r="AL369" s="2">
        <f>VLOOKUP([jobnumber],OvalData[],MATCH(Table2[[#Headers],[Numer of Top Slats]],Table2[#Headers],0),0)</f>
        <v>0</v>
      </c>
      <c r="AM369" s="2">
        <f>VLOOKUP([jobnumber],OvalData[],MATCH(Table2[[#Headers],[Number of Bottom Slats]],Table2[#Headers],0),0)</f>
        <v>0</v>
      </c>
      <c r="AN369" s="2">
        <f>VLOOKUP([jobnumber],OvalData[],MATCH(Table2[[#Headers],[Solid Bottom Height]],Table2[#Headers],0),0)</f>
        <v>0</v>
      </c>
      <c r="AO369" s="2" t="str">
        <f>VLOOKUP([jobnumber],OvalData[],MATCH(Table2[[#Headers],[slatlength]],Table2[#Headers],0),0)</f>
        <v xml:space="preserve"> 18 ft.- 5 7/ 8"</v>
      </c>
      <c r="AP369" s="2">
        <f>VLOOKUP([jobnumber],OvalData[],MATCH(Table2[[#Headers],[Bottom Slat Length]],Table2[#Headers],0),0)</f>
        <v>0</v>
      </c>
      <c r="AQ369" s="2">
        <f>VLOOKUP([jobnumber],OvalData[],MATCH(Table2[[#Headers],[Number of Perferated Slats]],Table2[#Headers],0),0)</f>
        <v>0</v>
      </c>
      <c r="AR369" s="2">
        <f>VLOOKUP([jobnumber],OvalData[],MATCH(Table2[[#Headers],[First Preferated Slat From End]],Table2[#Headers],0),0)</f>
        <v>0</v>
      </c>
      <c r="AS369" s="2">
        <f>VLOOKUP([jobnumber],OvalData[],MATCH(Table2[[#Headers],[First Preferated Slat From Bottom]],Table2[#Headers],0),0)</f>
        <v>0</v>
      </c>
      <c r="AT369" s="2">
        <f>VLOOKUP([jobnumber],OvalData[],MATCH(Table2[[#Headers],[Total Number of Slats]],Table2[#Headers],0),0)</f>
        <v>51</v>
      </c>
      <c r="AU369" s="2">
        <f>VLOOKUP([jobnumber],OvalData[],MATCH(Table2[[#Headers],[Bottom Bar Slope]],Table2[#Headers],0),0)</f>
        <v>0</v>
      </c>
      <c r="AV369" s="2">
        <f>VLOOKUP([jobnumber],OvalData[],MATCH(Table2[[#Headers],[Bottom Bar Weight]],Table2[#Headers],0),0)</f>
        <v>80.5</v>
      </c>
      <c r="AW369" s="2" t="str">
        <f>VLOOKUP([jobnumber],OvalData[],MATCH(Table2[[#Headers],[Outer Spring Gage]],Table2[#Headers],0),0)</f>
        <v>Null</v>
      </c>
      <c r="AX369" s="2" t="str">
        <f>VLOOKUP([jobnumber],OvalData[],MATCH(Table2[[#Headers],[Outer Spring OD]],Table2[#Headers],0),0)</f>
        <v>Null</v>
      </c>
      <c r="AY369" s="2" t="str">
        <f>VLOOKUP([jobnumber],OvalData[],MATCH(Table2[[#Headers],[Outer Spring Length]],Table2[#Headers],0),0)</f>
        <v>Null</v>
      </c>
      <c r="AZ369" s="2" t="str">
        <f>VLOOKUP([jobnumber],OvalData[],MATCH(Table2[[#Headers],[Outer Spring Stretch]],Table2[#Headers],0),0)</f>
        <v>Null</v>
      </c>
      <c r="BA369" s="2" t="str">
        <f>VLOOKUP([jobnumber],OvalData[],MATCH(Table2[[#Headers],[Outer Spring Torque]],Table2[#Headers],0),0)</f>
        <v>Null</v>
      </c>
      <c r="BB369" s="2" t="str">
        <f>VLOOKUP([jobnumber],OvalData[],MATCH(Table2[[#Headers],[Outer Spring Max Turns]],Table2[#Headers],0),0)</f>
        <v>Null</v>
      </c>
      <c r="BC369" s="2" t="str">
        <f>VLOOKUP([jobnumber],OvalData[],MATCH(Table2[[#Headers],[Outer Spring Weight]],Table2[#Headers],0),0)</f>
        <v>Null</v>
      </c>
      <c r="BD369" s="2" t="str">
        <f>VLOOKUP([jobnumber],OvalData[],MATCH(Table2[[#Headers],[Inner Spring Gage]],Table2[#Headers],0),0)</f>
        <v>Null</v>
      </c>
      <c r="BE369" s="2" t="str">
        <f>VLOOKUP([jobnumber],OvalData[],MATCH(Table2[[#Headers],[Inner Spring OD]],Table2[#Headers],0),0)</f>
        <v>Null</v>
      </c>
      <c r="BF369" s="2" t="str">
        <f>VLOOKUP([jobnumber],OvalData[],MATCH(Table2[[#Headers],[Inner Spring Length]],Table2[#Headers],0),0)</f>
        <v>Null</v>
      </c>
      <c r="BG369" s="2" t="str">
        <f>VLOOKUP([jobnumber],OvalData[],MATCH(Table2[[#Headers],[Inner Spring Stretch]],Table2[#Headers],0),0)</f>
        <v>Null</v>
      </c>
      <c r="BH369" s="2" t="str">
        <f>VLOOKUP([jobnumber],OvalData[],MATCH(Table2[[#Headers],[Inner Spring Torque]],Table2[#Headers],0),0)</f>
        <v>Null</v>
      </c>
      <c r="BI369" s="2" t="str">
        <f>VLOOKUP([jobnumber],OvalData[],MATCH(Table2[[#Headers],[Inner Spring Max Turns]],Table2[#Headers],0),0)</f>
        <v>Null</v>
      </c>
      <c r="BJ369" s="2" t="str">
        <f>VLOOKUP([jobnumber],OvalData[],MATCH(Table2[[#Headers],[Inner Spring Weight]],Table2[#Headers],0),0)</f>
        <v>Null</v>
      </c>
      <c r="BK369" s="2">
        <f>VLOOKUP([jobnumber],OvalData[],MATCH(Table2[[#Headers],[Cycles]],Table2[#Headers],0),0)</f>
        <v>0</v>
      </c>
      <c r="BL369" s="2">
        <f>VLOOKUP([jobnumber],OvalData[],MATCH(Table2[[#Headers],[Total Spring Torque]],Table2[#Headers],0),0)</f>
        <v>0</v>
      </c>
      <c r="BM369" s="2">
        <f>VLOOKUP([jobnumber],OvalData[],MATCH(Table2[[#Headers],[Total Spring Weight]],Table2[#Headers],0),0)</f>
        <v>0</v>
      </c>
      <c r="BN369" s="2">
        <f>VLOOKUP([jobnumber],OvalData[],MATCH(Table2[[#Headers],[Pipe Weight]],Table2[#Headers],0),0)</f>
        <v>688.24239999999998</v>
      </c>
      <c r="BO369" s="2">
        <f>VLOOKUP([jobnumber],OvalData[],MATCH(Table2[[#Headers],[Max Pipe Deflection]],Table2[#Headers],0),0)</f>
        <v>2309</v>
      </c>
      <c r="BP369" s="2">
        <f>VLOOKUP([jobnumber],OvalData[],MATCH(Table2[[#Headers],[Number Non-Insulated Wrap Slats]],Table2[#Headers],0),0)</f>
        <v>0</v>
      </c>
      <c r="BQ369" s="2">
        <f>VLOOKUP([jobnumber],OvalData[],MATCH(Table2[[#Headers],[Number of Insolated Top Slats]],Table2[#Headers],0),0)</f>
        <v>45</v>
      </c>
      <c r="BR369" s="2">
        <f>VLOOKUP([jobnumber],OvalData[],MATCH(Table2[[#Headers],[Insolated Total Slats]],Table2[#Headers],0),0)</f>
        <v>45</v>
      </c>
      <c r="BS369" s="2">
        <f>VLOOKUP([jobnumber],OvalData[],MATCH(Table2[[#Headers],[Number of Slats]],Table2[#Headers],0),0)</f>
        <v>44.69</v>
      </c>
      <c r="BT369" s="2">
        <f>VLOOKUP([jobnumber],OvalData[],MATCH(Table2[[#Headers],[Wrap]],Table2[#Headers],0),0)</f>
        <v>0</v>
      </c>
      <c r="BU369" s="2">
        <f>VLOOKUP([jobnumber],OvalData[],MATCH(Table2[[#Headers],[Wall Angle Thickness]],Table2[#Headers],0),0)</f>
        <v>0</v>
      </c>
      <c r="BV369" s="2">
        <f>VLOOKUP([jobnumber],OvalData[],MATCH(Table2[[#Headers],[windlocks]],Table2[#Headers],0),0)</f>
        <v>0</v>
      </c>
      <c r="BW369" s="2" t="str">
        <f>VLOOKUP([jobnumber],OvalData[],MATCH(Table2[[#Headers],[bottombartype]],Table2[#Headers],0),0)</f>
        <v>SPECIAL</v>
      </c>
      <c r="BX369" s="2">
        <f>VLOOKUP([jobnumber],OvalData[],MATCH(Table2[[#Headers],[endlockweight]],Table2[#Headers],0),0)</f>
        <v>0.17</v>
      </c>
      <c r="BY369" s="2">
        <f>VLOOKUP([jobnumber],OvalData[],MATCH(Table2[[#Headers],[Endlock Total Weight]],Table2[#Headers],0),0)</f>
        <v>7.5972999999999997</v>
      </c>
      <c r="BZ369" s="2">
        <f>VLOOKUP([jobnumber],OvalData[],MATCH(Table2[[#Headers],[Grille Weight]],Table2[#Headers],0),0)</f>
        <v>0</v>
      </c>
      <c r="CA369" s="2">
        <f>VLOOKUP([jobnumber],OvalData[],MATCH(Table2[[#Headers],[barrelrings]],Table2[#Headers],0),0)</f>
        <v>1</v>
      </c>
    </row>
    <row r="370" spans="2:79">
      <c r="B370" s="2" t="str">
        <f>VLOOKUP([jobnumber],OvalData[],MATCH(Table2[[#Headers],[Hand]],Table2[#Headers],0),0)</f>
        <v>RH</v>
      </c>
      <c r="C370" s="2" t="str">
        <f>VLOOKUP([jobnumber],OvalData[],MATCH(Table2[[#Headers],[Model]],Table2[#Headers],0),0)</f>
        <v>SFMPP</v>
      </c>
      <c r="D370" s="2" t="str">
        <f>VLOOKUP([jobnumber],OvalData[],MATCH(Table2[[#Headers],[width]],Table2[#Headers],0),0)</f>
        <v xml:space="preserve"> 18 ft.- 2"</v>
      </c>
      <c r="E370" s="2" t="str">
        <f>VLOOKUP([jobnumber],OvalData[],MATCH(Table2[[#Headers],[stopheight]],Table2[#Headers],0),0)</f>
        <v xml:space="preserve"> 10 ft.- 0"</v>
      </c>
      <c r="F370" s="2" t="str">
        <f>VLOOKUP([jobnumber],OvalData[],MATCH(Table2[[#Headers],[Between Brackets]],Table2[#Headers],0),0)</f>
        <v xml:space="preserve"> 18 ft.- 7 7/ 8"</v>
      </c>
      <c r="G370" s="2" t="str">
        <f>VLOOKUP([jobnumber],OvalData[],MATCH(Table2[[#Headers],[shell]],Table2[#Headers],0),0)</f>
        <v>6 INCH TUBE</v>
      </c>
      <c r="H370" s="2" t="str">
        <f>VLOOKUP([jobnumber],OvalData[],MATCH(Table2[[#Headers],[pipewidth]],Table2[#Headers],0),0)</f>
        <v xml:space="preserve"> 18 ft.- 1 3/ 8"</v>
      </c>
      <c r="I370" s="2">
        <f>VLOOKUP([jobnumber],OvalData[],MATCH(Table2[[#Headers],[Support Tubes]],Table2[#Headers],0),0)</f>
        <v>0</v>
      </c>
      <c r="J370" s="2">
        <f>VLOOKUP([jobnumber],OvalData[],MATCH(Table2[[#Headers],[Upset]],Table2[#Headers],0),0)</f>
        <v>2</v>
      </c>
      <c r="K370" s="2" t="str">
        <f>VLOOKUP([jobnumber],OvalData[],MATCH(Table2[[#Headers],[Guide Type]],Table2[#Headers],0),0)</f>
        <v>SN2-4 5/8-E</v>
      </c>
      <c r="L370" s="2" t="str">
        <f>VLOOKUP([jobnumber],OvalData[],MATCH(Table2[[#Headers],[Wall Angle]],Table2[#Headers],0),0)</f>
        <v xml:space="preserve"> 11 ft.- 8"</v>
      </c>
      <c r="M370" s="2" t="str">
        <f>VLOOKUP([jobnumber],OvalData[],MATCH(Table2[[#Headers],[Middle Angle]],Table2[#Headers],0),0)</f>
        <v xml:space="preserve"> 10 ft.- 4 1/ 2"</v>
      </c>
      <c r="N370" s="2" t="str">
        <f>VLOOKUP([jobnumber],OvalData[],MATCH(Table2[[#Headers],[Front Angle]],Table2[#Headers],0),0)</f>
        <v xml:space="preserve"> 10 ft.- 3"</v>
      </c>
      <c r="O370" s="2">
        <f>VLOOKUP([jobnumber],OvalData[],MATCH(Table2[[#Headers],[Pipe Center Line]],Table2[#Headers],0),0)</f>
        <v>131</v>
      </c>
      <c r="P370" s="2">
        <f>VLOOKUP([jobnumber],OvalData[],MATCH(Table2[[#Headers],[Heat Expansion Gap]],Table2[#Headers],0),0)</f>
        <v>0</v>
      </c>
      <c r="Q370" s="2">
        <f>VLOOKUP([jobnumber],OvalData[],MATCH(Table2[[#Headers],[Hanging Weight Closed]],Table2[#Headers],0),0)</f>
        <v>795</v>
      </c>
      <c r="R370" s="2">
        <f>VLOOKUP([jobnumber],OvalData[],MATCH(Table2[[#Headers],[Hanging Weight Open]],Table2[#Headers],0),0)</f>
        <v>140</v>
      </c>
      <c r="S370" s="2">
        <f>VLOOKUP([jobnumber],OvalData[],MATCH(Table2[[#Headers],[Initial Lever Arm]],Table2[#Headers],0),0)</f>
        <v>4.25</v>
      </c>
      <c r="T370" s="2">
        <f>VLOOKUP([jobnumber],OvalData[],MATCH(Table2[[#Headers],[Turns to Raise]],Table2[#Headers],0),0)</f>
        <v>3.5859999999999999</v>
      </c>
      <c r="U370" s="2">
        <f>VLOOKUP([jobnumber],OvalData[],MATCH(Table2[[#Headers],[Final Lever Arm]],Table2[#Headers],0),0)</f>
        <v>6.37</v>
      </c>
      <c r="V370" s="2">
        <f>VLOOKUP([jobnumber],OvalData[],MATCH(Table2[[#Headers],[Torque Required Closed]],Table2[#Headers],0),0)</f>
        <v>3377.9</v>
      </c>
      <c r="W370" s="2">
        <f>VLOOKUP([jobnumber],OvalData[],MATCH(Table2[[#Headers],[Torque Required Open]],Table2[#Headers],0),0)</f>
        <v>892</v>
      </c>
      <c r="X370" s="2">
        <f>VLOOKUP([jobnumber],OvalData[],MATCH(Table2[[#Headers],[Pre Turns]],Table2[#Headers],0),0)</f>
        <v>1.3332999999999999</v>
      </c>
      <c r="Y370" s="2">
        <f>VLOOKUP([jobnumber],OvalData[],MATCH(Table2[[#Headers],[Required Torque Per Turn]],Table2[#Headers],0),0)</f>
        <v>688</v>
      </c>
      <c r="Z370" s="2">
        <f>VLOOKUP([jobnumber],OvalData[],MATCH(Table2[[#Headers],[Total Turns]],Table2[#Headers],0),0)</f>
        <v>4.91</v>
      </c>
      <c r="AA370" s="2">
        <f>VLOOKUP([jobnumber],OvalData[],MATCH(Table2[[#Headers],[Grille Vision Section]],Table2[#Headers],0),0)</f>
        <v>0</v>
      </c>
      <c r="AB370" s="2">
        <f>VLOOKUP([jobnumber],OvalData[],MATCH(Table2[[#Headers],[Grille Amount]],Table2[#Headers],0),0)</f>
        <v>0</v>
      </c>
      <c r="AC370" s="2">
        <f>VLOOKUP([jobnumber],OvalData[],MATCH(Table2[[#Headers],[Grille Center]],Table2[#Headers],0),0)</f>
        <v>0</v>
      </c>
      <c r="AD370" s="2">
        <f>VLOOKUP([jobnumber],OvalData[],MATCH(Table2[[#Headers],[Grille Pattern]],Table2[#Headers],0),0)</f>
        <v>0</v>
      </c>
      <c r="AE370" s="2">
        <f>VLOOKUP([jobnumber],OvalData[],MATCH(Table2[[#Headers],[Grille First Tube]],Table2[#Headers],0),0)</f>
        <v>0</v>
      </c>
      <c r="AF370" s="2">
        <f>VLOOKUP([jobnumber],OvalData[],MATCH(Table2[[#Headers],[Grille Standard Tube]],Table2[#Headers],0),0)</f>
        <v>0</v>
      </c>
      <c r="AG370" s="2">
        <f>VLOOKUP([jobnumber],OvalData[],MATCH(Table2[[#Headers],[Grille Total Links]],Table2[#Headers],0),0)</f>
        <v>0</v>
      </c>
      <c r="AH370" s="2">
        <f>VLOOKUP([jobnumber],OvalData[],MATCH(Table2[[#Headers],[Grille Rods]],Table2[#Headers],0),0)</f>
        <v>0</v>
      </c>
      <c r="AI370" s="2">
        <f>VLOOKUP([jobnumber],OvalData[],MATCH(Table2[[#Headers],[Grille Rod Length]],Table2[#Headers],0),0)</f>
        <v>0</v>
      </c>
      <c r="AJ370" s="2">
        <f>VLOOKUP([jobnumber],OvalData[],MATCH(Table2[[#Headers],[slattype]],Table2[#Headers],0),0)</f>
        <v>2</v>
      </c>
      <c r="AK370" s="2">
        <f>VLOOKUP([jobnumber],OvalData[],MATCH(Table2[[#Headers],[slatgage]],Table2[#Headers],0),0)</f>
        <v>18</v>
      </c>
      <c r="AL370" s="2">
        <f>VLOOKUP([jobnumber],OvalData[],MATCH(Table2[[#Headers],[Numer of Top Slats]],Table2[#Headers],0),0)</f>
        <v>0</v>
      </c>
      <c r="AM370" s="2">
        <f>VLOOKUP([jobnumber],OvalData[],MATCH(Table2[[#Headers],[Number of Bottom Slats]],Table2[#Headers],0),0)</f>
        <v>0</v>
      </c>
      <c r="AN370" s="2">
        <f>VLOOKUP([jobnumber],OvalData[],MATCH(Table2[[#Headers],[Solid Bottom Height]],Table2[#Headers],0),0)</f>
        <v>0</v>
      </c>
      <c r="AO370" s="2" t="str">
        <f>VLOOKUP([jobnumber],OvalData[],MATCH(Table2[[#Headers],[slatlength]],Table2[#Headers],0),0)</f>
        <v xml:space="preserve"> 18 ft.- 5 7/ 8"</v>
      </c>
      <c r="AP370" s="2">
        <f>VLOOKUP([jobnumber],OvalData[],MATCH(Table2[[#Headers],[Bottom Slat Length]],Table2[#Headers],0),0)</f>
        <v>0</v>
      </c>
      <c r="AQ370" s="2">
        <f>VLOOKUP([jobnumber],OvalData[],MATCH(Table2[[#Headers],[Number of Perferated Slats]],Table2[#Headers],0),0)</f>
        <v>0</v>
      </c>
      <c r="AR370" s="2">
        <f>VLOOKUP([jobnumber],OvalData[],MATCH(Table2[[#Headers],[First Preferated Slat From End]],Table2[#Headers],0),0)</f>
        <v>0</v>
      </c>
      <c r="AS370" s="2">
        <f>VLOOKUP([jobnumber],OvalData[],MATCH(Table2[[#Headers],[First Preferated Slat From Bottom]],Table2[#Headers],0),0)</f>
        <v>0</v>
      </c>
      <c r="AT370" s="2">
        <f>VLOOKUP([jobnumber],OvalData[],MATCH(Table2[[#Headers],[Total Number of Slats]],Table2[#Headers],0),0)</f>
        <v>51</v>
      </c>
      <c r="AU370" s="2">
        <f>VLOOKUP([jobnumber],OvalData[],MATCH(Table2[[#Headers],[Bottom Bar Slope]],Table2[#Headers],0),0)</f>
        <v>0</v>
      </c>
      <c r="AV370" s="2">
        <f>VLOOKUP([jobnumber],OvalData[],MATCH(Table2[[#Headers],[Bottom Bar Weight]],Table2[#Headers],0),0)</f>
        <v>80.5</v>
      </c>
      <c r="AW370" s="2" t="str">
        <f>VLOOKUP([jobnumber],OvalData[],MATCH(Table2[[#Headers],[Outer Spring Gage]],Table2[#Headers],0),0)</f>
        <v>Null</v>
      </c>
      <c r="AX370" s="2" t="str">
        <f>VLOOKUP([jobnumber],OvalData[],MATCH(Table2[[#Headers],[Outer Spring OD]],Table2[#Headers],0),0)</f>
        <v>Null</v>
      </c>
      <c r="AY370" s="2" t="str">
        <f>VLOOKUP([jobnumber],OvalData[],MATCH(Table2[[#Headers],[Outer Spring Length]],Table2[#Headers],0),0)</f>
        <v>Null</v>
      </c>
      <c r="AZ370" s="2" t="str">
        <f>VLOOKUP([jobnumber],OvalData[],MATCH(Table2[[#Headers],[Outer Spring Stretch]],Table2[#Headers],0),0)</f>
        <v>Null</v>
      </c>
      <c r="BA370" s="2" t="str">
        <f>VLOOKUP([jobnumber],OvalData[],MATCH(Table2[[#Headers],[Outer Spring Torque]],Table2[#Headers],0),0)</f>
        <v>Null</v>
      </c>
      <c r="BB370" s="2" t="str">
        <f>VLOOKUP([jobnumber],OvalData[],MATCH(Table2[[#Headers],[Outer Spring Max Turns]],Table2[#Headers],0),0)</f>
        <v>Null</v>
      </c>
      <c r="BC370" s="2" t="str">
        <f>VLOOKUP([jobnumber],OvalData[],MATCH(Table2[[#Headers],[Outer Spring Weight]],Table2[#Headers],0),0)</f>
        <v>Null</v>
      </c>
      <c r="BD370" s="2" t="str">
        <f>VLOOKUP([jobnumber],OvalData[],MATCH(Table2[[#Headers],[Inner Spring Gage]],Table2[#Headers],0),0)</f>
        <v>Null</v>
      </c>
      <c r="BE370" s="2" t="str">
        <f>VLOOKUP([jobnumber],OvalData[],MATCH(Table2[[#Headers],[Inner Spring OD]],Table2[#Headers],0),0)</f>
        <v>Null</v>
      </c>
      <c r="BF370" s="2" t="str">
        <f>VLOOKUP([jobnumber],OvalData[],MATCH(Table2[[#Headers],[Inner Spring Length]],Table2[#Headers],0),0)</f>
        <v>Null</v>
      </c>
      <c r="BG370" s="2" t="str">
        <f>VLOOKUP([jobnumber],OvalData[],MATCH(Table2[[#Headers],[Inner Spring Stretch]],Table2[#Headers],0),0)</f>
        <v>Null</v>
      </c>
      <c r="BH370" s="2" t="str">
        <f>VLOOKUP([jobnumber],OvalData[],MATCH(Table2[[#Headers],[Inner Spring Torque]],Table2[#Headers],0),0)</f>
        <v>Null</v>
      </c>
      <c r="BI370" s="2" t="str">
        <f>VLOOKUP([jobnumber],OvalData[],MATCH(Table2[[#Headers],[Inner Spring Max Turns]],Table2[#Headers],0),0)</f>
        <v>Null</v>
      </c>
      <c r="BJ370" s="2" t="str">
        <f>VLOOKUP([jobnumber],OvalData[],MATCH(Table2[[#Headers],[Inner Spring Weight]],Table2[#Headers],0),0)</f>
        <v>Null</v>
      </c>
      <c r="BK370" s="2">
        <f>VLOOKUP([jobnumber],OvalData[],MATCH(Table2[[#Headers],[Cycles]],Table2[#Headers],0),0)</f>
        <v>0</v>
      </c>
      <c r="BL370" s="2">
        <f>VLOOKUP([jobnumber],OvalData[],MATCH(Table2[[#Headers],[Total Spring Torque]],Table2[#Headers],0),0)</f>
        <v>0</v>
      </c>
      <c r="BM370" s="2">
        <f>VLOOKUP([jobnumber],OvalData[],MATCH(Table2[[#Headers],[Total Spring Weight]],Table2[#Headers],0),0)</f>
        <v>0</v>
      </c>
      <c r="BN370" s="2">
        <f>VLOOKUP([jobnumber],OvalData[],MATCH(Table2[[#Headers],[Pipe Weight]],Table2[#Headers],0),0)</f>
        <v>688.24239999999998</v>
      </c>
      <c r="BO370" s="2">
        <f>VLOOKUP([jobnumber],OvalData[],MATCH(Table2[[#Headers],[Max Pipe Deflection]],Table2[#Headers],0),0)</f>
        <v>2309</v>
      </c>
      <c r="BP370" s="2">
        <f>VLOOKUP([jobnumber],OvalData[],MATCH(Table2[[#Headers],[Number Non-Insulated Wrap Slats]],Table2[#Headers],0),0)</f>
        <v>0</v>
      </c>
      <c r="BQ370" s="2">
        <f>VLOOKUP([jobnumber],OvalData[],MATCH(Table2[[#Headers],[Number of Insolated Top Slats]],Table2[#Headers],0),0)</f>
        <v>45</v>
      </c>
      <c r="BR370" s="2">
        <f>VLOOKUP([jobnumber],OvalData[],MATCH(Table2[[#Headers],[Insolated Total Slats]],Table2[#Headers],0),0)</f>
        <v>45</v>
      </c>
      <c r="BS370" s="2">
        <f>VLOOKUP([jobnumber],OvalData[],MATCH(Table2[[#Headers],[Number of Slats]],Table2[#Headers],0),0)</f>
        <v>44.69</v>
      </c>
      <c r="BT370" s="2">
        <f>VLOOKUP([jobnumber],OvalData[],MATCH(Table2[[#Headers],[Wrap]],Table2[#Headers],0),0)</f>
        <v>0</v>
      </c>
      <c r="BU370" s="2">
        <f>VLOOKUP([jobnumber],OvalData[],MATCH(Table2[[#Headers],[Wall Angle Thickness]],Table2[#Headers],0),0)</f>
        <v>0</v>
      </c>
      <c r="BV370" s="2">
        <f>VLOOKUP([jobnumber],OvalData[],MATCH(Table2[[#Headers],[windlocks]],Table2[#Headers],0),0)</f>
        <v>0</v>
      </c>
      <c r="BW370" s="2" t="str">
        <f>VLOOKUP([jobnumber],OvalData[],MATCH(Table2[[#Headers],[bottombartype]],Table2[#Headers],0),0)</f>
        <v>SPECIAL</v>
      </c>
      <c r="BX370" s="2">
        <f>VLOOKUP([jobnumber],OvalData[],MATCH(Table2[[#Headers],[endlockweight]],Table2[#Headers],0),0)</f>
        <v>0.17</v>
      </c>
      <c r="BY370" s="2">
        <f>VLOOKUP([jobnumber],OvalData[],MATCH(Table2[[#Headers],[Endlock Total Weight]],Table2[#Headers],0),0)</f>
        <v>7.5972999999999997</v>
      </c>
      <c r="BZ370" s="2">
        <f>VLOOKUP([jobnumber],OvalData[],MATCH(Table2[[#Headers],[Grille Weight]],Table2[#Headers],0),0)</f>
        <v>0</v>
      </c>
      <c r="CA370" s="2">
        <f>VLOOKUP([jobnumber],OvalData[],MATCH(Table2[[#Headers],[barrelrings]],Table2[#Headers],0),0)</f>
        <v>1</v>
      </c>
    </row>
    <row r="371" spans="2:79">
      <c r="B371" s="2" t="str">
        <f>VLOOKUP([jobnumber],OvalData[],MATCH(Table2[[#Headers],[Hand]],Table2[#Headers],0),0)</f>
        <v>RH</v>
      </c>
      <c r="C371" s="2" t="str">
        <f>VLOOKUP([jobnumber],OvalData[],MATCH(Table2[[#Headers],[Model]],Table2[#Headers],0),0)</f>
        <v>SFMPP</v>
      </c>
      <c r="D371" s="2" t="str">
        <f>VLOOKUP([jobnumber],OvalData[],MATCH(Table2[[#Headers],[width]],Table2[#Headers],0),0)</f>
        <v xml:space="preserve"> 18 ft.- 2"</v>
      </c>
      <c r="E371" s="2" t="str">
        <f>VLOOKUP([jobnumber],OvalData[],MATCH(Table2[[#Headers],[stopheight]],Table2[#Headers],0),0)</f>
        <v xml:space="preserve"> 10 ft.- 0"</v>
      </c>
      <c r="F371" s="2" t="str">
        <f>VLOOKUP([jobnumber],OvalData[],MATCH(Table2[[#Headers],[Between Brackets]],Table2[#Headers],0),0)</f>
        <v xml:space="preserve"> 18 ft.- 7 7/ 8"</v>
      </c>
      <c r="G371" s="2" t="str">
        <f>VLOOKUP([jobnumber],OvalData[],MATCH(Table2[[#Headers],[shell]],Table2[#Headers],0),0)</f>
        <v>6 INCH TUBE</v>
      </c>
      <c r="H371" s="2" t="str">
        <f>VLOOKUP([jobnumber],OvalData[],MATCH(Table2[[#Headers],[pipewidth]],Table2[#Headers],0),0)</f>
        <v xml:space="preserve"> 18 ft.- 1 3/ 8"</v>
      </c>
      <c r="I371" s="2">
        <f>VLOOKUP([jobnumber],OvalData[],MATCH(Table2[[#Headers],[Support Tubes]],Table2[#Headers],0),0)</f>
        <v>0</v>
      </c>
      <c r="J371" s="2">
        <f>VLOOKUP([jobnumber],OvalData[],MATCH(Table2[[#Headers],[Upset]],Table2[#Headers],0),0)</f>
        <v>2</v>
      </c>
      <c r="K371" s="2" t="str">
        <f>VLOOKUP([jobnumber],OvalData[],MATCH(Table2[[#Headers],[Guide Type]],Table2[#Headers],0),0)</f>
        <v>SN2-4 5/8-E</v>
      </c>
      <c r="L371" s="2" t="str">
        <f>VLOOKUP([jobnumber],OvalData[],MATCH(Table2[[#Headers],[Wall Angle]],Table2[#Headers],0),0)</f>
        <v xml:space="preserve"> 11 ft.- 8"</v>
      </c>
      <c r="M371" s="2" t="str">
        <f>VLOOKUP([jobnumber],OvalData[],MATCH(Table2[[#Headers],[Middle Angle]],Table2[#Headers],0),0)</f>
        <v xml:space="preserve"> 10 ft.- 4 1/ 2"</v>
      </c>
      <c r="N371" s="2" t="str">
        <f>VLOOKUP([jobnumber],OvalData[],MATCH(Table2[[#Headers],[Front Angle]],Table2[#Headers],0),0)</f>
        <v xml:space="preserve"> 10 ft.- 3"</v>
      </c>
      <c r="O371" s="2">
        <f>VLOOKUP([jobnumber],OvalData[],MATCH(Table2[[#Headers],[Pipe Center Line]],Table2[#Headers],0),0)</f>
        <v>131</v>
      </c>
      <c r="P371" s="2">
        <f>VLOOKUP([jobnumber],OvalData[],MATCH(Table2[[#Headers],[Heat Expansion Gap]],Table2[#Headers],0),0)</f>
        <v>0</v>
      </c>
      <c r="Q371" s="2">
        <f>VLOOKUP([jobnumber],OvalData[],MATCH(Table2[[#Headers],[Hanging Weight Closed]],Table2[#Headers],0),0)</f>
        <v>795</v>
      </c>
      <c r="R371" s="2">
        <f>VLOOKUP([jobnumber],OvalData[],MATCH(Table2[[#Headers],[Hanging Weight Open]],Table2[#Headers],0),0)</f>
        <v>140</v>
      </c>
      <c r="S371" s="2">
        <f>VLOOKUP([jobnumber],OvalData[],MATCH(Table2[[#Headers],[Initial Lever Arm]],Table2[#Headers],0),0)</f>
        <v>4.25</v>
      </c>
      <c r="T371" s="2">
        <f>VLOOKUP([jobnumber],OvalData[],MATCH(Table2[[#Headers],[Turns to Raise]],Table2[#Headers],0),0)</f>
        <v>3.5859999999999999</v>
      </c>
      <c r="U371" s="2">
        <f>VLOOKUP([jobnumber],OvalData[],MATCH(Table2[[#Headers],[Final Lever Arm]],Table2[#Headers],0),0)</f>
        <v>6.37</v>
      </c>
      <c r="V371" s="2">
        <f>VLOOKUP([jobnumber],OvalData[],MATCH(Table2[[#Headers],[Torque Required Closed]],Table2[#Headers],0),0)</f>
        <v>3377.9</v>
      </c>
      <c r="W371" s="2">
        <f>VLOOKUP([jobnumber],OvalData[],MATCH(Table2[[#Headers],[Torque Required Open]],Table2[#Headers],0),0)</f>
        <v>892</v>
      </c>
      <c r="X371" s="2">
        <f>VLOOKUP([jobnumber],OvalData[],MATCH(Table2[[#Headers],[Pre Turns]],Table2[#Headers],0),0)</f>
        <v>1.3332999999999999</v>
      </c>
      <c r="Y371" s="2">
        <f>VLOOKUP([jobnumber],OvalData[],MATCH(Table2[[#Headers],[Required Torque Per Turn]],Table2[#Headers],0),0)</f>
        <v>688</v>
      </c>
      <c r="Z371" s="2">
        <f>VLOOKUP([jobnumber],OvalData[],MATCH(Table2[[#Headers],[Total Turns]],Table2[#Headers],0),0)</f>
        <v>4.91</v>
      </c>
      <c r="AA371" s="2">
        <f>VLOOKUP([jobnumber],OvalData[],MATCH(Table2[[#Headers],[Grille Vision Section]],Table2[#Headers],0),0)</f>
        <v>0</v>
      </c>
      <c r="AB371" s="2">
        <f>VLOOKUP([jobnumber],OvalData[],MATCH(Table2[[#Headers],[Grille Amount]],Table2[#Headers],0),0)</f>
        <v>0</v>
      </c>
      <c r="AC371" s="2">
        <f>VLOOKUP([jobnumber],OvalData[],MATCH(Table2[[#Headers],[Grille Center]],Table2[#Headers],0),0)</f>
        <v>0</v>
      </c>
      <c r="AD371" s="2">
        <f>VLOOKUP([jobnumber],OvalData[],MATCH(Table2[[#Headers],[Grille Pattern]],Table2[#Headers],0),0)</f>
        <v>0</v>
      </c>
      <c r="AE371" s="2">
        <f>VLOOKUP([jobnumber],OvalData[],MATCH(Table2[[#Headers],[Grille First Tube]],Table2[#Headers],0),0)</f>
        <v>0</v>
      </c>
      <c r="AF371" s="2">
        <f>VLOOKUP([jobnumber],OvalData[],MATCH(Table2[[#Headers],[Grille Standard Tube]],Table2[#Headers],0),0)</f>
        <v>0</v>
      </c>
      <c r="AG371" s="2">
        <f>VLOOKUP([jobnumber],OvalData[],MATCH(Table2[[#Headers],[Grille Total Links]],Table2[#Headers],0),0)</f>
        <v>0</v>
      </c>
      <c r="AH371" s="2">
        <f>VLOOKUP([jobnumber],OvalData[],MATCH(Table2[[#Headers],[Grille Rods]],Table2[#Headers],0),0)</f>
        <v>0</v>
      </c>
      <c r="AI371" s="2">
        <f>VLOOKUP([jobnumber],OvalData[],MATCH(Table2[[#Headers],[Grille Rod Length]],Table2[#Headers],0),0)</f>
        <v>0</v>
      </c>
      <c r="AJ371" s="2">
        <f>VLOOKUP([jobnumber],OvalData[],MATCH(Table2[[#Headers],[slattype]],Table2[#Headers],0),0)</f>
        <v>2</v>
      </c>
      <c r="AK371" s="2">
        <f>VLOOKUP([jobnumber],OvalData[],MATCH(Table2[[#Headers],[slatgage]],Table2[#Headers],0),0)</f>
        <v>18</v>
      </c>
      <c r="AL371" s="2">
        <f>VLOOKUP([jobnumber],OvalData[],MATCH(Table2[[#Headers],[Numer of Top Slats]],Table2[#Headers],0),0)</f>
        <v>0</v>
      </c>
      <c r="AM371" s="2">
        <f>VLOOKUP([jobnumber],OvalData[],MATCH(Table2[[#Headers],[Number of Bottom Slats]],Table2[#Headers],0),0)</f>
        <v>0</v>
      </c>
      <c r="AN371" s="2">
        <f>VLOOKUP([jobnumber],OvalData[],MATCH(Table2[[#Headers],[Solid Bottom Height]],Table2[#Headers],0),0)</f>
        <v>0</v>
      </c>
      <c r="AO371" s="2" t="str">
        <f>VLOOKUP([jobnumber],OvalData[],MATCH(Table2[[#Headers],[slatlength]],Table2[#Headers],0),0)</f>
        <v xml:space="preserve"> 18 ft.- 5 7/ 8"</v>
      </c>
      <c r="AP371" s="2">
        <f>VLOOKUP([jobnumber],OvalData[],MATCH(Table2[[#Headers],[Bottom Slat Length]],Table2[#Headers],0),0)</f>
        <v>0</v>
      </c>
      <c r="AQ371" s="2">
        <f>VLOOKUP([jobnumber],OvalData[],MATCH(Table2[[#Headers],[Number of Perferated Slats]],Table2[#Headers],0),0)</f>
        <v>0</v>
      </c>
      <c r="AR371" s="2">
        <f>VLOOKUP([jobnumber],OvalData[],MATCH(Table2[[#Headers],[First Preferated Slat From End]],Table2[#Headers],0),0)</f>
        <v>0</v>
      </c>
      <c r="AS371" s="2">
        <f>VLOOKUP([jobnumber],OvalData[],MATCH(Table2[[#Headers],[First Preferated Slat From Bottom]],Table2[#Headers],0),0)</f>
        <v>0</v>
      </c>
      <c r="AT371" s="2">
        <f>VLOOKUP([jobnumber],OvalData[],MATCH(Table2[[#Headers],[Total Number of Slats]],Table2[#Headers],0),0)</f>
        <v>51</v>
      </c>
      <c r="AU371" s="2">
        <f>VLOOKUP([jobnumber],OvalData[],MATCH(Table2[[#Headers],[Bottom Bar Slope]],Table2[#Headers],0),0)</f>
        <v>0</v>
      </c>
      <c r="AV371" s="2">
        <f>VLOOKUP([jobnumber],OvalData[],MATCH(Table2[[#Headers],[Bottom Bar Weight]],Table2[#Headers],0),0)</f>
        <v>80.5</v>
      </c>
      <c r="AW371" s="2" t="str">
        <f>VLOOKUP([jobnumber],OvalData[],MATCH(Table2[[#Headers],[Outer Spring Gage]],Table2[#Headers],0),0)</f>
        <v>Null</v>
      </c>
      <c r="AX371" s="2" t="str">
        <f>VLOOKUP([jobnumber],OvalData[],MATCH(Table2[[#Headers],[Outer Spring OD]],Table2[#Headers],0),0)</f>
        <v>Null</v>
      </c>
      <c r="AY371" s="2" t="str">
        <f>VLOOKUP([jobnumber],OvalData[],MATCH(Table2[[#Headers],[Outer Spring Length]],Table2[#Headers],0),0)</f>
        <v>Null</v>
      </c>
      <c r="AZ371" s="2" t="str">
        <f>VLOOKUP([jobnumber],OvalData[],MATCH(Table2[[#Headers],[Outer Spring Stretch]],Table2[#Headers],0),0)</f>
        <v>Null</v>
      </c>
      <c r="BA371" s="2" t="str">
        <f>VLOOKUP([jobnumber],OvalData[],MATCH(Table2[[#Headers],[Outer Spring Torque]],Table2[#Headers],0),0)</f>
        <v>Null</v>
      </c>
      <c r="BB371" s="2" t="str">
        <f>VLOOKUP([jobnumber],OvalData[],MATCH(Table2[[#Headers],[Outer Spring Max Turns]],Table2[#Headers],0),0)</f>
        <v>Null</v>
      </c>
      <c r="BC371" s="2" t="str">
        <f>VLOOKUP([jobnumber],OvalData[],MATCH(Table2[[#Headers],[Outer Spring Weight]],Table2[#Headers],0),0)</f>
        <v>Null</v>
      </c>
      <c r="BD371" s="2" t="str">
        <f>VLOOKUP([jobnumber],OvalData[],MATCH(Table2[[#Headers],[Inner Spring Gage]],Table2[#Headers],0),0)</f>
        <v>Null</v>
      </c>
      <c r="BE371" s="2" t="str">
        <f>VLOOKUP([jobnumber],OvalData[],MATCH(Table2[[#Headers],[Inner Spring OD]],Table2[#Headers],0),0)</f>
        <v>Null</v>
      </c>
      <c r="BF371" s="2" t="str">
        <f>VLOOKUP([jobnumber],OvalData[],MATCH(Table2[[#Headers],[Inner Spring Length]],Table2[#Headers],0),0)</f>
        <v>Null</v>
      </c>
      <c r="BG371" s="2" t="str">
        <f>VLOOKUP([jobnumber],OvalData[],MATCH(Table2[[#Headers],[Inner Spring Stretch]],Table2[#Headers],0),0)</f>
        <v>Null</v>
      </c>
      <c r="BH371" s="2" t="str">
        <f>VLOOKUP([jobnumber],OvalData[],MATCH(Table2[[#Headers],[Inner Spring Torque]],Table2[#Headers],0),0)</f>
        <v>Null</v>
      </c>
      <c r="BI371" s="2" t="str">
        <f>VLOOKUP([jobnumber],OvalData[],MATCH(Table2[[#Headers],[Inner Spring Max Turns]],Table2[#Headers],0),0)</f>
        <v>Null</v>
      </c>
      <c r="BJ371" s="2" t="str">
        <f>VLOOKUP([jobnumber],OvalData[],MATCH(Table2[[#Headers],[Inner Spring Weight]],Table2[#Headers],0),0)</f>
        <v>Null</v>
      </c>
      <c r="BK371" s="2">
        <f>VLOOKUP([jobnumber],OvalData[],MATCH(Table2[[#Headers],[Cycles]],Table2[#Headers],0),0)</f>
        <v>0</v>
      </c>
      <c r="BL371" s="2">
        <f>VLOOKUP([jobnumber],OvalData[],MATCH(Table2[[#Headers],[Total Spring Torque]],Table2[#Headers],0),0)</f>
        <v>0</v>
      </c>
      <c r="BM371" s="2">
        <f>VLOOKUP([jobnumber],OvalData[],MATCH(Table2[[#Headers],[Total Spring Weight]],Table2[#Headers],0),0)</f>
        <v>0</v>
      </c>
      <c r="BN371" s="2">
        <f>VLOOKUP([jobnumber],OvalData[],MATCH(Table2[[#Headers],[Pipe Weight]],Table2[#Headers],0),0)</f>
        <v>688.24239999999998</v>
      </c>
      <c r="BO371" s="2">
        <f>VLOOKUP([jobnumber],OvalData[],MATCH(Table2[[#Headers],[Max Pipe Deflection]],Table2[#Headers],0),0)</f>
        <v>2309</v>
      </c>
      <c r="BP371" s="2">
        <f>VLOOKUP([jobnumber],OvalData[],MATCH(Table2[[#Headers],[Number Non-Insulated Wrap Slats]],Table2[#Headers],0),0)</f>
        <v>0</v>
      </c>
      <c r="BQ371" s="2">
        <f>VLOOKUP([jobnumber],OvalData[],MATCH(Table2[[#Headers],[Number of Insolated Top Slats]],Table2[#Headers],0),0)</f>
        <v>45</v>
      </c>
      <c r="BR371" s="2">
        <f>VLOOKUP([jobnumber],OvalData[],MATCH(Table2[[#Headers],[Insolated Total Slats]],Table2[#Headers],0),0)</f>
        <v>45</v>
      </c>
      <c r="BS371" s="2">
        <f>VLOOKUP([jobnumber],OvalData[],MATCH(Table2[[#Headers],[Number of Slats]],Table2[#Headers],0),0)</f>
        <v>44.69</v>
      </c>
      <c r="BT371" s="2">
        <f>VLOOKUP([jobnumber],OvalData[],MATCH(Table2[[#Headers],[Wrap]],Table2[#Headers],0),0)</f>
        <v>0</v>
      </c>
      <c r="BU371" s="2">
        <f>VLOOKUP([jobnumber],OvalData[],MATCH(Table2[[#Headers],[Wall Angle Thickness]],Table2[#Headers],0),0)</f>
        <v>0</v>
      </c>
      <c r="BV371" s="2">
        <f>VLOOKUP([jobnumber],OvalData[],MATCH(Table2[[#Headers],[windlocks]],Table2[#Headers],0),0)</f>
        <v>0</v>
      </c>
      <c r="BW371" s="2" t="str">
        <f>VLOOKUP([jobnumber],OvalData[],MATCH(Table2[[#Headers],[bottombartype]],Table2[#Headers],0),0)</f>
        <v>SPECIAL</v>
      </c>
      <c r="BX371" s="2">
        <f>VLOOKUP([jobnumber],OvalData[],MATCH(Table2[[#Headers],[endlockweight]],Table2[#Headers],0),0)</f>
        <v>0.17</v>
      </c>
      <c r="BY371" s="2">
        <f>VLOOKUP([jobnumber],OvalData[],MATCH(Table2[[#Headers],[Endlock Total Weight]],Table2[#Headers],0),0)</f>
        <v>7.5972999999999997</v>
      </c>
      <c r="BZ371" s="2">
        <f>VLOOKUP([jobnumber],OvalData[],MATCH(Table2[[#Headers],[Grille Weight]],Table2[#Headers],0),0)</f>
        <v>0</v>
      </c>
      <c r="CA371" s="2">
        <f>VLOOKUP([jobnumber],OvalData[],MATCH(Table2[[#Headers],[barrelrings]],Table2[#Headers],0),0)</f>
        <v>1</v>
      </c>
    </row>
    <row r="372" spans="2:79">
      <c r="B372" s="2" t="str">
        <f>VLOOKUP([jobnumber],OvalData[],MATCH(Table2[[#Headers],[Hand]],Table2[#Headers],0),0)</f>
        <v>RH</v>
      </c>
      <c r="C372" s="2" t="str">
        <f>VLOOKUP([jobnumber],OvalData[],MATCH(Table2[[#Headers],[Model]],Table2[#Headers],0),0)</f>
        <v>SFMPP</v>
      </c>
      <c r="D372" s="2" t="str">
        <f>VLOOKUP([jobnumber],OvalData[],MATCH(Table2[[#Headers],[width]],Table2[#Headers],0),0)</f>
        <v xml:space="preserve"> 18 ft.- 2"</v>
      </c>
      <c r="E372" s="2" t="str">
        <f>VLOOKUP([jobnumber],OvalData[],MATCH(Table2[[#Headers],[stopheight]],Table2[#Headers],0),0)</f>
        <v xml:space="preserve"> 10 ft.- 0"</v>
      </c>
      <c r="F372" s="2" t="str">
        <f>VLOOKUP([jobnumber],OvalData[],MATCH(Table2[[#Headers],[Between Brackets]],Table2[#Headers],0),0)</f>
        <v xml:space="preserve"> 18 ft.- 7 7/ 8"</v>
      </c>
      <c r="G372" s="2" t="str">
        <f>VLOOKUP([jobnumber],OvalData[],MATCH(Table2[[#Headers],[shell]],Table2[#Headers],0),0)</f>
        <v>6 INCH TUBE</v>
      </c>
      <c r="H372" s="2" t="str">
        <f>VLOOKUP([jobnumber],OvalData[],MATCH(Table2[[#Headers],[pipewidth]],Table2[#Headers],0),0)</f>
        <v xml:space="preserve"> 18 ft.- 1 3/ 8"</v>
      </c>
      <c r="I372" s="2">
        <f>VLOOKUP([jobnumber],OvalData[],MATCH(Table2[[#Headers],[Support Tubes]],Table2[#Headers],0),0)</f>
        <v>0</v>
      </c>
      <c r="J372" s="2">
        <f>VLOOKUP([jobnumber],OvalData[],MATCH(Table2[[#Headers],[Upset]],Table2[#Headers],0),0)</f>
        <v>2</v>
      </c>
      <c r="K372" s="2" t="str">
        <f>VLOOKUP([jobnumber],OvalData[],MATCH(Table2[[#Headers],[Guide Type]],Table2[#Headers],0),0)</f>
        <v>SN2-4 5/8-E</v>
      </c>
      <c r="L372" s="2" t="str">
        <f>VLOOKUP([jobnumber],OvalData[],MATCH(Table2[[#Headers],[Wall Angle]],Table2[#Headers],0),0)</f>
        <v xml:space="preserve"> 11 ft.- 8"</v>
      </c>
      <c r="M372" s="2" t="str">
        <f>VLOOKUP([jobnumber],OvalData[],MATCH(Table2[[#Headers],[Middle Angle]],Table2[#Headers],0),0)</f>
        <v xml:space="preserve"> 10 ft.- 4 1/ 2"</v>
      </c>
      <c r="N372" s="2" t="str">
        <f>VLOOKUP([jobnumber],OvalData[],MATCH(Table2[[#Headers],[Front Angle]],Table2[#Headers],0),0)</f>
        <v xml:space="preserve"> 10 ft.- 3"</v>
      </c>
      <c r="O372" s="2">
        <f>VLOOKUP([jobnumber],OvalData[],MATCH(Table2[[#Headers],[Pipe Center Line]],Table2[#Headers],0),0)</f>
        <v>131</v>
      </c>
      <c r="P372" s="2">
        <f>VLOOKUP([jobnumber],OvalData[],MATCH(Table2[[#Headers],[Heat Expansion Gap]],Table2[#Headers],0),0)</f>
        <v>0</v>
      </c>
      <c r="Q372" s="2">
        <f>VLOOKUP([jobnumber],OvalData[],MATCH(Table2[[#Headers],[Hanging Weight Closed]],Table2[#Headers],0),0)</f>
        <v>795</v>
      </c>
      <c r="R372" s="2">
        <f>VLOOKUP([jobnumber],OvalData[],MATCH(Table2[[#Headers],[Hanging Weight Open]],Table2[#Headers],0),0)</f>
        <v>140</v>
      </c>
      <c r="S372" s="2">
        <f>VLOOKUP([jobnumber],OvalData[],MATCH(Table2[[#Headers],[Initial Lever Arm]],Table2[#Headers],0),0)</f>
        <v>4.25</v>
      </c>
      <c r="T372" s="2">
        <f>VLOOKUP([jobnumber],OvalData[],MATCH(Table2[[#Headers],[Turns to Raise]],Table2[#Headers],0),0)</f>
        <v>3.5859999999999999</v>
      </c>
      <c r="U372" s="2">
        <f>VLOOKUP([jobnumber],OvalData[],MATCH(Table2[[#Headers],[Final Lever Arm]],Table2[#Headers],0),0)</f>
        <v>6.37</v>
      </c>
      <c r="V372" s="2">
        <f>VLOOKUP([jobnumber],OvalData[],MATCH(Table2[[#Headers],[Torque Required Closed]],Table2[#Headers],0),0)</f>
        <v>3377.9</v>
      </c>
      <c r="W372" s="2">
        <f>VLOOKUP([jobnumber],OvalData[],MATCH(Table2[[#Headers],[Torque Required Open]],Table2[#Headers],0),0)</f>
        <v>892</v>
      </c>
      <c r="X372" s="2">
        <f>VLOOKUP([jobnumber],OvalData[],MATCH(Table2[[#Headers],[Pre Turns]],Table2[#Headers],0),0)</f>
        <v>1.3332999999999999</v>
      </c>
      <c r="Y372" s="2">
        <f>VLOOKUP([jobnumber],OvalData[],MATCH(Table2[[#Headers],[Required Torque Per Turn]],Table2[#Headers],0),0)</f>
        <v>688</v>
      </c>
      <c r="Z372" s="2">
        <f>VLOOKUP([jobnumber],OvalData[],MATCH(Table2[[#Headers],[Total Turns]],Table2[#Headers],0),0)</f>
        <v>4.91</v>
      </c>
      <c r="AA372" s="2">
        <f>VLOOKUP([jobnumber],OvalData[],MATCH(Table2[[#Headers],[Grille Vision Section]],Table2[#Headers],0),0)</f>
        <v>0</v>
      </c>
      <c r="AB372" s="2">
        <f>VLOOKUP([jobnumber],OvalData[],MATCH(Table2[[#Headers],[Grille Amount]],Table2[#Headers],0),0)</f>
        <v>0</v>
      </c>
      <c r="AC372" s="2">
        <f>VLOOKUP([jobnumber],OvalData[],MATCH(Table2[[#Headers],[Grille Center]],Table2[#Headers],0),0)</f>
        <v>0</v>
      </c>
      <c r="AD372" s="2">
        <f>VLOOKUP([jobnumber],OvalData[],MATCH(Table2[[#Headers],[Grille Pattern]],Table2[#Headers],0),0)</f>
        <v>0</v>
      </c>
      <c r="AE372" s="2">
        <f>VLOOKUP([jobnumber],OvalData[],MATCH(Table2[[#Headers],[Grille First Tube]],Table2[#Headers],0),0)</f>
        <v>0</v>
      </c>
      <c r="AF372" s="2">
        <f>VLOOKUP([jobnumber],OvalData[],MATCH(Table2[[#Headers],[Grille Standard Tube]],Table2[#Headers],0),0)</f>
        <v>0</v>
      </c>
      <c r="AG372" s="2">
        <f>VLOOKUP([jobnumber],OvalData[],MATCH(Table2[[#Headers],[Grille Total Links]],Table2[#Headers],0),0)</f>
        <v>0</v>
      </c>
      <c r="AH372" s="2">
        <f>VLOOKUP([jobnumber],OvalData[],MATCH(Table2[[#Headers],[Grille Rods]],Table2[#Headers],0),0)</f>
        <v>0</v>
      </c>
      <c r="AI372" s="2">
        <f>VLOOKUP([jobnumber],OvalData[],MATCH(Table2[[#Headers],[Grille Rod Length]],Table2[#Headers],0),0)</f>
        <v>0</v>
      </c>
      <c r="AJ372" s="2">
        <f>VLOOKUP([jobnumber],OvalData[],MATCH(Table2[[#Headers],[slattype]],Table2[#Headers],0),0)</f>
        <v>2</v>
      </c>
      <c r="AK372" s="2">
        <f>VLOOKUP([jobnumber],OvalData[],MATCH(Table2[[#Headers],[slatgage]],Table2[#Headers],0),0)</f>
        <v>18</v>
      </c>
      <c r="AL372" s="2">
        <f>VLOOKUP([jobnumber],OvalData[],MATCH(Table2[[#Headers],[Numer of Top Slats]],Table2[#Headers],0),0)</f>
        <v>0</v>
      </c>
      <c r="AM372" s="2">
        <f>VLOOKUP([jobnumber],OvalData[],MATCH(Table2[[#Headers],[Number of Bottom Slats]],Table2[#Headers],0),0)</f>
        <v>0</v>
      </c>
      <c r="AN372" s="2">
        <f>VLOOKUP([jobnumber],OvalData[],MATCH(Table2[[#Headers],[Solid Bottom Height]],Table2[#Headers],0),0)</f>
        <v>0</v>
      </c>
      <c r="AO372" s="2" t="str">
        <f>VLOOKUP([jobnumber],OvalData[],MATCH(Table2[[#Headers],[slatlength]],Table2[#Headers],0),0)</f>
        <v xml:space="preserve"> 18 ft.- 5 7/ 8"</v>
      </c>
      <c r="AP372" s="2">
        <f>VLOOKUP([jobnumber],OvalData[],MATCH(Table2[[#Headers],[Bottom Slat Length]],Table2[#Headers],0),0)</f>
        <v>0</v>
      </c>
      <c r="AQ372" s="2">
        <f>VLOOKUP([jobnumber],OvalData[],MATCH(Table2[[#Headers],[Number of Perferated Slats]],Table2[#Headers],0),0)</f>
        <v>0</v>
      </c>
      <c r="AR372" s="2">
        <f>VLOOKUP([jobnumber],OvalData[],MATCH(Table2[[#Headers],[First Preferated Slat From End]],Table2[#Headers],0),0)</f>
        <v>0</v>
      </c>
      <c r="AS372" s="2">
        <f>VLOOKUP([jobnumber],OvalData[],MATCH(Table2[[#Headers],[First Preferated Slat From Bottom]],Table2[#Headers],0),0)</f>
        <v>0</v>
      </c>
      <c r="AT372" s="2">
        <f>VLOOKUP([jobnumber],OvalData[],MATCH(Table2[[#Headers],[Total Number of Slats]],Table2[#Headers],0),0)</f>
        <v>51</v>
      </c>
      <c r="AU372" s="2">
        <f>VLOOKUP([jobnumber],OvalData[],MATCH(Table2[[#Headers],[Bottom Bar Slope]],Table2[#Headers],0),0)</f>
        <v>0</v>
      </c>
      <c r="AV372" s="2">
        <f>VLOOKUP([jobnumber],OvalData[],MATCH(Table2[[#Headers],[Bottom Bar Weight]],Table2[#Headers],0),0)</f>
        <v>80.5</v>
      </c>
      <c r="AW372" s="2" t="str">
        <f>VLOOKUP([jobnumber],OvalData[],MATCH(Table2[[#Headers],[Outer Spring Gage]],Table2[#Headers],0),0)</f>
        <v>Null</v>
      </c>
      <c r="AX372" s="2" t="str">
        <f>VLOOKUP([jobnumber],OvalData[],MATCH(Table2[[#Headers],[Outer Spring OD]],Table2[#Headers],0),0)</f>
        <v>Null</v>
      </c>
      <c r="AY372" s="2" t="str">
        <f>VLOOKUP([jobnumber],OvalData[],MATCH(Table2[[#Headers],[Outer Spring Length]],Table2[#Headers],0),0)</f>
        <v>Null</v>
      </c>
      <c r="AZ372" s="2" t="str">
        <f>VLOOKUP([jobnumber],OvalData[],MATCH(Table2[[#Headers],[Outer Spring Stretch]],Table2[#Headers],0),0)</f>
        <v>Null</v>
      </c>
      <c r="BA372" s="2" t="str">
        <f>VLOOKUP([jobnumber],OvalData[],MATCH(Table2[[#Headers],[Outer Spring Torque]],Table2[#Headers],0),0)</f>
        <v>Null</v>
      </c>
      <c r="BB372" s="2" t="str">
        <f>VLOOKUP([jobnumber],OvalData[],MATCH(Table2[[#Headers],[Outer Spring Max Turns]],Table2[#Headers],0),0)</f>
        <v>Null</v>
      </c>
      <c r="BC372" s="2" t="str">
        <f>VLOOKUP([jobnumber],OvalData[],MATCH(Table2[[#Headers],[Outer Spring Weight]],Table2[#Headers],0),0)</f>
        <v>Null</v>
      </c>
      <c r="BD372" s="2" t="str">
        <f>VLOOKUP([jobnumber],OvalData[],MATCH(Table2[[#Headers],[Inner Spring Gage]],Table2[#Headers],0),0)</f>
        <v>Null</v>
      </c>
      <c r="BE372" s="2" t="str">
        <f>VLOOKUP([jobnumber],OvalData[],MATCH(Table2[[#Headers],[Inner Spring OD]],Table2[#Headers],0),0)</f>
        <v>Null</v>
      </c>
      <c r="BF372" s="2" t="str">
        <f>VLOOKUP([jobnumber],OvalData[],MATCH(Table2[[#Headers],[Inner Spring Length]],Table2[#Headers],0),0)</f>
        <v>Null</v>
      </c>
      <c r="BG372" s="2" t="str">
        <f>VLOOKUP([jobnumber],OvalData[],MATCH(Table2[[#Headers],[Inner Spring Stretch]],Table2[#Headers],0),0)</f>
        <v>Null</v>
      </c>
      <c r="BH372" s="2" t="str">
        <f>VLOOKUP([jobnumber],OvalData[],MATCH(Table2[[#Headers],[Inner Spring Torque]],Table2[#Headers],0),0)</f>
        <v>Null</v>
      </c>
      <c r="BI372" s="2" t="str">
        <f>VLOOKUP([jobnumber],OvalData[],MATCH(Table2[[#Headers],[Inner Spring Max Turns]],Table2[#Headers],0),0)</f>
        <v>Null</v>
      </c>
      <c r="BJ372" s="2" t="str">
        <f>VLOOKUP([jobnumber],OvalData[],MATCH(Table2[[#Headers],[Inner Spring Weight]],Table2[#Headers],0),0)</f>
        <v>Null</v>
      </c>
      <c r="BK372" s="2">
        <f>VLOOKUP([jobnumber],OvalData[],MATCH(Table2[[#Headers],[Cycles]],Table2[#Headers],0),0)</f>
        <v>0</v>
      </c>
      <c r="BL372" s="2">
        <f>VLOOKUP([jobnumber],OvalData[],MATCH(Table2[[#Headers],[Total Spring Torque]],Table2[#Headers],0),0)</f>
        <v>0</v>
      </c>
      <c r="BM372" s="2">
        <f>VLOOKUP([jobnumber],OvalData[],MATCH(Table2[[#Headers],[Total Spring Weight]],Table2[#Headers],0),0)</f>
        <v>0</v>
      </c>
      <c r="BN372" s="2">
        <f>VLOOKUP([jobnumber],OvalData[],MATCH(Table2[[#Headers],[Pipe Weight]],Table2[#Headers],0),0)</f>
        <v>688.24239999999998</v>
      </c>
      <c r="BO372" s="2">
        <f>VLOOKUP([jobnumber],OvalData[],MATCH(Table2[[#Headers],[Max Pipe Deflection]],Table2[#Headers],0),0)</f>
        <v>2309</v>
      </c>
      <c r="BP372" s="2">
        <f>VLOOKUP([jobnumber],OvalData[],MATCH(Table2[[#Headers],[Number Non-Insulated Wrap Slats]],Table2[#Headers],0),0)</f>
        <v>0</v>
      </c>
      <c r="BQ372" s="2">
        <f>VLOOKUP([jobnumber],OvalData[],MATCH(Table2[[#Headers],[Number of Insolated Top Slats]],Table2[#Headers],0),0)</f>
        <v>45</v>
      </c>
      <c r="BR372" s="2">
        <f>VLOOKUP([jobnumber],OvalData[],MATCH(Table2[[#Headers],[Insolated Total Slats]],Table2[#Headers],0),0)</f>
        <v>45</v>
      </c>
      <c r="BS372" s="2">
        <f>VLOOKUP([jobnumber],OvalData[],MATCH(Table2[[#Headers],[Number of Slats]],Table2[#Headers],0),0)</f>
        <v>44.69</v>
      </c>
      <c r="BT372" s="2">
        <f>VLOOKUP([jobnumber],OvalData[],MATCH(Table2[[#Headers],[Wrap]],Table2[#Headers],0),0)</f>
        <v>0</v>
      </c>
      <c r="BU372" s="2">
        <f>VLOOKUP([jobnumber],OvalData[],MATCH(Table2[[#Headers],[Wall Angle Thickness]],Table2[#Headers],0),0)</f>
        <v>0</v>
      </c>
      <c r="BV372" s="2">
        <f>VLOOKUP([jobnumber],OvalData[],MATCH(Table2[[#Headers],[windlocks]],Table2[#Headers],0),0)</f>
        <v>0</v>
      </c>
      <c r="BW372" s="2" t="str">
        <f>VLOOKUP([jobnumber],OvalData[],MATCH(Table2[[#Headers],[bottombartype]],Table2[#Headers],0),0)</f>
        <v>SPECIAL</v>
      </c>
      <c r="BX372" s="2">
        <f>VLOOKUP([jobnumber],OvalData[],MATCH(Table2[[#Headers],[endlockweight]],Table2[#Headers],0),0)</f>
        <v>0.17</v>
      </c>
      <c r="BY372" s="2">
        <f>VLOOKUP([jobnumber],OvalData[],MATCH(Table2[[#Headers],[Endlock Total Weight]],Table2[#Headers],0),0)</f>
        <v>7.5972999999999997</v>
      </c>
      <c r="BZ372" s="2">
        <f>VLOOKUP([jobnumber],OvalData[],MATCH(Table2[[#Headers],[Grille Weight]],Table2[#Headers],0),0)</f>
        <v>0</v>
      </c>
      <c r="CA372" s="2">
        <f>VLOOKUP([jobnumber],OvalData[],MATCH(Table2[[#Headers],[barrelrings]],Table2[#Headers],0),0)</f>
        <v>1</v>
      </c>
    </row>
    <row r="373" spans="2:79">
      <c r="B373" s="2" t="str">
        <f>VLOOKUP([jobnumber],OvalData[],MATCH(Table2[[#Headers],[Hand]],Table2[#Headers],0),0)</f>
        <v>RH</v>
      </c>
      <c r="C373" s="2" t="str">
        <f>VLOOKUP([jobnumber],OvalData[],MATCH(Table2[[#Headers],[Model]],Table2[#Headers],0),0)</f>
        <v>SFMPP</v>
      </c>
      <c r="D373" s="2" t="str">
        <f>VLOOKUP([jobnumber],OvalData[],MATCH(Table2[[#Headers],[width]],Table2[#Headers],0),0)</f>
        <v xml:space="preserve"> 18 ft.- 2"</v>
      </c>
      <c r="E373" s="2" t="str">
        <f>VLOOKUP([jobnumber],OvalData[],MATCH(Table2[[#Headers],[stopheight]],Table2[#Headers],0),0)</f>
        <v xml:space="preserve"> 10 ft.- 0"</v>
      </c>
      <c r="F373" s="2" t="str">
        <f>VLOOKUP([jobnumber],OvalData[],MATCH(Table2[[#Headers],[Between Brackets]],Table2[#Headers],0),0)</f>
        <v xml:space="preserve"> 18 ft.- 7 7/ 8"</v>
      </c>
      <c r="G373" s="2" t="str">
        <f>VLOOKUP([jobnumber],OvalData[],MATCH(Table2[[#Headers],[shell]],Table2[#Headers],0),0)</f>
        <v>6 INCH TUBE</v>
      </c>
      <c r="H373" s="2" t="str">
        <f>VLOOKUP([jobnumber],OvalData[],MATCH(Table2[[#Headers],[pipewidth]],Table2[#Headers],0),0)</f>
        <v xml:space="preserve"> 18 ft.- 1 3/ 8"</v>
      </c>
      <c r="I373" s="2">
        <f>VLOOKUP([jobnumber],OvalData[],MATCH(Table2[[#Headers],[Support Tubes]],Table2[#Headers],0),0)</f>
        <v>0</v>
      </c>
      <c r="J373" s="2">
        <f>VLOOKUP([jobnumber],OvalData[],MATCH(Table2[[#Headers],[Upset]],Table2[#Headers],0),0)</f>
        <v>2</v>
      </c>
      <c r="K373" s="2" t="str">
        <f>VLOOKUP([jobnumber],OvalData[],MATCH(Table2[[#Headers],[Guide Type]],Table2[#Headers],0),0)</f>
        <v>SN2-4 5/8-E</v>
      </c>
      <c r="L373" s="2" t="str">
        <f>VLOOKUP([jobnumber],OvalData[],MATCH(Table2[[#Headers],[Wall Angle]],Table2[#Headers],0),0)</f>
        <v xml:space="preserve"> 11 ft.- 8"</v>
      </c>
      <c r="M373" s="2" t="str">
        <f>VLOOKUP([jobnumber],OvalData[],MATCH(Table2[[#Headers],[Middle Angle]],Table2[#Headers],0),0)</f>
        <v xml:space="preserve"> 10 ft.- 4 1/ 2"</v>
      </c>
      <c r="N373" s="2" t="str">
        <f>VLOOKUP([jobnumber],OvalData[],MATCH(Table2[[#Headers],[Front Angle]],Table2[#Headers],0),0)</f>
        <v xml:space="preserve"> 10 ft.- 3"</v>
      </c>
      <c r="O373" s="2">
        <f>VLOOKUP([jobnumber],OvalData[],MATCH(Table2[[#Headers],[Pipe Center Line]],Table2[#Headers],0),0)</f>
        <v>131</v>
      </c>
      <c r="P373" s="2">
        <f>VLOOKUP([jobnumber],OvalData[],MATCH(Table2[[#Headers],[Heat Expansion Gap]],Table2[#Headers],0),0)</f>
        <v>0</v>
      </c>
      <c r="Q373" s="2">
        <f>VLOOKUP([jobnumber],OvalData[],MATCH(Table2[[#Headers],[Hanging Weight Closed]],Table2[#Headers],0),0)</f>
        <v>795</v>
      </c>
      <c r="R373" s="2">
        <f>VLOOKUP([jobnumber],OvalData[],MATCH(Table2[[#Headers],[Hanging Weight Open]],Table2[#Headers],0),0)</f>
        <v>140</v>
      </c>
      <c r="S373" s="2">
        <f>VLOOKUP([jobnumber],OvalData[],MATCH(Table2[[#Headers],[Initial Lever Arm]],Table2[#Headers],0),0)</f>
        <v>4.25</v>
      </c>
      <c r="T373" s="2">
        <f>VLOOKUP([jobnumber],OvalData[],MATCH(Table2[[#Headers],[Turns to Raise]],Table2[#Headers],0),0)</f>
        <v>3.5859999999999999</v>
      </c>
      <c r="U373" s="2">
        <f>VLOOKUP([jobnumber],OvalData[],MATCH(Table2[[#Headers],[Final Lever Arm]],Table2[#Headers],0),0)</f>
        <v>6.37</v>
      </c>
      <c r="V373" s="2">
        <f>VLOOKUP([jobnumber],OvalData[],MATCH(Table2[[#Headers],[Torque Required Closed]],Table2[#Headers],0),0)</f>
        <v>3377.9</v>
      </c>
      <c r="W373" s="2">
        <f>VLOOKUP([jobnumber],OvalData[],MATCH(Table2[[#Headers],[Torque Required Open]],Table2[#Headers],0),0)</f>
        <v>892</v>
      </c>
      <c r="X373" s="2">
        <f>VLOOKUP([jobnumber],OvalData[],MATCH(Table2[[#Headers],[Pre Turns]],Table2[#Headers],0),0)</f>
        <v>1.3332999999999999</v>
      </c>
      <c r="Y373" s="2">
        <f>VLOOKUP([jobnumber],OvalData[],MATCH(Table2[[#Headers],[Required Torque Per Turn]],Table2[#Headers],0),0)</f>
        <v>688</v>
      </c>
      <c r="Z373" s="2">
        <f>VLOOKUP([jobnumber],OvalData[],MATCH(Table2[[#Headers],[Total Turns]],Table2[#Headers],0),0)</f>
        <v>4.91</v>
      </c>
      <c r="AA373" s="2">
        <f>VLOOKUP([jobnumber],OvalData[],MATCH(Table2[[#Headers],[Grille Vision Section]],Table2[#Headers],0),0)</f>
        <v>0</v>
      </c>
      <c r="AB373" s="2">
        <f>VLOOKUP([jobnumber],OvalData[],MATCH(Table2[[#Headers],[Grille Amount]],Table2[#Headers],0),0)</f>
        <v>0</v>
      </c>
      <c r="AC373" s="2">
        <f>VLOOKUP([jobnumber],OvalData[],MATCH(Table2[[#Headers],[Grille Center]],Table2[#Headers],0),0)</f>
        <v>0</v>
      </c>
      <c r="AD373" s="2">
        <f>VLOOKUP([jobnumber],OvalData[],MATCH(Table2[[#Headers],[Grille Pattern]],Table2[#Headers],0),0)</f>
        <v>0</v>
      </c>
      <c r="AE373" s="2">
        <f>VLOOKUP([jobnumber],OvalData[],MATCH(Table2[[#Headers],[Grille First Tube]],Table2[#Headers],0),0)</f>
        <v>0</v>
      </c>
      <c r="AF373" s="2">
        <f>VLOOKUP([jobnumber],OvalData[],MATCH(Table2[[#Headers],[Grille Standard Tube]],Table2[#Headers],0),0)</f>
        <v>0</v>
      </c>
      <c r="AG373" s="2">
        <f>VLOOKUP([jobnumber],OvalData[],MATCH(Table2[[#Headers],[Grille Total Links]],Table2[#Headers],0),0)</f>
        <v>0</v>
      </c>
      <c r="AH373" s="2">
        <f>VLOOKUP([jobnumber],OvalData[],MATCH(Table2[[#Headers],[Grille Rods]],Table2[#Headers],0),0)</f>
        <v>0</v>
      </c>
      <c r="AI373" s="2">
        <f>VLOOKUP([jobnumber],OvalData[],MATCH(Table2[[#Headers],[Grille Rod Length]],Table2[#Headers],0),0)</f>
        <v>0</v>
      </c>
      <c r="AJ373" s="2">
        <f>VLOOKUP([jobnumber],OvalData[],MATCH(Table2[[#Headers],[slattype]],Table2[#Headers],0),0)</f>
        <v>2</v>
      </c>
      <c r="AK373" s="2">
        <f>VLOOKUP([jobnumber],OvalData[],MATCH(Table2[[#Headers],[slatgage]],Table2[#Headers],0),0)</f>
        <v>18</v>
      </c>
      <c r="AL373" s="2">
        <f>VLOOKUP([jobnumber],OvalData[],MATCH(Table2[[#Headers],[Numer of Top Slats]],Table2[#Headers],0),0)</f>
        <v>0</v>
      </c>
      <c r="AM373" s="2">
        <f>VLOOKUP([jobnumber],OvalData[],MATCH(Table2[[#Headers],[Number of Bottom Slats]],Table2[#Headers],0),0)</f>
        <v>0</v>
      </c>
      <c r="AN373" s="2">
        <f>VLOOKUP([jobnumber],OvalData[],MATCH(Table2[[#Headers],[Solid Bottom Height]],Table2[#Headers],0),0)</f>
        <v>0</v>
      </c>
      <c r="AO373" s="2" t="str">
        <f>VLOOKUP([jobnumber],OvalData[],MATCH(Table2[[#Headers],[slatlength]],Table2[#Headers],0),0)</f>
        <v xml:space="preserve"> 18 ft.- 5 7/ 8"</v>
      </c>
      <c r="AP373" s="2">
        <f>VLOOKUP([jobnumber],OvalData[],MATCH(Table2[[#Headers],[Bottom Slat Length]],Table2[#Headers],0),0)</f>
        <v>0</v>
      </c>
      <c r="AQ373" s="2">
        <f>VLOOKUP([jobnumber],OvalData[],MATCH(Table2[[#Headers],[Number of Perferated Slats]],Table2[#Headers],0),0)</f>
        <v>0</v>
      </c>
      <c r="AR373" s="2">
        <f>VLOOKUP([jobnumber],OvalData[],MATCH(Table2[[#Headers],[First Preferated Slat From End]],Table2[#Headers],0),0)</f>
        <v>0</v>
      </c>
      <c r="AS373" s="2">
        <f>VLOOKUP([jobnumber],OvalData[],MATCH(Table2[[#Headers],[First Preferated Slat From Bottom]],Table2[#Headers],0),0)</f>
        <v>0</v>
      </c>
      <c r="AT373" s="2">
        <f>VLOOKUP([jobnumber],OvalData[],MATCH(Table2[[#Headers],[Total Number of Slats]],Table2[#Headers],0),0)</f>
        <v>51</v>
      </c>
      <c r="AU373" s="2">
        <f>VLOOKUP([jobnumber],OvalData[],MATCH(Table2[[#Headers],[Bottom Bar Slope]],Table2[#Headers],0),0)</f>
        <v>0</v>
      </c>
      <c r="AV373" s="2">
        <f>VLOOKUP([jobnumber],OvalData[],MATCH(Table2[[#Headers],[Bottom Bar Weight]],Table2[#Headers],0),0)</f>
        <v>80.5</v>
      </c>
      <c r="AW373" s="2" t="str">
        <f>VLOOKUP([jobnumber],OvalData[],MATCH(Table2[[#Headers],[Outer Spring Gage]],Table2[#Headers],0),0)</f>
        <v>Null</v>
      </c>
      <c r="AX373" s="2" t="str">
        <f>VLOOKUP([jobnumber],OvalData[],MATCH(Table2[[#Headers],[Outer Spring OD]],Table2[#Headers],0),0)</f>
        <v>Null</v>
      </c>
      <c r="AY373" s="2" t="str">
        <f>VLOOKUP([jobnumber],OvalData[],MATCH(Table2[[#Headers],[Outer Spring Length]],Table2[#Headers],0),0)</f>
        <v>Null</v>
      </c>
      <c r="AZ373" s="2" t="str">
        <f>VLOOKUP([jobnumber],OvalData[],MATCH(Table2[[#Headers],[Outer Spring Stretch]],Table2[#Headers],0),0)</f>
        <v>Null</v>
      </c>
      <c r="BA373" s="2" t="str">
        <f>VLOOKUP([jobnumber],OvalData[],MATCH(Table2[[#Headers],[Outer Spring Torque]],Table2[#Headers],0),0)</f>
        <v>Null</v>
      </c>
      <c r="BB373" s="2" t="str">
        <f>VLOOKUP([jobnumber],OvalData[],MATCH(Table2[[#Headers],[Outer Spring Max Turns]],Table2[#Headers],0),0)</f>
        <v>Null</v>
      </c>
      <c r="BC373" s="2" t="str">
        <f>VLOOKUP([jobnumber],OvalData[],MATCH(Table2[[#Headers],[Outer Spring Weight]],Table2[#Headers],0),0)</f>
        <v>Null</v>
      </c>
      <c r="BD373" s="2" t="str">
        <f>VLOOKUP([jobnumber],OvalData[],MATCH(Table2[[#Headers],[Inner Spring Gage]],Table2[#Headers],0),0)</f>
        <v>Null</v>
      </c>
      <c r="BE373" s="2" t="str">
        <f>VLOOKUP([jobnumber],OvalData[],MATCH(Table2[[#Headers],[Inner Spring OD]],Table2[#Headers],0),0)</f>
        <v>Null</v>
      </c>
      <c r="BF373" s="2" t="str">
        <f>VLOOKUP([jobnumber],OvalData[],MATCH(Table2[[#Headers],[Inner Spring Length]],Table2[#Headers],0),0)</f>
        <v>Null</v>
      </c>
      <c r="BG373" s="2" t="str">
        <f>VLOOKUP([jobnumber],OvalData[],MATCH(Table2[[#Headers],[Inner Spring Stretch]],Table2[#Headers],0),0)</f>
        <v>Null</v>
      </c>
      <c r="BH373" s="2" t="str">
        <f>VLOOKUP([jobnumber],OvalData[],MATCH(Table2[[#Headers],[Inner Spring Torque]],Table2[#Headers],0),0)</f>
        <v>Null</v>
      </c>
      <c r="BI373" s="2" t="str">
        <f>VLOOKUP([jobnumber],OvalData[],MATCH(Table2[[#Headers],[Inner Spring Max Turns]],Table2[#Headers],0),0)</f>
        <v>Null</v>
      </c>
      <c r="BJ373" s="2" t="str">
        <f>VLOOKUP([jobnumber],OvalData[],MATCH(Table2[[#Headers],[Inner Spring Weight]],Table2[#Headers],0),0)</f>
        <v>Null</v>
      </c>
      <c r="BK373" s="2">
        <f>VLOOKUP([jobnumber],OvalData[],MATCH(Table2[[#Headers],[Cycles]],Table2[#Headers],0),0)</f>
        <v>0</v>
      </c>
      <c r="BL373" s="2">
        <f>VLOOKUP([jobnumber],OvalData[],MATCH(Table2[[#Headers],[Total Spring Torque]],Table2[#Headers],0),0)</f>
        <v>0</v>
      </c>
      <c r="BM373" s="2">
        <f>VLOOKUP([jobnumber],OvalData[],MATCH(Table2[[#Headers],[Total Spring Weight]],Table2[#Headers],0),0)</f>
        <v>0</v>
      </c>
      <c r="BN373" s="2">
        <f>VLOOKUP([jobnumber],OvalData[],MATCH(Table2[[#Headers],[Pipe Weight]],Table2[#Headers],0),0)</f>
        <v>688.24239999999998</v>
      </c>
      <c r="BO373" s="2">
        <f>VLOOKUP([jobnumber],OvalData[],MATCH(Table2[[#Headers],[Max Pipe Deflection]],Table2[#Headers],0),0)</f>
        <v>2309</v>
      </c>
      <c r="BP373" s="2">
        <f>VLOOKUP([jobnumber],OvalData[],MATCH(Table2[[#Headers],[Number Non-Insulated Wrap Slats]],Table2[#Headers],0),0)</f>
        <v>0</v>
      </c>
      <c r="BQ373" s="2">
        <f>VLOOKUP([jobnumber],OvalData[],MATCH(Table2[[#Headers],[Number of Insolated Top Slats]],Table2[#Headers],0),0)</f>
        <v>45</v>
      </c>
      <c r="BR373" s="2">
        <f>VLOOKUP([jobnumber],OvalData[],MATCH(Table2[[#Headers],[Insolated Total Slats]],Table2[#Headers],0),0)</f>
        <v>45</v>
      </c>
      <c r="BS373" s="2">
        <f>VLOOKUP([jobnumber],OvalData[],MATCH(Table2[[#Headers],[Number of Slats]],Table2[#Headers],0),0)</f>
        <v>44.69</v>
      </c>
      <c r="BT373" s="2">
        <f>VLOOKUP([jobnumber],OvalData[],MATCH(Table2[[#Headers],[Wrap]],Table2[#Headers],0),0)</f>
        <v>0</v>
      </c>
      <c r="BU373" s="2">
        <f>VLOOKUP([jobnumber],OvalData[],MATCH(Table2[[#Headers],[Wall Angle Thickness]],Table2[#Headers],0),0)</f>
        <v>0</v>
      </c>
      <c r="BV373" s="2">
        <f>VLOOKUP([jobnumber],OvalData[],MATCH(Table2[[#Headers],[windlocks]],Table2[#Headers],0),0)</f>
        <v>0</v>
      </c>
      <c r="BW373" s="2" t="str">
        <f>VLOOKUP([jobnumber],OvalData[],MATCH(Table2[[#Headers],[bottombartype]],Table2[#Headers],0),0)</f>
        <v>SPECIAL</v>
      </c>
      <c r="BX373" s="2">
        <f>VLOOKUP([jobnumber],OvalData[],MATCH(Table2[[#Headers],[endlockweight]],Table2[#Headers],0),0)</f>
        <v>0.17</v>
      </c>
      <c r="BY373" s="2">
        <f>VLOOKUP([jobnumber],OvalData[],MATCH(Table2[[#Headers],[Endlock Total Weight]],Table2[#Headers],0),0)</f>
        <v>7.5972999999999997</v>
      </c>
      <c r="BZ373" s="2">
        <f>VLOOKUP([jobnumber],OvalData[],MATCH(Table2[[#Headers],[Grille Weight]],Table2[#Headers],0),0)</f>
        <v>0</v>
      </c>
      <c r="CA373" s="2">
        <f>VLOOKUP([jobnumber],OvalData[],MATCH(Table2[[#Headers],[barrelrings]],Table2[#Headers],0),0)</f>
        <v>1</v>
      </c>
    </row>
    <row r="374" spans="2:79">
      <c r="B374" s="2" t="str">
        <f>VLOOKUP([jobnumber],OvalData[],MATCH(Table2[[#Headers],[Hand]],Table2[#Headers],0),0)</f>
        <v>RH</v>
      </c>
      <c r="C374" s="2" t="str">
        <f>VLOOKUP([jobnumber],OvalData[],MATCH(Table2[[#Headers],[Model]],Table2[#Headers],0),0)</f>
        <v>SFMPP</v>
      </c>
      <c r="D374" s="2" t="str">
        <f>VLOOKUP([jobnumber],OvalData[],MATCH(Table2[[#Headers],[width]],Table2[#Headers],0),0)</f>
        <v xml:space="preserve"> 18 ft.- 2"</v>
      </c>
      <c r="E374" s="2" t="str">
        <f>VLOOKUP([jobnumber],OvalData[],MATCH(Table2[[#Headers],[stopheight]],Table2[#Headers],0),0)</f>
        <v xml:space="preserve"> 10 ft.- 0"</v>
      </c>
      <c r="F374" s="2" t="str">
        <f>VLOOKUP([jobnumber],OvalData[],MATCH(Table2[[#Headers],[Between Brackets]],Table2[#Headers],0),0)</f>
        <v xml:space="preserve"> 18 ft.- 7 7/ 8"</v>
      </c>
      <c r="G374" s="2" t="str">
        <f>VLOOKUP([jobnumber],OvalData[],MATCH(Table2[[#Headers],[shell]],Table2[#Headers],0),0)</f>
        <v>6 INCH TUBE</v>
      </c>
      <c r="H374" s="2" t="str">
        <f>VLOOKUP([jobnumber],OvalData[],MATCH(Table2[[#Headers],[pipewidth]],Table2[#Headers],0),0)</f>
        <v xml:space="preserve"> 18 ft.- 1 3/ 8"</v>
      </c>
      <c r="I374" s="2">
        <f>VLOOKUP([jobnumber],OvalData[],MATCH(Table2[[#Headers],[Support Tubes]],Table2[#Headers],0),0)</f>
        <v>0</v>
      </c>
      <c r="J374" s="2">
        <f>VLOOKUP([jobnumber],OvalData[],MATCH(Table2[[#Headers],[Upset]],Table2[#Headers],0),0)</f>
        <v>2</v>
      </c>
      <c r="K374" s="2" t="str">
        <f>VLOOKUP([jobnumber],OvalData[],MATCH(Table2[[#Headers],[Guide Type]],Table2[#Headers],0),0)</f>
        <v>SN2-4 5/8-E</v>
      </c>
      <c r="L374" s="2" t="str">
        <f>VLOOKUP([jobnumber],OvalData[],MATCH(Table2[[#Headers],[Wall Angle]],Table2[#Headers],0),0)</f>
        <v xml:space="preserve"> 11 ft.- 8"</v>
      </c>
      <c r="M374" s="2" t="str">
        <f>VLOOKUP([jobnumber],OvalData[],MATCH(Table2[[#Headers],[Middle Angle]],Table2[#Headers],0),0)</f>
        <v xml:space="preserve"> 10 ft.- 4 1/ 2"</v>
      </c>
      <c r="N374" s="2" t="str">
        <f>VLOOKUP([jobnumber],OvalData[],MATCH(Table2[[#Headers],[Front Angle]],Table2[#Headers],0),0)</f>
        <v xml:space="preserve"> 10 ft.- 3"</v>
      </c>
      <c r="O374" s="2">
        <f>VLOOKUP([jobnumber],OvalData[],MATCH(Table2[[#Headers],[Pipe Center Line]],Table2[#Headers],0),0)</f>
        <v>131</v>
      </c>
      <c r="P374" s="2">
        <f>VLOOKUP([jobnumber],OvalData[],MATCH(Table2[[#Headers],[Heat Expansion Gap]],Table2[#Headers],0),0)</f>
        <v>0</v>
      </c>
      <c r="Q374" s="2">
        <f>VLOOKUP([jobnumber],OvalData[],MATCH(Table2[[#Headers],[Hanging Weight Closed]],Table2[#Headers],0),0)</f>
        <v>795</v>
      </c>
      <c r="R374" s="2">
        <f>VLOOKUP([jobnumber],OvalData[],MATCH(Table2[[#Headers],[Hanging Weight Open]],Table2[#Headers],0),0)</f>
        <v>140</v>
      </c>
      <c r="S374" s="2">
        <f>VLOOKUP([jobnumber],OvalData[],MATCH(Table2[[#Headers],[Initial Lever Arm]],Table2[#Headers],0),0)</f>
        <v>4.25</v>
      </c>
      <c r="T374" s="2">
        <f>VLOOKUP([jobnumber],OvalData[],MATCH(Table2[[#Headers],[Turns to Raise]],Table2[#Headers],0),0)</f>
        <v>3.5859999999999999</v>
      </c>
      <c r="U374" s="2">
        <f>VLOOKUP([jobnumber],OvalData[],MATCH(Table2[[#Headers],[Final Lever Arm]],Table2[#Headers],0),0)</f>
        <v>6.37</v>
      </c>
      <c r="V374" s="2">
        <f>VLOOKUP([jobnumber],OvalData[],MATCH(Table2[[#Headers],[Torque Required Closed]],Table2[#Headers],0),0)</f>
        <v>3377.9</v>
      </c>
      <c r="W374" s="2">
        <f>VLOOKUP([jobnumber],OvalData[],MATCH(Table2[[#Headers],[Torque Required Open]],Table2[#Headers],0),0)</f>
        <v>892</v>
      </c>
      <c r="X374" s="2">
        <f>VLOOKUP([jobnumber],OvalData[],MATCH(Table2[[#Headers],[Pre Turns]],Table2[#Headers],0),0)</f>
        <v>1.3332999999999999</v>
      </c>
      <c r="Y374" s="2">
        <f>VLOOKUP([jobnumber],OvalData[],MATCH(Table2[[#Headers],[Required Torque Per Turn]],Table2[#Headers],0),0)</f>
        <v>688</v>
      </c>
      <c r="Z374" s="2">
        <f>VLOOKUP([jobnumber],OvalData[],MATCH(Table2[[#Headers],[Total Turns]],Table2[#Headers],0),0)</f>
        <v>4.91</v>
      </c>
      <c r="AA374" s="2">
        <f>VLOOKUP([jobnumber],OvalData[],MATCH(Table2[[#Headers],[Grille Vision Section]],Table2[#Headers],0),0)</f>
        <v>0</v>
      </c>
      <c r="AB374" s="2">
        <f>VLOOKUP([jobnumber],OvalData[],MATCH(Table2[[#Headers],[Grille Amount]],Table2[#Headers],0),0)</f>
        <v>0</v>
      </c>
      <c r="AC374" s="2">
        <f>VLOOKUP([jobnumber],OvalData[],MATCH(Table2[[#Headers],[Grille Center]],Table2[#Headers],0),0)</f>
        <v>0</v>
      </c>
      <c r="AD374" s="2">
        <f>VLOOKUP([jobnumber],OvalData[],MATCH(Table2[[#Headers],[Grille Pattern]],Table2[#Headers],0),0)</f>
        <v>0</v>
      </c>
      <c r="AE374" s="2">
        <f>VLOOKUP([jobnumber],OvalData[],MATCH(Table2[[#Headers],[Grille First Tube]],Table2[#Headers],0),0)</f>
        <v>0</v>
      </c>
      <c r="AF374" s="2">
        <f>VLOOKUP([jobnumber],OvalData[],MATCH(Table2[[#Headers],[Grille Standard Tube]],Table2[#Headers],0),0)</f>
        <v>0</v>
      </c>
      <c r="AG374" s="2">
        <f>VLOOKUP([jobnumber],OvalData[],MATCH(Table2[[#Headers],[Grille Total Links]],Table2[#Headers],0),0)</f>
        <v>0</v>
      </c>
      <c r="AH374" s="2">
        <f>VLOOKUP([jobnumber],OvalData[],MATCH(Table2[[#Headers],[Grille Rods]],Table2[#Headers],0),0)</f>
        <v>0</v>
      </c>
      <c r="AI374" s="2">
        <f>VLOOKUP([jobnumber],OvalData[],MATCH(Table2[[#Headers],[Grille Rod Length]],Table2[#Headers],0),0)</f>
        <v>0</v>
      </c>
      <c r="AJ374" s="2">
        <f>VLOOKUP([jobnumber],OvalData[],MATCH(Table2[[#Headers],[slattype]],Table2[#Headers],0),0)</f>
        <v>2</v>
      </c>
      <c r="AK374" s="2">
        <f>VLOOKUP([jobnumber],OvalData[],MATCH(Table2[[#Headers],[slatgage]],Table2[#Headers],0),0)</f>
        <v>18</v>
      </c>
      <c r="AL374" s="2">
        <f>VLOOKUP([jobnumber],OvalData[],MATCH(Table2[[#Headers],[Numer of Top Slats]],Table2[#Headers],0),0)</f>
        <v>0</v>
      </c>
      <c r="AM374" s="2">
        <f>VLOOKUP([jobnumber],OvalData[],MATCH(Table2[[#Headers],[Number of Bottom Slats]],Table2[#Headers],0),0)</f>
        <v>0</v>
      </c>
      <c r="AN374" s="2">
        <f>VLOOKUP([jobnumber],OvalData[],MATCH(Table2[[#Headers],[Solid Bottom Height]],Table2[#Headers],0),0)</f>
        <v>0</v>
      </c>
      <c r="AO374" s="2" t="str">
        <f>VLOOKUP([jobnumber],OvalData[],MATCH(Table2[[#Headers],[slatlength]],Table2[#Headers],0),0)</f>
        <v xml:space="preserve"> 18 ft.- 5 7/ 8"</v>
      </c>
      <c r="AP374" s="2">
        <f>VLOOKUP([jobnumber],OvalData[],MATCH(Table2[[#Headers],[Bottom Slat Length]],Table2[#Headers],0),0)</f>
        <v>0</v>
      </c>
      <c r="AQ374" s="2">
        <f>VLOOKUP([jobnumber],OvalData[],MATCH(Table2[[#Headers],[Number of Perferated Slats]],Table2[#Headers],0),0)</f>
        <v>0</v>
      </c>
      <c r="AR374" s="2">
        <f>VLOOKUP([jobnumber],OvalData[],MATCH(Table2[[#Headers],[First Preferated Slat From End]],Table2[#Headers],0),0)</f>
        <v>0</v>
      </c>
      <c r="AS374" s="2">
        <f>VLOOKUP([jobnumber],OvalData[],MATCH(Table2[[#Headers],[First Preferated Slat From Bottom]],Table2[#Headers],0),0)</f>
        <v>0</v>
      </c>
      <c r="AT374" s="2">
        <f>VLOOKUP([jobnumber],OvalData[],MATCH(Table2[[#Headers],[Total Number of Slats]],Table2[#Headers],0),0)</f>
        <v>51</v>
      </c>
      <c r="AU374" s="2">
        <f>VLOOKUP([jobnumber],OvalData[],MATCH(Table2[[#Headers],[Bottom Bar Slope]],Table2[#Headers],0),0)</f>
        <v>0</v>
      </c>
      <c r="AV374" s="2">
        <f>VLOOKUP([jobnumber],OvalData[],MATCH(Table2[[#Headers],[Bottom Bar Weight]],Table2[#Headers],0),0)</f>
        <v>80.5</v>
      </c>
      <c r="AW374" s="2" t="str">
        <f>VLOOKUP([jobnumber],OvalData[],MATCH(Table2[[#Headers],[Outer Spring Gage]],Table2[#Headers],0),0)</f>
        <v>Null</v>
      </c>
      <c r="AX374" s="2" t="str">
        <f>VLOOKUP([jobnumber],OvalData[],MATCH(Table2[[#Headers],[Outer Spring OD]],Table2[#Headers],0),0)</f>
        <v>Null</v>
      </c>
      <c r="AY374" s="2" t="str">
        <f>VLOOKUP([jobnumber],OvalData[],MATCH(Table2[[#Headers],[Outer Spring Length]],Table2[#Headers],0),0)</f>
        <v>Null</v>
      </c>
      <c r="AZ374" s="2" t="str">
        <f>VLOOKUP([jobnumber],OvalData[],MATCH(Table2[[#Headers],[Outer Spring Stretch]],Table2[#Headers],0),0)</f>
        <v>Null</v>
      </c>
      <c r="BA374" s="2" t="str">
        <f>VLOOKUP([jobnumber],OvalData[],MATCH(Table2[[#Headers],[Outer Spring Torque]],Table2[#Headers],0),0)</f>
        <v>Null</v>
      </c>
      <c r="BB374" s="2" t="str">
        <f>VLOOKUP([jobnumber],OvalData[],MATCH(Table2[[#Headers],[Outer Spring Max Turns]],Table2[#Headers],0),0)</f>
        <v>Null</v>
      </c>
      <c r="BC374" s="2" t="str">
        <f>VLOOKUP([jobnumber],OvalData[],MATCH(Table2[[#Headers],[Outer Spring Weight]],Table2[#Headers],0),0)</f>
        <v>Null</v>
      </c>
      <c r="BD374" s="2" t="str">
        <f>VLOOKUP([jobnumber],OvalData[],MATCH(Table2[[#Headers],[Inner Spring Gage]],Table2[#Headers],0),0)</f>
        <v>Null</v>
      </c>
      <c r="BE374" s="2" t="str">
        <f>VLOOKUP([jobnumber],OvalData[],MATCH(Table2[[#Headers],[Inner Spring OD]],Table2[#Headers],0),0)</f>
        <v>Null</v>
      </c>
      <c r="BF374" s="2" t="str">
        <f>VLOOKUP([jobnumber],OvalData[],MATCH(Table2[[#Headers],[Inner Spring Length]],Table2[#Headers],0),0)</f>
        <v>Null</v>
      </c>
      <c r="BG374" s="2" t="str">
        <f>VLOOKUP([jobnumber],OvalData[],MATCH(Table2[[#Headers],[Inner Spring Stretch]],Table2[#Headers],0),0)</f>
        <v>Null</v>
      </c>
      <c r="BH374" s="2" t="str">
        <f>VLOOKUP([jobnumber],OvalData[],MATCH(Table2[[#Headers],[Inner Spring Torque]],Table2[#Headers],0),0)</f>
        <v>Null</v>
      </c>
      <c r="BI374" s="2" t="str">
        <f>VLOOKUP([jobnumber],OvalData[],MATCH(Table2[[#Headers],[Inner Spring Max Turns]],Table2[#Headers],0),0)</f>
        <v>Null</v>
      </c>
      <c r="BJ374" s="2" t="str">
        <f>VLOOKUP([jobnumber],OvalData[],MATCH(Table2[[#Headers],[Inner Spring Weight]],Table2[#Headers],0),0)</f>
        <v>Null</v>
      </c>
      <c r="BK374" s="2">
        <f>VLOOKUP([jobnumber],OvalData[],MATCH(Table2[[#Headers],[Cycles]],Table2[#Headers],0),0)</f>
        <v>0</v>
      </c>
      <c r="BL374" s="2">
        <f>VLOOKUP([jobnumber],OvalData[],MATCH(Table2[[#Headers],[Total Spring Torque]],Table2[#Headers],0),0)</f>
        <v>0</v>
      </c>
      <c r="BM374" s="2">
        <f>VLOOKUP([jobnumber],OvalData[],MATCH(Table2[[#Headers],[Total Spring Weight]],Table2[#Headers],0),0)</f>
        <v>0</v>
      </c>
      <c r="BN374" s="2">
        <f>VLOOKUP([jobnumber],OvalData[],MATCH(Table2[[#Headers],[Pipe Weight]],Table2[#Headers],0),0)</f>
        <v>688.24239999999998</v>
      </c>
      <c r="BO374" s="2">
        <f>VLOOKUP([jobnumber],OvalData[],MATCH(Table2[[#Headers],[Max Pipe Deflection]],Table2[#Headers],0),0)</f>
        <v>2309</v>
      </c>
      <c r="BP374" s="2">
        <f>VLOOKUP([jobnumber],OvalData[],MATCH(Table2[[#Headers],[Number Non-Insulated Wrap Slats]],Table2[#Headers],0),0)</f>
        <v>0</v>
      </c>
      <c r="BQ374" s="2">
        <f>VLOOKUP([jobnumber],OvalData[],MATCH(Table2[[#Headers],[Number of Insolated Top Slats]],Table2[#Headers],0),0)</f>
        <v>45</v>
      </c>
      <c r="BR374" s="2">
        <f>VLOOKUP([jobnumber],OvalData[],MATCH(Table2[[#Headers],[Insolated Total Slats]],Table2[#Headers],0),0)</f>
        <v>45</v>
      </c>
      <c r="BS374" s="2">
        <f>VLOOKUP([jobnumber],OvalData[],MATCH(Table2[[#Headers],[Number of Slats]],Table2[#Headers],0),0)</f>
        <v>44.69</v>
      </c>
      <c r="BT374" s="2">
        <f>VLOOKUP([jobnumber],OvalData[],MATCH(Table2[[#Headers],[Wrap]],Table2[#Headers],0),0)</f>
        <v>0</v>
      </c>
      <c r="BU374" s="2">
        <f>VLOOKUP([jobnumber],OvalData[],MATCH(Table2[[#Headers],[Wall Angle Thickness]],Table2[#Headers],0),0)</f>
        <v>0</v>
      </c>
      <c r="BV374" s="2">
        <f>VLOOKUP([jobnumber],OvalData[],MATCH(Table2[[#Headers],[windlocks]],Table2[#Headers],0),0)</f>
        <v>0</v>
      </c>
      <c r="BW374" s="2" t="str">
        <f>VLOOKUP([jobnumber],OvalData[],MATCH(Table2[[#Headers],[bottombartype]],Table2[#Headers],0),0)</f>
        <v>SPECIAL</v>
      </c>
      <c r="BX374" s="2">
        <f>VLOOKUP([jobnumber],OvalData[],MATCH(Table2[[#Headers],[endlockweight]],Table2[#Headers],0),0)</f>
        <v>0.17</v>
      </c>
      <c r="BY374" s="2">
        <f>VLOOKUP([jobnumber],OvalData[],MATCH(Table2[[#Headers],[Endlock Total Weight]],Table2[#Headers],0),0)</f>
        <v>7.5972999999999997</v>
      </c>
      <c r="BZ374" s="2">
        <f>VLOOKUP([jobnumber],OvalData[],MATCH(Table2[[#Headers],[Grille Weight]],Table2[#Headers],0),0)</f>
        <v>0</v>
      </c>
      <c r="CA374" s="2">
        <f>VLOOKUP([jobnumber],OvalData[],MATCH(Table2[[#Headers],[barrelrings]],Table2[#Headers],0),0)</f>
        <v>1</v>
      </c>
    </row>
    <row r="375" spans="2:79">
      <c r="B375" s="2" t="str">
        <f>VLOOKUP([jobnumber],OvalData[],MATCH(Table2[[#Headers],[Hand]],Table2[#Headers],0),0)</f>
        <v>RH</v>
      </c>
      <c r="C375" s="2" t="str">
        <f>VLOOKUP([jobnumber],OvalData[],MATCH(Table2[[#Headers],[Model]],Table2[#Headers],0),0)</f>
        <v>SFMPP</v>
      </c>
      <c r="D375" s="2" t="str">
        <f>VLOOKUP([jobnumber],OvalData[],MATCH(Table2[[#Headers],[width]],Table2[#Headers],0),0)</f>
        <v xml:space="preserve"> 18 ft.- 2"</v>
      </c>
      <c r="E375" s="2" t="str">
        <f>VLOOKUP([jobnumber],OvalData[],MATCH(Table2[[#Headers],[stopheight]],Table2[#Headers],0),0)</f>
        <v xml:space="preserve"> 10 ft.- 0"</v>
      </c>
      <c r="F375" s="2" t="str">
        <f>VLOOKUP([jobnumber],OvalData[],MATCH(Table2[[#Headers],[Between Brackets]],Table2[#Headers],0),0)</f>
        <v xml:space="preserve"> 18 ft.- 7 7/ 8"</v>
      </c>
      <c r="G375" s="2" t="str">
        <f>VLOOKUP([jobnumber],OvalData[],MATCH(Table2[[#Headers],[shell]],Table2[#Headers],0),0)</f>
        <v>6 INCH TUBE</v>
      </c>
      <c r="H375" s="2" t="str">
        <f>VLOOKUP([jobnumber],OvalData[],MATCH(Table2[[#Headers],[pipewidth]],Table2[#Headers],0),0)</f>
        <v xml:space="preserve"> 18 ft.- 1 3/ 8"</v>
      </c>
      <c r="I375" s="2">
        <f>VLOOKUP([jobnumber],OvalData[],MATCH(Table2[[#Headers],[Support Tubes]],Table2[#Headers],0),0)</f>
        <v>0</v>
      </c>
      <c r="J375" s="2">
        <f>VLOOKUP([jobnumber],OvalData[],MATCH(Table2[[#Headers],[Upset]],Table2[#Headers],0),0)</f>
        <v>2</v>
      </c>
      <c r="K375" s="2" t="str">
        <f>VLOOKUP([jobnumber],OvalData[],MATCH(Table2[[#Headers],[Guide Type]],Table2[#Headers],0),0)</f>
        <v>SN2-4 5/8-E</v>
      </c>
      <c r="L375" s="2" t="str">
        <f>VLOOKUP([jobnumber],OvalData[],MATCH(Table2[[#Headers],[Wall Angle]],Table2[#Headers],0),0)</f>
        <v xml:space="preserve"> 11 ft.- 8"</v>
      </c>
      <c r="M375" s="2" t="str">
        <f>VLOOKUP([jobnumber],OvalData[],MATCH(Table2[[#Headers],[Middle Angle]],Table2[#Headers],0),0)</f>
        <v xml:space="preserve"> 10 ft.- 4 1/ 2"</v>
      </c>
      <c r="N375" s="2" t="str">
        <f>VLOOKUP([jobnumber],OvalData[],MATCH(Table2[[#Headers],[Front Angle]],Table2[#Headers],0),0)</f>
        <v xml:space="preserve"> 10 ft.- 3"</v>
      </c>
      <c r="O375" s="2">
        <f>VLOOKUP([jobnumber],OvalData[],MATCH(Table2[[#Headers],[Pipe Center Line]],Table2[#Headers],0),0)</f>
        <v>131</v>
      </c>
      <c r="P375" s="2">
        <f>VLOOKUP([jobnumber],OvalData[],MATCH(Table2[[#Headers],[Heat Expansion Gap]],Table2[#Headers],0),0)</f>
        <v>0</v>
      </c>
      <c r="Q375" s="2">
        <f>VLOOKUP([jobnumber],OvalData[],MATCH(Table2[[#Headers],[Hanging Weight Closed]],Table2[#Headers],0),0)</f>
        <v>795</v>
      </c>
      <c r="R375" s="2">
        <f>VLOOKUP([jobnumber],OvalData[],MATCH(Table2[[#Headers],[Hanging Weight Open]],Table2[#Headers],0),0)</f>
        <v>140</v>
      </c>
      <c r="S375" s="2">
        <f>VLOOKUP([jobnumber],OvalData[],MATCH(Table2[[#Headers],[Initial Lever Arm]],Table2[#Headers],0),0)</f>
        <v>4.25</v>
      </c>
      <c r="T375" s="2">
        <f>VLOOKUP([jobnumber],OvalData[],MATCH(Table2[[#Headers],[Turns to Raise]],Table2[#Headers],0),0)</f>
        <v>3.5859999999999999</v>
      </c>
      <c r="U375" s="2">
        <f>VLOOKUP([jobnumber],OvalData[],MATCH(Table2[[#Headers],[Final Lever Arm]],Table2[#Headers],0),0)</f>
        <v>6.37</v>
      </c>
      <c r="V375" s="2">
        <f>VLOOKUP([jobnumber],OvalData[],MATCH(Table2[[#Headers],[Torque Required Closed]],Table2[#Headers],0),0)</f>
        <v>3377.9</v>
      </c>
      <c r="W375" s="2">
        <f>VLOOKUP([jobnumber],OvalData[],MATCH(Table2[[#Headers],[Torque Required Open]],Table2[#Headers],0),0)</f>
        <v>892</v>
      </c>
      <c r="X375" s="2">
        <f>VLOOKUP([jobnumber],OvalData[],MATCH(Table2[[#Headers],[Pre Turns]],Table2[#Headers],0),0)</f>
        <v>1.3332999999999999</v>
      </c>
      <c r="Y375" s="2">
        <f>VLOOKUP([jobnumber],OvalData[],MATCH(Table2[[#Headers],[Required Torque Per Turn]],Table2[#Headers],0),0)</f>
        <v>688</v>
      </c>
      <c r="Z375" s="2">
        <f>VLOOKUP([jobnumber],OvalData[],MATCH(Table2[[#Headers],[Total Turns]],Table2[#Headers],0),0)</f>
        <v>4.91</v>
      </c>
      <c r="AA375" s="2">
        <f>VLOOKUP([jobnumber],OvalData[],MATCH(Table2[[#Headers],[Grille Vision Section]],Table2[#Headers],0),0)</f>
        <v>0</v>
      </c>
      <c r="AB375" s="2">
        <f>VLOOKUP([jobnumber],OvalData[],MATCH(Table2[[#Headers],[Grille Amount]],Table2[#Headers],0),0)</f>
        <v>0</v>
      </c>
      <c r="AC375" s="2">
        <f>VLOOKUP([jobnumber],OvalData[],MATCH(Table2[[#Headers],[Grille Center]],Table2[#Headers],0),0)</f>
        <v>0</v>
      </c>
      <c r="AD375" s="2">
        <f>VLOOKUP([jobnumber],OvalData[],MATCH(Table2[[#Headers],[Grille Pattern]],Table2[#Headers],0),0)</f>
        <v>0</v>
      </c>
      <c r="AE375" s="2">
        <f>VLOOKUP([jobnumber],OvalData[],MATCH(Table2[[#Headers],[Grille First Tube]],Table2[#Headers],0),0)</f>
        <v>0</v>
      </c>
      <c r="AF375" s="2">
        <f>VLOOKUP([jobnumber],OvalData[],MATCH(Table2[[#Headers],[Grille Standard Tube]],Table2[#Headers],0),0)</f>
        <v>0</v>
      </c>
      <c r="AG375" s="2">
        <f>VLOOKUP([jobnumber],OvalData[],MATCH(Table2[[#Headers],[Grille Total Links]],Table2[#Headers],0),0)</f>
        <v>0</v>
      </c>
      <c r="AH375" s="2">
        <f>VLOOKUP([jobnumber],OvalData[],MATCH(Table2[[#Headers],[Grille Rods]],Table2[#Headers],0),0)</f>
        <v>0</v>
      </c>
      <c r="AI375" s="2">
        <f>VLOOKUP([jobnumber],OvalData[],MATCH(Table2[[#Headers],[Grille Rod Length]],Table2[#Headers],0),0)</f>
        <v>0</v>
      </c>
      <c r="AJ375" s="2">
        <f>VLOOKUP([jobnumber],OvalData[],MATCH(Table2[[#Headers],[slattype]],Table2[#Headers],0),0)</f>
        <v>2</v>
      </c>
      <c r="AK375" s="2">
        <f>VLOOKUP([jobnumber],OvalData[],MATCH(Table2[[#Headers],[slatgage]],Table2[#Headers],0),0)</f>
        <v>18</v>
      </c>
      <c r="AL375" s="2">
        <f>VLOOKUP([jobnumber],OvalData[],MATCH(Table2[[#Headers],[Numer of Top Slats]],Table2[#Headers],0),0)</f>
        <v>0</v>
      </c>
      <c r="AM375" s="2">
        <f>VLOOKUP([jobnumber],OvalData[],MATCH(Table2[[#Headers],[Number of Bottom Slats]],Table2[#Headers],0),0)</f>
        <v>0</v>
      </c>
      <c r="AN375" s="2">
        <f>VLOOKUP([jobnumber],OvalData[],MATCH(Table2[[#Headers],[Solid Bottom Height]],Table2[#Headers],0),0)</f>
        <v>0</v>
      </c>
      <c r="AO375" s="2" t="str">
        <f>VLOOKUP([jobnumber],OvalData[],MATCH(Table2[[#Headers],[slatlength]],Table2[#Headers],0),0)</f>
        <v xml:space="preserve"> 18 ft.- 5 7/ 8"</v>
      </c>
      <c r="AP375" s="2">
        <f>VLOOKUP([jobnumber],OvalData[],MATCH(Table2[[#Headers],[Bottom Slat Length]],Table2[#Headers],0),0)</f>
        <v>0</v>
      </c>
      <c r="AQ375" s="2">
        <f>VLOOKUP([jobnumber],OvalData[],MATCH(Table2[[#Headers],[Number of Perferated Slats]],Table2[#Headers],0),0)</f>
        <v>0</v>
      </c>
      <c r="AR375" s="2">
        <f>VLOOKUP([jobnumber],OvalData[],MATCH(Table2[[#Headers],[First Preferated Slat From End]],Table2[#Headers],0),0)</f>
        <v>0</v>
      </c>
      <c r="AS375" s="2">
        <f>VLOOKUP([jobnumber],OvalData[],MATCH(Table2[[#Headers],[First Preferated Slat From Bottom]],Table2[#Headers],0),0)</f>
        <v>0</v>
      </c>
      <c r="AT375" s="2">
        <f>VLOOKUP([jobnumber],OvalData[],MATCH(Table2[[#Headers],[Total Number of Slats]],Table2[#Headers],0),0)</f>
        <v>51</v>
      </c>
      <c r="AU375" s="2">
        <f>VLOOKUP([jobnumber],OvalData[],MATCH(Table2[[#Headers],[Bottom Bar Slope]],Table2[#Headers],0),0)</f>
        <v>0</v>
      </c>
      <c r="AV375" s="2">
        <f>VLOOKUP([jobnumber],OvalData[],MATCH(Table2[[#Headers],[Bottom Bar Weight]],Table2[#Headers],0),0)</f>
        <v>80.5</v>
      </c>
      <c r="AW375" s="2" t="str">
        <f>VLOOKUP([jobnumber],OvalData[],MATCH(Table2[[#Headers],[Outer Spring Gage]],Table2[#Headers],0),0)</f>
        <v>Null</v>
      </c>
      <c r="AX375" s="2" t="str">
        <f>VLOOKUP([jobnumber],OvalData[],MATCH(Table2[[#Headers],[Outer Spring OD]],Table2[#Headers],0),0)</f>
        <v>Null</v>
      </c>
      <c r="AY375" s="2" t="str">
        <f>VLOOKUP([jobnumber],OvalData[],MATCH(Table2[[#Headers],[Outer Spring Length]],Table2[#Headers],0),0)</f>
        <v>Null</v>
      </c>
      <c r="AZ375" s="2" t="str">
        <f>VLOOKUP([jobnumber],OvalData[],MATCH(Table2[[#Headers],[Outer Spring Stretch]],Table2[#Headers],0),0)</f>
        <v>Null</v>
      </c>
      <c r="BA375" s="2" t="str">
        <f>VLOOKUP([jobnumber],OvalData[],MATCH(Table2[[#Headers],[Outer Spring Torque]],Table2[#Headers],0),0)</f>
        <v>Null</v>
      </c>
      <c r="BB375" s="2" t="str">
        <f>VLOOKUP([jobnumber],OvalData[],MATCH(Table2[[#Headers],[Outer Spring Max Turns]],Table2[#Headers],0),0)</f>
        <v>Null</v>
      </c>
      <c r="BC375" s="2" t="str">
        <f>VLOOKUP([jobnumber],OvalData[],MATCH(Table2[[#Headers],[Outer Spring Weight]],Table2[#Headers],0),0)</f>
        <v>Null</v>
      </c>
      <c r="BD375" s="2" t="str">
        <f>VLOOKUP([jobnumber],OvalData[],MATCH(Table2[[#Headers],[Inner Spring Gage]],Table2[#Headers],0),0)</f>
        <v>Null</v>
      </c>
      <c r="BE375" s="2" t="str">
        <f>VLOOKUP([jobnumber],OvalData[],MATCH(Table2[[#Headers],[Inner Spring OD]],Table2[#Headers],0),0)</f>
        <v>Null</v>
      </c>
      <c r="BF375" s="2" t="str">
        <f>VLOOKUP([jobnumber],OvalData[],MATCH(Table2[[#Headers],[Inner Spring Length]],Table2[#Headers],0),0)</f>
        <v>Null</v>
      </c>
      <c r="BG375" s="2" t="str">
        <f>VLOOKUP([jobnumber],OvalData[],MATCH(Table2[[#Headers],[Inner Spring Stretch]],Table2[#Headers],0),0)</f>
        <v>Null</v>
      </c>
      <c r="BH375" s="2" t="str">
        <f>VLOOKUP([jobnumber],OvalData[],MATCH(Table2[[#Headers],[Inner Spring Torque]],Table2[#Headers],0),0)</f>
        <v>Null</v>
      </c>
      <c r="BI375" s="2" t="str">
        <f>VLOOKUP([jobnumber],OvalData[],MATCH(Table2[[#Headers],[Inner Spring Max Turns]],Table2[#Headers],0),0)</f>
        <v>Null</v>
      </c>
      <c r="BJ375" s="2" t="str">
        <f>VLOOKUP([jobnumber],OvalData[],MATCH(Table2[[#Headers],[Inner Spring Weight]],Table2[#Headers],0),0)</f>
        <v>Null</v>
      </c>
      <c r="BK375" s="2">
        <f>VLOOKUP([jobnumber],OvalData[],MATCH(Table2[[#Headers],[Cycles]],Table2[#Headers],0),0)</f>
        <v>0</v>
      </c>
      <c r="BL375" s="2">
        <f>VLOOKUP([jobnumber],OvalData[],MATCH(Table2[[#Headers],[Total Spring Torque]],Table2[#Headers],0),0)</f>
        <v>0</v>
      </c>
      <c r="BM375" s="2">
        <f>VLOOKUP([jobnumber],OvalData[],MATCH(Table2[[#Headers],[Total Spring Weight]],Table2[#Headers],0),0)</f>
        <v>0</v>
      </c>
      <c r="BN375" s="2">
        <f>VLOOKUP([jobnumber],OvalData[],MATCH(Table2[[#Headers],[Pipe Weight]],Table2[#Headers],0),0)</f>
        <v>688.24239999999998</v>
      </c>
      <c r="BO375" s="2">
        <f>VLOOKUP([jobnumber],OvalData[],MATCH(Table2[[#Headers],[Max Pipe Deflection]],Table2[#Headers],0),0)</f>
        <v>2309</v>
      </c>
      <c r="BP375" s="2">
        <f>VLOOKUP([jobnumber],OvalData[],MATCH(Table2[[#Headers],[Number Non-Insulated Wrap Slats]],Table2[#Headers],0),0)</f>
        <v>0</v>
      </c>
      <c r="BQ375" s="2">
        <f>VLOOKUP([jobnumber],OvalData[],MATCH(Table2[[#Headers],[Number of Insolated Top Slats]],Table2[#Headers],0),0)</f>
        <v>45</v>
      </c>
      <c r="BR375" s="2">
        <f>VLOOKUP([jobnumber],OvalData[],MATCH(Table2[[#Headers],[Insolated Total Slats]],Table2[#Headers],0),0)</f>
        <v>45</v>
      </c>
      <c r="BS375" s="2">
        <f>VLOOKUP([jobnumber],OvalData[],MATCH(Table2[[#Headers],[Number of Slats]],Table2[#Headers],0),0)</f>
        <v>44.69</v>
      </c>
      <c r="BT375" s="2">
        <f>VLOOKUP([jobnumber],OvalData[],MATCH(Table2[[#Headers],[Wrap]],Table2[#Headers],0),0)</f>
        <v>0</v>
      </c>
      <c r="BU375" s="2">
        <f>VLOOKUP([jobnumber],OvalData[],MATCH(Table2[[#Headers],[Wall Angle Thickness]],Table2[#Headers],0),0)</f>
        <v>0</v>
      </c>
      <c r="BV375" s="2">
        <f>VLOOKUP([jobnumber],OvalData[],MATCH(Table2[[#Headers],[windlocks]],Table2[#Headers],0),0)</f>
        <v>0</v>
      </c>
      <c r="BW375" s="2" t="str">
        <f>VLOOKUP([jobnumber],OvalData[],MATCH(Table2[[#Headers],[bottombartype]],Table2[#Headers],0),0)</f>
        <v>SPECIAL</v>
      </c>
      <c r="BX375" s="2">
        <f>VLOOKUP([jobnumber],OvalData[],MATCH(Table2[[#Headers],[endlockweight]],Table2[#Headers],0),0)</f>
        <v>0.17</v>
      </c>
      <c r="BY375" s="2">
        <f>VLOOKUP([jobnumber],OvalData[],MATCH(Table2[[#Headers],[Endlock Total Weight]],Table2[#Headers],0),0)</f>
        <v>7.5972999999999997</v>
      </c>
      <c r="BZ375" s="2">
        <f>VLOOKUP([jobnumber],OvalData[],MATCH(Table2[[#Headers],[Grille Weight]],Table2[#Headers],0),0)</f>
        <v>0</v>
      </c>
      <c r="CA375" s="2">
        <f>VLOOKUP([jobnumber],OvalData[],MATCH(Table2[[#Headers],[barrelrings]],Table2[#Headers],0),0)</f>
        <v>1</v>
      </c>
    </row>
    <row r="376" spans="2:79">
      <c r="B376" s="2" t="str">
        <f>VLOOKUP([jobnumber],OvalData[],MATCH(Table2[[#Headers],[Hand]],Table2[#Headers],0),0)</f>
        <v>RH</v>
      </c>
      <c r="C376" s="2" t="str">
        <f>VLOOKUP([jobnumber],OvalData[],MATCH(Table2[[#Headers],[Model]],Table2[#Headers],0),0)</f>
        <v>SFMPP</v>
      </c>
      <c r="D376" s="2" t="str">
        <f>VLOOKUP([jobnumber],OvalData[],MATCH(Table2[[#Headers],[width]],Table2[#Headers],0),0)</f>
        <v xml:space="preserve"> 18 ft.- 2"</v>
      </c>
      <c r="E376" s="2" t="str">
        <f>VLOOKUP([jobnumber],OvalData[],MATCH(Table2[[#Headers],[stopheight]],Table2[#Headers],0),0)</f>
        <v xml:space="preserve"> 10 ft.- 0"</v>
      </c>
      <c r="F376" s="2" t="str">
        <f>VLOOKUP([jobnumber],OvalData[],MATCH(Table2[[#Headers],[Between Brackets]],Table2[#Headers],0),0)</f>
        <v xml:space="preserve"> 18 ft.- 7 7/ 8"</v>
      </c>
      <c r="G376" s="2" t="str">
        <f>VLOOKUP([jobnumber],OvalData[],MATCH(Table2[[#Headers],[shell]],Table2[#Headers],0),0)</f>
        <v>6 INCH TUBE</v>
      </c>
      <c r="H376" s="2" t="str">
        <f>VLOOKUP([jobnumber],OvalData[],MATCH(Table2[[#Headers],[pipewidth]],Table2[#Headers],0),0)</f>
        <v xml:space="preserve"> 18 ft.- 1 3/ 8"</v>
      </c>
      <c r="I376" s="2">
        <f>VLOOKUP([jobnumber],OvalData[],MATCH(Table2[[#Headers],[Support Tubes]],Table2[#Headers],0),0)</f>
        <v>0</v>
      </c>
      <c r="J376" s="2">
        <f>VLOOKUP([jobnumber],OvalData[],MATCH(Table2[[#Headers],[Upset]],Table2[#Headers],0),0)</f>
        <v>2</v>
      </c>
      <c r="K376" s="2" t="str">
        <f>VLOOKUP([jobnumber],OvalData[],MATCH(Table2[[#Headers],[Guide Type]],Table2[#Headers],0),0)</f>
        <v>SN2-4 5/8-E</v>
      </c>
      <c r="L376" s="2" t="str">
        <f>VLOOKUP([jobnumber],OvalData[],MATCH(Table2[[#Headers],[Wall Angle]],Table2[#Headers],0),0)</f>
        <v xml:space="preserve"> 11 ft.- 8"</v>
      </c>
      <c r="M376" s="2" t="str">
        <f>VLOOKUP([jobnumber],OvalData[],MATCH(Table2[[#Headers],[Middle Angle]],Table2[#Headers],0),0)</f>
        <v xml:space="preserve"> 10 ft.- 4 1/ 2"</v>
      </c>
      <c r="N376" s="2" t="str">
        <f>VLOOKUP([jobnumber],OvalData[],MATCH(Table2[[#Headers],[Front Angle]],Table2[#Headers],0),0)</f>
        <v xml:space="preserve"> 10 ft.- 3"</v>
      </c>
      <c r="O376" s="2">
        <f>VLOOKUP([jobnumber],OvalData[],MATCH(Table2[[#Headers],[Pipe Center Line]],Table2[#Headers],0),0)</f>
        <v>131</v>
      </c>
      <c r="P376" s="2">
        <f>VLOOKUP([jobnumber],OvalData[],MATCH(Table2[[#Headers],[Heat Expansion Gap]],Table2[#Headers],0),0)</f>
        <v>0</v>
      </c>
      <c r="Q376" s="2">
        <f>VLOOKUP([jobnumber],OvalData[],MATCH(Table2[[#Headers],[Hanging Weight Closed]],Table2[#Headers],0),0)</f>
        <v>795</v>
      </c>
      <c r="R376" s="2">
        <f>VLOOKUP([jobnumber],OvalData[],MATCH(Table2[[#Headers],[Hanging Weight Open]],Table2[#Headers],0),0)</f>
        <v>140</v>
      </c>
      <c r="S376" s="2">
        <f>VLOOKUP([jobnumber],OvalData[],MATCH(Table2[[#Headers],[Initial Lever Arm]],Table2[#Headers],0),0)</f>
        <v>4.25</v>
      </c>
      <c r="T376" s="2">
        <f>VLOOKUP([jobnumber],OvalData[],MATCH(Table2[[#Headers],[Turns to Raise]],Table2[#Headers],0),0)</f>
        <v>3.5859999999999999</v>
      </c>
      <c r="U376" s="2">
        <f>VLOOKUP([jobnumber],OvalData[],MATCH(Table2[[#Headers],[Final Lever Arm]],Table2[#Headers],0),0)</f>
        <v>6.37</v>
      </c>
      <c r="V376" s="2">
        <f>VLOOKUP([jobnumber],OvalData[],MATCH(Table2[[#Headers],[Torque Required Closed]],Table2[#Headers],0),0)</f>
        <v>3377.9</v>
      </c>
      <c r="W376" s="2">
        <f>VLOOKUP([jobnumber],OvalData[],MATCH(Table2[[#Headers],[Torque Required Open]],Table2[#Headers],0),0)</f>
        <v>892</v>
      </c>
      <c r="X376" s="2">
        <f>VLOOKUP([jobnumber],OvalData[],MATCH(Table2[[#Headers],[Pre Turns]],Table2[#Headers],0),0)</f>
        <v>1.3332999999999999</v>
      </c>
      <c r="Y376" s="2">
        <f>VLOOKUP([jobnumber],OvalData[],MATCH(Table2[[#Headers],[Required Torque Per Turn]],Table2[#Headers],0),0)</f>
        <v>688</v>
      </c>
      <c r="Z376" s="2">
        <f>VLOOKUP([jobnumber],OvalData[],MATCH(Table2[[#Headers],[Total Turns]],Table2[#Headers],0),0)</f>
        <v>4.91</v>
      </c>
      <c r="AA376" s="2">
        <f>VLOOKUP([jobnumber],OvalData[],MATCH(Table2[[#Headers],[Grille Vision Section]],Table2[#Headers],0),0)</f>
        <v>0</v>
      </c>
      <c r="AB376" s="2">
        <f>VLOOKUP([jobnumber],OvalData[],MATCH(Table2[[#Headers],[Grille Amount]],Table2[#Headers],0),0)</f>
        <v>0</v>
      </c>
      <c r="AC376" s="2">
        <f>VLOOKUP([jobnumber],OvalData[],MATCH(Table2[[#Headers],[Grille Center]],Table2[#Headers],0),0)</f>
        <v>0</v>
      </c>
      <c r="AD376" s="2">
        <f>VLOOKUP([jobnumber],OvalData[],MATCH(Table2[[#Headers],[Grille Pattern]],Table2[#Headers],0),0)</f>
        <v>0</v>
      </c>
      <c r="AE376" s="2">
        <f>VLOOKUP([jobnumber],OvalData[],MATCH(Table2[[#Headers],[Grille First Tube]],Table2[#Headers],0),0)</f>
        <v>0</v>
      </c>
      <c r="AF376" s="2">
        <f>VLOOKUP([jobnumber],OvalData[],MATCH(Table2[[#Headers],[Grille Standard Tube]],Table2[#Headers],0),0)</f>
        <v>0</v>
      </c>
      <c r="AG376" s="2">
        <f>VLOOKUP([jobnumber],OvalData[],MATCH(Table2[[#Headers],[Grille Total Links]],Table2[#Headers],0),0)</f>
        <v>0</v>
      </c>
      <c r="AH376" s="2">
        <f>VLOOKUP([jobnumber],OvalData[],MATCH(Table2[[#Headers],[Grille Rods]],Table2[#Headers],0),0)</f>
        <v>0</v>
      </c>
      <c r="AI376" s="2">
        <f>VLOOKUP([jobnumber],OvalData[],MATCH(Table2[[#Headers],[Grille Rod Length]],Table2[#Headers],0),0)</f>
        <v>0</v>
      </c>
      <c r="AJ376" s="2">
        <f>VLOOKUP([jobnumber],OvalData[],MATCH(Table2[[#Headers],[slattype]],Table2[#Headers],0),0)</f>
        <v>2</v>
      </c>
      <c r="AK376" s="2">
        <f>VLOOKUP([jobnumber],OvalData[],MATCH(Table2[[#Headers],[slatgage]],Table2[#Headers],0),0)</f>
        <v>18</v>
      </c>
      <c r="AL376" s="2">
        <f>VLOOKUP([jobnumber],OvalData[],MATCH(Table2[[#Headers],[Numer of Top Slats]],Table2[#Headers],0),0)</f>
        <v>0</v>
      </c>
      <c r="AM376" s="2">
        <f>VLOOKUP([jobnumber],OvalData[],MATCH(Table2[[#Headers],[Number of Bottom Slats]],Table2[#Headers],0),0)</f>
        <v>0</v>
      </c>
      <c r="AN376" s="2">
        <f>VLOOKUP([jobnumber],OvalData[],MATCH(Table2[[#Headers],[Solid Bottom Height]],Table2[#Headers],0),0)</f>
        <v>0</v>
      </c>
      <c r="AO376" s="2" t="str">
        <f>VLOOKUP([jobnumber],OvalData[],MATCH(Table2[[#Headers],[slatlength]],Table2[#Headers],0),0)</f>
        <v xml:space="preserve"> 18 ft.- 5 7/ 8"</v>
      </c>
      <c r="AP376" s="2">
        <f>VLOOKUP([jobnumber],OvalData[],MATCH(Table2[[#Headers],[Bottom Slat Length]],Table2[#Headers],0),0)</f>
        <v>0</v>
      </c>
      <c r="AQ376" s="2">
        <f>VLOOKUP([jobnumber],OvalData[],MATCH(Table2[[#Headers],[Number of Perferated Slats]],Table2[#Headers],0),0)</f>
        <v>0</v>
      </c>
      <c r="AR376" s="2">
        <f>VLOOKUP([jobnumber],OvalData[],MATCH(Table2[[#Headers],[First Preferated Slat From End]],Table2[#Headers],0),0)</f>
        <v>0</v>
      </c>
      <c r="AS376" s="2">
        <f>VLOOKUP([jobnumber],OvalData[],MATCH(Table2[[#Headers],[First Preferated Slat From Bottom]],Table2[#Headers],0),0)</f>
        <v>0</v>
      </c>
      <c r="AT376" s="2">
        <f>VLOOKUP([jobnumber],OvalData[],MATCH(Table2[[#Headers],[Total Number of Slats]],Table2[#Headers],0),0)</f>
        <v>51</v>
      </c>
      <c r="AU376" s="2">
        <f>VLOOKUP([jobnumber],OvalData[],MATCH(Table2[[#Headers],[Bottom Bar Slope]],Table2[#Headers],0),0)</f>
        <v>0</v>
      </c>
      <c r="AV376" s="2">
        <f>VLOOKUP([jobnumber],OvalData[],MATCH(Table2[[#Headers],[Bottom Bar Weight]],Table2[#Headers],0),0)</f>
        <v>80.5</v>
      </c>
      <c r="AW376" s="2" t="str">
        <f>VLOOKUP([jobnumber],OvalData[],MATCH(Table2[[#Headers],[Outer Spring Gage]],Table2[#Headers],0),0)</f>
        <v>Null</v>
      </c>
      <c r="AX376" s="2" t="str">
        <f>VLOOKUP([jobnumber],OvalData[],MATCH(Table2[[#Headers],[Outer Spring OD]],Table2[#Headers],0),0)</f>
        <v>Null</v>
      </c>
      <c r="AY376" s="2" t="str">
        <f>VLOOKUP([jobnumber],OvalData[],MATCH(Table2[[#Headers],[Outer Spring Length]],Table2[#Headers],0),0)</f>
        <v>Null</v>
      </c>
      <c r="AZ376" s="2" t="str">
        <f>VLOOKUP([jobnumber],OvalData[],MATCH(Table2[[#Headers],[Outer Spring Stretch]],Table2[#Headers],0),0)</f>
        <v>Null</v>
      </c>
      <c r="BA376" s="2" t="str">
        <f>VLOOKUP([jobnumber],OvalData[],MATCH(Table2[[#Headers],[Outer Spring Torque]],Table2[#Headers],0),0)</f>
        <v>Null</v>
      </c>
      <c r="BB376" s="2" t="str">
        <f>VLOOKUP([jobnumber],OvalData[],MATCH(Table2[[#Headers],[Outer Spring Max Turns]],Table2[#Headers],0),0)</f>
        <v>Null</v>
      </c>
      <c r="BC376" s="2" t="str">
        <f>VLOOKUP([jobnumber],OvalData[],MATCH(Table2[[#Headers],[Outer Spring Weight]],Table2[#Headers],0),0)</f>
        <v>Null</v>
      </c>
      <c r="BD376" s="2" t="str">
        <f>VLOOKUP([jobnumber],OvalData[],MATCH(Table2[[#Headers],[Inner Spring Gage]],Table2[#Headers],0),0)</f>
        <v>Null</v>
      </c>
      <c r="BE376" s="2" t="str">
        <f>VLOOKUP([jobnumber],OvalData[],MATCH(Table2[[#Headers],[Inner Spring OD]],Table2[#Headers],0),0)</f>
        <v>Null</v>
      </c>
      <c r="BF376" s="2" t="str">
        <f>VLOOKUP([jobnumber],OvalData[],MATCH(Table2[[#Headers],[Inner Spring Length]],Table2[#Headers],0),0)</f>
        <v>Null</v>
      </c>
      <c r="BG376" s="2" t="str">
        <f>VLOOKUP([jobnumber],OvalData[],MATCH(Table2[[#Headers],[Inner Spring Stretch]],Table2[#Headers],0),0)</f>
        <v>Null</v>
      </c>
      <c r="BH376" s="2" t="str">
        <f>VLOOKUP([jobnumber],OvalData[],MATCH(Table2[[#Headers],[Inner Spring Torque]],Table2[#Headers],0),0)</f>
        <v>Null</v>
      </c>
      <c r="BI376" s="2" t="str">
        <f>VLOOKUP([jobnumber],OvalData[],MATCH(Table2[[#Headers],[Inner Spring Max Turns]],Table2[#Headers],0),0)</f>
        <v>Null</v>
      </c>
      <c r="BJ376" s="2" t="str">
        <f>VLOOKUP([jobnumber],OvalData[],MATCH(Table2[[#Headers],[Inner Spring Weight]],Table2[#Headers],0),0)</f>
        <v>Null</v>
      </c>
      <c r="BK376" s="2">
        <f>VLOOKUP([jobnumber],OvalData[],MATCH(Table2[[#Headers],[Cycles]],Table2[#Headers],0),0)</f>
        <v>0</v>
      </c>
      <c r="BL376" s="2">
        <f>VLOOKUP([jobnumber],OvalData[],MATCH(Table2[[#Headers],[Total Spring Torque]],Table2[#Headers],0),0)</f>
        <v>0</v>
      </c>
      <c r="BM376" s="2">
        <f>VLOOKUP([jobnumber],OvalData[],MATCH(Table2[[#Headers],[Total Spring Weight]],Table2[#Headers],0),0)</f>
        <v>0</v>
      </c>
      <c r="BN376" s="2">
        <f>VLOOKUP([jobnumber],OvalData[],MATCH(Table2[[#Headers],[Pipe Weight]],Table2[#Headers],0),0)</f>
        <v>688.24239999999998</v>
      </c>
      <c r="BO376" s="2">
        <f>VLOOKUP([jobnumber],OvalData[],MATCH(Table2[[#Headers],[Max Pipe Deflection]],Table2[#Headers],0),0)</f>
        <v>2309</v>
      </c>
      <c r="BP376" s="2">
        <f>VLOOKUP([jobnumber],OvalData[],MATCH(Table2[[#Headers],[Number Non-Insulated Wrap Slats]],Table2[#Headers],0),0)</f>
        <v>0</v>
      </c>
      <c r="BQ376" s="2">
        <f>VLOOKUP([jobnumber],OvalData[],MATCH(Table2[[#Headers],[Number of Insolated Top Slats]],Table2[#Headers],0),0)</f>
        <v>45</v>
      </c>
      <c r="BR376" s="2">
        <f>VLOOKUP([jobnumber],OvalData[],MATCH(Table2[[#Headers],[Insolated Total Slats]],Table2[#Headers],0),0)</f>
        <v>45</v>
      </c>
      <c r="BS376" s="2">
        <f>VLOOKUP([jobnumber],OvalData[],MATCH(Table2[[#Headers],[Number of Slats]],Table2[#Headers],0),0)</f>
        <v>44.69</v>
      </c>
      <c r="BT376" s="2">
        <f>VLOOKUP([jobnumber],OvalData[],MATCH(Table2[[#Headers],[Wrap]],Table2[#Headers],0),0)</f>
        <v>0</v>
      </c>
      <c r="BU376" s="2">
        <f>VLOOKUP([jobnumber],OvalData[],MATCH(Table2[[#Headers],[Wall Angle Thickness]],Table2[#Headers],0),0)</f>
        <v>0</v>
      </c>
      <c r="BV376" s="2">
        <f>VLOOKUP([jobnumber],OvalData[],MATCH(Table2[[#Headers],[windlocks]],Table2[#Headers],0),0)</f>
        <v>0</v>
      </c>
      <c r="BW376" s="2" t="str">
        <f>VLOOKUP([jobnumber],OvalData[],MATCH(Table2[[#Headers],[bottombartype]],Table2[#Headers],0),0)</f>
        <v>SPECIAL</v>
      </c>
      <c r="BX376" s="2">
        <f>VLOOKUP([jobnumber],OvalData[],MATCH(Table2[[#Headers],[endlockweight]],Table2[#Headers],0),0)</f>
        <v>0.17</v>
      </c>
      <c r="BY376" s="2">
        <f>VLOOKUP([jobnumber],OvalData[],MATCH(Table2[[#Headers],[Endlock Total Weight]],Table2[#Headers],0),0)</f>
        <v>7.5972999999999997</v>
      </c>
      <c r="BZ376" s="2">
        <f>VLOOKUP([jobnumber],OvalData[],MATCH(Table2[[#Headers],[Grille Weight]],Table2[#Headers],0),0)</f>
        <v>0</v>
      </c>
      <c r="CA376" s="2">
        <f>VLOOKUP([jobnumber],OvalData[],MATCH(Table2[[#Headers],[barrelrings]],Table2[#Headers],0),0)</f>
        <v>1</v>
      </c>
    </row>
    <row r="377" spans="2:79">
      <c r="B377" s="2" t="str">
        <f>VLOOKUP([jobnumber],OvalData[],MATCH(Table2[[#Headers],[Hand]],Table2[#Headers],0),0)</f>
        <v>RH</v>
      </c>
      <c r="C377" s="2" t="str">
        <f>VLOOKUP([jobnumber],OvalData[],MATCH(Table2[[#Headers],[Model]],Table2[#Headers],0),0)</f>
        <v>SFMPP</v>
      </c>
      <c r="D377" s="2" t="str">
        <f>VLOOKUP([jobnumber],OvalData[],MATCH(Table2[[#Headers],[width]],Table2[#Headers],0),0)</f>
        <v xml:space="preserve"> 18 ft.- 2"</v>
      </c>
      <c r="E377" s="2" t="str">
        <f>VLOOKUP([jobnumber],OvalData[],MATCH(Table2[[#Headers],[stopheight]],Table2[#Headers],0),0)</f>
        <v xml:space="preserve"> 10 ft.- 0"</v>
      </c>
      <c r="F377" s="2" t="str">
        <f>VLOOKUP([jobnumber],OvalData[],MATCH(Table2[[#Headers],[Between Brackets]],Table2[#Headers],0),0)</f>
        <v xml:space="preserve"> 18 ft.- 7 7/ 8"</v>
      </c>
      <c r="G377" s="2" t="str">
        <f>VLOOKUP([jobnumber],OvalData[],MATCH(Table2[[#Headers],[shell]],Table2[#Headers],0),0)</f>
        <v>6 INCH TUBE</v>
      </c>
      <c r="H377" s="2" t="str">
        <f>VLOOKUP([jobnumber],OvalData[],MATCH(Table2[[#Headers],[pipewidth]],Table2[#Headers],0),0)</f>
        <v xml:space="preserve"> 18 ft.- 1 3/ 8"</v>
      </c>
      <c r="I377" s="2">
        <f>VLOOKUP([jobnumber],OvalData[],MATCH(Table2[[#Headers],[Support Tubes]],Table2[#Headers],0),0)</f>
        <v>0</v>
      </c>
      <c r="J377" s="2">
        <f>VLOOKUP([jobnumber],OvalData[],MATCH(Table2[[#Headers],[Upset]],Table2[#Headers],0),0)</f>
        <v>2</v>
      </c>
      <c r="K377" s="2" t="str">
        <f>VLOOKUP([jobnumber],OvalData[],MATCH(Table2[[#Headers],[Guide Type]],Table2[#Headers],0),0)</f>
        <v>SN2-4 5/8-E</v>
      </c>
      <c r="L377" s="2" t="str">
        <f>VLOOKUP([jobnumber],OvalData[],MATCH(Table2[[#Headers],[Wall Angle]],Table2[#Headers],0),0)</f>
        <v xml:space="preserve"> 11 ft.- 8"</v>
      </c>
      <c r="M377" s="2" t="str">
        <f>VLOOKUP([jobnumber],OvalData[],MATCH(Table2[[#Headers],[Middle Angle]],Table2[#Headers],0),0)</f>
        <v xml:space="preserve"> 10 ft.- 4 1/ 2"</v>
      </c>
      <c r="N377" s="2" t="str">
        <f>VLOOKUP([jobnumber],OvalData[],MATCH(Table2[[#Headers],[Front Angle]],Table2[#Headers],0),0)</f>
        <v xml:space="preserve"> 10 ft.- 3"</v>
      </c>
      <c r="O377" s="2">
        <f>VLOOKUP([jobnumber],OvalData[],MATCH(Table2[[#Headers],[Pipe Center Line]],Table2[#Headers],0),0)</f>
        <v>131</v>
      </c>
      <c r="P377" s="2">
        <f>VLOOKUP([jobnumber],OvalData[],MATCH(Table2[[#Headers],[Heat Expansion Gap]],Table2[#Headers],0),0)</f>
        <v>0</v>
      </c>
      <c r="Q377" s="2">
        <f>VLOOKUP([jobnumber],OvalData[],MATCH(Table2[[#Headers],[Hanging Weight Closed]],Table2[#Headers],0),0)</f>
        <v>795</v>
      </c>
      <c r="R377" s="2">
        <f>VLOOKUP([jobnumber],OvalData[],MATCH(Table2[[#Headers],[Hanging Weight Open]],Table2[#Headers],0),0)</f>
        <v>140</v>
      </c>
      <c r="S377" s="2">
        <f>VLOOKUP([jobnumber],OvalData[],MATCH(Table2[[#Headers],[Initial Lever Arm]],Table2[#Headers],0),0)</f>
        <v>4.25</v>
      </c>
      <c r="T377" s="2">
        <f>VLOOKUP([jobnumber],OvalData[],MATCH(Table2[[#Headers],[Turns to Raise]],Table2[#Headers],0),0)</f>
        <v>3.5859999999999999</v>
      </c>
      <c r="U377" s="2">
        <f>VLOOKUP([jobnumber],OvalData[],MATCH(Table2[[#Headers],[Final Lever Arm]],Table2[#Headers],0),0)</f>
        <v>6.37</v>
      </c>
      <c r="V377" s="2">
        <f>VLOOKUP([jobnumber],OvalData[],MATCH(Table2[[#Headers],[Torque Required Closed]],Table2[#Headers],0),0)</f>
        <v>3377.9</v>
      </c>
      <c r="W377" s="2">
        <f>VLOOKUP([jobnumber],OvalData[],MATCH(Table2[[#Headers],[Torque Required Open]],Table2[#Headers],0),0)</f>
        <v>892</v>
      </c>
      <c r="X377" s="2">
        <f>VLOOKUP([jobnumber],OvalData[],MATCH(Table2[[#Headers],[Pre Turns]],Table2[#Headers],0),0)</f>
        <v>1.3332999999999999</v>
      </c>
      <c r="Y377" s="2">
        <f>VLOOKUP([jobnumber],OvalData[],MATCH(Table2[[#Headers],[Required Torque Per Turn]],Table2[#Headers],0),0)</f>
        <v>688</v>
      </c>
      <c r="Z377" s="2">
        <f>VLOOKUP([jobnumber],OvalData[],MATCH(Table2[[#Headers],[Total Turns]],Table2[#Headers],0),0)</f>
        <v>4.91</v>
      </c>
      <c r="AA377" s="2">
        <f>VLOOKUP([jobnumber],OvalData[],MATCH(Table2[[#Headers],[Grille Vision Section]],Table2[#Headers],0),0)</f>
        <v>0</v>
      </c>
      <c r="AB377" s="2">
        <f>VLOOKUP([jobnumber],OvalData[],MATCH(Table2[[#Headers],[Grille Amount]],Table2[#Headers],0),0)</f>
        <v>0</v>
      </c>
      <c r="AC377" s="2">
        <f>VLOOKUP([jobnumber],OvalData[],MATCH(Table2[[#Headers],[Grille Center]],Table2[#Headers],0),0)</f>
        <v>0</v>
      </c>
      <c r="AD377" s="2">
        <f>VLOOKUP([jobnumber],OvalData[],MATCH(Table2[[#Headers],[Grille Pattern]],Table2[#Headers],0),0)</f>
        <v>0</v>
      </c>
      <c r="AE377" s="2">
        <f>VLOOKUP([jobnumber],OvalData[],MATCH(Table2[[#Headers],[Grille First Tube]],Table2[#Headers],0),0)</f>
        <v>0</v>
      </c>
      <c r="AF377" s="2">
        <f>VLOOKUP([jobnumber],OvalData[],MATCH(Table2[[#Headers],[Grille Standard Tube]],Table2[#Headers],0),0)</f>
        <v>0</v>
      </c>
      <c r="AG377" s="2">
        <f>VLOOKUP([jobnumber],OvalData[],MATCH(Table2[[#Headers],[Grille Total Links]],Table2[#Headers],0),0)</f>
        <v>0</v>
      </c>
      <c r="AH377" s="2">
        <f>VLOOKUP([jobnumber],OvalData[],MATCH(Table2[[#Headers],[Grille Rods]],Table2[#Headers],0),0)</f>
        <v>0</v>
      </c>
      <c r="AI377" s="2">
        <f>VLOOKUP([jobnumber],OvalData[],MATCH(Table2[[#Headers],[Grille Rod Length]],Table2[#Headers],0),0)</f>
        <v>0</v>
      </c>
      <c r="AJ377" s="2">
        <f>VLOOKUP([jobnumber],OvalData[],MATCH(Table2[[#Headers],[slattype]],Table2[#Headers],0),0)</f>
        <v>2</v>
      </c>
      <c r="AK377" s="2">
        <f>VLOOKUP([jobnumber],OvalData[],MATCH(Table2[[#Headers],[slatgage]],Table2[#Headers],0),0)</f>
        <v>18</v>
      </c>
      <c r="AL377" s="2">
        <f>VLOOKUP([jobnumber],OvalData[],MATCH(Table2[[#Headers],[Numer of Top Slats]],Table2[#Headers],0),0)</f>
        <v>0</v>
      </c>
      <c r="AM377" s="2">
        <f>VLOOKUP([jobnumber],OvalData[],MATCH(Table2[[#Headers],[Number of Bottom Slats]],Table2[#Headers],0),0)</f>
        <v>0</v>
      </c>
      <c r="AN377" s="2">
        <f>VLOOKUP([jobnumber],OvalData[],MATCH(Table2[[#Headers],[Solid Bottom Height]],Table2[#Headers],0),0)</f>
        <v>0</v>
      </c>
      <c r="AO377" s="2" t="str">
        <f>VLOOKUP([jobnumber],OvalData[],MATCH(Table2[[#Headers],[slatlength]],Table2[#Headers],0),0)</f>
        <v xml:space="preserve"> 18 ft.- 5 7/ 8"</v>
      </c>
      <c r="AP377" s="2">
        <f>VLOOKUP([jobnumber],OvalData[],MATCH(Table2[[#Headers],[Bottom Slat Length]],Table2[#Headers],0),0)</f>
        <v>0</v>
      </c>
      <c r="AQ377" s="2">
        <f>VLOOKUP([jobnumber],OvalData[],MATCH(Table2[[#Headers],[Number of Perferated Slats]],Table2[#Headers],0),0)</f>
        <v>0</v>
      </c>
      <c r="AR377" s="2">
        <f>VLOOKUP([jobnumber],OvalData[],MATCH(Table2[[#Headers],[First Preferated Slat From End]],Table2[#Headers],0),0)</f>
        <v>0</v>
      </c>
      <c r="AS377" s="2">
        <f>VLOOKUP([jobnumber],OvalData[],MATCH(Table2[[#Headers],[First Preferated Slat From Bottom]],Table2[#Headers],0),0)</f>
        <v>0</v>
      </c>
      <c r="AT377" s="2">
        <f>VLOOKUP([jobnumber],OvalData[],MATCH(Table2[[#Headers],[Total Number of Slats]],Table2[#Headers],0),0)</f>
        <v>51</v>
      </c>
      <c r="AU377" s="2">
        <f>VLOOKUP([jobnumber],OvalData[],MATCH(Table2[[#Headers],[Bottom Bar Slope]],Table2[#Headers],0),0)</f>
        <v>0</v>
      </c>
      <c r="AV377" s="2">
        <f>VLOOKUP([jobnumber],OvalData[],MATCH(Table2[[#Headers],[Bottom Bar Weight]],Table2[#Headers],0),0)</f>
        <v>80.5</v>
      </c>
      <c r="AW377" s="2" t="str">
        <f>VLOOKUP([jobnumber],OvalData[],MATCH(Table2[[#Headers],[Outer Spring Gage]],Table2[#Headers],0),0)</f>
        <v>Null</v>
      </c>
      <c r="AX377" s="2" t="str">
        <f>VLOOKUP([jobnumber],OvalData[],MATCH(Table2[[#Headers],[Outer Spring OD]],Table2[#Headers],0),0)</f>
        <v>Null</v>
      </c>
      <c r="AY377" s="2" t="str">
        <f>VLOOKUP([jobnumber],OvalData[],MATCH(Table2[[#Headers],[Outer Spring Length]],Table2[#Headers],0),0)</f>
        <v>Null</v>
      </c>
      <c r="AZ377" s="2" t="str">
        <f>VLOOKUP([jobnumber],OvalData[],MATCH(Table2[[#Headers],[Outer Spring Stretch]],Table2[#Headers],0),0)</f>
        <v>Null</v>
      </c>
      <c r="BA377" s="2" t="str">
        <f>VLOOKUP([jobnumber],OvalData[],MATCH(Table2[[#Headers],[Outer Spring Torque]],Table2[#Headers],0),0)</f>
        <v>Null</v>
      </c>
      <c r="BB377" s="2" t="str">
        <f>VLOOKUP([jobnumber],OvalData[],MATCH(Table2[[#Headers],[Outer Spring Max Turns]],Table2[#Headers],0),0)</f>
        <v>Null</v>
      </c>
      <c r="BC377" s="2" t="str">
        <f>VLOOKUP([jobnumber],OvalData[],MATCH(Table2[[#Headers],[Outer Spring Weight]],Table2[#Headers],0),0)</f>
        <v>Null</v>
      </c>
      <c r="BD377" s="2" t="str">
        <f>VLOOKUP([jobnumber],OvalData[],MATCH(Table2[[#Headers],[Inner Spring Gage]],Table2[#Headers],0),0)</f>
        <v>Null</v>
      </c>
      <c r="BE377" s="2" t="str">
        <f>VLOOKUP([jobnumber],OvalData[],MATCH(Table2[[#Headers],[Inner Spring OD]],Table2[#Headers],0),0)</f>
        <v>Null</v>
      </c>
      <c r="BF377" s="2" t="str">
        <f>VLOOKUP([jobnumber],OvalData[],MATCH(Table2[[#Headers],[Inner Spring Length]],Table2[#Headers],0),0)</f>
        <v>Null</v>
      </c>
      <c r="BG377" s="2" t="str">
        <f>VLOOKUP([jobnumber],OvalData[],MATCH(Table2[[#Headers],[Inner Spring Stretch]],Table2[#Headers],0),0)</f>
        <v>Null</v>
      </c>
      <c r="BH377" s="2" t="str">
        <f>VLOOKUP([jobnumber],OvalData[],MATCH(Table2[[#Headers],[Inner Spring Torque]],Table2[#Headers],0),0)</f>
        <v>Null</v>
      </c>
      <c r="BI377" s="2" t="str">
        <f>VLOOKUP([jobnumber],OvalData[],MATCH(Table2[[#Headers],[Inner Spring Max Turns]],Table2[#Headers],0),0)</f>
        <v>Null</v>
      </c>
      <c r="BJ377" s="2" t="str">
        <f>VLOOKUP([jobnumber],OvalData[],MATCH(Table2[[#Headers],[Inner Spring Weight]],Table2[#Headers],0),0)</f>
        <v>Null</v>
      </c>
      <c r="BK377" s="2">
        <f>VLOOKUP([jobnumber],OvalData[],MATCH(Table2[[#Headers],[Cycles]],Table2[#Headers],0),0)</f>
        <v>0</v>
      </c>
      <c r="BL377" s="2">
        <f>VLOOKUP([jobnumber],OvalData[],MATCH(Table2[[#Headers],[Total Spring Torque]],Table2[#Headers],0),0)</f>
        <v>0</v>
      </c>
      <c r="BM377" s="2">
        <f>VLOOKUP([jobnumber],OvalData[],MATCH(Table2[[#Headers],[Total Spring Weight]],Table2[#Headers],0),0)</f>
        <v>0</v>
      </c>
      <c r="BN377" s="2">
        <f>VLOOKUP([jobnumber],OvalData[],MATCH(Table2[[#Headers],[Pipe Weight]],Table2[#Headers],0),0)</f>
        <v>688.24239999999998</v>
      </c>
      <c r="BO377" s="2">
        <f>VLOOKUP([jobnumber],OvalData[],MATCH(Table2[[#Headers],[Max Pipe Deflection]],Table2[#Headers],0),0)</f>
        <v>2309</v>
      </c>
      <c r="BP377" s="2">
        <f>VLOOKUP([jobnumber],OvalData[],MATCH(Table2[[#Headers],[Number Non-Insulated Wrap Slats]],Table2[#Headers],0),0)</f>
        <v>0</v>
      </c>
      <c r="BQ377" s="2">
        <f>VLOOKUP([jobnumber],OvalData[],MATCH(Table2[[#Headers],[Number of Insolated Top Slats]],Table2[#Headers],0),0)</f>
        <v>45</v>
      </c>
      <c r="BR377" s="2">
        <f>VLOOKUP([jobnumber],OvalData[],MATCH(Table2[[#Headers],[Insolated Total Slats]],Table2[#Headers],0),0)</f>
        <v>45</v>
      </c>
      <c r="BS377" s="2">
        <f>VLOOKUP([jobnumber],OvalData[],MATCH(Table2[[#Headers],[Number of Slats]],Table2[#Headers],0),0)</f>
        <v>44.69</v>
      </c>
      <c r="BT377" s="2">
        <f>VLOOKUP([jobnumber],OvalData[],MATCH(Table2[[#Headers],[Wrap]],Table2[#Headers],0),0)</f>
        <v>0</v>
      </c>
      <c r="BU377" s="2">
        <f>VLOOKUP([jobnumber],OvalData[],MATCH(Table2[[#Headers],[Wall Angle Thickness]],Table2[#Headers],0),0)</f>
        <v>0</v>
      </c>
      <c r="BV377" s="2">
        <f>VLOOKUP([jobnumber],OvalData[],MATCH(Table2[[#Headers],[windlocks]],Table2[#Headers],0),0)</f>
        <v>0</v>
      </c>
      <c r="BW377" s="2" t="str">
        <f>VLOOKUP([jobnumber],OvalData[],MATCH(Table2[[#Headers],[bottombartype]],Table2[#Headers],0),0)</f>
        <v>SPECIAL</v>
      </c>
      <c r="BX377" s="2">
        <f>VLOOKUP([jobnumber],OvalData[],MATCH(Table2[[#Headers],[endlockweight]],Table2[#Headers],0),0)</f>
        <v>0.17</v>
      </c>
      <c r="BY377" s="2">
        <f>VLOOKUP([jobnumber],OvalData[],MATCH(Table2[[#Headers],[Endlock Total Weight]],Table2[#Headers],0),0)</f>
        <v>7.5972999999999997</v>
      </c>
      <c r="BZ377" s="2">
        <f>VLOOKUP([jobnumber],OvalData[],MATCH(Table2[[#Headers],[Grille Weight]],Table2[#Headers],0),0)</f>
        <v>0</v>
      </c>
      <c r="CA377" s="2">
        <f>VLOOKUP([jobnumber],OvalData[],MATCH(Table2[[#Headers],[barrelrings]],Table2[#Headers],0),0)</f>
        <v>1</v>
      </c>
    </row>
    <row r="378" spans="2:79">
      <c r="B378" s="2" t="str">
        <f>VLOOKUP([jobnumber],OvalData[],MATCH(Table2[[#Headers],[Hand]],Table2[#Headers],0),0)</f>
        <v>RH</v>
      </c>
      <c r="C378" s="2" t="str">
        <f>VLOOKUP([jobnumber],OvalData[],MATCH(Table2[[#Headers],[Model]],Table2[#Headers],0),0)</f>
        <v>SFMPP</v>
      </c>
      <c r="D378" s="2" t="str">
        <f>VLOOKUP([jobnumber],OvalData[],MATCH(Table2[[#Headers],[width]],Table2[#Headers],0),0)</f>
        <v xml:space="preserve"> 18 ft.- 2"</v>
      </c>
      <c r="E378" s="2" t="str">
        <f>VLOOKUP([jobnumber],OvalData[],MATCH(Table2[[#Headers],[stopheight]],Table2[#Headers],0),0)</f>
        <v xml:space="preserve"> 10 ft.- 0"</v>
      </c>
      <c r="F378" s="2" t="str">
        <f>VLOOKUP([jobnumber],OvalData[],MATCH(Table2[[#Headers],[Between Brackets]],Table2[#Headers],0),0)</f>
        <v xml:space="preserve"> 18 ft.- 7 7/ 8"</v>
      </c>
      <c r="G378" s="2" t="str">
        <f>VLOOKUP([jobnumber],OvalData[],MATCH(Table2[[#Headers],[shell]],Table2[#Headers],0),0)</f>
        <v>6 INCH TUBE</v>
      </c>
      <c r="H378" s="2" t="str">
        <f>VLOOKUP([jobnumber],OvalData[],MATCH(Table2[[#Headers],[pipewidth]],Table2[#Headers],0),0)</f>
        <v xml:space="preserve"> 18 ft.- 1 3/ 8"</v>
      </c>
      <c r="I378" s="2">
        <f>VLOOKUP([jobnumber],OvalData[],MATCH(Table2[[#Headers],[Support Tubes]],Table2[#Headers],0),0)</f>
        <v>0</v>
      </c>
      <c r="J378" s="2">
        <f>VLOOKUP([jobnumber],OvalData[],MATCH(Table2[[#Headers],[Upset]],Table2[#Headers],0),0)</f>
        <v>2</v>
      </c>
      <c r="K378" s="2" t="str">
        <f>VLOOKUP([jobnumber],OvalData[],MATCH(Table2[[#Headers],[Guide Type]],Table2[#Headers],0),0)</f>
        <v>SN2-4 5/8-E</v>
      </c>
      <c r="L378" s="2" t="str">
        <f>VLOOKUP([jobnumber],OvalData[],MATCH(Table2[[#Headers],[Wall Angle]],Table2[#Headers],0),0)</f>
        <v xml:space="preserve"> 11 ft.- 8"</v>
      </c>
      <c r="M378" s="2" t="str">
        <f>VLOOKUP([jobnumber],OvalData[],MATCH(Table2[[#Headers],[Middle Angle]],Table2[#Headers],0),0)</f>
        <v xml:space="preserve"> 10 ft.- 4 1/ 2"</v>
      </c>
      <c r="N378" s="2" t="str">
        <f>VLOOKUP([jobnumber],OvalData[],MATCH(Table2[[#Headers],[Front Angle]],Table2[#Headers],0),0)</f>
        <v xml:space="preserve"> 10 ft.- 3"</v>
      </c>
      <c r="O378" s="2">
        <f>VLOOKUP([jobnumber],OvalData[],MATCH(Table2[[#Headers],[Pipe Center Line]],Table2[#Headers],0),0)</f>
        <v>131</v>
      </c>
      <c r="P378" s="2">
        <f>VLOOKUP([jobnumber],OvalData[],MATCH(Table2[[#Headers],[Heat Expansion Gap]],Table2[#Headers],0),0)</f>
        <v>0</v>
      </c>
      <c r="Q378" s="2">
        <f>VLOOKUP([jobnumber],OvalData[],MATCH(Table2[[#Headers],[Hanging Weight Closed]],Table2[#Headers],0),0)</f>
        <v>795</v>
      </c>
      <c r="R378" s="2">
        <f>VLOOKUP([jobnumber],OvalData[],MATCH(Table2[[#Headers],[Hanging Weight Open]],Table2[#Headers],0),0)</f>
        <v>140</v>
      </c>
      <c r="S378" s="2">
        <f>VLOOKUP([jobnumber],OvalData[],MATCH(Table2[[#Headers],[Initial Lever Arm]],Table2[#Headers],0),0)</f>
        <v>4.25</v>
      </c>
      <c r="T378" s="2">
        <f>VLOOKUP([jobnumber],OvalData[],MATCH(Table2[[#Headers],[Turns to Raise]],Table2[#Headers],0),0)</f>
        <v>3.5859999999999999</v>
      </c>
      <c r="U378" s="2">
        <f>VLOOKUP([jobnumber],OvalData[],MATCH(Table2[[#Headers],[Final Lever Arm]],Table2[#Headers],0),0)</f>
        <v>6.37</v>
      </c>
      <c r="V378" s="2">
        <f>VLOOKUP([jobnumber],OvalData[],MATCH(Table2[[#Headers],[Torque Required Closed]],Table2[#Headers],0),0)</f>
        <v>3377.9</v>
      </c>
      <c r="W378" s="2">
        <f>VLOOKUP([jobnumber],OvalData[],MATCH(Table2[[#Headers],[Torque Required Open]],Table2[#Headers],0),0)</f>
        <v>892</v>
      </c>
      <c r="X378" s="2">
        <f>VLOOKUP([jobnumber],OvalData[],MATCH(Table2[[#Headers],[Pre Turns]],Table2[#Headers],0),0)</f>
        <v>1.3332999999999999</v>
      </c>
      <c r="Y378" s="2">
        <f>VLOOKUP([jobnumber],OvalData[],MATCH(Table2[[#Headers],[Required Torque Per Turn]],Table2[#Headers],0),0)</f>
        <v>688</v>
      </c>
      <c r="Z378" s="2">
        <f>VLOOKUP([jobnumber],OvalData[],MATCH(Table2[[#Headers],[Total Turns]],Table2[#Headers],0),0)</f>
        <v>4.91</v>
      </c>
      <c r="AA378" s="2">
        <f>VLOOKUP([jobnumber],OvalData[],MATCH(Table2[[#Headers],[Grille Vision Section]],Table2[#Headers],0),0)</f>
        <v>0</v>
      </c>
      <c r="AB378" s="2">
        <f>VLOOKUP([jobnumber],OvalData[],MATCH(Table2[[#Headers],[Grille Amount]],Table2[#Headers],0),0)</f>
        <v>0</v>
      </c>
      <c r="AC378" s="2">
        <f>VLOOKUP([jobnumber],OvalData[],MATCH(Table2[[#Headers],[Grille Center]],Table2[#Headers],0),0)</f>
        <v>0</v>
      </c>
      <c r="AD378" s="2">
        <f>VLOOKUP([jobnumber],OvalData[],MATCH(Table2[[#Headers],[Grille Pattern]],Table2[#Headers],0),0)</f>
        <v>0</v>
      </c>
      <c r="AE378" s="2">
        <f>VLOOKUP([jobnumber],OvalData[],MATCH(Table2[[#Headers],[Grille First Tube]],Table2[#Headers],0),0)</f>
        <v>0</v>
      </c>
      <c r="AF378" s="2">
        <f>VLOOKUP([jobnumber],OvalData[],MATCH(Table2[[#Headers],[Grille Standard Tube]],Table2[#Headers],0),0)</f>
        <v>0</v>
      </c>
      <c r="AG378" s="2">
        <f>VLOOKUP([jobnumber],OvalData[],MATCH(Table2[[#Headers],[Grille Total Links]],Table2[#Headers],0),0)</f>
        <v>0</v>
      </c>
      <c r="AH378" s="2">
        <f>VLOOKUP([jobnumber],OvalData[],MATCH(Table2[[#Headers],[Grille Rods]],Table2[#Headers],0),0)</f>
        <v>0</v>
      </c>
      <c r="AI378" s="2">
        <f>VLOOKUP([jobnumber],OvalData[],MATCH(Table2[[#Headers],[Grille Rod Length]],Table2[#Headers],0),0)</f>
        <v>0</v>
      </c>
      <c r="AJ378" s="2">
        <f>VLOOKUP([jobnumber],OvalData[],MATCH(Table2[[#Headers],[slattype]],Table2[#Headers],0),0)</f>
        <v>2</v>
      </c>
      <c r="AK378" s="2">
        <f>VLOOKUP([jobnumber],OvalData[],MATCH(Table2[[#Headers],[slatgage]],Table2[#Headers],0),0)</f>
        <v>18</v>
      </c>
      <c r="AL378" s="2">
        <f>VLOOKUP([jobnumber],OvalData[],MATCH(Table2[[#Headers],[Numer of Top Slats]],Table2[#Headers],0),0)</f>
        <v>0</v>
      </c>
      <c r="AM378" s="2">
        <f>VLOOKUP([jobnumber],OvalData[],MATCH(Table2[[#Headers],[Number of Bottom Slats]],Table2[#Headers],0),0)</f>
        <v>0</v>
      </c>
      <c r="AN378" s="2">
        <f>VLOOKUP([jobnumber],OvalData[],MATCH(Table2[[#Headers],[Solid Bottom Height]],Table2[#Headers],0),0)</f>
        <v>0</v>
      </c>
      <c r="AO378" s="2" t="str">
        <f>VLOOKUP([jobnumber],OvalData[],MATCH(Table2[[#Headers],[slatlength]],Table2[#Headers],0),0)</f>
        <v xml:space="preserve"> 18 ft.- 5 7/ 8"</v>
      </c>
      <c r="AP378" s="2">
        <f>VLOOKUP([jobnumber],OvalData[],MATCH(Table2[[#Headers],[Bottom Slat Length]],Table2[#Headers],0),0)</f>
        <v>0</v>
      </c>
      <c r="AQ378" s="2">
        <f>VLOOKUP([jobnumber],OvalData[],MATCH(Table2[[#Headers],[Number of Perferated Slats]],Table2[#Headers],0),0)</f>
        <v>0</v>
      </c>
      <c r="AR378" s="2">
        <f>VLOOKUP([jobnumber],OvalData[],MATCH(Table2[[#Headers],[First Preferated Slat From End]],Table2[#Headers],0),0)</f>
        <v>0</v>
      </c>
      <c r="AS378" s="2">
        <f>VLOOKUP([jobnumber],OvalData[],MATCH(Table2[[#Headers],[First Preferated Slat From Bottom]],Table2[#Headers],0),0)</f>
        <v>0</v>
      </c>
      <c r="AT378" s="2">
        <f>VLOOKUP([jobnumber],OvalData[],MATCH(Table2[[#Headers],[Total Number of Slats]],Table2[#Headers],0),0)</f>
        <v>51</v>
      </c>
      <c r="AU378" s="2">
        <f>VLOOKUP([jobnumber],OvalData[],MATCH(Table2[[#Headers],[Bottom Bar Slope]],Table2[#Headers],0),0)</f>
        <v>0</v>
      </c>
      <c r="AV378" s="2">
        <f>VLOOKUP([jobnumber],OvalData[],MATCH(Table2[[#Headers],[Bottom Bar Weight]],Table2[#Headers],0),0)</f>
        <v>80.5</v>
      </c>
      <c r="AW378" s="2" t="str">
        <f>VLOOKUP([jobnumber],OvalData[],MATCH(Table2[[#Headers],[Outer Spring Gage]],Table2[#Headers],0),0)</f>
        <v>Null</v>
      </c>
      <c r="AX378" s="2" t="str">
        <f>VLOOKUP([jobnumber],OvalData[],MATCH(Table2[[#Headers],[Outer Spring OD]],Table2[#Headers],0),0)</f>
        <v>Null</v>
      </c>
      <c r="AY378" s="2" t="str">
        <f>VLOOKUP([jobnumber],OvalData[],MATCH(Table2[[#Headers],[Outer Spring Length]],Table2[#Headers],0),0)</f>
        <v>Null</v>
      </c>
      <c r="AZ378" s="2" t="str">
        <f>VLOOKUP([jobnumber],OvalData[],MATCH(Table2[[#Headers],[Outer Spring Stretch]],Table2[#Headers],0),0)</f>
        <v>Null</v>
      </c>
      <c r="BA378" s="2" t="str">
        <f>VLOOKUP([jobnumber],OvalData[],MATCH(Table2[[#Headers],[Outer Spring Torque]],Table2[#Headers],0),0)</f>
        <v>Null</v>
      </c>
      <c r="BB378" s="2" t="str">
        <f>VLOOKUP([jobnumber],OvalData[],MATCH(Table2[[#Headers],[Outer Spring Max Turns]],Table2[#Headers],0),0)</f>
        <v>Null</v>
      </c>
      <c r="BC378" s="2" t="str">
        <f>VLOOKUP([jobnumber],OvalData[],MATCH(Table2[[#Headers],[Outer Spring Weight]],Table2[#Headers],0),0)</f>
        <v>Null</v>
      </c>
      <c r="BD378" s="2" t="str">
        <f>VLOOKUP([jobnumber],OvalData[],MATCH(Table2[[#Headers],[Inner Spring Gage]],Table2[#Headers],0),0)</f>
        <v>Null</v>
      </c>
      <c r="BE378" s="2" t="str">
        <f>VLOOKUP([jobnumber],OvalData[],MATCH(Table2[[#Headers],[Inner Spring OD]],Table2[#Headers],0),0)</f>
        <v>Null</v>
      </c>
      <c r="BF378" s="2" t="str">
        <f>VLOOKUP([jobnumber],OvalData[],MATCH(Table2[[#Headers],[Inner Spring Length]],Table2[#Headers],0),0)</f>
        <v>Null</v>
      </c>
      <c r="BG378" s="2" t="str">
        <f>VLOOKUP([jobnumber],OvalData[],MATCH(Table2[[#Headers],[Inner Spring Stretch]],Table2[#Headers],0),0)</f>
        <v>Null</v>
      </c>
      <c r="BH378" s="2" t="str">
        <f>VLOOKUP([jobnumber],OvalData[],MATCH(Table2[[#Headers],[Inner Spring Torque]],Table2[#Headers],0),0)</f>
        <v>Null</v>
      </c>
      <c r="BI378" s="2" t="str">
        <f>VLOOKUP([jobnumber],OvalData[],MATCH(Table2[[#Headers],[Inner Spring Max Turns]],Table2[#Headers],0),0)</f>
        <v>Null</v>
      </c>
      <c r="BJ378" s="2" t="str">
        <f>VLOOKUP([jobnumber],OvalData[],MATCH(Table2[[#Headers],[Inner Spring Weight]],Table2[#Headers],0),0)</f>
        <v>Null</v>
      </c>
      <c r="BK378" s="2">
        <f>VLOOKUP([jobnumber],OvalData[],MATCH(Table2[[#Headers],[Cycles]],Table2[#Headers],0),0)</f>
        <v>0</v>
      </c>
      <c r="BL378" s="2">
        <f>VLOOKUP([jobnumber],OvalData[],MATCH(Table2[[#Headers],[Total Spring Torque]],Table2[#Headers],0),0)</f>
        <v>0</v>
      </c>
      <c r="BM378" s="2">
        <f>VLOOKUP([jobnumber],OvalData[],MATCH(Table2[[#Headers],[Total Spring Weight]],Table2[#Headers],0),0)</f>
        <v>0</v>
      </c>
      <c r="BN378" s="2">
        <f>VLOOKUP([jobnumber],OvalData[],MATCH(Table2[[#Headers],[Pipe Weight]],Table2[#Headers],0),0)</f>
        <v>688.24239999999998</v>
      </c>
      <c r="BO378" s="2">
        <f>VLOOKUP([jobnumber],OvalData[],MATCH(Table2[[#Headers],[Max Pipe Deflection]],Table2[#Headers],0),0)</f>
        <v>2309</v>
      </c>
      <c r="BP378" s="2">
        <f>VLOOKUP([jobnumber],OvalData[],MATCH(Table2[[#Headers],[Number Non-Insulated Wrap Slats]],Table2[#Headers],0),0)</f>
        <v>0</v>
      </c>
      <c r="BQ378" s="2">
        <f>VLOOKUP([jobnumber],OvalData[],MATCH(Table2[[#Headers],[Number of Insolated Top Slats]],Table2[#Headers],0),0)</f>
        <v>45</v>
      </c>
      <c r="BR378" s="2">
        <f>VLOOKUP([jobnumber],OvalData[],MATCH(Table2[[#Headers],[Insolated Total Slats]],Table2[#Headers],0),0)</f>
        <v>45</v>
      </c>
      <c r="BS378" s="2">
        <f>VLOOKUP([jobnumber],OvalData[],MATCH(Table2[[#Headers],[Number of Slats]],Table2[#Headers],0),0)</f>
        <v>44.69</v>
      </c>
      <c r="BT378" s="2">
        <f>VLOOKUP([jobnumber],OvalData[],MATCH(Table2[[#Headers],[Wrap]],Table2[#Headers],0),0)</f>
        <v>0</v>
      </c>
      <c r="BU378" s="2">
        <f>VLOOKUP([jobnumber],OvalData[],MATCH(Table2[[#Headers],[Wall Angle Thickness]],Table2[#Headers],0),0)</f>
        <v>0</v>
      </c>
      <c r="BV378" s="2">
        <f>VLOOKUP([jobnumber],OvalData[],MATCH(Table2[[#Headers],[windlocks]],Table2[#Headers],0),0)</f>
        <v>0</v>
      </c>
      <c r="BW378" s="2" t="str">
        <f>VLOOKUP([jobnumber],OvalData[],MATCH(Table2[[#Headers],[bottombartype]],Table2[#Headers],0),0)</f>
        <v>SPECIAL</v>
      </c>
      <c r="BX378" s="2">
        <f>VLOOKUP([jobnumber],OvalData[],MATCH(Table2[[#Headers],[endlockweight]],Table2[#Headers],0),0)</f>
        <v>0.17</v>
      </c>
      <c r="BY378" s="2">
        <f>VLOOKUP([jobnumber],OvalData[],MATCH(Table2[[#Headers],[Endlock Total Weight]],Table2[#Headers],0),0)</f>
        <v>7.5972999999999997</v>
      </c>
      <c r="BZ378" s="2">
        <f>VLOOKUP([jobnumber],OvalData[],MATCH(Table2[[#Headers],[Grille Weight]],Table2[#Headers],0),0)</f>
        <v>0</v>
      </c>
      <c r="CA378" s="2">
        <f>VLOOKUP([jobnumber],OvalData[],MATCH(Table2[[#Headers],[barrelrings]],Table2[#Headers],0),0)</f>
        <v>1</v>
      </c>
    </row>
    <row r="379" spans="2:79">
      <c r="B379" s="2" t="str">
        <f>VLOOKUP([jobnumber],OvalData[],MATCH(Table2[[#Headers],[Hand]],Table2[#Headers],0),0)</f>
        <v>RH</v>
      </c>
      <c r="C379" s="2" t="str">
        <f>VLOOKUP([jobnumber],OvalData[],MATCH(Table2[[#Headers],[Model]],Table2[#Headers],0),0)</f>
        <v>SFMPP</v>
      </c>
      <c r="D379" s="2" t="str">
        <f>VLOOKUP([jobnumber],OvalData[],MATCH(Table2[[#Headers],[width]],Table2[#Headers],0),0)</f>
        <v xml:space="preserve"> 18 ft.- 2"</v>
      </c>
      <c r="E379" s="2" t="str">
        <f>VLOOKUP([jobnumber],OvalData[],MATCH(Table2[[#Headers],[stopheight]],Table2[#Headers],0),0)</f>
        <v xml:space="preserve"> 10 ft.- 0"</v>
      </c>
      <c r="F379" s="2" t="str">
        <f>VLOOKUP([jobnumber],OvalData[],MATCH(Table2[[#Headers],[Between Brackets]],Table2[#Headers],0),0)</f>
        <v xml:space="preserve"> 18 ft.- 7 7/ 8"</v>
      </c>
      <c r="G379" s="2" t="str">
        <f>VLOOKUP([jobnumber],OvalData[],MATCH(Table2[[#Headers],[shell]],Table2[#Headers],0),0)</f>
        <v>6 INCH TUBE</v>
      </c>
      <c r="H379" s="2" t="str">
        <f>VLOOKUP([jobnumber],OvalData[],MATCH(Table2[[#Headers],[pipewidth]],Table2[#Headers],0),0)</f>
        <v xml:space="preserve"> 18 ft.- 1 3/ 8"</v>
      </c>
      <c r="I379" s="2">
        <f>VLOOKUP([jobnumber],OvalData[],MATCH(Table2[[#Headers],[Support Tubes]],Table2[#Headers],0),0)</f>
        <v>0</v>
      </c>
      <c r="J379" s="2">
        <f>VLOOKUP([jobnumber],OvalData[],MATCH(Table2[[#Headers],[Upset]],Table2[#Headers],0),0)</f>
        <v>2</v>
      </c>
      <c r="K379" s="2" t="str">
        <f>VLOOKUP([jobnumber],OvalData[],MATCH(Table2[[#Headers],[Guide Type]],Table2[#Headers],0),0)</f>
        <v>SN2-4 5/8-E</v>
      </c>
      <c r="L379" s="2" t="str">
        <f>VLOOKUP([jobnumber],OvalData[],MATCH(Table2[[#Headers],[Wall Angle]],Table2[#Headers],0),0)</f>
        <v xml:space="preserve"> 11 ft.- 8"</v>
      </c>
      <c r="M379" s="2" t="str">
        <f>VLOOKUP([jobnumber],OvalData[],MATCH(Table2[[#Headers],[Middle Angle]],Table2[#Headers],0),0)</f>
        <v xml:space="preserve"> 10 ft.- 4 1/ 2"</v>
      </c>
      <c r="N379" s="2" t="str">
        <f>VLOOKUP([jobnumber],OvalData[],MATCH(Table2[[#Headers],[Front Angle]],Table2[#Headers],0),0)</f>
        <v xml:space="preserve"> 10 ft.- 3"</v>
      </c>
      <c r="O379" s="2">
        <f>VLOOKUP([jobnumber],OvalData[],MATCH(Table2[[#Headers],[Pipe Center Line]],Table2[#Headers],0),0)</f>
        <v>131</v>
      </c>
      <c r="P379" s="2">
        <f>VLOOKUP([jobnumber],OvalData[],MATCH(Table2[[#Headers],[Heat Expansion Gap]],Table2[#Headers],0),0)</f>
        <v>0</v>
      </c>
      <c r="Q379" s="2">
        <f>VLOOKUP([jobnumber],OvalData[],MATCH(Table2[[#Headers],[Hanging Weight Closed]],Table2[#Headers],0),0)</f>
        <v>795</v>
      </c>
      <c r="R379" s="2">
        <f>VLOOKUP([jobnumber],OvalData[],MATCH(Table2[[#Headers],[Hanging Weight Open]],Table2[#Headers],0),0)</f>
        <v>140</v>
      </c>
      <c r="S379" s="2">
        <f>VLOOKUP([jobnumber],OvalData[],MATCH(Table2[[#Headers],[Initial Lever Arm]],Table2[#Headers],0),0)</f>
        <v>4.25</v>
      </c>
      <c r="T379" s="2">
        <f>VLOOKUP([jobnumber],OvalData[],MATCH(Table2[[#Headers],[Turns to Raise]],Table2[#Headers],0),0)</f>
        <v>3.5859999999999999</v>
      </c>
      <c r="U379" s="2">
        <f>VLOOKUP([jobnumber],OvalData[],MATCH(Table2[[#Headers],[Final Lever Arm]],Table2[#Headers],0),0)</f>
        <v>6.37</v>
      </c>
      <c r="V379" s="2">
        <f>VLOOKUP([jobnumber],OvalData[],MATCH(Table2[[#Headers],[Torque Required Closed]],Table2[#Headers],0),0)</f>
        <v>3377.9</v>
      </c>
      <c r="W379" s="2">
        <f>VLOOKUP([jobnumber],OvalData[],MATCH(Table2[[#Headers],[Torque Required Open]],Table2[#Headers],0),0)</f>
        <v>892</v>
      </c>
      <c r="X379" s="2">
        <f>VLOOKUP([jobnumber],OvalData[],MATCH(Table2[[#Headers],[Pre Turns]],Table2[#Headers],0),0)</f>
        <v>1.3332999999999999</v>
      </c>
      <c r="Y379" s="2">
        <f>VLOOKUP([jobnumber],OvalData[],MATCH(Table2[[#Headers],[Required Torque Per Turn]],Table2[#Headers],0),0)</f>
        <v>688</v>
      </c>
      <c r="Z379" s="2">
        <f>VLOOKUP([jobnumber],OvalData[],MATCH(Table2[[#Headers],[Total Turns]],Table2[#Headers],0),0)</f>
        <v>4.91</v>
      </c>
      <c r="AA379" s="2">
        <f>VLOOKUP([jobnumber],OvalData[],MATCH(Table2[[#Headers],[Grille Vision Section]],Table2[#Headers],0),0)</f>
        <v>0</v>
      </c>
      <c r="AB379" s="2">
        <f>VLOOKUP([jobnumber],OvalData[],MATCH(Table2[[#Headers],[Grille Amount]],Table2[#Headers],0),0)</f>
        <v>0</v>
      </c>
      <c r="AC379" s="2">
        <f>VLOOKUP([jobnumber],OvalData[],MATCH(Table2[[#Headers],[Grille Center]],Table2[#Headers],0),0)</f>
        <v>0</v>
      </c>
      <c r="AD379" s="2">
        <f>VLOOKUP([jobnumber],OvalData[],MATCH(Table2[[#Headers],[Grille Pattern]],Table2[#Headers],0),0)</f>
        <v>0</v>
      </c>
      <c r="AE379" s="2">
        <f>VLOOKUP([jobnumber],OvalData[],MATCH(Table2[[#Headers],[Grille First Tube]],Table2[#Headers],0),0)</f>
        <v>0</v>
      </c>
      <c r="AF379" s="2">
        <f>VLOOKUP([jobnumber],OvalData[],MATCH(Table2[[#Headers],[Grille Standard Tube]],Table2[#Headers],0),0)</f>
        <v>0</v>
      </c>
      <c r="AG379" s="2">
        <f>VLOOKUP([jobnumber],OvalData[],MATCH(Table2[[#Headers],[Grille Total Links]],Table2[#Headers],0),0)</f>
        <v>0</v>
      </c>
      <c r="AH379" s="2">
        <f>VLOOKUP([jobnumber],OvalData[],MATCH(Table2[[#Headers],[Grille Rods]],Table2[#Headers],0),0)</f>
        <v>0</v>
      </c>
      <c r="AI379" s="2">
        <f>VLOOKUP([jobnumber],OvalData[],MATCH(Table2[[#Headers],[Grille Rod Length]],Table2[#Headers],0),0)</f>
        <v>0</v>
      </c>
      <c r="AJ379" s="2">
        <f>VLOOKUP([jobnumber],OvalData[],MATCH(Table2[[#Headers],[slattype]],Table2[#Headers],0),0)</f>
        <v>2</v>
      </c>
      <c r="AK379" s="2">
        <f>VLOOKUP([jobnumber],OvalData[],MATCH(Table2[[#Headers],[slatgage]],Table2[#Headers],0),0)</f>
        <v>18</v>
      </c>
      <c r="AL379" s="2">
        <f>VLOOKUP([jobnumber],OvalData[],MATCH(Table2[[#Headers],[Numer of Top Slats]],Table2[#Headers],0),0)</f>
        <v>0</v>
      </c>
      <c r="AM379" s="2">
        <f>VLOOKUP([jobnumber],OvalData[],MATCH(Table2[[#Headers],[Number of Bottom Slats]],Table2[#Headers],0),0)</f>
        <v>0</v>
      </c>
      <c r="AN379" s="2">
        <f>VLOOKUP([jobnumber],OvalData[],MATCH(Table2[[#Headers],[Solid Bottom Height]],Table2[#Headers],0),0)</f>
        <v>0</v>
      </c>
      <c r="AO379" s="2" t="str">
        <f>VLOOKUP([jobnumber],OvalData[],MATCH(Table2[[#Headers],[slatlength]],Table2[#Headers],0),0)</f>
        <v xml:space="preserve"> 18 ft.- 5 7/ 8"</v>
      </c>
      <c r="AP379" s="2">
        <f>VLOOKUP([jobnumber],OvalData[],MATCH(Table2[[#Headers],[Bottom Slat Length]],Table2[#Headers],0),0)</f>
        <v>0</v>
      </c>
      <c r="AQ379" s="2">
        <f>VLOOKUP([jobnumber],OvalData[],MATCH(Table2[[#Headers],[Number of Perferated Slats]],Table2[#Headers],0),0)</f>
        <v>0</v>
      </c>
      <c r="AR379" s="2">
        <f>VLOOKUP([jobnumber],OvalData[],MATCH(Table2[[#Headers],[First Preferated Slat From End]],Table2[#Headers],0),0)</f>
        <v>0</v>
      </c>
      <c r="AS379" s="2">
        <f>VLOOKUP([jobnumber],OvalData[],MATCH(Table2[[#Headers],[First Preferated Slat From Bottom]],Table2[#Headers],0),0)</f>
        <v>0</v>
      </c>
      <c r="AT379" s="2">
        <f>VLOOKUP([jobnumber],OvalData[],MATCH(Table2[[#Headers],[Total Number of Slats]],Table2[#Headers],0),0)</f>
        <v>51</v>
      </c>
      <c r="AU379" s="2">
        <f>VLOOKUP([jobnumber],OvalData[],MATCH(Table2[[#Headers],[Bottom Bar Slope]],Table2[#Headers],0),0)</f>
        <v>0</v>
      </c>
      <c r="AV379" s="2">
        <f>VLOOKUP([jobnumber],OvalData[],MATCH(Table2[[#Headers],[Bottom Bar Weight]],Table2[#Headers],0),0)</f>
        <v>80.5</v>
      </c>
      <c r="AW379" s="2" t="str">
        <f>VLOOKUP([jobnumber],OvalData[],MATCH(Table2[[#Headers],[Outer Spring Gage]],Table2[#Headers],0),0)</f>
        <v>Null</v>
      </c>
      <c r="AX379" s="2" t="str">
        <f>VLOOKUP([jobnumber],OvalData[],MATCH(Table2[[#Headers],[Outer Spring OD]],Table2[#Headers],0),0)</f>
        <v>Null</v>
      </c>
      <c r="AY379" s="2" t="str">
        <f>VLOOKUP([jobnumber],OvalData[],MATCH(Table2[[#Headers],[Outer Spring Length]],Table2[#Headers],0),0)</f>
        <v>Null</v>
      </c>
      <c r="AZ379" s="2" t="str">
        <f>VLOOKUP([jobnumber],OvalData[],MATCH(Table2[[#Headers],[Outer Spring Stretch]],Table2[#Headers],0),0)</f>
        <v>Null</v>
      </c>
      <c r="BA379" s="2" t="str">
        <f>VLOOKUP([jobnumber],OvalData[],MATCH(Table2[[#Headers],[Outer Spring Torque]],Table2[#Headers],0),0)</f>
        <v>Null</v>
      </c>
      <c r="BB379" s="2" t="str">
        <f>VLOOKUP([jobnumber],OvalData[],MATCH(Table2[[#Headers],[Outer Spring Max Turns]],Table2[#Headers],0),0)</f>
        <v>Null</v>
      </c>
      <c r="BC379" s="2" t="str">
        <f>VLOOKUP([jobnumber],OvalData[],MATCH(Table2[[#Headers],[Outer Spring Weight]],Table2[#Headers],0),0)</f>
        <v>Null</v>
      </c>
      <c r="BD379" s="2" t="str">
        <f>VLOOKUP([jobnumber],OvalData[],MATCH(Table2[[#Headers],[Inner Spring Gage]],Table2[#Headers],0),0)</f>
        <v>Null</v>
      </c>
      <c r="BE379" s="2" t="str">
        <f>VLOOKUP([jobnumber],OvalData[],MATCH(Table2[[#Headers],[Inner Spring OD]],Table2[#Headers],0),0)</f>
        <v>Null</v>
      </c>
      <c r="BF379" s="2" t="str">
        <f>VLOOKUP([jobnumber],OvalData[],MATCH(Table2[[#Headers],[Inner Spring Length]],Table2[#Headers],0),0)</f>
        <v>Null</v>
      </c>
      <c r="BG379" s="2" t="str">
        <f>VLOOKUP([jobnumber],OvalData[],MATCH(Table2[[#Headers],[Inner Spring Stretch]],Table2[#Headers],0),0)</f>
        <v>Null</v>
      </c>
      <c r="BH379" s="2" t="str">
        <f>VLOOKUP([jobnumber],OvalData[],MATCH(Table2[[#Headers],[Inner Spring Torque]],Table2[#Headers],0),0)</f>
        <v>Null</v>
      </c>
      <c r="BI379" s="2" t="str">
        <f>VLOOKUP([jobnumber],OvalData[],MATCH(Table2[[#Headers],[Inner Spring Max Turns]],Table2[#Headers],0),0)</f>
        <v>Null</v>
      </c>
      <c r="BJ379" s="2" t="str">
        <f>VLOOKUP([jobnumber],OvalData[],MATCH(Table2[[#Headers],[Inner Spring Weight]],Table2[#Headers],0),0)</f>
        <v>Null</v>
      </c>
      <c r="BK379" s="2">
        <f>VLOOKUP([jobnumber],OvalData[],MATCH(Table2[[#Headers],[Cycles]],Table2[#Headers],0),0)</f>
        <v>0</v>
      </c>
      <c r="BL379" s="2">
        <f>VLOOKUP([jobnumber],OvalData[],MATCH(Table2[[#Headers],[Total Spring Torque]],Table2[#Headers],0),0)</f>
        <v>0</v>
      </c>
      <c r="BM379" s="2">
        <f>VLOOKUP([jobnumber],OvalData[],MATCH(Table2[[#Headers],[Total Spring Weight]],Table2[#Headers],0),0)</f>
        <v>0</v>
      </c>
      <c r="BN379" s="2">
        <f>VLOOKUP([jobnumber],OvalData[],MATCH(Table2[[#Headers],[Pipe Weight]],Table2[#Headers],0),0)</f>
        <v>688.24239999999998</v>
      </c>
      <c r="BO379" s="2">
        <f>VLOOKUP([jobnumber],OvalData[],MATCH(Table2[[#Headers],[Max Pipe Deflection]],Table2[#Headers],0),0)</f>
        <v>2309</v>
      </c>
      <c r="BP379" s="2">
        <f>VLOOKUP([jobnumber],OvalData[],MATCH(Table2[[#Headers],[Number Non-Insulated Wrap Slats]],Table2[#Headers],0),0)</f>
        <v>0</v>
      </c>
      <c r="BQ379" s="2">
        <f>VLOOKUP([jobnumber],OvalData[],MATCH(Table2[[#Headers],[Number of Insolated Top Slats]],Table2[#Headers],0),0)</f>
        <v>45</v>
      </c>
      <c r="BR379" s="2">
        <f>VLOOKUP([jobnumber],OvalData[],MATCH(Table2[[#Headers],[Insolated Total Slats]],Table2[#Headers],0),0)</f>
        <v>45</v>
      </c>
      <c r="BS379" s="2">
        <f>VLOOKUP([jobnumber],OvalData[],MATCH(Table2[[#Headers],[Number of Slats]],Table2[#Headers],0),0)</f>
        <v>44.69</v>
      </c>
      <c r="BT379" s="2">
        <f>VLOOKUP([jobnumber],OvalData[],MATCH(Table2[[#Headers],[Wrap]],Table2[#Headers],0),0)</f>
        <v>0</v>
      </c>
      <c r="BU379" s="2">
        <f>VLOOKUP([jobnumber],OvalData[],MATCH(Table2[[#Headers],[Wall Angle Thickness]],Table2[#Headers],0),0)</f>
        <v>0</v>
      </c>
      <c r="BV379" s="2">
        <f>VLOOKUP([jobnumber],OvalData[],MATCH(Table2[[#Headers],[windlocks]],Table2[#Headers],0),0)</f>
        <v>0</v>
      </c>
      <c r="BW379" s="2" t="str">
        <f>VLOOKUP([jobnumber],OvalData[],MATCH(Table2[[#Headers],[bottombartype]],Table2[#Headers],0),0)</f>
        <v>SPECIAL</v>
      </c>
      <c r="BX379" s="2">
        <f>VLOOKUP([jobnumber],OvalData[],MATCH(Table2[[#Headers],[endlockweight]],Table2[#Headers],0),0)</f>
        <v>0.17</v>
      </c>
      <c r="BY379" s="2">
        <f>VLOOKUP([jobnumber],OvalData[],MATCH(Table2[[#Headers],[Endlock Total Weight]],Table2[#Headers],0),0)</f>
        <v>7.5972999999999997</v>
      </c>
      <c r="BZ379" s="2">
        <f>VLOOKUP([jobnumber],OvalData[],MATCH(Table2[[#Headers],[Grille Weight]],Table2[#Headers],0),0)</f>
        <v>0</v>
      </c>
      <c r="CA379" s="2">
        <f>VLOOKUP([jobnumber],OvalData[],MATCH(Table2[[#Headers],[barrelrings]],Table2[#Headers],0),0)</f>
        <v>1</v>
      </c>
    </row>
    <row r="380" spans="2:79">
      <c r="B380" s="2" t="str">
        <f>VLOOKUP([jobnumber],OvalData[],MATCH(Table2[[#Headers],[Hand]],Table2[#Headers],0),0)</f>
        <v>RH</v>
      </c>
      <c r="C380" s="2" t="str">
        <f>VLOOKUP([jobnumber],OvalData[],MATCH(Table2[[#Headers],[Model]],Table2[#Headers],0),0)</f>
        <v>SFMPP</v>
      </c>
      <c r="D380" s="2" t="str">
        <f>VLOOKUP([jobnumber],OvalData[],MATCH(Table2[[#Headers],[width]],Table2[#Headers],0),0)</f>
        <v xml:space="preserve"> 18 ft.- 2"</v>
      </c>
      <c r="E380" s="2" t="str">
        <f>VLOOKUP([jobnumber],OvalData[],MATCH(Table2[[#Headers],[stopheight]],Table2[#Headers],0),0)</f>
        <v xml:space="preserve"> 10 ft.- 0"</v>
      </c>
      <c r="F380" s="2" t="str">
        <f>VLOOKUP([jobnumber],OvalData[],MATCH(Table2[[#Headers],[Between Brackets]],Table2[#Headers],0),0)</f>
        <v xml:space="preserve"> 18 ft.- 7 7/ 8"</v>
      </c>
      <c r="G380" s="2" t="str">
        <f>VLOOKUP([jobnumber],OvalData[],MATCH(Table2[[#Headers],[shell]],Table2[#Headers],0),0)</f>
        <v>6 INCH TUBE</v>
      </c>
      <c r="H380" s="2" t="str">
        <f>VLOOKUP([jobnumber],OvalData[],MATCH(Table2[[#Headers],[pipewidth]],Table2[#Headers],0),0)</f>
        <v xml:space="preserve"> 18 ft.- 1 3/ 8"</v>
      </c>
      <c r="I380" s="2">
        <f>VLOOKUP([jobnumber],OvalData[],MATCH(Table2[[#Headers],[Support Tubes]],Table2[#Headers],0),0)</f>
        <v>0</v>
      </c>
      <c r="J380" s="2">
        <f>VLOOKUP([jobnumber],OvalData[],MATCH(Table2[[#Headers],[Upset]],Table2[#Headers],0),0)</f>
        <v>2</v>
      </c>
      <c r="K380" s="2" t="str">
        <f>VLOOKUP([jobnumber],OvalData[],MATCH(Table2[[#Headers],[Guide Type]],Table2[#Headers],0),0)</f>
        <v>SN2-4 5/8-E</v>
      </c>
      <c r="L380" s="2" t="str">
        <f>VLOOKUP([jobnumber],OvalData[],MATCH(Table2[[#Headers],[Wall Angle]],Table2[#Headers],0),0)</f>
        <v xml:space="preserve"> 11 ft.- 8"</v>
      </c>
      <c r="M380" s="2" t="str">
        <f>VLOOKUP([jobnumber],OvalData[],MATCH(Table2[[#Headers],[Middle Angle]],Table2[#Headers],0),0)</f>
        <v xml:space="preserve"> 10 ft.- 4 1/ 2"</v>
      </c>
      <c r="N380" s="2" t="str">
        <f>VLOOKUP([jobnumber],OvalData[],MATCH(Table2[[#Headers],[Front Angle]],Table2[#Headers],0),0)</f>
        <v xml:space="preserve"> 10 ft.- 3"</v>
      </c>
      <c r="O380" s="2">
        <f>VLOOKUP([jobnumber],OvalData[],MATCH(Table2[[#Headers],[Pipe Center Line]],Table2[#Headers],0),0)</f>
        <v>131</v>
      </c>
      <c r="P380" s="2">
        <f>VLOOKUP([jobnumber],OvalData[],MATCH(Table2[[#Headers],[Heat Expansion Gap]],Table2[#Headers],0),0)</f>
        <v>0</v>
      </c>
      <c r="Q380" s="2">
        <f>VLOOKUP([jobnumber],OvalData[],MATCH(Table2[[#Headers],[Hanging Weight Closed]],Table2[#Headers],0),0)</f>
        <v>795</v>
      </c>
      <c r="R380" s="2">
        <f>VLOOKUP([jobnumber],OvalData[],MATCH(Table2[[#Headers],[Hanging Weight Open]],Table2[#Headers],0),0)</f>
        <v>140</v>
      </c>
      <c r="S380" s="2">
        <f>VLOOKUP([jobnumber],OvalData[],MATCH(Table2[[#Headers],[Initial Lever Arm]],Table2[#Headers],0),0)</f>
        <v>4.25</v>
      </c>
      <c r="T380" s="2">
        <f>VLOOKUP([jobnumber],OvalData[],MATCH(Table2[[#Headers],[Turns to Raise]],Table2[#Headers],0),0)</f>
        <v>3.5859999999999999</v>
      </c>
      <c r="U380" s="2">
        <f>VLOOKUP([jobnumber],OvalData[],MATCH(Table2[[#Headers],[Final Lever Arm]],Table2[#Headers],0),0)</f>
        <v>6.37</v>
      </c>
      <c r="V380" s="2">
        <f>VLOOKUP([jobnumber],OvalData[],MATCH(Table2[[#Headers],[Torque Required Closed]],Table2[#Headers],0),0)</f>
        <v>3377.9</v>
      </c>
      <c r="W380" s="2">
        <f>VLOOKUP([jobnumber],OvalData[],MATCH(Table2[[#Headers],[Torque Required Open]],Table2[#Headers],0),0)</f>
        <v>892</v>
      </c>
      <c r="X380" s="2">
        <f>VLOOKUP([jobnumber],OvalData[],MATCH(Table2[[#Headers],[Pre Turns]],Table2[#Headers],0),0)</f>
        <v>1.3332999999999999</v>
      </c>
      <c r="Y380" s="2">
        <f>VLOOKUP([jobnumber],OvalData[],MATCH(Table2[[#Headers],[Required Torque Per Turn]],Table2[#Headers],0),0)</f>
        <v>688</v>
      </c>
      <c r="Z380" s="2">
        <f>VLOOKUP([jobnumber],OvalData[],MATCH(Table2[[#Headers],[Total Turns]],Table2[#Headers],0),0)</f>
        <v>4.91</v>
      </c>
      <c r="AA380" s="2">
        <f>VLOOKUP([jobnumber],OvalData[],MATCH(Table2[[#Headers],[Grille Vision Section]],Table2[#Headers],0),0)</f>
        <v>0</v>
      </c>
      <c r="AB380" s="2">
        <f>VLOOKUP([jobnumber],OvalData[],MATCH(Table2[[#Headers],[Grille Amount]],Table2[#Headers],0),0)</f>
        <v>0</v>
      </c>
      <c r="AC380" s="2">
        <f>VLOOKUP([jobnumber],OvalData[],MATCH(Table2[[#Headers],[Grille Center]],Table2[#Headers],0),0)</f>
        <v>0</v>
      </c>
      <c r="AD380" s="2">
        <f>VLOOKUP([jobnumber],OvalData[],MATCH(Table2[[#Headers],[Grille Pattern]],Table2[#Headers],0),0)</f>
        <v>0</v>
      </c>
      <c r="AE380" s="2">
        <f>VLOOKUP([jobnumber],OvalData[],MATCH(Table2[[#Headers],[Grille First Tube]],Table2[#Headers],0),0)</f>
        <v>0</v>
      </c>
      <c r="AF380" s="2">
        <f>VLOOKUP([jobnumber],OvalData[],MATCH(Table2[[#Headers],[Grille Standard Tube]],Table2[#Headers],0),0)</f>
        <v>0</v>
      </c>
      <c r="AG380" s="2">
        <f>VLOOKUP([jobnumber],OvalData[],MATCH(Table2[[#Headers],[Grille Total Links]],Table2[#Headers],0),0)</f>
        <v>0</v>
      </c>
      <c r="AH380" s="2">
        <f>VLOOKUP([jobnumber],OvalData[],MATCH(Table2[[#Headers],[Grille Rods]],Table2[#Headers],0),0)</f>
        <v>0</v>
      </c>
      <c r="AI380" s="2">
        <f>VLOOKUP([jobnumber],OvalData[],MATCH(Table2[[#Headers],[Grille Rod Length]],Table2[#Headers],0),0)</f>
        <v>0</v>
      </c>
      <c r="AJ380" s="2">
        <f>VLOOKUP([jobnumber],OvalData[],MATCH(Table2[[#Headers],[slattype]],Table2[#Headers],0),0)</f>
        <v>2</v>
      </c>
      <c r="AK380" s="2">
        <f>VLOOKUP([jobnumber],OvalData[],MATCH(Table2[[#Headers],[slatgage]],Table2[#Headers],0),0)</f>
        <v>18</v>
      </c>
      <c r="AL380" s="2">
        <f>VLOOKUP([jobnumber],OvalData[],MATCH(Table2[[#Headers],[Numer of Top Slats]],Table2[#Headers],0),0)</f>
        <v>0</v>
      </c>
      <c r="AM380" s="2">
        <f>VLOOKUP([jobnumber],OvalData[],MATCH(Table2[[#Headers],[Number of Bottom Slats]],Table2[#Headers],0),0)</f>
        <v>0</v>
      </c>
      <c r="AN380" s="2">
        <f>VLOOKUP([jobnumber],OvalData[],MATCH(Table2[[#Headers],[Solid Bottom Height]],Table2[#Headers],0),0)</f>
        <v>0</v>
      </c>
      <c r="AO380" s="2" t="str">
        <f>VLOOKUP([jobnumber],OvalData[],MATCH(Table2[[#Headers],[slatlength]],Table2[#Headers],0),0)</f>
        <v xml:space="preserve"> 18 ft.- 5 7/ 8"</v>
      </c>
      <c r="AP380" s="2">
        <f>VLOOKUP([jobnumber],OvalData[],MATCH(Table2[[#Headers],[Bottom Slat Length]],Table2[#Headers],0),0)</f>
        <v>0</v>
      </c>
      <c r="AQ380" s="2">
        <f>VLOOKUP([jobnumber],OvalData[],MATCH(Table2[[#Headers],[Number of Perferated Slats]],Table2[#Headers],0),0)</f>
        <v>0</v>
      </c>
      <c r="AR380" s="2">
        <f>VLOOKUP([jobnumber],OvalData[],MATCH(Table2[[#Headers],[First Preferated Slat From End]],Table2[#Headers],0),0)</f>
        <v>0</v>
      </c>
      <c r="AS380" s="2">
        <f>VLOOKUP([jobnumber],OvalData[],MATCH(Table2[[#Headers],[First Preferated Slat From Bottom]],Table2[#Headers],0),0)</f>
        <v>0</v>
      </c>
      <c r="AT380" s="2">
        <f>VLOOKUP([jobnumber],OvalData[],MATCH(Table2[[#Headers],[Total Number of Slats]],Table2[#Headers],0),0)</f>
        <v>51</v>
      </c>
      <c r="AU380" s="2">
        <f>VLOOKUP([jobnumber],OvalData[],MATCH(Table2[[#Headers],[Bottom Bar Slope]],Table2[#Headers],0),0)</f>
        <v>0</v>
      </c>
      <c r="AV380" s="2">
        <f>VLOOKUP([jobnumber],OvalData[],MATCH(Table2[[#Headers],[Bottom Bar Weight]],Table2[#Headers],0),0)</f>
        <v>80.5</v>
      </c>
      <c r="AW380" s="2" t="str">
        <f>VLOOKUP([jobnumber],OvalData[],MATCH(Table2[[#Headers],[Outer Spring Gage]],Table2[#Headers],0),0)</f>
        <v>Null</v>
      </c>
      <c r="AX380" s="2" t="str">
        <f>VLOOKUP([jobnumber],OvalData[],MATCH(Table2[[#Headers],[Outer Spring OD]],Table2[#Headers],0),0)</f>
        <v>Null</v>
      </c>
      <c r="AY380" s="2" t="str">
        <f>VLOOKUP([jobnumber],OvalData[],MATCH(Table2[[#Headers],[Outer Spring Length]],Table2[#Headers],0),0)</f>
        <v>Null</v>
      </c>
      <c r="AZ380" s="2" t="str">
        <f>VLOOKUP([jobnumber],OvalData[],MATCH(Table2[[#Headers],[Outer Spring Stretch]],Table2[#Headers],0),0)</f>
        <v>Null</v>
      </c>
      <c r="BA380" s="2" t="str">
        <f>VLOOKUP([jobnumber],OvalData[],MATCH(Table2[[#Headers],[Outer Spring Torque]],Table2[#Headers],0),0)</f>
        <v>Null</v>
      </c>
      <c r="BB380" s="2" t="str">
        <f>VLOOKUP([jobnumber],OvalData[],MATCH(Table2[[#Headers],[Outer Spring Max Turns]],Table2[#Headers],0),0)</f>
        <v>Null</v>
      </c>
      <c r="BC380" s="2" t="str">
        <f>VLOOKUP([jobnumber],OvalData[],MATCH(Table2[[#Headers],[Outer Spring Weight]],Table2[#Headers],0),0)</f>
        <v>Null</v>
      </c>
      <c r="BD380" s="2" t="str">
        <f>VLOOKUP([jobnumber],OvalData[],MATCH(Table2[[#Headers],[Inner Spring Gage]],Table2[#Headers],0),0)</f>
        <v>Null</v>
      </c>
      <c r="BE380" s="2" t="str">
        <f>VLOOKUP([jobnumber],OvalData[],MATCH(Table2[[#Headers],[Inner Spring OD]],Table2[#Headers],0),0)</f>
        <v>Null</v>
      </c>
      <c r="BF380" s="2" t="str">
        <f>VLOOKUP([jobnumber],OvalData[],MATCH(Table2[[#Headers],[Inner Spring Length]],Table2[#Headers],0),0)</f>
        <v>Null</v>
      </c>
      <c r="BG380" s="2" t="str">
        <f>VLOOKUP([jobnumber],OvalData[],MATCH(Table2[[#Headers],[Inner Spring Stretch]],Table2[#Headers],0),0)</f>
        <v>Null</v>
      </c>
      <c r="BH380" s="2" t="str">
        <f>VLOOKUP([jobnumber],OvalData[],MATCH(Table2[[#Headers],[Inner Spring Torque]],Table2[#Headers],0),0)</f>
        <v>Null</v>
      </c>
      <c r="BI380" s="2" t="str">
        <f>VLOOKUP([jobnumber],OvalData[],MATCH(Table2[[#Headers],[Inner Spring Max Turns]],Table2[#Headers],0),0)</f>
        <v>Null</v>
      </c>
      <c r="BJ380" s="2" t="str">
        <f>VLOOKUP([jobnumber],OvalData[],MATCH(Table2[[#Headers],[Inner Spring Weight]],Table2[#Headers],0),0)</f>
        <v>Null</v>
      </c>
      <c r="BK380" s="2">
        <f>VLOOKUP([jobnumber],OvalData[],MATCH(Table2[[#Headers],[Cycles]],Table2[#Headers],0),0)</f>
        <v>0</v>
      </c>
      <c r="BL380" s="2">
        <f>VLOOKUP([jobnumber],OvalData[],MATCH(Table2[[#Headers],[Total Spring Torque]],Table2[#Headers],0),0)</f>
        <v>0</v>
      </c>
      <c r="BM380" s="2">
        <f>VLOOKUP([jobnumber],OvalData[],MATCH(Table2[[#Headers],[Total Spring Weight]],Table2[#Headers],0),0)</f>
        <v>0</v>
      </c>
      <c r="BN380" s="2">
        <f>VLOOKUP([jobnumber],OvalData[],MATCH(Table2[[#Headers],[Pipe Weight]],Table2[#Headers],0),0)</f>
        <v>688.24239999999998</v>
      </c>
      <c r="BO380" s="2">
        <f>VLOOKUP([jobnumber],OvalData[],MATCH(Table2[[#Headers],[Max Pipe Deflection]],Table2[#Headers],0),0)</f>
        <v>2309</v>
      </c>
      <c r="BP380" s="2">
        <f>VLOOKUP([jobnumber],OvalData[],MATCH(Table2[[#Headers],[Number Non-Insulated Wrap Slats]],Table2[#Headers],0),0)</f>
        <v>0</v>
      </c>
      <c r="BQ380" s="2">
        <f>VLOOKUP([jobnumber],OvalData[],MATCH(Table2[[#Headers],[Number of Insolated Top Slats]],Table2[#Headers],0),0)</f>
        <v>45</v>
      </c>
      <c r="BR380" s="2">
        <f>VLOOKUP([jobnumber],OvalData[],MATCH(Table2[[#Headers],[Insolated Total Slats]],Table2[#Headers],0),0)</f>
        <v>45</v>
      </c>
      <c r="BS380" s="2">
        <f>VLOOKUP([jobnumber],OvalData[],MATCH(Table2[[#Headers],[Number of Slats]],Table2[#Headers],0),0)</f>
        <v>44.69</v>
      </c>
      <c r="BT380" s="2">
        <f>VLOOKUP([jobnumber],OvalData[],MATCH(Table2[[#Headers],[Wrap]],Table2[#Headers],0),0)</f>
        <v>0</v>
      </c>
      <c r="BU380" s="2">
        <f>VLOOKUP([jobnumber],OvalData[],MATCH(Table2[[#Headers],[Wall Angle Thickness]],Table2[#Headers],0),0)</f>
        <v>0</v>
      </c>
      <c r="BV380" s="2">
        <f>VLOOKUP([jobnumber],OvalData[],MATCH(Table2[[#Headers],[windlocks]],Table2[#Headers],0),0)</f>
        <v>0</v>
      </c>
      <c r="BW380" s="2" t="str">
        <f>VLOOKUP([jobnumber],OvalData[],MATCH(Table2[[#Headers],[bottombartype]],Table2[#Headers],0),0)</f>
        <v>SPECIAL</v>
      </c>
      <c r="BX380" s="2">
        <f>VLOOKUP([jobnumber],OvalData[],MATCH(Table2[[#Headers],[endlockweight]],Table2[#Headers],0),0)</f>
        <v>0.17</v>
      </c>
      <c r="BY380" s="2">
        <f>VLOOKUP([jobnumber],OvalData[],MATCH(Table2[[#Headers],[Endlock Total Weight]],Table2[#Headers],0),0)</f>
        <v>7.5972999999999997</v>
      </c>
      <c r="BZ380" s="2">
        <f>VLOOKUP([jobnumber],OvalData[],MATCH(Table2[[#Headers],[Grille Weight]],Table2[#Headers],0),0)</f>
        <v>0</v>
      </c>
      <c r="CA380" s="2">
        <f>VLOOKUP([jobnumber],OvalData[],MATCH(Table2[[#Headers],[barrelrings]],Table2[#Headers],0),0)</f>
        <v>1</v>
      </c>
    </row>
    <row r="381" spans="2:79">
      <c r="B381" s="2" t="str">
        <f>VLOOKUP([jobnumber],OvalData[],MATCH(Table2[[#Headers],[Hand]],Table2[#Headers],0),0)</f>
        <v>RH</v>
      </c>
      <c r="C381" s="2" t="str">
        <f>VLOOKUP([jobnumber],OvalData[],MATCH(Table2[[#Headers],[Model]],Table2[#Headers],0),0)</f>
        <v>SFMPP</v>
      </c>
      <c r="D381" s="2" t="str">
        <f>VLOOKUP([jobnumber],OvalData[],MATCH(Table2[[#Headers],[width]],Table2[#Headers],0),0)</f>
        <v xml:space="preserve"> 18 ft.- 2"</v>
      </c>
      <c r="E381" s="2" t="str">
        <f>VLOOKUP([jobnumber],OvalData[],MATCH(Table2[[#Headers],[stopheight]],Table2[#Headers],0),0)</f>
        <v xml:space="preserve"> 10 ft.- 0"</v>
      </c>
      <c r="F381" s="2" t="str">
        <f>VLOOKUP([jobnumber],OvalData[],MATCH(Table2[[#Headers],[Between Brackets]],Table2[#Headers],0),0)</f>
        <v xml:space="preserve"> 18 ft.- 7 7/ 8"</v>
      </c>
      <c r="G381" s="2" t="str">
        <f>VLOOKUP([jobnumber],OvalData[],MATCH(Table2[[#Headers],[shell]],Table2[#Headers],0),0)</f>
        <v>6 INCH TUBE</v>
      </c>
      <c r="H381" s="2" t="str">
        <f>VLOOKUP([jobnumber],OvalData[],MATCH(Table2[[#Headers],[pipewidth]],Table2[#Headers],0),0)</f>
        <v xml:space="preserve"> 18 ft.- 1 3/ 8"</v>
      </c>
      <c r="I381" s="2">
        <f>VLOOKUP([jobnumber],OvalData[],MATCH(Table2[[#Headers],[Support Tubes]],Table2[#Headers],0),0)</f>
        <v>0</v>
      </c>
      <c r="J381" s="2">
        <f>VLOOKUP([jobnumber],OvalData[],MATCH(Table2[[#Headers],[Upset]],Table2[#Headers],0),0)</f>
        <v>2</v>
      </c>
      <c r="K381" s="2" t="str">
        <f>VLOOKUP([jobnumber],OvalData[],MATCH(Table2[[#Headers],[Guide Type]],Table2[#Headers],0),0)</f>
        <v>SN2-4 5/8-E</v>
      </c>
      <c r="L381" s="2" t="str">
        <f>VLOOKUP([jobnumber],OvalData[],MATCH(Table2[[#Headers],[Wall Angle]],Table2[#Headers],0),0)</f>
        <v xml:space="preserve"> 11 ft.- 8"</v>
      </c>
      <c r="M381" s="2" t="str">
        <f>VLOOKUP([jobnumber],OvalData[],MATCH(Table2[[#Headers],[Middle Angle]],Table2[#Headers],0),0)</f>
        <v xml:space="preserve"> 10 ft.- 4 1/ 2"</v>
      </c>
      <c r="N381" s="2" t="str">
        <f>VLOOKUP([jobnumber],OvalData[],MATCH(Table2[[#Headers],[Front Angle]],Table2[#Headers],0),0)</f>
        <v xml:space="preserve"> 10 ft.- 3"</v>
      </c>
      <c r="O381" s="2">
        <f>VLOOKUP([jobnumber],OvalData[],MATCH(Table2[[#Headers],[Pipe Center Line]],Table2[#Headers],0),0)</f>
        <v>131</v>
      </c>
      <c r="P381" s="2">
        <f>VLOOKUP([jobnumber],OvalData[],MATCH(Table2[[#Headers],[Heat Expansion Gap]],Table2[#Headers],0),0)</f>
        <v>0</v>
      </c>
      <c r="Q381" s="2">
        <f>VLOOKUP([jobnumber],OvalData[],MATCH(Table2[[#Headers],[Hanging Weight Closed]],Table2[#Headers],0),0)</f>
        <v>795</v>
      </c>
      <c r="R381" s="2">
        <f>VLOOKUP([jobnumber],OvalData[],MATCH(Table2[[#Headers],[Hanging Weight Open]],Table2[#Headers],0),0)</f>
        <v>140</v>
      </c>
      <c r="S381" s="2">
        <f>VLOOKUP([jobnumber],OvalData[],MATCH(Table2[[#Headers],[Initial Lever Arm]],Table2[#Headers],0),0)</f>
        <v>4.25</v>
      </c>
      <c r="T381" s="2">
        <f>VLOOKUP([jobnumber],OvalData[],MATCH(Table2[[#Headers],[Turns to Raise]],Table2[#Headers],0),0)</f>
        <v>3.5859999999999999</v>
      </c>
      <c r="U381" s="2">
        <f>VLOOKUP([jobnumber],OvalData[],MATCH(Table2[[#Headers],[Final Lever Arm]],Table2[#Headers],0),0)</f>
        <v>6.37</v>
      </c>
      <c r="V381" s="2">
        <f>VLOOKUP([jobnumber],OvalData[],MATCH(Table2[[#Headers],[Torque Required Closed]],Table2[#Headers],0),0)</f>
        <v>3377.9</v>
      </c>
      <c r="W381" s="2">
        <f>VLOOKUP([jobnumber],OvalData[],MATCH(Table2[[#Headers],[Torque Required Open]],Table2[#Headers],0),0)</f>
        <v>892</v>
      </c>
      <c r="X381" s="2">
        <f>VLOOKUP([jobnumber],OvalData[],MATCH(Table2[[#Headers],[Pre Turns]],Table2[#Headers],0),0)</f>
        <v>1.3332999999999999</v>
      </c>
      <c r="Y381" s="2">
        <f>VLOOKUP([jobnumber],OvalData[],MATCH(Table2[[#Headers],[Required Torque Per Turn]],Table2[#Headers],0),0)</f>
        <v>688</v>
      </c>
      <c r="Z381" s="2">
        <f>VLOOKUP([jobnumber],OvalData[],MATCH(Table2[[#Headers],[Total Turns]],Table2[#Headers],0),0)</f>
        <v>4.91</v>
      </c>
      <c r="AA381" s="2">
        <f>VLOOKUP([jobnumber],OvalData[],MATCH(Table2[[#Headers],[Grille Vision Section]],Table2[#Headers],0),0)</f>
        <v>0</v>
      </c>
      <c r="AB381" s="2">
        <f>VLOOKUP([jobnumber],OvalData[],MATCH(Table2[[#Headers],[Grille Amount]],Table2[#Headers],0),0)</f>
        <v>0</v>
      </c>
      <c r="AC381" s="2">
        <f>VLOOKUP([jobnumber],OvalData[],MATCH(Table2[[#Headers],[Grille Center]],Table2[#Headers],0),0)</f>
        <v>0</v>
      </c>
      <c r="AD381" s="2">
        <f>VLOOKUP([jobnumber],OvalData[],MATCH(Table2[[#Headers],[Grille Pattern]],Table2[#Headers],0),0)</f>
        <v>0</v>
      </c>
      <c r="AE381" s="2">
        <f>VLOOKUP([jobnumber],OvalData[],MATCH(Table2[[#Headers],[Grille First Tube]],Table2[#Headers],0),0)</f>
        <v>0</v>
      </c>
      <c r="AF381" s="2">
        <f>VLOOKUP([jobnumber],OvalData[],MATCH(Table2[[#Headers],[Grille Standard Tube]],Table2[#Headers],0),0)</f>
        <v>0</v>
      </c>
      <c r="AG381" s="2">
        <f>VLOOKUP([jobnumber],OvalData[],MATCH(Table2[[#Headers],[Grille Total Links]],Table2[#Headers],0),0)</f>
        <v>0</v>
      </c>
      <c r="AH381" s="2">
        <f>VLOOKUP([jobnumber],OvalData[],MATCH(Table2[[#Headers],[Grille Rods]],Table2[#Headers],0),0)</f>
        <v>0</v>
      </c>
      <c r="AI381" s="2">
        <f>VLOOKUP([jobnumber],OvalData[],MATCH(Table2[[#Headers],[Grille Rod Length]],Table2[#Headers],0),0)</f>
        <v>0</v>
      </c>
      <c r="AJ381" s="2">
        <f>VLOOKUP([jobnumber],OvalData[],MATCH(Table2[[#Headers],[slattype]],Table2[#Headers],0),0)</f>
        <v>2</v>
      </c>
      <c r="AK381" s="2">
        <f>VLOOKUP([jobnumber],OvalData[],MATCH(Table2[[#Headers],[slatgage]],Table2[#Headers],0),0)</f>
        <v>18</v>
      </c>
      <c r="AL381" s="2">
        <f>VLOOKUP([jobnumber],OvalData[],MATCH(Table2[[#Headers],[Numer of Top Slats]],Table2[#Headers],0),0)</f>
        <v>0</v>
      </c>
      <c r="AM381" s="2">
        <f>VLOOKUP([jobnumber],OvalData[],MATCH(Table2[[#Headers],[Number of Bottom Slats]],Table2[#Headers],0),0)</f>
        <v>0</v>
      </c>
      <c r="AN381" s="2">
        <f>VLOOKUP([jobnumber],OvalData[],MATCH(Table2[[#Headers],[Solid Bottom Height]],Table2[#Headers],0),0)</f>
        <v>0</v>
      </c>
      <c r="AO381" s="2" t="str">
        <f>VLOOKUP([jobnumber],OvalData[],MATCH(Table2[[#Headers],[slatlength]],Table2[#Headers],0),0)</f>
        <v xml:space="preserve"> 18 ft.- 5 7/ 8"</v>
      </c>
      <c r="AP381" s="2">
        <f>VLOOKUP([jobnumber],OvalData[],MATCH(Table2[[#Headers],[Bottom Slat Length]],Table2[#Headers],0),0)</f>
        <v>0</v>
      </c>
      <c r="AQ381" s="2">
        <f>VLOOKUP([jobnumber],OvalData[],MATCH(Table2[[#Headers],[Number of Perferated Slats]],Table2[#Headers],0),0)</f>
        <v>0</v>
      </c>
      <c r="AR381" s="2">
        <f>VLOOKUP([jobnumber],OvalData[],MATCH(Table2[[#Headers],[First Preferated Slat From End]],Table2[#Headers],0),0)</f>
        <v>0</v>
      </c>
      <c r="AS381" s="2">
        <f>VLOOKUP([jobnumber],OvalData[],MATCH(Table2[[#Headers],[First Preferated Slat From Bottom]],Table2[#Headers],0),0)</f>
        <v>0</v>
      </c>
      <c r="AT381" s="2">
        <f>VLOOKUP([jobnumber],OvalData[],MATCH(Table2[[#Headers],[Total Number of Slats]],Table2[#Headers],0),0)</f>
        <v>51</v>
      </c>
      <c r="AU381" s="2">
        <f>VLOOKUP([jobnumber],OvalData[],MATCH(Table2[[#Headers],[Bottom Bar Slope]],Table2[#Headers],0),0)</f>
        <v>0</v>
      </c>
      <c r="AV381" s="2">
        <f>VLOOKUP([jobnumber],OvalData[],MATCH(Table2[[#Headers],[Bottom Bar Weight]],Table2[#Headers],0),0)</f>
        <v>80.5</v>
      </c>
      <c r="AW381" s="2" t="str">
        <f>VLOOKUP([jobnumber],OvalData[],MATCH(Table2[[#Headers],[Outer Spring Gage]],Table2[#Headers],0),0)</f>
        <v>Null</v>
      </c>
      <c r="AX381" s="2" t="str">
        <f>VLOOKUP([jobnumber],OvalData[],MATCH(Table2[[#Headers],[Outer Spring OD]],Table2[#Headers],0),0)</f>
        <v>Null</v>
      </c>
      <c r="AY381" s="2" t="str">
        <f>VLOOKUP([jobnumber],OvalData[],MATCH(Table2[[#Headers],[Outer Spring Length]],Table2[#Headers],0),0)</f>
        <v>Null</v>
      </c>
      <c r="AZ381" s="2" t="str">
        <f>VLOOKUP([jobnumber],OvalData[],MATCH(Table2[[#Headers],[Outer Spring Stretch]],Table2[#Headers],0),0)</f>
        <v>Null</v>
      </c>
      <c r="BA381" s="2" t="str">
        <f>VLOOKUP([jobnumber],OvalData[],MATCH(Table2[[#Headers],[Outer Spring Torque]],Table2[#Headers],0),0)</f>
        <v>Null</v>
      </c>
      <c r="BB381" s="2" t="str">
        <f>VLOOKUP([jobnumber],OvalData[],MATCH(Table2[[#Headers],[Outer Spring Max Turns]],Table2[#Headers],0),0)</f>
        <v>Null</v>
      </c>
      <c r="BC381" s="2" t="str">
        <f>VLOOKUP([jobnumber],OvalData[],MATCH(Table2[[#Headers],[Outer Spring Weight]],Table2[#Headers],0),0)</f>
        <v>Null</v>
      </c>
      <c r="BD381" s="2" t="str">
        <f>VLOOKUP([jobnumber],OvalData[],MATCH(Table2[[#Headers],[Inner Spring Gage]],Table2[#Headers],0),0)</f>
        <v>Null</v>
      </c>
      <c r="BE381" s="2" t="str">
        <f>VLOOKUP([jobnumber],OvalData[],MATCH(Table2[[#Headers],[Inner Spring OD]],Table2[#Headers],0),0)</f>
        <v>Null</v>
      </c>
      <c r="BF381" s="2" t="str">
        <f>VLOOKUP([jobnumber],OvalData[],MATCH(Table2[[#Headers],[Inner Spring Length]],Table2[#Headers],0),0)</f>
        <v>Null</v>
      </c>
      <c r="BG381" s="2" t="str">
        <f>VLOOKUP([jobnumber],OvalData[],MATCH(Table2[[#Headers],[Inner Spring Stretch]],Table2[#Headers],0),0)</f>
        <v>Null</v>
      </c>
      <c r="BH381" s="2" t="str">
        <f>VLOOKUP([jobnumber],OvalData[],MATCH(Table2[[#Headers],[Inner Spring Torque]],Table2[#Headers],0),0)</f>
        <v>Null</v>
      </c>
      <c r="BI381" s="2" t="str">
        <f>VLOOKUP([jobnumber],OvalData[],MATCH(Table2[[#Headers],[Inner Spring Max Turns]],Table2[#Headers],0),0)</f>
        <v>Null</v>
      </c>
      <c r="BJ381" s="2" t="str">
        <f>VLOOKUP([jobnumber],OvalData[],MATCH(Table2[[#Headers],[Inner Spring Weight]],Table2[#Headers],0),0)</f>
        <v>Null</v>
      </c>
      <c r="BK381" s="2">
        <f>VLOOKUP([jobnumber],OvalData[],MATCH(Table2[[#Headers],[Cycles]],Table2[#Headers],0),0)</f>
        <v>0</v>
      </c>
      <c r="BL381" s="2">
        <f>VLOOKUP([jobnumber],OvalData[],MATCH(Table2[[#Headers],[Total Spring Torque]],Table2[#Headers],0),0)</f>
        <v>0</v>
      </c>
      <c r="BM381" s="2">
        <f>VLOOKUP([jobnumber],OvalData[],MATCH(Table2[[#Headers],[Total Spring Weight]],Table2[#Headers],0),0)</f>
        <v>0</v>
      </c>
      <c r="BN381" s="2">
        <f>VLOOKUP([jobnumber],OvalData[],MATCH(Table2[[#Headers],[Pipe Weight]],Table2[#Headers],0),0)</f>
        <v>688.24239999999998</v>
      </c>
      <c r="BO381" s="2">
        <f>VLOOKUP([jobnumber],OvalData[],MATCH(Table2[[#Headers],[Max Pipe Deflection]],Table2[#Headers],0),0)</f>
        <v>2309</v>
      </c>
      <c r="BP381" s="2">
        <f>VLOOKUP([jobnumber],OvalData[],MATCH(Table2[[#Headers],[Number Non-Insulated Wrap Slats]],Table2[#Headers],0),0)</f>
        <v>0</v>
      </c>
      <c r="BQ381" s="2">
        <f>VLOOKUP([jobnumber],OvalData[],MATCH(Table2[[#Headers],[Number of Insolated Top Slats]],Table2[#Headers],0),0)</f>
        <v>45</v>
      </c>
      <c r="BR381" s="2">
        <f>VLOOKUP([jobnumber],OvalData[],MATCH(Table2[[#Headers],[Insolated Total Slats]],Table2[#Headers],0),0)</f>
        <v>45</v>
      </c>
      <c r="BS381" s="2">
        <f>VLOOKUP([jobnumber],OvalData[],MATCH(Table2[[#Headers],[Number of Slats]],Table2[#Headers],0),0)</f>
        <v>44.69</v>
      </c>
      <c r="BT381" s="2">
        <f>VLOOKUP([jobnumber],OvalData[],MATCH(Table2[[#Headers],[Wrap]],Table2[#Headers],0),0)</f>
        <v>0</v>
      </c>
      <c r="BU381" s="2">
        <f>VLOOKUP([jobnumber],OvalData[],MATCH(Table2[[#Headers],[Wall Angle Thickness]],Table2[#Headers],0),0)</f>
        <v>0</v>
      </c>
      <c r="BV381" s="2">
        <f>VLOOKUP([jobnumber],OvalData[],MATCH(Table2[[#Headers],[windlocks]],Table2[#Headers],0),0)</f>
        <v>0</v>
      </c>
      <c r="BW381" s="2" t="str">
        <f>VLOOKUP([jobnumber],OvalData[],MATCH(Table2[[#Headers],[bottombartype]],Table2[#Headers],0),0)</f>
        <v>SPECIAL</v>
      </c>
      <c r="BX381" s="2">
        <f>VLOOKUP([jobnumber],OvalData[],MATCH(Table2[[#Headers],[endlockweight]],Table2[#Headers],0),0)</f>
        <v>0.17</v>
      </c>
      <c r="BY381" s="2">
        <f>VLOOKUP([jobnumber],OvalData[],MATCH(Table2[[#Headers],[Endlock Total Weight]],Table2[#Headers],0),0)</f>
        <v>7.5972999999999997</v>
      </c>
      <c r="BZ381" s="2">
        <f>VLOOKUP([jobnumber],OvalData[],MATCH(Table2[[#Headers],[Grille Weight]],Table2[#Headers],0),0)</f>
        <v>0</v>
      </c>
      <c r="CA381" s="2">
        <f>VLOOKUP([jobnumber],OvalData[],MATCH(Table2[[#Headers],[barrelrings]],Table2[#Headers],0),0)</f>
        <v>1</v>
      </c>
    </row>
    <row r="382" spans="2:79">
      <c r="B382" s="2" t="str">
        <f>VLOOKUP([jobnumber],OvalData[],MATCH(Table2[[#Headers],[Hand]],Table2[#Headers],0),0)</f>
        <v>RH</v>
      </c>
      <c r="C382" s="2" t="str">
        <f>VLOOKUP([jobnumber],OvalData[],MATCH(Table2[[#Headers],[Model]],Table2[#Headers],0),0)</f>
        <v>SFMPP</v>
      </c>
      <c r="D382" s="2" t="str">
        <f>VLOOKUP([jobnumber],OvalData[],MATCH(Table2[[#Headers],[width]],Table2[#Headers],0),0)</f>
        <v xml:space="preserve"> 18 ft.- 2"</v>
      </c>
      <c r="E382" s="2" t="str">
        <f>VLOOKUP([jobnumber],OvalData[],MATCH(Table2[[#Headers],[stopheight]],Table2[#Headers],0),0)</f>
        <v xml:space="preserve"> 10 ft.- 0"</v>
      </c>
      <c r="F382" s="2" t="str">
        <f>VLOOKUP([jobnumber],OvalData[],MATCH(Table2[[#Headers],[Between Brackets]],Table2[#Headers],0),0)</f>
        <v xml:space="preserve"> 18 ft.- 7 7/ 8"</v>
      </c>
      <c r="G382" s="2" t="str">
        <f>VLOOKUP([jobnumber],OvalData[],MATCH(Table2[[#Headers],[shell]],Table2[#Headers],0),0)</f>
        <v>6 INCH TUBE</v>
      </c>
      <c r="H382" s="2" t="str">
        <f>VLOOKUP([jobnumber],OvalData[],MATCH(Table2[[#Headers],[pipewidth]],Table2[#Headers],0),0)</f>
        <v xml:space="preserve"> 18 ft.- 1 3/ 8"</v>
      </c>
      <c r="I382" s="2">
        <f>VLOOKUP([jobnumber],OvalData[],MATCH(Table2[[#Headers],[Support Tubes]],Table2[#Headers],0),0)</f>
        <v>0</v>
      </c>
      <c r="J382" s="2">
        <f>VLOOKUP([jobnumber],OvalData[],MATCH(Table2[[#Headers],[Upset]],Table2[#Headers],0),0)</f>
        <v>2</v>
      </c>
      <c r="K382" s="2" t="str">
        <f>VLOOKUP([jobnumber],OvalData[],MATCH(Table2[[#Headers],[Guide Type]],Table2[#Headers],0),0)</f>
        <v>SN2-4 5/8-E</v>
      </c>
      <c r="L382" s="2" t="str">
        <f>VLOOKUP([jobnumber],OvalData[],MATCH(Table2[[#Headers],[Wall Angle]],Table2[#Headers],0),0)</f>
        <v xml:space="preserve"> 11 ft.- 8"</v>
      </c>
      <c r="M382" s="2" t="str">
        <f>VLOOKUP([jobnumber],OvalData[],MATCH(Table2[[#Headers],[Middle Angle]],Table2[#Headers],0),0)</f>
        <v xml:space="preserve"> 10 ft.- 4 1/ 2"</v>
      </c>
      <c r="N382" s="2" t="str">
        <f>VLOOKUP([jobnumber],OvalData[],MATCH(Table2[[#Headers],[Front Angle]],Table2[#Headers],0),0)</f>
        <v xml:space="preserve"> 10 ft.- 3"</v>
      </c>
      <c r="O382" s="2">
        <f>VLOOKUP([jobnumber],OvalData[],MATCH(Table2[[#Headers],[Pipe Center Line]],Table2[#Headers],0),0)</f>
        <v>131</v>
      </c>
      <c r="P382" s="2">
        <f>VLOOKUP([jobnumber],OvalData[],MATCH(Table2[[#Headers],[Heat Expansion Gap]],Table2[#Headers],0),0)</f>
        <v>0</v>
      </c>
      <c r="Q382" s="2">
        <f>VLOOKUP([jobnumber],OvalData[],MATCH(Table2[[#Headers],[Hanging Weight Closed]],Table2[#Headers],0),0)</f>
        <v>795</v>
      </c>
      <c r="R382" s="2">
        <f>VLOOKUP([jobnumber],OvalData[],MATCH(Table2[[#Headers],[Hanging Weight Open]],Table2[#Headers],0),0)</f>
        <v>140</v>
      </c>
      <c r="S382" s="2">
        <f>VLOOKUP([jobnumber],OvalData[],MATCH(Table2[[#Headers],[Initial Lever Arm]],Table2[#Headers],0),0)</f>
        <v>4.25</v>
      </c>
      <c r="T382" s="2">
        <f>VLOOKUP([jobnumber],OvalData[],MATCH(Table2[[#Headers],[Turns to Raise]],Table2[#Headers],0),0)</f>
        <v>3.5859999999999999</v>
      </c>
      <c r="U382" s="2">
        <f>VLOOKUP([jobnumber],OvalData[],MATCH(Table2[[#Headers],[Final Lever Arm]],Table2[#Headers],0),0)</f>
        <v>6.37</v>
      </c>
      <c r="V382" s="2">
        <f>VLOOKUP([jobnumber],OvalData[],MATCH(Table2[[#Headers],[Torque Required Closed]],Table2[#Headers],0),0)</f>
        <v>3377.9</v>
      </c>
      <c r="W382" s="2">
        <f>VLOOKUP([jobnumber],OvalData[],MATCH(Table2[[#Headers],[Torque Required Open]],Table2[#Headers],0),0)</f>
        <v>892</v>
      </c>
      <c r="X382" s="2">
        <f>VLOOKUP([jobnumber],OvalData[],MATCH(Table2[[#Headers],[Pre Turns]],Table2[#Headers],0),0)</f>
        <v>1.3332999999999999</v>
      </c>
      <c r="Y382" s="2">
        <f>VLOOKUP([jobnumber],OvalData[],MATCH(Table2[[#Headers],[Required Torque Per Turn]],Table2[#Headers],0),0)</f>
        <v>688</v>
      </c>
      <c r="Z382" s="2">
        <f>VLOOKUP([jobnumber],OvalData[],MATCH(Table2[[#Headers],[Total Turns]],Table2[#Headers],0),0)</f>
        <v>4.91</v>
      </c>
      <c r="AA382" s="2">
        <f>VLOOKUP([jobnumber],OvalData[],MATCH(Table2[[#Headers],[Grille Vision Section]],Table2[#Headers],0),0)</f>
        <v>0</v>
      </c>
      <c r="AB382" s="2">
        <f>VLOOKUP([jobnumber],OvalData[],MATCH(Table2[[#Headers],[Grille Amount]],Table2[#Headers],0),0)</f>
        <v>0</v>
      </c>
      <c r="AC382" s="2">
        <f>VLOOKUP([jobnumber],OvalData[],MATCH(Table2[[#Headers],[Grille Center]],Table2[#Headers],0),0)</f>
        <v>0</v>
      </c>
      <c r="AD382" s="2">
        <f>VLOOKUP([jobnumber],OvalData[],MATCH(Table2[[#Headers],[Grille Pattern]],Table2[#Headers],0),0)</f>
        <v>0</v>
      </c>
      <c r="AE382" s="2">
        <f>VLOOKUP([jobnumber],OvalData[],MATCH(Table2[[#Headers],[Grille First Tube]],Table2[#Headers],0),0)</f>
        <v>0</v>
      </c>
      <c r="AF382" s="2">
        <f>VLOOKUP([jobnumber],OvalData[],MATCH(Table2[[#Headers],[Grille Standard Tube]],Table2[#Headers],0),0)</f>
        <v>0</v>
      </c>
      <c r="AG382" s="2">
        <f>VLOOKUP([jobnumber],OvalData[],MATCH(Table2[[#Headers],[Grille Total Links]],Table2[#Headers],0),0)</f>
        <v>0</v>
      </c>
      <c r="AH382" s="2">
        <f>VLOOKUP([jobnumber],OvalData[],MATCH(Table2[[#Headers],[Grille Rods]],Table2[#Headers],0),0)</f>
        <v>0</v>
      </c>
      <c r="AI382" s="2">
        <f>VLOOKUP([jobnumber],OvalData[],MATCH(Table2[[#Headers],[Grille Rod Length]],Table2[#Headers],0),0)</f>
        <v>0</v>
      </c>
      <c r="AJ382" s="2">
        <f>VLOOKUP([jobnumber],OvalData[],MATCH(Table2[[#Headers],[slattype]],Table2[#Headers],0),0)</f>
        <v>2</v>
      </c>
      <c r="AK382" s="2">
        <f>VLOOKUP([jobnumber],OvalData[],MATCH(Table2[[#Headers],[slatgage]],Table2[#Headers],0),0)</f>
        <v>18</v>
      </c>
      <c r="AL382" s="2">
        <f>VLOOKUP([jobnumber],OvalData[],MATCH(Table2[[#Headers],[Numer of Top Slats]],Table2[#Headers],0),0)</f>
        <v>0</v>
      </c>
      <c r="AM382" s="2">
        <f>VLOOKUP([jobnumber],OvalData[],MATCH(Table2[[#Headers],[Number of Bottom Slats]],Table2[#Headers],0),0)</f>
        <v>0</v>
      </c>
      <c r="AN382" s="2">
        <f>VLOOKUP([jobnumber],OvalData[],MATCH(Table2[[#Headers],[Solid Bottom Height]],Table2[#Headers],0),0)</f>
        <v>0</v>
      </c>
      <c r="AO382" s="2" t="str">
        <f>VLOOKUP([jobnumber],OvalData[],MATCH(Table2[[#Headers],[slatlength]],Table2[#Headers],0),0)</f>
        <v xml:space="preserve"> 18 ft.- 5 7/ 8"</v>
      </c>
      <c r="AP382" s="2">
        <f>VLOOKUP([jobnumber],OvalData[],MATCH(Table2[[#Headers],[Bottom Slat Length]],Table2[#Headers],0),0)</f>
        <v>0</v>
      </c>
      <c r="AQ382" s="2">
        <f>VLOOKUP([jobnumber],OvalData[],MATCH(Table2[[#Headers],[Number of Perferated Slats]],Table2[#Headers],0),0)</f>
        <v>0</v>
      </c>
      <c r="AR382" s="2">
        <f>VLOOKUP([jobnumber],OvalData[],MATCH(Table2[[#Headers],[First Preferated Slat From End]],Table2[#Headers],0),0)</f>
        <v>0</v>
      </c>
      <c r="AS382" s="2">
        <f>VLOOKUP([jobnumber],OvalData[],MATCH(Table2[[#Headers],[First Preferated Slat From Bottom]],Table2[#Headers],0),0)</f>
        <v>0</v>
      </c>
      <c r="AT382" s="2">
        <f>VLOOKUP([jobnumber],OvalData[],MATCH(Table2[[#Headers],[Total Number of Slats]],Table2[#Headers],0),0)</f>
        <v>51</v>
      </c>
      <c r="AU382" s="2">
        <f>VLOOKUP([jobnumber],OvalData[],MATCH(Table2[[#Headers],[Bottom Bar Slope]],Table2[#Headers],0),0)</f>
        <v>0</v>
      </c>
      <c r="AV382" s="2">
        <f>VLOOKUP([jobnumber],OvalData[],MATCH(Table2[[#Headers],[Bottom Bar Weight]],Table2[#Headers],0),0)</f>
        <v>80.5</v>
      </c>
      <c r="AW382" s="2" t="str">
        <f>VLOOKUP([jobnumber],OvalData[],MATCH(Table2[[#Headers],[Outer Spring Gage]],Table2[#Headers],0),0)</f>
        <v>Null</v>
      </c>
      <c r="AX382" s="2" t="str">
        <f>VLOOKUP([jobnumber],OvalData[],MATCH(Table2[[#Headers],[Outer Spring OD]],Table2[#Headers],0),0)</f>
        <v>Null</v>
      </c>
      <c r="AY382" s="2" t="str">
        <f>VLOOKUP([jobnumber],OvalData[],MATCH(Table2[[#Headers],[Outer Spring Length]],Table2[#Headers],0),0)</f>
        <v>Null</v>
      </c>
      <c r="AZ382" s="2" t="str">
        <f>VLOOKUP([jobnumber],OvalData[],MATCH(Table2[[#Headers],[Outer Spring Stretch]],Table2[#Headers],0),0)</f>
        <v>Null</v>
      </c>
      <c r="BA382" s="2" t="str">
        <f>VLOOKUP([jobnumber],OvalData[],MATCH(Table2[[#Headers],[Outer Spring Torque]],Table2[#Headers],0),0)</f>
        <v>Null</v>
      </c>
      <c r="BB382" s="2" t="str">
        <f>VLOOKUP([jobnumber],OvalData[],MATCH(Table2[[#Headers],[Outer Spring Max Turns]],Table2[#Headers],0),0)</f>
        <v>Null</v>
      </c>
      <c r="BC382" s="2" t="str">
        <f>VLOOKUP([jobnumber],OvalData[],MATCH(Table2[[#Headers],[Outer Spring Weight]],Table2[#Headers],0),0)</f>
        <v>Null</v>
      </c>
      <c r="BD382" s="2" t="str">
        <f>VLOOKUP([jobnumber],OvalData[],MATCH(Table2[[#Headers],[Inner Spring Gage]],Table2[#Headers],0),0)</f>
        <v>Null</v>
      </c>
      <c r="BE382" s="2" t="str">
        <f>VLOOKUP([jobnumber],OvalData[],MATCH(Table2[[#Headers],[Inner Spring OD]],Table2[#Headers],0),0)</f>
        <v>Null</v>
      </c>
      <c r="BF382" s="2" t="str">
        <f>VLOOKUP([jobnumber],OvalData[],MATCH(Table2[[#Headers],[Inner Spring Length]],Table2[#Headers],0),0)</f>
        <v>Null</v>
      </c>
      <c r="BG382" s="2" t="str">
        <f>VLOOKUP([jobnumber],OvalData[],MATCH(Table2[[#Headers],[Inner Spring Stretch]],Table2[#Headers],0),0)</f>
        <v>Null</v>
      </c>
      <c r="BH382" s="2" t="str">
        <f>VLOOKUP([jobnumber],OvalData[],MATCH(Table2[[#Headers],[Inner Spring Torque]],Table2[#Headers],0),0)</f>
        <v>Null</v>
      </c>
      <c r="BI382" s="2" t="str">
        <f>VLOOKUP([jobnumber],OvalData[],MATCH(Table2[[#Headers],[Inner Spring Max Turns]],Table2[#Headers],0),0)</f>
        <v>Null</v>
      </c>
      <c r="BJ382" s="2" t="str">
        <f>VLOOKUP([jobnumber],OvalData[],MATCH(Table2[[#Headers],[Inner Spring Weight]],Table2[#Headers],0),0)</f>
        <v>Null</v>
      </c>
      <c r="BK382" s="2">
        <f>VLOOKUP([jobnumber],OvalData[],MATCH(Table2[[#Headers],[Cycles]],Table2[#Headers],0),0)</f>
        <v>0</v>
      </c>
      <c r="BL382" s="2">
        <f>VLOOKUP([jobnumber],OvalData[],MATCH(Table2[[#Headers],[Total Spring Torque]],Table2[#Headers],0),0)</f>
        <v>0</v>
      </c>
      <c r="BM382" s="2">
        <f>VLOOKUP([jobnumber],OvalData[],MATCH(Table2[[#Headers],[Total Spring Weight]],Table2[#Headers],0),0)</f>
        <v>0</v>
      </c>
      <c r="BN382" s="2">
        <f>VLOOKUP([jobnumber],OvalData[],MATCH(Table2[[#Headers],[Pipe Weight]],Table2[#Headers],0),0)</f>
        <v>688.24239999999998</v>
      </c>
      <c r="BO382" s="2">
        <f>VLOOKUP([jobnumber],OvalData[],MATCH(Table2[[#Headers],[Max Pipe Deflection]],Table2[#Headers],0),0)</f>
        <v>2309</v>
      </c>
      <c r="BP382" s="2">
        <f>VLOOKUP([jobnumber],OvalData[],MATCH(Table2[[#Headers],[Number Non-Insulated Wrap Slats]],Table2[#Headers],0),0)</f>
        <v>0</v>
      </c>
      <c r="BQ382" s="2">
        <f>VLOOKUP([jobnumber],OvalData[],MATCH(Table2[[#Headers],[Number of Insolated Top Slats]],Table2[#Headers],0),0)</f>
        <v>45</v>
      </c>
      <c r="BR382" s="2">
        <f>VLOOKUP([jobnumber],OvalData[],MATCH(Table2[[#Headers],[Insolated Total Slats]],Table2[#Headers],0),0)</f>
        <v>45</v>
      </c>
      <c r="BS382" s="2">
        <f>VLOOKUP([jobnumber],OvalData[],MATCH(Table2[[#Headers],[Number of Slats]],Table2[#Headers],0),0)</f>
        <v>44.69</v>
      </c>
      <c r="BT382" s="2">
        <f>VLOOKUP([jobnumber],OvalData[],MATCH(Table2[[#Headers],[Wrap]],Table2[#Headers],0),0)</f>
        <v>0</v>
      </c>
      <c r="BU382" s="2">
        <f>VLOOKUP([jobnumber],OvalData[],MATCH(Table2[[#Headers],[Wall Angle Thickness]],Table2[#Headers],0),0)</f>
        <v>0</v>
      </c>
      <c r="BV382" s="2">
        <f>VLOOKUP([jobnumber],OvalData[],MATCH(Table2[[#Headers],[windlocks]],Table2[#Headers],0),0)</f>
        <v>0</v>
      </c>
      <c r="BW382" s="2" t="str">
        <f>VLOOKUP([jobnumber],OvalData[],MATCH(Table2[[#Headers],[bottombartype]],Table2[#Headers],0),0)</f>
        <v>SPECIAL</v>
      </c>
      <c r="BX382" s="2">
        <f>VLOOKUP([jobnumber],OvalData[],MATCH(Table2[[#Headers],[endlockweight]],Table2[#Headers],0),0)</f>
        <v>0.17</v>
      </c>
      <c r="BY382" s="2">
        <f>VLOOKUP([jobnumber],OvalData[],MATCH(Table2[[#Headers],[Endlock Total Weight]],Table2[#Headers],0),0)</f>
        <v>7.5972999999999997</v>
      </c>
      <c r="BZ382" s="2">
        <f>VLOOKUP([jobnumber],OvalData[],MATCH(Table2[[#Headers],[Grille Weight]],Table2[#Headers],0),0)</f>
        <v>0</v>
      </c>
      <c r="CA382" s="2">
        <f>VLOOKUP([jobnumber],OvalData[],MATCH(Table2[[#Headers],[barrelrings]],Table2[#Headers],0),0)</f>
        <v>1</v>
      </c>
    </row>
    <row r="383" spans="2:79">
      <c r="B383" s="2" t="str">
        <f>VLOOKUP([jobnumber],OvalData[],MATCH(Table2[[#Headers],[Hand]],Table2[#Headers],0),0)</f>
        <v>RH</v>
      </c>
      <c r="C383" s="2" t="str">
        <f>VLOOKUP([jobnumber],OvalData[],MATCH(Table2[[#Headers],[Model]],Table2[#Headers],0),0)</f>
        <v>SFMPP</v>
      </c>
      <c r="D383" s="2" t="str">
        <f>VLOOKUP([jobnumber],OvalData[],MATCH(Table2[[#Headers],[width]],Table2[#Headers],0),0)</f>
        <v xml:space="preserve"> 18 ft.- 2"</v>
      </c>
      <c r="E383" s="2" t="str">
        <f>VLOOKUP([jobnumber],OvalData[],MATCH(Table2[[#Headers],[stopheight]],Table2[#Headers],0),0)</f>
        <v xml:space="preserve"> 10 ft.- 0"</v>
      </c>
      <c r="F383" s="2" t="str">
        <f>VLOOKUP([jobnumber],OvalData[],MATCH(Table2[[#Headers],[Between Brackets]],Table2[#Headers],0),0)</f>
        <v xml:space="preserve"> 18 ft.- 7 7/ 8"</v>
      </c>
      <c r="G383" s="2" t="str">
        <f>VLOOKUP([jobnumber],OvalData[],MATCH(Table2[[#Headers],[shell]],Table2[#Headers],0),0)</f>
        <v>6 INCH TUBE</v>
      </c>
      <c r="H383" s="2" t="str">
        <f>VLOOKUP([jobnumber],OvalData[],MATCH(Table2[[#Headers],[pipewidth]],Table2[#Headers],0),0)</f>
        <v xml:space="preserve"> 18 ft.- 1 3/ 8"</v>
      </c>
      <c r="I383" s="2">
        <f>VLOOKUP([jobnumber],OvalData[],MATCH(Table2[[#Headers],[Support Tubes]],Table2[#Headers],0),0)</f>
        <v>0</v>
      </c>
      <c r="J383" s="2">
        <f>VLOOKUP([jobnumber],OvalData[],MATCH(Table2[[#Headers],[Upset]],Table2[#Headers],0),0)</f>
        <v>2</v>
      </c>
      <c r="K383" s="2" t="str">
        <f>VLOOKUP([jobnumber],OvalData[],MATCH(Table2[[#Headers],[Guide Type]],Table2[#Headers],0),0)</f>
        <v>SN2-4 5/8-E</v>
      </c>
      <c r="L383" s="2" t="str">
        <f>VLOOKUP([jobnumber],OvalData[],MATCH(Table2[[#Headers],[Wall Angle]],Table2[#Headers],0),0)</f>
        <v xml:space="preserve"> 11 ft.- 8"</v>
      </c>
      <c r="M383" s="2" t="str">
        <f>VLOOKUP([jobnumber],OvalData[],MATCH(Table2[[#Headers],[Middle Angle]],Table2[#Headers],0),0)</f>
        <v xml:space="preserve"> 10 ft.- 4 1/ 2"</v>
      </c>
      <c r="N383" s="2" t="str">
        <f>VLOOKUP([jobnumber],OvalData[],MATCH(Table2[[#Headers],[Front Angle]],Table2[#Headers],0),0)</f>
        <v xml:space="preserve"> 10 ft.- 3"</v>
      </c>
      <c r="O383" s="2">
        <f>VLOOKUP([jobnumber],OvalData[],MATCH(Table2[[#Headers],[Pipe Center Line]],Table2[#Headers],0),0)</f>
        <v>131</v>
      </c>
      <c r="P383" s="2">
        <f>VLOOKUP([jobnumber],OvalData[],MATCH(Table2[[#Headers],[Heat Expansion Gap]],Table2[#Headers],0),0)</f>
        <v>0</v>
      </c>
      <c r="Q383" s="2">
        <f>VLOOKUP([jobnumber],OvalData[],MATCH(Table2[[#Headers],[Hanging Weight Closed]],Table2[#Headers],0),0)</f>
        <v>795</v>
      </c>
      <c r="R383" s="2">
        <f>VLOOKUP([jobnumber],OvalData[],MATCH(Table2[[#Headers],[Hanging Weight Open]],Table2[#Headers],0),0)</f>
        <v>140</v>
      </c>
      <c r="S383" s="2">
        <f>VLOOKUP([jobnumber],OvalData[],MATCH(Table2[[#Headers],[Initial Lever Arm]],Table2[#Headers],0),0)</f>
        <v>4.25</v>
      </c>
      <c r="T383" s="2">
        <f>VLOOKUP([jobnumber],OvalData[],MATCH(Table2[[#Headers],[Turns to Raise]],Table2[#Headers],0),0)</f>
        <v>3.5859999999999999</v>
      </c>
      <c r="U383" s="2">
        <f>VLOOKUP([jobnumber],OvalData[],MATCH(Table2[[#Headers],[Final Lever Arm]],Table2[#Headers],0),0)</f>
        <v>6.37</v>
      </c>
      <c r="V383" s="2">
        <f>VLOOKUP([jobnumber],OvalData[],MATCH(Table2[[#Headers],[Torque Required Closed]],Table2[#Headers],0),0)</f>
        <v>3377.9</v>
      </c>
      <c r="W383" s="2">
        <f>VLOOKUP([jobnumber],OvalData[],MATCH(Table2[[#Headers],[Torque Required Open]],Table2[#Headers],0),0)</f>
        <v>892</v>
      </c>
      <c r="X383" s="2">
        <f>VLOOKUP([jobnumber],OvalData[],MATCH(Table2[[#Headers],[Pre Turns]],Table2[#Headers],0),0)</f>
        <v>1.3332999999999999</v>
      </c>
      <c r="Y383" s="2">
        <f>VLOOKUP([jobnumber],OvalData[],MATCH(Table2[[#Headers],[Required Torque Per Turn]],Table2[#Headers],0),0)</f>
        <v>688</v>
      </c>
      <c r="Z383" s="2">
        <f>VLOOKUP([jobnumber],OvalData[],MATCH(Table2[[#Headers],[Total Turns]],Table2[#Headers],0),0)</f>
        <v>4.91</v>
      </c>
      <c r="AA383" s="2">
        <f>VLOOKUP([jobnumber],OvalData[],MATCH(Table2[[#Headers],[Grille Vision Section]],Table2[#Headers],0),0)</f>
        <v>0</v>
      </c>
      <c r="AB383" s="2">
        <f>VLOOKUP([jobnumber],OvalData[],MATCH(Table2[[#Headers],[Grille Amount]],Table2[#Headers],0),0)</f>
        <v>0</v>
      </c>
      <c r="AC383" s="2">
        <f>VLOOKUP([jobnumber],OvalData[],MATCH(Table2[[#Headers],[Grille Center]],Table2[#Headers],0),0)</f>
        <v>0</v>
      </c>
      <c r="AD383" s="2">
        <f>VLOOKUP([jobnumber],OvalData[],MATCH(Table2[[#Headers],[Grille Pattern]],Table2[#Headers],0),0)</f>
        <v>0</v>
      </c>
      <c r="AE383" s="2">
        <f>VLOOKUP([jobnumber],OvalData[],MATCH(Table2[[#Headers],[Grille First Tube]],Table2[#Headers],0),0)</f>
        <v>0</v>
      </c>
      <c r="AF383" s="2">
        <f>VLOOKUP([jobnumber],OvalData[],MATCH(Table2[[#Headers],[Grille Standard Tube]],Table2[#Headers],0),0)</f>
        <v>0</v>
      </c>
      <c r="AG383" s="2">
        <f>VLOOKUP([jobnumber],OvalData[],MATCH(Table2[[#Headers],[Grille Total Links]],Table2[#Headers],0),0)</f>
        <v>0</v>
      </c>
      <c r="AH383" s="2">
        <f>VLOOKUP([jobnumber],OvalData[],MATCH(Table2[[#Headers],[Grille Rods]],Table2[#Headers],0),0)</f>
        <v>0</v>
      </c>
      <c r="AI383" s="2">
        <f>VLOOKUP([jobnumber],OvalData[],MATCH(Table2[[#Headers],[Grille Rod Length]],Table2[#Headers],0),0)</f>
        <v>0</v>
      </c>
      <c r="AJ383" s="2">
        <f>VLOOKUP([jobnumber],OvalData[],MATCH(Table2[[#Headers],[slattype]],Table2[#Headers],0),0)</f>
        <v>2</v>
      </c>
      <c r="AK383" s="2">
        <f>VLOOKUP([jobnumber],OvalData[],MATCH(Table2[[#Headers],[slatgage]],Table2[#Headers],0),0)</f>
        <v>18</v>
      </c>
      <c r="AL383" s="2">
        <f>VLOOKUP([jobnumber],OvalData[],MATCH(Table2[[#Headers],[Numer of Top Slats]],Table2[#Headers],0),0)</f>
        <v>0</v>
      </c>
      <c r="AM383" s="2">
        <f>VLOOKUP([jobnumber],OvalData[],MATCH(Table2[[#Headers],[Number of Bottom Slats]],Table2[#Headers],0),0)</f>
        <v>0</v>
      </c>
      <c r="AN383" s="2">
        <f>VLOOKUP([jobnumber],OvalData[],MATCH(Table2[[#Headers],[Solid Bottom Height]],Table2[#Headers],0),0)</f>
        <v>0</v>
      </c>
      <c r="AO383" s="2" t="str">
        <f>VLOOKUP([jobnumber],OvalData[],MATCH(Table2[[#Headers],[slatlength]],Table2[#Headers],0),0)</f>
        <v xml:space="preserve"> 18 ft.- 5 7/ 8"</v>
      </c>
      <c r="AP383" s="2">
        <f>VLOOKUP([jobnumber],OvalData[],MATCH(Table2[[#Headers],[Bottom Slat Length]],Table2[#Headers],0),0)</f>
        <v>0</v>
      </c>
      <c r="AQ383" s="2">
        <f>VLOOKUP([jobnumber],OvalData[],MATCH(Table2[[#Headers],[Number of Perferated Slats]],Table2[#Headers],0),0)</f>
        <v>0</v>
      </c>
      <c r="AR383" s="2">
        <f>VLOOKUP([jobnumber],OvalData[],MATCH(Table2[[#Headers],[First Preferated Slat From End]],Table2[#Headers],0),0)</f>
        <v>0</v>
      </c>
      <c r="AS383" s="2">
        <f>VLOOKUP([jobnumber],OvalData[],MATCH(Table2[[#Headers],[First Preferated Slat From Bottom]],Table2[#Headers],0),0)</f>
        <v>0</v>
      </c>
      <c r="AT383" s="2">
        <f>VLOOKUP([jobnumber],OvalData[],MATCH(Table2[[#Headers],[Total Number of Slats]],Table2[#Headers],0),0)</f>
        <v>51</v>
      </c>
      <c r="AU383" s="2">
        <f>VLOOKUP([jobnumber],OvalData[],MATCH(Table2[[#Headers],[Bottom Bar Slope]],Table2[#Headers],0),0)</f>
        <v>0</v>
      </c>
      <c r="AV383" s="2">
        <f>VLOOKUP([jobnumber],OvalData[],MATCH(Table2[[#Headers],[Bottom Bar Weight]],Table2[#Headers],0),0)</f>
        <v>80.5</v>
      </c>
      <c r="AW383" s="2" t="str">
        <f>VLOOKUP([jobnumber],OvalData[],MATCH(Table2[[#Headers],[Outer Spring Gage]],Table2[#Headers],0),0)</f>
        <v>Null</v>
      </c>
      <c r="AX383" s="2" t="str">
        <f>VLOOKUP([jobnumber],OvalData[],MATCH(Table2[[#Headers],[Outer Spring OD]],Table2[#Headers],0),0)</f>
        <v>Null</v>
      </c>
      <c r="AY383" s="2" t="str">
        <f>VLOOKUP([jobnumber],OvalData[],MATCH(Table2[[#Headers],[Outer Spring Length]],Table2[#Headers],0),0)</f>
        <v>Null</v>
      </c>
      <c r="AZ383" s="2" t="str">
        <f>VLOOKUP([jobnumber],OvalData[],MATCH(Table2[[#Headers],[Outer Spring Stretch]],Table2[#Headers],0),0)</f>
        <v>Null</v>
      </c>
      <c r="BA383" s="2" t="str">
        <f>VLOOKUP([jobnumber],OvalData[],MATCH(Table2[[#Headers],[Outer Spring Torque]],Table2[#Headers],0),0)</f>
        <v>Null</v>
      </c>
      <c r="BB383" s="2" t="str">
        <f>VLOOKUP([jobnumber],OvalData[],MATCH(Table2[[#Headers],[Outer Spring Max Turns]],Table2[#Headers],0),0)</f>
        <v>Null</v>
      </c>
      <c r="BC383" s="2" t="str">
        <f>VLOOKUP([jobnumber],OvalData[],MATCH(Table2[[#Headers],[Outer Spring Weight]],Table2[#Headers],0),0)</f>
        <v>Null</v>
      </c>
      <c r="BD383" s="2" t="str">
        <f>VLOOKUP([jobnumber],OvalData[],MATCH(Table2[[#Headers],[Inner Spring Gage]],Table2[#Headers],0),0)</f>
        <v>Null</v>
      </c>
      <c r="BE383" s="2" t="str">
        <f>VLOOKUP([jobnumber],OvalData[],MATCH(Table2[[#Headers],[Inner Spring OD]],Table2[#Headers],0),0)</f>
        <v>Null</v>
      </c>
      <c r="BF383" s="2" t="str">
        <f>VLOOKUP([jobnumber],OvalData[],MATCH(Table2[[#Headers],[Inner Spring Length]],Table2[#Headers],0),0)</f>
        <v>Null</v>
      </c>
      <c r="BG383" s="2" t="str">
        <f>VLOOKUP([jobnumber],OvalData[],MATCH(Table2[[#Headers],[Inner Spring Stretch]],Table2[#Headers],0),0)</f>
        <v>Null</v>
      </c>
      <c r="BH383" s="2" t="str">
        <f>VLOOKUP([jobnumber],OvalData[],MATCH(Table2[[#Headers],[Inner Spring Torque]],Table2[#Headers],0),0)</f>
        <v>Null</v>
      </c>
      <c r="BI383" s="2" t="str">
        <f>VLOOKUP([jobnumber],OvalData[],MATCH(Table2[[#Headers],[Inner Spring Max Turns]],Table2[#Headers],0),0)</f>
        <v>Null</v>
      </c>
      <c r="BJ383" s="2" t="str">
        <f>VLOOKUP([jobnumber],OvalData[],MATCH(Table2[[#Headers],[Inner Spring Weight]],Table2[#Headers],0),0)</f>
        <v>Null</v>
      </c>
      <c r="BK383" s="2">
        <f>VLOOKUP([jobnumber],OvalData[],MATCH(Table2[[#Headers],[Cycles]],Table2[#Headers],0),0)</f>
        <v>0</v>
      </c>
      <c r="BL383" s="2">
        <f>VLOOKUP([jobnumber],OvalData[],MATCH(Table2[[#Headers],[Total Spring Torque]],Table2[#Headers],0),0)</f>
        <v>0</v>
      </c>
      <c r="BM383" s="2">
        <f>VLOOKUP([jobnumber],OvalData[],MATCH(Table2[[#Headers],[Total Spring Weight]],Table2[#Headers],0),0)</f>
        <v>0</v>
      </c>
      <c r="BN383" s="2">
        <f>VLOOKUP([jobnumber],OvalData[],MATCH(Table2[[#Headers],[Pipe Weight]],Table2[#Headers],0),0)</f>
        <v>688.24239999999998</v>
      </c>
      <c r="BO383" s="2">
        <f>VLOOKUP([jobnumber],OvalData[],MATCH(Table2[[#Headers],[Max Pipe Deflection]],Table2[#Headers],0),0)</f>
        <v>2309</v>
      </c>
      <c r="BP383" s="2">
        <f>VLOOKUP([jobnumber],OvalData[],MATCH(Table2[[#Headers],[Number Non-Insulated Wrap Slats]],Table2[#Headers],0),0)</f>
        <v>0</v>
      </c>
      <c r="BQ383" s="2">
        <f>VLOOKUP([jobnumber],OvalData[],MATCH(Table2[[#Headers],[Number of Insolated Top Slats]],Table2[#Headers],0),0)</f>
        <v>45</v>
      </c>
      <c r="BR383" s="2">
        <f>VLOOKUP([jobnumber],OvalData[],MATCH(Table2[[#Headers],[Insolated Total Slats]],Table2[#Headers],0),0)</f>
        <v>45</v>
      </c>
      <c r="BS383" s="2">
        <f>VLOOKUP([jobnumber],OvalData[],MATCH(Table2[[#Headers],[Number of Slats]],Table2[#Headers],0),0)</f>
        <v>44.69</v>
      </c>
      <c r="BT383" s="2">
        <f>VLOOKUP([jobnumber],OvalData[],MATCH(Table2[[#Headers],[Wrap]],Table2[#Headers],0),0)</f>
        <v>0</v>
      </c>
      <c r="BU383" s="2">
        <f>VLOOKUP([jobnumber],OvalData[],MATCH(Table2[[#Headers],[Wall Angle Thickness]],Table2[#Headers],0),0)</f>
        <v>0</v>
      </c>
      <c r="BV383" s="2">
        <f>VLOOKUP([jobnumber],OvalData[],MATCH(Table2[[#Headers],[windlocks]],Table2[#Headers],0),0)</f>
        <v>0</v>
      </c>
      <c r="BW383" s="2" t="str">
        <f>VLOOKUP([jobnumber],OvalData[],MATCH(Table2[[#Headers],[bottombartype]],Table2[#Headers],0),0)</f>
        <v>SPECIAL</v>
      </c>
      <c r="BX383" s="2">
        <f>VLOOKUP([jobnumber],OvalData[],MATCH(Table2[[#Headers],[endlockweight]],Table2[#Headers],0),0)</f>
        <v>0.17</v>
      </c>
      <c r="BY383" s="2">
        <f>VLOOKUP([jobnumber],OvalData[],MATCH(Table2[[#Headers],[Endlock Total Weight]],Table2[#Headers],0),0)</f>
        <v>7.5972999999999997</v>
      </c>
      <c r="BZ383" s="2">
        <f>VLOOKUP([jobnumber],OvalData[],MATCH(Table2[[#Headers],[Grille Weight]],Table2[#Headers],0),0)</f>
        <v>0</v>
      </c>
      <c r="CA383" s="2">
        <f>VLOOKUP([jobnumber],OvalData[],MATCH(Table2[[#Headers],[barrelrings]],Table2[#Headers],0),0)</f>
        <v>1</v>
      </c>
    </row>
    <row r="384" spans="2:79">
      <c r="B384" s="2" t="str">
        <f>VLOOKUP([jobnumber],OvalData[],MATCH(Table2[[#Headers],[Hand]],Table2[#Headers],0),0)</f>
        <v>RH</v>
      </c>
      <c r="C384" s="2" t="str">
        <f>VLOOKUP([jobnumber],OvalData[],MATCH(Table2[[#Headers],[Model]],Table2[#Headers],0),0)</f>
        <v>SFMPP</v>
      </c>
      <c r="D384" s="2" t="str">
        <f>VLOOKUP([jobnumber],OvalData[],MATCH(Table2[[#Headers],[width]],Table2[#Headers],0),0)</f>
        <v xml:space="preserve"> 18 ft.- 2"</v>
      </c>
      <c r="E384" s="2" t="str">
        <f>VLOOKUP([jobnumber],OvalData[],MATCH(Table2[[#Headers],[stopheight]],Table2[#Headers],0),0)</f>
        <v xml:space="preserve"> 10 ft.- 0"</v>
      </c>
      <c r="F384" s="2" t="str">
        <f>VLOOKUP([jobnumber],OvalData[],MATCH(Table2[[#Headers],[Between Brackets]],Table2[#Headers],0),0)</f>
        <v xml:space="preserve"> 18 ft.- 7 7/ 8"</v>
      </c>
      <c r="G384" s="2" t="str">
        <f>VLOOKUP([jobnumber],OvalData[],MATCH(Table2[[#Headers],[shell]],Table2[#Headers],0),0)</f>
        <v>6 INCH TUBE</v>
      </c>
      <c r="H384" s="2" t="str">
        <f>VLOOKUP([jobnumber],OvalData[],MATCH(Table2[[#Headers],[pipewidth]],Table2[#Headers],0),0)</f>
        <v xml:space="preserve"> 18 ft.- 1 3/ 8"</v>
      </c>
      <c r="I384" s="2">
        <f>VLOOKUP([jobnumber],OvalData[],MATCH(Table2[[#Headers],[Support Tubes]],Table2[#Headers],0),0)</f>
        <v>0</v>
      </c>
      <c r="J384" s="2">
        <f>VLOOKUP([jobnumber],OvalData[],MATCH(Table2[[#Headers],[Upset]],Table2[#Headers],0),0)</f>
        <v>2</v>
      </c>
      <c r="K384" s="2" t="str">
        <f>VLOOKUP([jobnumber],OvalData[],MATCH(Table2[[#Headers],[Guide Type]],Table2[#Headers],0),0)</f>
        <v>SN2-4 5/8-E</v>
      </c>
      <c r="L384" s="2" t="str">
        <f>VLOOKUP([jobnumber],OvalData[],MATCH(Table2[[#Headers],[Wall Angle]],Table2[#Headers],0),0)</f>
        <v xml:space="preserve"> 11 ft.- 8"</v>
      </c>
      <c r="M384" s="2" t="str">
        <f>VLOOKUP([jobnumber],OvalData[],MATCH(Table2[[#Headers],[Middle Angle]],Table2[#Headers],0),0)</f>
        <v xml:space="preserve"> 10 ft.- 4 1/ 2"</v>
      </c>
      <c r="N384" s="2" t="str">
        <f>VLOOKUP([jobnumber],OvalData[],MATCH(Table2[[#Headers],[Front Angle]],Table2[#Headers],0),0)</f>
        <v xml:space="preserve"> 10 ft.- 3"</v>
      </c>
      <c r="O384" s="2">
        <f>VLOOKUP([jobnumber],OvalData[],MATCH(Table2[[#Headers],[Pipe Center Line]],Table2[#Headers],0),0)</f>
        <v>131</v>
      </c>
      <c r="P384" s="2">
        <f>VLOOKUP([jobnumber],OvalData[],MATCH(Table2[[#Headers],[Heat Expansion Gap]],Table2[#Headers],0),0)</f>
        <v>0</v>
      </c>
      <c r="Q384" s="2">
        <f>VLOOKUP([jobnumber],OvalData[],MATCH(Table2[[#Headers],[Hanging Weight Closed]],Table2[#Headers],0),0)</f>
        <v>795</v>
      </c>
      <c r="R384" s="2">
        <f>VLOOKUP([jobnumber],OvalData[],MATCH(Table2[[#Headers],[Hanging Weight Open]],Table2[#Headers],0),0)</f>
        <v>140</v>
      </c>
      <c r="S384" s="2">
        <f>VLOOKUP([jobnumber],OvalData[],MATCH(Table2[[#Headers],[Initial Lever Arm]],Table2[#Headers],0),0)</f>
        <v>4.25</v>
      </c>
      <c r="T384" s="2">
        <f>VLOOKUP([jobnumber],OvalData[],MATCH(Table2[[#Headers],[Turns to Raise]],Table2[#Headers],0),0)</f>
        <v>3.5859999999999999</v>
      </c>
      <c r="U384" s="2">
        <f>VLOOKUP([jobnumber],OvalData[],MATCH(Table2[[#Headers],[Final Lever Arm]],Table2[#Headers],0),0)</f>
        <v>6.37</v>
      </c>
      <c r="V384" s="2">
        <f>VLOOKUP([jobnumber],OvalData[],MATCH(Table2[[#Headers],[Torque Required Closed]],Table2[#Headers],0),0)</f>
        <v>3377.9</v>
      </c>
      <c r="W384" s="2">
        <f>VLOOKUP([jobnumber],OvalData[],MATCH(Table2[[#Headers],[Torque Required Open]],Table2[#Headers],0),0)</f>
        <v>892</v>
      </c>
      <c r="X384" s="2">
        <f>VLOOKUP([jobnumber],OvalData[],MATCH(Table2[[#Headers],[Pre Turns]],Table2[#Headers],0),0)</f>
        <v>1.3332999999999999</v>
      </c>
      <c r="Y384" s="2">
        <f>VLOOKUP([jobnumber],OvalData[],MATCH(Table2[[#Headers],[Required Torque Per Turn]],Table2[#Headers],0),0)</f>
        <v>688</v>
      </c>
      <c r="Z384" s="2">
        <f>VLOOKUP([jobnumber],OvalData[],MATCH(Table2[[#Headers],[Total Turns]],Table2[#Headers],0),0)</f>
        <v>4.91</v>
      </c>
      <c r="AA384" s="2">
        <f>VLOOKUP([jobnumber],OvalData[],MATCH(Table2[[#Headers],[Grille Vision Section]],Table2[#Headers],0),0)</f>
        <v>0</v>
      </c>
      <c r="AB384" s="2">
        <f>VLOOKUP([jobnumber],OvalData[],MATCH(Table2[[#Headers],[Grille Amount]],Table2[#Headers],0),0)</f>
        <v>0</v>
      </c>
      <c r="AC384" s="2">
        <f>VLOOKUP([jobnumber],OvalData[],MATCH(Table2[[#Headers],[Grille Center]],Table2[#Headers],0),0)</f>
        <v>0</v>
      </c>
      <c r="AD384" s="2">
        <f>VLOOKUP([jobnumber],OvalData[],MATCH(Table2[[#Headers],[Grille Pattern]],Table2[#Headers],0),0)</f>
        <v>0</v>
      </c>
      <c r="AE384" s="2">
        <f>VLOOKUP([jobnumber],OvalData[],MATCH(Table2[[#Headers],[Grille First Tube]],Table2[#Headers],0),0)</f>
        <v>0</v>
      </c>
      <c r="AF384" s="2">
        <f>VLOOKUP([jobnumber],OvalData[],MATCH(Table2[[#Headers],[Grille Standard Tube]],Table2[#Headers],0),0)</f>
        <v>0</v>
      </c>
      <c r="AG384" s="2">
        <f>VLOOKUP([jobnumber],OvalData[],MATCH(Table2[[#Headers],[Grille Total Links]],Table2[#Headers],0),0)</f>
        <v>0</v>
      </c>
      <c r="AH384" s="2">
        <f>VLOOKUP([jobnumber],OvalData[],MATCH(Table2[[#Headers],[Grille Rods]],Table2[#Headers],0),0)</f>
        <v>0</v>
      </c>
      <c r="AI384" s="2">
        <f>VLOOKUP([jobnumber],OvalData[],MATCH(Table2[[#Headers],[Grille Rod Length]],Table2[#Headers],0),0)</f>
        <v>0</v>
      </c>
      <c r="AJ384" s="2">
        <f>VLOOKUP([jobnumber],OvalData[],MATCH(Table2[[#Headers],[slattype]],Table2[#Headers],0),0)</f>
        <v>2</v>
      </c>
      <c r="AK384" s="2">
        <f>VLOOKUP([jobnumber],OvalData[],MATCH(Table2[[#Headers],[slatgage]],Table2[#Headers],0),0)</f>
        <v>18</v>
      </c>
      <c r="AL384" s="2">
        <f>VLOOKUP([jobnumber],OvalData[],MATCH(Table2[[#Headers],[Numer of Top Slats]],Table2[#Headers],0),0)</f>
        <v>0</v>
      </c>
      <c r="AM384" s="2">
        <f>VLOOKUP([jobnumber],OvalData[],MATCH(Table2[[#Headers],[Number of Bottom Slats]],Table2[#Headers],0),0)</f>
        <v>0</v>
      </c>
      <c r="AN384" s="2">
        <f>VLOOKUP([jobnumber],OvalData[],MATCH(Table2[[#Headers],[Solid Bottom Height]],Table2[#Headers],0),0)</f>
        <v>0</v>
      </c>
      <c r="AO384" s="2" t="str">
        <f>VLOOKUP([jobnumber],OvalData[],MATCH(Table2[[#Headers],[slatlength]],Table2[#Headers],0),0)</f>
        <v xml:space="preserve"> 18 ft.- 5 7/ 8"</v>
      </c>
      <c r="AP384" s="2">
        <f>VLOOKUP([jobnumber],OvalData[],MATCH(Table2[[#Headers],[Bottom Slat Length]],Table2[#Headers],0),0)</f>
        <v>0</v>
      </c>
      <c r="AQ384" s="2">
        <f>VLOOKUP([jobnumber],OvalData[],MATCH(Table2[[#Headers],[Number of Perferated Slats]],Table2[#Headers],0),0)</f>
        <v>0</v>
      </c>
      <c r="AR384" s="2">
        <f>VLOOKUP([jobnumber],OvalData[],MATCH(Table2[[#Headers],[First Preferated Slat From End]],Table2[#Headers],0),0)</f>
        <v>0</v>
      </c>
      <c r="AS384" s="2">
        <f>VLOOKUP([jobnumber],OvalData[],MATCH(Table2[[#Headers],[First Preferated Slat From Bottom]],Table2[#Headers],0),0)</f>
        <v>0</v>
      </c>
      <c r="AT384" s="2">
        <f>VLOOKUP([jobnumber],OvalData[],MATCH(Table2[[#Headers],[Total Number of Slats]],Table2[#Headers],0),0)</f>
        <v>51</v>
      </c>
      <c r="AU384" s="2">
        <f>VLOOKUP([jobnumber],OvalData[],MATCH(Table2[[#Headers],[Bottom Bar Slope]],Table2[#Headers],0),0)</f>
        <v>0</v>
      </c>
      <c r="AV384" s="2">
        <f>VLOOKUP([jobnumber],OvalData[],MATCH(Table2[[#Headers],[Bottom Bar Weight]],Table2[#Headers],0),0)</f>
        <v>80.5</v>
      </c>
      <c r="AW384" s="2" t="str">
        <f>VLOOKUP([jobnumber],OvalData[],MATCH(Table2[[#Headers],[Outer Spring Gage]],Table2[#Headers],0),0)</f>
        <v>Null</v>
      </c>
      <c r="AX384" s="2" t="str">
        <f>VLOOKUP([jobnumber],OvalData[],MATCH(Table2[[#Headers],[Outer Spring OD]],Table2[#Headers],0),0)</f>
        <v>Null</v>
      </c>
      <c r="AY384" s="2" t="str">
        <f>VLOOKUP([jobnumber],OvalData[],MATCH(Table2[[#Headers],[Outer Spring Length]],Table2[#Headers],0),0)</f>
        <v>Null</v>
      </c>
      <c r="AZ384" s="2" t="str">
        <f>VLOOKUP([jobnumber],OvalData[],MATCH(Table2[[#Headers],[Outer Spring Stretch]],Table2[#Headers],0),0)</f>
        <v>Null</v>
      </c>
      <c r="BA384" s="2" t="str">
        <f>VLOOKUP([jobnumber],OvalData[],MATCH(Table2[[#Headers],[Outer Spring Torque]],Table2[#Headers],0),0)</f>
        <v>Null</v>
      </c>
      <c r="BB384" s="2" t="str">
        <f>VLOOKUP([jobnumber],OvalData[],MATCH(Table2[[#Headers],[Outer Spring Max Turns]],Table2[#Headers],0),0)</f>
        <v>Null</v>
      </c>
      <c r="BC384" s="2" t="str">
        <f>VLOOKUP([jobnumber],OvalData[],MATCH(Table2[[#Headers],[Outer Spring Weight]],Table2[#Headers],0),0)</f>
        <v>Null</v>
      </c>
      <c r="BD384" s="2" t="str">
        <f>VLOOKUP([jobnumber],OvalData[],MATCH(Table2[[#Headers],[Inner Spring Gage]],Table2[#Headers],0),0)</f>
        <v>Null</v>
      </c>
      <c r="BE384" s="2" t="str">
        <f>VLOOKUP([jobnumber],OvalData[],MATCH(Table2[[#Headers],[Inner Spring OD]],Table2[#Headers],0),0)</f>
        <v>Null</v>
      </c>
      <c r="BF384" s="2" t="str">
        <f>VLOOKUP([jobnumber],OvalData[],MATCH(Table2[[#Headers],[Inner Spring Length]],Table2[#Headers],0),0)</f>
        <v>Null</v>
      </c>
      <c r="BG384" s="2" t="str">
        <f>VLOOKUP([jobnumber],OvalData[],MATCH(Table2[[#Headers],[Inner Spring Stretch]],Table2[#Headers],0),0)</f>
        <v>Null</v>
      </c>
      <c r="BH384" s="2" t="str">
        <f>VLOOKUP([jobnumber],OvalData[],MATCH(Table2[[#Headers],[Inner Spring Torque]],Table2[#Headers],0),0)</f>
        <v>Null</v>
      </c>
      <c r="BI384" s="2" t="str">
        <f>VLOOKUP([jobnumber],OvalData[],MATCH(Table2[[#Headers],[Inner Spring Max Turns]],Table2[#Headers],0),0)</f>
        <v>Null</v>
      </c>
      <c r="BJ384" s="2" t="str">
        <f>VLOOKUP([jobnumber],OvalData[],MATCH(Table2[[#Headers],[Inner Spring Weight]],Table2[#Headers],0),0)</f>
        <v>Null</v>
      </c>
      <c r="BK384" s="2">
        <f>VLOOKUP([jobnumber],OvalData[],MATCH(Table2[[#Headers],[Cycles]],Table2[#Headers],0),0)</f>
        <v>0</v>
      </c>
      <c r="BL384" s="2">
        <f>VLOOKUP([jobnumber],OvalData[],MATCH(Table2[[#Headers],[Total Spring Torque]],Table2[#Headers],0),0)</f>
        <v>0</v>
      </c>
      <c r="BM384" s="2">
        <f>VLOOKUP([jobnumber],OvalData[],MATCH(Table2[[#Headers],[Total Spring Weight]],Table2[#Headers],0),0)</f>
        <v>0</v>
      </c>
      <c r="BN384" s="2">
        <f>VLOOKUP([jobnumber],OvalData[],MATCH(Table2[[#Headers],[Pipe Weight]],Table2[#Headers],0),0)</f>
        <v>688.24239999999998</v>
      </c>
      <c r="BO384" s="2">
        <f>VLOOKUP([jobnumber],OvalData[],MATCH(Table2[[#Headers],[Max Pipe Deflection]],Table2[#Headers],0),0)</f>
        <v>2309</v>
      </c>
      <c r="BP384" s="2">
        <f>VLOOKUP([jobnumber],OvalData[],MATCH(Table2[[#Headers],[Number Non-Insulated Wrap Slats]],Table2[#Headers],0),0)</f>
        <v>0</v>
      </c>
      <c r="BQ384" s="2">
        <f>VLOOKUP([jobnumber],OvalData[],MATCH(Table2[[#Headers],[Number of Insolated Top Slats]],Table2[#Headers],0),0)</f>
        <v>45</v>
      </c>
      <c r="BR384" s="2">
        <f>VLOOKUP([jobnumber],OvalData[],MATCH(Table2[[#Headers],[Insolated Total Slats]],Table2[#Headers],0),0)</f>
        <v>45</v>
      </c>
      <c r="BS384" s="2">
        <f>VLOOKUP([jobnumber],OvalData[],MATCH(Table2[[#Headers],[Number of Slats]],Table2[#Headers],0),0)</f>
        <v>44.69</v>
      </c>
      <c r="BT384" s="2">
        <f>VLOOKUP([jobnumber],OvalData[],MATCH(Table2[[#Headers],[Wrap]],Table2[#Headers],0),0)</f>
        <v>0</v>
      </c>
      <c r="BU384" s="2">
        <f>VLOOKUP([jobnumber],OvalData[],MATCH(Table2[[#Headers],[Wall Angle Thickness]],Table2[#Headers],0),0)</f>
        <v>0</v>
      </c>
      <c r="BV384" s="2">
        <f>VLOOKUP([jobnumber],OvalData[],MATCH(Table2[[#Headers],[windlocks]],Table2[#Headers],0),0)</f>
        <v>0</v>
      </c>
      <c r="BW384" s="2" t="str">
        <f>VLOOKUP([jobnumber],OvalData[],MATCH(Table2[[#Headers],[bottombartype]],Table2[#Headers],0),0)</f>
        <v>SPECIAL</v>
      </c>
      <c r="BX384" s="2">
        <f>VLOOKUP([jobnumber],OvalData[],MATCH(Table2[[#Headers],[endlockweight]],Table2[#Headers],0),0)</f>
        <v>0.17</v>
      </c>
      <c r="BY384" s="2">
        <f>VLOOKUP([jobnumber],OvalData[],MATCH(Table2[[#Headers],[Endlock Total Weight]],Table2[#Headers],0),0)</f>
        <v>7.5972999999999997</v>
      </c>
      <c r="BZ384" s="2">
        <f>VLOOKUP([jobnumber],OvalData[],MATCH(Table2[[#Headers],[Grille Weight]],Table2[#Headers],0),0)</f>
        <v>0</v>
      </c>
      <c r="CA384" s="2">
        <f>VLOOKUP([jobnumber],OvalData[],MATCH(Table2[[#Headers],[barrelrings]],Table2[#Headers],0),0)</f>
        <v>1</v>
      </c>
    </row>
    <row r="385" spans="2:79">
      <c r="B385" s="2" t="str">
        <f>VLOOKUP([jobnumber],OvalData[],MATCH(Table2[[#Headers],[Hand]],Table2[#Headers],0),0)</f>
        <v>RH</v>
      </c>
      <c r="C385" s="2" t="str">
        <f>VLOOKUP([jobnumber],OvalData[],MATCH(Table2[[#Headers],[Model]],Table2[#Headers],0),0)</f>
        <v>SFMPP</v>
      </c>
      <c r="D385" s="2" t="str">
        <f>VLOOKUP([jobnumber],OvalData[],MATCH(Table2[[#Headers],[width]],Table2[#Headers],0),0)</f>
        <v xml:space="preserve"> 18 ft.- 2"</v>
      </c>
      <c r="E385" s="2" t="str">
        <f>VLOOKUP([jobnumber],OvalData[],MATCH(Table2[[#Headers],[stopheight]],Table2[#Headers],0),0)</f>
        <v xml:space="preserve"> 10 ft.- 0"</v>
      </c>
      <c r="F385" s="2" t="str">
        <f>VLOOKUP([jobnumber],OvalData[],MATCH(Table2[[#Headers],[Between Brackets]],Table2[#Headers],0),0)</f>
        <v xml:space="preserve"> 18 ft.- 7 7/ 8"</v>
      </c>
      <c r="G385" s="2" t="str">
        <f>VLOOKUP([jobnumber],OvalData[],MATCH(Table2[[#Headers],[shell]],Table2[#Headers],0),0)</f>
        <v>6 INCH TUBE</v>
      </c>
      <c r="H385" s="2" t="str">
        <f>VLOOKUP([jobnumber],OvalData[],MATCH(Table2[[#Headers],[pipewidth]],Table2[#Headers],0),0)</f>
        <v xml:space="preserve"> 18 ft.- 1 3/ 8"</v>
      </c>
      <c r="I385" s="2">
        <f>VLOOKUP([jobnumber],OvalData[],MATCH(Table2[[#Headers],[Support Tubes]],Table2[#Headers],0),0)</f>
        <v>0</v>
      </c>
      <c r="J385" s="2">
        <f>VLOOKUP([jobnumber],OvalData[],MATCH(Table2[[#Headers],[Upset]],Table2[#Headers],0),0)</f>
        <v>2</v>
      </c>
      <c r="K385" s="2" t="str">
        <f>VLOOKUP([jobnumber],OvalData[],MATCH(Table2[[#Headers],[Guide Type]],Table2[#Headers],0),0)</f>
        <v>SN2-4 5/8-E</v>
      </c>
      <c r="L385" s="2" t="str">
        <f>VLOOKUP([jobnumber],OvalData[],MATCH(Table2[[#Headers],[Wall Angle]],Table2[#Headers],0),0)</f>
        <v xml:space="preserve"> 11 ft.- 8"</v>
      </c>
      <c r="M385" s="2" t="str">
        <f>VLOOKUP([jobnumber],OvalData[],MATCH(Table2[[#Headers],[Middle Angle]],Table2[#Headers],0),0)</f>
        <v xml:space="preserve"> 10 ft.- 4 1/ 2"</v>
      </c>
      <c r="N385" s="2" t="str">
        <f>VLOOKUP([jobnumber],OvalData[],MATCH(Table2[[#Headers],[Front Angle]],Table2[#Headers],0),0)</f>
        <v xml:space="preserve"> 10 ft.- 3"</v>
      </c>
      <c r="O385" s="2">
        <f>VLOOKUP([jobnumber],OvalData[],MATCH(Table2[[#Headers],[Pipe Center Line]],Table2[#Headers],0),0)</f>
        <v>131</v>
      </c>
      <c r="P385" s="2">
        <f>VLOOKUP([jobnumber],OvalData[],MATCH(Table2[[#Headers],[Heat Expansion Gap]],Table2[#Headers],0),0)</f>
        <v>0</v>
      </c>
      <c r="Q385" s="2">
        <f>VLOOKUP([jobnumber],OvalData[],MATCH(Table2[[#Headers],[Hanging Weight Closed]],Table2[#Headers],0),0)</f>
        <v>795</v>
      </c>
      <c r="R385" s="2">
        <f>VLOOKUP([jobnumber],OvalData[],MATCH(Table2[[#Headers],[Hanging Weight Open]],Table2[#Headers],0),0)</f>
        <v>140</v>
      </c>
      <c r="S385" s="2">
        <f>VLOOKUP([jobnumber],OvalData[],MATCH(Table2[[#Headers],[Initial Lever Arm]],Table2[#Headers],0),0)</f>
        <v>4.25</v>
      </c>
      <c r="T385" s="2">
        <f>VLOOKUP([jobnumber],OvalData[],MATCH(Table2[[#Headers],[Turns to Raise]],Table2[#Headers],0),0)</f>
        <v>3.5859999999999999</v>
      </c>
      <c r="U385" s="2">
        <f>VLOOKUP([jobnumber],OvalData[],MATCH(Table2[[#Headers],[Final Lever Arm]],Table2[#Headers],0),0)</f>
        <v>6.37</v>
      </c>
      <c r="V385" s="2">
        <f>VLOOKUP([jobnumber],OvalData[],MATCH(Table2[[#Headers],[Torque Required Closed]],Table2[#Headers],0),0)</f>
        <v>3377.9</v>
      </c>
      <c r="W385" s="2">
        <f>VLOOKUP([jobnumber],OvalData[],MATCH(Table2[[#Headers],[Torque Required Open]],Table2[#Headers],0),0)</f>
        <v>892</v>
      </c>
      <c r="X385" s="2">
        <f>VLOOKUP([jobnumber],OvalData[],MATCH(Table2[[#Headers],[Pre Turns]],Table2[#Headers],0),0)</f>
        <v>1.3332999999999999</v>
      </c>
      <c r="Y385" s="2">
        <f>VLOOKUP([jobnumber],OvalData[],MATCH(Table2[[#Headers],[Required Torque Per Turn]],Table2[#Headers],0),0)</f>
        <v>688</v>
      </c>
      <c r="Z385" s="2">
        <f>VLOOKUP([jobnumber],OvalData[],MATCH(Table2[[#Headers],[Total Turns]],Table2[#Headers],0),0)</f>
        <v>4.91</v>
      </c>
      <c r="AA385" s="2">
        <f>VLOOKUP([jobnumber],OvalData[],MATCH(Table2[[#Headers],[Grille Vision Section]],Table2[#Headers],0),0)</f>
        <v>0</v>
      </c>
      <c r="AB385" s="2">
        <f>VLOOKUP([jobnumber],OvalData[],MATCH(Table2[[#Headers],[Grille Amount]],Table2[#Headers],0),0)</f>
        <v>0</v>
      </c>
      <c r="AC385" s="2">
        <f>VLOOKUP([jobnumber],OvalData[],MATCH(Table2[[#Headers],[Grille Center]],Table2[#Headers],0),0)</f>
        <v>0</v>
      </c>
      <c r="AD385" s="2">
        <f>VLOOKUP([jobnumber],OvalData[],MATCH(Table2[[#Headers],[Grille Pattern]],Table2[#Headers],0),0)</f>
        <v>0</v>
      </c>
      <c r="AE385" s="2">
        <f>VLOOKUP([jobnumber],OvalData[],MATCH(Table2[[#Headers],[Grille First Tube]],Table2[#Headers],0),0)</f>
        <v>0</v>
      </c>
      <c r="AF385" s="2">
        <f>VLOOKUP([jobnumber],OvalData[],MATCH(Table2[[#Headers],[Grille Standard Tube]],Table2[#Headers],0),0)</f>
        <v>0</v>
      </c>
      <c r="AG385" s="2">
        <f>VLOOKUP([jobnumber],OvalData[],MATCH(Table2[[#Headers],[Grille Total Links]],Table2[#Headers],0),0)</f>
        <v>0</v>
      </c>
      <c r="AH385" s="2">
        <f>VLOOKUP([jobnumber],OvalData[],MATCH(Table2[[#Headers],[Grille Rods]],Table2[#Headers],0),0)</f>
        <v>0</v>
      </c>
      <c r="AI385" s="2">
        <f>VLOOKUP([jobnumber],OvalData[],MATCH(Table2[[#Headers],[Grille Rod Length]],Table2[#Headers],0),0)</f>
        <v>0</v>
      </c>
      <c r="AJ385" s="2">
        <f>VLOOKUP([jobnumber],OvalData[],MATCH(Table2[[#Headers],[slattype]],Table2[#Headers],0),0)</f>
        <v>2</v>
      </c>
      <c r="AK385" s="2">
        <f>VLOOKUP([jobnumber],OvalData[],MATCH(Table2[[#Headers],[slatgage]],Table2[#Headers],0),0)</f>
        <v>18</v>
      </c>
      <c r="AL385" s="2">
        <f>VLOOKUP([jobnumber],OvalData[],MATCH(Table2[[#Headers],[Numer of Top Slats]],Table2[#Headers],0),0)</f>
        <v>0</v>
      </c>
      <c r="AM385" s="2">
        <f>VLOOKUP([jobnumber],OvalData[],MATCH(Table2[[#Headers],[Number of Bottom Slats]],Table2[#Headers],0),0)</f>
        <v>0</v>
      </c>
      <c r="AN385" s="2">
        <f>VLOOKUP([jobnumber],OvalData[],MATCH(Table2[[#Headers],[Solid Bottom Height]],Table2[#Headers],0),0)</f>
        <v>0</v>
      </c>
      <c r="AO385" s="2" t="str">
        <f>VLOOKUP([jobnumber],OvalData[],MATCH(Table2[[#Headers],[slatlength]],Table2[#Headers],0),0)</f>
        <v xml:space="preserve"> 18 ft.- 5 7/ 8"</v>
      </c>
      <c r="AP385" s="2">
        <f>VLOOKUP([jobnumber],OvalData[],MATCH(Table2[[#Headers],[Bottom Slat Length]],Table2[#Headers],0),0)</f>
        <v>0</v>
      </c>
      <c r="AQ385" s="2">
        <f>VLOOKUP([jobnumber],OvalData[],MATCH(Table2[[#Headers],[Number of Perferated Slats]],Table2[#Headers],0),0)</f>
        <v>0</v>
      </c>
      <c r="AR385" s="2">
        <f>VLOOKUP([jobnumber],OvalData[],MATCH(Table2[[#Headers],[First Preferated Slat From End]],Table2[#Headers],0),0)</f>
        <v>0</v>
      </c>
      <c r="AS385" s="2">
        <f>VLOOKUP([jobnumber],OvalData[],MATCH(Table2[[#Headers],[First Preferated Slat From Bottom]],Table2[#Headers],0),0)</f>
        <v>0</v>
      </c>
      <c r="AT385" s="2">
        <f>VLOOKUP([jobnumber],OvalData[],MATCH(Table2[[#Headers],[Total Number of Slats]],Table2[#Headers],0),0)</f>
        <v>51</v>
      </c>
      <c r="AU385" s="2">
        <f>VLOOKUP([jobnumber],OvalData[],MATCH(Table2[[#Headers],[Bottom Bar Slope]],Table2[#Headers],0),0)</f>
        <v>0</v>
      </c>
      <c r="AV385" s="2">
        <f>VLOOKUP([jobnumber],OvalData[],MATCH(Table2[[#Headers],[Bottom Bar Weight]],Table2[#Headers],0),0)</f>
        <v>80.5</v>
      </c>
      <c r="AW385" s="2" t="str">
        <f>VLOOKUP([jobnumber],OvalData[],MATCH(Table2[[#Headers],[Outer Spring Gage]],Table2[#Headers],0),0)</f>
        <v>Null</v>
      </c>
      <c r="AX385" s="2" t="str">
        <f>VLOOKUP([jobnumber],OvalData[],MATCH(Table2[[#Headers],[Outer Spring OD]],Table2[#Headers],0),0)</f>
        <v>Null</v>
      </c>
      <c r="AY385" s="2" t="str">
        <f>VLOOKUP([jobnumber],OvalData[],MATCH(Table2[[#Headers],[Outer Spring Length]],Table2[#Headers],0),0)</f>
        <v>Null</v>
      </c>
      <c r="AZ385" s="2" t="str">
        <f>VLOOKUP([jobnumber],OvalData[],MATCH(Table2[[#Headers],[Outer Spring Stretch]],Table2[#Headers],0),0)</f>
        <v>Null</v>
      </c>
      <c r="BA385" s="2" t="str">
        <f>VLOOKUP([jobnumber],OvalData[],MATCH(Table2[[#Headers],[Outer Spring Torque]],Table2[#Headers],0),0)</f>
        <v>Null</v>
      </c>
      <c r="BB385" s="2" t="str">
        <f>VLOOKUP([jobnumber],OvalData[],MATCH(Table2[[#Headers],[Outer Spring Max Turns]],Table2[#Headers],0),0)</f>
        <v>Null</v>
      </c>
      <c r="BC385" s="2" t="str">
        <f>VLOOKUP([jobnumber],OvalData[],MATCH(Table2[[#Headers],[Outer Spring Weight]],Table2[#Headers],0),0)</f>
        <v>Null</v>
      </c>
      <c r="BD385" s="2" t="str">
        <f>VLOOKUP([jobnumber],OvalData[],MATCH(Table2[[#Headers],[Inner Spring Gage]],Table2[#Headers],0),0)</f>
        <v>Null</v>
      </c>
      <c r="BE385" s="2" t="str">
        <f>VLOOKUP([jobnumber],OvalData[],MATCH(Table2[[#Headers],[Inner Spring OD]],Table2[#Headers],0),0)</f>
        <v>Null</v>
      </c>
      <c r="BF385" s="2" t="str">
        <f>VLOOKUP([jobnumber],OvalData[],MATCH(Table2[[#Headers],[Inner Spring Length]],Table2[#Headers],0),0)</f>
        <v>Null</v>
      </c>
      <c r="BG385" s="2" t="str">
        <f>VLOOKUP([jobnumber],OvalData[],MATCH(Table2[[#Headers],[Inner Spring Stretch]],Table2[#Headers],0),0)</f>
        <v>Null</v>
      </c>
      <c r="BH385" s="2" t="str">
        <f>VLOOKUP([jobnumber],OvalData[],MATCH(Table2[[#Headers],[Inner Spring Torque]],Table2[#Headers],0),0)</f>
        <v>Null</v>
      </c>
      <c r="BI385" s="2" t="str">
        <f>VLOOKUP([jobnumber],OvalData[],MATCH(Table2[[#Headers],[Inner Spring Max Turns]],Table2[#Headers],0),0)</f>
        <v>Null</v>
      </c>
      <c r="BJ385" s="2" t="str">
        <f>VLOOKUP([jobnumber],OvalData[],MATCH(Table2[[#Headers],[Inner Spring Weight]],Table2[#Headers],0),0)</f>
        <v>Null</v>
      </c>
      <c r="BK385" s="2">
        <f>VLOOKUP([jobnumber],OvalData[],MATCH(Table2[[#Headers],[Cycles]],Table2[#Headers],0),0)</f>
        <v>0</v>
      </c>
      <c r="BL385" s="2">
        <f>VLOOKUP([jobnumber],OvalData[],MATCH(Table2[[#Headers],[Total Spring Torque]],Table2[#Headers],0),0)</f>
        <v>0</v>
      </c>
      <c r="BM385" s="2">
        <f>VLOOKUP([jobnumber],OvalData[],MATCH(Table2[[#Headers],[Total Spring Weight]],Table2[#Headers],0),0)</f>
        <v>0</v>
      </c>
      <c r="BN385" s="2">
        <f>VLOOKUP([jobnumber],OvalData[],MATCH(Table2[[#Headers],[Pipe Weight]],Table2[#Headers],0),0)</f>
        <v>688.24239999999998</v>
      </c>
      <c r="BO385" s="2">
        <f>VLOOKUP([jobnumber],OvalData[],MATCH(Table2[[#Headers],[Max Pipe Deflection]],Table2[#Headers],0),0)</f>
        <v>2309</v>
      </c>
      <c r="BP385" s="2">
        <f>VLOOKUP([jobnumber],OvalData[],MATCH(Table2[[#Headers],[Number Non-Insulated Wrap Slats]],Table2[#Headers],0),0)</f>
        <v>0</v>
      </c>
      <c r="BQ385" s="2">
        <f>VLOOKUP([jobnumber],OvalData[],MATCH(Table2[[#Headers],[Number of Insolated Top Slats]],Table2[#Headers],0),0)</f>
        <v>45</v>
      </c>
      <c r="BR385" s="2">
        <f>VLOOKUP([jobnumber],OvalData[],MATCH(Table2[[#Headers],[Insolated Total Slats]],Table2[#Headers],0),0)</f>
        <v>45</v>
      </c>
      <c r="BS385" s="2">
        <f>VLOOKUP([jobnumber],OvalData[],MATCH(Table2[[#Headers],[Number of Slats]],Table2[#Headers],0),0)</f>
        <v>44.69</v>
      </c>
      <c r="BT385" s="2">
        <f>VLOOKUP([jobnumber],OvalData[],MATCH(Table2[[#Headers],[Wrap]],Table2[#Headers],0),0)</f>
        <v>0</v>
      </c>
      <c r="BU385" s="2">
        <f>VLOOKUP([jobnumber],OvalData[],MATCH(Table2[[#Headers],[Wall Angle Thickness]],Table2[#Headers],0),0)</f>
        <v>0</v>
      </c>
      <c r="BV385" s="2">
        <f>VLOOKUP([jobnumber],OvalData[],MATCH(Table2[[#Headers],[windlocks]],Table2[#Headers],0),0)</f>
        <v>0</v>
      </c>
      <c r="BW385" s="2" t="str">
        <f>VLOOKUP([jobnumber],OvalData[],MATCH(Table2[[#Headers],[bottombartype]],Table2[#Headers],0),0)</f>
        <v>SPECIAL</v>
      </c>
      <c r="BX385" s="2">
        <f>VLOOKUP([jobnumber],OvalData[],MATCH(Table2[[#Headers],[endlockweight]],Table2[#Headers],0),0)</f>
        <v>0.17</v>
      </c>
      <c r="BY385" s="2">
        <f>VLOOKUP([jobnumber],OvalData[],MATCH(Table2[[#Headers],[Endlock Total Weight]],Table2[#Headers],0),0)</f>
        <v>7.5972999999999997</v>
      </c>
      <c r="BZ385" s="2">
        <f>VLOOKUP([jobnumber],OvalData[],MATCH(Table2[[#Headers],[Grille Weight]],Table2[#Headers],0),0)</f>
        <v>0</v>
      </c>
      <c r="CA385" s="2">
        <f>VLOOKUP([jobnumber],OvalData[],MATCH(Table2[[#Headers],[barrelrings]],Table2[#Headers],0),0)</f>
        <v>1</v>
      </c>
    </row>
    <row r="386" spans="2:79">
      <c r="B386" s="2" t="str">
        <f>VLOOKUP([jobnumber],OvalData[],MATCH(Table2[[#Headers],[Hand]],Table2[#Headers],0),0)</f>
        <v>RH</v>
      </c>
      <c r="C386" s="2" t="str">
        <f>VLOOKUP([jobnumber],OvalData[],MATCH(Table2[[#Headers],[Model]],Table2[#Headers],0),0)</f>
        <v>SFMPP</v>
      </c>
      <c r="D386" s="2" t="str">
        <f>VLOOKUP([jobnumber],OvalData[],MATCH(Table2[[#Headers],[width]],Table2[#Headers],0),0)</f>
        <v xml:space="preserve"> 18 ft.- 2"</v>
      </c>
      <c r="E386" s="2" t="str">
        <f>VLOOKUP([jobnumber],OvalData[],MATCH(Table2[[#Headers],[stopheight]],Table2[#Headers],0),0)</f>
        <v xml:space="preserve"> 10 ft.- 0"</v>
      </c>
      <c r="F386" s="2" t="str">
        <f>VLOOKUP([jobnumber],OvalData[],MATCH(Table2[[#Headers],[Between Brackets]],Table2[#Headers],0),0)</f>
        <v xml:space="preserve"> 18 ft.- 7 7/ 8"</v>
      </c>
      <c r="G386" s="2" t="str">
        <f>VLOOKUP([jobnumber],OvalData[],MATCH(Table2[[#Headers],[shell]],Table2[#Headers],0),0)</f>
        <v>6 INCH TUBE</v>
      </c>
      <c r="H386" s="2" t="str">
        <f>VLOOKUP([jobnumber],OvalData[],MATCH(Table2[[#Headers],[pipewidth]],Table2[#Headers],0),0)</f>
        <v xml:space="preserve"> 18 ft.- 1 3/ 8"</v>
      </c>
      <c r="I386" s="2">
        <f>VLOOKUP([jobnumber],OvalData[],MATCH(Table2[[#Headers],[Support Tubes]],Table2[#Headers],0),0)</f>
        <v>0</v>
      </c>
      <c r="J386" s="2">
        <f>VLOOKUP([jobnumber],OvalData[],MATCH(Table2[[#Headers],[Upset]],Table2[#Headers],0),0)</f>
        <v>2</v>
      </c>
      <c r="K386" s="2" t="str">
        <f>VLOOKUP([jobnumber],OvalData[],MATCH(Table2[[#Headers],[Guide Type]],Table2[#Headers],0),0)</f>
        <v>SN2-4 5/8-E</v>
      </c>
      <c r="L386" s="2" t="str">
        <f>VLOOKUP([jobnumber],OvalData[],MATCH(Table2[[#Headers],[Wall Angle]],Table2[#Headers],0),0)</f>
        <v xml:space="preserve"> 11 ft.- 8"</v>
      </c>
      <c r="M386" s="2" t="str">
        <f>VLOOKUP([jobnumber],OvalData[],MATCH(Table2[[#Headers],[Middle Angle]],Table2[#Headers],0),0)</f>
        <v xml:space="preserve"> 10 ft.- 4 1/ 2"</v>
      </c>
      <c r="N386" s="2" t="str">
        <f>VLOOKUP([jobnumber],OvalData[],MATCH(Table2[[#Headers],[Front Angle]],Table2[#Headers],0),0)</f>
        <v xml:space="preserve"> 10 ft.- 3"</v>
      </c>
      <c r="O386" s="2">
        <f>VLOOKUP([jobnumber],OvalData[],MATCH(Table2[[#Headers],[Pipe Center Line]],Table2[#Headers],0),0)</f>
        <v>131</v>
      </c>
      <c r="P386" s="2">
        <f>VLOOKUP([jobnumber],OvalData[],MATCH(Table2[[#Headers],[Heat Expansion Gap]],Table2[#Headers],0),0)</f>
        <v>0</v>
      </c>
      <c r="Q386" s="2">
        <f>VLOOKUP([jobnumber],OvalData[],MATCH(Table2[[#Headers],[Hanging Weight Closed]],Table2[#Headers],0),0)</f>
        <v>795</v>
      </c>
      <c r="R386" s="2">
        <f>VLOOKUP([jobnumber],OvalData[],MATCH(Table2[[#Headers],[Hanging Weight Open]],Table2[#Headers],0),0)</f>
        <v>140</v>
      </c>
      <c r="S386" s="2">
        <f>VLOOKUP([jobnumber],OvalData[],MATCH(Table2[[#Headers],[Initial Lever Arm]],Table2[#Headers],0),0)</f>
        <v>4.25</v>
      </c>
      <c r="T386" s="2">
        <f>VLOOKUP([jobnumber],OvalData[],MATCH(Table2[[#Headers],[Turns to Raise]],Table2[#Headers],0),0)</f>
        <v>3.5859999999999999</v>
      </c>
      <c r="U386" s="2">
        <f>VLOOKUP([jobnumber],OvalData[],MATCH(Table2[[#Headers],[Final Lever Arm]],Table2[#Headers],0),0)</f>
        <v>6.37</v>
      </c>
      <c r="V386" s="2">
        <f>VLOOKUP([jobnumber],OvalData[],MATCH(Table2[[#Headers],[Torque Required Closed]],Table2[#Headers],0),0)</f>
        <v>3377.9</v>
      </c>
      <c r="W386" s="2">
        <f>VLOOKUP([jobnumber],OvalData[],MATCH(Table2[[#Headers],[Torque Required Open]],Table2[#Headers],0),0)</f>
        <v>892</v>
      </c>
      <c r="X386" s="2">
        <f>VLOOKUP([jobnumber],OvalData[],MATCH(Table2[[#Headers],[Pre Turns]],Table2[#Headers],0),0)</f>
        <v>1.3332999999999999</v>
      </c>
      <c r="Y386" s="2">
        <f>VLOOKUP([jobnumber],OvalData[],MATCH(Table2[[#Headers],[Required Torque Per Turn]],Table2[#Headers],0),0)</f>
        <v>688</v>
      </c>
      <c r="Z386" s="2">
        <f>VLOOKUP([jobnumber],OvalData[],MATCH(Table2[[#Headers],[Total Turns]],Table2[#Headers],0),0)</f>
        <v>4.91</v>
      </c>
      <c r="AA386" s="2">
        <f>VLOOKUP([jobnumber],OvalData[],MATCH(Table2[[#Headers],[Grille Vision Section]],Table2[#Headers],0),0)</f>
        <v>0</v>
      </c>
      <c r="AB386" s="2">
        <f>VLOOKUP([jobnumber],OvalData[],MATCH(Table2[[#Headers],[Grille Amount]],Table2[#Headers],0),0)</f>
        <v>0</v>
      </c>
      <c r="AC386" s="2">
        <f>VLOOKUP([jobnumber],OvalData[],MATCH(Table2[[#Headers],[Grille Center]],Table2[#Headers],0),0)</f>
        <v>0</v>
      </c>
      <c r="AD386" s="2">
        <f>VLOOKUP([jobnumber],OvalData[],MATCH(Table2[[#Headers],[Grille Pattern]],Table2[#Headers],0),0)</f>
        <v>0</v>
      </c>
      <c r="AE386" s="2">
        <f>VLOOKUP([jobnumber],OvalData[],MATCH(Table2[[#Headers],[Grille First Tube]],Table2[#Headers],0),0)</f>
        <v>0</v>
      </c>
      <c r="AF386" s="2">
        <f>VLOOKUP([jobnumber],OvalData[],MATCH(Table2[[#Headers],[Grille Standard Tube]],Table2[#Headers],0),0)</f>
        <v>0</v>
      </c>
      <c r="AG386" s="2">
        <f>VLOOKUP([jobnumber],OvalData[],MATCH(Table2[[#Headers],[Grille Total Links]],Table2[#Headers],0),0)</f>
        <v>0</v>
      </c>
      <c r="AH386" s="2">
        <f>VLOOKUP([jobnumber],OvalData[],MATCH(Table2[[#Headers],[Grille Rods]],Table2[#Headers],0),0)</f>
        <v>0</v>
      </c>
      <c r="AI386" s="2">
        <f>VLOOKUP([jobnumber],OvalData[],MATCH(Table2[[#Headers],[Grille Rod Length]],Table2[#Headers],0),0)</f>
        <v>0</v>
      </c>
      <c r="AJ386" s="2">
        <f>VLOOKUP([jobnumber],OvalData[],MATCH(Table2[[#Headers],[slattype]],Table2[#Headers],0),0)</f>
        <v>2</v>
      </c>
      <c r="AK386" s="2">
        <f>VLOOKUP([jobnumber],OvalData[],MATCH(Table2[[#Headers],[slatgage]],Table2[#Headers],0),0)</f>
        <v>18</v>
      </c>
      <c r="AL386" s="2">
        <f>VLOOKUP([jobnumber],OvalData[],MATCH(Table2[[#Headers],[Numer of Top Slats]],Table2[#Headers],0),0)</f>
        <v>0</v>
      </c>
      <c r="AM386" s="2">
        <f>VLOOKUP([jobnumber],OvalData[],MATCH(Table2[[#Headers],[Number of Bottom Slats]],Table2[#Headers],0),0)</f>
        <v>0</v>
      </c>
      <c r="AN386" s="2">
        <f>VLOOKUP([jobnumber],OvalData[],MATCH(Table2[[#Headers],[Solid Bottom Height]],Table2[#Headers],0),0)</f>
        <v>0</v>
      </c>
      <c r="AO386" s="2" t="str">
        <f>VLOOKUP([jobnumber],OvalData[],MATCH(Table2[[#Headers],[slatlength]],Table2[#Headers],0),0)</f>
        <v xml:space="preserve"> 18 ft.- 5 7/ 8"</v>
      </c>
      <c r="AP386" s="2">
        <f>VLOOKUP([jobnumber],OvalData[],MATCH(Table2[[#Headers],[Bottom Slat Length]],Table2[#Headers],0),0)</f>
        <v>0</v>
      </c>
      <c r="AQ386" s="2">
        <f>VLOOKUP([jobnumber],OvalData[],MATCH(Table2[[#Headers],[Number of Perferated Slats]],Table2[#Headers],0),0)</f>
        <v>0</v>
      </c>
      <c r="AR386" s="2">
        <f>VLOOKUP([jobnumber],OvalData[],MATCH(Table2[[#Headers],[First Preferated Slat From End]],Table2[#Headers],0),0)</f>
        <v>0</v>
      </c>
      <c r="AS386" s="2">
        <f>VLOOKUP([jobnumber],OvalData[],MATCH(Table2[[#Headers],[First Preferated Slat From Bottom]],Table2[#Headers],0),0)</f>
        <v>0</v>
      </c>
      <c r="AT386" s="2">
        <f>VLOOKUP([jobnumber],OvalData[],MATCH(Table2[[#Headers],[Total Number of Slats]],Table2[#Headers],0),0)</f>
        <v>51</v>
      </c>
      <c r="AU386" s="2">
        <f>VLOOKUP([jobnumber],OvalData[],MATCH(Table2[[#Headers],[Bottom Bar Slope]],Table2[#Headers],0),0)</f>
        <v>0</v>
      </c>
      <c r="AV386" s="2">
        <f>VLOOKUP([jobnumber],OvalData[],MATCH(Table2[[#Headers],[Bottom Bar Weight]],Table2[#Headers],0),0)</f>
        <v>80.5</v>
      </c>
      <c r="AW386" s="2" t="str">
        <f>VLOOKUP([jobnumber],OvalData[],MATCH(Table2[[#Headers],[Outer Spring Gage]],Table2[#Headers],0),0)</f>
        <v>Null</v>
      </c>
      <c r="AX386" s="2" t="str">
        <f>VLOOKUP([jobnumber],OvalData[],MATCH(Table2[[#Headers],[Outer Spring OD]],Table2[#Headers],0),0)</f>
        <v>Null</v>
      </c>
      <c r="AY386" s="2" t="str">
        <f>VLOOKUP([jobnumber],OvalData[],MATCH(Table2[[#Headers],[Outer Spring Length]],Table2[#Headers],0),0)</f>
        <v>Null</v>
      </c>
      <c r="AZ386" s="2" t="str">
        <f>VLOOKUP([jobnumber],OvalData[],MATCH(Table2[[#Headers],[Outer Spring Stretch]],Table2[#Headers],0),0)</f>
        <v>Null</v>
      </c>
      <c r="BA386" s="2" t="str">
        <f>VLOOKUP([jobnumber],OvalData[],MATCH(Table2[[#Headers],[Outer Spring Torque]],Table2[#Headers],0),0)</f>
        <v>Null</v>
      </c>
      <c r="BB386" s="2" t="str">
        <f>VLOOKUP([jobnumber],OvalData[],MATCH(Table2[[#Headers],[Outer Spring Max Turns]],Table2[#Headers],0),0)</f>
        <v>Null</v>
      </c>
      <c r="BC386" s="2" t="str">
        <f>VLOOKUP([jobnumber],OvalData[],MATCH(Table2[[#Headers],[Outer Spring Weight]],Table2[#Headers],0),0)</f>
        <v>Null</v>
      </c>
      <c r="BD386" s="2" t="str">
        <f>VLOOKUP([jobnumber],OvalData[],MATCH(Table2[[#Headers],[Inner Spring Gage]],Table2[#Headers],0),0)</f>
        <v>Null</v>
      </c>
      <c r="BE386" s="2" t="str">
        <f>VLOOKUP([jobnumber],OvalData[],MATCH(Table2[[#Headers],[Inner Spring OD]],Table2[#Headers],0),0)</f>
        <v>Null</v>
      </c>
      <c r="BF386" s="2" t="str">
        <f>VLOOKUP([jobnumber],OvalData[],MATCH(Table2[[#Headers],[Inner Spring Length]],Table2[#Headers],0),0)</f>
        <v>Null</v>
      </c>
      <c r="BG386" s="2" t="str">
        <f>VLOOKUP([jobnumber],OvalData[],MATCH(Table2[[#Headers],[Inner Spring Stretch]],Table2[#Headers],0),0)</f>
        <v>Null</v>
      </c>
      <c r="BH386" s="2" t="str">
        <f>VLOOKUP([jobnumber],OvalData[],MATCH(Table2[[#Headers],[Inner Spring Torque]],Table2[#Headers],0),0)</f>
        <v>Null</v>
      </c>
      <c r="BI386" s="2" t="str">
        <f>VLOOKUP([jobnumber],OvalData[],MATCH(Table2[[#Headers],[Inner Spring Max Turns]],Table2[#Headers],0),0)</f>
        <v>Null</v>
      </c>
      <c r="BJ386" s="2" t="str">
        <f>VLOOKUP([jobnumber],OvalData[],MATCH(Table2[[#Headers],[Inner Spring Weight]],Table2[#Headers],0),0)</f>
        <v>Null</v>
      </c>
      <c r="BK386" s="2">
        <f>VLOOKUP([jobnumber],OvalData[],MATCH(Table2[[#Headers],[Cycles]],Table2[#Headers],0),0)</f>
        <v>0</v>
      </c>
      <c r="BL386" s="2">
        <f>VLOOKUP([jobnumber],OvalData[],MATCH(Table2[[#Headers],[Total Spring Torque]],Table2[#Headers],0),0)</f>
        <v>0</v>
      </c>
      <c r="BM386" s="2">
        <f>VLOOKUP([jobnumber],OvalData[],MATCH(Table2[[#Headers],[Total Spring Weight]],Table2[#Headers],0),0)</f>
        <v>0</v>
      </c>
      <c r="BN386" s="2">
        <f>VLOOKUP([jobnumber],OvalData[],MATCH(Table2[[#Headers],[Pipe Weight]],Table2[#Headers],0),0)</f>
        <v>688.24239999999998</v>
      </c>
      <c r="BO386" s="2">
        <f>VLOOKUP([jobnumber],OvalData[],MATCH(Table2[[#Headers],[Max Pipe Deflection]],Table2[#Headers],0),0)</f>
        <v>2309</v>
      </c>
      <c r="BP386" s="2">
        <f>VLOOKUP([jobnumber],OvalData[],MATCH(Table2[[#Headers],[Number Non-Insulated Wrap Slats]],Table2[#Headers],0),0)</f>
        <v>0</v>
      </c>
      <c r="BQ386" s="2">
        <f>VLOOKUP([jobnumber],OvalData[],MATCH(Table2[[#Headers],[Number of Insolated Top Slats]],Table2[#Headers],0),0)</f>
        <v>45</v>
      </c>
      <c r="BR386" s="2">
        <f>VLOOKUP([jobnumber],OvalData[],MATCH(Table2[[#Headers],[Insolated Total Slats]],Table2[#Headers],0),0)</f>
        <v>45</v>
      </c>
      <c r="BS386" s="2">
        <f>VLOOKUP([jobnumber],OvalData[],MATCH(Table2[[#Headers],[Number of Slats]],Table2[#Headers],0),0)</f>
        <v>44.69</v>
      </c>
      <c r="BT386" s="2">
        <f>VLOOKUP([jobnumber],OvalData[],MATCH(Table2[[#Headers],[Wrap]],Table2[#Headers],0),0)</f>
        <v>0</v>
      </c>
      <c r="BU386" s="2">
        <f>VLOOKUP([jobnumber],OvalData[],MATCH(Table2[[#Headers],[Wall Angle Thickness]],Table2[#Headers],0),0)</f>
        <v>0</v>
      </c>
      <c r="BV386" s="2">
        <f>VLOOKUP([jobnumber],OvalData[],MATCH(Table2[[#Headers],[windlocks]],Table2[#Headers],0),0)</f>
        <v>0</v>
      </c>
      <c r="BW386" s="2" t="str">
        <f>VLOOKUP([jobnumber],OvalData[],MATCH(Table2[[#Headers],[bottombartype]],Table2[#Headers],0),0)</f>
        <v>SPECIAL</v>
      </c>
      <c r="BX386" s="2">
        <f>VLOOKUP([jobnumber],OvalData[],MATCH(Table2[[#Headers],[endlockweight]],Table2[#Headers],0),0)</f>
        <v>0.17</v>
      </c>
      <c r="BY386" s="2">
        <f>VLOOKUP([jobnumber],OvalData[],MATCH(Table2[[#Headers],[Endlock Total Weight]],Table2[#Headers],0),0)</f>
        <v>7.5972999999999997</v>
      </c>
      <c r="BZ386" s="2">
        <f>VLOOKUP([jobnumber],OvalData[],MATCH(Table2[[#Headers],[Grille Weight]],Table2[#Headers],0),0)</f>
        <v>0</v>
      </c>
      <c r="CA386" s="2">
        <f>VLOOKUP([jobnumber],OvalData[],MATCH(Table2[[#Headers],[barrelrings]],Table2[#Headers],0),0)</f>
        <v>1</v>
      </c>
    </row>
    <row r="387" spans="2:79">
      <c r="B387" s="2" t="str">
        <f>VLOOKUP([jobnumber],OvalData[],MATCH(Table2[[#Headers],[Hand]],Table2[#Headers],0),0)</f>
        <v>RH</v>
      </c>
      <c r="C387" s="2" t="str">
        <f>VLOOKUP([jobnumber],OvalData[],MATCH(Table2[[#Headers],[Model]],Table2[#Headers],0),0)</f>
        <v>SFMPP</v>
      </c>
      <c r="D387" s="2" t="str">
        <f>VLOOKUP([jobnumber],OvalData[],MATCH(Table2[[#Headers],[width]],Table2[#Headers],0),0)</f>
        <v xml:space="preserve"> 18 ft.- 2"</v>
      </c>
      <c r="E387" s="2" t="str">
        <f>VLOOKUP([jobnumber],OvalData[],MATCH(Table2[[#Headers],[stopheight]],Table2[#Headers],0),0)</f>
        <v xml:space="preserve"> 10 ft.- 0"</v>
      </c>
      <c r="F387" s="2" t="str">
        <f>VLOOKUP([jobnumber],OvalData[],MATCH(Table2[[#Headers],[Between Brackets]],Table2[#Headers],0),0)</f>
        <v xml:space="preserve"> 18 ft.- 7 7/ 8"</v>
      </c>
      <c r="G387" s="2" t="str">
        <f>VLOOKUP([jobnumber],OvalData[],MATCH(Table2[[#Headers],[shell]],Table2[#Headers],0),0)</f>
        <v>6 INCH TUBE</v>
      </c>
      <c r="H387" s="2" t="str">
        <f>VLOOKUP([jobnumber],OvalData[],MATCH(Table2[[#Headers],[pipewidth]],Table2[#Headers],0),0)</f>
        <v xml:space="preserve"> 18 ft.- 1 3/ 8"</v>
      </c>
      <c r="I387" s="2">
        <f>VLOOKUP([jobnumber],OvalData[],MATCH(Table2[[#Headers],[Support Tubes]],Table2[#Headers],0),0)</f>
        <v>0</v>
      </c>
      <c r="J387" s="2">
        <f>VLOOKUP([jobnumber],OvalData[],MATCH(Table2[[#Headers],[Upset]],Table2[#Headers],0),0)</f>
        <v>2</v>
      </c>
      <c r="K387" s="2" t="str">
        <f>VLOOKUP([jobnumber],OvalData[],MATCH(Table2[[#Headers],[Guide Type]],Table2[#Headers],0),0)</f>
        <v>SN2-4 5/8-E</v>
      </c>
      <c r="L387" s="2" t="str">
        <f>VLOOKUP([jobnumber],OvalData[],MATCH(Table2[[#Headers],[Wall Angle]],Table2[#Headers],0),0)</f>
        <v xml:space="preserve"> 11 ft.- 8"</v>
      </c>
      <c r="M387" s="2" t="str">
        <f>VLOOKUP([jobnumber],OvalData[],MATCH(Table2[[#Headers],[Middle Angle]],Table2[#Headers],0),0)</f>
        <v xml:space="preserve"> 10 ft.- 4 1/ 2"</v>
      </c>
      <c r="N387" s="2" t="str">
        <f>VLOOKUP([jobnumber],OvalData[],MATCH(Table2[[#Headers],[Front Angle]],Table2[#Headers],0),0)</f>
        <v xml:space="preserve"> 10 ft.- 3"</v>
      </c>
      <c r="O387" s="2">
        <f>VLOOKUP([jobnumber],OvalData[],MATCH(Table2[[#Headers],[Pipe Center Line]],Table2[#Headers],0),0)</f>
        <v>131</v>
      </c>
      <c r="P387" s="2">
        <f>VLOOKUP([jobnumber],OvalData[],MATCH(Table2[[#Headers],[Heat Expansion Gap]],Table2[#Headers],0),0)</f>
        <v>0</v>
      </c>
      <c r="Q387" s="2">
        <f>VLOOKUP([jobnumber],OvalData[],MATCH(Table2[[#Headers],[Hanging Weight Closed]],Table2[#Headers],0),0)</f>
        <v>795</v>
      </c>
      <c r="R387" s="2">
        <f>VLOOKUP([jobnumber],OvalData[],MATCH(Table2[[#Headers],[Hanging Weight Open]],Table2[#Headers],0),0)</f>
        <v>140</v>
      </c>
      <c r="S387" s="2">
        <f>VLOOKUP([jobnumber],OvalData[],MATCH(Table2[[#Headers],[Initial Lever Arm]],Table2[#Headers],0),0)</f>
        <v>4.25</v>
      </c>
      <c r="T387" s="2">
        <f>VLOOKUP([jobnumber],OvalData[],MATCH(Table2[[#Headers],[Turns to Raise]],Table2[#Headers],0),0)</f>
        <v>3.5859999999999999</v>
      </c>
      <c r="U387" s="2">
        <f>VLOOKUP([jobnumber],OvalData[],MATCH(Table2[[#Headers],[Final Lever Arm]],Table2[#Headers],0),0)</f>
        <v>6.37</v>
      </c>
      <c r="V387" s="2">
        <f>VLOOKUP([jobnumber],OvalData[],MATCH(Table2[[#Headers],[Torque Required Closed]],Table2[#Headers],0),0)</f>
        <v>3377.9</v>
      </c>
      <c r="W387" s="2">
        <f>VLOOKUP([jobnumber],OvalData[],MATCH(Table2[[#Headers],[Torque Required Open]],Table2[#Headers],0),0)</f>
        <v>892</v>
      </c>
      <c r="X387" s="2">
        <f>VLOOKUP([jobnumber],OvalData[],MATCH(Table2[[#Headers],[Pre Turns]],Table2[#Headers],0),0)</f>
        <v>1.3332999999999999</v>
      </c>
      <c r="Y387" s="2">
        <f>VLOOKUP([jobnumber],OvalData[],MATCH(Table2[[#Headers],[Required Torque Per Turn]],Table2[#Headers],0),0)</f>
        <v>688</v>
      </c>
      <c r="Z387" s="2">
        <f>VLOOKUP([jobnumber],OvalData[],MATCH(Table2[[#Headers],[Total Turns]],Table2[#Headers],0),0)</f>
        <v>4.91</v>
      </c>
      <c r="AA387" s="2">
        <f>VLOOKUP([jobnumber],OvalData[],MATCH(Table2[[#Headers],[Grille Vision Section]],Table2[#Headers],0),0)</f>
        <v>0</v>
      </c>
      <c r="AB387" s="2">
        <f>VLOOKUP([jobnumber],OvalData[],MATCH(Table2[[#Headers],[Grille Amount]],Table2[#Headers],0),0)</f>
        <v>0</v>
      </c>
      <c r="AC387" s="2">
        <f>VLOOKUP([jobnumber],OvalData[],MATCH(Table2[[#Headers],[Grille Center]],Table2[#Headers],0),0)</f>
        <v>0</v>
      </c>
      <c r="AD387" s="2">
        <f>VLOOKUP([jobnumber],OvalData[],MATCH(Table2[[#Headers],[Grille Pattern]],Table2[#Headers],0),0)</f>
        <v>0</v>
      </c>
      <c r="AE387" s="2">
        <f>VLOOKUP([jobnumber],OvalData[],MATCH(Table2[[#Headers],[Grille First Tube]],Table2[#Headers],0),0)</f>
        <v>0</v>
      </c>
      <c r="AF387" s="2">
        <f>VLOOKUP([jobnumber],OvalData[],MATCH(Table2[[#Headers],[Grille Standard Tube]],Table2[#Headers],0),0)</f>
        <v>0</v>
      </c>
      <c r="AG387" s="2">
        <f>VLOOKUP([jobnumber],OvalData[],MATCH(Table2[[#Headers],[Grille Total Links]],Table2[#Headers],0),0)</f>
        <v>0</v>
      </c>
      <c r="AH387" s="2">
        <f>VLOOKUP([jobnumber],OvalData[],MATCH(Table2[[#Headers],[Grille Rods]],Table2[#Headers],0),0)</f>
        <v>0</v>
      </c>
      <c r="AI387" s="2">
        <f>VLOOKUP([jobnumber],OvalData[],MATCH(Table2[[#Headers],[Grille Rod Length]],Table2[#Headers],0),0)</f>
        <v>0</v>
      </c>
      <c r="AJ387" s="2">
        <f>VLOOKUP([jobnumber],OvalData[],MATCH(Table2[[#Headers],[slattype]],Table2[#Headers],0),0)</f>
        <v>2</v>
      </c>
      <c r="AK387" s="2">
        <f>VLOOKUP([jobnumber],OvalData[],MATCH(Table2[[#Headers],[slatgage]],Table2[#Headers],0),0)</f>
        <v>18</v>
      </c>
      <c r="AL387" s="2">
        <f>VLOOKUP([jobnumber],OvalData[],MATCH(Table2[[#Headers],[Numer of Top Slats]],Table2[#Headers],0),0)</f>
        <v>0</v>
      </c>
      <c r="AM387" s="2">
        <f>VLOOKUP([jobnumber],OvalData[],MATCH(Table2[[#Headers],[Number of Bottom Slats]],Table2[#Headers],0),0)</f>
        <v>0</v>
      </c>
      <c r="AN387" s="2">
        <f>VLOOKUP([jobnumber],OvalData[],MATCH(Table2[[#Headers],[Solid Bottom Height]],Table2[#Headers],0),0)</f>
        <v>0</v>
      </c>
      <c r="AO387" s="2" t="str">
        <f>VLOOKUP([jobnumber],OvalData[],MATCH(Table2[[#Headers],[slatlength]],Table2[#Headers],0),0)</f>
        <v xml:space="preserve"> 18 ft.- 5 7/ 8"</v>
      </c>
      <c r="AP387" s="2">
        <f>VLOOKUP([jobnumber],OvalData[],MATCH(Table2[[#Headers],[Bottom Slat Length]],Table2[#Headers],0),0)</f>
        <v>0</v>
      </c>
      <c r="AQ387" s="2">
        <f>VLOOKUP([jobnumber],OvalData[],MATCH(Table2[[#Headers],[Number of Perferated Slats]],Table2[#Headers],0),0)</f>
        <v>0</v>
      </c>
      <c r="AR387" s="2">
        <f>VLOOKUP([jobnumber],OvalData[],MATCH(Table2[[#Headers],[First Preferated Slat From End]],Table2[#Headers],0),0)</f>
        <v>0</v>
      </c>
      <c r="AS387" s="2">
        <f>VLOOKUP([jobnumber],OvalData[],MATCH(Table2[[#Headers],[First Preferated Slat From Bottom]],Table2[#Headers],0),0)</f>
        <v>0</v>
      </c>
      <c r="AT387" s="2">
        <f>VLOOKUP([jobnumber],OvalData[],MATCH(Table2[[#Headers],[Total Number of Slats]],Table2[#Headers],0),0)</f>
        <v>51</v>
      </c>
      <c r="AU387" s="2">
        <f>VLOOKUP([jobnumber],OvalData[],MATCH(Table2[[#Headers],[Bottom Bar Slope]],Table2[#Headers],0),0)</f>
        <v>0</v>
      </c>
      <c r="AV387" s="2">
        <f>VLOOKUP([jobnumber],OvalData[],MATCH(Table2[[#Headers],[Bottom Bar Weight]],Table2[#Headers],0),0)</f>
        <v>80.5</v>
      </c>
      <c r="AW387" s="2" t="str">
        <f>VLOOKUP([jobnumber],OvalData[],MATCH(Table2[[#Headers],[Outer Spring Gage]],Table2[#Headers],0),0)</f>
        <v>Null</v>
      </c>
      <c r="AX387" s="2" t="str">
        <f>VLOOKUP([jobnumber],OvalData[],MATCH(Table2[[#Headers],[Outer Spring OD]],Table2[#Headers],0),0)</f>
        <v>Null</v>
      </c>
      <c r="AY387" s="2" t="str">
        <f>VLOOKUP([jobnumber],OvalData[],MATCH(Table2[[#Headers],[Outer Spring Length]],Table2[#Headers],0),0)</f>
        <v>Null</v>
      </c>
      <c r="AZ387" s="2" t="str">
        <f>VLOOKUP([jobnumber],OvalData[],MATCH(Table2[[#Headers],[Outer Spring Stretch]],Table2[#Headers],0),0)</f>
        <v>Null</v>
      </c>
      <c r="BA387" s="2" t="str">
        <f>VLOOKUP([jobnumber],OvalData[],MATCH(Table2[[#Headers],[Outer Spring Torque]],Table2[#Headers],0),0)</f>
        <v>Null</v>
      </c>
      <c r="BB387" s="2" t="str">
        <f>VLOOKUP([jobnumber],OvalData[],MATCH(Table2[[#Headers],[Outer Spring Max Turns]],Table2[#Headers],0),0)</f>
        <v>Null</v>
      </c>
      <c r="BC387" s="2" t="str">
        <f>VLOOKUP([jobnumber],OvalData[],MATCH(Table2[[#Headers],[Outer Spring Weight]],Table2[#Headers],0),0)</f>
        <v>Null</v>
      </c>
      <c r="BD387" s="2" t="str">
        <f>VLOOKUP([jobnumber],OvalData[],MATCH(Table2[[#Headers],[Inner Spring Gage]],Table2[#Headers],0),0)</f>
        <v>Null</v>
      </c>
      <c r="BE387" s="2" t="str">
        <f>VLOOKUP([jobnumber],OvalData[],MATCH(Table2[[#Headers],[Inner Spring OD]],Table2[#Headers],0),0)</f>
        <v>Null</v>
      </c>
      <c r="BF387" s="2" t="str">
        <f>VLOOKUP([jobnumber],OvalData[],MATCH(Table2[[#Headers],[Inner Spring Length]],Table2[#Headers],0),0)</f>
        <v>Null</v>
      </c>
      <c r="BG387" s="2" t="str">
        <f>VLOOKUP([jobnumber],OvalData[],MATCH(Table2[[#Headers],[Inner Spring Stretch]],Table2[#Headers],0),0)</f>
        <v>Null</v>
      </c>
      <c r="BH387" s="2" t="str">
        <f>VLOOKUP([jobnumber],OvalData[],MATCH(Table2[[#Headers],[Inner Spring Torque]],Table2[#Headers],0),0)</f>
        <v>Null</v>
      </c>
      <c r="BI387" s="2" t="str">
        <f>VLOOKUP([jobnumber],OvalData[],MATCH(Table2[[#Headers],[Inner Spring Max Turns]],Table2[#Headers],0),0)</f>
        <v>Null</v>
      </c>
      <c r="BJ387" s="2" t="str">
        <f>VLOOKUP([jobnumber],OvalData[],MATCH(Table2[[#Headers],[Inner Spring Weight]],Table2[#Headers],0),0)</f>
        <v>Null</v>
      </c>
      <c r="BK387" s="2">
        <f>VLOOKUP([jobnumber],OvalData[],MATCH(Table2[[#Headers],[Cycles]],Table2[#Headers],0),0)</f>
        <v>0</v>
      </c>
      <c r="BL387" s="2">
        <f>VLOOKUP([jobnumber],OvalData[],MATCH(Table2[[#Headers],[Total Spring Torque]],Table2[#Headers],0),0)</f>
        <v>0</v>
      </c>
      <c r="BM387" s="2">
        <f>VLOOKUP([jobnumber],OvalData[],MATCH(Table2[[#Headers],[Total Spring Weight]],Table2[#Headers],0),0)</f>
        <v>0</v>
      </c>
      <c r="BN387" s="2">
        <f>VLOOKUP([jobnumber],OvalData[],MATCH(Table2[[#Headers],[Pipe Weight]],Table2[#Headers],0),0)</f>
        <v>688.24239999999998</v>
      </c>
      <c r="BO387" s="2">
        <f>VLOOKUP([jobnumber],OvalData[],MATCH(Table2[[#Headers],[Max Pipe Deflection]],Table2[#Headers],0),0)</f>
        <v>2309</v>
      </c>
      <c r="BP387" s="2">
        <f>VLOOKUP([jobnumber],OvalData[],MATCH(Table2[[#Headers],[Number Non-Insulated Wrap Slats]],Table2[#Headers],0),0)</f>
        <v>0</v>
      </c>
      <c r="BQ387" s="2">
        <f>VLOOKUP([jobnumber],OvalData[],MATCH(Table2[[#Headers],[Number of Insolated Top Slats]],Table2[#Headers],0),0)</f>
        <v>45</v>
      </c>
      <c r="BR387" s="2">
        <f>VLOOKUP([jobnumber],OvalData[],MATCH(Table2[[#Headers],[Insolated Total Slats]],Table2[#Headers],0),0)</f>
        <v>45</v>
      </c>
      <c r="BS387" s="2">
        <f>VLOOKUP([jobnumber],OvalData[],MATCH(Table2[[#Headers],[Number of Slats]],Table2[#Headers],0),0)</f>
        <v>44.69</v>
      </c>
      <c r="BT387" s="2">
        <f>VLOOKUP([jobnumber],OvalData[],MATCH(Table2[[#Headers],[Wrap]],Table2[#Headers],0),0)</f>
        <v>0</v>
      </c>
      <c r="BU387" s="2">
        <f>VLOOKUP([jobnumber],OvalData[],MATCH(Table2[[#Headers],[Wall Angle Thickness]],Table2[#Headers],0),0)</f>
        <v>0</v>
      </c>
      <c r="BV387" s="2">
        <f>VLOOKUP([jobnumber],OvalData[],MATCH(Table2[[#Headers],[windlocks]],Table2[#Headers],0),0)</f>
        <v>0</v>
      </c>
      <c r="BW387" s="2" t="str">
        <f>VLOOKUP([jobnumber],OvalData[],MATCH(Table2[[#Headers],[bottombartype]],Table2[#Headers],0),0)</f>
        <v>SPECIAL</v>
      </c>
      <c r="BX387" s="2">
        <f>VLOOKUP([jobnumber],OvalData[],MATCH(Table2[[#Headers],[endlockweight]],Table2[#Headers],0),0)</f>
        <v>0.17</v>
      </c>
      <c r="BY387" s="2">
        <f>VLOOKUP([jobnumber],OvalData[],MATCH(Table2[[#Headers],[Endlock Total Weight]],Table2[#Headers],0),0)</f>
        <v>7.5972999999999997</v>
      </c>
      <c r="BZ387" s="2">
        <f>VLOOKUP([jobnumber],OvalData[],MATCH(Table2[[#Headers],[Grille Weight]],Table2[#Headers],0),0)</f>
        <v>0</v>
      </c>
      <c r="CA387" s="2">
        <f>VLOOKUP([jobnumber],OvalData[],MATCH(Table2[[#Headers],[barrelrings]],Table2[#Headers],0),0)</f>
        <v>1</v>
      </c>
    </row>
    <row r="388" spans="2:79">
      <c r="B388" s="2" t="str">
        <f>VLOOKUP([jobnumber],OvalData[],MATCH(Table2[[#Headers],[Hand]],Table2[#Headers],0),0)</f>
        <v>RH</v>
      </c>
      <c r="C388" s="2" t="str">
        <f>VLOOKUP([jobnumber],OvalData[],MATCH(Table2[[#Headers],[Model]],Table2[#Headers],0),0)</f>
        <v>SFMPP</v>
      </c>
      <c r="D388" s="2" t="str">
        <f>VLOOKUP([jobnumber],OvalData[],MATCH(Table2[[#Headers],[width]],Table2[#Headers],0),0)</f>
        <v xml:space="preserve"> 18 ft.- 2"</v>
      </c>
      <c r="E388" s="2" t="str">
        <f>VLOOKUP([jobnumber],OvalData[],MATCH(Table2[[#Headers],[stopheight]],Table2[#Headers],0),0)</f>
        <v xml:space="preserve"> 10 ft.- 0"</v>
      </c>
      <c r="F388" s="2" t="str">
        <f>VLOOKUP([jobnumber],OvalData[],MATCH(Table2[[#Headers],[Between Brackets]],Table2[#Headers],0),0)</f>
        <v xml:space="preserve"> 18 ft.- 7 7/ 8"</v>
      </c>
      <c r="G388" s="2" t="str">
        <f>VLOOKUP([jobnumber],OvalData[],MATCH(Table2[[#Headers],[shell]],Table2[#Headers],0),0)</f>
        <v>6 INCH TUBE</v>
      </c>
      <c r="H388" s="2" t="str">
        <f>VLOOKUP([jobnumber],OvalData[],MATCH(Table2[[#Headers],[pipewidth]],Table2[#Headers],0),0)</f>
        <v xml:space="preserve"> 18 ft.- 1 3/ 8"</v>
      </c>
      <c r="I388" s="2">
        <f>VLOOKUP([jobnumber],OvalData[],MATCH(Table2[[#Headers],[Support Tubes]],Table2[#Headers],0),0)</f>
        <v>0</v>
      </c>
      <c r="J388" s="2">
        <f>VLOOKUP([jobnumber],OvalData[],MATCH(Table2[[#Headers],[Upset]],Table2[#Headers],0),0)</f>
        <v>2</v>
      </c>
      <c r="K388" s="2" t="str">
        <f>VLOOKUP([jobnumber],OvalData[],MATCH(Table2[[#Headers],[Guide Type]],Table2[#Headers],0),0)</f>
        <v>SN2-4 5/8-E</v>
      </c>
      <c r="L388" s="2" t="str">
        <f>VLOOKUP([jobnumber],OvalData[],MATCH(Table2[[#Headers],[Wall Angle]],Table2[#Headers],0),0)</f>
        <v xml:space="preserve"> 11 ft.- 8"</v>
      </c>
      <c r="M388" s="2" t="str">
        <f>VLOOKUP([jobnumber],OvalData[],MATCH(Table2[[#Headers],[Middle Angle]],Table2[#Headers],0),0)</f>
        <v xml:space="preserve"> 10 ft.- 4 1/ 2"</v>
      </c>
      <c r="N388" s="2" t="str">
        <f>VLOOKUP([jobnumber],OvalData[],MATCH(Table2[[#Headers],[Front Angle]],Table2[#Headers],0),0)</f>
        <v xml:space="preserve"> 10 ft.- 3"</v>
      </c>
      <c r="O388" s="2">
        <f>VLOOKUP([jobnumber],OvalData[],MATCH(Table2[[#Headers],[Pipe Center Line]],Table2[#Headers],0),0)</f>
        <v>131</v>
      </c>
      <c r="P388" s="2">
        <f>VLOOKUP([jobnumber],OvalData[],MATCH(Table2[[#Headers],[Heat Expansion Gap]],Table2[#Headers],0),0)</f>
        <v>0</v>
      </c>
      <c r="Q388" s="2">
        <f>VLOOKUP([jobnumber],OvalData[],MATCH(Table2[[#Headers],[Hanging Weight Closed]],Table2[#Headers],0),0)</f>
        <v>795</v>
      </c>
      <c r="R388" s="2">
        <f>VLOOKUP([jobnumber],OvalData[],MATCH(Table2[[#Headers],[Hanging Weight Open]],Table2[#Headers],0),0)</f>
        <v>140</v>
      </c>
      <c r="S388" s="2">
        <f>VLOOKUP([jobnumber],OvalData[],MATCH(Table2[[#Headers],[Initial Lever Arm]],Table2[#Headers],0),0)</f>
        <v>4.25</v>
      </c>
      <c r="T388" s="2">
        <f>VLOOKUP([jobnumber],OvalData[],MATCH(Table2[[#Headers],[Turns to Raise]],Table2[#Headers],0),0)</f>
        <v>3.5859999999999999</v>
      </c>
      <c r="U388" s="2">
        <f>VLOOKUP([jobnumber],OvalData[],MATCH(Table2[[#Headers],[Final Lever Arm]],Table2[#Headers],0),0)</f>
        <v>6.37</v>
      </c>
      <c r="V388" s="2">
        <f>VLOOKUP([jobnumber],OvalData[],MATCH(Table2[[#Headers],[Torque Required Closed]],Table2[#Headers],0),0)</f>
        <v>3377.9</v>
      </c>
      <c r="W388" s="2">
        <f>VLOOKUP([jobnumber],OvalData[],MATCH(Table2[[#Headers],[Torque Required Open]],Table2[#Headers],0),0)</f>
        <v>892</v>
      </c>
      <c r="X388" s="2">
        <f>VLOOKUP([jobnumber],OvalData[],MATCH(Table2[[#Headers],[Pre Turns]],Table2[#Headers],0),0)</f>
        <v>1.3332999999999999</v>
      </c>
      <c r="Y388" s="2">
        <f>VLOOKUP([jobnumber],OvalData[],MATCH(Table2[[#Headers],[Required Torque Per Turn]],Table2[#Headers],0),0)</f>
        <v>688</v>
      </c>
      <c r="Z388" s="2">
        <f>VLOOKUP([jobnumber],OvalData[],MATCH(Table2[[#Headers],[Total Turns]],Table2[#Headers],0),0)</f>
        <v>4.91</v>
      </c>
      <c r="AA388" s="2">
        <f>VLOOKUP([jobnumber],OvalData[],MATCH(Table2[[#Headers],[Grille Vision Section]],Table2[#Headers],0),0)</f>
        <v>0</v>
      </c>
      <c r="AB388" s="2">
        <f>VLOOKUP([jobnumber],OvalData[],MATCH(Table2[[#Headers],[Grille Amount]],Table2[#Headers],0),0)</f>
        <v>0</v>
      </c>
      <c r="AC388" s="2">
        <f>VLOOKUP([jobnumber],OvalData[],MATCH(Table2[[#Headers],[Grille Center]],Table2[#Headers],0),0)</f>
        <v>0</v>
      </c>
      <c r="AD388" s="2">
        <f>VLOOKUP([jobnumber],OvalData[],MATCH(Table2[[#Headers],[Grille Pattern]],Table2[#Headers],0),0)</f>
        <v>0</v>
      </c>
      <c r="AE388" s="2">
        <f>VLOOKUP([jobnumber],OvalData[],MATCH(Table2[[#Headers],[Grille First Tube]],Table2[#Headers],0),0)</f>
        <v>0</v>
      </c>
      <c r="AF388" s="2">
        <f>VLOOKUP([jobnumber],OvalData[],MATCH(Table2[[#Headers],[Grille Standard Tube]],Table2[#Headers],0),0)</f>
        <v>0</v>
      </c>
      <c r="AG388" s="2">
        <f>VLOOKUP([jobnumber],OvalData[],MATCH(Table2[[#Headers],[Grille Total Links]],Table2[#Headers],0),0)</f>
        <v>0</v>
      </c>
      <c r="AH388" s="2">
        <f>VLOOKUP([jobnumber],OvalData[],MATCH(Table2[[#Headers],[Grille Rods]],Table2[#Headers],0),0)</f>
        <v>0</v>
      </c>
      <c r="AI388" s="2">
        <f>VLOOKUP([jobnumber],OvalData[],MATCH(Table2[[#Headers],[Grille Rod Length]],Table2[#Headers],0),0)</f>
        <v>0</v>
      </c>
      <c r="AJ388" s="2">
        <f>VLOOKUP([jobnumber],OvalData[],MATCH(Table2[[#Headers],[slattype]],Table2[#Headers],0),0)</f>
        <v>2</v>
      </c>
      <c r="AK388" s="2">
        <f>VLOOKUP([jobnumber],OvalData[],MATCH(Table2[[#Headers],[slatgage]],Table2[#Headers],0),0)</f>
        <v>18</v>
      </c>
      <c r="AL388" s="2">
        <f>VLOOKUP([jobnumber],OvalData[],MATCH(Table2[[#Headers],[Numer of Top Slats]],Table2[#Headers],0),0)</f>
        <v>0</v>
      </c>
      <c r="AM388" s="2">
        <f>VLOOKUP([jobnumber],OvalData[],MATCH(Table2[[#Headers],[Number of Bottom Slats]],Table2[#Headers],0),0)</f>
        <v>0</v>
      </c>
      <c r="AN388" s="2">
        <f>VLOOKUP([jobnumber],OvalData[],MATCH(Table2[[#Headers],[Solid Bottom Height]],Table2[#Headers],0),0)</f>
        <v>0</v>
      </c>
      <c r="AO388" s="2" t="str">
        <f>VLOOKUP([jobnumber],OvalData[],MATCH(Table2[[#Headers],[slatlength]],Table2[#Headers],0),0)</f>
        <v xml:space="preserve"> 18 ft.- 5 7/ 8"</v>
      </c>
      <c r="AP388" s="2">
        <f>VLOOKUP([jobnumber],OvalData[],MATCH(Table2[[#Headers],[Bottom Slat Length]],Table2[#Headers],0),0)</f>
        <v>0</v>
      </c>
      <c r="AQ388" s="2">
        <f>VLOOKUP([jobnumber],OvalData[],MATCH(Table2[[#Headers],[Number of Perferated Slats]],Table2[#Headers],0),0)</f>
        <v>0</v>
      </c>
      <c r="AR388" s="2">
        <f>VLOOKUP([jobnumber],OvalData[],MATCH(Table2[[#Headers],[First Preferated Slat From End]],Table2[#Headers],0),0)</f>
        <v>0</v>
      </c>
      <c r="AS388" s="2">
        <f>VLOOKUP([jobnumber],OvalData[],MATCH(Table2[[#Headers],[First Preferated Slat From Bottom]],Table2[#Headers],0),0)</f>
        <v>0</v>
      </c>
      <c r="AT388" s="2">
        <f>VLOOKUP([jobnumber],OvalData[],MATCH(Table2[[#Headers],[Total Number of Slats]],Table2[#Headers],0),0)</f>
        <v>51</v>
      </c>
      <c r="AU388" s="2">
        <f>VLOOKUP([jobnumber],OvalData[],MATCH(Table2[[#Headers],[Bottom Bar Slope]],Table2[#Headers],0),0)</f>
        <v>0</v>
      </c>
      <c r="AV388" s="2">
        <f>VLOOKUP([jobnumber],OvalData[],MATCH(Table2[[#Headers],[Bottom Bar Weight]],Table2[#Headers],0),0)</f>
        <v>80.5</v>
      </c>
      <c r="AW388" s="2" t="str">
        <f>VLOOKUP([jobnumber],OvalData[],MATCH(Table2[[#Headers],[Outer Spring Gage]],Table2[#Headers],0),0)</f>
        <v>Null</v>
      </c>
      <c r="AX388" s="2" t="str">
        <f>VLOOKUP([jobnumber],OvalData[],MATCH(Table2[[#Headers],[Outer Spring OD]],Table2[#Headers],0),0)</f>
        <v>Null</v>
      </c>
      <c r="AY388" s="2" t="str">
        <f>VLOOKUP([jobnumber],OvalData[],MATCH(Table2[[#Headers],[Outer Spring Length]],Table2[#Headers],0),0)</f>
        <v>Null</v>
      </c>
      <c r="AZ388" s="2" t="str">
        <f>VLOOKUP([jobnumber],OvalData[],MATCH(Table2[[#Headers],[Outer Spring Stretch]],Table2[#Headers],0),0)</f>
        <v>Null</v>
      </c>
      <c r="BA388" s="2" t="str">
        <f>VLOOKUP([jobnumber],OvalData[],MATCH(Table2[[#Headers],[Outer Spring Torque]],Table2[#Headers],0),0)</f>
        <v>Null</v>
      </c>
      <c r="BB388" s="2" t="str">
        <f>VLOOKUP([jobnumber],OvalData[],MATCH(Table2[[#Headers],[Outer Spring Max Turns]],Table2[#Headers],0),0)</f>
        <v>Null</v>
      </c>
      <c r="BC388" s="2" t="str">
        <f>VLOOKUP([jobnumber],OvalData[],MATCH(Table2[[#Headers],[Outer Spring Weight]],Table2[#Headers],0),0)</f>
        <v>Null</v>
      </c>
      <c r="BD388" s="2" t="str">
        <f>VLOOKUP([jobnumber],OvalData[],MATCH(Table2[[#Headers],[Inner Spring Gage]],Table2[#Headers],0),0)</f>
        <v>Null</v>
      </c>
      <c r="BE388" s="2" t="str">
        <f>VLOOKUP([jobnumber],OvalData[],MATCH(Table2[[#Headers],[Inner Spring OD]],Table2[#Headers],0),0)</f>
        <v>Null</v>
      </c>
      <c r="BF388" s="2" t="str">
        <f>VLOOKUP([jobnumber],OvalData[],MATCH(Table2[[#Headers],[Inner Spring Length]],Table2[#Headers],0),0)</f>
        <v>Null</v>
      </c>
      <c r="BG388" s="2" t="str">
        <f>VLOOKUP([jobnumber],OvalData[],MATCH(Table2[[#Headers],[Inner Spring Stretch]],Table2[#Headers],0),0)</f>
        <v>Null</v>
      </c>
      <c r="BH388" s="2" t="str">
        <f>VLOOKUP([jobnumber],OvalData[],MATCH(Table2[[#Headers],[Inner Spring Torque]],Table2[#Headers],0),0)</f>
        <v>Null</v>
      </c>
      <c r="BI388" s="2" t="str">
        <f>VLOOKUP([jobnumber],OvalData[],MATCH(Table2[[#Headers],[Inner Spring Max Turns]],Table2[#Headers],0),0)</f>
        <v>Null</v>
      </c>
      <c r="BJ388" s="2" t="str">
        <f>VLOOKUP([jobnumber],OvalData[],MATCH(Table2[[#Headers],[Inner Spring Weight]],Table2[#Headers],0),0)</f>
        <v>Null</v>
      </c>
      <c r="BK388" s="2">
        <f>VLOOKUP([jobnumber],OvalData[],MATCH(Table2[[#Headers],[Cycles]],Table2[#Headers],0),0)</f>
        <v>0</v>
      </c>
      <c r="BL388" s="2">
        <f>VLOOKUP([jobnumber],OvalData[],MATCH(Table2[[#Headers],[Total Spring Torque]],Table2[#Headers],0),0)</f>
        <v>0</v>
      </c>
      <c r="BM388" s="2">
        <f>VLOOKUP([jobnumber],OvalData[],MATCH(Table2[[#Headers],[Total Spring Weight]],Table2[#Headers],0),0)</f>
        <v>0</v>
      </c>
      <c r="BN388" s="2">
        <f>VLOOKUP([jobnumber],OvalData[],MATCH(Table2[[#Headers],[Pipe Weight]],Table2[#Headers],0),0)</f>
        <v>688.24239999999998</v>
      </c>
      <c r="BO388" s="2">
        <f>VLOOKUP([jobnumber],OvalData[],MATCH(Table2[[#Headers],[Max Pipe Deflection]],Table2[#Headers],0),0)</f>
        <v>2309</v>
      </c>
      <c r="BP388" s="2">
        <f>VLOOKUP([jobnumber],OvalData[],MATCH(Table2[[#Headers],[Number Non-Insulated Wrap Slats]],Table2[#Headers],0),0)</f>
        <v>0</v>
      </c>
      <c r="BQ388" s="2">
        <f>VLOOKUP([jobnumber],OvalData[],MATCH(Table2[[#Headers],[Number of Insolated Top Slats]],Table2[#Headers],0),0)</f>
        <v>45</v>
      </c>
      <c r="BR388" s="2">
        <f>VLOOKUP([jobnumber],OvalData[],MATCH(Table2[[#Headers],[Insolated Total Slats]],Table2[#Headers],0),0)</f>
        <v>45</v>
      </c>
      <c r="BS388" s="2">
        <f>VLOOKUP([jobnumber],OvalData[],MATCH(Table2[[#Headers],[Number of Slats]],Table2[#Headers],0),0)</f>
        <v>44.69</v>
      </c>
      <c r="BT388" s="2">
        <f>VLOOKUP([jobnumber],OvalData[],MATCH(Table2[[#Headers],[Wrap]],Table2[#Headers],0),0)</f>
        <v>0</v>
      </c>
      <c r="BU388" s="2">
        <f>VLOOKUP([jobnumber],OvalData[],MATCH(Table2[[#Headers],[Wall Angle Thickness]],Table2[#Headers],0),0)</f>
        <v>0</v>
      </c>
      <c r="BV388" s="2">
        <f>VLOOKUP([jobnumber],OvalData[],MATCH(Table2[[#Headers],[windlocks]],Table2[#Headers],0),0)</f>
        <v>0</v>
      </c>
      <c r="BW388" s="2" t="str">
        <f>VLOOKUP([jobnumber],OvalData[],MATCH(Table2[[#Headers],[bottombartype]],Table2[#Headers],0),0)</f>
        <v>SPECIAL</v>
      </c>
      <c r="BX388" s="2">
        <f>VLOOKUP([jobnumber],OvalData[],MATCH(Table2[[#Headers],[endlockweight]],Table2[#Headers],0),0)</f>
        <v>0.17</v>
      </c>
      <c r="BY388" s="2">
        <f>VLOOKUP([jobnumber],OvalData[],MATCH(Table2[[#Headers],[Endlock Total Weight]],Table2[#Headers],0),0)</f>
        <v>7.5972999999999997</v>
      </c>
      <c r="BZ388" s="2">
        <f>VLOOKUP([jobnumber],OvalData[],MATCH(Table2[[#Headers],[Grille Weight]],Table2[#Headers],0),0)</f>
        <v>0</v>
      </c>
      <c r="CA388" s="2">
        <f>VLOOKUP([jobnumber],OvalData[],MATCH(Table2[[#Headers],[barrelrings]],Table2[#Headers],0),0)</f>
        <v>1</v>
      </c>
    </row>
    <row r="389" spans="2:79">
      <c r="B389" s="2" t="str">
        <f>VLOOKUP([jobnumber],OvalData[],MATCH(Table2[[#Headers],[Hand]],Table2[#Headers],0),0)</f>
        <v>RH</v>
      </c>
      <c r="C389" s="2" t="str">
        <f>VLOOKUP([jobnumber],OvalData[],MATCH(Table2[[#Headers],[Model]],Table2[#Headers],0),0)</f>
        <v>SFMPP</v>
      </c>
      <c r="D389" s="2" t="str">
        <f>VLOOKUP([jobnumber],OvalData[],MATCH(Table2[[#Headers],[width]],Table2[#Headers],0),0)</f>
        <v xml:space="preserve"> 18 ft.- 2"</v>
      </c>
      <c r="E389" s="2" t="str">
        <f>VLOOKUP([jobnumber],OvalData[],MATCH(Table2[[#Headers],[stopheight]],Table2[#Headers],0),0)</f>
        <v xml:space="preserve"> 10 ft.- 0"</v>
      </c>
      <c r="F389" s="2" t="str">
        <f>VLOOKUP([jobnumber],OvalData[],MATCH(Table2[[#Headers],[Between Brackets]],Table2[#Headers],0),0)</f>
        <v xml:space="preserve"> 18 ft.- 7 7/ 8"</v>
      </c>
      <c r="G389" s="2" t="str">
        <f>VLOOKUP([jobnumber],OvalData[],MATCH(Table2[[#Headers],[shell]],Table2[#Headers],0),0)</f>
        <v>6 INCH TUBE</v>
      </c>
      <c r="H389" s="2" t="str">
        <f>VLOOKUP([jobnumber],OvalData[],MATCH(Table2[[#Headers],[pipewidth]],Table2[#Headers],0),0)</f>
        <v xml:space="preserve"> 18 ft.- 1 3/ 8"</v>
      </c>
      <c r="I389" s="2">
        <f>VLOOKUP([jobnumber],OvalData[],MATCH(Table2[[#Headers],[Support Tubes]],Table2[#Headers],0),0)</f>
        <v>0</v>
      </c>
      <c r="J389" s="2">
        <f>VLOOKUP([jobnumber],OvalData[],MATCH(Table2[[#Headers],[Upset]],Table2[#Headers],0),0)</f>
        <v>2</v>
      </c>
      <c r="K389" s="2" t="str">
        <f>VLOOKUP([jobnumber],OvalData[],MATCH(Table2[[#Headers],[Guide Type]],Table2[#Headers],0),0)</f>
        <v>SN2-4 5/8-E</v>
      </c>
      <c r="L389" s="2" t="str">
        <f>VLOOKUP([jobnumber],OvalData[],MATCH(Table2[[#Headers],[Wall Angle]],Table2[#Headers],0),0)</f>
        <v xml:space="preserve"> 11 ft.- 8"</v>
      </c>
      <c r="M389" s="2" t="str">
        <f>VLOOKUP([jobnumber],OvalData[],MATCH(Table2[[#Headers],[Middle Angle]],Table2[#Headers],0),0)</f>
        <v xml:space="preserve"> 10 ft.- 4 1/ 2"</v>
      </c>
      <c r="N389" s="2" t="str">
        <f>VLOOKUP([jobnumber],OvalData[],MATCH(Table2[[#Headers],[Front Angle]],Table2[#Headers],0),0)</f>
        <v xml:space="preserve"> 10 ft.- 3"</v>
      </c>
      <c r="O389" s="2">
        <f>VLOOKUP([jobnumber],OvalData[],MATCH(Table2[[#Headers],[Pipe Center Line]],Table2[#Headers],0),0)</f>
        <v>131</v>
      </c>
      <c r="P389" s="2">
        <f>VLOOKUP([jobnumber],OvalData[],MATCH(Table2[[#Headers],[Heat Expansion Gap]],Table2[#Headers],0),0)</f>
        <v>0</v>
      </c>
      <c r="Q389" s="2">
        <f>VLOOKUP([jobnumber],OvalData[],MATCH(Table2[[#Headers],[Hanging Weight Closed]],Table2[#Headers],0),0)</f>
        <v>795</v>
      </c>
      <c r="R389" s="2">
        <f>VLOOKUP([jobnumber],OvalData[],MATCH(Table2[[#Headers],[Hanging Weight Open]],Table2[#Headers],0),0)</f>
        <v>140</v>
      </c>
      <c r="S389" s="2">
        <f>VLOOKUP([jobnumber],OvalData[],MATCH(Table2[[#Headers],[Initial Lever Arm]],Table2[#Headers],0),0)</f>
        <v>4.25</v>
      </c>
      <c r="T389" s="2">
        <f>VLOOKUP([jobnumber],OvalData[],MATCH(Table2[[#Headers],[Turns to Raise]],Table2[#Headers],0),0)</f>
        <v>3.5859999999999999</v>
      </c>
      <c r="U389" s="2">
        <f>VLOOKUP([jobnumber],OvalData[],MATCH(Table2[[#Headers],[Final Lever Arm]],Table2[#Headers],0),0)</f>
        <v>6.37</v>
      </c>
      <c r="V389" s="2">
        <f>VLOOKUP([jobnumber],OvalData[],MATCH(Table2[[#Headers],[Torque Required Closed]],Table2[#Headers],0),0)</f>
        <v>3377.9</v>
      </c>
      <c r="W389" s="2">
        <f>VLOOKUP([jobnumber],OvalData[],MATCH(Table2[[#Headers],[Torque Required Open]],Table2[#Headers],0),0)</f>
        <v>892</v>
      </c>
      <c r="X389" s="2">
        <f>VLOOKUP([jobnumber],OvalData[],MATCH(Table2[[#Headers],[Pre Turns]],Table2[#Headers],0),0)</f>
        <v>1.3332999999999999</v>
      </c>
      <c r="Y389" s="2">
        <f>VLOOKUP([jobnumber],OvalData[],MATCH(Table2[[#Headers],[Required Torque Per Turn]],Table2[#Headers],0),0)</f>
        <v>688</v>
      </c>
      <c r="Z389" s="2">
        <f>VLOOKUP([jobnumber],OvalData[],MATCH(Table2[[#Headers],[Total Turns]],Table2[#Headers],0),0)</f>
        <v>4.91</v>
      </c>
      <c r="AA389" s="2">
        <f>VLOOKUP([jobnumber],OvalData[],MATCH(Table2[[#Headers],[Grille Vision Section]],Table2[#Headers],0),0)</f>
        <v>0</v>
      </c>
      <c r="AB389" s="2">
        <f>VLOOKUP([jobnumber],OvalData[],MATCH(Table2[[#Headers],[Grille Amount]],Table2[#Headers],0),0)</f>
        <v>0</v>
      </c>
      <c r="AC389" s="2">
        <f>VLOOKUP([jobnumber],OvalData[],MATCH(Table2[[#Headers],[Grille Center]],Table2[#Headers],0),0)</f>
        <v>0</v>
      </c>
      <c r="AD389" s="2">
        <f>VLOOKUP([jobnumber],OvalData[],MATCH(Table2[[#Headers],[Grille Pattern]],Table2[#Headers],0),0)</f>
        <v>0</v>
      </c>
      <c r="AE389" s="2">
        <f>VLOOKUP([jobnumber],OvalData[],MATCH(Table2[[#Headers],[Grille First Tube]],Table2[#Headers],0),0)</f>
        <v>0</v>
      </c>
      <c r="AF389" s="2">
        <f>VLOOKUP([jobnumber],OvalData[],MATCH(Table2[[#Headers],[Grille Standard Tube]],Table2[#Headers],0),0)</f>
        <v>0</v>
      </c>
      <c r="AG389" s="2">
        <f>VLOOKUP([jobnumber],OvalData[],MATCH(Table2[[#Headers],[Grille Total Links]],Table2[#Headers],0),0)</f>
        <v>0</v>
      </c>
      <c r="AH389" s="2">
        <f>VLOOKUP([jobnumber],OvalData[],MATCH(Table2[[#Headers],[Grille Rods]],Table2[#Headers],0),0)</f>
        <v>0</v>
      </c>
      <c r="AI389" s="2">
        <f>VLOOKUP([jobnumber],OvalData[],MATCH(Table2[[#Headers],[Grille Rod Length]],Table2[#Headers],0),0)</f>
        <v>0</v>
      </c>
      <c r="AJ389" s="2">
        <f>VLOOKUP([jobnumber],OvalData[],MATCH(Table2[[#Headers],[slattype]],Table2[#Headers],0),0)</f>
        <v>2</v>
      </c>
      <c r="AK389" s="2">
        <f>VLOOKUP([jobnumber],OvalData[],MATCH(Table2[[#Headers],[slatgage]],Table2[#Headers],0),0)</f>
        <v>18</v>
      </c>
      <c r="AL389" s="2">
        <f>VLOOKUP([jobnumber],OvalData[],MATCH(Table2[[#Headers],[Numer of Top Slats]],Table2[#Headers],0),0)</f>
        <v>0</v>
      </c>
      <c r="AM389" s="2">
        <f>VLOOKUP([jobnumber],OvalData[],MATCH(Table2[[#Headers],[Number of Bottom Slats]],Table2[#Headers],0),0)</f>
        <v>0</v>
      </c>
      <c r="AN389" s="2">
        <f>VLOOKUP([jobnumber],OvalData[],MATCH(Table2[[#Headers],[Solid Bottom Height]],Table2[#Headers],0),0)</f>
        <v>0</v>
      </c>
      <c r="AO389" s="2" t="str">
        <f>VLOOKUP([jobnumber],OvalData[],MATCH(Table2[[#Headers],[slatlength]],Table2[#Headers],0),0)</f>
        <v xml:space="preserve"> 18 ft.- 5 7/ 8"</v>
      </c>
      <c r="AP389" s="2">
        <f>VLOOKUP([jobnumber],OvalData[],MATCH(Table2[[#Headers],[Bottom Slat Length]],Table2[#Headers],0),0)</f>
        <v>0</v>
      </c>
      <c r="AQ389" s="2">
        <f>VLOOKUP([jobnumber],OvalData[],MATCH(Table2[[#Headers],[Number of Perferated Slats]],Table2[#Headers],0),0)</f>
        <v>0</v>
      </c>
      <c r="AR389" s="2">
        <f>VLOOKUP([jobnumber],OvalData[],MATCH(Table2[[#Headers],[First Preferated Slat From End]],Table2[#Headers],0),0)</f>
        <v>0</v>
      </c>
      <c r="AS389" s="2">
        <f>VLOOKUP([jobnumber],OvalData[],MATCH(Table2[[#Headers],[First Preferated Slat From Bottom]],Table2[#Headers],0),0)</f>
        <v>0</v>
      </c>
      <c r="AT389" s="2">
        <f>VLOOKUP([jobnumber],OvalData[],MATCH(Table2[[#Headers],[Total Number of Slats]],Table2[#Headers],0),0)</f>
        <v>51</v>
      </c>
      <c r="AU389" s="2">
        <f>VLOOKUP([jobnumber],OvalData[],MATCH(Table2[[#Headers],[Bottom Bar Slope]],Table2[#Headers],0),0)</f>
        <v>0</v>
      </c>
      <c r="AV389" s="2">
        <f>VLOOKUP([jobnumber],OvalData[],MATCH(Table2[[#Headers],[Bottom Bar Weight]],Table2[#Headers],0),0)</f>
        <v>80.5</v>
      </c>
      <c r="AW389" s="2" t="str">
        <f>VLOOKUP([jobnumber],OvalData[],MATCH(Table2[[#Headers],[Outer Spring Gage]],Table2[#Headers],0),0)</f>
        <v>Null</v>
      </c>
      <c r="AX389" s="2" t="str">
        <f>VLOOKUP([jobnumber],OvalData[],MATCH(Table2[[#Headers],[Outer Spring OD]],Table2[#Headers],0),0)</f>
        <v>Null</v>
      </c>
      <c r="AY389" s="2" t="str">
        <f>VLOOKUP([jobnumber],OvalData[],MATCH(Table2[[#Headers],[Outer Spring Length]],Table2[#Headers],0),0)</f>
        <v>Null</v>
      </c>
      <c r="AZ389" s="2" t="str">
        <f>VLOOKUP([jobnumber],OvalData[],MATCH(Table2[[#Headers],[Outer Spring Stretch]],Table2[#Headers],0),0)</f>
        <v>Null</v>
      </c>
      <c r="BA389" s="2" t="str">
        <f>VLOOKUP([jobnumber],OvalData[],MATCH(Table2[[#Headers],[Outer Spring Torque]],Table2[#Headers],0),0)</f>
        <v>Null</v>
      </c>
      <c r="BB389" s="2" t="str">
        <f>VLOOKUP([jobnumber],OvalData[],MATCH(Table2[[#Headers],[Outer Spring Max Turns]],Table2[#Headers],0),0)</f>
        <v>Null</v>
      </c>
      <c r="BC389" s="2" t="str">
        <f>VLOOKUP([jobnumber],OvalData[],MATCH(Table2[[#Headers],[Outer Spring Weight]],Table2[#Headers],0),0)</f>
        <v>Null</v>
      </c>
      <c r="BD389" s="2" t="str">
        <f>VLOOKUP([jobnumber],OvalData[],MATCH(Table2[[#Headers],[Inner Spring Gage]],Table2[#Headers],0),0)</f>
        <v>Null</v>
      </c>
      <c r="BE389" s="2" t="str">
        <f>VLOOKUP([jobnumber],OvalData[],MATCH(Table2[[#Headers],[Inner Spring OD]],Table2[#Headers],0),0)</f>
        <v>Null</v>
      </c>
      <c r="BF389" s="2" t="str">
        <f>VLOOKUP([jobnumber],OvalData[],MATCH(Table2[[#Headers],[Inner Spring Length]],Table2[#Headers],0),0)</f>
        <v>Null</v>
      </c>
      <c r="BG389" s="2" t="str">
        <f>VLOOKUP([jobnumber],OvalData[],MATCH(Table2[[#Headers],[Inner Spring Stretch]],Table2[#Headers],0),0)</f>
        <v>Null</v>
      </c>
      <c r="BH389" s="2" t="str">
        <f>VLOOKUP([jobnumber],OvalData[],MATCH(Table2[[#Headers],[Inner Spring Torque]],Table2[#Headers],0),0)</f>
        <v>Null</v>
      </c>
      <c r="BI389" s="2" t="str">
        <f>VLOOKUP([jobnumber],OvalData[],MATCH(Table2[[#Headers],[Inner Spring Max Turns]],Table2[#Headers],0),0)</f>
        <v>Null</v>
      </c>
      <c r="BJ389" s="2" t="str">
        <f>VLOOKUP([jobnumber],OvalData[],MATCH(Table2[[#Headers],[Inner Spring Weight]],Table2[#Headers],0),0)</f>
        <v>Null</v>
      </c>
      <c r="BK389" s="2">
        <f>VLOOKUP([jobnumber],OvalData[],MATCH(Table2[[#Headers],[Cycles]],Table2[#Headers],0),0)</f>
        <v>0</v>
      </c>
      <c r="BL389" s="2">
        <f>VLOOKUP([jobnumber],OvalData[],MATCH(Table2[[#Headers],[Total Spring Torque]],Table2[#Headers],0),0)</f>
        <v>0</v>
      </c>
      <c r="BM389" s="2">
        <f>VLOOKUP([jobnumber],OvalData[],MATCH(Table2[[#Headers],[Total Spring Weight]],Table2[#Headers],0),0)</f>
        <v>0</v>
      </c>
      <c r="BN389" s="2">
        <f>VLOOKUP([jobnumber],OvalData[],MATCH(Table2[[#Headers],[Pipe Weight]],Table2[#Headers],0),0)</f>
        <v>688.24239999999998</v>
      </c>
      <c r="BO389" s="2">
        <f>VLOOKUP([jobnumber],OvalData[],MATCH(Table2[[#Headers],[Max Pipe Deflection]],Table2[#Headers],0),0)</f>
        <v>2309</v>
      </c>
      <c r="BP389" s="2">
        <f>VLOOKUP([jobnumber],OvalData[],MATCH(Table2[[#Headers],[Number Non-Insulated Wrap Slats]],Table2[#Headers],0),0)</f>
        <v>0</v>
      </c>
      <c r="BQ389" s="2">
        <f>VLOOKUP([jobnumber],OvalData[],MATCH(Table2[[#Headers],[Number of Insolated Top Slats]],Table2[#Headers],0),0)</f>
        <v>45</v>
      </c>
      <c r="BR389" s="2">
        <f>VLOOKUP([jobnumber],OvalData[],MATCH(Table2[[#Headers],[Insolated Total Slats]],Table2[#Headers],0),0)</f>
        <v>45</v>
      </c>
      <c r="BS389" s="2">
        <f>VLOOKUP([jobnumber],OvalData[],MATCH(Table2[[#Headers],[Number of Slats]],Table2[#Headers],0),0)</f>
        <v>44.69</v>
      </c>
      <c r="BT389" s="2">
        <f>VLOOKUP([jobnumber],OvalData[],MATCH(Table2[[#Headers],[Wrap]],Table2[#Headers],0),0)</f>
        <v>0</v>
      </c>
      <c r="BU389" s="2">
        <f>VLOOKUP([jobnumber],OvalData[],MATCH(Table2[[#Headers],[Wall Angle Thickness]],Table2[#Headers],0),0)</f>
        <v>0</v>
      </c>
      <c r="BV389" s="2">
        <f>VLOOKUP([jobnumber],OvalData[],MATCH(Table2[[#Headers],[windlocks]],Table2[#Headers],0),0)</f>
        <v>0</v>
      </c>
      <c r="BW389" s="2" t="str">
        <f>VLOOKUP([jobnumber],OvalData[],MATCH(Table2[[#Headers],[bottombartype]],Table2[#Headers],0),0)</f>
        <v>SPECIAL</v>
      </c>
      <c r="BX389" s="2">
        <f>VLOOKUP([jobnumber],OvalData[],MATCH(Table2[[#Headers],[endlockweight]],Table2[#Headers],0),0)</f>
        <v>0.17</v>
      </c>
      <c r="BY389" s="2">
        <f>VLOOKUP([jobnumber],OvalData[],MATCH(Table2[[#Headers],[Endlock Total Weight]],Table2[#Headers],0),0)</f>
        <v>7.5972999999999997</v>
      </c>
      <c r="BZ389" s="2">
        <f>VLOOKUP([jobnumber],OvalData[],MATCH(Table2[[#Headers],[Grille Weight]],Table2[#Headers],0),0)</f>
        <v>0</v>
      </c>
      <c r="CA389" s="2">
        <f>VLOOKUP([jobnumber],OvalData[],MATCH(Table2[[#Headers],[barrelrings]],Table2[#Headers],0),0)</f>
        <v>1</v>
      </c>
    </row>
    <row r="390" spans="2:79">
      <c r="B390" s="2" t="str">
        <f>VLOOKUP([jobnumber],OvalData[],MATCH(Table2[[#Headers],[Hand]],Table2[#Headers],0),0)</f>
        <v>RH</v>
      </c>
      <c r="C390" s="2" t="str">
        <f>VLOOKUP([jobnumber],OvalData[],MATCH(Table2[[#Headers],[Model]],Table2[#Headers],0),0)</f>
        <v>SFMPP</v>
      </c>
      <c r="D390" s="2" t="str">
        <f>VLOOKUP([jobnumber],OvalData[],MATCH(Table2[[#Headers],[width]],Table2[#Headers],0),0)</f>
        <v xml:space="preserve"> 18 ft.- 2"</v>
      </c>
      <c r="E390" s="2" t="str">
        <f>VLOOKUP([jobnumber],OvalData[],MATCH(Table2[[#Headers],[stopheight]],Table2[#Headers],0),0)</f>
        <v xml:space="preserve"> 10 ft.- 0"</v>
      </c>
      <c r="F390" s="2" t="str">
        <f>VLOOKUP([jobnumber],OvalData[],MATCH(Table2[[#Headers],[Between Brackets]],Table2[#Headers],0),0)</f>
        <v xml:space="preserve"> 18 ft.- 7 7/ 8"</v>
      </c>
      <c r="G390" s="2" t="str">
        <f>VLOOKUP([jobnumber],OvalData[],MATCH(Table2[[#Headers],[shell]],Table2[#Headers],0),0)</f>
        <v>6 INCH TUBE</v>
      </c>
      <c r="H390" s="2" t="str">
        <f>VLOOKUP([jobnumber],OvalData[],MATCH(Table2[[#Headers],[pipewidth]],Table2[#Headers],0),0)</f>
        <v xml:space="preserve"> 18 ft.- 1 3/ 8"</v>
      </c>
      <c r="I390" s="2">
        <f>VLOOKUP([jobnumber],OvalData[],MATCH(Table2[[#Headers],[Support Tubes]],Table2[#Headers],0),0)</f>
        <v>0</v>
      </c>
      <c r="J390" s="2">
        <f>VLOOKUP([jobnumber],OvalData[],MATCH(Table2[[#Headers],[Upset]],Table2[#Headers],0),0)</f>
        <v>2</v>
      </c>
      <c r="K390" s="2" t="str">
        <f>VLOOKUP([jobnumber],OvalData[],MATCH(Table2[[#Headers],[Guide Type]],Table2[#Headers],0),0)</f>
        <v>SN2-4 5/8-E</v>
      </c>
      <c r="L390" s="2" t="str">
        <f>VLOOKUP([jobnumber],OvalData[],MATCH(Table2[[#Headers],[Wall Angle]],Table2[#Headers],0),0)</f>
        <v xml:space="preserve"> 11 ft.- 8"</v>
      </c>
      <c r="M390" s="2" t="str">
        <f>VLOOKUP([jobnumber],OvalData[],MATCH(Table2[[#Headers],[Middle Angle]],Table2[#Headers],0),0)</f>
        <v xml:space="preserve"> 10 ft.- 4 1/ 2"</v>
      </c>
      <c r="N390" s="2" t="str">
        <f>VLOOKUP([jobnumber],OvalData[],MATCH(Table2[[#Headers],[Front Angle]],Table2[#Headers],0),0)</f>
        <v xml:space="preserve"> 10 ft.- 3"</v>
      </c>
      <c r="O390" s="2">
        <f>VLOOKUP([jobnumber],OvalData[],MATCH(Table2[[#Headers],[Pipe Center Line]],Table2[#Headers],0),0)</f>
        <v>131</v>
      </c>
      <c r="P390" s="2">
        <f>VLOOKUP([jobnumber],OvalData[],MATCH(Table2[[#Headers],[Heat Expansion Gap]],Table2[#Headers],0),0)</f>
        <v>0</v>
      </c>
      <c r="Q390" s="2">
        <f>VLOOKUP([jobnumber],OvalData[],MATCH(Table2[[#Headers],[Hanging Weight Closed]],Table2[#Headers],0),0)</f>
        <v>795</v>
      </c>
      <c r="R390" s="2">
        <f>VLOOKUP([jobnumber],OvalData[],MATCH(Table2[[#Headers],[Hanging Weight Open]],Table2[#Headers],0),0)</f>
        <v>140</v>
      </c>
      <c r="S390" s="2">
        <f>VLOOKUP([jobnumber],OvalData[],MATCH(Table2[[#Headers],[Initial Lever Arm]],Table2[#Headers],0),0)</f>
        <v>4.25</v>
      </c>
      <c r="T390" s="2">
        <f>VLOOKUP([jobnumber],OvalData[],MATCH(Table2[[#Headers],[Turns to Raise]],Table2[#Headers],0),0)</f>
        <v>3.5859999999999999</v>
      </c>
      <c r="U390" s="2">
        <f>VLOOKUP([jobnumber],OvalData[],MATCH(Table2[[#Headers],[Final Lever Arm]],Table2[#Headers],0),0)</f>
        <v>6.37</v>
      </c>
      <c r="V390" s="2">
        <f>VLOOKUP([jobnumber],OvalData[],MATCH(Table2[[#Headers],[Torque Required Closed]],Table2[#Headers],0),0)</f>
        <v>3377.9</v>
      </c>
      <c r="W390" s="2">
        <f>VLOOKUP([jobnumber],OvalData[],MATCH(Table2[[#Headers],[Torque Required Open]],Table2[#Headers],0),0)</f>
        <v>892</v>
      </c>
      <c r="X390" s="2">
        <f>VLOOKUP([jobnumber],OvalData[],MATCH(Table2[[#Headers],[Pre Turns]],Table2[#Headers],0),0)</f>
        <v>1.3332999999999999</v>
      </c>
      <c r="Y390" s="2">
        <f>VLOOKUP([jobnumber],OvalData[],MATCH(Table2[[#Headers],[Required Torque Per Turn]],Table2[#Headers],0),0)</f>
        <v>688</v>
      </c>
      <c r="Z390" s="2">
        <f>VLOOKUP([jobnumber],OvalData[],MATCH(Table2[[#Headers],[Total Turns]],Table2[#Headers],0),0)</f>
        <v>4.91</v>
      </c>
      <c r="AA390" s="2">
        <f>VLOOKUP([jobnumber],OvalData[],MATCH(Table2[[#Headers],[Grille Vision Section]],Table2[#Headers],0),0)</f>
        <v>0</v>
      </c>
      <c r="AB390" s="2">
        <f>VLOOKUP([jobnumber],OvalData[],MATCH(Table2[[#Headers],[Grille Amount]],Table2[#Headers],0),0)</f>
        <v>0</v>
      </c>
      <c r="AC390" s="2">
        <f>VLOOKUP([jobnumber],OvalData[],MATCH(Table2[[#Headers],[Grille Center]],Table2[#Headers],0),0)</f>
        <v>0</v>
      </c>
      <c r="AD390" s="2">
        <f>VLOOKUP([jobnumber],OvalData[],MATCH(Table2[[#Headers],[Grille Pattern]],Table2[#Headers],0),0)</f>
        <v>0</v>
      </c>
      <c r="AE390" s="2">
        <f>VLOOKUP([jobnumber],OvalData[],MATCH(Table2[[#Headers],[Grille First Tube]],Table2[#Headers],0),0)</f>
        <v>0</v>
      </c>
      <c r="AF390" s="2">
        <f>VLOOKUP([jobnumber],OvalData[],MATCH(Table2[[#Headers],[Grille Standard Tube]],Table2[#Headers],0),0)</f>
        <v>0</v>
      </c>
      <c r="AG390" s="2">
        <f>VLOOKUP([jobnumber],OvalData[],MATCH(Table2[[#Headers],[Grille Total Links]],Table2[#Headers],0),0)</f>
        <v>0</v>
      </c>
      <c r="AH390" s="2">
        <f>VLOOKUP([jobnumber],OvalData[],MATCH(Table2[[#Headers],[Grille Rods]],Table2[#Headers],0),0)</f>
        <v>0</v>
      </c>
      <c r="AI390" s="2">
        <f>VLOOKUP([jobnumber],OvalData[],MATCH(Table2[[#Headers],[Grille Rod Length]],Table2[#Headers],0),0)</f>
        <v>0</v>
      </c>
      <c r="AJ390" s="2">
        <f>VLOOKUP([jobnumber],OvalData[],MATCH(Table2[[#Headers],[slattype]],Table2[#Headers],0),0)</f>
        <v>2</v>
      </c>
      <c r="AK390" s="2">
        <f>VLOOKUP([jobnumber],OvalData[],MATCH(Table2[[#Headers],[slatgage]],Table2[#Headers],0),0)</f>
        <v>18</v>
      </c>
      <c r="AL390" s="2">
        <f>VLOOKUP([jobnumber],OvalData[],MATCH(Table2[[#Headers],[Numer of Top Slats]],Table2[#Headers],0),0)</f>
        <v>0</v>
      </c>
      <c r="AM390" s="2">
        <f>VLOOKUP([jobnumber],OvalData[],MATCH(Table2[[#Headers],[Number of Bottom Slats]],Table2[#Headers],0),0)</f>
        <v>0</v>
      </c>
      <c r="AN390" s="2">
        <f>VLOOKUP([jobnumber],OvalData[],MATCH(Table2[[#Headers],[Solid Bottom Height]],Table2[#Headers],0),0)</f>
        <v>0</v>
      </c>
      <c r="AO390" s="2" t="str">
        <f>VLOOKUP([jobnumber],OvalData[],MATCH(Table2[[#Headers],[slatlength]],Table2[#Headers],0),0)</f>
        <v xml:space="preserve"> 18 ft.- 5 7/ 8"</v>
      </c>
      <c r="AP390" s="2">
        <f>VLOOKUP([jobnumber],OvalData[],MATCH(Table2[[#Headers],[Bottom Slat Length]],Table2[#Headers],0),0)</f>
        <v>0</v>
      </c>
      <c r="AQ390" s="2">
        <f>VLOOKUP([jobnumber],OvalData[],MATCH(Table2[[#Headers],[Number of Perferated Slats]],Table2[#Headers],0),0)</f>
        <v>0</v>
      </c>
      <c r="AR390" s="2">
        <f>VLOOKUP([jobnumber],OvalData[],MATCH(Table2[[#Headers],[First Preferated Slat From End]],Table2[#Headers],0),0)</f>
        <v>0</v>
      </c>
      <c r="AS390" s="2">
        <f>VLOOKUP([jobnumber],OvalData[],MATCH(Table2[[#Headers],[First Preferated Slat From Bottom]],Table2[#Headers],0),0)</f>
        <v>0</v>
      </c>
      <c r="AT390" s="2">
        <f>VLOOKUP([jobnumber],OvalData[],MATCH(Table2[[#Headers],[Total Number of Slats]],Table2[#Headers],0),0)</f>
        <v>51</v>
      </c>
      <c r="AU390" s="2">
        <f>VLOOKUP([jobnumber],OvalData[],MATCH(Table2[[#Headers],[Bottom Bar Slope]],Table2[#Headers],0),0)</f>
        <v>0</v>
      </c>
      <c r="AV390" s="2">
        <f>VLOOKUP([jobnumber],OvalData[],MATCH(Table2[[#Headers],[Bottom Bar Weight]],Table2[#Headers],0),0)</f>
        <v>80.5</v>
      </c>
      <c r="AW390" s="2" t="str">
        <f>VLOOKUP([jobnumber],OvalData[],MATCH(Table2[[#Headers],[Outer Spring Gage]],Table2[#Headers],0),0)</f>
        <v>Null</v>
      </c>
      <c r="AX390" s="2" t="str">
        <f>VLOOKUP([jobnumber],OvalData[],MATCH(Table2[[#Headers],[Outer Spring OD]],Table2[#Headers],0),0)</f>
        <v>Null</v>
      </c>
      <c r="AY390" s="2" t="str">
        <f>VLOOKUP([jobnumber],OvalData[],MATCH(Table2[[#Headers],[Outer Spring Length]],Table2[#Headers],0),0)</f>
        <v>Null</v>
      </c>
      <c r="AZ390" s="2" t="str">
        <f>VLOOKUP([jobnumber],OvalData[],MATCH(Table2[[#Headers],[Outer Spring Stretch]],Table2[#Headers],0),0)</f>
        <v>Null</v>
      </c>
      <c r="BA390" s="2" t="str">
        <f>VLOOKUP([jobnumber],OvalData[],MATCH(Table2[[#Headers],[Outer Spring Torque]],Table2[#Headers],0),0)</f>
        <v>Null</v>
      </c>
      <c r="BB390" s="2" t="str">
        <f>VLOOKUP([jobnumber],OvalData[],MATCH(Table2[[#Headers],[Outer Spring Max Turns]],Table2[#Headers],0),0)</f>
        <v>Null</v>
      </c>
      <c r="BC390" s="2" t="str">
        <f>VLOOKUP([jobnumber],OvalData[],MATCH(Table2[[#Headers],[Outer Spring Weight]],Table2[#Headers],0),0)</f>
        <v>Null</v>
      </c>
      <c r="BD390" s="2" t="str">
        <f>VLOOKUP([jobnumber],OvalData[],MATCH(Table2[[#Headers],[Inner Spring Gage]],Table2[#Headers],0),0)</f>
        <v>Null</v>
      </c>
      <c r="BE390" s="2" t="str">
        <f>VLOOKUP([jobnumber],OvalData[],MATCH(Table2[[#Headers],[Inner Spring OD]],Table2[#Headers],0),0)</f>
        <v>Null</v>
      </c>
      <c r="BF390" s="2" t="str">
        <f>VLOOKUP([jobnumber],OvalData[],MATCH(Table2[[#Headers],[Inner Spring Length]],Table2[#Headers],0),0)</f>
        <v>Null</v>
      </c>
      <c r="BG390" s="2" t="str">
        <f>VLOOKUP([jobnumber],OvalData[],MATCH(Table2[[#Headers],[Inner Spring Stretch]],Table2[#Headers],0),0)</f>
        <v>Null</v>
      </c>
      <c r="BH390" s="2" t="str">
        <f>VLOOKUP([jobnumber],OvalData[],MATCH(Table2[[#Headers],[Inner Spring Torque]],Table2[#Headers],0),0)</f>
        <v>Null</v>
      </c>
      <c r="BI390" s="2" t="str">
        <f>VLOOKUP([jobnumber],OvalData[],MATCH(Table2[[#Headers],[Inner Spring Max Turns]],Table2[#Headers],0),0)</f>
        <v>Null</v>
      </c>
      <c r="BJ390" s="2" t="str">
        <f>VLOOKUP([jobnumber],OvalData[],MATCH(Table2[[#Headers],[Inner Spring Weight]],Table2[#Headers],0),0)</f>
        <v>Null</v>
      </c>
      <c r="BK390" s="2">
        <f>VLOOKUP([jobnumber],OvalData[],MATCH(Table2[[#Headers],[Cycles]],Table2[#Headers],0),0)</f>
        <v>0</v>
      </c>
      <c r="BL390" s="2">
        <f>VLOOKUP([jobnumber],OvalData[],MATCH(Table2[[#Headers],[Total Spring Torque]],Table2[#Headers],0),0)</f>
        <v>0</v>
      </c>
      <c r="BM390" s="2">
        <f>VLOOKUP([jobnumber],OvalData[],MATCH(Table2[[#Headers],[Total Spring Weight]],Table2[#Headers],0),0)</f>
        <v>0</v>
      </c>
      <c r="BN390" s="2">
        <f>VLOOKUP([jobnumber],OvalData[],MATCH(Table2[[#Headers],[Pipe Weight]],Table2[#Headers],0),0)</f>
        <v>688.24239999999998</v>
      </c>
      <c r="BO390" s="2">
        <f>VLOOKUP([jobnumber],OvalData[],MATCH(Table2[[#Headers],[Max Pipe Deflection]],Table2[#Headers],0),0)</f>
        <v>2309</v>
      </c>
      <c r="BP390" s="2">
        <f>VLOOKUP([jobnumber],OvalData[],MATCH(Table2[[#Headers],[Number Non-Insulated Wrap Slats]],Table2[#Headers],0),0)</f>
        <v>0</v>
      </c>
      <c r="BQ390" s="2">
        <f>VLOOKUP([jobnumber],OvalData[],MATCH(Table2[[#Headers],[Number of Insolated Top Slats]],Table2[#Headers],0),0)</f>
        <v>45</v>
      </c>
      <c r="BR390" s="2">
        <f>VLOOKUP([jobnumber],OvalData[],MATCH(Table2[[#Headers],[Insolated Total Slats]],Table2[#Headers],0),0)</f>
        <v>45</v>
      </c>
      <c r="BS390" s="2">
        <f>VLOOKUP([jobnumber],OvalData[],MATCH(Table2[[#Headers],[Number of Slats]],Table2[#Headers],0),0)</f>
        <v>44.69</v>
      </c>
      <c r="BT390" s="2">
        <f>VLOOKUP([jobnumber],OvalData[],MATCH(Table2[[#Headers],[Wrap]],Table2[#Headers],0),0)</f>
        <v>0</v>
      </c>
      <c r="BU390" s="2">
        <f>VLOOKUP([jobnumber],OvalData[],MATCH(Table2[[#Headers],[Wall Angle Thickness]],Table2[#Headers],0),0)</f>
        <v>0</v>
      </c>
      <c r="BV390" s="2">
        <f>VLOOKUP([jobnumber],OvalData[],MATCH(Table2[[#Headers],[windlocks]],Table2[#Headers],0),0)</f>
        <v>0</v>
      </c>
      <c r="BW390" s="2" t="str">
        <f>VLOOKUP([jobnumber],OvalData[],MATCH(Table2[[#Headers],[bottombartype]],Table2[#Headers],0),0)</f>
        <v>SPECIAL</v>
      </c>
      <c r="BX390" s="2">
        <f>VLOOKUP([jobnumber],OvalData[],MATCH(Table2[[#Headers],[endlockweight]],Table2[#Headers],0),0)</f>
        <v>0.17</v>
      </c>
      <c r="BY390" s="2">
        <f>VLOOKUP([jobnumber],OvalData[],MATCH(Table2[[#Headers],[Endlock Total Weight]],Table2[#Headers],0),0)</f>
        <v>7.5972999999999997</v>
      </c>
      <c r="BZ390" s="2">
        <f>VLOOKUP([jobnumber],OvalData[],MATCH(Table2[[#Headers],[Grille Weight]],Table2[#Headers],0),0)</f>
        <v>0</v>
      </c>
      <c r="CA390" s="2">
        <f>VLOOKUP([jobnumber],OvalData[],MATCH(Table2[[#Headers],[barrelrings]],Table2[#Headers],0),0)</f>
        <v>1</v>
      </c>
    </row>
    <row r="391" spans="2:79">
      <c r="B391" s="2" t="str">
        <f>VLOOKUP([jobnumber],OvalData[],MATCH(Table2[[#Headers],[Hand]],Table2[#Headers],0),0)</f>
        <v>RH</v>
      </c>
      <c r="C391" s="2" t="str">
        <f>VLOOKUP([jobnumber],OvalData[],MATCH(Table2[[#Headers],[Model]],Table2[#Headers],0),0)</f>
        <v>SFMPP</v>
      </c>
      <c r="D391" s="2" t="str">
        <f>VLOOKUP([jobnumber],OvalData[],MATCH(Table2[[#Headers],[width]],Table2[#Headers],0),0)</f>
        <v xml:space="preserve"> 18 ft.- 2"</v>
      </c>
      <c r="E391" s="2" t="str">
        <f>VLOOKUP([jobnumber],OvalData[],MATCH(Table2[[#Headers],[stopheight]],Table2[#Headers],0),0)</f>
        <v xml:space="preserve"> 10 ft.- 0"</v>
      </c>
      <c r="F391" s="2" t="str">
        <f>VLOOKUP([jobnumber],OvalData[],MATCH(Table2[[#Headers],[Between Brackets]],Table2[#Headers],0),0)</f>
        <v xml:space="preserve"> 18 ft.- 7 7/ 8"</v>
      </c>
      <c r="G391" s="2" t="str">
        <f>VLOOKUP([jobnumber],OvalData[],MATCH(Table2[[#Headers],[shell]],Table2[#Headers],0),0)</f>
        <v>6 INCH TUBE</v>
      </c>
      <c r="H391" s="2" t="str">
        <f>VLOOKUP([jobnumber],OvalData[],MATCH(Table2[[#Headers],[pipewidth]],Table2[#Headers],0),0)</f>
        <v xml:space="preserve"> 18 ft.- 1 3/ 8"</v>
      </c>
      <c r="I391" s="2">
        <f>VLOOKUP([jobnumber],OvalData[],MATCH(Table2[[#Headers],[Support Tubes]],Table2[#Headers],0),0)</f>
        <v>0</v>
      </c>
      <c r="J391" s="2">
        <f>VLOOKUP([jobnumber],OvalData[],MATCH(Table2[[#Headers],[Upset]],Table2[#Headers],0),0)</f>
        <v>2</v>
      </c>
      <c r="K391" s="2" t="str">
        <f>VLOOKUP([jobnumber],OvalData[],MATCH(Table2[[#Headers],[Guide Type]],Table2[#Headers],0),0)</f>
        <v>SN2-4 5/8-E</v>
      </c>
      <c r="L391" s="2" t="str">
        <f>VLOOKUP([jobnumber],OvalData[],MATCH(Table2[[#Headers],[Wall Angle]],Table2[#Headers],0),0)</f>
        <v xml:space="preserve"> 11 ft.- 8"</v>
      </c>
      <c r="M391" s="2" t="str">
        <f>VLOOKUP([jobnumber],OvalData[],MATCH(Table2[[#Headers],[Middle Angle]],Table2[#Headers],0),0)</f>
        <v xml:space="preserve"> 10 ft.- 4 1/ 2"</v>
      </c>
      <c r="N391" s="2" t="str">
        <f>VLOOKUP([jobnumber],OvalData[],MATCH(Table2[[#Headers],[Front Angle]],Table2[#Headers],0),0)</f>
        <v xml:space="preserve"> 10 ft.- 3"</v>
      </c>
      <c r="O391" s="2">
        <f>VLOOKUP([jobnumber],OvalData[],MATCH(Table2[[#Headers],[Pipe Center Line]],Table2[#Headers],0),0)</f>
        <v>131</v>
      </c>
      <c r="P391" s="2">
        <f>VLOOKUP([jobnumber],OvalData[],MATCH(Table2[[#Headers],[Heat Expansion Gap]],Table2[#Headers],0),0)</f>
        <v>0</v>
      </c>
      <c r="Q391" s="2">
        <f>VLOOKUP([jobnumber],OvalData[],MATCH(Table2[[#Headers],[Hanging Weight Closed]],Table2[#Headers],0),0)</f>
        <v>795</v>
      </c>
      <c r="R391" s="2">
        <f>VLOOKUP([jobnumber],OvalData[],MATCH(Table2[[#Headers],[Hanging Weight Open]],Table2[#Headers],0),0)</f>
        <v>140</v>
      </c>
      <c r="S391" s="2">
        <f>VLOOKUP([jobnumber],OvalData[],MATCH(Table2[[#Headers],[Initial Lever Arm]],Table2[#Headers],0),0)</f>
        <v>4.25</v>
      </c>
      <c r="T391" s="2">
        <f>VLOOKUP([jobnumber],OvalData[],MATCH(Table2[[#Headers],[Turns to Raise]],Table2[#Headers],0),0)</f>
        <v>3.5859999999999999</v>
      </c>
      <c r="U391" s="2">
        <f>VLOOKUP([jobnumber],OvalData[],MATCH(Table2[[#Headers],[Final Lever Arm]],Table2[#Headers],0),0)</f>
        <v>6.37</v>
      </c>
      <c r="V391" s="2">
        <f>VLOOKUP([jobnumber],OvalData[],MATCH(Table2[[#Headers],[Torque Required Closed]],Table2[#Headers],0),0)</f>
        <v>3377.9</v>
      </c>
      <c r="W391" s="2">
        <f>VLOOKUP([jobnumber],OvalData[],MATCH(Table2[[#Headers],[Torque Required Open]],Table2[#Headers],0),0)</f>
        <v>892</v>
      </c>
      <c r="X391" s="2">
        <f>VLOOKUP([jobnumber],OvalData[],MATCH(Table2[[#Headers],[Pre Turns]],Table2[#Headers],0),0)</f>
        <v>1.3332999999999999</v>
      </c>
      <c r="Y391" s="2">
        <f>VLOOKUP([jobnumber],OvalData[],MATCH(Table2[[#Headers],[Required Torque Per Turn]],Table2[#Headers],0),0)</f>
        <v>688</v>
      </c>
      <c r="Z391" s="2">
        <f>VLOOKUP([jobnumber],OvalData[],MATCH(Table2[[#Headers],[Total Turns]],Table2[#Headers],0),0)</f>
        <v>4.91</v>
      </c>
      <c r="AA391" s="2">
        <f>VLOOKUP([jobnumber],OvalData[],MATCH(Table2[[#Headers],[Grille Vision Section]],Table2[#Headers],0),0)</f>
        <v>0</v>
      </c>
      <c r="AB391" s="2">
        <f>VLOOKUP([jobnumber],OvalData[],MATCH(Table2[[#Headers],[Grille Amount]],Table2[#Headers],0),0)</f>
        <v>0</v>
      </c>
      <c r="AC391" s="2">
        <f>VLOOKUP([jobnumber],OvalData[],MATCH(Table2[[#Headers],[Grille Center]],Table2[#Headers],0),0)</f>
        <v>0</v>
      </c>
      <c r="AD391" s="2">
        <f>VLOOKUP([jobnumber],OvalData[],MATCH(Table2[[#Headers],[Grille Pattern]],Table2[#Headers],0),0)</f>
        <v>0</v>
      </c>
      <c r="AE391" s="2">
        <f>VLOOKUP([jobnumber],OvalData[],MATCH(Table2[[#Headers],[Grille First Tube]],Table2[#Headers],0),0)</f>
        <v>0</v>
      </c>
      <c r="AF391" s="2">
        <f>VLOOKUP([jobnumber],OvalData[],MATCH(Table2[[#Headers],[Grille Standard Tube]],Table2[#Headers],0),0)</f>
        <v>0</v>
      </c>
      <c r="AG391" s="2">
        <f>VLOOKUP([jobnumber],OvalData[],MATCH(Table2[[#Headers],[Grille Total Links]],Table2[#Headers],0),0)</f>
        <v>0</v>
      </c>
      <c r="AH391" s="2">
        <f>VLOOKUP([jobnumber],OvalData[],MATCH(Table2[[#Headers],[Grille Rods]],Table2[#Headers],0),0)</f>
        <v>0</v>
      </c>
      <c r="AI391" s="2">
        <f>VLOOKUP([jobnumber],OvalData[],MATCH(Table2[[#Headers],[Grille Rod Length]],Table2[#Headers],0),0)</f>
        <v>0</v>
      </c>
      <c r="AJ391" s="2">
        <f>VLOOKUP([jobnumber],OvalData[],MATCH(Table2[[#Headers],[slattype]],Table2[#Headers],0),0)</f>
        <v>2</v>
      </c>
      <c r="AK391" s="2">
        <f>VLOOKUP([jobnumber],OvalData[],MATCH(Table2[[#Headers],[slatgage]],Table2[#Headers],0),0)</f>
        <v>18</v>
      </c>
      <c r="AL391" s="2">
        <f>VLOOKUP([jobnumber],OvalData[],MATCH(Table2[[#Headers],[Numer of Top Slats]],Table2[#Headers],0),0)</f>
        <v>0</v>
      </c>
      <c r="AM391" s="2">
        <f>VLOOKUP([jobnumber],OvalData[],MATCH(Table2[[#Headers],[Number of Bottom Slats]],Table2[#Headers],0),0)</f>
        <v>0</v>
      </c>
      <c r="AN391" s="2">
        <f>VLOOKUP([jobnumber],OvalData[],MATCH(Table2[[#Headers],[Solid Bottom Height]],Table2[#Headers],0),0)</f>
        <v>0</v>
      </c>
      <c r="AO391" s="2" t="str">
        <f>VLOOKUP([jobnumber],OvalData[],MATCH(Table2[[#Headers],[slatlength]],Table2[#Headers],0),0)</f>
        <v xml:space="preserve"> 18 ft.- 5 7/ 8"</v>
      </c>
      <c r="AP391" s="2">
        <f>VLOOKUP([jobnumber],OvalData[],MATCH(Table2[[#Headers],[Bottom Slat Length]],Table2[#Headers],0),0)</f>
        <v>0</v>
      </c>
      <c r="AQ391" s="2">
        <f>VLOOKUP([jobnumber],OvalData[],MATCH(Table2[[#Headers],[Number of Perferated Slats]],Table2[#Headers],0),0)</f>
        <v>0</v>
      </c>
      <c r="AR391" s="2">
        <f>VLOOKUP([jobnumber],OvalData[],MATCH(Table2[[#Headers],[First Preferated Slat From End]],Table2[#Headers],0),0)</f>
        <v>0</v>
      </c>
      <c r="AS391" s="2">
        <f>VLOOKUP([jobnumber],OvalData[],MATCH(Table2[[#Headers],[First Preferated Slat From Bottom]],Table2[#Headers],0),0)</f>
        <v>0</v>
      </c>
      <c r="AT391" s="2">
        <f>VLOOKUP([jobnumber],OvalData[],MATCH(Table2[[#Headers],[Total Number of Slats]],Table2[#Headers],0),0)</f>
        <v>51</v>
      </c>
      <c r="AU391" s="2">
        <f>VLOOKUP([jobnumber],OvalData[],MATCH(Table2[[#Headers],[Bottom Bar Slope]],Table2[#Headers],0),0)</f>
        <v>0</v>
      </c>
      <c r="AV391" s="2">
        <f>VLOOKUP([jobnumber],OvalData[],MATCH(Table2[[#Headers],[Bottom Bar Weight]],Table2[#Headers],0),0)</f>
        <v>80.5</v>
      </c>
      <c r="AW391" s="2" t="str">
        <f>VLOOKUP([jobnumber],OvalData[],MATCH(Table2[[#Headers],[Outer Spring Gage]],Table2[#Headers],0),0)</f>
        <v>Null</v>
      </c>
      <c r="AX391" s="2" t="str">
        <f>VLOOKUP([jobnumber],OvalData[],MATCH(Table2[[#Headers],[Outer Spring OD]],Table2[#Headers],0),0)</f>
        <v>Null</v>
      </c>
      <c r="AY391" s="2" t="str">
        <f>VLOOKUP([jobnumber],OvalData[],MATCH(Table2[[#Headers],[Outer Spring Length]],Table2[#Headers],0),0)</f>
        <v>Null</v>
      </c>
      <c r="AZ391" s="2" t="str">
        <f>VLOOKUP([jobnumber],OvalData[],MATCH(Table2[[#Headers],[Outer Spring Stretch]],Table2[#Headers],0),0)</f>
        <v>Null</v>
      </c>
      <c r="BA391" s="2" t="str">
        <f>VLOOKUP([jobnumber],OvalData[],MATCH(Table2[[#Headers],[Outer Spring Torque]],Table2[#Headers],0),0)</f>
        <v>Null</v>
      </c>
      <c r="BB391" s="2" t="str">
        <f>VLOOKUP([jobnumber],OvalData[],MATCH(Table2[[#Headers],[Outer Spring Max Turns]],Table2[#Headers],0),0)</f>
        <v>Null</v>
      </c>
      <c r="BC391" s="2" t="str">
        <f>VLOOKUP([jobnumber],OvalData[],MATCH(Table2[[#Headers],[Outer Spring Weight]],Table2[#Headers],0),0)</f>
        <v>Null</v>
      </c>
      <c r="BD391" s="2" t="str">
        <f>VLOOKUP([jobnumber],OvalData[],MATCH(Table2[[#Headers],[Inner Spring Gage]],Table2[#Headers],0),0)</f>
        <v>Null</v>
      </c>
      <c r="BE391" s="2" t="str">
        <f>VLOOKUP([jobnumber],OvalData[],MATCH(Table2[[#Headers],[Inner Spring OD]],Table2[#Headers],0),0)</f>
        <v>Null</v>
      </c>
      <c r="BF391" s="2" t="str">
        <f>VLOOKUP([jobnumber],OvalData[],MATCH(Table2[[#Headers],[Inner Spring Length]],Table2[#Headers],0),0)</f>
        <v>Null</v>
      </c>
      <c r="BG391" s="2" t="str">
        <f>VLOOKUP([jobnumber],OvalData[],MATCH(Table2[[#Headers],[Inner Spring Stretch]],Table2[#Headers],0),0)</f>
        <v>Null</v>
      </c>
      <c r="BH391" s="2" t="str">
        <f>VLOOKUP([jobnumber],OvalData[],MATCH(Table2[[#Headers],[Inner Spring Torque]],Table2[#Headers],0),0)</f>
        <v>Null</v>
      </c>
      <c r="BI391" s="2" t="str">
        <f>VLOOKUP([jobnumber],OvalData[],MATCH(Table2[[#Headers],[Inner Spring Max Turns]],Table2[#Headers],0),0)</f>
        <v>Null</v>
      </c>
      <c r="BJ391" s="2" t="str">
        <f>VLOOKUP([jobnumber],OvalData[],MATCH(Table2[[#Headers],[Inner Spring Weight]],Table2[#Headers],0),0)</f>
        <v>Null</v>
      </c>
      <c r="BK391" s="2">
        <f>VLOOKUP([jobnumber],OvalData[],MATCH(Table2[[#Headers],[Cycles]],Table2[#Headers],0),0)</f>
        <v>0</v>
      </c>
      <c r="BL391" s="2">
        <f>VLOOKUP([jobnumber],OvalData[],MATCH(Table2[[#Headers],[Total Spring Torque]],Table2[#Headers],0),0)</f>
        <v>0</v>
      </c>
      <c r="BM391" s="2">
        <f>VLOOKUP([jobnumber],OvalData[],MATCH(Table2[[#Headers],[Total Spring Weight]],Table2[#Headers],0),0)</f>
        <v>0</v>
      </c>
      <c r="BN391" s="2">
        <f>VLOOKUP([jobnumber],OvalData[],MATCH(Table2[[#Headers],[Pipe Weight]],Table2[#Headers],0),0)</f>
        <v>688.24239999999998</v>
      </c>
      <c r="BO391" s="2">
        <f>VLOOKUP([jobnumber],OvalData[],MATCH(Table2[[#Headers],[Max Pipe Deflection]],Table2[#Headers],0),0)</f>
        <v>2309</v>
      </c>
      <c r="BP391" s="2">
        <f>VLOOKUP([jobnumber],OvalData[],MATCH(Table2[[#Headers],[Number Non-Insulated Wrap Slats]],Table2[#Headers],0),0)</f>
        <v>0</v>
      </c>
      <c r="BQ391" s="2">
        <f>VLOOKUP([jobnumber],OvalData[],MATCH(Table2[[#Headers],[Number of Insolated Top Slats]],Table2[#Headers],0),0)</f>
        <v>45</v>
      </c>
      <c r="BR391" s="2">
        <f>VLOOKUP([jobnumber],OvalData[],MATCH(Table2[[#Headers],[Insolated Total Slats]],Table2[#Headers],0),0)</f>
        <v>45</v>
      </c>
      <c r="BS391" s="2">
        <f>VLOOKUP([jobnumber],OvalData[],MATCH(Table2[[#Headers],[Number of Slats]],Table2[#Headers],0),0)</f>
        <v>44.69</v>
      </c>
      <c r="BT391" s="2">
        <f>VLOOKUP([jobnumber],OvalData[],MATCH(Table2[[#Headers],[Wrap]],Table2[#Headers],0),0)</f>
        <v>0</v>
      </c>
      <c r="BU391" s="2">
        <f>VLOOKUP([jobnumber],OvalData[],MATCH(Table2[[#Headers],[Wall Angle Thickness]],Table2[#Headers],0),0)</f>
        <v>0</v>
      </c>
      <c r="BV391" s="2">
        <f>VLOOKUP([jobnumber],OvalData[],MATCH(Table2[[#Headers],[windlocks]],Table2[#Headers],0),0)</f>
        <v>0</v>
      </c>
      <c r="BW391" s="2" t="str">
        <f>VLOOKUP([jobnumber],OvalData[],MATCH(Table2[[#Headers],[bottombartype]],Table2[#Headers],0),0)</f>
        <v>SPECIAL</v>
      </c>
      <c r="BX391" s="2">
        <f>VLOOKUP([jobnumber],OvalData[],MATCH(Table2[[#Headers],[endlockweight]],Table2[#Headers],0),0)</f>
        <v>0.17</v>
      </c>
      <c r="BY391" s="2">
        <f>VLOOKUP([jobnumber],OvalData[],MATCH(Table2[[#Headers],[Endlock Total Weight]],Table2[#Headers],0),0)</f>
        <v>7.5972999999999997</v>
      </c>
      <c r="BZ391" s="2">
        <f>VLOOKUP([jobnumber],OvalData[],MATCH(Table2[[#Headers],[Grille Weight]],Table2[#Headers],0),0)</f>
        <v>0</v>
      </c>
      <c r="CA391" s="2">
        <f>VLOOKUP([jobnumber],OvalData[],MATCH(Table2[[#Headers],[barrelrings]],Table2[#Headers],0),0)</f>
        <v>1</v>
      </c>
    </row>
    <row r="392" spans="2:79">
      <c r="B392" s="2" t="str">
        <f>VLOOKUP([jobnumber],OvalData[],MATCH(Table2[[#Headers],[Hand]],Table2[#Headers],0),0)</f>
        <v>RH</v>
      </c>
      <c r="C392" s="2" t="str">
        <f>VLOOKUP([jobnumber],OvalData[],MATCH(Table2[[#Headers],[Model]],Table2[#Headers],0),0)</f>
        <v>SFMPP</v>
      </c>
      <c r="D392" s="2" t="str">
        <f>VLOOKUP([jobnumber],OvalData[],MATCH(Table2[[#Headers],[width]],Table2[#Headers],0),0)</f>
        <v xml:space="preserve"> 18 ft.- 2"</v>
      </c>
      <c r="E392" s="2" t="str">
        <f>VLOOKUP([jobnumber],OvalData[],MATCH(Table2[[#Headers],[stopheight]],Table2[#Headers],0),0)</f>
        <v xml:space="preserve"> 10 ft.- 0"</v>
      </c>
      <c r="F392" s="2" t="str">
        <f>VLOOKUP([jobnumber],OvalData[],MATCH(Table2[[#Headers],[Between Brackets]],Table2[#Headers],0),0)</f>
        <v xml:space="preserve"> 18 ft.- 7 7/ 8"</v>
      </c>
      <c r="G392" s="2" t="str">
        <f>VLOOKUP([jobnumber],OvalData[],MATCH(Table2[[#Headers],[shell]],Table2[#Headers],0),0)</f>
        <v>6 INCH TUBE</v>
      </c>
      <c r="H392" s="2" t="str">
        <f>VLOOKUP([jobnumber],OvalData[],MATCH(Table2[[#Headers],[pipewidth]],Table2[#Headers],0),0)</f>
        <v xml:space="preserve"> 18 ft.- 1 3/ 8"</v>
      </c>
      <c r="I392" s="2">
        <f>VLOOKUP([jobnumber],OvalData[],MATCH(Table2[[#Headers],[Support Tubes]],Table2[#Headers],0),0)</f>
        <v>0</v>
      </c>
      <c r="J392" s="2">
        <f>VLOOKUP([jobnumber],OvalData[],MATCH(Table2[[#Headers],[Upset]],Table2[#Headers],0),0)</f>
        <v>2</v>
      </c>
      <c r="K392" s="2" t="str">
        <f>VLOOKUP([jobnumber],OvalData[],MATCH(Table2[[#Headers],[Guide Type]],Table2[#Headers],0),0)</f>
        <v>SN2-4 5/8-E</v>
      </c>
      <c r="L392" s="2" t="str">
        <f>VLOOKUP([jobnumber],OvalData[],MATCH(Table2[[#Headers],[Wall Angle]],Table2[#Headers],0),0)</f>
        <v xml:space="preserve"> 11 ft.- 8"</v>
      </c>
      <c r="M392" s="2" t="str">
        <f>VLOOKUP([jobnumber],OvalData[],MATCH(Table2[[#Headers],[Middle Angle]],Table2[#Headers],0),0)</f>
        <v xml:space="preserve"> 10 ft.- 4 1/ 2"</v>
      </c>
      <c r="N392" s="2" t="str">
        <f>VLOOKUP([jobnumber],OvalData[],MATCH(Table2[[#Headers],[Front Angle]],Table2[#Headers],0),0)</f>
        <v xml:space="preserve"> 10 ft.- 3"</v>
      </c>
      <c r="O392" s="2">
        <f>VLOOKUP([jobnumber],OvalData[],MATCH(Table2[[#Headers],[Pipe Center Line]],Table2[#Headers],0),0)</f>
        <v>131</v>
      </c>
      <c r="P392" s="2">
        <f>VLOOKUP([jobnumber],OvalData[],MATCH(Table2[[#Headers],[Heat Expansion Gap]],Table2[#Headers],0),0)</f>
        <v>0</v>
      </c>
      <c r="Q392" s="2">
        <f>VLOOKUP([jobnumber],OvalData[],MATCH(Table2[[#Headers],[Hanging Weight Closed]],Table2[#Headers],0),0)</f>
        <v>795</v>
      </c>
      <c r="R392" s="2">
        <f>VLOOKUP([jobnumber],OvalData[],MATCH(Table2[[#Headers],[Hanging Weight Open]],Table2[#Headers],0),0)</f>
        <v>140</v>
      </c>
      <c r="S392" s="2">
        <f>VLOOKUP([jobnumber],OvalData[],MATCH(Table2[[#Headers],[Initial Lever Arm]],Table2[#Headers],0),0)</f>
        <v>4.25</v>
      </c>
      <c r="T392" s="2">
        <f>VLOOKUP([jobnumber],OvalData[],MATCH(Table2[[#Headers],[Turns to Raise]],Table2[#Headers],0),0)</f>
        <v>3.5859999999999999</v>
      </c>
      <c r="U392" s="2">
        <f>VLOOKUP([jobnumber],OvalData[],MATCH(Table2[[#Headers],[Final Lever Arm]],Table2[#Headers],0),0)</f>
        <v>6.37</v>
      </c>
      <c r="V392" s="2">
        <f>VLOOKUP([jobnumber],OvalData[],MATCH(Table2[[#Headers],[Torque Required Closed]],Table2[#Headers],0),0)</f>
        <v>3377.9</v>
      </c>
      <c r="W392" s="2">
        <f>VLOOKUP([jobnumber],OvalData[],MATCH(Table2[[#Headers],[Torque Required Open]],Table2[#Headers],0),0)</f>
        <v>892</v>
      </c>
      <c r="X392" s="2">
        <f>VLOOKUP([jobnumber],OvalData[],MATCH(Table2[[#Headers],[Pre Turns]],Table2[#Headers],0),0)</f>
        <v>1.3332999999999999</v>
      </c>
      <c r="Y392" s="2">
        <f>VLOOKUP([jobnumber],OvalData[],MATCH(Table2[[#Headers],[Required Torque Per Turn]],Table2[#Headers],0),0)</f>
        <v>688</v>
      </c>
      <c r="Z392" s="2">
        <f>VLOOKUP([jobnumber],OvalData[],MATCH(Table2[[#Headers],[Total Turns]],Table2[#Headers],0),0)</f>
        <v>4.91</v>
      </c>
      <c r="AA392" s="2">
        <f>VLOOKUP([jobnumber],OvalData[],MATCH(Table2[[#Headers],[Grille Vision Section]],Table2[#Headers],0),0)</f>
        <v>0</v>
      </c>
      <c r="AB392" s="2">
        <f>VLOOKUP([jobnumber],OvalData[],MATCH(Table2[[#Headers],[Grille Amount]],Table2[#Headers],0),0)</f>
        <v>0</v>
      </c>
      <c r="AC392" s="2">
        <f>VLOOKUP([jobnumber],OvalData[],MATCH(Table2[[#Headers],[Grille Center]],Table2[#Headers],0),0)</f>
        <v>0</v>
      </c>
      <c r="AD392" s="2">
        <f>VLOOKUP([jobnumber],OvalData[],MATCH(Table2[[#Headers],[Grille Pattern]],Table2[#Headers],0),0)</f>
        <v>0</v>
      </c>
      <c r="AE392" s="2">
        <f>VLOOKUP([jobnumber],OvalData[],MATCH(Table2[[#Headers],[Grille First Tube]],Table2[#Headers],0),0)</f>
        <v>0</v>
      </c>
      <c r="AF392" s="2">
        <f>VLOOKUP([jobnumber],OvalData[],MATCH(Table2[[#Headers],[Grille Standard Tube]],Table2[#Headers],0),0)</f>
        <v>0</v>
      </c>
      <c r="AG392" s="2">
        <f>VLOOKUP([jobnumber],OvalData[],MATCH(Table2[[#Headers],[Grille Total Links]],Table2[#Headers],0),0)</f>
        <v>0</v>
      </c>
      <c r="AH392" s="2">
        <f>VLOOKUP([jobnumber],OvalData[],MATCH(Table2[[#Headers],[Grille Rods]],Table2[#Headers],0),0)</f>
        <v>0</v>
      </c>
      <c r="AI392" s="2">
        <f>VLOOKUP([jobnumber],OvalData[],MATCH(Table2[[#Headers],[Grille Rod Length]],Table2[#Headers],0),0)</f>
        <v>0</v>
      </c>
      <c r="AJ392" s="2">
        <f>VLOOKUP([jobnumber],OvalData[],MATCH(Table2[[#Headers],[slattype]],Table2[#Headers],0),0)</f>
        <v>2</v>
      </c>
      <c r="AK392" s="2">
        <f>VLOOKUP([jobnumber],OvalData[],MATCH(Table2[[#Headers],[slatgage]],Table2[#Headers],0),0)</f>
        <v>18</v>
      </c>
      <c r="AL392" s="2">
        <f>VLOOKUP([jobnumber],OvalData[],MATCH(Table2[[#Headers],[Numer of Top Slats]],Table2[#Headers],0),0)</f>
        <v>0</v>
      </c>
      <c r="AM392" s="2">
        <f>VLOOKUP([jobnumber],OvalData[],MATCH(Table2[[#Headers],[Number of Bottom Slats]],Table2[#Headers],0),0)</f>
        <v>0</v>
      </c>
      <c r="AN392" s="2">
        <f>VLOOKUP([jobnumber],OvalData[],MATCH(Table2[[#Headers],[Solid Bottom Height]],Table2[#Headers],0),0)</f>
        <v>0</v>
      </c>
      <c r="AO392" s="2" t="str">
        <f>VLOOKUP([jobnumber],OvalData[],MATCH(Table2[[#Headers],[slatlength]],Table2[#Headers],0),0)</f>
        <v xml:space="preserve"> 18 ft.- 5 7/ 8"</v>
      </c>
      <c r="AP392" s="2">
        <f>VLOOKUP([jobnumber],OvalData[],MATCH(Table2[[#Headers],[Bottom Slat Length]],Table2[#Headers],0),0)</f>
        <v>0</v>
      </c>
      <c r="AQ392" s="2">
        <f>VLOOKUP([jobnumber],OvalData[],MATCH(Table2[[#Headers],[Number of Perferated Slats]],Table2[#Headers],0),0)</f>
        <v>0</v>
      </c>
      <c r="AR392" s="2">
        <f>VLOOKUP([jobnumber],OvalData[],MATCH(Table2[[#Headers],[First Preferated Slat From End]],Table2[#Headers],0),0)</f>
        <v>0</v>
      </c>
      <c r="AS392" s="2">
        <f>VLOOKUP([jobnumber],OvalData[],MATCH(Table2[[#Headers],[First Preferated Slat From Bottom]],Table2[#Headers],0),0)</f>
        <v>0</v>
      </c>
      <c r="AT392" s="2">
        <f>VLOOKUP([jobnumber],OvalData[],MATCH(Table2[[#Headers],[Total Number of Slats]],Table2[#Headers],0),0)</f>
        <v>51</v>
      </c>
      <c r="AU392" s="2">
        <f>VLOOKUP([jobnumber],OvalData[],MATCH(Table2[[#Headers],[Bottom Bar Slope]],Table2[#Headers],0),0)</f>
        <v>0</v>
      </c>
      <c r="AV392" s="2">
        <f>VLOOKUP([jobnumber],OvalData[],MATCH(Table2[[#Headers],[Bottom Bar Weight]],Table2[#Headers],0),0)</f>
        <v>80.5</v>
      </c>
      <c r="AW392" s="2" t="str">
        <f>VLOOKUP([jobnumber],OvalData[],MATCH(Table2[[#Headers],[Outer Spring Gage]],Table2[#Headers],0),0)</f>
        <v>Null</v>
      </c>
      <c r="AX392" s="2" t="str">
        <f>VLOOKUP([jobnumber],OvalData[],MATCH(Table2[[#Headers],[Outer Spring OD]],Table2[#Headers],0),0)</f>
        <v>Null</v>
      </c>
      <c r="AY392" s="2" t="str">
        <f>VLOOKUP([jobnumber],OvalData[],MATCH(Table2[[#Headers],[Outer Spring Length]],Table2[#Headers],0),0)</f>
        <v>Null</v>
      </c>
      <c r="AZ392" s="2" t="str">
        <f>VLOOKUP([jobnumber],OvalData[],MATCH(Table2[[#Headers],[Outer Spring Stretch]],Table2[#Headers],0),0)</f>
        <v>Null</v>
      </c>
      <c r="BA392" s="2" t="str">
        <f>VLOOKUP([jobnumber],OvalData[],MATCH(Table2[[#Headers],[Outer Spring Torque]],Table2[#Headers],0),0)</f>
        <v>Null</v>
      </c>
      <c r="BB392" s="2" t="str">
        <f>VLOOKUP([jobnumber],OvalData[],MATCH(Table2[[#Headers],[Outer Spring Max Turns]],Table2[#Headers],0),0)</f>
        <v>Null</v>
      </c>
      <c r="BC392" s="2" t="str">
        <f>VLOOKUP([jobnumber],OvalData[],MATCH(Table2[[#Headers],[Outer Spring Weight]],Table2[#Headers],0),0)</f>
        <v>Null</v>
      </c>
      <c r="BD392" s="2" t="str">
        <f>VLOOKUP([jobnumber],OvalData[],MATCH(Table2[[#Headers],[Inner Spring Gage]],Table2[#Headers],0),0)</f>
        <v>Null</v>
      </c>
      <c r="BE392" s="2" t="str">
        <f>VLOOKUP([jobnumber],OvalData[],MATCH(Table2[[#Headers],[Inner Spring OD]],Table2[#Headers],0),0)</f>
        <v>Null</v>
      </c>
      <c r="BF392" s="2" t="str">
        <f>VLOOKUP([jobnumber],OvalData[],MATCH(Table2[[#Headers],[Inner Spring Length]],Table2[#Headers],0),0)</f>
        <v>Null</v>
      </c>
      <c r="BG392" s="2" t="str">
        <f>VLOOKUP([jobnumber],OvalData[],MATCH(Table2[[#Headers],[Inner Spring Stretch]],Table2[#Headers],0),0)</f>
        <v>Null</v>
      </c>
      <c r="BH392" s="2" t="str">
        <f>VLOOKUP([jobnumber],OvalData[],MATCH(Table2[[#Headers],[Inner Spring Torque]],Table2[#Headers],0),0)</f>
        <v>Null</v>
      </c>
      <c r="BI392" s="2" t="str">
        <f>VLOOKUP([jobnumber],OvalData[],MATCH(Table2[[#Headers],[Inner Spring Max Turns]],Table2[#Headers],0),0)</f>
        <v>Null</v>
      </c>
      <c r="BJ392" s="2" t="str">
        <f>VLOOKUP([jobnumber],OvalData[],MATCH(Table2[[#Headers],[Inner Spring Weight]],Table2[#Headers],0),0)</f>
        <v>Null</v>
      </c>
      <c r="BK392" s="2">
        <f>VLOOKUP([jobnumber],OvalData[],MATCH(Table2[[#Headers],[Cycles]],Table2[#Headers],0),0)</f>
        <v>0</v>
      </c>
      <c r="BL392" s="2">
        <f>VLOOKUP([jobnumber],OvalData[],MATCH(Table2[[#Headers],[Total Spring Torque]],Table2[#Headers],0),0)</f>
        <v>0</v>
      </c>
      <c r="BM392" s="2">
        <f>VLOOKUP([jobnumber],OvalData[],MATCH(Table2[[#Headers],[Total Spring Weight]],Table2[#Headers],0),0)</f>
        <v>0</v>
      </c>
      <c r="BN392" s="2">
        <f>VLOOKUP([jobnumber],OvalData[],MATCH(Table2[[#Headers],[Pipe Weight]],Table2[#Headers],0),0)</f>
        <v>688.24239999999998</v>
      </c>
      <c r="BO392" s="2">
        <f>VLOOKUP([jobnumber],OvalData[],MATCH(Table2[[#Headers],[Max Pipe Deflection]],Table2[#Headers],0),0)</f>
        <v>2309</v>
      </c>
      <c r="BP392" s="2">
        <f>VLOOKUP([jobnumber],OvalData[],MATCH(Table2[[#Headers],[Number Non-Insulated Wrap Slats]],Table2[#Headers],0),0)</f>
        <v>0</v>
      </c>
      <c r="BQ392" s="2">
        <f>VLOOKUP([jobnumber],OvalData[],MATCH(Table2[[#Headers],[Number of Insolated Top Slats]],Table2[#Headers],0),0)</f>
        <v>45</v>
      </c>
      <c r="BR392" s="2">
        <f>VLOOKUP([jobnumber],OvalData[],MATCH(Table2[[#Headers],[Insolated Total Slats]],Table2[#Headers],0),0)</f>
        <v>45</v>
      </c>
      <c r="BS392" s="2">
        <f>VLOOKUP([jobnumber],OvalData[],MATCH(Table2[[#Headers],[Number of Slats]],Table2[#Headers],0),0)</f>
        <v>44.69</v>
      </c>
      <c r="BT392" s="2">
        <f>VLOOKUP([jobnumber],OvalData[],MATCH(Table2[[#Headers],[Wrap]],Table2[#Headers],0),0)</f>
        <v>0</v>
      </c>
      <c r="BU392" s="2">
        <f>VLOOKUP([jobnumber],OvalData[],MATCH(Table2[[#Headers],[Wall Angle Thickness]],Table2[#Headers],0),0)</f>
        <v>0</v>
      </c>
      <c r="BV392" s="2">
        <f>VLOOKUP([jobnumber],OvalData[],MATCH(Table2[[#Headers],[windlocks]],Table2[#Headers],0),0)</f>
        <v>0</v>
      </c>
      <c r="BW392" s="2" t="str">
        <f>VLOOKUP([jobnumber],OvalData[],MATCH(Table2[[#Headers],[bottombartype]],Table2[#Headers],0),0)</f>
        <v>SPECIAL</v>
      </c>
      <c r="BX392" s="2">
        <f>VLOOKUP([jobnumber],OvalData[],MATCH(Table2[[#Headers],[endlockweight]],Table2[#Headers],0),0)</f>
        <v>0.17</v>
      </c>
      <c r="BY392" s="2">
        <f>VLOOKUP([jobnumber],OvalData[],MATCH(Table2[[#Headers],[Endlock Total Weight]],Table2[#Headers],0),0)</f>
        <v>7.5972999999999997</v>
      </c>
      <c r="BZ392" s="2">
        <f>VLOOKUP([jobnumber],OvalData[],MATCH(Table2[[#Headers],[Grille Weight]],Table2[#Headers],0),0)</f>
        <v>0</v>
      </c>
      <c r="CA392" s="2">
        <f>VLOOKUP([jobnumber],OvalData[],MATCH(Table2[[#Headers],[barrelrings]],Table2[#Headers],0),0)</f>
        <v>1</v>
      </c>
    </row>
    <row r="393" spans="2:79">
      <c r="B393" s="2" t="str">
        <f>VLOOKUP([jobnumber],OvalData[],MATCH(Table2[[#Headers],[Hand]],Table2[#Headers],0),0)</f>
        <v>RH</v>
      </c>
      <c r="C393" s="2" t="str">
        <f>VLOOKUP([jobnumber],OvalData[],MATCH(Table2[[#Headers],[Model]],Table2[#Headers],0),0)</f>
        <v>SFMPP</v>
      </c>
      <c r="D393" s="2" t="str">
        <f>VLOOKUP([jobnumber],OvalData[],MATCH(Table2[[#Headers],[width]],Table2[#Headers],0),0)</f>
        <v xml:space="preserve"> 18 ft.- 2"</v>
      </c>
      <c r="E393" s="2" t="str">
        <f>VLOOKUP([jobnumber],OvalData[],MATCH(Table2[[#Headers],[stopheight]],Table2[#Headers],0),0)</f>
        <v xml:space="preserve"> 10 ft.- 0"</v>
      </c>
      <c r="F393" s="2" t="str">
        <f>VLOOKUP([jobnumber],OvalData[],MATCH(Table2[[#Headers],[Between Brackets]],Table2[#Headers],0),0)</f>
        <v xml:space="preserve"> 18 ft.- 7 7/ 8"</v>
      </c>
      <c r="G393" s="2" t="str">
        <f>VLOOKUP([jobnumber],OvalData[],MATCH(Table2[[#Headers],[shell]],Table2[#Headers],0),0)</f>
        <v>6 INCH TUBE</v>
      </c>
      <c r="H393" s="2" t="str">
        <f>VLOOKUP([jobnumber],OvalData[],MATCH(Table2[[#Headers],[pipewidth]],Table2[#Headers],0),0)</f>
        <v xml:space="preserve"> 18 ft.- 1 3/ 8"</v>
      </c>
      <c r="I393" s="2">
        <f>VLOOKUP([jobnumber],OvalData[],MATCH(Table2[[#Headers],[Support Tubes]],Table2[#Headers],0),0)</f>
        <v>0</v>
      </c>
      <c r="J393" s="2">
        <f>VLOOKUP([jobnumber],OvalData[],MATCH(Table2[[#Headers],[Upset]],Table2[#Headers],0),0)</f>
        <v>2</v>
      </c>
      <c r="K393" s="2" t="str">
        <f>VLOOKUP([jobnumber],OvalData[],MATCH(Table2[[#Headers],[Guide Type]],Table2[#Headers],0),0)</f>
        <v>SN2-4 5/8-E</v>
      </c>
      <c r="L393" s="2" t="str">
        <f>VLOOKUP([jobnumber],OvalData[],MATCH(Table2[[#Headers],[Wall Angle]],Table2[#Headers],0),0)</f>
        <v xml:space="preserve"> 11 ft.- 8"</v>
      </c>
      <c r="M393" s="2" t="str">
        <f>VLOOKUP([jobnumber],OvalData[],MATCH(Table2[[#Headers],[Middle Angle]],Table2[#Headers],0),0)</f>
        <v xml:space="preserve"> 10 ft.- 4 1/ 2"</v>
      </c>
      <c r="N393" s="2" t="str">
        <f>VLOOKUP([jobnumber],OvalData[],MATCH(Table2[[#Headers],[Front Angle]],Table2[#Headers],0),0)</f>
        <v xml:space="preserve"> 10 ft.- 3"</v>
      </c>
      <c r="O393" s="2">
        <f>VLOOKUP([jobnumber],OvalData[],MATCH(Table2[[#Headers],[Pipe Center Line]],Table2[#Headers],0),0)</f>
        <v>131</v>
      </c>
      <c r="P393" s="2">
        <f>VLOOKUP([jobnumber],OvalData[],MATCH(Table2[[#Headers],[Heat Expansion Gap]],Table2[#Headers],0),0)</f>
        <v>0</v>
      </c>
      <c r="Q393" s="2">
        <f>VLOOKUP([jobnumber],OvalData[],MATCH(Table2[[#Headers],[Hanging Weight Closed]],Table2[#Headers],0),0)</f>
        <v>795</v>
      </c>
      <c r="R393" s="2">
        <f>VLOOKUP([jobnumber],OvalData[],MATCH(Table2[[#Headers],[Hanging Weight Open]],Table2[#Headers],0),0)</f>
        <v>140</v>
      </c>
      <c r="S393" s="2">
        <f>VLOOKUP([jobnumber],OvalData[],MATCH(Table2[[#Headers],[Initial Lever Arm]],Table2[#Headers],0),0)</f>
        <v>4.25</v>
      </c>
      <c r="T393" s="2">
        <f>VLOOKUP([jobnumber],OvalData[],MATCH(Table2[[#Headers],[Turns to Raise]],Table2[#Headers],0),0)</f>
        <v>3.5859999999999999</v>
      </c>
      <c r="U393" s="2">
        <f>VLOOKUP([jobnumber],OvalData[],MATCH(Table2[[#Headers],[Final Lever Arm]],Table2[#Headers],0),0)</f>
        <v>6.37</v>
      </c>
      <c r="V393" s="2">
        <f>VLOOKUP([jobnumber],OvalData[],MATCH(Table2[[#Headers],[Torque Required Closed]],Table2[#Headers],0),0)</f>
        <v>3377.9</v>
      </c>
      <c r="W393" s="2">
        <f>VLOOKUP([jobnumber],OvalData[],MATCH(Table2[[#Headers],[Torque Required Open]],Table2[#Headers],0),0)</f>
        <v>892</v>
      </c>
      <c r="X393" s="2">
        <f>VLOOKUP([jobnumber],OvalData[],MATCH(Table2[[#Headers],[Pre Turns]],Table2[#Headers],0),0)</f>
        <v>1.3332999999999999</v>
      </c>
      <c r="Y393" s="2">
        <f>VLOOKUP([jobnumber],OvalData[],MATCH(Table2[[#Headers],[Required Torque Per Turn]],Table2[#Headers],0),0)</f>
        <v>688</v>
      </c>
      <c r="Z393" s="2">
        <f>VLOOKUP([jobnumber],OvalData[],MATCH(Table2[[#Headers],[Total Turns]],Table2[#Headers],0),0)</f>
        <v>4.91</v>
      </c>
      <c r="AA393" s="2">
        <f>VLOOKUP([jobnumber],OvalData[],MATCH(Table2[[#Headers],[Grille Vision Section]],Table2[#Headers],0),0)</f>
        <v>0</v>
      </c>
      <c r="AB393" s="2">
        <f>VLOOKUP([jobnumber],OvalData[],MATCH(Table2[[#Headers],[Grille Amount]],Table2[#Headers],0),0)</f>
        <v>0</v>
      </c>
      <c r="AC393" s="2">
        <f>VLOOKUP([jobnumber],OvalData[],MATCH(Table2[[#Headers],[Grille Center]],Table2[#Headers],0),0)</f>
        <v>0</v>
      </c>
      <c r="AD393" s="2">
        <f>VLOOKUP([jobnumber],OvalData[],MATCH(Table2[[#Headers],[Grille Pattern]],Table2[#Headers],0),0)</f>
        <v>0</v>
      </c>
      <c r="AE393" s="2">
        <f>VLOOKUP([jobnumber],OvalData[],MATCH(Table2[[#Headers],[Grille First Tube]],Table2[#Headers],0),0)</f>
        <v>0</v>
      </c>
      <c r="AF393" s="2">
        <f>VLOOKUP([jobnumber],OvalData[],MATCH(Table2[[#Headers],[Grille Standard Tube]],Table2[#Headers],0),0)</f>
        <v>0</v>
      </c>
      <c r="AG393" s="2">
        <f>VLOOKUP([jobnumber],OvalData[],MATCH(Table2[[#Headers],[Grille Total Links]],Table2[#Headers],0),0)</f>
        <v>0</v>
      </c>
      <c r="AH393" s="2">
        <f>VLOOKUP([jobnumber],OvalData[],MATCH(Table2[[#Headers],[Grille Rods]],Table2[#Headers],0),0)</f>
        <v>0</v>
      </c>
      <c r="AI393" s="2">
        <f>VLOOKUP([jobnumber],OvalData[],MATCH(Table2[[#Headers],[Grille Rod Length]],Table2[#Headers],0),0)</f>
        <v>0</v>
      </c>
      <c r="AJ393" s="2">
        <f>VLOOKUP([jobnumber],OvalData[],MATCH(Table2[[#Headers],[slattype]],Table2[#Headers],0),0)</f>
        <v>2</v>
      </c>
      <c r="AK393" s="2">
        <f>VLOOKUP([jobnumber],OvalData[],MATCH(Table2[[#Headers],[slatgage]],Table2[#Headers],0),0)</f>
        <v>18</v>
      </c>
      <c r="AL393" s="2">
        <f>VLOOKUP([jobnumber],OvalData[],MATCH(Table2[[#Headers],[Numer of Top Slats]],Table2[#Headers],0),0)</f>
        <v>0</v>
      </c>
      <c r="AM393" s="2">
        <f>VLOOKUP([jobnumber],OvalData[],MATCH(Table2[[#Headers],[Number of Bottom Slats]],Table2[#Headers],0),0)</f>
        <v>0</v>
      </c>
      <c r="AN393" s="2">
        <f>VLOOKUP([jobnumber],OvalData[],MATCH(Table2[[#Headers],[Solid Bottom Height]],Table2[#Headers],0),0)</f>
        <v>0</v>
      </c>
      <c r="AO393" s="2" t="str">
        <f>VLOOKUP([jobnumber],OvalData[],MATCH(Table2[[#Headers],[slatlength]],Table2[#Headers],0),0)</f>
        <v xml:space="preserve"> 18 ft.- 5 7/ 8"</v>
      </c>
      <c r="AP393" s="2">
        <f>VLOOKUP([jobnumber],OvalData[],MATCH(Table2[[#Headers],[Bottom Slat Length]],Table2[#Headers],0),0)</f>
        <v>0</v>
      </c>
      <c r="AQ393" s="2">
        <f>VLOOKUP([jobnumber],OvalData[],MATCH(Table2[[#Headers],[Number of Perferated Slats]],Table2[#Headers],0),0)</f>
        <v>0</v>
      </c>
      <c r="AR393" s="2">
        <f>VLOOKUP([jobnumber],OvalData[],MATCH(Table2[[#Headers],[First Preferated Slat From End]],Table2[#Headers],0),0)</f>
        <v>0</v>
      </c>
      <c r="AS393" s="2">
        <f>VLOOKUP([jobnumber],OvalData[],MATCH(Table2[[#Headers],[First Preferated Slat From Bottom]],Table2[#Headers],0),0)</f>
        <v>0</v>
      </c>
      <c r="AT393" s="2">
        <f>VLOOKUP([jobnumber],OvalData[],MATCH(Table2[[#Headers],[Total Number of Slats]],Table2[#Headers],0),0)</f>
        <v>51</v>
      </c>
      <c r="AU393" s="2">
        <f>VLOOKUP([jobnumber],OvalData[],MATCH(Table2[[#Headers],[Bottom Bar Slope]],Table2[#Headers],0),0)</f>
        <v>0</v>
      </c>
      <c r="AV393" s="2">
        <f>VLOOKUP([jobnumber],OvalData[],MATCH(Table2[[#Headers],[Bottom Bar Weight]],Table2[#Headers],0),0)</f>
        <v>80.5</v>
      </c>
      <c r="AW393" s="2" t="str">
        <f>VLOOKUP([jobnumber],OvalData[],MATCH(Table2[[#Headers],[Outer Spring Gage]],Table2[#Headers],0),0)</f>
        <v>Null</v>
      </c>
      <c r="AX393" s="2" t="str">
        <f>VLOOKUP([jobnumber],OvalData[],MATCH(Table2[[#Headers],[Outer Spring OD]],Table2[#Headers],0),0)</f>
        <v>Null</v>
      </c>
      <c r="AY393" s="2" t="str">
        <f>VLOOKUP([jobnumber],OvalData[],MATCH(Table2[[#Headers],[Outer Spring Length]],Table2[#Headers],0),0)</f>
        <v>Null</v>
      </c>
      <c r="AZ393" s="2" t="str">
        <f>VLOOKUP([jobnumber],OvalData[],MATCH(Table2[[#Headers],[Outer Spring Stretch]],Table2[#Headers],0),0)</f>
        <v>Null</v>
      </c>
      <c r="BA393" s="2" t="str">
        <f>VLOOKUP([jobnumber],OvalData[],MATCH(Table2[[#Headers],[Outer Spring Torque]],Table2[#Headers],0),0)</f>
        <v>Null</v>
      </c>
      <c r="BB393" s="2" t="str">
        <f>VLOOKUP([jobnumber],OvalData[],MATCH(Table2[[#Headers],[Outer Spring Max Turns]],Table2[#Headers],0),0)</f>
        <v>Null</v>
      </c>
      <c r="BC393" s="2" t="str">
        <f>VLOOKUP([jobnumber],OvalData[],MATCH(Table2[[#Headers],[Outer Spring Weight]],Table2[#Headers],0),0)</f>
        <v>Null</v>
      </c>
      <c r="BD393" s="2" t="str">
        <f>VLOOKUP([jobnumber],OvalData[],MATCH(Table2[[#Headers],[Inner Spring Gage]],Table2[#Headers],0),0)</f>
        <v>Null</v>
      </c>
      <c r="BE393" s="2" t="str">
        <f>VLOOKUP([jobnumber],OvalData[],MATCH(Table2[[#Headers],[Inner Spring OD]],Table2[#Headers],0),0)</f>
        <v>Null</v>
      </c>
      <c r="BF393" s="2" t="str">
        <f>VLOOKUP([jobnumber],OvalData[],MATCH(Table2[[#Headers],[Inner Spring Length]],Table2[#Headers],0),0)</f>
        <v>Null</v>
      </c>
      <c r="BG393" s="2" t="str">
        <f>VLOOKUP([jobnumber],OvalData[],MATCH(Table2[[#Headers],[Inner Spring Stretch]],Table2[#Headers],0),0)</f>
        <v>Null</v>
      </c>
      <c r="BH393" s="2" t="str">
        <f>VLOOKUP([jobnumber],OvalData[],MATCH(Table2[[#Headers],[Inner Spring Torque]],Table2[#Headers],0),0)</f>
        <v>Null</v>
      </c>
      <c r="BI393" s="2" t="str">
        <f>VLOOKUP([jobnumber],OvalData[],MATCH(Table2[[#Headers],[Inner Spring Max Turns]],Table2[#Headers],0),0)</f>
        <v>Null</v>
      </c>
      <c r="BJ393" s="2" t="str">
        <f>VLOOKUP([jobnumber],OvalData[],MATCH(Table2[[#Headers],[Inner Spring Weight]],Table2[#Headers],0),0)</f>
        <v>Null</v>
      </c>
      <c r="BK393" s="2">
        <f>VLOOKUP([jobnumber],OvalData[],MATCH(Table2[[#Headers],[Cycles]],Table2[#Headers],0),0)</f>
        <v>0</v>
      </c>
      <c r="BL393" s="2">
        <f>VLOOKUP([jobnumber],OvalData[],MATCH(Table2[[#Headers],[Total Spring Torque]],Table2[#Headers],0),0)</f>
        <v>0</v>
      </c>
      <c r="BM393" s="2">
        <f>VLOOKUP([jobnumber],OvalData[],MATCH(Table2[[#Headers],[Total Spring Weight]],Table2[#Headers],0),0)</f>
        <v>0</v>
      </c>
      <c r="BN393" s="2">
        <f>VLOOKUP([jobnumber],OvalData[],MATCH(Table2[[#Headers],[Pipe Weight]],Table2[#Headers],0),0)</f>
        <v>688.24239999999998</v>
      </c>
      <c r="BO393" s="2">
        <f>VLOOKUP([jobnumber],OvalData[],MATCH(Table2[[#Headers],[Max Pipe Deflection]],Table2[#Headers],0),0)</f>
        <v>2309</v>
      </c>
      <c r="BP393" s="2">
        <f>VLOOKUP([jobnumber],OvalData[],MATCH(Table2[[#Headers],[Number Non-Insulated Wrap Slats]],Table2[#Headers],0),0)</f>
        <v>0</v>
      </c>
      <c r="BQ393" s="2">
        <f>VLOOKUP([jobnumber],OvalData[],MATCH(Table2[[#Headers],[Number of Insolated Top Slats]],Table2[#Headers],0),0)</f>
        <v>45</v>
      </c>
      <c r="BR393" s="2">
        <f>VLOOKUP([jobnumber],OvalData[],MATCH(Table2[[#Headers],[Insolated Total Slats]],Table2[#Headers],0),0)</f>
        <v>45</v>
      </c>
      <c r="BS393" s="2">
        <f>VLOOKUP([jobnumber],OvalData[],MATCH(Table2[[#Headers],[Number of Slats]],Table2[#Headers],0),0)</f>
        <v>44.69</v>
      </c>
      <c r="BT393" s="2">
        <f>VLOOKUP([jobnumber],OvalData[],MATCH(Table2[[#Headers],[Wrap]],Table2[#Headers],0),0)</f>
        <v>0</v>
      </c>
      <c r="BU393" s="2">
        <f>VLOOKUP([jobnumber],OvalData[],MATCH(Table2[[#Headers],[Wall Angle Thickness]],Table2[#Headers],0),0)</f>
        <v>0</v>
      </c>
      <c r="BV393" s="2">
        <f>VLOOKUP([jobnumber],OvalData[],MATCH(Table2[[#Headers],[windlocks]],Table2[#Headers],0),0)</f>
        <v>0</v>
      </c>
      <c r="BW393" s="2" t="str">
        <f>VLOOKUP([jobnumber],OvalData[],MATCH(Table2[[#Headers],[bottombartype]],Table2[#Headers],0),0)</f>
        <v>SPECIAL</v>
      </c>
      <c r="BX393" s="2">
        <f>VLOOKUP([jobnumber],OvalData[],MATCH(Table2[[#Headers],[endlockweight]],Table2[#Headers],0),0)</f>
        <v>0.17</v>
      </c>
      <c r="BY393" s="2">
        <f>VLOOKUP([jobnumber],OvalData[],MATCH(Table2[[#Headers],[Endlock Total Weight]],Table2[#Headers],0),0)</f>
        <v>7.5972999999999997</v>
      </c>
      <c r="BZ393" s="2">
        <f>VLOOKUP([jobnumber],OvalData[],MATCH(Table2[[#Headers],[Grille Weight]],Table2[#Headers],0),0)</f>
        <v>0</v>
      </c>
      <c r="CA393" s="2">
        <f>VLOOKUP([jobnumber],OvalData[],MATCH(Table2[[#Headers],[barrelrings]],Table2[#Headers],0),0)</f>
        <v>1</v>
      </c>
    </row>
    <row r="394" spans="2:79">
      <c r="B394" s="2" t="str">
        <f>VLOOKUP([jobnumber],OvalData[],MATCH(Table2[[#Headers],[Hand]],Table2[#Headers],0),0)</f>
        <v>RH</v>
      </c>
      <c r="C394" s="2" t="str">
        <f>VLOOKUP([jobnumber],OvalData[],MATCH(Table2[[#Headers],[Model]],Table2[#Headers],0),0)</f>
        <v>SFMPP</v>
      </c>
      <c r="D394" s="2" t="str">
        <f>VLOOKUP([jobnumber],OvalData[],MATCH(Table2[[#Headers],[width]],Table2[#Headers],0),0)</f>
        <v xml:space="preserve"> 18 ft.- 2"</v>
      </c>
      <c r="E394" s="2" t="str">
        <f>VLOOKUP([jobnumber],OvalData[],MATCH(Table2[[#Headers],[stopheight]],Table2[#Headers],0),0)</f>
        <v xml:space="preserve"> 10 ft.- 0"</v>
      </c>
      <c r="F394" s="2" t="str">
        <f>VLOOKUP([jobnumber],OvalData[],MATCH(Table2[[#Headers],[Between Brackets]],Table2[#Headers],0),0)</f>
        <v xml:space="preserve"> 18 ft.- 7 7/ 8"</v>
      </c>
      <c r="G394" s="2" t="str">
        <f>VLOOKUP([jobnumber],OvalData[],MATCH(Table2[[#Headers],[shell]],Table2[#Headers],0),0)</f>
        <v>6 INCH TUBE</v>
      </c>
      <c r="H394" s="2" t="str">
        <f>VLOOKUP([jobnumber],OvalData[],MATCH(Table2[[#Headers],[pipewidth]],Table2[#Headers],0),0)</f>
        <v xml:space="preserve"> 18 ft.- 1 3/ 8"</v>
      </c>
      <c r="I394" s="2">
        <f>VLOOKUP([jobnumber],OvalData[],MATCH(Table2[[#Headers],[Support Tubes]],Table2[#Headers],0),0)</f>
        <v>0</v>
      </c>
      <c r="J394" s="2">
        <f>VLOOKUP([jobnumber],OvalData[],MATCH(Table2[[#Headers],[Upset]],Table2[#Headers],0),0)</f>
        <v>2</v>
      </c>
      <c r="K394" s="2" t="str">
        <f>VLOOKUP([jobnumber],OvalData[],MATCH(Table2[[#Headers],[Guide Type]],Table2[#Headers],0),0)</f>
        <v>SN2-4 5/8-E</v>
      </c>
      <c r="L394" s="2" t="str">
        <f>VLOOKUP([jobnumber],OvalData[],MATCH(Table2[[#Headers],[Wall Angle]],Table2[#Headers],0),0)</f>
        <v xml:space="preserve"> 11 ft.- 8"</v>
      </c>
      <c r="M394" s="2" t="str">
        <f>VLOOKUP([jobnumber],OvalData[],MATCH(Table2[[#Headers],[Middle Angle]],Table2[#Headers],0),0)</f>
        <v xml:space="preserve"> 10 ft.- 4 1/ 2"</v>
      </c>
      <c r="N394" s="2" t="str">
        <f>VLOOKUP([jobnumber],OvalData[],MATCH(Table2[[#Headers],[Front Angle]],Table2[#Headers],0),0)</f>
        <v xml:space="preserve"> 10 ft.- 3"</v>
      </c>
      <c r="O394" s="2">
        <f>VLOOKUP([jobnumber],OvalData[],MATCH(Table2[[#Headers],[Pipe Center Line]],Table2[#Headers],0),0)</f>
        <v>131</v>
      </c>
      <c r="P394" s="2">
        <f>VLOOKUP([jobnumber],OvalData[],MATCH(Table2[[#Headers],[Heat Expansion Gap]],Table2[#Headers],0),0)</f>
        <v>0</v>
      </c>
      <c r="Q394" s="2">
        <f>VLOOKUP([jobnumber],OvalData[],MATCH(Table2[[#Headers],[Hanging Weight Closed]],Table2[#Headers],0),0)</f>
        <v>795</v>
      </c>
      <c r="R394" s="2">
        <f>VLOOKUP([jobnumber],OvalData[],MATCH(Table2[[#Headers],[Hanging Weight Open]],Table2[#Headers],0),0)</f>
        <v>140</v>
      </c>
      <c r="S394" s="2">
        <f>VLOOKUP([jobnumber],OvalData[],MATCH(Table2[[#Headers],[Initial Lever Arm]],Table2[#Headers],0),0)</f>
        <v>4.25</v>
      </c>
      <c r="T394" s="2">
        <f>VLOOKUP([jobnumber],OvalData[],MATCH(Table2[[#Headers],[Turns to Raise]],Table2[#Headers],0),0)</f>
        <v>3.5859999999999999</v>
      </c>
      <c r="U394" s="2">
        <f>VLOOKUP([jobnumber],OvalData[],MATCH(Table2[[#Headers],[Final Lever Arm]],Table2[#Headers],0),0)</f>
        <v>6.37</v>
      </c>
      <c r="V394" s="2">
        <f>VLOOKUP([jobnumber],OvalData[],MATCH(Table2[[#Headers],[Torque Required Closed]],Table2[#Headers],0),0)</f>
        <v>3377.9</v>
      </c>
      <c r="W394" s="2">
        <f>VLOOKUP([jobnumber],OvalData[],MATCH(Table2[[#Headers],[Torque Required Open]],Table2[#Headers],0),0)</f>
        <v>892</v>
      </c>
      <c r="X394" s="2">
        <f>VLOOKUP([jobnumber],OvalData[],MATCH(Table2[[#Headers],[Pre Turns]],Table2[#Headers],0),0)</f>
        <v>1.3332999999999999</v>
      </c>
      <c r="Y394" s="2">
        <f>VLOOKUP([jobnumber],OvalData[],MATCH(Table2[[#Headers],[Required Torque Per Turn]],Table2[#Headers],0),0)</f>
        <v>688</v>
      </c>
      <c r="Z394" s="2">
        <f>VLOOKUP([jobnumber],OvalData[],MATCH(Table2[[#Headers],[Total Turns]],Table2[#Headers],0),0)</f>
        <v>4.91</v>
      </c>
      <c r="AA394" s="2">
        <f>VLOOKUP([jobnumber],OvalData[],MATCH(Table2[[#Headers],[Grille Vision Section]],Table2[#Headers],0),0)</f>
        <v>0</v>
      </c>
      <c r="AB394" s="2">
        <f>VLOOKUP([jobnumber],OvalData[],MATCH(Table2[[#Headers],[Grille Amount]],Table2[#Headers],0),0)</f>
        <v>0</v>
      </c>
      <c r="AC394" s="2">
        <f>VLOOKUP([jobnumber],OvalData[],MATCH(Table2[[#Headers],[Grille Center]],Table2[#Headers],0),0)</f>
        <v>0</v>
      </c>
      <c r="AD394" s="2">
        <f>VLOOKUP([jobnumber],OvalData[],MATCH(Table2[[#Headers],[Grille Pattern]],Table2[#Headers],0),0)</f>
        <v>0</v>
      </c>
      <c r="AE394" s="2">
        <f>VLOOKUP([jobnumber],OvalData[],MATCH(Table2[[#Headers],[Grille First Tube]],Table2[#Headers],0),0)</f>
        <v>0</v>
      </c>
      <c r="AF394" s="2">
        <f>VLOOKUP([jobnumber],OvalData[],MATCH(Table2[[#Headers],[Grille Standard Tube]],Table2[#Headers],0),0)</f>
        <v>0</v>
      </c>
      <c r="AG394" s="2">
        <f>VLOOKUP([jobnumber],OvalData[],MATCH(Table2[[#Headers],[Grille Total Links]],Table2[#Headers],0),0)</f>
        <v>0</v>
      </c>
      <c r="AH394" s="2">
        <f>VLOOKUP([jobnumber],OvalData[],MATCH(Table2[[#Headers],[Grille Rods]],Table2[#Headers],0),0)</f>
        <v>0</v>
      </c>
      <c r="AI394" s="2">
        <f>VLOOKUP([jobnumber],OvalData[],MATCH(Table2[[#Headers],[Grille Rod Length]],Table2[#Headers],0),0)</f>
        <v>0</v>
      </c>
      <c r="AJ394" s="2">
        <f>VLOOKUP([jobnumber],OvalData[],MATCH(Table2[[#Headers],[slattype]],Table2[#Headers],0),0)</f>
        <v>2</v>
      </c>
      <c r="AK394" s="2">
        <f>VLOOKUP([jobnumber],OvalData[],MATCH(Table2[[#Headers],[slatgage]],Table2[#Headers],0),0)</f>
        <v>18</v>
      </c>
      <c r="AL394" s="2">
        <f>VLOOKUP([jobnumber],OvalData[],MATCH(Table2[[#Headers],[Numer of Top Slats]],Table2[#Headers],0),0)</f>
        <v>0</v>
      </c>
      <c r="AM394" s="2">
        <f>VLOOKUP([jobnumber],OvalData[],MATCH(Table2[[#Headers],[Number of Bottom Slats]],Table2[#Headers],0),0)</f>
        <v>0</v>
      </c>
      <c r="AN394" s="2">
        <f>VLOOKUP([jobnumber],OvalData[],MATCH(Table2[[#Headers],[Solid Bottom Height]],Table2[#Headers],0),0)</f>
        <v>0</v>
      </c>
      <c r="AO394" s="2" t="str">
        <f>VLOOKUP([jobnumber],OvalData[],MATCH(Table2[[#Headers],[slatlength]],Table2[#Headers],0),0)</f>
        <v xml:space="preserve"> 18 ft.- 5 7/ 8"</v>
      </c>
      <c r="AP394" s="2">
        <f>VLOOKUP([jobnumber],OvalData[],MATCH(Table2[[#Headers],[Bottom Slat Length]],Table2[#Headers],0),0)</f>
        <v>0</v>
      </c>
      <c r="AQ394" s="2">
        <f>VLOOKUP([jobnumber],OvalData[],MATCH(Table2[[#Headers],[Number of Perferated Slats]],Table2[#Headers],0),0)</f>
        <v>0</v>
      </c>
      <c r="AR394" s="2">
        <f>VLOOKUP([jobnumber],OvalData[],MATCH(Table2[[#Headers],[First Preferated Slat From End]],Table2[#Headers],0),0)</f>
        <v>0</v>
      </c>
      <c r="AS394" s="2">
        <f>VLOOKUP([jobnumber],OvalData[],MATCH(Table2[[#Headers],[First Preferated Slat From Bottom]],Table2[#Headers],0),0)</f>
        <v>0</v>
      </c>
      <c r="AT394" s="2">
        <f>VLOOKUP([jobnumber],OvalData[],MATCH(Table2[[#Headers],[Total Number of Slats]],Table2[#Headers],0),0)</f>
        <v>51</v>
      </c>
      <c r="AU394" s="2">
        <f>VLOOKUP([jobnumber],OvalData[],MATCH(Table2[[#Headers],[Bottom Bar Slope]],Table2[#Headers],0),0)</f>
        <v>0</v>
      </c>
      <c r="AV394" s="2">
        <f>VLOOKUP([jobnumber],OvalData[],MATCH(Table2[[#Headers],[Bottom Bar Weight]],Table2[#Headers],0),0)</f>
        <v>80.5</v>
      </c>
      <c r="AW394" s="2" t="str">
        <f>VLOOKUP([jobnumber],OvalData[],MATCH(Table2[[#Headers],[Outer Spring Gage]],Table2[#Headers],0),0)</f>
        <v>Null</v>
      </c>
      <c r="AX394" s="2" t="str">
        <f>VLOOKUP([jobnumber],OvalData[],MATCH(Table2[[#Headers],[Outer Spring OD]],Table2[#Headers],0),0)</f>
        <v>Null</v>
      </c>
      <c r="AY394" s="2" t="str">
        <f>VLOOKUP([jobnumber],OvalData[],MATCH(Table2[[#Headers],[Outer Spring Length]],Table2[#Headers],0),0)</f>
        <v>Null</v>
      </c>
      <c r="AZ394" s="2" t="str">
        <f>VLOOKUP([jobnumber],OvalData[],MATCH(Table2[[#Headers],[Outer Spring Stretch]],Table2[#Headers],0),0)</f>
        <v>Null</v>
      </c>
      <c r="BA394" s="2" t="str">
        <f>VLOOKUP([jobnumber],OvalData[],MATCH(Table2[[#Headers],[Outer Spring Torque]],Table2[#Headers],0),0)</f>
        <v>Null</v>
      </c>
      <c r="BB394" s="2" t="str">
        <f>VLOOKUP([jobnumber],OvalData[],MATCH(Table2[[#Headers],[Outer Spring Max Turns]],Table2[#Headers],0),0)</f>
        <v>Null</v>
      </c>
      <c r="BC394" s="2" t="str">
        <f>VLOOKUP([jobnumber],OvalData[],MATCH(Table2[[#Headers],[Outer Spring Weight]],Table2[#Headers],0),0)</f>
        <v>Null</v>
      </c>
      <c r="BD394" s="2" t="str">
        <f>VLOOKUP([jobnumber],OvalData[],MATCH(Table2[[#Headers],[Inner Spring Gage]],Table2[#Headers],0),0)</f>
        <v>Null</v>
      </c>
      <c r="BE394" s="2" t="str">
        <f>VLOOKUP([jobnumber],OvalData[],MATCH(Table2[[#Headers],[Inner Spring OD]],Table2[#Headers],0),0)</f>
        <v>Null</v>
      </c>
      <c r="BF394" s="2" t="str">
        <f>VLOOKUP([jobnumber],OvalData[],MATCH(Table2[[#Headers],[Inner Spring Length]],Table2[#Headers],0),0)</f>
        <v>Null</v>
      </c>
      <c r="BG394" s="2" t="str">
        <f>VLOOKUP([jobnumber],OvalData[],MATCH(Table2[[#Headers],[Inner Spring Stretch]],Table2[#Headers],0),0)</f>
        <v>Null</v>
      </c>
      <c r="BH394" s="2" t="str">
        <f>VLOOKUP([jobnumber],OvalData[],MATCH(Table2[[#Headers],[Inner Spring Torque]],Table2[#Headers],0),0)</f>
        <v>Null</v>
      </c>
      <c r="BI394" s="2" t="str">
        <f>VLOOKUP([jobnumber],OvalData[],MATCH(Table2[[#Headers],[Inner Spring Max Turns]],Table2[#Headers],0),0)</f>
        <v>Null</v>
      </c>
      <c r="BJ394" s="2" t="str">
        <f>VLOOKUP([jobnumber],OvalData[],MATCH(Table2[[#Headers],[Inner Spring Weight]],Table2[#Headers],0),0)</f>
        <v>Null</v>
      </c>
      <c r="BK394" s="2">
        <f>VLOOKUP([jobnumber],OvalData[],MATCH(Table2[[#Headers],[Cycles]],Table2[#Headers],0),0)</f>
        <v>0</v>
      </c>
      <c r="BL394" s="2">
        <f>VLOOKUP([jobnumber],OvalData[],MATCH(Table2[[#Headers],[Total Spring Torque]],Table2[#Headers],0),0)</f>
        <v>0</v>
      </c>
      <c r="BM394" s="2">
        <f>VLOOKUP([jobnumber],OvalData[],MATCH(Table2[[#Headers],[Total Spring Weight]],Table2[#Headers],0),0)</f>
        <v>0</v>
      </c>
      <c r="BN394" s="2">
        <f>VLOOKUP([jobnumber],OvalData[],MATCH(Table2[[#Headers],[Pipe Weight]],Table2[#Headers],0),0)</f>
        <v>688.24239999999998</v>
      </c>
      <c r="BO394" s="2">
        <f>VLOOKUP([jobnumber],OvalData[],MATCH(Table2[[#Headers],[Max Pipe Deflection]],Table2[#Headers],0),0)</f>
        <v>2309</v>
      </c>
      <c r="BP394" s="2">
        <f>VLOOKUP([jobnumber],OvalData[],MATCH(Table2[[#Headers],[Number Non-Insulated Wrap Slats]],Table2[#Headers],0),0)</f>
        <v>0</v>
      </c>
      <c r="BQ394" s="2">
        <f>VLOOKUP([jobnumber],OvalData[],MATCH(Table2[[#Headers],[Number of Insolated Top Slats]],Table2[#Headers],0),0)</f>
        <v>45</v>
      </c>
      <c r="BR394" s="2">
        <f>VLOOKUP([jobnumber],OvalData[],MATCH(Table2[[#Headers],[Insolated Total Slats]],Table2[#Headers],0),0)</f>
        <v>45</v>
      </c>
      <c r="BS394" s="2">
        <f>VLOOKUP([jobnumber],OvalData[],MATCH(Table2[[#Headers],[Number of Slats]],Table2[#Headers],0),0)</f>
        <v>44.69</v>
      </c>
      <c r="BT394" s="2">
        <f>VLOOKUP([jobnumber],OvalData[],MATCH(Table2[[#Headers],[Wrap]],Table2[#Headers],0),0)</f>
        <v>0</v>
      </c>
      <c r="BU394" s="2">
        <f>VLOOKUP([jobnumber],OvalData[],MATCH(Table2[[#Headers],[Wall Angle Thickness]],Table2[#Headers],0),0)</f>
        <v>0</v>
      </c>
      <c r="BV394" s="2">
        <f>VLOOKUP([jobnumber],OvalData[],MATCH(Table2[[#Headers],[windlocks]],Table2[#Headers],0),0)</f>
        <v>0</v>
      </c>
      <c r="BW394" s="2" t="str">
        <f>VLOOKUP([jobnumber],OvalData[],MATCH(Table2[[#Headers],[bottombartype]],Table2[#Headers],0),0)</f>
        <v>SPECIAL</v>
      </c>
      <c r="BX394" s="2">
        <f>VLOOKUP([jobnumber],OvalData[],MATCH(Table2[[#Headers],[endlockweight]],Table2[#Headers],0),0)</f>
        <v>0.17</v>
      </c>
      <c r="BY394" s="2">
        <f>VLOOKUP([jobnumber],OvalData[],MATCH(Table2[[#Headers],[Endlock Total Weight]],Table2[#Headers],0),0)</f>
        <v>7.5972999999999997</v>
      </c>
      <c r="BZ394" s="2">
        <f>VLOOKUP([jobnumber],OvalData[],MATCH(Table2[[#Headers],[Grille Weight]],Table2[#Headers],0),0)</f>
        <v>0</v>
      </c>
      <c r="CA394" s="2">
        <f>VLOOKUP([jobnumber],OvalData[],MATCH(Table2[[#Headers],[barrelrings]],Table2[#Headers],0),0)</f>
        <v>1</v>
      </c>
    </row>
    <row r="395" spans="2:79">
      <c r="B395" s="2" t="str">
        <f>VLOOKUP([jobnumber],OvalData[],MATCH(Table2[[#Headers],[Hand]],Table2[#Headers],0),0)</f>
        <v>RH</v>
      </c>
      <c r="C395" s="2" t="str">
        <f>VLOOKUP([jobnumber],OvalData[],MATCH(Table2[[#Headers],[Model]],Table2[#Headers],0),0)</f>
        <v>SFMPP</v>
      </c>
      <c r="D395" s="2" t="str">
        <f>VLOOKUP([jobnumber],OvalData[],MATCH(Table2[[#Headers],[width]],Table2[#Headers],0),0)</f>
        <v xml:space="preserve"> 18 ft.- 2"</v>
      </c>
      <c r="E395" s="2" t="str">
        <f>VLOOKUP([jobnumber],OvalData[],MATCH(Table2[[#Headers],[stopheight]],Table2[#Headers],0),0)</f>
        <v xml:space="preserve"> 10 ft.- 0"</v>
      </c>
      <c r="F395" s="2" t="str">
        <f>VLOOKUP([jobnumber],OvalData[],MATCH(Table2[[#Headers],[Between Brackets]],Table2[#Headers],0),0)</f>
        <v xml:space="preserve"> 18 ft.- 7 7/ 8"</v>
      </c>
      <c r="G395" s="2" t="str">
        <f>VLOOKUP([jobnumber],OvalData[],MATCH(Table2[[#Headers],[shell]],Table2[#Headers],0),0)</f>
        <v>6 INCH TUBE</v>
      </c>
      <c r="H395" s="2" t="str">
        <f>VLOOKUP([jobnumber],OvalData[],MATCH(Table2[[#Headers],[pipewidth]],Table2[#Headers],0),0)</f>
        <v xml:space="preserve"> 18 ft.- 1 3/ 8"</v>
      </c>
      <c r="I395" s="2">
        <f>VLOOKUP([jobnumber],OvalData[],MATCH(Table2[[#Headers],[Support Tubes]],Table2[#Headers],0),0)</f>
        <v>0</v>
      </c>
      <c r="J395" s="2">
        <f>VLOOKUP([jobnumber],OvalData[],MATCH(Table2[[#Headers],[Upset]],Table2[#Headers],0),0)</f>
        <v>2</v>
      </c>
      <c r="K395" s="2" t="str">
        <f>VLOOKUP([jobnumber],OvalData[],MATCH(Table2[[#Headers],[Guide Type]],Table2[#Headers],0),0)</f>
        <v>SN2-4 5/8-E</v>
      </c>
      <c r="L395" s="2" t="str">
        <f>VLOOKUP([jobnumber],OvalData[],MATCH(Table2[[#Headers],[Wall Angle]],Table2[#Headers],0),0)</f>
        <v xml:space="preserve"> 11 ft.- 8"</v>
      </c>
      <c r="M395" s="2" t="str">
        <f>VLOOKUP([jobnumber],OvalData[],MATCH(Table2[[#Headers],[Middle Angle]],Table2[#Headers],0),0)</f>
        <v xml:space="preserve"> 10 ft.- 4 1/ 2"</v>
      </c>
      <c r="N395" s="2" t="str">
        <f>VLOOKUP([jobnumber],OvalData[],MATCH(Table2[[#Headers],[Front Angle]],Table2[#Headers],0),0)</f>
        <v xml:space="preserve"> 10 ft.- 3"</v>
      </c>
      <c r="O395" s="2">
        <f>VLOOKUP([jobnumber],OvalData[],MATCH(Table2[[#Headers],[Pipe Center Line]],Table2[#Headers],0),0)</f>
        <v>131</v>
      </c>
      <c r="P395" s="2">
        <f>VLOOKUP([jobnumber],OvalData[],MATCH(Table2[[#Headers],[Heat Expansion Gap]],Table2[#Headers],0),0)</f>
        <v>0</v>
      </c>
      <c r="Q395" s="2">
        <f>VLOOKUP([jobnumber],OvalData[],MATCH(Table2[[#Headers],[Hanging Weight Closed]],Table2[#Headers],0),0)</f>
        <v>795</v>
      </c>
      <c r="R395" s="2">
        <f>VLOOKUP([jobnumber],OvalData[],MATCH(Table2[[#Headers],[Hanging Weight Open]],Table2[#Headers],0),0)</f>
        <v>140</v>
      </c>
      <c r="S395" s="2">
        <f>VLOOKUP([jobnumber],OvalData[],MATCH(Table2[[#Headers],[Initial Lever Arm]],Table2[#Headers],0),0)</f>
        <v>4.25</v>
      </c>
      <c r="T395" s="2">
        <f>VLOOKUP([jobnumber],OvalData[],MATCH(Table2[[#Headers],[Turns to Raise]],Table2[#Headers],0),0)</f>
        <v>3.5859999999999999</v>
      </c>
      <c r="U395" s="2">
        <f>VLOOKUP([jobnumber],OvalData[],MATCH(Table2[[#Headers],[Final Lever Arm]],Table2[#Headers],0),0)</f>
        <v>6.37</v>
      </c>
      <c r="V395" s="2">
        <f>VLOOKUP([jobnumber],OvalData[],MATCH(Table2[[#Headers],[Torque Required Closed]],Table2[#Headers],0),0)</f>
        <v>3377.9</v>
      </c>
      <c r="W395" s="2">
        <f>VLOOKUP([jobnumber],OvalData[],MATCH(Table2[[#Headers],[Torque Required Open]],Table2[#Headers],0),0)</f>
        <v>892</v>
      </c>
      <c r="X395" s="2">
        <f>VLOOKUP([jobnumber],OvalData[],MATCH(Table2[[#Headers],[Pre Turns]],Table2[#Headers],0),0)</f>
        <v>1.3332999999999999</v>
      </c>
      <c r="Y395" s="2">
        <f>VLOOKUP([jobnumber],OvalData[],MATCH(Table2[[#Headers],[Required Torque Per Turn]],Table2[#Headers],0),0)</f>
        <v>688</v>
      </c>
      <c r="Z395" s="2">
        <f>VLOOKUP([jobnumber],OvalData[],MATCH(Table2[[#Headers],[Total Turns]],Table2[#Headers],0),0)</f>
        <v>4.91</v>
      </c>
      <c r="AA395" s="2">
        <f>VLOOKUP([jobnumber],OvalData[],MATCH(Table2[[#Headers],[Grille Vision Section]],Table2[#Headers],0),0)</f>
        <v>0</v>
      </c>
      <c r="AB395" s="2">
        <f>VLOOKUP([jobnumber],OvalData[],MATCH(Table2[[#Headers],[Grille Amount]],Table2[#Headers],0),0)</f>
        <v>0</v>
      </c>
      <c r="AC395" s="2">
        <f>VLOOKUP([jobnumber],OvalData[],MATCH(Table2[[#Headers],[Grille Center]],Table2[#Headers],0),0)</f>
        <v>0</v>
      </c>
      <c r="AD395" s="2">
        <f>VLOOKUP([jobnumber],OvalData[],MATCH(Table2[[#Headers],[Grille Pattern]],Table2[#Headers],0),0)</f>
        <v>0</v>
      </c>
      <c r="AE395" s="2">
        <f>VLOOKUP([jobnumber],OvalData[],MATCH(Table2[[#Headers],[Grille First Tube]],Table2[#Headers],0),0)</f>
        <v>0</v>
      </c>
      <c r="AF395" s="2">
        <f>VLOOKUP([jobnumber],OvalData[],MATCH(Table2[[#Headers],[Grille Standard Tube]],Table2[#Headers],0),0)</f>
        <v>0</v>
      </c>
      <c r="AG395" s="2">
        <f>VLOOKUP([jobnumber],OvalData[],MATCH(Table2[[#Headers],[Grille Total Links]],Table2[#Headers],0),0)</f>
        <v>0</v>
      </c>
      <c r="AH395" s="2">
        <f>VLOOKUP([jobnumber],OvalData[],MATCH(Table2[[#Headers],[Grille Rods]],Table2[#Headers],0),0)</f>
        <v>0</v>
      </c>
      <c r="AI395" s="2">
        <f>VLOOKUP([jobnumber],OvalData[],MATCH(Table2[[#Headers],[Grille Rod Length]],Table2[#Headers],0),0)</f>
        <v>0</v>
      </c>
      <c r="AJ395" s="2">
        <f>VLOOKUP([jobnumber],OvalData[],MATCH(Table2[[#Headers],[slattype]],Table2[#Headers],0),0)</f>
        <v>2</v>
      </c>
      <c r="AK395" s="2">
        <f>VLOOKUP([jobnumber],OvalData[],MATCH(Table2[[#Headers],[slatgage]],Table2[#Headers],0),0)</f>
        <v>18</v>
      </c>
      <c r="AL395" s="2">
        <f>VLOOKUP([jobnumber],OvalData[],MATCH(Table2[[#Headers],[Numer of Top Slats]],Table2[#Headers],0),0)</f>
        <v>0</v>
      </c>
      <c r="AM395" s="2">
        <f>VLOOKUP([jobnumber],OvalData[],MATCH(Table2[[#Headers],[Number of Bottom Slats]],Table2[#Headers],0),0)</f>
        <v>0</v>
      </c>
      <c r="AN395" s="2">
        <f>VLOOKUP([jobnumber],OvalData[],MATCH(Table2[[#Headers],[Solid Bottom Height]],Table2[#Headers],0),0)</f>
        <v>0</v>
      </c>
      <c r="AO395" s="2" t="str">
        <f>VLOOKUP([jobnumber],OvalData[],MATCH(Table2[[#Headers],[slatlength]],Table2[#Headers],0),0)</f>
        <v xml:space="preserve"> 18 ft.- 5 7/ 8"</v>
      </c>
      <c r="AP395" s="2">
        <f>VLOOKUP([jobnumber],OvalData[],MATCH(Table2[[#Headers],[Bottom Slat Length]],Table2[#Headers],0),0)</f>
        <v>0</v>
      </c>
      <c r="AQ395" s="2">
        <f>VLOOKUP([jobnumber],OvalData[],MATCH(Table2[[#Headers],[Number of Perferated Slats]],Table2[#Headers],0),0)</f>
        <v>0</v>
      </c>
      <c r="AR395" s="2">
        <f>VLOOKUP([jobnumber],OvalData[],MATCH(Table2[[#Headers],[First Preferated Slat From End]],Table2[#Headers],0),0)</f>
        <v>0</v>
      </c>
      <c r="AS395" s="2">
        <f>VLOOKUP([jobnumber],OvalData[],MATCH(Table2[[#Headers],[First Preferated Slat From Bottom]],Table2[#Headers],0),0)</f>
        <v>0</v>
      </c>
      <c r="AT395" s="2">
        <f>VLOOKUP([jobnumber],OvalData[],MATCH(Table2[[#Headers],[Total Number of Slats]],Table2[#Headers],0),0)</f>
        <v>51</v>
      </c>
      <c r="AU395" s="2">
        <f>VLOOKUP([jobnumber],OvalData[],MATCH(Table2[[#Headers],[Bottom Bar Slope]],Table2[#Headers],0),0)</f>
        <v>0</v>
      </c>
      <c r="AV395" s="2">
        <f>VLOOKUP([jobnumber],OvalData[],MATCH(Table2[[#Headers],[Bottom Bar Weight]],Table2[#Headers],0),0)</f>
        <v>80.5</v>
      </c>
      <c r="AW395" s="2" t="str">
        <f>VLOOKUP([jobnumber],OvalData[],MATCH(Table2[[#Headers],[Outer Spring Gage]],Table2[#Headers],0),0)</f>
        <v>Null</v>
      </c>
      <c r="AX395" s="2" t="str">
        <f>VLOOKUP([jobnumber],OvalData[],MATCH(Table2[[#Headers],[Outer Spring OD]],Table2[#Headers],0),0)</f>
        <v>Null</v>
      </c>
      <c r="AY395" s="2" t="str">
        <f>VLOOKUP([jobnumber],OvalData[],MATCH(Table2[[#Headers],[Outer Spring Length]],Table2[#Headers],0),0)</f>
        <v>Null</v>
      </c>
      <c r="AZ395" s="2" t="str">
        <f>VLOOKUP([jobnumber],OvalData[],MATCH(Table2[[#Headers],[Outer Spring Stretch]],Table2[#Headers],0),0)</f>
        <v>Null</v>
      </c>
      <c r="BA395" s="2" t="str">
        <f>VLOOKUP([jobnumber],OvalData[],MATCH(Table2[[#Headers],[Outer Spring Torque]],Table2[#Headers],0),0)</f>
        <v>Null</v>
      </c>
      <c r="BB395" s="2" t="str">
        <f>VLOOKUP([jobnumber],OvalData[],MATCH(Table2[[#Headers],[Outer Spring Max Turns]],Table2[#Headers],0),0)</f>
        <v>Null</v>
      </c>
      <c r="BC395" s="2" t="str">
        <f>VLOOKUP([jobnumber],OvalData[],MATCH(Table2[[#Headers],[Outer Spring Weight]],Table2[#Headers],0),0)</f>
        <v>Null</v>
      </c>
      <c r="BD395" s="2" t="str">
        <f>VLOOKUP([jobnumber],OvalData[],MATCH(Table2[[#Headers],[Inner Spring Gage]],Table2[#Headers],0),0)</f>
        <v>Null</v>
      </c>
      <c r="BE395" s="2" t="str">
        <f>VLOOKUP([jobnumber],OvalData[],MATCH(Table2[[#Headers],[Inner Spring OD]],Table2[#Headers],0),0)</f>
        <v>Null</v>
      </c>
      <c r="BF395" s="2" t="str">
        <f>VLOOKUP([jobnumber],OvalData[],MATCH(Table2[[#Headers],[Inner Spring Length]],Table2[#Headers],0),0)</f>
        <v>Null</v>
      </c>
      <c r="BG395" s="2" t="str">
        <f>VLOOKUP([jobnumber],OvalData[],MATCH(Table2[[#Headers],[Inner Spring Stretch]],Table2[#Headers],0),0)</f>
        <v>Null</v>
      </c>
      <c r="BH395" s="2" t="str">
        <f>VLOOKUP([jobnumber],OvalData[],MATCH(Table2[[#Headers],[Inner Spring Torque]],Table2[#Headers],0),0)</f>
        <v>Null</v>
      </c>
      <c r="BI395" s="2" t="str">
        <f>VLOOKUP([jobnumber],OvalData[],MATCH(Table2[[#Headers],[Inner Spring Max Turns]],Table2[#Headers],0),0)</f>
        <v>Null</v>
      </c>
      <c r="BJ395" s="2" t="str">
        <f>VLOOKUP([jobnumber],OvalData[],MATCH(Table2[[#Headers],[Inner Spring Weight]],Table2[#Headers],0),0)</f>
        <v>Null</v>
      </c>
      <c r="BK395" s="2">
        <f>VLOOKUP([jobnumber],OvalData[],MATCH(Table2[[#Headers],[Cycles]],Table2[#Headers],0),0)</f>
        <v>0</v>
      </c>
      <c r="BL395" s="2">
        <f>VLOOKUP([jobnumber],OvalData[],MATCH(Table2[[#Headers],[Total Spring Torque]],Table2[#Headers],0),0)</f>
        <v>0</v>
      </c>
      <c r="BM395" s="2">
        <f>VLOOKUP([jobnumber],OvalData[],MATCH(Table2[[#Headers],[Total Spring Weight]],Table2[#Headers],0),0)</f>
        <v>0</v>
      </c>
      <c r="BN395" s="2">
        <f>VLOOKUP([jobnumber],OvalData[],MATCH(Table2[[#Headers],[Pipe Weight]],Table2[#Headers],0),0)</f>
        <v>688.24239999999998</v>
      </c>
      <c r="BO395" s="2">
        <f>VLOOKUP([jobnumber],OvalData[],MATCH(Table2[[#Headers],[Max Pipe Deflection]],Table2[#Headers],0),0)</f>
        <v>2309</v>
      </c>
      <c r="BP395" s="2">
        <f>VLOOKUP([jobnumber],OvalData[],MATCH(Table2[[#Headers],[Number Non-Insulated Wrap Slats]],Table2[#Headers],0),0)</f>
        <v>0</v>
      </c>
      <c r="BQ395" s="2">
        <f>VLOOKUP([jobnumber],OvalData[],MATCH(Table2[[#Headers],[Number of Insolated Top Slats]],Table2[#Headers],0),0)</f>
        <v>45</v>
      </c>
      <c r="BR395" s="2">
        <f>VLOOKUP([jobnumber],OvalData[],MATCH(Table2[[#Headers],[Insolated Total Slats]],Table2[#Headers],0),0)</f>
        <v>45</v>
      </c>
      <c r="BS395" s="2">
        <f>VLOOKUP([jobnumber],OvalData[],MATCH(Table2[[#Headers],[Number of Slats]],Table2[#Headers],0),0)</f>
        <v>44.69</v>
      </c>
      <c r="BT395" s="2">
        <f>VLOOKUP([jobnumber],OvalData[],MATCH(Table2[[#Headers],[Wrap]],Table2[#Headers],0),0)</f>
        <v>0</v>
      </c>
      <c r="BU395" s="2">
        <f>VLOOKUP([jobnumber],OvalData[],MATCH(Table2[[#Headers],[Wall Angle Thickness]],Table2[#Headers],0),0)</f>
        <v>0</v>
      </c>
      <c r="BV395" s="2">
        <f>VLOOKUP([jobnumber],OvalData[],MATCH(Table2[[#Headers],[windlocks]],Table2[#Headers],0),0)</f>
        <v>0</v>
      </c>
      <c r="BW395" s="2" t="str">
        <f>VLOOKUP([jobnumber],OvalData[],MATCH(Table2[[#Headers],[bottombartype]],Table2[#Headers],0),0)</f>
        <v>SPECIAL</v>
      </c>
      <c r="BX395" s="2">
        <f>VLOOKUP([jobnumber],OvalData[],MATCH(Table2[[#Headers],[endlockweight]],Table2[#Headers],0),0)</f>
        <v>0.17</v>
      </c>
      <c r="BY395" s="2">
        <f>VLOOKUP([jobnumber],OvalData[],MATCH(Table2[[#Headers],[Endlock Total Weight]],Table2[#Headers],0),0)</f>
        <v>7.5972999999999997</v>
      </c>
      <c r="BZ395" s="2">
        <f>VLOOKUP([jobnumber],OvalData[],MATCH(Table2[[#Headers],[Grille Weight]],Table2[#Headers],0),0)</f>
        <v>0</v>
      </c>
      <c r="CA395" s="2">
        <f>VLOOKUP([jobnumber],OvalData[],MATCH(Table2[[#Headers],[barrelrings]],Table2[#Headers],0),0)</f>
        <v>1</v>
      </c>
    </row>
    <row r="396" spans="2:79">
      <c r="B396" s="2" t="str">
        <f>VLOOKUP([jobnumber],OvalData[],MATCH(Table2[[#Headers],[Hand]],Table2[#Headers],0),0)</f>
        <v>RH</v>
      </c>
      <c r="C396" s="2" t="str">
        <f>VLOOKUP([jobnumber],OvalData[],MATCH(Table2[[#Headers],[Model]],Table2[#Headers],0),0)</f>
        <v>SFMPP</v>
      </c>
      <c r="D396" s="2" t="str">
        <f>VLOOKUP([jobnumber],OvalData[],MATCH(Table2[[#Headers],[width]],Table2[#Headers],0),0)</f>
        <v xml:space="preserve"> 18 ft.- 2"</v>
      </c>
      <c r="E396" s="2" t="str">
        <f>VLOOKUP([jobnumber],OvalData[],MATCH(Table2[[#Headers],[stopheight]],Table2[#Headers],0),0)</f>
        <v xml:space="preserve"> 10 ft.- 0"</v>
      </c>
      <c r="F396" s="2" t="str">
        <f>VLOOKUP([jobnumber],OvalData[],MATCH(Table2[[#Headers],[Between Brackets]],Table2[#Headers],0),0)</f>
        <v xml:space="preserve"> 18 ft.- 7 7/ 8"</v>
      </c>
      <c r="G396" s="2" t="str">
        <f>VLOOKUP([jobnumber],OvalData[],MATCH(Table2[[#Headers],[shell]],Table2[#Headers],0),0)</f>
        <v>6 INCH TUBE</v>
      </c>
      <c r="H396" s="2" t="str">
        <f>VLOOKUP([jobnumber],OvalData[],MATCH(Table2[[#Headers],[pipewidth]],Table2[#Headers],0),0)</f>
        <v xml:space="preserve"> 18 ft.- 1 3/ 8"</v>
      </c>
      <c r="I396" s="2">
        <f>VLOOKUP([jobnumber],OvalData[],MATCH(Table2[[#Headers],[Support Tubes]],Table2[#Headers],0),0)</f>
        <v>0</v>
      </c>
      <c r="J396" s="2">
        <f>VLOOKUP([jobnumber],OvalData[],MATCH(Table2[[#Headers],[Upset]],Table2[#Headers],0),0)</f>
        <v>2</v>
      </c>
      <c r="K396" s="2" t="str">
        <f>VLOOKUP([jobnumber],OvalData[],MATCH(Table2[[#Headers],[Guide Type]],Table2[#Headers],0),0)</f>
        <v>SN2-4 5/8-E</v>
      </c>
      <c r="L396" s="2" t="str">
        <f>VLOOKUP([jobnumber],OvalData[],MATCH(Table2[[#Headers],[Wall Angle]],Table2[#Headers],0),0)</f>
        <v xml:space="preserve"> 11 ft.- 8"</v>
      </c>
      <c r="M396" s="2" t="str">
        <f>VLOOKUP([jobnumber],OvalData[],MATCH(Table2[[#Headers],[Middle Angle]],Table2[#Headers],0),0)</f>
        <v xml:space="preserve"> 10 ft.- 4 1/ 2"</v>
      </c>
      <c r="N396" s="2" t="str">
        <f>VLOOKUP([jobnumber],OvalData[],MATCH(Table2[[#Headers],[Front Angle]],Table2[#Headers],0),0)</f>
        <v xml:space="preserve"> 10 ft.- 3"</v>
      </c>
      <c r="O396" s="2">
        <f>VLOOKUP([jobnumber],OvalData[],MATCH(Table2[[#Headers],[Pipe Center Line]],Table2[#Headers],0),0)</f>
        <v>131</v>
      </c>
      <c r="P396" s="2">
        <f>VLOOKUP([jobnumber],OvalData[],MATCH(Table2[[#Headers],[Heat Expansion Gap]],Table2[#Headers],0),0)</f>
        <v>0</v>
      </c>
      <c r="Q396" s="2">
        <f>VLOOKUP([jobnumber],OvalData[],MATCH(Table2[[#Headers],[Hanging Weight Closed]],Table2[#Headers],0),0)</f>
        <v>795</v>
      </c>
      <c r="R396" s="2">
        <f>VLOOKUP([jobnumber],OvalData[],MATCH(Table2[[#Headers],[Hanging Weight Open]],Table2[#Headers],0),0)</f>
        <v>140</v>
      </c>
      <c r="S396" s="2">
        <f>VLOOKUP([jobnumber],OvalData[],MATCH(Table2[[#Headers],[Initial Lever Arm]],Table2[#Headers],0),0)</f>
        <v>4.25</v>
      </c>
      <c r="T396" s="2">
        <f>VLOOKUP([jobnumber],OvalData[],MATCH(Table2[[#Headers],[Turns to Raise]],Table2[#Headers],0),0)</f>
        <v>3.5859999999999999</v>
      </c>
      <c r="U396" s="2">
        <f>VLOOKUP([jobnumber],OvalData[],MATCH(Table2[[#Headers],[Final Lever Arm]],Table2[#Headers],0),0)</f>
        <v>6.37</v>
      </c>
      <c r="V396" s="2">
        <f>VLOOKUP([jobnumber],OvalData[],MATCH(Table2[[#Headers],[Torque Required Closed]],Table2[#Headers],0),0)</f>
        <v>3377.9</v>
      </c>
      <c r="W396" s="2">
        <f>VLOOKUP([jobnumber],OvalData[],MATCH(Table2[[#Headers],[Torque Required Open]],Table2[#Headers],0),0)</f>
        <v>892</v>
      </c>
      <c r="X396" s="2">
        <f>VLOOKUP([jobnumber],OvalData[],MATCH(Table2[[#Headers],[Pre Turns]],Table2[#Headers],0),0)</f>
        <v>1.3332999999999999</v>
      </c>
      <c r="Y396" s="2">
        <f>VLOOKUP([jobnumber],OvalData[],MATCH(Table2[[#Headers],[Required Torque Per Turn]],Table2[#Headers],0),0)</f>
        <v>688</v>
      </c>
      <c r="Z396" s="2">
        <f>VLOOKUP([jobnumber],OvalData[],MATCH(Table2[[#Headers],[Total Turns]],Table2[#Headers],0),0)</f>
        <v>4.91</v>
      </c>
      <c r="AA396" s="2">
        <f>VLOOKUP([jobnumber],OvalData[],MATCH(Table2[[#Headers],[Grille Vision Section]],Table2[#Headers],0),0)</f>
        <v>0</v>
      </c>
      <c r="AB396" s="2">
        <f>VLOOKUP([jobnumber],OvalData[],MATCH(Table2[[#Headers],[Grille Amount]],Table2[#Headers],0),0)</f>
        <v>0</v>
      </c>
      <c r="AC396" s="2">
        <f>VLOOKUP([jobnumber],OvalData[],MATCH(Table2[[#Headers],[Grille Center]],Table2[#Headers],0),0)</f>
        <v>0</v>
      </c>
      <c r="AD396" s="2">
        <f>VLOOKUP([jobnumber],OvalData[],MATCH(Table2[[#Headers],[Grille Pattern]],Table2[#Headers],0),0)</f>
        <v>0</v>
      </c>
      <c r="AE396" s="2">
        <f>VLOOKUP([jobnumber],OvalData[],MATCH(Table2[[#Headers],[Grille First Tube]],Table2[#Headers],0),0)</f>
        <v>0</v>
      </c>
      <c r="AF396" s="2">
        <f>VLOOKUP([jobnumber],OvalData[],MATCH(Table2[[#Headers],[Grille Standard Tube]],Table2[#Headers],0),0)</f>
        <v>0</v>
      </c>
      <c r="AG396" s="2">
        <f>VLOOKUP([jobnumber],OvalData[],MATCH(Table2[[#Headers],[Grille Total Links]],Table2[#Headers],0),0)</f>
        <v>0</v>
      </c>
      <c r="AH396" s="2">
        <f>VLOOKUP([jobnumber],OvalData[],MATCH(Table2[[#Headers],[Grille Rods]],Table2[#Headers],0),0)</f>
        <v>0</v>
      </c>
      <c r="AI396" s="2">
        <f>VLOOKUP([jobnumber],OvalData[],MATCH(Table2[[#Headers],[Grille Rod Length]],Table2[#Headers],0),0)</f>
        <v>0</v>
      </c>
      <c r="AJ396" s="2">
        <f>VLOOKUP([jobnumber],OvalData[],MATCH(Table2[[#Headers],[slattype]],Table2[#Headers],0),0)</f>
        <v>2</v>
      </c>
      <c r="AK396" s="2">
        <f>VLOOKUP([jobnumber],OvalData[],MATCH(Table2[[#Headers],[slatgage]],Table2[#Headers],0),0)</f>
        <v>18</v>
      </c>
      <c r="AL396" s="2">
        <f>VLOOKUP([jobnumber],OvalData[],MATCH(Table2[[#Headers],[Numer of Top Slats]],Table2[#Headers],0),0)</f>
        <v>0</v>
      </c>
      <c r="AM396" s="2">
        <f>VLOOKUP([jobnumber],OvalData[],MATCH(Table2[[#Headers],[Number of Bottom Slats]],Table2[#Headers],0),0)</f>
        <v>0</v>
      </c>
      <c r="AN396" s="2">
        <f>VLOOKUP([jobnumber],OvalData[],MATCH(Table2[[#Headers],[Solid Bottom Height]],Table2[#Headers],0),0)</f>
        <v>0</v>
      </c>
      <c r="AO396" s="2" t="str">
        <f>VLOOKUP([jobnumber],OvalData[],MATCH(Table2[[#Headers],[slatlength]],Table2[#Headers],0),0)</f>
        <v xml:space="preserve"> 18 ft.- 5 7/ 8"</v>
      </c>
      <c r="AP396" s="2">
        <f>VLOOKUP([jobnumber],OvalData[],MATCH(Table2[[#Headers],[Bottom Slat Length]],Table2[#Headers],0),0)</f>
        <v>0</v>
      </c>
      <c r="AQ396" s="2">
        <f>VLOOKUP([jobnumber],OvalData[],MATCH(Table2[[#Headers],[Number of Perferated Slats]],Table2[#Headers],0),0)</f>
        <v>0</v>
      </c>
      <c r="AR396" s="2">
        <f>VLOOKUP([jobnumber],OvalData[],MATCH(Table2[[#Headers],[First Preferated Slat From End]],Table2[#Headers],0),0)</f>
        <v>0</v>
      </c>
      <c r="AS396" s="2">
        <f>VLOOKUP([jobnumber],OvalData[],MATCH(Table2[[#Headers],[First Preferated Slat From Bottom]],Table2[#Headers],0),0)</f>
        <v>0</v>
      </c>
      <c r="AT396" s="2">
        <f>VLOOKUP([jobnumber],OvalData[],MATCH(Table2[[#Headers],[Total Number of Slats]],Table2[#Headers],0),0)</f>
        <v>51</v>
      </c>
      <c r="AU396" s="2">
        <f>VLOOKUP([jobnumber],OvalData[],MATCH(Table2[[#Headers],[Bottom Bar Slope]],Table2[#Headers],0),0)</f>
        <v>0</v>
      </c>
      <c r="AV396" s="2">
        <f>VLOOKUP([jobnumber],OvalData[],MATCH(Table2[[#Headers],[Bottom Bar Weight]],Table2[#Headers],0),0)</f>
        <v>80.5</v>
      </c>
      <c r="AW396" s="2" t="str">
        <f>VLOOKUP([jobnumber],OvalData[],MATCH(Table2[[#Headers],[Outer Spring Gage]],Table2[#Headers],0),0)</f>
        <v>Null</v>
      </c>
      <c r="AX396" s="2" t="str">
        <f>VLOOKUP([jobnumber],OvalData[],MATCH(Table2[[#Headers],[Outer Spring OD]],Table2[#Headers],0),0)</f>
        <v>Null</v>
      </c>
      <c r="AY396" s="2" t="str">
        <f>VLOOKUP([jobnumber],OvalData[],MATCH(Table2[[#Headers],[Outer Spring Length]],Table2[#Headers],0),0)</f>
        <v>Null</v>
      </c>
      <c r="AZ396" s="2" t="str">
        <f>VLOOKUP([jobnumber],OvalData[],MATCH(Table2[[#Headers],[Outer Spring Stretch]],Table2[#Headers],0),0)</f>
        <v>Null</v>
      </c>
      <c r="BA396" s="2" t="str">
        <f>VLOOKUP([jobnumber],OvalData[],MATCH(Table2[[#Headers],[Outer Spring Torque]],Table2[#Headers],0),0)</f>
        <v>Null</v>
      </c>
      <c r="BB396" s="2" t="str">
        <f>VLOOKUP([jobnumber],OvalData[],MATCH(Table2[[#Headers],[Outer Spring Max Turns]],Table2[#Headers],0),0)</f>
        <v>Null</v>
      </c>
      <c r="BC396" s="2" t="str">
        <f>VLOOKUP([jobnumber],OvalData[],MATCH(Table2[[#Headers],[Outer Spring Weight]],Table2[#Headers],0),0)</f>
        <v>Null</v>
      </c>
      <c r="BD396" s="2" t="str">
        <f>VLOOKUP([jobnumber],OvalData[],MATCH(Table2[[#Headers],[Inner Spring Gage]],Table2[#Headers],0),0)</f>
        <v>Null</v>
      </c>
      <c r="BE396" s="2" t="str">
        <f>VLOOKUP([jobnumber],OvalData[],MATCH(Table2[[#Headers],[Inner Spring OD]],Table2[#Headers],0),0)</f>
        <v>Null</v>
      </c>
      <c r="BF396" s="2" t="str">
        <f>VLOOKUP([jobnumber],OvalData[],MATCH(Table2[[#Headers],[Inner Spring Length]],Table2[#Headers],0),0)</f>
        <v>Null</v>
      </c>
      <c r="BG396" s="2" t="str">
        <f>VLOOKUP([jobnumber],OvalData[],MATCH(Table2[[#Headers],[Inner Spring Stretch]],Table2[#Headers],0),0)</f>
        <v>Null</v>
      </c>
      <c r="BH396" s="2" t="str">
        <f>VLOOKUP([jobnumber],OvalData[],MATCH(Table2[[#Headers],[Inner Spring Torque]],Table2[#Headers],0),0)</f>
        <v>Null</v>
      </c>
      <c r="BI396" s="2" t="str">
        <f>VLOOKUP([jobnumber],OvalData[],MATCH(Table2[[#Headers],[Inner Spring Max Turns]],Table2[#Headers],0),0)</f>
        <v>Null</v>
      </c>
      <c r="BJ396" s="2" t="str">
        <f>VLOOKUP([jobnumber],OvalData[],MATCH(Table2[[#Headers],[Inner Spring Weight]],Table2[#Headers],0),0)</f>
        <v>Null</v>
      </c>
      <c r="BK396" s="2">
        <f>VLOOKUP([jobnumber],OvalData[],MATCH(Table2[[#Headers],[Cycles]],Table2[#Headers],0),0)</f>
        <v>0</v>
      </c>
      <c r="BL396" s="2">
        <f>VLOOKUP([jobnumber],OvalData[],MATCH(Table2[[#Headers],[Total Spring Torque]],Table2[#Headers],0),0)</f>
        <v>0</v>
      </c>
      <c r="BM396" s="2">
        <f>VLOOKUP([jobnumber],OvalData[],MATCH(Table2[[#Headers],[Total Spring Weight]],Table2[#Headers],0),0)</f>
        <v>0</v>
      </c>
      <c r="BN396" s="2">
        <f>VLOOKUP([jobnumber],OvalData[],MATCH(Table2[[#Headers],[Pipe Weight]],Table2[#Headers],0),0)</f>
        <v>688.24239999999998</v>
      </c>
      <c r="BO396" s="2">
        <f>VLOOKUP([jobnumber],OvalData[],MATCH(Table2[[#Headers],[Max Pipe Deflection]],Table2[#Headers],0),0)</f>
        <v>2309</v>
      </c>
      <c r="BP396" s="2">
        <f>VLOOKUP([jobnumber],OvalData[],MATCH(Table2[[#Headers],[Number Non-Insulated Wrap Slats]],Table2[#Headers],0),0)</f>
        <v>0</v>
      </c>
      <c r="BQ396" s="2">
        <f>VLOOKUP([jobnumber],OvalData[],MATCH(Table2[[#Headers],[Number of Insolated Top Slats]],Table2[#Headers],0),0)</f>
        <v>45</v>
      </c>
      <c r="BR396" s="2">
        <f>VLOOKUP([jobnumber],OvalData[],MATCH(Table2[[#Headers],[Insolated Total Slats]],Table2[#Headers],0),0)</f>
        <v>45</v>
      </c>
      <c r="BS396" s="2">
        <f>VLOOKUP([jobnumber],OvalData[],MATCH(Table2[[#Headers],[Number of Slats]],Table2[#Headers],0),0)</f>
        <v>44.69</v>
      </c>
      <c r="BT396" s="2">
        <f>VLOOKUP([jobnumber],OvalData[],MATCH(Table2[[#Headers],[Wrap]],Table2[#Headers],0),0)</f>
        <v>0</v>
      </c>
      <c r="BU396" s="2">
        <f>VLOOKUP([jobnumber],OvalData[],MATCH(Table2[[#Headers],[Wall Angle Thickness]],Table2[#Headers],0),0)</f>
        <v>0</v>
      </c>
      <c r="BV396" s="2">
        <f>VLOOKUP([jobnumber],OvalData[],MATCH(Table2[[#Headers],[windlocks]],Table2[#Headers],0),0)</f>
        <v>0</v>
      </c>
      <c r="BW396" s="2" t="str">
        <f>VLOOKUP([jobnumber],OvalData[],MATCH(Table2[[#Headers],[bottombartype]],Table2[#Headers],0),0)</f>
        <v>SPECIAL</v>
      </c>
      <c r="BX396" s="2">
        <f>VLOOKUP([jobnumber],OvalData[],MATCH(Table2[[#Headers],[endlockweight]],Table2[#Headers],0),0)</f>
        <v>0.17</v>
      </c>
      <c r="BY396" s="2">
        <f>VLOOKUP([jobnumber],OvalData[],MATCH(Table2[[#Headers],[Endlock Total Weight]],Table2[#Headers],0),0)</f>
        <v>7.5972999999999997</v>
      </c>
      <c r="BZ396" s="2">
        <f>VLOOKUP([jobnumber],OvalData[],MATCH(Table2[[#Headers],[Grille Weight]],Table2[#Headers],0),0)</f>
        <v>0</v>
      </c>
      <c r="CA396" s="2">
        <f>VLOOKUP([jobnumber],OvalData[],MATCH(Table2[[#Headers],[barrelrings]],Table2[#Headers],0),0)</f>
        <v>1</v>
      </c>
    </row>
    <row r="397" spans="2:79">
      <c r="B397" s="2" t="str">
        <f>VLOOKUP([jobnumber],OvalData[],MATCH(Table2[[#Headers],[Hand]],Table2[#Headers],0),0)</f>
        <v>RH</v>
      </c>
      <c r="C397" s="2" t="str">
        <f>VLOOKUP([jobnumber],OvalData[],MATCH(Table2[[#Headers],[Model]],Table2[#Headers],0),0)</f>
        <v>SFMPP</v>
      </c>
      <c r="D397" s="2" t="str">
        <f>VLOOKUP([jobnumber],OvalData[],MATCH(Table2[[#Headers],[width]],Table2[#Headers],0),0)</f>
        <v xml:space="preserve"> 18 ft.- 2"</v>
      </c>
      <c r="E397" s="2" t="str">
        <f>VLOOKUP([jobnumber],OvalData[],MATCH(Table2[[#Headers],[stopheight]],Table2[#Headers],0),0)</f>
        <v xml:space="preserve"> 10 ft.- 0"</v>
      </c>
      <c r="F397" s="2" t="str">
        <f>VLOOKUP([jobnumber],OvalData[],MATCH(Table2[[#Headers],[Between Brackets]],Table2[#Headers],0),0)</f>
        <v xml:space="preserve"> 18 ft.- 7 7/ 8"</v>
      </c>
      <c r="G397" s="2" t="str">
        <f>VLOOKUP([jobnumber],OvalData[],MATCH(Table2[[#Headers],[shell]],Table2[#Headers],0),0)</f>
        <v>6 INCH TUBE</v>
      </c>
      <c r="H397" s="2" t="str">
        <f>VLOOKUP([jobnumber],OvalData[],MATCH(Table2[[#Headers],[pipewidth]],Table2[#Headers],0),0)</f>
        <v xml:space="preserve"> 18 ft.- 1 3/ 8"</v>
      </c>
      <c r="I397" s="2">
        <f>VLOOKUP([jobnumber],OvalData[],MATCH(Table2[[#Headers],[Support Tubes]],Table2[#Headers],0),0)</f>
        <v>0</v>
      </c>
      <c r="J397" s="2">
        <f>VLOOKUP([jobnumber],OvalData[],MATCH(Table2[[#Headers],[Upset]],Table2[#Headers],0),0)</f>
        <v>2</v>
      </c>
      <c r="K397" s="2" t="str">
        <f>VLOOKUP([jobnumber],OvalData[],MATCH(Table2[[#Headers],[Guide Type]],Table2[#Headers],0),0)</f>
        <v>SN2-4 5/8-E</v>
      </c>
      <c r="L397" s="2" t="str">
        <f>VLOOKUP([jobnumber],OvalData[],MATCH(Table2[[#Headers],[Wall Angle]],Table2[#Headers],0),0)</f>
        <v xml:space="preserve"> 11 ft.- 8"</v>
      </c>
      <c r="M397" s="2" t="str">
        <f>VLOOKUP([jobnumber],OvalData[],MATCH(Table2[[#Headers],[Middle Angle]],Table2[#Headers],0),0)</f>
        <v xml:space="preserve"> 10 ft.- 4 1/ 2"</v>
      </c>
      <c r="N397" s="2" t="str">
        <f>VLOOKUP([jobnumber],OvalData[],MATCH(Table2[[#Headers],[Front Angle]],Table2[#Headers],0),0)</f>
        <v xml:space="preserve"> 10 ft.- 3"</v>
      </c>
      <c r="O397" s="2">
        <f>VLOOKUP([jobnumber],OvalData[],MATCH(Table2[[#Headers],[Pipe Center Line]],Table2[#Headers],0),0)</f>
        <v>131</v>
      </c>
      <c r="P397" s="2">
        <f>VLOOKUP([jobnumber],OvalData[],MATCH(Table2[[#Headers],[Heat Expansion Gap]],Table2[#Headers],0),0)</f>
        <v>0</v>
      </c>
      <c r="Q397" s="2">
        <f>VLOOKUP([jobnumber],OvalData[],MATCH(Table2[[#Headers],[Hanging Weight Closed]],Table2[#Headers],0),0)</f>
        <v>795</v>
      </c>
      <c r="R397" s="2">
        <f>VLOOKUP([jobnumber],OvalData[],MATCH(Table2[[#Headers],[Hanging Weight Open]],Table2[#Headers],0),0)</f>
        <v>140</v>
      </c>
      <c r="S397" s="2">
        <f>VLOOKUP([jobnumber],OvalData[],MATCH(Table2[[#Headers],[Initial Lever Arm]],Table2[#Headers],0),0)</f>
        <v>4.25</v>
      </c>
      <c r="T397" s="2">
        <f>VLOOKUP([jobnumber],OvalData[],MATCH(Table2[[#Headers],[Turns to Raise]],Table2[#Headers],0),0)</f>
        <v>3.5859999999999999</v>
      </c>
      <c r="U397" s="2">
        <f>VLOOKUP([jobnumber],OvalData[],MATCH(Table2[[#Headers],[Final Lever Arm]],Table2[#Headers],0),0)</f>
        <v>6.37</v>
      </c>
      <c r="V397" s="2">
        <f>VLOOKUP([jobnumber],OvalData[],MATCH(Table2[[#Headers],[Torque Required Closed]],Table2[#Headers],0),0)</f>
        <v>3377.9</v>
      </c>
      <c r="W397" s="2">
        <f>VLOOKUP([jobnumber],OvalData[],MATCH(Table2[[#Headers],[Torque Required Open]],Table2[#Headers],0),0)</f>
        <v>892</v>
      </c>
      <c r="X397" s="2">
        <f>VLOOKUP([jobnumber],OvalData[],MATCH(Table2[[#Headers],[Pre Turns]],Table2[#Headers],0),0)</f>
        <v>1.3332999999999999</v>
      </c>
      <c r="Y397" s="2">
        <f>VLOOKUP([jobnumber],OvalData[],MATCH(Table2[[#Headers],[Required Torque Per Turn]],Table2[#Headers],0),0)</f>
        <v>688</v>
      </c>
      <c r="Z397" s="2">
        <f>VLOOKUP([jobnumber],OvalData[],MATCH(Table2[[#Headers],[Total Turns]],Table2[#Headers],0),0)</f>
        <v>4.91</v>
      </c>
      <c r="AA397" s="2">
        <f>VLOOKUP([jobnumber],OvalData[],MATCH(Table2[[#Headers],[Grille Vision Section]],Table2[#Headers],0),0)</f>
        <v>0</v>
      </c>
      <c r="AB397" s="2">
        <f>VLOOKUP([jobnumber],OvalData[],MATCH(Table2[[#Headers],[Grille Amount]],Table2[#Headers],0),0)</f>
        <v>0</v>
      </c>
      <c r="AC397" s="2">
        <f>VLOOKUP([jobnumber],OvalData[],MATCH(Table2[[#Headers],[Grille Center]],Table2[#Headers],0),0)</f>
        <v>0</v>
      </c>
      <c r="AD397" s="2">
        <f>VLOOKUP([jobnumber],OvalData[],MATCH(Table2[[#Headers],[Grille Pattern]],Table2[#Headers],0),0)</f>
        <v>0</v>
      </c>
      <c r="AE397" s="2">
        <f>VLOOKUP([jobnumber],OvalData[],MATCH(Table2[[#Headers],[Grille First Tube]],Table2[#Headers],0),0)</f>
        <v>0</v>
      </c>
      <c r="AF397" s="2">
        <f>VLOOKUP([jobnumber],OvalData[],MATCH(Table2[[#Headers],[Grille Standard Tube]],Table2[#Headers],0),0)</f>
        <v>0</v>
      </c>
      <c r="AG397" s="2">
        <f>VLOOKUP([jobnumber],OvalData[],MATCH(Table2[[#Headers],[Grille Total Links]],Table2[#Headers],0),0)</f>
        <v>0</v>
      </c>
      <c r="AH397" s="2">
        <f>VLOOKUP([jobnumber],OvalData[],MATCH(Table2[[#Headers],[Grille Rods]],Table2[#Headers],0),0)</f>
        <v>0</v>
      </c>
      <c r="AI397" s="2">
        <f>VLOOKUP([jobnumber],OvalData[],MATCH(Table2[[#Headers],[Grille Rod Length]],Table2[#Headers],0),0)</f>
        <v>0</v>
      </c>
      <c r="AJ397" s="2">
        <f>VLOOKUP([jobnumber],OvalData[],MATCH(Table2[[#Headers],[slattype]],Table2[#Headers],0),0)</f>
        <v>2</v>
      </c>
      <c r="AK397" s="2">
        <f>VLOOKUP([jobnumber],OvalData[],MATCH(Table2[[#Headers],[slatgage]],Table2[#Headers],0),0)</f>
        <v>18</v>
      </c>
      <c r="AL397" s="2">
        <f>VLOOKUP([jobnumber],OvalData[],MATCH(Table2[[#Headers],[Numer of Top Slats]],Table2[#Headers],0),0)</f>
        <v>0</v>
      </c>
      <c r="AM397" s="2">
        <f>VLOOKUP([jobnumber],OvalData[],MATCH(Table2[[#Headers],[Number of Bottom Slats]],Table2[#Headers],0),0)</f>
        <v>0</v>
      </c>
      <c r="AN397" s="2">
        <f>VLOOKUP([jobnumber],OvalData[],MATCH(Table2[[#Headers],[Solid Bottom Height]],Table2[#Headers],0),0)</f>
        <v>0</v>
      </c>
      <c r="AO397" s="2" t="str">
        <f>VLOOKUP([jobnumber],OvalData[],MATCH(Table2[[#Headers],[slatlength]],Table2[#Headers],0),0)</f>
        <v xml:space="preserve"> 18 ft.- 5 7/ 8"</v>
      </c>
      <c r="AP397" s="2">
        <f>VLOOKUP([jobnumber],OvalData[],MATCH(Table2[[#Headers],[Bottom Slat Length]],Table2[#Headers],0),0)</f>
        <v>0</v>
      </c>
      <c r="AQ397" s="2">
        <f>VLOOKUP([jobnumber],OvalData[],MATCH(Table2[[#Headers],[Number of Perferated Slats]],Table2[#Headers],0),0)</f>
        <v>0</v>
      </c>
      <c r="AR397" s="2">
        <f>VLOOKUP([jobnumber],OvalData[],MATCH(Table2[[#Headers],[First Preferated Slat From End]],Table2[#Headers],0),0)</f>
        <v>0</v>
      </c>
      <c r="AS397" s="2">
        <f>VLOOKUP([jobnumber],OvalData[],MATCH(Table2[[#Headers],[First Preferated Slat From Bottom]],Table2[#Headers],0),0)</f>
        <v>0</v>
      </c>
      <c r="AT397" s="2">
        <f>VLOOKUP([jobnumber],OvalData[],MATCH(Table2[[#Headers],[Total Number of Slats]],Table2[#Headers],0),0)</f>
        <v>51</v>
      </c>
      <c r="AU397" s="2">
        <f>VLOOKUP([jobnumber],OvalData[],MATCH(Table2[[#Headers],[Bottom Bar Slope]],Table2[#Headers],0),0)</f>
        <v>0</v>
      </c>
      <c r="AV397" s="2">
        <f>VLOOKUP([jobnumber],OvalData[],MATCH(Table2[[#Headers],[Bottom Bar Weight]],Table2[#Headers],0),0)</f>
        <v>80.5</v>
      </c>
      <c r="AW397" s="2" t="str">
        <f>VLOOKUP([jobnumber],OvalData[],MATCH(Table2[[#Headers],[Outer Spring Gage]],Table2[#Headers],0),0)</f>
        <v>Null</v>
      </c>
      <c r="AX397" s="2" t="str">
        <f>VLOOKUP([jobnumber],OvalData[],MATCH(Table2[[#Headers],[Outer Spring OD]],Table2[#Headers],0),0)</f>
        <v>Null</v>
      </c>
      <c r="AY397" s="2" t="str">
        <f>VLOOKUP([jobnumber],OvalData[],MATCH(Table2[[#Headers],[Outer Spring Length]],Table2[#Headers],0),0)</f>
        <v>Null</v>
      </c>
      <c r="AZ397" s="2" t="str">
        <f>VLOOKUP([jobnumber],OvalData[],MATCH(Table2[[#Headers],[Outer Spring Stretch]],Table2[#Headers],0),0)</f>
        <v>Null</v>
      </c>
      <c r="BA397" s="2" t="str">
        <f>VLOOKUP([jobnumber],OvalData[],MATCH(Table2[[#Headers],[Outer Spring Torque]],Table2[#Headers],0),0)</f>
        <v>Null</v>
      </c>
      <c r="BB397" s="2" t="str">
        <f>VLOOKUP([jobnumber],OvalData[],MATCH(Table2[[#Headers],[Outer Spring Max Turns]],Table2[#Headers],0),0)</f>
        <v>Null</v>
      </c>
      <c r="BC397" s="2" t="str">
        <f>VLOOKUP([jobnumber],OvalData[],MATCH(Table2[[#Headers],[Outer Spring Weight]],Table2[#Headers],0),0)</f>
        <v>Null</v>
      </c>
      <c r="BD397" s="2" t="str">
        <f>VLOOKUP([jobnumber],OvalData[],MATCH(Table2[[#Headers],[Inner Spring Gage]],Table2[#Headers],0),0)</f>
        <v>Null</v>
      </c>
      <c r="BE397" s="2" t="str">
        <f>VLOOKUP([jobnumber],OvalData[],MATCH(Table2[[#Headers],[Inner Spring OD]],Table2[#Headers],0),0)</f>
        <v>Null</v>
      </c>
      <c r="BF397" s="2" t="str">
        <f>VLOOKUP([jobnumber],OvalData[],MATCH(Table2[[#Headers],[Inner Spring Length]],Table2[#Headers],0),0)</f>
        <v>Null</v>
      </c>
      <c r="BG397" s="2" t="str">
        <f>VLOOKUP([jobnumber],OvalData[],MATCH(Table2[[#Headers],[Inner Spring Stretch]],Table2[#Headers],0),0)</f>
        <v>Null</v>
      </c>
      <c r="BH397" s="2" t="str">
        <f>VLOOKUP([jobnumber],OvalData[],MATCH(Table2[[#Headers],[Inner Spring Torque]],Table2[#Headers],0),0)</f>
        <v>Null</v>
      </c>
      <c r="BI397" s="2" t="str">
        <f>VLOOKUP([jobnumber],OvalData[],MATCH(Table2[[#Headers],[Inner Spring Max Turns]],Table2[#Headers],0),0)</f>
        <v>Null</v>
      </c>
      <c r="BJ397" s="2" t="str">
        <f>VLOOKUP([jobnumber],OvalData[],MATCH(Table2[[#Headers],[Inner Spring Weight]],Table2[#Headers],0),0)</f>
        <v>Null</v>
      </c>
      <c r="BK397" s="2">
        <f>VLOOKUP([jobnumber],OvalData[],MATCH(Table2[[#Headers],[Cycles]],Table2[#Headers],0),0)</f>
        <v>0</v>
      </c>
      <c r="BL397" s="2">
        <f>VLOOKUP([jobnumber],OvalData[],MATCH(Table2[[#Headers],[Total Spring Torque]],Table2[#Headers],0),0)</f>
        <v>0</v>
      </c>
      <c r="BM397" s="2">
        <f>VLOOKUP([jobnumber],OvalData[],MATCH(Table2[[#Headers],[Total Spring Weight]],Table2[#Headers],0),0)</f>
        <v>0</v>
      </c>
      <c r="BN397" s="2">
        <f>VLOOKUP([jobnumber],OvalData[],MATCH(Table2[[#Headers],[Pipe Weight]],Table2[#Headers],0),0)</f>
        <v>688.24239999999998</v>
      </c>
      <c r="BO397" s="2">
        <f>VLOOKUP([jobnumber],OvalData[],MATCH(Table2[[#Headers],[Max Pipe Deflection]],Table2[#Headers],0),0)</f>
        <v>2309</v>
      </c>
      <c r="BP397" s="2">
        <f>VLOOKUP([jobnumber],OvalData[],MATCH(Table2[[#Headers],[Number Non-Insulated Wrap Slats]],Table2[#Headers],0),0)</f>
        <v>0</v>
      </c>
      <c r="BQ397" s="2">
        <f>VLOOKUP([jobnumber],OvalData[],MATCH(Table2[[#Headers],[Number of Insolated Top Slats]],Table2[#Headers],0),0)</f>
        <v>45</v>
      </c>
      <c r="BR397" s="2">
        <f>VLOOKUP([jobnumber],OvalData[],MATCH(Table2[[#Headers],[Insolated Total Slats]],Table2[#Headers],0),0)</f>
        <v>45</v>
      </c>
      <c r="BS397" s="2">
        <f>VLOOKUP([jobnumber],OvalData[],MATCH(Table2[[#Headers],[Number of Slats]],Table2[#Headers],0),0)</f>
        <v>44.69</v>
      </c>
      <c r="BT397" s="2">
        <f>VLOOKUP([jobnumber],OvalData[],MATCH(Table2[[#Headers],[Wrap]],Table2[#Headers],0),0)</f>
        <v>0</v>
      </c>
      <c r="BU397" s="2">
        <f>VLOOKUP([jobnumber],OvalData[],MATCH(Table2[[#Headers],[Wall Angle Thickness]],Table2[#Headers],0),0)</f>
        <v>0</v>
      </c>
      <c r="BV397" s="2">
        <f>VLOOKUP([jobnumber],OvalData[],MATCH(Table2[[#Headers],[windlocks]],Table2[#Headers],0),0)</f>
        <v>0</v>
      </c>
      <c r="BW397" s="2" t="str">
        <f>VLOOKUP([jobnumber],OvalData[],MATCH(Table2[[#Headers],[bottombartype]],Table2[#Headers],0),0)</f>
        <v>SPECIAL</v>
      </c>
      <c r="BX397" s="2">
        <f>VLOOKUP([jobnumber],OvalData[],MATCH(Table2[[#Headers],[endlockweight]],Table2[#Headers],0),0)</f>
        <v>0.17</v>
      </c>
      <c r="BY397" s="2">
        <f>VLOOKUP([jobnumber],OvalData[],MATCH(Table2[[#Headers],[Endlock Total Weight]],Table2[#Headers],0),0)</f>
        <v>7.5972999999999997</v>
      </c>
      <c r="BZ397" s="2">
        <f>VLOOKUP([jobnumber],OvalData[],MATCH(Table2[[#Headers],[Grille Weight]],Table2[#Headers],0),0)</f>
        <v>0</v>
      </c>
      <c r="CA397" s="2">
        <f>VLOOKUP([jobnumber],OvalData[],MATCH(Table2[[#Headers],[barrelrings]],Table2[#Headers],0),0)</f>
        <v>1</v>
      </c>
    </row>
    <row r="398" spans="2:79">
      <c r="B398" s="2" t="str">
        <f>VLOOKUP([jobnumber],OvalData[],MATCH(Table2[[#Headers],[Hand]],Table2[#Headers],0),0)</f>
        <v>RH</v>
      </c>
      <c r="C398" s="2" t="str">
        <f>VLOOKUP([jobnumber],OvalData[],MATCH(Table2[[#Headers],[Model]],Table2[#Headers],0),0)</f>
        <v>SFMPP</v>
      </c>
      <c r="D398" s="2" t="str">
        <f>VLOOKUP([jobnumber],OvalData[],MATCH(Table2[[#Headers],[width]],Table2[#Headers],0),0)</f>
        <v xml:space="preserve"> 18 ft.- 2"</v>
      </c>
      <c r="E398" s="2" t="str">
        <f>VLOOKUP([jobnumber],OvalData[],MATCH(Table2[[#Headers],[stopheight]],Table2[#Headers],0),0)</f>
        <v xml:space="preserve"> 10 ft.- 0"</v>
      </c>
      <c r="F398" s="2" t="str">
        <f>VLOOKUP([jobnumber],OvalData[],MATCH(Table2[[#Headers],[Between Brackets]],Table2[#Headers],0),0)</f>
        <v xml:space="preserve"> 18 ft.- 7 7/ 8"</v>
      </c>
      <c r="G398" s="2" t="str">
        <f>VLOOKUP([jobnumber],OvalData[],MATCH(Table2[[#Headers],[shell]],Table2[#Headers],0),0)</f>
        <v>6 INCH TUBE</v>
      </c>
      <c r="H398" s="2" t="str">
        <f>VLOOKUP([jobnumber],OvalData[],MATCH(Table2[[#Headers],[pipewidth]],Table2[#Headers],0),0)</f>
        <v xml:space="preserve"> 18 ft.- 1 3/ 8"</v>
      </c>
      <c r="I398" s="2">
        <f>VLOOKUP([jobnumber],OvalData[],MATCH(Table2[[#Headers],[Support Tubes]],Table2[#Headers],0),0)</f>
        <v>0</v>
      </c>
      <c r="J398" s="2">
        <f>VLOOKUP([jobnumber],OvalData[],MATCH(Table2[[#Headers],[Upset]],Table2[#Headers],0),0)</f>
        <v>2</v>
      </c>
      <c r="K398" s="2" t="str">
        <f>VLOOKUP([jobnumber],OvalData[],MATCH(Table2[[#Headers],[Guide Type]],Table2[#Headers],0),0)</f>
        <v>SN2-4 5/8-E</v>
      </c>
      <c r="L398" s="2" t="str">
        <f>VLOOKUP([jobnumber],OvalData[],MATCH(Table2[[#Headers],[Wall Angle]],Table2[#Headers],0),0)</f>
        <v xml:space="preserve"> 11 ft.- 8"</v>
      </c>
      <c r="M398" s="2" t="str">
        <f>VLOOKUP([jobnumber],OvalData[],MATCH(Table2[[#Headers],[Middle Angle]],Table2[#Headers],0),0)</f>
        <v xml:space="preserve"> 10 ft.- 4 1/ 2"</v>
      </c>
      <c r="N398" s="2" t="str">
        <f>VLOOKUP([jobnumber],OvalData[],MATCH(Table2[[#Headers],[Front Angle]],Table2[#Headers],0),0)</f>
        <v xml:space="preserve"> 10 ft.- 3"</v>
      </c>
      <c r="O398" s="2">
        <f>VLOOKUP([jobnumber],OvalData[],MATCH(Table2[[#Headers],[Pipe Center Line]],Table2[#Headers],0),0)</f>
        <v>131</v>
      </c>
      <c r="P398" s="2">
        <f>VLOOKUP([jobnumber],OvalData[],MATCH(Table2[[#Headers],[Heat Expansion Gap]],Table2[#Headers],0),0)</f>
        <v>0</v>
      </c>
      <c r="Q398" s="2">
        <f>VLOOKUP([jobnumber],OvalData[],MATCH(Table2[[#Headers],[Hanging Weight Closed]],Table2[#Headers],0),0)</f>
        <v>795</v>
      </c>
      <c r="R398" s="2">
        <f>VLOOKUP([jobnumber],OvalData[],MATCH(Table2[[#Headers],[Hanging Weight Open]],Table2[#Headers],0),0)</f>
        <v>140</v>
      </c>
      <c r="S398" s="2">
        <f>VLOOKUP([jobnumber],OvalData[],MATCH(Table2[[#Headers],[Initial Lever Arm]],Table2[#Headers],0),0)</f>
        <v>4.25</v>
      </c>
      <c r="T398" s="2">
        <f>VLOOKUP([jobnumber],OvalData[],MATCH(Table2[[#Headers],[Turns to Raise]],Table2[#Headers],0),0)</f>
        <v>3.5859999999999999</v>
      </c>
      <c r="U398" s="2">
        <f>VLOOKUP([jobnumber],OvalData[],MATCH(Table2[[#Headers],[Final Lever Arm]],Table2[#Headers],0),0)</f>
        <v>6.37</v>
      </c>
      <c r="V398" s="2">
        <f>VLOOKUP([jobnumber],OvalData[],MATCH(Table2[[#Headers],[Torque Required Closed]],Table2[#Headers],0),0)</f>
        <v>3377.9</v>
      </c>
      <c r="W398" s="2">
        <f>VLOOKUP([jobnumber],OvalData[],MATCH(Table2[[#Headers],[Torque Required Open]],Table2[#Headers],0),0)</f>
        <v>892</v>
      </c>
      <c r="X398" s="2">
        <f>VLOOKUP([jobnumber],OvalData[],MATCH(Table2[[#Headers],[Pre Turns]],Table2[#Headers],0),0)</f>
        <v>1.3332999999999999</v>
      </c>
      <c r="Y398" s="2">
        <f>VLOOKUP([jobnumber],OvalData[],MATCH(Table2[[#Headers],[Required Torque Per Turn]],Table2[#Headers],0),0)</f>
        <v>688</v>
      </c>
      <c r="Z398" s="2">
        <f>VLOOKUP([jobnumber],OvalData[],MATCH(Table2[[#Headers],[Total Turns]],Table2[#Headers],0),0)</f>
        <v>4.91</v>
      </c>
      <c r="AA398" s="2">
        <f>VLOOKUP([jobnumber],OvalData[],MATCH(Table2[[#Headers],[Grille Vision Section]],Table2[#Headers],0),0)</f>
        <v>0</v>
      </c>
      <c r="AB398" s="2">
        <f>VLOOKUP([jobnumber],OvalData[],MATCH(Table2[[#Headers],[Grille Amount]],Table2[#Headers],0),0)</f>
        <v>0</v>
      </c>
      <c r="AC398" s="2">
        <f>VLOOKUP([jobnumber],OvalData[],MATCH(Table2[[#Headers],[Grille Center]],Table2[#Headers],0),0)</f>
        <v>0</v>
      </c>
      <c r="AD398" s="2">
        <f>VLOOKUP([jobnumber],OvalData[],MATCH(Table2[[#Headers],[Grille Pattern]],Table2[#Headers],0),0)</f>
        <v>0</v>
      </c>
      <c r="AE398" s="2">
        <f>VLOOKUP([jobnumber],OvalData[],MATCH(Table2[[#Headers],[Grille First Tube]],Table2[#Headers],0),0)</f>
        <v>0</v>
      </c>
      <c r="AF398" s="2">
        <f>VLOOKUP([jobnumber],OvalData[],MATCH(Table2[[#Headers],[Grille Standard Tube]],Table2[#Headers],0),0)</f>
        <v>0</v>
      </c>
      <c r="AG398" s="2">
        <f>VLOOKUP([jobnumber],OvalData[],MATCH(Table2[[#Headers],[Grille Total Links]],Table2[#Headers],0),0)</f>
        <v>0</v>
      </c>
      <c r="AH398" s="2">
        <f>VLOOKUP([jobnumber],OvalData[],MATCH(Table2[[#Headers],[Grille Rods]],Table2[#Headers],0),0)</f>
        <v>0</v>
      </c>
      <c r="AI398" s="2">
        <f>VLOOKUP([jobnumber],OvalData[],MATCH(Table2[[#Headers],[Grille Rod Length]],Table2[#Headers],0),0)</f>
        <v>0</v>
      </c>
      <c r="AJ398" s="2">
        <f>VLOOKUP([jobnumber],OvalData[],MATCH(Table2[[#Headers],[slattype]],Table2[#Headers],0),0)</f>
        <v>2</v>
      </c>
      <c r="AK398" s="2">
        <f>VLOOKUP([jobnumber],OvalData[],MATCH(Table2[[#Headers],[slatgage]],Table2[#Headers],0),0)</f>
        <v>18</v>
      </c>
      <c r="AL398" s="2">
        <f>VLOOKUP([jobnumber],OvalData[],MATCH(Table2[[#Headers],[Numer of Top Slats]],Table2[#Headers],0),0)</f>
        <v>0</v>
      </c>
      <c r="AM398" s="2">
        <f>VLOOKUP([jobnumber],OvalData[],MATCH(Table2[[#Headers],[Number of Bottom Slats]],Table2[#Headers],0),0)</f>
        <v>0</v>
      </c>
      <c r="AN398" s="2">
        <f>VLOOKUP([jobnumber],OvalData[],MATCH(Table2[[#Headers],[Solid Bottom Height]],Table2[#Headers],0),0)</f>
        <v>0</v>
      </c>
      <c r="AO398" s="2" t="str">
        <f>VLOOKUP([jobnumber],OvalData[],MATCH(Table2[[#Headers],[slatlength]],Table2[#Headers],0),0)</f>
        <v xml:space="preserve"> 18 ft.- 5 7/ 8"</v>
      </c>
      <c r="AP398" s="2">
        <f>VLOOKUP([jobnumber],OvalData[],MATCH(Table2[[#Headers],[Bottom Slat Length]],Table2[#Headers],0),0)</f>
        <v>0</v>
      </c>
      <c r="AQ398" s="2">
        <f>VLOOKUP([jobnumber],OvalData[],MATCH(Table2[[#Headers],[Number of Perferated Slats]],Table2[#Headers],0),0)</f>
        <v>0</v>
      </c>
      <c r="AR398" s="2">
        <f>VLOOKUP([jobnumber],OvalData[],MATCH(Table2[[#Headers],[First Preferated Slat From End]],Table2[#Headers],0),0)</f>
        <v>0</v>
      </c>
      <c r="AS398" s="2">
        <f>VLOOKUP([jobnumber],OvalData[],MATCH(Table2[[#Headers],[First Preferated Slat From Bottom]],Table2[#Headers],0),0)</f>
        <v>0</v>
      </c>
      <c r="AT398" s="2">
        <f>VLOOKUP([jobnumber],OvalData[],MATCH(Table2[[#Headers],[Total Number of Slats]],Table2[#Headers],0),0)</f>
        <v>51</v>
      </c>
      <c r="AU398" s="2">
        <f>VLOOKUP([jobnumber],OvalData[],MATCH(Table2[[#Headers],[Bottom Bar Slope]],Table2[#Headers],0),0)</f>
        <v>0</v>
      </c>
      <c r="AV398" s="2">
        <f>VLOOKUP([jobnumber],OvalData[],MATCH(Table2[[#Headers],[Bottom Bar Weight]],Table2[#Headers],0),0)</f>
        <v>80.5</v>
      </c>
      <c r="AW398" s="2" t="str">
        <f>VLOOKUP([jobnumber],OvalData[],MATCH(Table2[[#Headers],[Outer Spring Gage]],Table2[#Headers],0),0)</f>
        <v>Null</v>
      </c>
      <c r="AX398" s="2" t="str">
        <f>VLOOKUP([jobnumber],OvalData[],MATCH(Table2[[#Headers],[Outer Spring OD]],Table2[#Headers],0),0)</f>
        <v>Null</v>
      </c>
      <c r="AY398" s="2" t="str">
        <f>VLOOKUP([jobnumber],OvalData[],MATCH(Table2[[#Headers],[Outer Spring Length]],Table2[#Headers],0),0)</f>
        <v>Null</v>
      </c>
      <c r="AZ398" s="2" t="str">
        <f>VLOOKUP([jobnumber],OvalData[],MATCH(Table2[[#Headers],[Outer Spring Stretch]],Table2[#Headers],0),0)</f>
        <v>Null</v>
      </c>
      <c r="BA398" s="2" t="str">
        <f>VLOOKUP([jobnumber],OvalData[],MATCH(Table2[[#Headers],[Outer Spring Torque]],Table2[#Headers],0),0)</f>
        <v>Null</v>
      </c>
      <c r="BB398" s="2" t="str">
        <f>VLOOKUP([jobnumber],OvalData[],MATCH(Table2[[#Headers],[Outer Spring Max Turns]],Table2[#Headers],0),0)</f>
        <v>Null</v>
      </c>
      <c r="BC398" s="2" t="str">
        <f>VLOOKUP([jobnumber],OvalData[],MATCH(Table2[[#Headers],[Outer Spring Weight]],Table2[#Headers],0),0)</f>
        <v>Null</v>
      </c>
      <c r="BD398" s="2" t="str">
        <f>VLOOKUP([jobnumber],OvalData[],MATCH(Table2[[#Headers],[Inner Spring Gage]],Table2[#Headers],0),0)</f>
        <v>Null</v>
      </c>
      <c r="BE398" s="2" t="str">
        <f>VLOOKUP([jobnumber],OvalData[],MATCH(Table2[[#Headers],[Inner Spring OD]],Table2[#Headers],0),0)</f>
        <v>Null</v>
      </c>
      <c r="BF398" s="2" t="str">
        <f>VLOOKUP([jobnumber],OvalData[],MATCH(Table2[[#Headers],[Inner Spring Length]],Table2[#Headers],0),0)</f>
        <v>Null</v>
      </c>
      <c r="BG398" s="2" t="str">
        <f>VLOOKUP([jobnumber],OvalData[],MATCH(Table2[[#Headers],[Inner Spring Stretch]],Table2[#Headers],0),0)</f>
        <v>Null</v>
      </c>
      <c r="BH398" s="2" t="str">
        <f>VLOOKUP([jobnumber],OvalData[],MATCH(Table2[[#Headers],[Inner Spring Torque]],Table2[#Headers],0),0)</f>
        <v>Null</v>
      </c>
      <c r="BI398" s="2" t="str">
        <f>VLOOKUP([jobnumber],OvalData[],MATCH(Table2[[#Headers],[Inner Spring Max Turns]],Table2[#Headers],0),0)</f>
        <v>Null</v>
      </c>
      <c r="BJ398" s="2" t="str">
        <f>VLOOKUP([jobnumber],OvalData[],MATCH(Table2[[#Headers],[Inner Spring Weight]],Table2[#Headers],0),0)</f>
        <v>Null</v>
      </c>
      <c r="BK398" s="2">
        <f>VLOOKUP([jobnumber],OvalData[],MATCH(Table2[[#Headers],[Cycles]],Table2[#Headers],0),0)</f>
        <v>0</v>
      </c>
      <c r="BL398" s="2">
        <f>VLOOKUP([jobnumber],OvalData[],MATCH(Table2[[#Headers],[Total Spring Torque]],Table2[#Headers],0),0)</f>
        <v>0</v>
      </c>
      <c r="BM398" s="2">
        <f>VLOOKUP([jobnumber],OvalData[],MATCH(Table2[[#Headers],[Total Spring Weight]],Table2[#Headers],0),0)</f>
        <v>0</v>
      </c>
      <c r="BN398" s="2">
        <f>VLOOKUP([jobnumber],OvalData[],MATCH(Table2[[#Headers],[Pipe Weight]],Table2[#Headers],0),0)</f>
        <v>688.24239999999998</v>
      </c>
      <c r="BO398" s="2">
        <f>VLOOKUP([jobnumber],OvalData[],MATCH(Table2[[#Headers],[Max Pipe Deflection]],Table2[#Headers],0),0)</f>
        <v>2309</v>
      </c>
      <c r="BP398" s="2">
        <f>VLOOKUP([jobnumber],OvalData[],MATCH(Table2[[#Headers],[Number Non-Insulated Wrap Slats]],Table2[#Headers],0),0)</f>
        <v>0</v>
      </c>
      <c r="BQ398" s="2">
        <f>VLOOKUP([jobnumber],OvalData[],MATCH(Table2[[#Headers],[Number of Insolated Top Slats]],Table2[#Headers],0),0)</f>
        <v>45</v>
      </c>
      <c r="BR398" s="2">
        <f>VLOOKUP([jobnumber],OvalData[],MATCH(Table2[[#Headers],[Insolated Total Slats]],Table2[#Headers],0),0)</f>
        <v>45</v>
      </c>
      <c r="BS398" s="2">
        <f>VLOOKUP([jobnumber],OvalData[],MATCH(Table2[[#Headers],[Number of Slats]],Table2[#Headers],0),0)</f>
        <v>44.69</v>
      </c>
      <c r="BT398" s="2">
        <f>VLOOKUP([jobnumber],OvalData[],MATCH(Table2[[#Headers],[Wrap]],Table2[#Headers],0),0)</f>
        <v>0</v>
      </c>
      <c r="BU398" s="2">
        <f>VLOOKUP([jobnumber],OvalData[],MATCH(Table2[[#Headers],[Wall Angle Thickness]],Table2[#Headers],0),0)</f>
        <v>0</v>
      </c>
      <c r="BV398" s="2">
        <f>VLOOKUP([jobnumber],OvalData[],MATCH(Table2[[#Headers],[windlocks]],Table2[#Headers],0),0)</f>
        <v>0</v>
      </c>
      <c r="BW398" s="2" t="str">
        <f>VLOOKUP([jobnumber],OvalData[],MATCH(Table2[[#Headers],[bottombartype]],Table2[#Headers],0),0)</f>
        <v>SPECIAL</v>
      </c>
      <c r="BX398" s="2">
        <f>VLOOKUP([jobnumber],OvalData[],MATCH(Table2[[#Headers],[endlockweight]],Table2[#Headers],0),0)</f>
        <v>0.17</v>
      </c>
      <c r="BY398" s="2">
        <f>VLOOKUP([jobnumber],OvalData[],MATCH(Table2[[#Headers],[Endlock Total Weight]],Table2[#Headers],0),0)</f>
        <v>7.5972999999999997</v>
      </c>
      <c r="BZ398" s="2">
        <f>VLOOKUP([jobnumber],OvalData[],MATCH(Table2[[#Headers],[Grille Weight]],Table2[#Headers],0),0)</f>
        <v>0</v>
      </c>
      <c r="CA398" s="2">
        <f>VLOOKUP([jobnumber],OvalData[],MATCH(Table2[[#Headers],[barrelrings]],Table2[#Headers],0),0)</f>
        <v>1</v>
      </c>
    </row>
    <row r="399" spans="2:79">
      <c r="B399" s="2" t="str">
        <f>VLOOKUP([jobnumber],OvalData[],MATCH(Table2[[#Headers],[Hand]],Table2[#Headers],0),0)</f>
        <v>RH</v>
      </c>
      <c r="C399" s="2" t="str">
        <f>VLOOKUP([jobnumber],OvalData[],MATCH(Table2[[#Headers],[Model]],Table2[#Headers],0),0)</f>
        <v>SFMPP</v>
      </c>
      <c r="D399" s="2" t="str">
        <f>VLOOKUP([jobnumber],OvalData[],MATCH(Table2[[#Headers],[width]],Table2[#Headers],0),0)</f>
        <v xml:space="preserve"> 18 ft.- 2"</v>
      </c>
      <c r="E399" s="2" t="str">
        <f>VLOOKUP([jobnumber],OvalData[],MATCH(Table2[[#Headers],[stopheight]],Table2[#Headers],0),0)</f>
        <v xml:space="preserve"> 10 ft.- 0"</v>
      </c>
      <c r="F399" s="2" t="str">
        <f>VLOOKUP([jobnumber],OvalData[],MATCH(Table2[[#Headers],[Between Brackets]],Table2[#Headers],0),0)</f>
        <v xml:space="preserve"> 18 ft.- 7 7/ 8"</v>
      </c>
      <c r="G399" s="2" t="str">
        <f>VLOOKUP([jobnumber],OvalData[],MATCH(Table2[[#Headers],[shell]],Table2[#Headers],0),0)</f>
        <v>6 INCH TUBE</v>
      </c>
      <c r="H399" s="2" t="str">
        <f>VLOOKUP([jobnumber],OvalData[],MATCH(Table2[[#Headers],[pipewidth]],Table2[#Headers],0),0)</f>
        <v xml:space="preserve"> 18 ft.- 1 3/ 8"</v>
      </c>
      <c r="I399" s="2">
        <f>VLOOKUP([jobnumber],OvalData[],MATCH(Table2[[#Headers],[Support Tubes]],Table2[#Headers],0),0)</f>
        <v>0</v>
      </c>
      <c r="J399" s="2">
        <f>VLOOKUP([jobnumber],OvalData[],MATCH(Table2[[#Headers],[Upset]],Table2[#Headers],0),0)</f>
        <v>2</v>
      </c>
      <c r="K399" s="2" t="str">
        <f>VLOOKUP([jobnumber],OvalData[],MATCH(Table2[[#Headers],[Guide Type]],Table2[#Headers],0),0)</f>
        <v>SN2-4 5/8-E</v>
      </c>
      <c r="L399" s="2" t="str">
        <f>VLOOKUP([jobnumber],OvalData[],MATCH(Table2[[#Headers],[Wall Angle]],Table2[#Headers],0),0)</f>
        <v xml:space="preserve"> 11 ft.- 8"</v>
      </c>
      <c r="M399" s="2" t="str">
        <f>VLOOKUP([jobnumber],OvalData[],MATCH(Table2[[#Headers],[Middle Angle]],Table2[#Headers],0),0)</f>
        <v xml:space="preserve"> 10 ft.- 4 1/ 2"</v>
      </c>
      <c r="N399" s="2" t="str">
        <f>VLOOKUP([jobnumber],OvalData[],MATCH(Table2[[#Headers],[Front Angle]],Table2[#Headers],0),0)</f>
        <v xml:space="preserve"> 10 ft.- 3"</v>
      </c>
      <c r="O399" s="2">
        <f>VLOOKUP([jobnumber],OvalData[],MATCH(Table2[[#Headers],[Pipe Center Line]],Table2[#Headers],0),0)</f>
        <v>131</v>
      </c>
      <c r="P399" s="2">
        <f>VLOOKUP([jobnumber],OvalData[],MATCH(Table2[[#Headers],[Heat Expansion Gap]],Table2[#Headers],0),0)</f>
        <v>0</v>
      </c>
      <c r="Q399" s="2">
        <f>VLOOKUP([jobnumber],OvalData[],MATCH(Table2[[#Headers],[Hanging Weight Closed]],Table2[#Headers],0),0)</f>
        <v>795</v>
      </c>
      <c r="R399" s="2">
        <f>VLOOKUP([jobnumber],OvalData[],MATCH(Table2[[#Headers],[Hanging Weight Open]],Table2[#Headers],0),0)</f>
        <v>140</v>
      </c>
      <c r="S399" s="2">
        <f>VLOOKUP([jobnumber],OvalData[],MATCH(Table2[[#Headers],[Initial Lever Arm]],Table2[#Headers],0),0)</f>
        <v>4.25</v>
      </c>
      <c r="T399" s="2">
        <f>VLOOKUP([jobnumber],OvalData[],MATCH(Table2[[#Headers],[Turns to Raise]],Table2[#Headers],0),0)</f>
        <v>3.5859999999999999</v>
      </c>
      <c r="U399" s="2">
        <f>VLOOKUP([jobnumber],OvalData[],MATCH(Table2[[#Headers],[Final Lever Arm]],Table2[#Headers],0),0)</f>
        <v>6.37</v>
      </c>
      <c r="V399" s="2">
        <f>VLOOKUP([jobnumber],OvalData[],MATCH(Table2[[#Headers],[Torque Required Closed]],Table2[#Headers],0),0)</f>
        <v>3377.9</v>
      </c>
      <c r="W399" s="2">
        <f>VLOOKUP([jobnumber],OvalData[],MATCH(Table2[[#Headers],[Torque Required Open]],Table2[#Headers],0),0)</f>
        <v>892</v>
      </c>
      <c r="X399" s="2">
        <f>VLOOKUP([jobnumber],OvalData[],MATCH(Table2[[#Headers],[Pre Turns]],Table2[#Headers],0),0)</f>
        <v>1.3332999999999999</v>
      </c>
      <c r="Y399" s="2">
        <f>VLOOKUP([jobnumber],OvalData[],MATCH(Table2[[#Headers],[Required Torque Per Turn]],Table2[#Headers],0),0)</f>
        <v>688</v>
      </c>
      <c r="Z399" s="2">
        <f>VLOOKUP([jobnumber],OvalData[],MATCH(Table2[[#Headers],[Total Turns]],Table2[#Headers],0),0)</f>
        <v>4.91</v>
      </c>
      <c r="AA399" s="2">
        <f>VLOOKUP([jobnumber],OvalData[],MATCH(Table2[[#Headers],[Grille Vision Section]],Table2[#Headers],0),0)</f>
        <v>0</v>
      </c>
      <c r="AB399" s="2">
        <f>VLOOKUP([jobnumber],OvalData[],MATCH(Table2[[#Headers],[Grille Amount]],Table2[#Headers],0),0)</f>
        <v>0</v>
      </c>
      <c r="AC399" s="2">
        <f>VLOOKUP([jobnumber],OvalData[],MATCH(Table2[[#Headers],[Grille Center]],Table2[#Headers],0),0)</f>
        <v>0</v>
      </c>
      <c r="AD399" s="2">
        <f>VLOOKUP([jobnumber],OvalData[],MATCH(Table2[[#Headers],[Grille Pattern]],Table2[#Headers],0),0)</f>
        <v>0</v>
      </c>
      <c r="AE399" s="2">
        <f>VLOOKUP([jobnumber],OvalData[],MATCH(Table2[[#Headers],[Grille First Tube]],Table2[#Headers],0),0)</f>
        <v>0</v>
      </c>
      <c r="AF399" s="2">
        <f>VLOOKUP([jobnumber],OvalData[],MATCH(Table2[[#Headers],[Grille Standard Tube]],Table2[#Headers],0),0)</f>
        <v>0</v>
      </c>
      <c r="AG399" s="2">
        <f>VLOOKUP([jobnumber],OvalData[],MATCH(Table2[[#Headers],[Grille Total Links]],Table2[#Headers],0),0)</f>
        <v>0</v>
      </c>
      <c r="AH399" s="2">
        <f>VLOOKUP([jobnumber],OvalData[],MATCH(Table2[[#Headers],[Grille Rods]],Table2[#Headers],0),0)</f>
        <v>0</v>
      </c>
      <c r="AI399" s="2">
        <f>VLOOKUP([jobnumber],OvalData[],MATCH(Table2[[#Headers],[Grille Rod Length]],Table2[#Headers],0),0)</f>
        <v>0</v>
      </c>
      <c r="AJ399" s="2">
        <f>VLOOKUP([jobnumber],OvalData[],MATCH(Table2[[#Headers],[slattype]],Table2[#Headers],0),0)</f>
        <v>2</v>
      </c>
      <c r="AK399" s="2">
        <f>VLOOKUP([jobnumber],OvalData[],MATCH(Table2[[#Headers],[slatgage]],Table2[#Headers],0),0)</f>
        <v>18</v>
      </c>
      <c r="AL399" s="2">
        <f>VLOOKUP([jobnumber],OvalData[],MATCH(Table2[[#Headers],[Numer of Top Slats]],Table2[#Headers],0),0)</f>
        <v>0</v>
      </c>
      <c r="AM399" s="2">
        <f>VLOOKUP([jobnumber],OvalData[],MATCH(Table2[[#Headers],[Number of Bottom Slats]],Table2[#Headers],0),0)</f>
        <v>0</v>
      </c>
      <c r="AN399" s="2">
        <f>VLOOKUP([jobnumber],OvalData[],MATCH(Table2[[#Headers],[Solid Bottom Height]],Table2[#Headers],0),0)</f>
        <v>0</v>
      </c>
      <c r="AO399" s="2" t="str">
        <f>VLOOKUP([jobnumber],OvalData[],MATCH(Table2[[#Headers],[slatlength]],Table2[#Headers],0),0)</f>
        <v xml:space="preserve"> 18 ft.- 5 7/ 8"</v>
      </c>
      <c r="AP399" s="2">
        <f>VLOOKUP([jobnumber],OvalData[],MATCH(Table2[[#Headers],[Bottom Slat Length]],Table2[#Headers],0),0)</f>
        <v>0</v>
      </c>
      <c r="AQ399" s="2">
        <f>VLOOKUP([jobnumber],OvalData[],MATCH(Table2[[#Headers],[Number of Perferated Slats]],Table2[#Headers],0),0)</f>
        <v>0</v>
      </c>
      <c r="AR399" s="2">
        <f>VLOOKUP([jobnumber],OvalData[],MATCH(Table2[[#Headers],[First Preferated Slat From End]],Table2[#Headers],0),0)</f>
        <v>0</v>
      </c>
      <c r="AS399" s="2">
        <f>VLOOKUP([jobnumber],OvalData[],MATCH(Table2[[#Headers],[First Preferated Slat From Bottom]],Table2[#Headers],0),0)</f>
        <v>0</v>
      </c>
      <c r="AT399" s="2">
        <f>VLOOKUP([jobnumber],OvalData[],MATCH(Table2[[#Headers],[Total Number of Slats]],Table2[#Headers],0),0)</f>
        <v>51</v>
      </c>
      <c r="AU399" s="2">
        <f>VLOOKUP([jobnumber],OvalData[],MATCH(Table2[[#Headers],[Bottom Bar Slope]],Table2[#Headers],0),0)</f>
        <v>0</v>
      </c>
      <c r="AV399" s="2">
        <f>VLOOKUP([jobnumber],OvalData[],MATCH(Table2[[#Headers],[Bottom Bar Weight]],Table2[#Headers],0),0)</f>
        <v>80.5</v>
      </c>
      <c r="AW399" s="2" t="str">
        <f>VLOOKUP([jobnumber],OvalData[],MATCH(Table2[[#Headers],[Outer Spring Gage]],Table2[#Headers],0),0)</f>
        <v>Null</v>
      </c>
      <c r="AX399" s="2" t="str">
        <f>VLOOKUP([jobnumber],OvalData[],MATCH(Table2[[#Headers],[Outer Spring OD]],Table2[#Headers],0),0)</f>
        <v>Null</v>
      </c>
      <c r="AY399" s="2" t="str">
        <f>VLOOKUP([jobnumber],OvalData[],MATCH(Table2[[#Headers],[Outer Spring Length]],Table2[#Headers],0),0)</f>
        <v>Null</v>
      </c>
      <c r="AZ399" s="2" t="str">
        <f>VLOOKUP([jobnumber],OvalData[],MATCH(Table2[[#Headers],[Outer Spring Stretch]],Table2[#Headers],0),0)</f>
        <v>Null</v>
      </c>
      <c r="BA399" s="2" t="str">
        <f>VLOOKUP([jobnumber],OvalData[],MATCH(Table2[[#Headers],[Outer Spring Torque]],Table2[#Headers],0),0)</f>
        <v>Null</v>
      </c>
      <c r="BB399" s="2" t="str">
        <f>VLOOKUP([jobnumber],OvalData[],MATCH(Table2[[#Headers],[Outer Spring Max Turns]],Table2[#Headers],0),0)</f>
        <v>Null</v>
      </c>
      <c r="BC399" s="2" t="str">
        <f>VLOOKUP([jobnumber],OvalData[],MATCH(Table2[[#Headers],[Outer Spring Weight]],Table2[#Headers],0),0)</f>
        <v>Null</v>
      </c>
      <c r="BD399" s="2" t="str">
        <f>VLOOKUP([jobnumber],OvalData[],MATCH(Table2[[#Headers],[Inner Spring Gage]],Table2[#Headers],0),0)</f>
        <v>Null</v>
      </c>
      <c r="BE399" s="2" t="str">
        <f>VLOOKUP([jobnumber],OvalData[],MATCH(Table2[[#Headers],[Inner Spring OD]],Table2[#Headers],0),0)</f>
        <v>Null</v>
      </c>
      <c r="BF399" s="2" t="str">
        <f>VLOOKUP([jobnumber],OvalData[],MATCH(Table2[[#Headers],[Inner Spring Length]],Table2[#Headers],0),0)</f>
        <v>Null</v>
      </c>
      <c r="BG399" s="2" t="str">
        <f>VLOOKUP([jobnumber],OvalData[],MATCH(Table2[[#Headers],[Inner Spring Stretch]],Table2[#Headers],0),0)</f>
        <v>Null</v>
      </c>
      <c r="BH399" s="2" t="str">
        <f>VLOOKUP([jobnumber],OvalData[],MATCH(Table2[[#Headers],[Inner Spring Torque]],Table2[#Headers],0),0)</f>
        <v>Null</v>
      </c>
      <c r="BI399" s="2" t="str">
        <f>VLOOKUP([jobnumber],OvalData[],MATCH(Table2[[#Headers],[Inner Spring Max Turns]],Table2[#Headers],0),0)</f>
        <v>Null</v>
      </c>
      <c r="BJ399" s="2" t="str">
        <f>VLOOKUP([jobnumber],OvalData[],MATCH(Table2[[#Headers],[Inner Spring Weight]],Table2[#Headers],0),0)</f>
        <v>Null</v>
      </c>
      <c r="BK399" s="2">
        <f>VLOOKUP([jobnumber],OvalData[],MATCH(Table2[[#Headers],[Cycles]],Table2[#Headers],0),0)</f>
        <v>0</v>
      </c>
      <c r="BL399" s="2">
        <f>VLOOKUP([jobnumber],OvalData[],MATCH(Table2[[#Headers],[Total Spring Torque]],Table2[#Headers],0),0)</f>
        <v>0</v>
      </c>
      <c r="BM399" s="2">
        <f>VLOOKUP([jobnumber],OvalData[],MATCH(Table2[[#Headers],[Total Spring Weight]],Table2[#Headers],0),0)</f>
        <v>0</v>
      </c>
      <c r="BN399" s="2">
        <f>VLOOKUP([jobnumber],OvalData[],MATCH(Table2[[#Headers],[Pipe Weight]],Table2[#Headers],0),0)</f>
        <v>688.24239999999998</v>
      </c>
      <c r="BO399" s="2">
        <f>VLOOKUP([jobnumber],OvalData[],MATCH(Table2[[#Headers],[Max Pipe Deflection]],Table2[#Headers],0),0)</f>
        <v>2309</v>
      </c>
      <c r="BP399" s="2">
        <f>VLOOKUP([jobnumber],OvalData[],MATCH(Table2[[#Headers],[Number Non-Insulated Wrap Slats]],Table2[#Headers],0),0)</f>
        <v>0</v>
      </c>
      <c r="BQ399" s="2">
        <f>VLOOKUP([jobnumber],OvalData[],MATCH(Table2[[#Headers],[Number of Insolated Top Slats]],Table2[#Headers],0),0)</f>
        <v>45</v>
      </c>
      <c r="BR399" s="2">
        <f>VLOOKUP([jobnumber],OvalData[],MATCH(Table2[[#Headers],[Insolated Total Slats]],Table2[#Headers],0),0)</f>
        <v>45</v>
      </c>
      <c r="BS399" s="2">
        <f>VLOOKUP([jobnumber],OvalData[],MATCH(Table2[[#Headers],[Number of Slats]],Table2[#Headers],0),0)</f>
        <v>44.69</v>
      </c>
      <c r="BT399" s="2">
        <f>VLOOKUP([jobnumber],OvalData[],MATCH(Table2[[#Headers],[Wrap]],Table2[#Headers],0),0)</f>
        <v>0</v>
      </c>
      <c r="BU399" s="2">
        <f>VLOOKUP([jobnumber],OvalData[],MATCH(Table2[[#Headers],[Wall Angle Thickness]],Table2[#Headers],0),0)</f>
        <v>0</v>
      </c>
      <c r="BV399" s="2">
        <f>VLOOKUP([jobnumber],OvalData[],MATCH(Table2[[#Headers],[windlocks]],Table2[#Headers],0),0)</f>
        <v>0</v>
      </c>
      <c r="BW399" s="2" t="str">
        <f>VLOOKUP([jobnumber],OvalData[],MATCH(Table2[[#Headers],[bottombartype]],Table2[#Headers],0),0)</f>
        <v>SPECIAL</v>
      </c>
      <c r="BX399" s="2">
        <f>VLOOKUP([jobnumber],OvalData[],MATCH(Table2[[#Headers],[endlockweight]],Table2[#Headers],0),0)</f>
        <v>0.17</v>
      </c>
      <c r="BY399" s="2">
        <f>VLOOKUP([jobnumber],OvalData[],MATCH(Table2[[#Headers],[Endlock Total Weight]],Table2[#Headers],0),0)</f>
        <v>7.5972999999999997</v>
      </c>
      <c r="BZ399" s="2">
        <f>VLOOKUP([jobnumber],OvalData[],MATCH(Table2[[#Headers],[Grille Weight]],Table2[#Headers],0),0)</f>
        <v>0</v>
      </c>
      <c r="CA399" s="2">
        <f>VLOOKUP([jobnumber],OvalData[],MATCH(Table2[[#Headers],[barrelrings]],Table2[#Headers],0),0)</f>
        <v>1</v>
      </c>
    </row>
    <row r="400" spans="2:79">
      <c r="B400" s="2" t="str">
        <f>VLOOKUP([jobnumber],OvalData[],MATCH(Table2[[#Headers],[Hand]],Table2[#Headers],0),0)</f>
        <v>RH</v>
      </c>
      <c r="C400" s="2" t="str">
        <f>VLOOKUP([jobnumber],OvalData[],MATCH(Table2[[#Headers],[Model]],Table2[#Headers],0),0)</f>
        <v>SFMPP</v>
      </c>
      <c r="D400" s="2" t="str">
        <f>VLOOKUP([jobnumber],OvalData[],MATCH(Table2[[#Headers],[width]],Table2[#Headers],0),0)</f>
        <v xml:space="preserve"> 18 ft.- 2"</v>
      </c>
      <c r="E400" s="2" t="str">
        <f>VLOOKUP([jobnumber],OvalData[],MATCH(Table2[[#Headers],[stopheight]],Table2[#Headers],0),0)</f>
        <v xml:space="preserve"> 10 ft.- 0"</v>
      </c>
      <c r="F400" s="2" t="str">
        <f>VLOOKUP([jobnumber],OvalData[],MATCH(Table2[[#Headers],[Between Brackets]],Table2[#Headers],0),0)</f>
        <v xml:space="preserve"> 18 ft.- 7 7/ 8"</v>
      </c>
      <c r="G400" s="2" t="str">
        <f>VLOOKUP([jobnumber],OvalData[],MATCH(Table2[[#Headers],[shell]],Table2[#Headers],0),0)</f>
        <v>6 INCH TUBE</v>
      </c>
      <c r="H400" s="2" t="str">
        <f>VLOOKUP([jobnumber],OvalData[],MATCH(Table2[[#Headers],[pipewidth]],Table2[#Headers],0),0)</f>
        <v xml:space="preserve"> 18 ft.- 1 3/ 8"</v>
      </c>
      <c r="I400" s="2">
        <f>VLOOKUP([jobnumber],OvalData[],MATCH(Table2[[#Headers],[Support Tubes]],Table2[#Headers],0),0)</f>
        <v>0</v>
      </c>
      <c r="J400" s="2">
        <f>VLOOKUP([jobnumber],OvalData[],MATCH(Table2[[#Headers],[Upset]],Table2[#Headers],0),0)</f>
        <v>2</v>
      </c>
      <c r="K400" s="2" t="str">
        <f>VLOOKUP([jobnumber],OvalData[],MATCH(Table2[[#Headers],[Guide Type]],Table2[#Headers],0),0)</f>
        <v>SN2-4 5/8-E</v>
      </c>
      <c r="L400" s="2" t="str">
        <f>VLOOKUP([jobnumber],OvalData[],MATCH(Table2[[#Headers],[Wall Angle]],Table2[#Headers],0),0)</f>
        <v xml:space="preserve"> 11 ft.- 8"</v>
      </c>
      <c r="M400" s="2" t="str">
        <f>VLOOKUP([jobnumber],OvalData[],MATCH(Table2[[#Headers],[Middle Angle]],Table2[#Headers],0),0)</f>
        <v xml:space="preserve"> 10 ft.- 4 1/ 2"</v>
      </c>
      <c r="N400" s="2" t="str">
        <f>VLOOKUP([jobnumber],OvalData[],MATCH(Table2[[#Headers],[Front Angle]],Table2[#Headers],0),0)</f>
        <v xml:space="preserve"> 10 ft.- 3"</v>
      </c>
      <c r="O400" s="2">
        <f>VLOOKUP([jobnumber],OvalData[],MATCH(Table2[[#Headers],[Pipe Center Line]],Table2[#Headers],0),0)</f>
        <v>131</v>
      </c>
      <c r="P400" s="2">
        <f>VLOOKUP([jobnumber],OvalData[],MATCH(Table2[[#Headers],[Heat Expansion Gap]],Table2[#Headers],0),0)</f>
        <v>0</v>
      </c>
      <c r="Q400" s="2">
        <f>VLOOKUP([jobnumber],OvalData[],MATCH(Table2[[#Headers],[Hanging Weight Closed]],Table2[#Headers],0),0)</f>
        <v>795</v>
      </c>
      <c r="R400" s="2">
        <f>VLOOKUP([jobnumber],OvalData[],MATCH(Table2[[#Headers],[Hanging Weight Open]],Table2[#Headers],0),0)</f>
        <v>140</v>
      </c>
      <c r="S400" s="2">
        <f>VLOOKUP([jobnumber],OvalData[],MATCH(Table2[[#Headers],[Initial Lever Arm]],Table2[#Headers],0),0)</f>
        <v>4.25</v>
      </c>
      <c r="T400" s="2">
        <f>VLOOKUP([jobnumber],OvalData[],MATCH(Table2[[#Headers],[Turns to Raise]],Table2[#Headers],0),0)</f>
        <v>3.5859999999999999</v>
      </c>
      <c r="U400" s="2">
        <f>VLOOKUP([jobnumber],OvalData[],MATCH(Table2[[#Headers],[Final Lever Arm]],Table2[#Headers],0),0)</f>
        <v>6.37</v>
      </c>
      <c r="V400" s="2">
        <f>VLOOKUP([jobnumber],OvalData[],MATCH(Table2[[#Headers],[Torque Required Closed]],Table2[#Headers],0),0)</f>
        <v>3377.9</v>
      </c>
      <c r="W400" s="2">
        <f>VLOOKUP([jobnumber],OvalData[],MATCH(Table2[[#Headers],[Torque Required Open]],Table2[#Headers],0),0)</f>
        <v>892</v>
      </c>
      <c r="X400" s="2">
        <f>VLOOKUP([jobnumber],OvalData[],MATCH(Table2[[#Headers],[Pre Turns]],Table2[#Headers],0),0)</f>
        <v>1.3332999999999999</v>
      </c>
      <c r="Y400" s="2">
        <f>VLOOKUP([jobnumber],OvalData[],MATCH(Table2[[#Headers],[Required Torque Per Turn]],Table2[#Headers],0),0)</f>
        <v>688</v>
      </c>
      <c r="Z400" s="2">
        <f>VLOOKUP([jobnumber],OvalData[],MATCH(Table2[[#Headers],[Total Turns]],Table2[#Headers],0),0)</f>
        <v>4.91</v>
      </c>
      <c r="AA400" s="2">
        <f>VLOOKUP([jobnumber],OvalData[],MATCH(Table2[[#Headers],[Grille Vision Section]],Table2[#Headers],0),0)</f>
        <v>0</v>
      </c>
      <c r="AB400" s="2">
        <f>VLOOKUP([jobnumber],OvalData[],MATCH(Table2[[#Headers],[Grille Amount]],Table2[#Headers],0),0)</f>
        <v>0</v>
      </c>
      <c r="AC400" s="2">
        <f>VLOOKUP([jobnumber],OvalData[],MATCH(Table2[[#Headers],[Grille Center]],Table2[#Headers],0),0)</f>
        <v>0</v>
      </c>
      <c r="AD400" s="2">
        <f>VLOOKUP([jobnumber],OvalData[],MATCH(Table2[[#Headers],[Grille Pattern]],Table2[#Headers],0),0)</f>
        <v>0</v>
      </c>
      <c r="AE400" s="2">
        <f>VLOOKUP([jobnumber],OvalData[],MATCH(Table2[[#Headers],[Grille First Tube]],Table2[#Headers],0),0)</f>
        <v>0</v>
      </c>
      <c r="AF400" s="2">
        <f>VLOOKUP([jobnumber],OvalData[],MATCH(Table2[[#Headers],[Grille Standard Tube]],Table2[#Headers],0),0)</f>
        <v>0</v>
      </c>
      <c r="AG400" s="2">
        <f>VLOOKUP([jobnumber],OvalData[],MATCH(Table2[[#Headers],[Grille Total Links]],Table2[#Headers],0),0)</f>
        <v>0</v>
      </c>
      <c r="AH400" s="2">
        <f>VLOOKUP([jobnumber],OvalData[],MATCH(Table2[[#Headers],[Grille Rods]],Table2[#Headers],0),0)</f>
        <v>0</v>
      </c>
      <c r="AI400" s="2">
        <f>VLOOKUP([jobnumber],OvalData[],MATCH(Table2[[#Headers],[Grille Rod Length]],Table2[#Headers],0),0)</f>
        <v>0</v>
      </c>
      <c r="AJ400" s="2">
        <f>VLOOKUP([jobnumber],OvalData[],MATCH(Table2[[#Headers],[slattype]],Table2[#Headers],0),0)</f>
        <v>2</v>
      </c>
      <c r="AK400" s="2">
        <f>VLOOKUP([jobnumber],OvalData[],MATCH(Table2[[#Headers],[slatgage]],Table2[#Headers],0),0)</f>
        <v>18</v>
      </c>
      <c r="AL400" s="2">
        <f>VLOOKUP([jobnumber],OvalData[],MATCH(Table2[[#Headers],[Numer of Top Slats]],Table2[#Headers],0),0)</f>
        <v>0</v>
      </c>
      <c r="AM400" s="2">
        <f>VLOOKUP([jobnumber],OvalData[],MATCH(Table2[[#Headers],[Number of Bottom Slats]],Table2[#Headers],0),0)</f>
        <v>0</v>
      </c>
      <c r="AN400" s="2">
        <f>VLOOKUP([jobnumber],OvalData[],MATCH(Table2[[#Headers],[Solid Bottom Height]],Table2[#Headers],0),0)</f>
        <v>0</v>
      </c>
      <c r="AO400" s="2" t="str">
        <f>VLOOKUP([jobnumber],OvalData[],MATCH(Table2[[#Headers],[slatlength]],Table2[#Headers],0),0)</f>
        <v xml:space="preserve"> 18 ft.- 5 7/ 8"</v>
      </c>
      <c r="AP400" s="2">
        <f>VLOOKUP([jobnumber],OvalData[],MATCH(Table2[[#Headers],[Bottom Slat Length]],Table2[#Headers],0),0)</f>
        <v>0</v>
      </c>
      <c r="AQ400" s="2">
        <f>VLOOKUP([jobnumber],OvalData[],MATCH(Table2[[#Headers],[Number of Perferated Slats]],Table2[#Headers],0),0)</f>
        <v>0</v>
      </c>
      <c r="AR400" s="2">
        <f>VLOOKUP([jobnumber],OvalData[],MATCH(Table2[[#Headers],[First Preferated Slat From End]],Table2[#Headers],0),0)</f>
        <v>0</v>
      </c>
      <c r="AS400" s="2">
        <f>VLOOKUP([jobnumber],OvalData[],MATCH(Table2[[#Headers],[First Preferated Slat From Bottom]],Table2[#Headers],0),0)</f>
        <v>0</v>
      </c>
      <c r="AT400" s="2">
        <f>VLOOKUP([jobnumber],OvalData[],MATCH(Table2[[#Headers],[Total Number of Slats]],Table2[#Headers],0),0)</f>
        <v>51</v>
      </c>
      <c r="AU400" s="2">
        <f>VLOOKUP([jobnumber],OvalData[],MATCH(Table2[[#Headers],[Bottom Bar Slope]],Table2[#Headers],0),0)</f>
        <v>0</v>
      </c>
      <c r="AV400" s="2">
        <f>VLOOKUP([jobnumber],OvalData[],MATCH(Table2[[#Headers],[Bottom Bar Weight]],Table2[#Headers],0),0)</f>
        <v>80.5</v>
      </c>
      <c r="AW400" s="2" t="str">
        <f>VLOOKUP([jobnumber],OvalData[],MATCH(Table2[[#Headers],[Outer Spring Gage]],Table2[#Headers],0),0)</f>
        <v>Null</v>
      </c>
      <c r="AX400" s="2" t="str">
        <f>VLOOKUP([jobnumber],OvalData[],MATCH(Table2[[#Headers],[Outer Spring OD]],Table2[#Headers],0),0)</f>
        <v>Null</v>
      </c>
      <c r="AY400" s="2" t="str">
        <f>VLOOKUP([jobnumber],OvalData[],MATCH(Table2[[#Headers],[Outer Spring Length]],Table2[#Headers],0),0)</f>
        <v>Null</v>
      </c>
      <c r="AZ400" s="2" t="str">
        <f>VLOOKUP([jobnumber],OvalData[],MATCH(Table2[[#Headers],[Outer Spring Stretch]],Table2[#Headers],0),0)</f>
        <v>Null</v>
      </c>
      <c r="BA400" s="2" t="str">
        <f>VLOOKUP([jobnumber],OvalData[],MATCH(Table2[[#Headers],[Outer Spring Torque]],Table2[#Headers],0),0)</f>
        <v>Null</v>
      </c>
      <c r="BB400" s="2" t="str">
        <f>VLOOKUP([jobnumber],OvalData[],MATCH(Table2[[#Headers],[Outer Spring Max Turns]],Table2[#Headers],0),0)</f>
        <v>Null</v>
      </c>
      <c r="BC400" s="2" t="str">
        <f>VLOOKUP([jobnumber],OvalData[],MATCH(Table2[[#Headers],[Outer Spring Weight]],Table2[#Headers],0),0)</f>
        <v>Null</v>
      </c>
      <c r="BD400" s="2" t="str">
        <f>VLOOKUP([jobnumber],OvalData[],MATCH(Table2[[#Headers],[Inner Spring Gage]],Table2[#Headers],0),0)</f>
        <v>Null</v>
      </c>
      <c r="BE400" s="2" t="str">
        <f>VLOOKUP([jobnumber],OvalData[],MATCH(Table2[[#Headers],[Inner Spring OD]],Table2[#Headers],0),0)</f>
        <v>Null</v>
      </c>
      <c r="BF400" s="2" t="str">
        <f>VLOOKUP([jobnumber],OvalData[],MATCH(Table2[[#Headers],[Inner Spring Length]],Table2[#Headers],0),0)</f>
        <v>Null</v>
      </c>
      <c r="BG400" s="2" t="str">
        <f>VLOOKUP([jobnumber],OvalData[],MATCH(Table2[[#Headers],[Inner Spring Stretch]],Table2[#Headers],0),0)</f>
        <v>Null</v>
      </c>
      <c r="BH400" s="2" t="str">
        <f>VLOOKUP([jobnumber],OvalData[],MATCH(Table2[[#Headers],[Inner Spring Torque]],Table2[#Headers],0),0)</f>
        <v>Null</v>
      </c>
      <c r="BI400" s="2" t="str">
        <f>VLOOKUP([jobnumber],OvalData[],MATCH(Table2[[#Headers],[Inner Spring Max Turns]],Table2[#Headers],0),0)</f>
        <v>Null</v>
      </c>
      <c r="BJ400" s="2" t="str">
        <f>VLOOKUP([jobnumber],OvalData[],MATCH(Table2[[#Headers],[Inner Spring Weight]],Table2[#Headers],0),0)</f>
        <v>Null</v>
      </c>
      <c r="BK400" s="2">
        <f>VLOOKUP([jobnumber],OvalData[],MATCH(Table2[[#Headers],[Cycles]],Table2[#Headers],0),0)</f>
        <v>0</v>
      </c>
      <c r="BL400" s="2">
        <f>VLOOKUP([jobnumber],OvalData[],MATCH(Table2[[#Headers],[Total Spring Torque]],Table2[#Headers],0),0)</f>
        <v>0</v>
      </c>
      <c r="BM400" s="2">
        <f>VLOOKUP([jobnumber],OvalData[],MATCH(Table2[[#Headers],[Total Spring Weight]],Table2[#Headers],0),0)</f>
        <v>0</v>
      </c>
      <c r="BN400" s="2">
        <f>VLOOKUP([jobnumber],OvalData[],MATCH(Table2[[#Headers],[Pipe Weight]],Table2[#Headers],0),0)</f>
        <v>688.24239999999998</v>
      </c>
      <c r="BO400" s="2">
        <f>VLOOKUP([jobnumber],OvalData[],MATCH(Table2[[#Headers],[Max Pipe Deflection]],Table2[#Headers],0),0)</f>
        <v>2309</v>
      </c>
      <c r="BP400" s="2">
        <f>VLOOKUP([jobnumber],OvalData[],MATCH(Table2[[#Headers],[Number Non-Insulated Wrap Slats]],Table2[#Headers],0),0)</f>
        <v>0</v>
      </c>
      <c r="BQ400" s="2">
        <f>VLOOKUP([jobnumber],OvalData[],MATCH(Table2[[#Headers],[Number of Insolated Top Slats]],Table2[#Headers],0),0)</f>
        <v>45</v>
      </c>
      <c r="BR400" s="2">
        <f>VLOOKUP([jobnumber],OvalData[],MATCH(Table2[[#Headers],[Insolated Total Slats]],Table2[#Headers],0),0)</f>
        <v>45</v>
      </c>
      <c r="BS400" s="2">
        <f>VLOOKUP([jobnumber],OvalData[],MATCH(Table2[[#Headers],[Number of Slats]],Table2[#Headers],0),0)</f>
        <v>44.69</v>
      </c>
      <c r="BT400" s="2">
        <f>VLOOKUP([jobnumber],OvalData[],MATCH(Table2[[#Headers],[Wrap]],Table2[#Headers],0),0)</f>
        <v>0</v>
      </c>
      <c r="BU400" s="2">
        <f>VLOOKUP([jobnumber],OvalData[],MATCH(Table2[[#Headers],[Wall Angle Thickness]],Table2[#Headers],0),0)</f>
        <v>0</v>
      </c>
      <c r="BV400" s="2">
        <f>VLOOKUP([jobnumber],OvalData[],MATCH(Table2[[#Headers],[windlocks]],Table2[#Headers],0),0)</f>
        <v>0</v>
      </c>
      <c r="BW400" s="2" t="str">
        <f>VLOOKUP([jobnumber],OvalData[],MATCH(Table2[[#Headers],[bottombartype]],Table2[#Headers],0),0)</f>
        <v>SPECIAL</v>
      </c>
      <c r="BX400" s="2">
        <f>VLOOKUP([jobnumber],OvalData[],MATCH(Table2[[#Headers],[endlockweight]],Table2[#Headers],0),0)</f>
        <v>0.17</v>
      </c>
      <c r="BY400" s="2">
        <f>VLOOKUP([jobnumber],OvalData[],MATCH(Table2[[#Headers],[Endlock Total Weight]],Table2[#Headers],0),0)</f>
        <v>7.5972999999999997</v>
      </c>
      <c r="BZ400" s="2">
        <f>VLOOKUP([jobnumber],OvalData[],MATCH(Table2[[#Headers],[Grille Weight]],Table2[#Headers],0),0)</f>
        <v>0</v>
      </c>
      <c r="CA400" s="2">
        <f>VLOOKUP([jobnumber],OvalData[],MATCH(Table2[[#Headers],[barrelrings]],Table2[#Headers],0),0)</f>
        <v>1</v>
      </c>
    </row>
    <row r="401" spans="2:79">
      <c r="B401" s="2" t="str">
        <f>VLOOKUP([jobnumber],OvalData[],MATCH(Table2[[#Headers],[Hand]],Table2[#Headers],0),0)</f>
        <v>RH</v>
      </c>
      <c r="C401" s="2" t="str">
        <f>VLOOKUP([jobnumber],OvalData[],MATCH(Table2[[#Headers],[Model]],Table2[#Headers],0),0)</f>
        <v>SFMPP</v>
      </c>
      <c r="D401" s="2" t="str">
        <f>VLOOKUP([jobnumber],OvalData[],MATCH(Table2[[#Headers],[width]],Table2[#Headers],0),0)</f>
        <v xml:space="preserve"> 18 ft.- 2"</v>
      </c>
      <c r="E401" s="2" t="str">
        <f>VLOOKUP([jobnumber],OvalData[],MATCH(Table2[[#Headers],[stopheight]],Table2[#Headers],0),0)</f>
        <v xml:space="preserve"> 10 ft.- 0"</v>
      </c>
      <c r="F401" s="2" t="str">
        <f>VLOOKUP([jobnumber],OvalData[],MATCH(Table2[[#Headers],[Between Brackets]],Table2[#Headers],0),0)</f>
        <v xml:space="preserve"> 18 ft.- 7 7/ 8"</v>
      </c>
      <c r="G401" s="2" t="str">
        <f>VLOOKUP([jobnumber],OvalData[],MATCH(Table2[[#Headers],[shell]],Table2[#Headers],0),0)</f>
        <v>6 INCH TUBE</v>
      </c>
      <c r="H401" s="2" t="str">
        <f>VLOOKUP([jobnumber],OvalData[],MATCH(Table2[[#Headers],[pipewidth]],Table2[#Headers],0),0)</f>
        <v xml:space="preserve"> 18 ft.- 1 3/ 8"</v>
      </c>
      <c r="I401" s="2">
        <f>VLOOKUP([jobnumber],OvalData[],MATCH(Table2[[#Headers],[Support Tubes]],Table2[#Headers],0),0)</f>
        <v>0</v>
      </c>
      <c r="J401" s="2">
        <f>VLOOKUP([jobnumber],OvalData[],MATCH(Table2[[#Headers],[Upset]],Table2[#Headers],0),0)</f>
        <v>2</v>
      </c>
      <c r="K401" s="2" t="str">
        <f>VLOOKUP([jobnumber],OvalData[],MATCH(Table2[[#Headers],[Guide Type]],Table2[#Headers],0),0)</f>
        <v>SN2-4 5/8-E</v>
      </c>
      <c r="L401" s="2" t="str">
        <f>VLOOKUP([jobnumber],OvalData[],MATCH(Table2[[#Headers],[Wall Angle]],Table2[#Headers],0),0)</f>
        <v xml:space="preserve"> 11 ft.- 8"</v>
      </c>
      <c r="M401" s="2" t="str">
        <f>VLOOKUP([jobnumber],OvalData[],MATCH(Table2[[#Headers],[Middle Angle]],Table2[#Headers],0),0)</f>
        <v xml:space="preserve"> 10 ft.- 4 1/ 2"</v>
      </c>
      <c r="N401" s="2" t="str">
        <f>VLOOKUP([jobnumber],OvalData[],MATCH(Table2[[#Headers],[Front Angle]],Table2[#Headers],0),0)</f>
        <v xml:space="preserve"> 10 ft.- 3"</v>
      </c>
      <c r="O401" s="2">
        <f>VLOOKUP([jobnumber],OvalData[],MATCH(Table2[[#Headers],[Pipe Center Line]],Table2[#Headers],0),0)</f>
        <v>131</v>
      </c>
      <c r="P401" s="2">
        <f>VLOOKUP([jobnumber],OvalData[],MATCH(Table2[[#Headers],[Heat Expansion Gap]],Table2[#Headers],0),0)</f>
        <v>0</v>
      </c>
      <c r="Q401" s="2">
        <f>VLOOKUP([jobnumber],OvalData[],MATCH(Table2[[#Headers],[Hanging Weight Closed]],Table2[#Headers],0),0)</f>
        <v>795</v>
      </c>
      <c r="R401" s="2">
        <f>VLOOKUP([jobnumber],OvalData[],MATCH(Table2[[#Headers],[Hanging Weight Open]],Table2[#Headers],0),0)</f>
        <v>140</v>
      </c>
      <c r="S401" s="2">
        <f>VLOOKUP([jobnumber],OvalData[],MATCH(Table2[[#Headers],[Initial Lever Arm]],Table2[#Headers],0),0)</f>
        <v>4.25</v>
      </c>
      <c r="T401" s="2">
        <f>VLOOKUP([jobnumber],OvalData[],MATCH(Table2[[#Headers],[Turns to Raise]],Table2[#Headers],0),0)</f>
        <v>3.5859999999999999</v>
      </c>
      <c r="U401" s="2">
        <f>VLOOKUP([jobnumber],OvalData[],MATCH(Table2[[#Headers],[Final Lever Arm]],Table2[#Headers],0),0)</f>
        <v>6.37</v>
      </c>
      <c r="V401" s="2">
        <f>VLOOKUP([jobnumber],OvalData[],MATCH(Table2[[#Headers],[Torque Required Closed]],Table2[#Headers],0),0)</f>
        <v>3377.9</v>
      </c>
      <c r="W401" s="2">
        <f>VLOOKUP([jobnumber],OvalData[],MATCH(Table2[[#Headers],[Torque Required Open]],Table2[#Headers],0),0)</f>
        <v>892</v>
      </c>
      <c r="X401" s="2">
        <f>VLOOKUP([jobnumber],OvalData[],MATCH(Table2[[#Headers],[Pre Turns]],Table2[#Headers],0),0)</f>
        <v>1.3332999999999999</v>
      </c>
      <c r="Y401" s="2">
        <f>VLOOKUP([jobnumber],OvalData[],MATCH(Table2[[#Headers],[Required Torque Per Turn]],Table2[#Headers],0),0)</f>
        <v>688</v>
      </c>
      <c r="Z401" s="2">
        <f>VLOOKUP([jobnumber],OvalData[],MATCH(Table2[[#Headers],[Total Turns]],Table2[#Headers],0),0)</f>
        <v>4.91</v>
      </c>
      <c r="AA401" s="2">
        <f>VLOOKUP([jobnumber],OvalData[],MATCH(Table2[[#Headers],[Grille Vision Section]],Table2[#Headers],0),0)</f>
        <v>0</v>
      </c>
      <c r="AB401" s="2">
        <f>VLOOKUP([jobnumber],OvalData[],MATCH(Table2[[#Headers],[Grille Amount]],Table2[#Headers],0),0)</f>
        <v>0</v>
      </c>
      <c r="AC401" s="2">
        <f>VLOOKUP([jobnumber],OvalData[],MATCH(Table2[[#Headers],[Grille Center]],Table2[#Headers],0),0)</f>
        <v>0</v>
      </c>
      <c r="AD401" s="2">
        <f>VLOOKUP([jobnumber],OvalData[],MATCH(Table2[[#Headers],[Grille Pattern]],Table2[#Headers],0),0)</f>
        <v>0</v>
      </c>
      <c r="AE401" s="2">
        <f>VLOOKUP([jobnumber],OvalData[],MATCH(Table2[[#Headers],[Grille First Tube]],Table2[#Headers],0),0)</f>
        <v>0</v>
      </c>
      <c r="AF401" s="2">
        <f>VLOOKUP([jobnumber],OvalData[],MATCH(Table2[[#Headers],[Grille Standard Tube]],Table2[#Headers],0),0)</f>
        <v>0</v>
      </c>
      <c r="AG401" s="2">
        <f>VLOOKUP([jobnumber],OvalData[],MATCH(Table2[[#Headers],[Grille Total Links]],Table2[#Headers],0),0)</f>
        <v>0</v>
      </c>
      <c r="AH401" s="2">
        <f>VLOOKUP([jobnumber],OvalData[],MATCH(Table2[[#Headers],[Grille Rods]],Table2[#Headers],0),0)</f>
        <v>0</v>
      </c>
      <c r="AI401" s="2">
        <f>VLOOKUP([jobnumber],OvalData[],MATCH(Table2[[#Headers],[Grille Rod Length]],Table2[#Headers],0),0)</f>
        <v>0</v>
      </c>
      <c r="AJ401" s="2">
        <f>VLOOKUP([jobnumber],OvalData[],MATCH(Table2[[#Headers],[slattype]],Table2[#Headers],0),0)</f>
        <v>2</v>
      </c>
      <c r="AK401" s="2">
        <f>VLOOKUP([jobnumber],OvalData[],MATCH(Table2[[#Headers],[slatgage]],Table2[#Headers],0),0)</f>
        <v>18</v>
      </c>
      <c r="AL401" s="2">
        <f>VLOOKUP([jobnumber],OvalData[],MATCH(Table2[[#Headers],[Numer of Top Slats]],Table2[#Headers],0),0)</f>
        <v>0</v>
      </c>
      <c r="AM401" s="2">
        <f>VLOOKUP([jobnumber],OvalData[],MATCH(Table2[[#Headers],[Number of Bottom Slats]],Table2[#Headers],0),0)</f>
        <v>0</v>
      </c>
      <c r="AN401" s="2">
        <f>VLOOKUP([jobnumber],OvalData[],MATCH(Table2[[#Headers],[Solid Bottom Height]],Table2[#Headers],0),0)</f>
        <v>0</v>
      </c>
      <c r="AO401" s="2" t="str">
        <f>VLOOKUP([jobnumber],OvalData[],MATCH(Table2[[#Headers],[slatlength]],Table2[#Headers],0),0)</f>
        <v xml:space="preserve"> 18 ft.- 5 7/ 8"</v>
      </c>
      <c r="AP401" s="2">
        <f>VLOOKUP([jobnumber],OvalData[],MATCH(Table2[[#Headers],[Bottom Slat Length]],Table2[#Headers],0),0)</f>
        <v>0</v>
      </c>
      <c r="AQ401" s="2">
        <f>VLOOKUP([jobnumber],OvalData[],MATCH(Table2[[#Headers],[Number of Perferated Slats]],Table2[#Headers],0),0)</f>
        <v>0</v>
      </c>
      <c r="AR401" s="2">
        <f>VLOOKUP([jobnumber],OvalData[],MATCH(Table2[[#Headers],[First Preferated Slat From End]],Table2[#Headers],0),0)</f>
        <v>0</v>
      </c>
      <c r="AS401" s="2">
        <f>VLOOKUP([jobnumber],OvalData[],MATCH(Table2[[#Headers],[First Preferated Slat From Bottom]],Table2[#Headers],0),0)</f>
        <v>0</v>
      </c>
      <c r="AT401" s="2">
        <f>VLOOKUP([jobnumber],OvalData[],MATCH(Table2[[#Headers],[Total Number of Slats]],Table2[#Headers],0),0)</f>
        <v>51</v>
      </c>
      <c r="AU401" s="2">
        <f>VLOOKUP([jobnumber],OvalData[],MATCH(Table2[[#Headers],[Bottom Bar Slope]],Table2[#Headers],0),0)</f>
        <v>0</v>
      </c>
      <c r="AV401" s="2">
        <f>VLOOKUP([jobnumber],OvalData[],MATCH(Table2[[#Headers],[Bottom Bar Weight]],Table2[#Headers],0),0)</f>
        <v>80.5</v>
      </c>
      <c r="AW401" s="2" t="str">
        <f>VLOOKUP([jobnumber],OvalData[],MATCH(Table2[[#Headers],[Outer Spring Gage]],Table2[#Headers],0),0)</f>
        <v>Null</v>
      </c>
      <c r="AX401" s="2" t="str">
        <f>VLOOKUP([jobnumber],OvalData[],MATCH(Table2[[#Headers],[Outer Spring OD]],Table2[#Headers],0),0)</f>
        <v>Null</v>
      </c>
      <c r="AY401" s="2" t="str">
        <f>VLOOKUP([jobnumber],OvalData[],MATCH(Table2[[#Headers],[Outer Spring Length]],Table2[#Headers],0),0)</f>
        <v>Null</v>
      </c>
      <c r="AZ401" s="2" t="str">
        <f>VLOOKUP([jobnumber],OvalData[],MATCH(Table2[[#Headers],[Outer Spring Stretch]],Table2[#Headers],0),0)</f>
        <v>Null</v>
      </c>
      <c r="BA401" s="2" t="str">
        <f>VLOOKUP([jobnumber],OvalData[],MATCH(Table2[[#Headers],[Outer Spring Torque]],Table2[#Headers],0),0)</f>
        <v>Null</v>
      </c>
      <c r="BB401" s="2" t="str">
        <f>VLOOKUP([jobnumber],OvalData[],MATCH(Table2[[#Headers],[Outer Spring Max Turns]],Table2[#Headers],0),0)</f>
        <v>Null</v>
      </c>
      <c r="BC401" s="2" t="str">
        <f>VLOOKUP([jobnumber],OvalData[],MATCH(Table2[[#Headers],[Outer Spring Weight]],Table2[#Headers],0),0)</f>
        <v>Null</v>
      </c>
      <c r="BD401" s="2" t="str">
        <f>VLOOKUP([jobnumber],OvalData[],MATCH(Table2[[#Headers],[Inner Spring Gage]],Table2[#Headers],0),0)</f>
        <v>Null</v>
      </c>
      <c r="BE401" s="2" t="str">
        <f>VLOOKUP([jobnumber],OvalData[],MATCH(Table2[[#Headers],[Inner Spring OD]],Table2[#Headers],0),0)</f>
        <v>Null</v>
      </c>
      <c r="BF401" s="2" t="str">
        <f>VLOOKUP([jobnumber],OvalData[],MATCH(Table2[[#Headers],[Inner Spring Length]],Table2[#Headers],0),0)</f>
        <v>Null</v>
      </c>
      <c r="BG401" s="2" t="str">
        <f>VLOOKUP([jobnumber],OvalData[],MATCH(Table2[[#Headers],[Inner Spring Stretch]],Table2[#Headers],0),0)</f>
        <v>Null</v>
      </c>
      <c r="BH401" s="2" t="str">
        <f>VLOOKUP([jobnumber],OvalData[],MATCH(Table2[[#Headers],[Inner Spring Torque]],Table2[#Headers],0),0)</f>
        <v>Null</v>
      </c>
      <c r="BI401" s="2" t="str">
        <f>VLOOKUP([jobnumber],OvalData[],MATCH(Table2[[#Headers],[Inner Spring Max Turns]],Table2[#Headers],0),0)</f>
        <v>Null</v>
      </c>
      <c r="BJ401" s="2" t="str">
        <f>VLOOKUP([jobnumber],OvalData[],MATCH(Table2[[#Headers],[Inner Spring Weight]],Table2[#Headers],0),0)</f>
        <v>Null</v>
      </c>
      <c r="BK401" s="2">
        <f>VLOOKUP([jobnumber],OvalData[],MATCH(Table2[[#Headers],[Cycles]],Table2[#Headers],0),0)</f>
        <v>0</v>
      </c>
      <c r="BL401" s="2">
        <f>VLOOKUP([jobnumber],OvalData[],MATCH(Table2[[#Headers],[Total Spring Torque]],Table2[#Headers],0),0)</f>
        <v>0</v>
      </c>
      <c r="BM401" s="2">
        <f>VLOOKUP([jobnumber],OvalData[],MATCH(Table2[[#Headers],[Total Spring Weight]],Table2[#Headers],0),0)</f>
        <v>0</v>
      </c>
      <c r="BN401" s="2">
        <f>VLOOKUP([jobnumber],OvalData[],MATCH(Table2[[#Headers],[Pipe Weight]],Table2[#Headers],0),0)</f>
        <v>688.24239999999998</v>
      </c>
      <c r="BO401" s="2">
        <f>VLOOKUP([jobnumber],OvalData[],MATCH(Table2[[#Headers],[Max Pipe Deflection]],Table2[#Headers],0),0)</f>
        <v>2309</v>
      </c>
      <c r="BP401" s="2">
        <f>VLOOKUP([jobnumber],OvalData[],MATCH(Table2[[#Headers],[Number Non-Insulated Wrap Slats]],Table2[#Headers],0),0)</f>
        <v>0</v>
      </c>
      <c r="BQ401" s="2">
        <f>VLOOKUP([jobnumber],OvalData[],MATCH(Table2[[#Headers],[Number of Insolated Top Slats]],Table2[#Headers],0),0)</f>
        <v>45</v>
      </c>
      <c r="BR401" s="2">
        <f>VLOOKUP([jobnumber],OvalData[],MATCH(Table2[[#Headers],[Insolated Total Slats]],Table2[#Headers],0),0)</f>
        <v>45</v>
      </c>
      <c r="BS401" s="2">
        <f>VLOOKUP([jobnumber],OvalData[],MATCH(Table2[[#Headers],[Number of Slats]],Table2[#Headers],0),0)</f>
        <v>44.69</v>
      </c>
      <c r="BT401" s="2">
        <f>VLOOKUP([jobnumber],OvalData[],MATCH(Table2[[#Headers],[Wrap]],Table2[#Headers],0),0)</f>
        <v>0</v>
      </c>
      <c r="BU401" s="2">
        <f>VLOOKUP([jobnumber],OvalData[],MATCH(Table2[[#Headers],[Wall Angle Thickness]],Table2[#Headers],0),0)</f>
        <v>0</v>
      </c>
      <c r="BV401" s="2">
        <f>VLOOKUP([jobnumber],OvalData[],MATCH(Table2[[#Headers],[windlocks]],Table2[#Headers],0),0)</f>
        <v>0</v>
      </c>
      <c r="BW401" s="2" t="str">
        <f>VLOOKUP([jobnumber],OvalData[],MATCH(Table2[[#Headers],[bottombartype]],Table2[#Headers],0),0)</f>
        <v>SPECIAL</v>
      </c>
      <c r="BX401" s="2">
        <f>VLOOKUP([jobnumber],OvalData[],MATCH(Table2[[#Headers],[endlockweight]],Table2[#Headers],0),0)</f>
        <v>0.17</v>
      </c>
      <c r="BY401" s="2">
        <f>VLOOKUP([jobnumber],OvalData[],MATCH(Table2[[#Headers],[Endlock Total Weight]],Table2[#Headers],0),0)</f>
        <v>7.5972999999999997</v>
      </c>
      <c r="BZ401" s="2">
        <f>VLOOKUP([jobnumber],OvalData[],MATCH(Table2[[#Headers],[Grille Weight]],Table2[#Headers],0),0)</f>
        <v>0</v>
      </c>
      <c r="CA401" s="2">
        <f>VLOOKUP([jobnumber],OvalData[],MATCH(Table2[[#Headers],[barrelrings]],Table2[#Headers],0),0)</f>
        <v>1</v>
      </c>
    </row>
    <row r="402" spans="2:79">
      <c r="B402" s="2" t="str">
        <f>VLOOKUP([jobnumber],OvalData[],MATCH(Table2[[#Headers],[Hand]],Table2[#Headers],0),0)</f>
        <v>RH</v>
      </c>
      <c r="C402" s="2" t="str">
        <f>VLOOKUP([jobnumber],OvalData[],MATCH(Table2[[#Headers],[Model]],Table2[#Headers],0),0)</f>
        <v>SFMPP</v>
      </c>
      <c r="D402" s="2" t="str">
        <f>VLOOKUP([jobnumber],OvalData[],MATCH(Table2[[#Headers],[width]],Table2[#Headers],0),0)</f>
        <v xml:space="preserve"> 18 ft.- 2"</v>
      </c>
      <c r="E402" s="2" t="str">
        <f>VLOOKUP([jobnumber],OvalData[],MATCH(Table2[[#Headers],[stopheight]],Table2[#Headers],0),0)</f>
        <v xml:space="preserve"> 10 ft.- 0"</v>
      </c>
      <c r="F402" s="2" t="str">
        <f>VLOOKUP([jobnumber],OvalData[],MATCH(Table2[[#Headers],[Between Brackets]],Table2[#Headers],0),0)</f>
        <v xml:space="preserve"> 18 ft.- 7 7/ 8"</v>
      </c>
      <c r="G402" s="2" t="str">
        <f>VLOOKUP([jobnumber],OvalData[],MATCH(Table2[[#Headers],[shell]],Table2[#Headers],0),0)</f>
        <v>6 INCH TUBE</v>
      </c>
      <c r="H402" s="2" t="str">
        <f>VLOOKUP([jobnumber],OvalData[],MATCH(Table2[[#Headers],[pipewidth]],Table2[#Headers],0),0)</f>
        <v xml:space="preserve"> 18 ft.- 1 3/ 8"</v>
      </c>
      <c r="I402" s="2">
        <f>VLOOKUP([jobnumber],OvalData[],MATCH(Table2[[#Headers],[Support Tubes]],Table2[#Headers],0),0)</f>
        <v>0</v>
      </c>
      <c r="J402" s="2">
        <f>VLOOKUP([jobnumber],OvalData[],MATCH(Table2[[#Headers],[Upset]],Table2[#Headers],0),0)</f>
        <v>2</v>
      </c>
      <c r="K402" s="2" t="str">
        <f>VLOOKUP([jobnumber],OvalData[],MATCH(Table2[[#Headers],[Guide Type]],Table2[#Headers],0),0)</f>
        <v>SN2-4 5/8-E</v>
      </c>
      <c r="L402" s="2" t="str">
        <f>VLOOKUP([jobnumber],OvalData[],MATCH(Table2[[#Headers],[Wall Angle]],Table2[#Headers],0),0)</f>
        <v xml:space="preserve"> 11 ft.- 8"</v>
      </c>
      <c r="M402" s="2" t="str">
        <f>VLOOKUP([jobnumber],OvalData[],MATCH(Table2[[#Headers],[Middle Angle]],Table2[#Headers],0),0)</f>
        <v xml:space="preserve"> 10 ft.- 4 1/ 2"</v>
      </c>
      <c r="N402" s="2" t="str">
        <f>VLOOKUP([jobnumber],OvalData[],MATCH(Table2[[#Headers],[Front Angle]],Table2[#Headers],0),0)</f>
        <v xml:space="preserve"> 10 ft.- 3"</v>
      </c>
      <c r="O402" s="2">
        <f>VLOOKUP([jobnumber],OvalData[],MATCH(Table2[[#Headers],[Pipe Center Line]],Table2[#Headers],0),0)</f>
        <v>131</v>
      </c>
      <c r="P402" s="2">
        <f>VLOOKUP([jobnumber],OvalData[],MATCH(Table2[[#Headers],[Heat Expansion Gap]],Table2[#Headers],0),0)</f>
        <v>0</v>
      </c>
      <c r="Q402" s="2">
        <f>VLOOKUP([jobnumber],OvalData[],MATCH(Table2[[#Headers],[Hanging Weight Closed]],Table2[#Headers],0),0)</f>
        <v>795</v>
      </c>
      <c r="R402" s="2">
        <f>VLOOKUP([jobnumber],OvalData[],MATCH(Table2[[#Headers],[Hanging Weight Open]],Table2[#Headers],0),0)</f>
        <v>140</v>
      </c>
      <c r="S402" s="2">
        <f>VLOOKUP([jobnumber],OvalData[],MATCH(Table2[[#Headers],[Initial Lever Arm]],Table2[#Headers],0),0)</f>
        <v>4.25</v>
      </c>
      <c r="T402" s="2">
        <f>VLOOKUP([jobnumber],OvalData[],MATCH(Table2[[#Headers],[Turns to Raise]],Table2[#Headers],0),0)</f>
        <v>3.5859999999999999</v>
      </c>
      <c r="U402" s="2">
        <f>VLOOKUP([jobnumber],OvalData[],MATCH(Table2[[#Headers],[Final Lever Arm]],Table2[#Headers],0),0)</f>
        <v>6.37</v>
      </c>
      <c r="V402" s="2">
        <f>VLOOKUP([jobnumber],OvalData[],MATCH(Table2[[#Headers],[Torque Required Closed]],Table2[#Headers],0),0)</f>
        <v>3377.9</v>
      </c>
      <c r="W402" s="2">
        <f>VLOOKUP([jobnumber],OvalData[],MATCH(Table2[[#Headers],[Torque Required Open]],Table2[#Headers],0),0)</f>
        <v>892</v>
      </c>
      <c r="X402" s="2">
        <f>VLOOKUP([jobnumber],OvalData[],MATCH(Table2[[#Headers],[Pre Turns]],Table2[#Headers],0),0)</f>
        <v>1.3332999999999999</v>
      </c>
      <c r="Y402" s="2">
        <f>VLOOKUP([jobnumber],OvalData[],MATCH(Table2[[#Headers],[Required Torque Per Turn]],Table2[#Headers],0),0)</f>
        <v>688</v>
      </c>
      <c r="Z402" s="2">
        <f>VLOOKUP([jobnumber],OvalData[],MATCH(Table2[[#Headers],[Total Turns]],Table2[#Headers],0),0)</f>
        <v>4.91</v>
      </c>
      <c r="AA402" s="2">
        <f>VLOOKUP([jobnumber],OvalData[],MATCH(Table2[[#Headers],[Grille Vision Section]],Table2[#Headers],0),0)</f>
        <v>0</v>
      </c>
      <c r="AB402" s="2">
        <f>VLOOKUP([jobnumber],OvalData[],MATCH(Table2[[#Headers],[Grille Amount]],Table2[#Headers],0),0)</f>
        <v>0</v>
      </c>
      <c r="AC402" s="2">
        <f>VLOOKUP([jobnumber],OvalData[],MATCH(Table2[[#Headers],[Grille Center]],Table2[#Headers],0),0)</f>
        <v>0</v>
      </c>
      <c r="AD402" s="2">
        <f>VLOOKUP([jobnumber],OvalData[],MATCH(Table2[[#Headers],[Grille Pattern]],Table2[#Headers],0),0)</f>
        <v>0</v>
      </c>
      <c r="AE402" s="2">
        <f>VLOOKUP([jobnumber],OvalData[],MATCH(Table2[[#Headers],[Grille First Tube]],Table2[#Headers],0),0)</f>
        <v>0</v>
      </c>
      <c r="AF402" s="2">
        <f>VLOOKUP([jobnumber],OvalData[],MATCH(Table2[[#Headers],[Grille Standard Tube]],Table2[#Headers],0),0)</f>
        <v>0</v>
      </c>
      <c r="AG402" s="2">
        <f>VLOOKUP([jobnumber],OvalData[],MATCH(Table2[[#Headers],[Grille Total Links]],Table2[#Headers],0),0)</f>
        <v>0</v>
      </c>
      <c r="AH402" s="2">
        <f>VLOOKUP([jobnumber],OvalData[],MATCH(Table2[[#Headers],[Grille Rods]],Table2[#Headers],0),0)</f>
        <v>0</v>
      </c>
      <c r="AI402" s="2">
        <f>VLOOKUP([jobnumber],OvalData[],MATCH(Table2[[#Headers],[Grille Rod Length]],Table2[#Headers],0),0)</f>
        <v>0</v>
      </c>
      <c r="AJ402" s="2">
        <f>VLOOKUP([jobnumber],OvalData[],MATCH(Table2[[#Headers],[slattype]],Table2[#Headers],0),0)</f>
        <v>2</v>
      </c>
      <c r="AK402" s="2">
        <f>VLOOKUP([jobnumber],OvalData[],MATCH(Table2[[#Headers],[slatgage]],Table2[#Headers],0),0)</f>
        <v>18</v>
      </c>
      <c r="AL402" s="2">
        <f>VLOOKUP([jobnumber],OvalData[],MATCH(Table2[[#Headers],[Numer of Top Slats]],Table2[#Headers],0),0)</f>
        <v>0</v>
      </c>
      <c r="AM402" s="2">
        <f>VLOOKUP([jobnumber],OvalData[],MATCH(Table2[[#Headers],[Number of Bottom Slats]],Table2[#Headers],0),0)</f>
        <v>0</v>
      </c>
      <c r="AN402" s="2">
        <f>VLOOKUP([jobnumber],OvalData[],MATCH(Table2[[#Headers],[Solid Bottom Height]],Table2[#Headers],0),0)</f>
        <v>0</v>
      </c>
      <c r="AO402" s="2" t="str">
        <f>VLOOKUP([jobnumber],OvalData[],MATCH(Table2[[#Headers],[slatlength]],Table2[#Headers],0),0)</f>
        <v xml:space="preserve"> 18 ft.- 5 7/ 8"</v>
      </c>
      <c r="AP402" s="2">
        <f>VLOOKUP([jobnumber],OvalData[],MATCH(Table2[[#Headers],[Bottom Slat Length]],Table2[#Headers],0),0)</f>
        <v>0</v>
      </c>
      <c r="AQ402" s="2">
        <f>VLOOKUP([jobnumber],OvalData[],MATCH(Table2[[#Headers],[Number of Perferated Slats]],Table2[#Headers],0),0)</f>
        <v>0</v>
      </c>
      <c r="AR402" s="2">
        <f>VLOOKUP([jobnumber],OvalData[],MATCH(Table2[[#Headers],[First Preferated Slat From End]],Table2[#Headers],0),0)</f>
        <v>0</v>
      </c>
      <c r="AS402" s="2">
        <f>VLOOKUP([jobnumber],OvalData[],MATCH(Table2[[#Headers],[First Preferated Slat From Bottom]],Table2[#Headers],0),0)</f>
        <v>0</v>
      </c>
      <c r="AT402" s="2">
        <f>VLOOKUP([jobnumber],OvalData[],MATCH(Table2[[#Headers],[Total Number of Slats]],Table2[#Headers],0),0)</f>
        <v>51</v>
      </c>
      <c r="AU402" s="2">
        <f>VLOOKUP([jobnumber],OvalData[],MATCH(Table2[[#Headers],[Bottom Bar Slope]],Table2[#Headers],0),0)</f>
        <v>0</v>
      </c>
      <c r="AV402" s="2">
        <f>VLOOKUP([jobnumber],OvalData[],MATCH(Table2[[#Headers],[Bottom Bar Weight]],Table2[#Headers],0),0)</f>
        <v>80.5</v>
      </c>
      <c r="AW402" s="2" t="str">
        <f>VLOOKUP([jobnumber],OvalData[],MATCH(Table2[[#Headers],[Outer Spring Gage]],Table2[#Headers],0),0)</f>
        <v>Null</v>
      </c>
      <c r="AX402" s="2" t="str">
        <f>VLOOKUP([jobnumber],OvalData[],MATCH(Table2[[#Headers],[Outer Spring OD]],Table2[#Headers],0),0)</f>
        <v>Null</v>
      </c>
      <c r="AY402" s="2" t="str">
        <f>VLOOKUP([jobnumber],OvalData[],MATCH(Table2[[#Headers],[Outer Spring Length]],Table2[#Headers],0),0)</f>
        <v>Null</v>
      </c>
      <c r="AZ402" s="2" t="str">
        <f>VLOOKUP([jobnumber],OvalData[],MATCH(Table2[[#Headers],[Outer Spring Stretch]],Table2[#Headers],0),0)</f>
        <v>Null</v>
      </c>
      <c r="BA402" s="2" t="str">
        <f>VLOOKUP([jobnumber],OvalData[],MATCH(Table2[[#Headers],[Outer Spring Torque]],Table2[#Headers],0),0)</f>
        <v>Null</v>
      </c>
      <c r="BB402" s="2" t="str">
        <f>VLOOKUP([jobnumber],OvalData[],MATCH(Table2[[#Headers],[Outer Spring Max Turns]],Table2[#Headers],0),0)</f>
        <v>Null</v>
      </c>
      <c r="BC402" s="2" t="str">
        <f>VLOOKUP([jobnumber],OvalData[],MATCH(Table2[[#Headers],[Outer Spring Weight]],Table2[#Headers],0),0)</f>
        <v>Null</v>
      </c>
      <c r="BD402" s="2" t="str">
        <f>VLOOKUP([jobnumber],OvalData[],MATCH(Table2[[#Headers],[Inner Spring Gage]],Table2[#Headers],0),0)</f>
        <v>Null</v>
      </c>
      <c r="BE402" s="2" t="str">
        <f>VLOOKUP([jobnumber],OvalData[],MATCH(Table2[[#Headers],[Inner Spring OD]],Table2[#Headers],0),0)</f>
        <v>Null</v>
      </c>
      <c r="BF402" s="2" t="str">
        <f>VLOOKUP([jobnumber],OvalData[],MATCH(Table2[[#Headers],[Inner Spring Length]],Table2[#Headers],0),0)</f>
        <v>Null</v>
      </c>
      <c r="BG402" s="2" t="str">
        <f>VLOOKUP([jobnumber],OvalData[],MATCH(Table2[[#Headers],[Inner Spring Stretch]],Table2[#Headers],0),0)</f>
        <v>Null</v>
      </c>
      <c r="BH402" s="2" t="str">
        <f>VLOOKUP([jobnumber],OvalData[],MATCH(Table2[[#Headers],[Inner Spring Torque]],Table2[#Headers],0),0)</f>
        <v>Null</v>
      </c>
      <c r="BI402" s="2" t="str">
        <f>VLOOKUP([jobnumber],OvalData[],MATCH(Table2[[#Headers],[Inner Spring Max Turns]],Table2[#Headers],0),0)</f>
        <v>Null</v>
      </c>
      <c r="BJ402" s="2" t="str">
        <f>VLOOKUP([jobnumber],OvalData[],MATCH(Table2[[#Headers],[Inner Spring Weight]],Table2[#Headers],0),0)</f>
        <v>Null</v>
      </c>
      <c r="BK402" s="2">
        <f>VLOOKUP([jobnumber],OvalData[],MATCH(Table2[[#Headers],[Cycles]],Table2[#Headers],0),0)</f>
        <v>0</v>
      </c>
      <c r="BL402" s="2">
        <f>VLOOKUP([jobnumber],OvalData[],MATCH(Table2[[#Headers],[Total Spring Torque]],Table2[#Headers],0),0)</f>
        <v>0</v>
      </c>
      <c r="BM402" s="2">
        <f>VLOOKUP([jobnumber],OvalData[],MATCH(Table2[[#Headers],[Total Spring Weight]],Table2[#Headers],0),0)</f>
        <v>0</v>
      </c>
      <c r="BN402" s="2">
        <f>VLOOKUP([jobnumber],OvalData[],MATCH(Table2[[#Headers],[Pipe Weight]],Table2[#Headers],0),0)</f>
        <v>688.24239999999998</v>
      </c>
      <c r="BO402" s="2">
        <f>VLOOKUP([jobnumber],OvalData[],MATCH(Table2[[#Headers],[Max Pipe Deflection]],Table2[#Headers],0),0)</f>
        <v>2309</v>
      </c>
      <c r="BP402" s="2">
        <f>VLOOKUP([jobnumber],OvalData[],MATCH(Table2[[#Headers],[Number Non-Insulated Wrap Slats]],Table2[#Headers],0),0)</f>
        <v>0</v>
      </c>
      <c r="BQ402" s="2">
        <f>VLOOKUP([jobnumber],OvalData[],MATCH(Table2[[#Headers],[Number of Insolated Top Slats]],Table2[#Headers],0),0)</f>
        <v>45</v>
      </c>
      <c r="BR402" s="2">
        <f>VLOOKUP([jobnumber],OvalData[],MATCH(Table2[[#Headers],[Insolated Total Slats]],Table2[#Headers],0),0)</f>
        <v>45</v>
      </c>
      <c r="BS402" s="2">
        <f>VLOOKUP([jobnumber],OvalData[],MATCH(Table2[[#Headers],[Number of Slats]],Table2[#Headers],0),0)</f>
        <v>44.69</v>
      </c>
      <c r="BT402" s="2">
        <f>VLOOKUP([jobnumber],OvalData[],MATCH(Table2[[#Headers],[Wrap]],Table2[#Headers],0),0)</f>
        <v>0</v>
      </c>
      <c r="BU402" s="2">
        <f>VLOOKUP([jobnumber],OvalData[],MATCH(Table2[[#Headers],[Wall Angle Thickness]],Table2[#Headers],0),0)</f>
        <v>0</v>
      </c>
      <c r="BV402" s="2">
        <f>VLOOKUP([jobnumber],OvalData[],MATCH(Table2[[#Headers],[windlocks]],Table2[#Headers],0),0)</f>
        <v>0</v>
      </c>
      <c r="BW402" s="2" t="str">
        <f>VLOOKUP([jobnumber],OvalData[],MATCH(Table2[[#Headers],[bottombartype]],Table2[#Headers],0),0)</f>
        <v>SPECIAL</v>
      </c>
      <c r="BX402" s="2">
        <f>VLOOKUP([jobnumber],OvalData[],MATCH(Table2[[#Headers],[endlockweight]],Table2[#Headers],0),0)</f>
        <v>0.17</v>
      </c>
      <c r="BY402" s="2">
        <f>VLOOKUP([jobnumber],OvalData[],MATCH(Table2[[#Headers],[Endlock Total Weight]],Table2[#Headers],0),0)</f>
        <v>7.5972999999999997</v>
      </c>
      <c r="BZ402" s="2">
        <f>VLOOKUP([jobnumber],OvalData[],MATCH(Table2[[#Headers],[Grille Weight]],Table2[#Headers],0),0)</f>
        <v>0</v>
      </c>
      <c r="CA402" s="2">
        <f>VLOOKUP([jobnumber],OvalData[],MATCH(Table2[[#Headers],[barrelrings]],Table2[#Headers],0),0)</f>
        <v>1</v>
      </c>
    </row>
    <row r="403" spans="2:79">
      <c r="B403" s="2" t="str">
        <f>VLOOKUP([jobnumber],OvalData[],MATCH(Table2[[#Headers],[Hand]],Table2[#Headers],0),0)</f>
        <v>RH</v>
      </c>
      <c r="C403" s="2" t="str">
        <f>VLOOKUP([jobnumber],OvalData[],MATCH(Table2[[#Headers],[Model]],Table2[#Headers],0),0)</f>
        <v>SFMPP</v>
      </c>
      <c r="D403" s="2" t="str">
        <f>VLOOKUP([jobnumber],OvalData[],MATCH(Table2[[#Headers],[width]],Table2[#Headers],0),0)</f>
        <v xml:space="preserve"> 18 ft.- 2"</v>
      </c>
      <c r="E403" s="2" t="str">
        <f>VLOOKUP([jobnumber],OvalData[],MATCH(Table2[[#Headers],[stopheight]],Table2[#Headers],0),0)</f>
        <v xml:space="preserve"> 10 ft.- 0"</v>
      </c>
      <c r="F403" s="2" t="str">
        <f>VLOOKUP([jobnumber],OvalData[],MATCH(Table2[[#Headers],[Between Brackets]],Table2[#Headers],0),0)</f>
        <v xml:space="preserve"> 18 ft.- 7 7/ 8"</v>
      </c>
      <c r="G403" s="2" t="str">
        <f>VLOOKUP([jobnumber],OvalData[],MATCH(Table2[[#Headers],[shell]],Table2[#Headers],0),0)</f>
        <v>6 INCH TUBE</v>
      </c>
      <c r="H403" s="2" t="str">
        <f>VLOOKUP([jobnumber],OvalData[],MATCH(Table2[[#Headers],[pipewidth]],Table2[#Headers],0),0)</f>
        <v xml:space="preserve"> 18 ft.- 1 3/ 8"</v>
      </c>
      <c r="I403" s="2">
        <f>VLOOKUP([jobnumber],OvalData[],MATCH(Table2[[#Headers],[Support Tubes]],Table2[#Headers],0),0)</f>
        <v>0</v>
      </c>
      <c r="J403" s="2">
        <f>VLOOKUP([jobnumber],OvalData[],MATCH(Table2[[#Headers],[Upset]],Table2[#Headers],0),0)</f>
        <v>2</v>
      </c>
      <c r="K403" s="2" t="str">
        <f>VLOOKUP([jobnumber],OvalData[],MATCH(Table2[[#Headers],[Guide Type]],Table2[#Headers],0),0)</f>
        <v>SN2-4 5/8-E</v>
      </c>
      <c r="L403" s="2" t="str">
        <f>VLOOKUP([jobnumber],OvalData[],MATCH(Table2[[#Headers],[Wall Angle]],Table2[#Headers],0),0)</f>
        <v xml:space="preserve"> 11 ft.- 8"</v>
      </c>
      <c r="M403" s="2" t="str">
        <f>VLOOKUP([jobnumber],OvalData[],MATCH(Table2[[#Headers],[Middle Angle]],Table2[#Headers],0),0)</f>
        <v xml:space="preserve"> 10 ft.- 4 1/ 2"</v>
      </c>
      <c r="N403" s="2" t="str">
        <f>VLOOKUP([jobnumber],OvalData[],MATCH(Table2[[#Headers],[Front Angle]],Table2[#Headers],0),0)</f>
        <v xml:space="preserve"> 10 ft.- 3"</v>
      </c>
      <c r="O403" s="2">
        <f>VLOOKUP([jobnumber],OvalData[],MATCH(Table2[[#Headers],[Pipe Center Line]],Table2[#Headers],0),0)</f>
        <v>131</v>
      </c>
      <c r="P403" s="2">
        <f>VLOOKUP([jobnumber],OvalData[],MATCH(Table2[[#Headers],[Heat Expansion Gap]],Table2[#Headers],0),0)</f>
        <v>0</v>
      </c>
      <c r="Q403" s="2">
        <f>VLOOKUP([jobnumber],OvalData[],MATCH(Table2[[#Headers],[Hanging Weight Closed]],Table2[#Headers],0),0)</f>
        <v>795</v>
      </c>
      <c r="R403" s="2">
        <f>VLOOKUP([jobnumber],OvalData[],MATCH(Table2[[#Headers],[Hanging Weight Open]],Table2[#Headers],0),0)</f>
        <v>140</v>
      </c>
      <c r="S403" s="2">
        <f>VLOOKUP([jobnumber],OvalData[],MATCH(Table2[[#Headers],[Initial Lever Arm]],Table2[#Headers],0),0)</f>
        <v>4.25</v>
      </c>
      <c r="T403" s="2">
        <f>VLOOKUP([jobnumber],OvalData[],MATCH(Table2[[#Headers],[Turns to Raise]],Table2[#Headers],0),0)</f>
        <v>3.5859999999999999</v>
      </c>
      <c r="U403" s="2">
        <f>VLOOKUP([jobnumber],OvalData[],MATCH(Table2[[#Headers],[Final Lever Arm]],Table2[#Headers],0),0)</f>
        <v>6.37</v>
      </c>
      <c r="V403" s="2">
        <f>VLOOKUP([jobnumber],OvalData[],MATCH(Table2[[#Headers],[Torque Required Closed]],Table2[#Headers],0),0)</f>
        <v>3377.9</v>
      </c>
      <c r="W403" s="2">
        <f>VLOOKUP([jobnumber],OvalData[],MATCH(Table2[[#Headers],[Torque Required Open]],Table2[#Headers],0),0)</f>
        <v>892</v>
      </c>
      <c r="X403" s="2">
        <f>VLOOKUP([jobnumber],OvalData[],MATCH(Table2[[#Headers],[Pre Turns]],Table2[#Headers],0),0)</f>
        <v>1.3332999999999999</v>
      </c>
      <c r="Y403" s="2">
        <f>VLOOKUP([jobnumber],OvalData[],MATCH(Table2[[#Headers],[Required Torque Per Turn]],Table2[#Headers],0),0)</f>
        <v>688</v>
      </c>
      <c r="Z403" s="2">
        <f>VLOOKUP([jobnumber],OvalData[],MATCH(Table2[[#Headers],[Total Turns]],Table2[#Headers],0),0)</f>
        <v>4.91</v>
      </c>
      <c r="AA403" s="2">
        <f>VLOOKUP([jobnumber],OvalData[],MATCH(Table2[[#Headers],[Grille Vision Section]],Table2[#Headers],0),0)</f>
        <v>0</v>
      </c>
      <c r="AB403" s="2">
        <f>VLOOKUP([jobnumber],OvalData[],MATCH(Table2[[#Headers],[Grille Amount]],Table2[#Headers],0),0)</f>
        <v>0</v>
      </c>
      <c r="AC403" s="2">
        <f>VLOOKUP([jobnumber],OvalData[],MATCH(Table2[[#Headers],[Grille Center]],Table2[#Headers],0),0)</f>
        <v>0</v>
      </c>
      <c r="AD403" s="2">
        <f>VLOOKUP([jobnumber],OvalData[],MATCH(Table2[[#Headers],[Grille Pattern]],Table2[#Headers],0),0)</f>
        <v>0</v>
      </c>
      <c r="AE403" s="2">
        <f>VLOOKUP([jobnumber],OvalData[],MATCH(Table2[[#Headers],[Grille First Tube]],Table2[#Headers],0),0)</f>
        <v>0</v>
      </c>
      <c r="AF403" s="2">
        <f>VLOOKUP([jobnumber],OvalData[],MATCH(Table2[[#Headers],[Grille Standard Tube]],Table2[#Headers],0),0)</f>
        <v>0</v>
      </c>
      <c r="AG403" s="2">
        <f>VLOOKUP([jobnumber],OvalData[],MATCH(Table2[[#Headers],[Grille Total Links]],Table2[#Headers],0),0)</f>
        <v>0</v>
      </c>
      <c r="AH403" s="2">
        <f>VLOOKUP([jobnumber],OvalData[],MATCH(Table2[[#Headers],[Grille Rods]],Table2[#Headers],0),0)</f>
        <v>0</v>
      </c>
      <c r="AI403" s="2">
        <f>VLOOKUP([jobnumber],OvalData[],MATCH(Table2[[#Headers],[Grille Rod Length]],Table2[#Headers],0),0)</f>
        <v>0</v>
      </c>
      <c r="AJ403" s="2">
        <f>VLOOKUP([jobnumber],OvalData[],MATCH(Table2[[#Headers],[slattype]],Table2[#Headers],0),0)</f>
        <v>2</v>
      </c>
      <c r="AK403" s="2">
        <f>VLOOKUP([jobnumber],OvalData[],MATCH(Table2[[#Headers],[slatgage]],Table2[#Headers],0),0)</f>
        <v>18</v>
      </c>
      <c r="AL403" s="2">
        <f>VLOOKUP([jobnumber],OvalData[],MATCH(Table2[[#Headers],[Numer of Top Slats]],Table2[#Headers],0),0)</f>
        <v>0</v>
      </c>
      <c r="AM403" s="2">
        <f>VLOOKUP([jobnumber],OvalData[],MATCH(Table2[[#Headers],[Number of Bottom Slats]],Table2[#Headers],0),0)</f>
        <v>0</v>
      </c>
      <c r="AN403" s="2">
        <f>VLOOKUP([jobnumber],OvalData[],MATCH(Table2[[#Headers],[Solid Bottom Height]],Table2[#Headers],0),0)</f>
        <v>0</v>
      </c>
      <c r="AO403" s="2" t="str">
        <f>VLOOKUP([jobnumber],OvalData[],MATCH(Table2[[#Headers],[slatlength]],Table2[#Headers],0),0)</f>
        <v xml:space="preserve"> 18 ft.- 5 7/ 8"</v>
      </c>
      <c r="AP403" s="2">
        <f>VLOOKUP([jobnumber],OvalData[],MATCH(Table2[[#Headers],[Bottom Slat Length]],Table2[#Headers],0),0)</f>
        <v>0</v>
      </c>
      <c r="AQ403" s="2">
        <f>VLOOKUP([jobnumber],OvalData[],MATCH(Table2[[#Headers],[Number of Perferated Slats]],Table2[#Headers],0),0)</f>
        <v>0</v>
      </c>
      <c r="AR403" s="2">
        <f>VLOOKUP([jobnumber],OvalData[],MATCH(Table2[[#Headers],[First Preferated Slat From End]],Table2[#Headers],0),0)</f>
        <v>0</v>
      </c>
      <c r="AS403" s="2">
        <f>VLOOKUP([jobnumber],OvalData[],MATCH(Table2[[#Headers],[First Preferated Slat From Bottom]],Table2[#Headers],0),0)</f>
        <v>0</v>
      </c>
      <c r="AT403" s="2">
        <f>VLOOKUP([jobnumber],OvalData[],MATCH(Table2[[#Headers],[Total Number of Slats]],Table2[#Headers],0),0)</f>
        <v>51</v>
      </c>
      <c r="AU403" s="2">
        <f>VLOOKUP([jobnumber],OvalData[],MATCH(Table2[[#Headers],[Bottom Bar Slope]],Table2[#Headers],0),0)</f>
        <v>0</v>
      </c>
      <c r="AV403" s="2">
        <f>VLOOKUP([jobnumber],OvalData[],MATCH(Table2[[#Headers],[Bottom Bar Weight]],Table2[#Headers],0),0)</f>
        <v>80.5</v>
      </c>
      <c r="AW403" s="2" t="str">
        <f>VLOOKUP([jobnumber],OvalData[],MATCH(Table2[[#Headers],[Outer Spring Gage]],Table2[#Headers],0),0)</f>
        <v>Null</v>
      </c>
      <c r="AX403" s="2" t="str">
        <f>VLOOKUP([jobnumber],OvalData[],MATCH(Table2[[#Headers],[Outer Spring OD]],Table2[#Headers],0),0)</f>
        <v>Null</v>
      </c>
      <c r="AY403" s="2" t="str">
        <f>VLOOKUP([jobnumber],OvalData[],MATCH(Table2[[#Headers],[Outer Spring Length]],Table2[#Headers],0),0)</f>
        <v>Null</v>
      </c>
      <c r="AZ403" s="2" t="str">
        <f>VLOOKUP([jobnumber],OvalData[],MATCH(Table2[[#Headers],[Outer Spring Stretch]],Table2[#Headers],0),0)</f>
        <v>Null</v>
      </c>
      <c r="BA403" s="2" t="str">
        <f>VLOOKUP([jobnumber],OvalData[],MATCH(Table2[[#Headers],[Outer Spring Torque]],Table2[#Headers],0),0)</f>
        <v>Null</v>
      </c>
      <c r="BB403" s="2" t="str">
        <f>VLOOKUP([jobnumber],OvalData[],MATCH(Table2[[#Headers],[Outer Spring Max Turns]],Table2[#Headers],0),0)</f>
        <v>Null</v>
      </c>
      <c r="BC403" s="2" t="str">
        <f>VLOOKUP([jobnumber],OvalData[],MATCH(Table2[[#Headers],[Outer Spring Weight]],Table2[#Headers],0),0)</f>
        <v>Null</v>
      </c>
      <c r="BD403" s="2" t="str">
        <f>VLOOKUP([jobnumber],OvalData[],MATCH(Table2[[#Headers],[Inner Spring Gage]],Table2[#Headers],0),0)</f>
        <v>Null</v>
      </c>
      <c r="BE403" s="2" t="str">
        <f>VLOOKUP([jobnumber],OvalData[],MATCH(Table2[[#Headers],[Inner Spring OD]],Table2[#Headers],0),0)</f>
        <v>Null</v>
      </c>
      <c r="BF403" s="2" t="str">
        <f>VLOOKUP([jobnumber],OvalData[],MATCH(Table2[[#Headers],[Inner Spring Length]],Table2[#Headers],0),0)</f>
        <v>Null</v>
      </c>
      <c r="BG403" s="2" t="str">
        <f>VLOOKUP([jobnumber],OvalData[],MATCH(Table2[[#Headers],[Inner Spring Stretch]],Table2[#Headers],0),0)</f>
        <v>Null</v>
      </c>
      <c r="BH403" s="2" t="str">
        <f>VLOOKUP([jobnumber],OvalData[],MATCH(Table2[[#Headers],[Inner Spring Torque]],Table2[#Headers],0),0)</f>
        <v>Null</v>
      </c>
      <c r="BI403" s="2" t="str">
        <f>VLOOKUP([jobnumber],OvalData[],MATCH(Table2[[#Headers],[Inner Spring Max Turns]],Table2[#Headers],0),0)</f>
        <v>Null</v>
      </c>
      <c r="BJ403" s="2" t="str">
        <f>VLOOKUP([jobnumber],OvalData[],MATCH(Table2[[#Headers],[Inner Spring Weight]],Table2[#Headers],0),0)</f>
        <v>Null</v>
      </c>
      <c r="BK403" s="2">
        <f>VLOOKUP([jobnumber],OvalData[],MATCH(Table2[[#Headers],[Cycles]],Table2[#Headers],0),0)</f>
        <v>0</v>
      </c>
      <c r="BL403" s="2">
        <f>VLOOKUP([jobnumber],OvalData[],MATCH(Table2[[#Headers],[Total Spring Torque]],Table2[#Headers],0),0)</f>
        <v>0</v>
      </c>
      <c r="BM403" s="2">
        <f>VLOOKUP([jobnumber],OvalData[],MATCH(Table2[[#Headers],[Total Spring Weight]],Table2[#Headers],0),0)</f>
        <v>0</v>
      </c>
      <c r="BN403" s="2">
        <f>VLOOKUP([jobnumber],OvalData[],MATCH(Table2[[#Headers],[Pipe Weight]],Table2[#Headers],0),0)</f>
        <v>688.24239999999998</v>
      </c>
      <c r="BO403" s="2">
        <f>VLOOKUP([jobnumber],OvalData[],MATCH(Table2[[#Headers],[Max Pipe Deflection]],Table2[#Headers],0),0)</f>
        <v>2309</v>
      </c>
      <c r="BP403" s="2">
        <f>VLOOKUP([jobnumber],OvalData[],MATCH(Table2[[#Headers],[Number Non-Insulated Wrap Slats]],Table2[#Headers],0),0)</f>
        <v>0</v>
      </c>
      <c r="BQ403" s="2">
        <f>VLOOKUP([jobnumber],OvalData[],MATCH(Table2[[#Headers],[Number of Insolated Top Slats]],Table2[#Headers],0),0)</f>
        <v>45</v>
      </c>
      <c r="BR403" s="2">
        <f>VLOOKUP([jobnumber],OvalData[],MATCH(Table2[[#Headers],[Insolated Total Slats]],Table2[#Headers],0),0)</f>
        <v>45</v>
      </c>
      <c r="BS403" s="2">
        <f>VLOOKUP([jobnumber],OvalData[],MATCH(Table2[[#Headers],[Number of Slats]],Table2[#Headers],0),0)</f>
        <v>44.69</v>
      </c>
      <c r="BT403" s="2">
        <f>VLOOKUP([jobnumber],OvalData[],MATCH(Table2[[#Headers],[Wrap]],Table2[#Headers],0),0)</f>
        <v>0</v>
      </c>
      <c r="BU403" s="2">
        <f>VLOOKUP([jobnumber],OvalData[],MATCH(Table2[[#Headers],[Wall Angle Thickness]],Table2[#Headers],0),0)</f>
        <v>0</v>
      </c>
      <c r="BV403" s="2">
        <f>VLOOKUP([jobnumber],OvalData[],MATCH(Table2[[#Headers],[windlocks]],Table2[#Headers],0),0)</f>
        <v>0</v>
      </c>
      <c r="BW403" s="2" t="str">
        <f>VLOOKUP([jobnumber],OvalData[],MATCH(Table2[[#Headers],[bottombartype]],Table2[#Headers],0),0)</f>
        <v>SPECIAL</v>
      </c>
      <c r="BX403" s="2">
        <f>VLOOKUP([jobnumber],OvalData[],MATCH(Table2[[#Headers],[endlockweight]],Table2[#Headers],0),0)</f>
        <v>0.17</v>
      </c>
      <c r="BY403" s="2">
        <f>VLOOKUP([jobnumber],OvalData[],MATCH(Table2[[#Headers],[Endlock Total Weight]],Table2[#Headers],0),0)</f>
        <v>7.5972999999999997</v>
      </c>
      <c r="BZ403" s="2">
        <f>VLOOKUP([jobnumber],OvalData[],MATCH(Table2[[#Headers],[Grille Weight]],Table2[#Headers],0),0)</f>
        <v>0</v>
      </c>
      <c r="CA403" s="2">
        <f>VLOOKUP([jobnumber],OvalData[],MATCH(Table2[[#Headers],[barrelrings]],Table2[#Headers],0),0)</f>
        <v>1</v>
      </c>
    </row>
    <row r="404" spans="2:79">
      <c r="B404" s="2" t="str">
        <f>VLOOKUP([jobnumber],OvalData[],MATCH(Table2[[#Headers],[Hand]],Table2[#Headers],0),0)</f>
        <v>RH</v>
      </c>
      <c r="C404" s="2" t="str">
        <f>VLOOKUP([jobnumber],OvalData[],MATCH(Table2[[#Headers],[Model]],Table2[#Headers],0),0)</f>
        <v>SFMPP</v>
      </c>
      <c r="D404" s="2" t="str">
        <f>VLOOKUP([jobnumber],OvalData[],MATCH(Table2[[#Headers],[width]],Table2[#Headers],0),0)</f>
        <v xml:space="preserve"> 18 ft.- 2"</v>
      </c>
      <c r="E404" s="2" t="str">
        <f>VLOOKUP([jobnumber],OvalData[],MATCH(Table2[[#Headers],[stopheight]],Table2[#Headers],0),0)</f>
        <v xml:space="preserve"> 10 ft.- 0"</v>
      </c>
      <c r="F404" s="2" t="str">
        <f>VLOOKUP([jobnumber],OvalData[],MATCH(Table2[[#Headers],[Between Brackets]],Table2[#Headers],0),0)</f>
        <v xml:space="preserve"> 18 ft.- 7 7/ 8"</v>
      </c>
      <c r="G404" s="2" t="str">
        <f>VLOOKUP([jobnumber],OvalData[],MATCH(Table2[[#Headers],[shell]],Table2[#Headers],0),0)</f>
        <v>6 INCH TUBE</v>
      </c>
      <c r="H404" s="2" t="str">
        <f>VLOOKUP([jobnumber],OvalData[],MATCH(Table2[[#Headers],[pipewidth]],Table2[#Headers],0),0)</f>
        <v xml:space="preserve"> 18 ft.- 1 3/ 8"</v>
      </c>
      <c r="I404" s="2">
        <f>VLOOKUP([jobnumber],OvalData[],MATCH(Table2[[#Headers],[Support Tubes]],Table2[#Headers],0),0)</f>
        <v>0</v>
      </c>
      <c r="J404" s="2">
        <f>VLOOKUP([jobnumber],OvalData[],MATCH(Table2[[#Headers],[Upset]],Table2[#Headers],0),0)</f>
        <v>2</v>
      </c>
      <c r="K404" s="2" t="str">
        <f>VLOOKUP([jobnumber],OvalData[],MATCH(Table2[[#Headers],[Guide Type]],Table2[#Headers],0),0)</f>
        <v>SN2-4 5/8-E</v>
      </c>
      <c r="L404" s="2" t="str">
        <f>VLOOKUP([jobnumber],OvalData[],MATCH(Table2[[#Headers],[Wall Angle]],Table2[#Headers],0),0)</f>
        <v xml:space="preserve"> 11 ft.- 8"</v>
      </c>
      <c r="M404" s="2" t="str">
        <f>VLOOKUP([jobnumber],OvalData[],MATCH(Table2[[#Headers],[Middle Angle]],Table2[#Headers],0),0)</f>
        <v xml:space="preserve"> 10 ft.- 4 1/ 2"</v>
      </c>
      <c r="N404" s="2" t="str">
        <f>VLOOKUP([jobnumber],OvalData[],MATCH(Table2[[#Headers],[Front Angle]],Table2[#Headers],0),0)</f>
        <v xml:space="preserve"> 10 ft.- 3"</v>
      </c>
      <c r="O404" s="2">
        <f>VLOOKUP([jobnumber],OvalData[],MATCH(Table2[[#Headers],[Pipe Center Line]],Table2[#Headers],0),0)</f>
        <v>131</v>
      </c>
      <c r="P404" s="2">
        <f>VLOOKUP([jobnumber],OvalData[],MATCH(Table2[[#Headers],[Heat Expansion Gap]],Table2[#Headers],0),0)</f>
        <v>0</v>
      </c>
      <c r="Q404" s="2">
        <f>VLOOKUP([jobnumber],OvalData[],MATCH(Table2[[#Headers],[Hanging Weight Closed]],Table2[#Headers],0),0)</f>
        <v>795</v>
      </c>
      <c r="R404" s="2">
        <f>VLOOKUP([jobnumber],OvalData[],MATCH(Table2[[#Headers],[Hanging Weight Open]],Table2[#Headers],0),0)</f>
        <v>140</v>
      </c>
      <c r="S404" s="2">
        <f>VLOOKUP([jobnumber],OvalData[],MATCH(Table2[[#Headers],[Initial Lever Arm]],Table2[#Headers],0),0)</f>
        <v>4.25</v>
      </c>
      <c r="T404" s="2">
        <f>VLOOKUP([jobnumber],OvalData[],MATCH(Table2[[#Headers],[Turns to Raise]],Table2[#Headers],0),0)</f>
        <v>3.5859999999999999</v>
      </c>
      <c r="U404" s="2">
        <f>VLOOKUP([jobnumber],OvalData[],MATCH(Table2[[#Headers],[Final Lever Arm]],Table2[#Headers],0),0)</f>
        <v>6.37</v>
      </c>
      <c r="V404" s="2">
        <f>VLOOKUP([jobnumber],OvalData[],MATCH(Table2[[#Headers],[Torque Required Closed]],Table2[#Headers],0),0)</f>
        <v>3377.9</v>
      </c>
      <c r="W404" s="2">
        <f>VLOOKUP([jobnumber],OvalData[],MATCH(Table2[[#Headers],[Torque Required Open]],Table2[#Headers],0),0)</f>
        <v>892</v>
      </c>
      <c r="X404" s="2">
        <f>VLOOKUP([jobnumber],OvalData[],MATCH(Table2[[#Headers],[Pre Turns]],Table2[#Headers],0),0)</f>
        <v>1.3332999999999999</v>
      </c>
      <c r="Y404" s="2">
        <f>VLOOKUP([jobnumber],OvalData[],MATCH(Table2[[#Headers],[Required Torque Per Turn]],Table2[#Headers],0),0)</f>
        <v>688</v>
      </c>
      <c r="Z404" s="2">
        <f>VLOOKUP([jobnumber],OvalData[],MATCH(Table2[[#Headers],[Total Turns]],Table2[#Headers],0),0)</f>
        <v>4.91</v>
      </c>
      <c r="AA404" s="2">
        <f>VLOOKUP([jobnumber],OvalData[],MATCH(Table2[[#Headers],[Grille Vision Section]],Table2[#Headers],0),0)</f>
        <v>0</v>
      </c>
      <c r="AB404" s="2">
        <f>VLOOKUP([jobnumber],OvalData[],MATCH(Table2[[#Headers],[Grille Amount]],Table2[#Headers],0),0)</f>
        <v>0</v>
      </c>
      <c r="AC404" s="2">
        <f>VLOOKUP([jobnumber],OvalData[],MATCH(Table2[[#Headers],[Grille Center]],Table2[#Headers],0),0)</f>
        <v>0</v>
      </c>
      <c r="AD404" s="2">
        <f>VLOOKUP([jobnumber],OvalData[],MATCH(Table2[[#Headers],[Grille Pattern]],Table2[#Headers],0),0)</f>
        <v>0</v>
      </c>
      <c r="AE404" s="2">
        <f>VLOOKUP([jobnumber],OvalData[],MATCH(Table2[[#Headers],[Grille First Tube]],Table2[#Headers],0),0)</f>
        <v>0</v>
      </c>
      <c r="AF404" s="2">
        <f>VLOOKUP([jobnumber],OvalData[],MATCH(Table2[[#Headers],[Grille Standard Tube]],Table2[#Headers],0),0)</f>
        <v>0</v>
      </c>
      <c r="AG404" s="2">
        <f>VLOOKUP([jobnumber],OvalData[],MATCH(Table2[[#Headers],[Grille Total Links]],Table2[#Headers],0),0)</f>
        <v>0</v>
      </c>
      <c r="AH404" s="2">
        <f>VLOOKUP([jobnumber],OvalData[],MATCH(Table2[[#Headers],[Grille Rods]],Table2[#Headers],0),0)</f>
        <v>0</v>
      </c>
      <c r="AI404" s="2">
        <f>VLOOKUP([jobnumber],OvalData[],MATCH(Table2[[#Headers],[Grille Rod Length]],Table2[#Headers],0),0)</f>
        <v>0</v>
      </c>
      <c r="AJ404" s="2">
        <f>VLOOKUP([jobnumber],OvalData[],MATCH(Table2[[#Headers],[slattype]],Table2[#Headers],0),0)</f>
        <v>2</v>
      </c>
      <c r="AK404" s="2">
        <f>VLOOKUP([jobnumber],OvalData[],MATCH(Table2[[#Headers],[slatgage]],Table2[#Headers],0),0)</f>
        <v>18</v>
      </c>
      <c r="AL404" s="2">
        <f>VLOOKUP([jobnumber],OvalData[],MATCH(Table2[[#Headers],[Numer of Top Slats]],Table2[#Headers],0),0)</f>
        <v>0</v>
      </c>
      <c r="AM404" s="2">
        <f>VLOOKUP([jobnumber],OvalData[],MATCH(Table2[[#Headers],[Number of Bottom Slats]],Table2[#Headers],0),0)</f>
        <v>0</v>
      </c>
      <c r="AN404" s="2">
        <f>VLOOKUP([jobnumber],OvalData[],MATCH(Table2[[#Headers],[Solid Bottom Height]],Table2[#Headers],0),0)</f>
        <v>0</v>
      </c>
      <c r="AO404" s="2" t="str">
        <f>VLOOKUP([jobnumber],OvalData[],MATCH(Table2[[#Headers],[slatlength]],Table2[#Headers],0),0)</f>
        <v xml:space="preserve"> 18 ft.- 5 7/ 8"</v>
      </c>
      <c r="AP404" s="2">
        <f>VLOOKUP([jobnumber],OvalData[],MATCH(Table2[[#Headers],[Bottom Slat Length]],Table2[#Headers],0),0)</f>
        <v>0</v>
      </c>
      <c r="AQ404" s="2">
        <f>VLOOKUP([jobnumber],OvalData[],MATCH(Table2[[#Headers],[Number of Perferated Slats]],Table2[#Headers],0),0)</f>
        <v>0</v>
      </c>
      <c r="AR404" s="2">
        <f>VLOOKUP([jobnumber],OvalData[],MATCH(Table2[[#Headers],[First Preferated Slat From End]],Table2[#Headers],0),0)</f>
        <v>0</v>
      </c>
      <c r="AS404" s="2">
        <f>VLOOKUP([jobnumber],OvalData[],MATCH(Table2[[#Headers],[First Preferated Slat From Bottom]],Table2[#Headers],0),0)</f>
        <v>0</v>
      </c>
      <c r="AT404" s="2">
        <f>VLOOKUP([jobnumber],OvalData[],MATCH(Table2[[#Headers],[Total Number of Slats]],Table2[#Headers],0),0)</f>
        <v>51</v>
      </c>
      <c r="AU404" s="2">
        <f>VLOOKUP([jobnumber],OvalData[],MATCH(Table2[[#Headers],[Bottom Bar Slope]],Table2[#Headers],0),0)</f>
        <v>0</v>
      </c>
      <c r="AV404" s="2">
        <f>VLOOKUP([jobnumber],OvalData[],MATCH(Table2[[#Headers],[Bottom Bar Weight]],Table2[#Headers],0),0)</f>
        <v>80.5</v>
      </c>
      <c r="AW404" s="2" t="str">
        <f>VLOOKUP([jobnumber],OvalData[],MATCH(Table2[[#Headers],[Outer Spring Gage]],Table2[#Headers],0),0)</f>
        <v>Null</v>
      </c>
      <c r="AX404" s="2" t="str">
        <f>VLOOKUP([jobnumber],OvalData[],MATCH(Table2[[#Headers],[Outer Spring OD]],Table2[#Headers],0),0)</f>
        <v>Null</v>
      </c>
      <c r="AY404" s="2" t="str">
        <f>VLOOKUP([jobnumber],OvalData[],MATCH(Table2[[#Headers],[Outer Spring Length]],Table2[#Headers],0),0)</f>
        <v>Null</v>
      </c>
      <c r="AZ404" s="2" t="str">
        <f>VLOOKUP([jobnumber],OvalData[],MATCH(Table2[[#Headers],[Outer Spring Stretch]],Table2[#Headers],0),0)</f>
        <v>Null</v>
      </c>
      <c r="BA404" s="2" t="str">
        <f>VLOOKUP([jobnumber],OvalData[],MATCH(Table2[[#Headers],[Outer Spring Torque]],Table2[#Headers],0),0)</f>
        <v>Null</v>
      </c>
      <c r="BB404" s="2" t="str">
        <f>VLOOKUP([jobnumber],OvalData[],MATCH(Table2[[#Headers],[Outer Spring Max Turns]],Table2[#Headers],0),0)</f>
        <v>Null</v>
      </c>
      <c r="BC404" s="2" t="str">
        <f>VLOOKUP([jobnumber],OvalData[],MATCH(Table2[[#Headers],[Outer Spring Weight]],Table2[#Headers],0),0)</f>
        <v>Null</v>
      </c>
      <c r="BD404" s="2" t="str">
        <f>VLOOKUP([jobnumber],OvalData[],MATCH(Table2[[#Headers],[Inner Spring Gage]],Table2[#Headers],0),0)</f>
        <v>Null</v>
      </c>
      <c r="BE404" s="2" t="str">
        <f>VLOOKUP([jobnumber],OvalData[],MATCH(Table2[[#Headers],[Inner Spring OD]],Table2[#Headers],0),0)</f>
        <v>Null</v>
      </c>
      <c r="BF404" s="2" t="str">
        <f>VLOOKUP([jobnumber],OvalData[],MATCH(Table2[[#Headers],[Inner Spring Length]],Table2[#Headers],0),0)</f>
        <v>Null</v>
      </c>
      <c r="BG404" s="2" t="str">
        <f>VLOOKUP([jobnumber],OvalData[],MATCH(Table2[[#Headers],[Inner Spring Stretch]],Table2[#Headers],0),0)</f>
        <v>Null</v>
      </c>
      <c r="BH404" s="2" t="str">
        <f>VLOOKUP([jobnumber],OvalData[],MATCH(Table2[[#Headers],[Inner Spring Torque]],Table2[#Headers],0),0)</f>
        <v>Null</v>
      </c>
      <c r="BI404" s="2" t="str">
        <f>VLOOKUP([jobnumber],OvalData[],MATCH(Table2[[#Headers],[Inner Spring Max Turns]],Table2[#Headers],0),0)</f>
        <v>Null</v>
      </c>
      <c r="BJ404" s="2" t="str">
        <f>VLOOKUP([jobnumber],OvalData[],MATCH(Table2[[#Headers],[Inner Spring Weight]],Table2[#Headers],0),0)</f>
        <v>Null</v>
      </c>
      <c r="BK404" s="2">
        <f>VLOOKUP([jobnumber],OvalData[],MATCH(Table2[[#Headers],[Cycles]],Table2[#Headers],0),0)</f>
        <v>0</v>
      </c>
      <c r="BL404" s="2">
        <f>VLOOKUP([jobnumber],OvalData[],MATCH(Table2[[#Headers],[Total Spring Torque]],Table2[#Headers],0),0)</f>
        <v>0</v>
      </c>
      <c r="BM404" s="2">
        <f>VLOOKUP([jobnumber],OvalData[],MATCH(Table2[[#Headers],[Total Spring Weight]],Table2[#Headers],0),0)</f>
        <v>0</v>
      </c>
      <c r="BN404" s="2">
        <f>VLOOKUP([jobnumber],OvalData[],MATCH(Table2[[#Headers],[Pipe Weight]],Table2[#Headers],0),0)</f>
        <v>688.24239999999998</v>
      </c>
      <c r="BO404" s="2">
        <f>VLOOKUP([jobnumber],OvalData[],MATCH(Table2[[#Headers],[Max Pipe Deflection]],Table2[#Headers],0),0)</f>
        <v>2309</v>
      </c>
      <c r="BP404" s="2">
        <f>VLOOKUP([jobnumber],OvalData[],MATCH(Table2[[#Headers],[Number Non-Insulated Wrap Slats]],Table2[#Headers],0),0)</f>
        <v>0</v>
      </c>
      <c r="BQ404" s="2">
        <f>VLOOKUP([jobnumber],OvalData[],MATCH(Table2[[#Headers],[Number of Insolated Top Slats]],Table2[#Headers],0),0)</f>
        <v>45</v>
      </c>
      <c r="BR404" s="2">
        <f>VLOOKUP([jobnumber],OvalData[],MATCH(Table2[[#Headers],[Insolated Total Slats]],Table2[#Headers],0),0)</f>
        <v>45</v>
      </c>
      <c r="BS404" s="2">
        <f>VLOOKUP([jobnumber],OvalData[],MATCH(Table2[[#Headers],[Number of Slats]],Table2[#Headers],0),0)</f>
        <v>44.69</v>
      </c>
      <c r="BT404" s="2">
        <f>VLOOKUP([jobnumber],OvalData[],MATCH(Table2[[#Headers],[Wrap]],Table2[#Headers],0),0)</f>
        <v>0</v>
      </c>
      <c r="BU404" s="2">
        <f>VLOOKUP([jobnumber],OvalData[],MATCH(Table2[[#Headers],[Wall Angle Thickness]],Table2[#Headers],0),0)</f>
        <v>0</v>
      </c>
      <c r="BV404" s="2">
        <f>VLOOKUP([jobnumber],OvalData[],MATCH(Table2[[#Headers],[windlocks]],Table2[#Headers],0),0)</f>
        <v>0</v>
      </c>
      <c r="BW404" s="2" t="str">
        <f>VLOOKUP([jobnumber],OvalData[],MATCH(Table2[[#Headers],[bottombartype]],Table2[#Headers],0),0)</f>
        <v>SPECIAL</v>
      </c>
      <c r="BX404" s="2">
        <f>VLOOKUP([jobnumber],OvalData[],MATCH(Table2[[#Headers],[endlockweight]],Table2[#Headers],0),0)</f>
        <v>0.17</v>
      </c>
      <c r="BY404" s="2">
        <f>VLOOKUP([jobnumber],OvalData[],MATCH(Table2[[#Headers],[Endlock Total Weight]],Table2[#Headers],0),0)</f>
        <v>7.5972999999999997</v>
      </c>
      <c r="BZ404" s="2">
        <f>VLOOKUP([jobnumber],OvalData[],MATCH(Table2[[#Headers],[Grille Weight]],Table2[#Headers],0),0)</f>
        <v>0</v>
      </c>
      <c r="CA404" s="2">
        <f>VLOOKUP([jobnumber],OvalData[],MATCH(Table2[[#Headers],[barrelrings]],Table2[#Headers],0),0)</f>
        <v>1</v>
      </c>
    </row>
    <row r="405" spans="2:79">
      <c r="B405" s="2" t="str">
        <f>VLOOKUP([jobnumber],OvalData[],MATCH(Table2[[#Headers],[Hand]],Table2[#Headers],0),0)</f>
        <v>RH</v>
      </c>
      <c r="C405" s="2" t="str">
        <f>VLOOKUP([jobnumber],OvalData[],MATCH(Table2[[#Headers],[Model]],Table2[#Headers],0),0)</f>
        <v>SFMPP</v>
      </c>
      <c r="D405" s="2" t="str">
        <f>VLOOKUP([jobnumber],OvalData[],MATCH(Table2[[#Headers],[width]],Table2[#Headers],0),0)</f>
        <v xml:space="preserve"> 18 ft.- 2"</v>
      </c>
      <c r="E405" s="2" t="str">
        <f>VLOOKUP([jobnumber],OvalData[],MATCH(Table2[[#Headers],[stopheight]],Table2[#Headers],0),0)</f>
        <v xml:space="preserve"> 10 ft.- 0"</v>
      </c>
      <c r="F405" s="2" t="str">
        <f>VLOOKUP([jobnumber],OvalData[],MATCH(Table2[[#Headers],[Between Brackets]],Table2[#Headers],0),0)</f>
        <v xml:space="preserve"> 18 ft.- 7 7/ 8"</v>
      </c>
      <c r="G405" s="2" t="str">
        <f>VLOOKUP([jobnumber],OvalData[],MATCH(Table2[[#Headers],[shell]],Table2[#Headers],0),0)</f>
        <v>6 INCH TUBE</v>
      </c>
      <c r="H405" s="2" t="str">
        <f>VLOOKUP([jobnumber],OvalData[],MATCH(Table2[[#Headers],[pipewidth]],Table2[#Headers],0),0)</f>
        <v xml:space="preserve"> 18 ft.- 1 3/ 8"</v>
      </c>
      <c r="I405" s="2">
        <f>VLOOKUP([jobnumber],OvalData[],MATCH(Table2[[#Headers],[Support Tubes]],Table2[#Headers],0),0)</f>
        <v>0</v>
      </c>
      <c r="J405" s="2">
        <f>VLOOKUP([jobnumber],OvalData[],MATCH(Table2[[#Headers],[Upset]],Table2[#Headers],0),0)</f>
        <v>2</v>
      </c>
      <c r="K405" s="2" t="str">
        <f>VLOOKUP([jobnumber],OvalData[],MATCH(Table2[[#Headers],[Guide Type]],Table2[#Headers],0),0)</f>
        <v>SN2-4 5/8-E</v>
      </c>
      <c r="L405" s="2" t="str">
        <f>VLOOKUP([jobnumber],OvalData[],MATCH(Table2[[#Headers],[Wall Angle]],Table2[#Headers],0),0)</f>
        <v xml:space="preserve"> 11 ft.- 8"</v>
      </c>
      <c r="M405" s="2" t="str">
        <f>VLOOKUP([jobnumber],OvalData[],MATCH(Table2[[#Headers],[Middle Angle]],Table2[#Headers],0),0)</f>
        <v xml:space="preserve"> 10 ft.- 4 1/ 2"</v>
      </c>
      <c r="N405" s="2" t="str">
        <f>VLOOKUP([jobnumber],OvalData[],MATCH(Table2[[#Headers],[Front Angle]],Table2[#Headers],0),0)</f>
        <v xml:space="preserve"> 10 ft.- 3"</v>
      </c>
      <c r="O405" s="2">
        <f>VLOOKUP([jobnumber],OvalData[],MATCH(Table2[[#Headers],[Pipe Center Line]],Table2[#Headers],0),0)</f>
        <v>131</v>
      </c>
      <c r="P405" s="2">
        <f>VLOOKUP([jobnumber],OvalData[],MATCH(Table2[[#Headers],[Heat Expansion Gap]],Table2[#Headers],0),0)</f>
        <v>0</v>
      </c>
      <c r="Q405" s="2">
        <f>VLOOKUP([jobnumber],OvalData[],MATCH(Table2[[#Headers],[Hanging Weight Closed]],Table2[#Headers],0),0)</f>
        <v>795</v>
      </c>
      <c r="R405" s="2">
        <f>VLOOKUP([jobnumber],OvalData[],MATCH(Table2[[#Headers],[Hanging Weight Open]],Table2[#Headers],0),0)</f>
        <v>140</v>
      </c>
      <c r="S405" s="2">
        <f>VLOOKUP([jobnumber],OvalData[],MATCH(Table2[[#Headers],[Initial Lever Arm]],Table2[#Headers],0),0)</f>
        <v>4.25</v>
      </c>
      <c r="T405" s="2">
        <f>VLOOKUP([jobnumber],OvalData[],MATCH(Table2[[#Headers],[Turns to Raise]],Table2[#Headers],0),0)</f>
        <v>3.5859999999999999</v>
      </c>
      <c r="U405" s="2">
        <f>VLOOKUP([jobnumber],OvalData[],MATCH(Table2[[#Headers],[Final Lever Arm]],Table2[#Headers],0),0)</f>
        <v>6.37</v>
      </c>
      <c r="V405" s="2">
        <f>VLOOKUP([jobnumber],OvalData[],MATCH(Table2[[#Headers],[Torque Required Closed]],Table2[#Headers],0),0)</f>
        <v>3377.9</v>
      </c>
      <c r="W405" s="2">
        <f>VLOOKUP([jobnumber],OvalData[],MATCH(Table2[[#Headers],[Torque Required Open]],Table2[#Headers],0),0)</f>
        <v>892</v>
      </c>
      <c r="X405" s="2">
        <f>VLOOKUP([jobnumber],OvalData[],MATCH(Table2[[#Headers],[Pre Turns]],Table2[#Headers],0),0)</f>
        <v>1.3332999999999999</v>
      </c>
      <c r="Y405" s="2">
        <f>VLOOKUP([jobnumber],OvalData[],MATCH(Table2[[#Headers],[Required Torque Per Turn]],Table2[#Headers],0),0)</f>
        <v>688</v>
      </c>
      <c r="Z405" s="2">
        <f>VLOOKUP([jobnumber],OvalData[],MATCH(Table2[[#Headers],[Total Turns]],Table2[#Headers],0),0)</f>
        <v>4.91</v>
      </c>
      <c r="AA405" s="2">
        <f>VLOOKUP([jobnumber],OvalData[],MATCH(Table2[[#Headers],[Grille Vision Section]],Table2[#Headers],0),0)</f>
        <v>0</v>
      </c>
      <c r="AB405" s="2">
        <f>VLOOKUP([jobnumber],OvalData[],MATCH(Table2[[#Headers],[Grille Amount]],Table2[#Headers],0),0)</f>
        <v>0</v>
      </c>
      <c r="AC405" s="2">
        <f>VLOOKUP([jobnumber],OvalData[],MATCH(Table2[[#Headers],[Grille Center]],Table2[#Headers],0),0)</f>
        <v>0</v>
      </c>
      <c r="AD405" s="2">
        <f>VLOOKUP([jobnumber],OvalData[],MATCH(Table2[[#Headers],[Grille Pattern]],Table2[#Headers],0),0)</f>
        <v>0</v>
      </c>
      <c r="AE405" s="2">
        <f>VLOOKUP([jobnumber],OvalData[],MATCH(Table2[[#Headers],[Grille First Tube]],Table2[#Headers],0),0)</f>
        <v>0</v>
      </c>
      <c r="AF405" s="2">
        <f>VLOOKUP([jobnumber],OvalData[],MATCH(Table2[[#Headers],[Grille Standard Tube]],Table2[#Headers],0),0)</f>
        <v>0</v>
      </c>
      <c r="AG405" s="2">
        <f>VLOOKUP([jobnumber],OvalData[],MATCH(Table2[[#Headers],[Grille Total Links]],Table2[#Headers],0),0)</f>
        <v>0</v>
      </c>
      <c r="AH405" s="2">
        <f>VLOOKUP([jobnumber],OvalData[],MATCH(Table2[[#Headers],[Grille Rods]],Table2[#Headers],0),0)</f>
        <v>0</v>
      </c>
      <c r="AI405" s="2">
        <f>VLOOKUP([jobnumber],OvalData[],MATCH(Table2[[#Headers],[Grille Rod Length]],Table2[#Headers],0),0)</f>
        <v>0</v>
      </c>
      <c r="AJ405" s="2">
        <f>VLOOKUP([jobnumber],OvalData[],MATCH(Table2[[#Headers],[slattype]],Table2[#Headers],0),0)</f>
        <v>2</v>
      </c>
      <c r="AK405" s="2">
        <f>VLOOKUP([jobnumber],OvalData[],MATCH(Table2[[#Headers],[slatgage]],Table2[#Headers],0),0)</f>
        <v>18</v>
      </c>
      <c r="AL405" s="2">
        <f>VLOOKUP([jobnumber],OvalData[],MATCH(Table2[[#Headers],[Numer of Top Slats]],Table2[#Headers],0),0)</f>
        <v>0</v>
      </c>
      <c r="AM405" s="2">
        <f>VLOOKUP([jobnumber],OvalData[],MATCH(Table2[[#Headers],[Number of Bottom Slats]],Table2[#Headers],0),0)</f>
        <v>0</v>
      </c>
      <c r="AN405" s="2">
        <f>VLOOKUP([jobnumber],OvalData[],MATCH(Table2[[#Headers],[Solid Bottom Height]],Table2[#Headers],0),0)</f>
        <v>0</v>
      </c>
      <c r="AO405" s="2" t="str">
        <f>VLOOKUP([jobnumber],OvalData[],MATCH(Table2[[#Headers],[slatlength]],Table2[#Headers],0),0)</f>
        <v xml:space="preserve"> 18 ft.- 5 7/ 8"</v>
      </c>
      <c r="AP405" s="2">
        <f>VLOOKUP([jobnumber],OvalData[],MATCH(Table2[[#Headers],[Bottom Slat Length]],Table2[#Headers],0),0)</f>
        <v>0</v>
      </c>
      <c r="AQ405" s="2">
        <f>VLOOKUP([jobnumber],OvalData[],MATCH(Table2[[#Headers],[Number of Perferated Slats]],Table2[#Headers],0),0)</f>
        <v>0</v>
      </c>
      <c r="AR405" s="2">
        <f>VLOOKUP([jobnumber],OvalData[],MATCH(Table2[[#Headers],[First Preferated Slat From End]],Table2[#Headers],0),0)</f>
        <v>0</v>
      </c>
      <c r="AS405" s="2">
        <f>VLOOKUP([jobnumber],OvalData[],MATCH(Table2[[#Headers],[First Preferated Slat From Bottom]],Table2[#Headers],0),0)</f>
        <v>0</v>
      </c>
      <c r="AT405" s="2">
        <f>VLOOKUP([jobnumber],OvalData[],MATCH(Table2[[#Headers],[Total Number of Slats]],Table2[#Headers],0),0)</f>
        <v>51</v>
      </c>
      <c r="AU405" s="2">
        <f>VLOOKUP([jobnumber],OvalData[],MATCH(Table2[[#Headers],[Bottom Bar Slope]],Table2[#Headers],0),0)</f>
        <v>0</v>
      </c>
      <c r="AV405" s="2">
        <f>VLOOKUP([jobnumber],OvalData[],MATCH(Table2[[#Headers],[Bottom Bar Weight]],Table2[#Headers],0),0)</f>
        <v>80.5</v>
      </c>
      <c r="AW405" s="2" t="str">
        <f>VLOOKUP([jobnumber],OvalData[],MATCH(Table2[[#Headers],[Outer Spring Gage]],Table2[#Headers],0),0)</f>
        <v>Null</v>
      </c>
      <c r="AX405" s="2" t="str">
        <f>VLOOKUP([jobnumber],OvalData[],MATCH(Table2[[#Headers],[Outer Spring OD]],Table2[#Headers],0),0)</f>
        <v>Null</v>
      </c>
      <c r="AY405" s="2" t="str">
        <f>VLOOKUP([jobnumber],OvalData[],MATCH(Table2[[#Headers],[Outer Spring Length]],Table2[#Headers],0),0)</f>
        <v>Null</v>
      </c>
      <c r="AZ405" s="2" t="str">
        <f>VLOOKUP([jobnumber],OvalData[],MATCH(Table2[[#Headers],[Outer Spring Stretch]],Table2[#Headers],0),0)</f>
        <v>Null</v>
      </c>
      <c r="BA405" s="2" t="str">
        <f>VLOOKUP([jobnumber],OvalData[],MATCH(Table2[[#Headers],[Outer Spring Torque]],Table2[#Headers],0),0)</f>
        <v>Null</v>
      </c>
      <c r="BB405" s="2" t="str">
        <f>VLOOKUP([jobnumber],OvalData[],MATCH(Table2[[#Headers],[Outer Spring Max Turns]],Table2[#Headers],0),0)</f>
        <v>Null</v>
      </c>
      <c r="BC405" s="2" t="str">
        <f>VLOOKUP([jobnumber],OvalData[],MATCH(Table2[[#Headers],[Outer Spring Weight]],Table2[#Headers],0),0)</f>
        <v>Null</v>
      </c>
      <c r="BD405" s="2" t="str">
        <f>VLOOKUP([jobnumber],OvalData[],MATCH(Table2[[#Headers],[Inner Spring Gage]],Table2[#Headers],0),0)</f>
        <v>Null</v>
      </c>
      <c r="BE405" s="2" t="str">
        <f>VLOOKUP([jobnumber],OvalData[],MATCH(Table2[[#Headers],[Inner Spring OD]],Table2[#Headers],0),0)</f>
        <v>Null</v>
      </c>
      <c r="BF405" s="2" t="str">
        <f>VLOOKUP([jobnumber],OvalData[],MATCH(Table2[[#Headers],[Inner Spring Length]],Table2[#Headers],0),0)</f>
        <v>Null</v>
      </c>
      <c r="BG405" s="2" t="str">
        <f>VLOOKUP([jobnumber],OvalData[],MATCH(Table2[[#Headers],[Inner Spring Stretch]],Table2[#Headers],0),0)</f>
        <v>Null</v>
      </c>
      <c r="BH405" s="2" t="str">
        <f>VLOOKUP([jobnumber],OvalData[],MATCH(Table2[[#Headers],[Inner Spring Torque]],Table2[#Headers],0),0)</f>
        <v>Null</v>
      </c>
      <c r="BI405" s="2" t="str">
        <f>VLOOKUP([jobnumber],OvalData[],MATCH(Table2[[#Headers],[Inner Spring Max Turns]],Table2[#Headers],0),0)</f>
        <v>Null</v>
      </c>
      <c r="BJ405" s="2" t="str">
        <f>VLOOKUP([jobnumber],OvalData[],MATCH(Table2[[#Headers],[Inner Spring Weight]],Table2[#Headers],0),0)</f>
        <v>Null</v>
      </c>
      <c r="BK405" s="2">
        <f>VLOOKUP([jobnumber],OvalData[],MATCH(Table2[[#Headers],[Cycles]],Table2[#Headers],0),0)</f>
        <v>0</v>
      </c>
      <c r="BL405" s="2">
        <f>VLOOKUP([jobnumber],OvalData[],MATCH(Table2[[#Headers],[Total Spring Torque]],Table2[#Headers],0),0)</f>
        <v>0</v>
      </c>
      <c r="BM405" s="2">
        <f>VLOOKUP([jobnumber],OvalData[],MATCH(Table2[[#Headers],[Total Spring Weight]],Table2[#Headers],0),0)</f>
        <v>0</v>
      </c>
      <c r="BN405" s="2">
        <f>VLOOKUP([jobnumber],OvalData[],MATCH(Table2[[#Headers],[Pipe Weight]],Table2[#Headers],0),0)</f>
        <v>688.24239999999998</v>
      </c>
      <c r="BO405" s="2">
        <f>VLOOKUP([jobnumber],OvalData[],MATCH(Table2[[#Headers],[Max Pipe Deflection]],Table2[#Headers],0),0)</f>
        <v>2309</v>
      </c>
      <c r="BP405" s="2">
        <f>VLOOKUP([jobnumber],OvalData[],MATCH(Table2[[#Headers],[Number Non-Insulated Wrap Slats]],Table2[#Headers],0),0)</f>
        <v>0</v>
      </c>
      <c r="BQ405" s="2">
        <f>VLOOKUP([jobnumber],OvalData[],MATCH(Table2[[#Headers],[Number of Insolated Top Slats]],Table2[#Headers],0),0)</f>
        <v>45</v>
      </c>
      <c r="BR405" s="2">
        <f>VLOOKUP([jobnumber],OvalData[],MATCH(Table2[[#Headers],[Insolated Total Slats]],Table2[#Headers],0),0)</f>
        <v>45</v>
      </c>
      <c r="BS405" s="2">
        <f>VLOOKUP([jobnumber],OvalData[],MATCH(Table2[[#Headers],[Number of Slats]],Table2[#Headers],0),0)</f>
        <v>44.69</v>
      </c>
      <c r="BT405" s="2">
        <f>VLOOKUP([jobnumber],OvalData[],MATCH(Table2[[#Headers],[Wrap]],Table2[#Headers],0),0)</f>
        <v>0</v>
      </c>
      <c r="BU405" s="2">
        <f>VLOOKUP([jobnumber],OvalData[],MATCH(Table2[[#Headers],[Wall Angle Thickness]],Table2[#Headers],0),0)</f>
        <v>0</v>
      </c>
      <c r="BV405" s="2">
        <f>VLOOKUP([jobnumber],OvalData[],MATCH(Table2[[#Headers],[windlocks]],Table2[#Headers],0),0)</f>
        <v>0</v>
      </c>
      <c r="BW405" s="2" t="str">
        <f>VLOOKUP([jobnumber],OvalData[],MATCH(Table2[[#Headers],[bottombartype]],Table2[#Headers],0),0)</f>
        <v>SPECIAL</v>
      </c>
      <c r="BX405" s="2">
        <f>VLOOKUP([jobnumber],OvalData[],MATCH(Table2[[#Headers],[endlockweight]],Table2[#Headers],0),0)</f>
        <v>0.17</v>
      </c>
      <c r="BY405" s="2">
        <f>VLOOKUP([jobnumber],OvalData[],MATCH(Table2[[#Headers],[Endlock Total Weight]],Table2[#Headers],0),0)</f>
        <v>7.5972999999999997</v>
      </c>
      <c r="BZ405" s="2">
        <f>VLOOKUP([jobnumber],OvalData[],MATCH(Table2[[#Headers],[Grille Weight]],Table2[#Headers],0),0)</f>
        <v>0</v>
      </c>
      <c r="CA405" s="2">
        <f>VLOOKUP([jobnumber],OvalData[],MATCH(Table2[[#Headers],[barrelrings]],Table2[#Headers],0),0)</f>
        <v>1</v>
      </c>
    </row>
    <row r="406" spans="2:79">
      <c r="B406" s="2" t="str">
        <f>VLOOKUP([jobnumber],OvalData[],MATCH(Table2[[#Headers],[Hand]],Table2[#Headers],0),0)</f>
        <v>RH</v>
      </c>
      <c r="C406" s="2" t="str">
        <f>VLOOKUP([jobnumber],OvalData[],MATCH(Table2[[#Headers],[Model]],Table2[#Headers],0),0)</f>
        <v>SFMPP</v>
      </c>
      <c r="D406" s="2" t="str">
        <f>VLOOKUP([jobnumber],OvalData[],MATCH(Table2[[#Headers],[width]],Table2[#Headers],0),0)</f>
        <v xml:space="preserve"> 18 ft.- 2"</v>
      </c>
      <c r="E406" s="2" t="str">
        <f>VLOOKUP([jobnumber],OvalData[],MATCH(Table2[[#Headers],[stopheight]],Table2[#Headers],0),0)</f>
        <v xml:space="preserve"> 10 ft.- 0"</v>
      </c>
      <c r="F406" s="2" t="str">
        <f>VLOOKUP([jobnumber],OvalData[],MATCH(Table2[[#Headers],[Between Brackets]],Table2[#Headers],0),0)</f>
        <v xml:space="preserve"> 18 ft.- 7 7/ 8"</v>
      </c>
      <c r="G406" s="2" t="str">
        <f>VLOOKUP([jobnumber],OvalData[],MATCH(Table2[[#Headers],[shell]],Table2[#Headers],0),0)</f>
        <v>6 INCH TUBE</v>
      </c>
      <c r="H406" s="2" t="str">
        <f>VLOOKUP([jobnumber],OvalData[],MATCH(Table2[[#Headers],[pipewidth]],Table2[#Headers],0),0)</f>
        <v xml:space="preserve"> 18 ft.- 1 3/ 8"</v>
      </c>
      <c r="I406" s="2">
        <f>VLOOKUP([jobnumber],OvalData[],MATCH(Table2[[#Headers],[Support Tubes]],Table2[#Headers],0),0)</f>
        <v>0</v>
      </c>
      <c r="J406" s="2">
        <f>VLOOKUP([jobnumber],OvalData[],MATCH(Table2[[#Headers],[Upset]],Table2[#Headers],0),0)</f>
        <v>2</v>
      </c>
      <c r="K406" s="2" t="str">
        <f>VLOOKUP([jobnumber],OvalData[],MATCH(Table2[[#Headers],[Guide Type]],Table2[#Headers],0),0)</f>
        <v>SN2-4 5/8-E</v>
      </c>
      <c r="L406" s="2" t="str">
        <f>VLOOKUP([jobnumber],OvalData[],MATCH(Table2[[#Headers],[Wall Angle]],Table2[#Headers],0),0)</f>
        <v xml:space="preserve"> 11 ft.- 8"</v>
      </c>
      <c r="M406" s="2" t="str">
        <f>VLOOKUP([jobnumber],OvalData[],MATCH(Table2[[#Headers],[Middle Angle]],Table2[#Headers],0),0)</f>
        <v xml:space="preserve"> 10 ft.- 4 1/ 2"</v>
      </c>
      <c r="N406" s="2" t="str">
        <f>VLOOKUP([jobnumber],OvalData[],MATCH(Table2[[#Headers],[Front Angle]],Table2[#Headers],0),0)</f>
        <v xml:space="preserve"> 10 ft.- 3"</v>
      </c>
      <c r="O406" s="2">
        <f>VLOOKUP([jobnumber],OvalData[],MATCH(Table2[[#Headers],[Pipe Center Line]],Table2[#Headers],0),0)</f>
        <v>131</v>
      </c>
      <c r="P406" s="2">
        <f>VLOOKUP([jobnumber],OvalData[],MATCH(Table2[[#Headers],[Heat Expansion Gap]],Table2[#Headers],0),0)</f>
        <v>0</v>
      </c>
      <c r="Q406" s="2">
        <f>VLOOKUP([jobnumber],OvalData[],MATCH(Table2[[#Headers],[Hanging Weight Closed]],Table2[#Headers],0),0)</f>
        <v>795</v>
      </c>
      <c r="R406" s="2">
        <f>VLOOKUP([jobnumber],OvalData[],MATCH(Table2[[#Headers],[Hanging Weight Open]],Table2[#Headers],0),0)</f>
        <v>140</v>
      </c>
      <c r="S406" s="2">
        <f>VLOOKUP([jobnumber],OvalData[],MATCH(Table2[[#Headers],[Initial Lever Arm]],Table2[#Headers],0),0)</f>
        <v>4.25</v>
      </c>
      <c r="T406" s="2">
        <f>VLOOKUP([jobnumber],OvalData[],MATCH(Table2[[#Headers],[Turns to Raise]],Table2[#Headers],0),0)</f>
        <v>3.5859999999999999</v>
      </c>
      <c r="U406" s="2">
        <f>VLOOKUP([jobnumber],OvalData[],MATCH(Table2[[#Headers],[Final Lever Arm]],Table2[#Headers],0),0)</f>
        <v>6.37</v>
      </c>
      <c r="V406" s="2">
        <f>VLOOKUP([jobnumber],OvalData[],MATCH(Table2[[#Headers],[Torque Required Closed]],Table2[#Headers],0),0)</f>
        <v>3377.9</v>
      </c>
      <c r="W406" s="2">
        <f>VLOOKUP([jobnumber],OvalData[],MATCH(Table2[[#Headers],[Torque Required Open]],Table2[#Headers],0),0)</f>
        <v>892</v>
      </c>
      <c r="X406" s="2">
        <f>VLOOKUP([jobnumber],OvalData[],MATCH(Table2[[#Headers],[Pre Turns]],Table2[#Headers],0),0)</f>
        <v>1.3332999999999999</v>
      </c>
      <c r="Y406" s="2">
        <f>VLOOKUP([jobnumber],OvalData[],MATCH(Table2[[#Headers],[Required Torque Per Turn]],Table2[#Headers],0),0)</f>
        <v>688</v>
      </c>
      <c r="Z406" s="2">
        <f>VLOOKUP([jobnumber],OvalData[],MATCH(Table2[[#Headers],[Total Turns]],Table2[#Headers],0),0)</f>
        <v>4.91</v>
      </c>
      <c r="AA406" s="2">
        <f>VLOOKUP([jobnumber],OvalData[],MATCH(Table2[[#Headers],[Grille Vision Section]],Table2[#Headers],0),0)</f>
        <v>0</v>
      </c>
      <c r="AB406" s="2">
        <f>VLOOKUP([jobnumber],OvalData[],MATCH(Table2[[#Headers],[Grille Amount]],Table2[#Headers],0),0)</f>
        <v>0</v>
      </c>
      <c r="AC406" s="2">
        <f>VLOOKUP([jobnumber],OvalData[],MATCH(Table2[[#Headers],[Grille Center]],Table2[#Headers],0),0)</f>
        <v>0</v>
      </c>
      <c r="AD406" s="2">
        <f>VLOOKUP([jobnumber],OvalData[],MATCH(Table2[[#Headers],[Grille Pattern]],Table2[#Headers],0),0)</f>
        <v>0</v>
      </c>
      <c r="AE406" s="2">
        <f>VLOOKUP([jobnumber],OvalData[],MATCH(Table2[[#Headers],[Grille First Tube]],Table2[#Headers],0),0)</f>
        <v>0</v>
      </c>
      <c r="AF406" s="2">
        <f>VLOOKUP([jobnumber],OvalData[],MATCH(Table2[[#Headers],[Grille Standard Tube]],Table2[#Headers],0),0)</f>
        <v>0</v>
      </c>
      <c r="AG406" s="2">
        <f>VLOOKUP([jobnumber],OvalData[],MATCH(Table2[[#Headers],[Grille Total Links]],Table2[#Headers],0),0)</f>
        <v>0</v>
      </c>
      <c r="AH406" s="2">
        <f>VLOOKUP([jobnumber],OvalData[],MATCH(Table2[[#Headers],[Grille Rods]],Table2[#Headers],0),0)</f>
        <v>0</v>
      </c>
      <c r="AI406" s="2">
        <f>VLOOKUP([jobnumber],OvalData[],MATCH(Table2[[#Headers],[Grille Rod Length]],Table2[#Headers],0),0)</f>
        <v>0</v>
      </c>
      <c r="AJ406" s="2">
        <f>VLOOKUP([jobnumber],OvalData[],MATCH(Table2[[#Headers],[slattype]],Table2[#Headers],0),0)</f>
        <v>2</v>
      </c>
      <c r="AK406" s="2">
        <f>VLOOKUP([jobnumber],OvalData[],MATCH(Table2[[#Headers],[slatgage]],Table2[#Headers],0),0)</f>
        <v>18</v>
      </c>
      <c r="AL406" s="2">
        <f>VLOOKUP([jobnumber],OvalData[],MATCH(Table2[[#Headers],[Numer of Top Slats]],Table2[#Headers],0),0)</f>
        <v>0</v>
      </c>
      <c r="AM406" s="2">
        <f>VLOOKUP([jobnumber],OvalData[],MATCH(Table2[[#Headers],[Number of Bottom Slats]],Table2[#Headers],0),0)</f>
        <v>0</v>
      </c>
      <c r="AN406" s="2">
        <f>VLOOKUP([jobnumber],OvalData[],MATCH(Table2[[#Headers],[Solid Bottom Height]],Table2[#Headers],0),0)</f>
        <v>0</v>
      </c>
      <c r="AO406" s="2" t="str">
        <f>VLOOKUP([jobnumber],OvalData[],MATCH(Table2[[#Headers],[slatlength]],Table2[#Headers],0),0)</f>
        <v xml:space="preserve"> 18 ft.- 5 7/ 8"</v>
      </c>
      <c r="AP406" s="2">
        <f>VLOOKUP([jobnumber],OvalData[],MATCH(Table2[[#Headers],[Bottom Slat Length]],Table2[#Headers],0),0)</f>
        <v>0</v>
      </c>
      <c r="AQ406" s="2">
        <f>VLOOKUP([jobnumber],OvalData[],MATCH(Table2[[#Headers],[Number of Perferated Slats]],Table2[#Headers],0),0)</f>
        <v>0</v>
      </c>
      <c r="AR406" s="2">
        <f>VLOOKUP([jobnumber],OvalData[],MATCH(Table2[[#Headers],[First Preferated Slat From End]],Table2[#Headers],0),0)</f>
        <v>0</v>
      </c>
      <c r="AS406" s="2">
        <f>VLOOKUP([jobnumber],OvalData[],MATCH(Table2[[#Headers],[First Preferated Slat From Bottom]],Table2[#Headers],0),0)</f>
        <v>0</v>
      </c>
      <c r="AT406" s="2">
        <f>VLOOKUP([jobnumber],OvalData[],MATCH(Table2[[#Headers],[Total Number of Slats]],Table2[#Headers],0),0)</f>
        <v>51</v>
      </c>
      <c r="AU406" s="2">
        <f>VLOOKUP([jobnumber],OvalData[],MATCH(Table2[[#Headers],[Bottom Bar Slope]],Table2[#Headers],0),0)</f>
        <v>0</v>
      </c>
      <c r="AV406" s="2">
        <f>VLOOKUP([jobnumber],OvalData[],MATCH(Table2[[#Headers],[Bottom Bar Weight]],Table2[#Headers],0),0)</f>
        <v>80.5</v>
      </c>
      <c r="AW406" s="2" t="str">
        <f>VLOOKUP([jobnumber],OvalData[],MATCH(Table2[[#Headers],[Outer Spring Gage]],Table2[#Headers],0),0)</f>
        <v>Null</v>
      </c>
      <c r="AX406" s="2" t="str">
        <f>VLOOKUP([jobnumber],OvalData[],MATCH(Table2[[#Headers],[Outer Spring OD]],Table2[#Headers],0),0)</f>
        <v>Null</v>
      </c>
      <c r="AY406" s="2" t="str">
        <f>VLOOKUP([jobnumber],OvalData[],MATCH(Table2[[#Headers],[Outer Spring Length]],Table2[#Headers],0),0)</f>
        <v>Null</v>
      </c>
      <c r="AZ406" s="2" t="str">
        <f>VLOOKUP([jobnumber],OvalData[],MATCH(Table2[[#Headers],[Outer Spring Stretch]],Table2[#Headers],0),0)</f>
        <v>Null</v>
      </c>
      <c r="BA406" s="2" t="str">
        <f>VLOOKUP([jobnumber],OvalData[],MATCH(Table2[[#Headers],[Outer Spring Torque]],Table2[#Headers],0),0)</f>
        <v>Null</v>
      </c>
      <c r="BB406" s="2" t="str">
        <f>VLOOKUP([jobnumber],OvalData[],MATCH(Table2[[#Headers],[Outer Spring Max Turns]],Table2[#Headers],0),0)</f>
        <v>Null</v>
      </c>
      <c r="BC406" s="2" t="str">
        <f>VLOOKUP([jobnumber],OvalData[],MATCH(Table2[[#Headers],[Outer Spring Weight]],Table2[#Headers],0),0)</f>
        <v>Null</v>
      </c>
      <c r="BD406" s="2" t="str">
        <f>VLOOKUP([jobnumber],OvalData[],MATCH(Table2[[#Headers],[Inner Spring Gage]],Table2[#Headers],0),0)</f>
        <v>Null</v>
      </c>
      <c r="BE406" s="2" t="str">
        <f>VLOOKUP([jobnumber],OvalData[],MATCH(Table2[[#Headers],[Inner Spring OD]],Table2[#Headers],0),0)</f>
        <v>Null</v>
      </c>
      <c r="BF406" s="2" t="str">
        <f>VLOOKUP([jobnumber],OvalData[],MATCH(Table2[[#Headers],[Inner Spring Length]],Table2[#Headers],0),0)</f>
        <v>Null</v>
      </c>
      <c r="BG406" s="2" t="str">
        <f>VLOOKUP([jobnumber],OvalData[],MATCH(Table2[[#Headers],[Inner Spring Stretch]],Table2[#Headers],0),0)</f>
        <v>Null</v>
      </c>
      <c r="BH406" s="2" t="str">
        <f>VLOOKUP([jobnumber],OvalData[],MATCH(Table2[[#Headers],[Inner Spring Torque]],Table2[#Headers],0),0)</f>
        <v>Null</v>
      </c>
      <c r="BI406" s="2" t="str">
        <f>VLOOKUP([jobnumber],OvalData[],MATCH(Table2[[#Headers],[Inner Spring Max Turns]],Table2[#Headers],0),0)</f>
        <v>Null</v>
      </c>
      <c r="BJ406" s="2" t="str">
        <f>VLOOKUP([jobnumber],OvalData[],MATCH(Table2[[#Headers],[Inner Spring Weight]],Table2[#Headers],0),0)</f>
        <v>Null</v>
      </c>
      <c r="BK406" s="2">
        <f>VLOOKUP([jobnumber],OvalData[],MATCH(Table2[[#Headers],[Cycles]],Table2[#Headers],0),0)</f>
        <v>0</v>
      </c>
      <c r="BL406" s="2">
        <f>VLOOKUP([jobnumber],OvalData[],MATCH(Table2[[#Headers],[Total Spring Torque]],Table2[#Headers],0),0)</f>
        <v>0</v>
      </c>
      <c r="BM406" s="2">
        <f>VLOOKUP([jobnumber],OvalData[],MATCH(Table2[[#Headers],[Total Spring Weight]],Table2[#Headers],0),0)</f>
        <v>0</v>
      </c>
      <c r="BN406" s="2">
        <f>VLOOKUP([jobnumber],OvalData[],MATCH(Table2[[#Headers],[Pipe Weight]],Table2[#Headers],0),0)</f>
        <v>688.24239999999998</v>
      </c>
      <c r="BO406" s="2">
        <f>VLOOKUP([jobnumber],OvalData[],MATCH(Table2[[#Headers],[Max Pipe Deflection]],Table2[#Headers],0),0)</f>
        <v>2309</v>
      </c>
      <c r="BP406" s="2">
        <f>VLOOKUP([jobnumber],OvalData[],MATCH(Table2[[#Headers],[Number Non-Insulated Wrap Slats]],Table2[#Headers],0),0)</f>
        <v>0</v>
      </c>
      <c r="BQ406" s="2">
        <f>VLOOKUP([jobnumber],OvalData[],MATCH(Table2[[#Headers],[Number of Insolated Top Slats]],Table2[#Headers],0),0)</f>
        <v>45</v>
      </c>
      <c r="BR406" s="2">
        <f>VLOOKUP([jobnumber],OvalData[],MATCH(Table2[[#Headers],[Insolated Total Slats]],Table2[#Headers],0),0)</f>
        <v>45</v>
      </c>
      <c r="BS406" s="2">
        <f>VLOOKUP([jobnumber],OvalData[],MATCH(Table2[[#Headers],[Number of Slats]],Table2[#Headers],0),0)</f>
        <v>44.69</v>
      </c>
      <c r="BT406" s="2">
        <f>VLOOKUP([jobnumber],OvalData[],MATCH(Table2[[#Headers],[Wrap]],Table2[#Headers],0),0)</f>
        <v>0</v>
      </c>
      <c r="BU406" s="2">
        <f>VLOOKUP([jobnumber],OvalData[],MATCH(Table2[[#Headers],[Wall Angle Thickness]],Table2[#Headers],0),0)</f>
        <v>0</v>
      </c>
      <c r="BV406" s="2">
        <f>VLOOKUP([jobnumber],OvalData[],MATCH(Table2[[#Headers],[windlocks]],Table2[#Headers],0),0)</f>
        <v>0</v>
      </c>
      <c r="BW406" s="2" t="str">
        <f>VLOOKUP([jobnumber],OvalData[],MATCH(Table2[[#Headers],[bottombartype]],Table2[#Headers],0),0)</f>
        <v>SPECIAL</v>
      </c>
      <c r="BX406" s="2">
        <f>VLOOKUP([jobnumber],OvalData[],MATCH(Table2[[#Headers],[endlockweight]],Table2[#Headers],0),0)</f>
        <v>0.17</v>
      </c>
      <c r="BY406" s="2">
        <f>VLOOKUP([jobnumber],OvalData[],MATCH(Table2[[#Headers],[Endlock Total Weight]],Table2[#Headers],0),0)</f>
        <v>7.5972999999999997</v>
      </c>
      <c r="BZ406" s="2">
        <f>VLOOKUP([jobnumber],OvalData[],MATCH(Table2[[#Headers],[Grille Weight]],Table2[#Headers],0),0)</f>
        <v>0</v>
      </c>
      <c r="CA406" s="2">
        <f>VLOOKUP([jobnumber],OvalData[],MATCH(Table2[[#Headers],[barrelrings]],Table2[#Headers],0),0)</f>
        <v>1</v>
      </c>
    </row>
    <row r="407" spans="2:79">
      <c r="B407" s="2" t="str">
        <f>VLOOKUP([jobnumber],OvalData[],MATCH(Table2[[#Headers],[Hand]],Table2[#Headers],0),0)</f>
        <v>RH</v>
      </c>
      <c r="C407" s="2" t="str">
        <f>VLOOKUP([jobnumber],OvalData[],MATCH(Table2[[#Headers],[Model]],Table2[#Headers],0),0)</f>
        <v>SFMPP</v>
      </c>
      <c r="D407" s="2" t="str">
        <f>VLOOKUP([jobnumber],OvalData[],MATCH(Table2[[#Headers],[width]],Table2[#Headers],0),0)</f>
        <v xml:space="preserve"> 18 ft.- 2"</v>
      </c>
      <c r="E407" s="2" t="str">
        <f>VLOOKUP([jobnumber],OvalData[],MATCH(Table2[[#Headers],[stopheight]],Table2[#Headers],0),0)</f>
        <v xml:space="preserve"> 10 ft.- 0"</v>
      </c>
      <c r="F407" s="2" t="str">
        <f>VLOOKUP([jobnumber],OvalData[],MATCH(Table2[[#Headers],[Between Brackets]],Table2[#Headers],0),0)</f>
        <v xml:space="preserve"> 18 ft.- 7 7/ 8"</v>
      </c>
      <c r="G407" s="2" t="str">
        <f>VLOOKUP([jobnumber],OvalData[],MATCH(Table2[[#Headers],[shell]],Table2[#Headers],0),0)</f>
        <v>6 INCH TUBE</v>
      </c>
      <c r="H407" s="2" t="str">
        <f>VLOOKUP([jobnumber],OvalData[],MATCH(Table2[[#Headers],[pipewidth]],Table2[#Headers],0),0)</f>
        <v xml:space="preserve"> 18 ft.- 1 3/ 8"</v>
      </c>
      <c r="I407" s="2">
        <f>VLOOKUP([jobnumber],OvalData[],MATCH(Table2[[#Headers],[Support Tubes]],Table2[#Headers],0),0)</f>
        <v>0</v>
      </c>
      <c r="J407" s="2">
        <f>VLOOKUP([jobnumber],OvalData[],MATCH(Table2[[#Headers],[Upset]],Table2[#Headers],0),0)</f>
        <v>2</v>
      </c>
      <c r="K407" s="2" t="str">
        <f>VLOOKUP([jobnumber],OvalData[],MATCH(Table2[[#Headers],[Guide Type]],Table2[#Headers],0),0)</f>
        <v>SN2-4 5/8-E</v>
      </c>
      <c r="L407" s="2" t="str">
        <f>VLOOKUP([jobnumber],OvalData[],MATCH(Table2[[#Headers],[Wall Angle]],Table2[#Headers],0),0)</f>
        <v xml:space="preserve"> 11 ft.- 8"</v>
      </c>
      <c r="M407" s="2" t="str">
        <f>VLOOKUP([jobnumber],OvalData[],MATCH(Table2[[#Headers],[Middle Angle]],Table2[#Headers],0),0)</f>
        <v xml:space="preserve"> 10 ft.- 4 1/ 2"</v>
      </c>
      <c r="N407" s="2" t="str">
        <f>VLOOKUP([jobnumber],OvalData[],MATCH(Table2[[#Headers],[Front Angle]],Table2[#Headers],0),0)</f>
        <v xml:space="preserve"> 10 ft.- 3"</v>
      </c>
      <c r="O407" s="2">
        <f>VLOOKUP([jobnumber],OvalData[],MATCH(Table2[[#Headers],[Pipe Center Line]],Table2[#Headers],0),0)</f>
        <v>131</v>
      </c>
      <c r="P407" s="2">
        <f>VLOOKUP([jobnumber],OvalData[],MATCH(Table2[[#Headers],[Heat Expansion Gap]],Table2[#Headers],0),0)</f>
        <v>0</v>
      </c>
      <c r="Q407" s="2">
        <f>VLOOKUP([jobnumber],OvalData[],MATCH(Table2[[#Headers],[Hanging Weight Closed]],Table2[#Headers],0),0)</f>
        <v>795</v>
      </c>
      <c r="R407" s="2">
        <f>VLOOKUP([jobnumber],OvalData[],MATCH(Table2[[#Headers],[Hanging Weight Open]],Table2[#Headers],0),0)</f>
        <v>140</v>
      </c>
      <c r="S407" s="2">
        <f>VLOOKUP([jobnumber],OvalData[],MATCH(Table2[[#Headers],[Initial Lever Arm]],Table2[#Headers],0),0)</f>
        <v>4.25</v>
      </c>
      <c r="T407" s="2">
        <f>VLOOKUP([jobnumber],OvalData[],MATCH(Table2[[#Headers],[Turns to Raise]],Table2[#Headers],0),0)</f>
        <v>3.5859999999999999</v>
      </c>
      <c r="U407" s="2">
        <f>VLOOKUP([jobnumber],OvalData[],MATCH(Table2[[#Headers],[Final Lever Arm]],Table2[#Headers],0),0)</f>
        <v>6.37</v>
      </c>
      <c r="V407" s="2">
        <f>VLOOKUP([jobnumber],OvalData[],MATCH(Table2[[#Headers],[Torque Required Closed]],Table2[#Headers],0),0)</f>
        <v>3377.9</v>
      </c>
      <c r="W407" s="2">
        <f>VLOOKUP([jobnumber],OvalData[],MATCH(Table2[[#Headers],[Torque Required Open]],Table2[#Headers],0),0)</f>
        <v>892</v>
      </c>
      <c r="X407" s="2">
        <f>VLOOKUP([jobnumber],OvalData[],MATCH(Table2[[#Headers],[Pre Turns]],Table2[#Headers],0),0)</f>
        <v>1.3332999999999999</v>
      </c>
      <c r="Y407" s="2">
        <f>VLOOKUP([jobnumber],OvalData[],MATCH(Table2[[#Headers],[Required Torque Per Turn]],Table2[#Headers],0),0)</f>
        <v>688</v>
      </c>
      <c r="Z407" s="2">
        <f>VLOOKUP([jobnumber],OvalData[],MATCH(Table2[[#Headers],[Total Turns]],Table2[#Headers],0),0)</f>
        <v>4.91</v>
      </c>
      <c r="AA407" s="2">
        <f>VLOOKUP([jobnumber],OvalData[],MATCH(Table2[[#Headers],[Grille Vision Section]],Table2[#Headers],0),0)</f>
        <v>0</v>
      </c>
      <c r="AB407" s="2">
        <f>VLOOKUP([jobnumber],OvalData[],MATCH(Table2[[#Headers],[Grille Amount]],Table2[#Headers],0),0)</f>
        <v>0</v>
      </c>
      <c r="AC407" s="2">
        <f>VLOOKUP([jobnumber],OvalData[],MATCH(Table2[[#Headers],[Grille Center]],Table2[#Headers],0),0)</f>
        <v>0</v>
      </c>
      <c r="AD407" s="2">
        <f>VLOOKUP([jobnumber],OvalData[],MATCH(Table2[[#Headers],[Grille Pattern]],Table2[#Headers],0),0)</f>
        <v>0</v>
      </c>
      <c r="AE407" s="2">
        <f>VLOOKUP([jobnumber],OvalData[],MATCH(Table2[[#Headers],[Grille First Tube]],Table2[#Headers],0),0)</f>
        <v>0</v>
      </c>
      <c r="AF407" s="2">
        <f>VLOOKUP([jobnumber],OvalData[],MATCH(Table2[[#Headers],[Grille Standard Tube]],Table2[#Headers],0),0)</f>
        <v>0</v>
      </c>
      <c r="AG407" s="2">
        <f>VLOOKUP([jobnumber],OvalData[],MATCH(Table2[[#Headers],[Grille Total Links]],Table2[#Headers],0),0)</f>
        <v>0</v>
      </c>
      <c r="AH407" s="2">
        <f>VLOOKUP([jobnumber],OvalData[],MATCH(Table2[[#Headers],[Grille Rods]],Table2[#Headers],0),0)</f>
        <v>0</v>
      </c>
      <c r="AI407" s="2">
        <f>VLOOKUP([jobnumber],OvalData[],MATCH(Table2[[#Headers],[Grille Rod Length]],Table2[#Headers],0),0)</f>
        <v>0</v>
      </c>
      <c r="AJ407" s="2">
        <f>VLOOKUP([jobnumber],OvalData[],MATCH(Table2[[#Headers],[slattype]],Table2[#Headers],0),0)</f>
        <v>2</v>
      </c>
      <c r="AK407" s="2">
        <f>VLOOKUP([jobnumber],OvalData[],MATCH(Table2[[#Headers],[slatgage]],Table2[#Headers],0),0)</f>
        <v>18</v>
      </c>
      <c r="AL407" s="2">
        <f>VLOOKUP([jobnumber],OvalData[],MATCH(Table2[[#Headers],[Numer of Top Slats]],Table2[#Headers],0),0)</f>
        <v>0</v>
      </c>
      <c r="AM407" s="2">
        <f>VLOOKUP([jobnumber],OvalData[],MATCH(Table2[[#Headers],[Number of Bottom Slats]],Table2[#Headers],0),0)</f>
        <v>0</v>
      </c>
      <c r="AN407" s="2">
        <f>VLOOKUP([jobnumber],OvalData[],MATCH(Table2[[#Headers],[Solid Bottom Height]],Table2[#Headers],0),0)</f>
        <v>0</v>
      </c>
      <c r="AO407" s="2" t="str">
        <f>VLOOKUP([jobnumber],OvalData[],MATCH(Table2[[#Headers],[slatlength]],Table2[#Headers],0),0)</f>
        <v xml:space="preserve"> 18 ft.- 5 7/ 8"</v>
      </c>
      <c r="AP407" s="2">
        <f>VLOOKUP([jobnumber],OvalData[],MATCH(Table2[[#Headers],[Bottom Slat Length]],Table2[#Headers],0),0)</f>
        <v>0</v>
      </c>
      <c r="AQ407" s="2">
        <f>VLOOKUP([jobnumber],OvalData[],MATCH(Table2[[#Headers],[Number of Perferated Slats]],Table2[#Headers],0),0)</f>
        <v>0</v>
      </c>
      <c r="AR407" s="2">
        <f>VLOOKUP([jobnumber],OvalData[],MATCH(Table2[[#Headers],[First Preferated Slat From End]],Table2[#Headers],0),0)</f>
        <v>0</v>
      </c>
      <c r="AS407" s="2">
        <f>VLOOKUP([jobnumber],OvalData[],MATCH(Table2[[#Headers],[First Preferated Slat From Bottom]],Table2[#Headers],0),0)</f>
        <v>0</v>
      </c>
      <c r="AT407" s="2">
        <f>VLOOKUP([jobnumber],OvalData[],MATCH(Table2[[#Headers],[Total Number of Slats]],Table2[#Headers],0),0)</f>
        <v>51</v>
      </c>
      <c r="AU407" s="2">
        <f>VLOOKUP([jobnumber],OvalData[],MATCH(Table2[[#Headers],[Bottom Bar Slope]],Table2[#Headers],0),0)</f>
        <v>0</v>
      </c>
      <c r="AV407" s="2">
        <f>VLOOKUP([jobnumber],OvalData[],MATCH(Table2[[#Headers],[Bottom Bar Weight]],Table2[#Headers],0),0)</f>
        <v>80.5</v>
      </c>
      <c r="AW407" s="2" t="str">
        <f>VLOOKUP([jobnumber],OvalData[],MATCH(Table2[[#Headers],[Outer Spring Gage]],Table2[#Headers],0),0)</f>
        <v>Null</v>
      </c>
      <c r="AX407" s="2" t="str">
        <f>VLOOKUP([jobnumber],OvalData[],MATCH(Table2[[#Headers],[Outer Spring OD]],Table2[#Headers],0),0)</f>
        <v>Null</v>
      </c>
      <c r="AY407" s="2" t="str">
        <f>VLOOKUP([jobnumber],OvalData[],MATCH(Table2[[#Headers],[Outer Spring Length]],Table2[#Headers],0),0)</f>
        <v>Null</v>
      </c>
      <c r="AZ407" s="2" t="str">
        <f>VLOOKUP([jobnumber],OvalData[],MATCH(Table2[[#Headers],[Outer Spring Stretch]],Table2[#Headers],0),0)</f>
        <v>Null</v>
      </c>
      <c r="BA407" s="2" t="str">
        <f>VLOOKUP([jobnumber],OvalData[],MATCH(Table2[[#Headers],[Outer Spring Torque]],Table2[#Headers],0),0)</f>
        <v>Null</v>
      </c>
      <c r="BB407" s="2" t="str">
        <f>VLOOKUP([jobnumber],OvalData[],MATCH(Table2[[#Headers],[Outer Spring Max Turns]],Table2[#Headers],0),0)</f>
        <v>Null</v>
      </c>
      <c r="BC407" s="2" t="str">
        <f>VLOOKUP([jobnumber],OvalData[],MATCH(Table2[[#Headers],[Outer Spring Weight]],Table2[#Headers],0),0)</f>
        <v>Null</v>
      </c>
      <c r="BD407" s="2" t="str">
        <f>VLOOKUP([jobnumber],OvalData[],MATCH(Table2[[#Headers],[Inner Spring Gage]],Table2[#Headers],0),0)</f>
        <v>Null</v>
      </c>
      <c r="BE407" s="2" t="str">
        <f>VLOOKUP([jobnumber],OvalData[],MATCH(Table2[[#Headers],[Inner Spring OD]],Table2[#Headers],0),0)</f>
        <v>Null</v>
      </c>
      <c r="BF407" s="2" t="str">
        <f>VLOOKUP([jobnumber],OvalData[],MATCH(Table2[[#Headers],[Inner Spring Length]],Table2[#Headers],0),0)</f>
        <v>Null</v>
      </c>
      <c r="BG407" s="2" t="str">
        <f>VLOOKUP([jobnumber],OvalData[],MATCH(Table2[[#Headers],[Inner Spring Stretch]],Table2[#Headers],0),0)</f>
        <v>Null</v>
      </c>
      <c r="BH407" s="2" t="str">
        <f>VLOOKUP([jobnumber],OvalData[],MATCH(Table2[[#Headers],[Inner Spring Torque]],Table2[#Headers],0),0)</f>
        <v>Null</v>
      </c>
      <c r="BI407" s="2" t="str">
        <f>VLOOKUP([jobnumber],OvalData[],MATCH(Table2[[#Headers],[Inner Spring Max Turns]],Table2[#Headers],0),0)</f>
        <v>Null</v>
      </c>
      <c r="BJ407" s="2" t="str">
        <f>VLOOKUP([jobnumber],OvalData[],MATCH(Table2[[#Headers],[Inner Spring Weight]],Table2[#Headers],0),0)</f>
        <v>Null</v>
      </c>
      <c r="BK407" s="2">
        <f>VLOOKUP([jobnumber],OvalData[],MATCH(Table2[[#Headers],[Cycles]],Table2[#Headers],0),0)</f>
        <v>0</v>
      </c>
      <c r="BL407" s="2">
        <f>VLOOKUP([jobnumber],OvalData[],MATCH(Table2[[#Headers],[Total Spring Torque]],Table2[#Headers],0),0)</f>
        <v>0</v>
      </c>
      <c r="BM407" s="2">
        <f>VLOOKUP([jobnumber],OvalData[],MATCH(Table2[[#Headers],[Total Spring Weight]],Table2[#Headers],0),0)</f>
        <v>0</v>
      </c>
      <c r="BN407" s="2">
        <f>VLOOKUP([jobnumber],OvalData[],MATCH(Table2[[#Headers],[Pipe Weight]],Table2[#Headers],0),0)</f>
        <v>688.24239999999998</v>
      </c>
      <c r="BO407" s="2">
        <f>VLOOKUP([jobnumber],OvalData[],MATCH(Table2[[#Headers],[Max Pipe Deflection]],Table2[#Headers],0),0)</f>
        <v>2309</v>
      </c>
      <c r="BP407" s="2">
        <f>VLOOKUP([jobnumber],OvalData[],MATCH(Table2[[#Headers],[Number Non-Insulated Wrap Slats]],Table2[#Headers],0),0)</f>
        <v>0</v>
      </c>
      <c r="BQ407" s="2">
        <f>VLOOKUP([jobnumber],OvalData[],MATCH(Table2[[#Headers],[Number of Insolated Top Slats]],Table2[#Headers],0),0)</f>
        <v>45</v>
      </c>
      <c r="BR407" s="2">
        <f>VLOOKUP([jobnumber],OvalData[],MATCH(Table2[[#Headers],[Insolated Total Slats]],Table2[#Headers],0),0)</f>
        <v>45</v>
      </c>
      <c r="BS407" s="2">
        <f>VLOOKUP([jobnumber],OvalData[],MATCH(Table2[[#Headers],[Number of Slats]],Table2[#Headers],0),0)</f>
        <v>44.69</v>
      </c>
      <c r="BT407" s="2">
        <f>VLOOKUP([jobnumber],OvalData[],MATCH(Table2[[#Headers],[Wrap]],Table2[#Headers],0),0)</f>
        <v>0</v>
      </c>
      <c r="BU407" s="2">
        <f>VLOOKUP([jobnumber],OvalData[],MATCH(Table2[[#Headers],[Wall Angle Thickness]],Table2[#Headers],0),0)</f>
        <v>0</v>
      </c>
      <c r="BV407" s="2">
        <f>VLOOKUP([jobnumber],OvalData[],MATCH(Table2[[#Headers],[windlocks]],Table2[#Headers],0),0)</f>
        <v>0</v>
      </c>
      <c r="BW407" s="2" t="str">
        <f>VLOOKUP([jobnumber],OvalData[],MATCH(Table2[[#Headers],[bottombartype]],Table2[#Headers],0),0)</f>
        <v>SPECIAL</v>
      </c>
      <c r="BX407" s="2">
        <f>VLOOKUP([jobnumber],OvalData[],MATCH(Table2[[#Headers],[endlockweight]],Table2[#Headers],0),0)</f>
        <v>0.17</v>
      </c>
      <c r="BY407" s="2">
        <f>VLOOKUP([jobnumber],OvalData[],MATCH(Table2[[#Headers],[Endlock Total Weight]],Table2[#Headers],0),0)</f>
        <v>7.5972999999999997</v>
      </c>
      <c r="BZ407" s="2">
        <f>VLOOKUP([jobnumber],OvalData[],MATCH(Table2[[#Headers],[Grille Weight]],Table2[#Headers],0),0)</f>
        <v>0</v>
      </c>
      <c r="CA407" s="2">
        <f>VLOOKUP([jobnumber],OvalData[],MATCH(Table2[[#Headers],[barrelrings]],Table2[#Headers],0),0)</f>
        <v>1</v>
      </c>
    </row>
    <row r="408" spans="2:79">
      <c r="B408" s="2" t="str">
        <f>VLOOKUP([jobnumber],OvalData[],MATCH(Table2[[#Headers],[Hand]],Table2[#Headers],0),0)</f>
        <v>RH</v>
      </c>
      <c r="C408" s="2" t="str">
        <f>VLOOKUP([jobnumber],OvalData[],MATCH(Table2[[#Headers],[Model]],Table2[#Headers],0),0)</f>
        <v>SFMPP</v>
      </c>
      <c r="D408" s="2" t="str">
        <f>VLOOKUP([jobnumber],OvalData[],MATCH(Table2[[#Headers],[width]],Table2[#Headers],0),0)</f>
        <v xml:space="preserve"> 18 ft.- 2"</v>
      </c>
      <c r="E408" s="2" t="str">
        <f>VLOOKUP([jobnumber],OvalData[],MATCH(Table2[[#Headers],[stopheight]],Table2[#Headers],0),0)</f>
        <v xml:space="preserve"> 10 ft.- 0"</v>
      </c>
      <c r="F408" s="2" t="str">
        <f>VLOOKUP([jobnumber],OvalData[],MATCH(Table2[[#Headers],[Between Brackets]],Table2[#Headers],0),0)</f>
        <v xml:space="preserve"> 18 ft.- 7 7/ 8"</v>
      </c>
      <c r="G408" s="2" t="str">
        <f>VLOOKUP([jobnumber],OvalData[],MATCH(Table2[[#Headers],[shell]],Table2[#Headers],0),0)</f>
        <v>6 INCH TUBE</v>
      </c>
      <c r="H408" s="2" t="str">
        <f>VLOOKUP([jobnumber],OvalData[],MATCH(Table2[[#Headers],[pipewidth]],Table2[#Headers],0),0)</f>
        <v xml:space="preserve"> 18 ft.- 1 3/ 8"</v>
      </c>
      <c r="I408" s="2">
        <f>VLOOKUP([jobnumber],OvalData[],MATCH(Table2[[#Headers],[Support Tubes]],Table2[#Headers],0),0)</f>
        <v>0</v>
      </c>
      <c r="J408" s="2">
        <f>VLOOKUP([jobnumber],OvalData[],MATCH(Table2[[#Headers],[Upset]],Table2[#Headers],0),0)</f>
        <v>2</v>
      </c>
      <c r="K408" s="2" t="str">
        <f>VLOOKUP([jobnumber],OvalData[],MATCH(Table2[[#Headers],[Guide Type]],Table2[#Headers],0),0)</f>
        <v>SN2-4 5/8-E</v>
      </c>
      <c r="L408" s="2" t="str">
        <f>VLOOKUP([jobnumber],OvalData[],MATCH(Table2[[#Headers],[Wall Angle]],Table2[#Headers],0),0)</f>
        <v xml:space="preserve"> 11 ft.- 8"</v>
      </c>
      <c r="M408" s="2" t="str">
        <f>VLOOKUP([jobnumber],OvalData[],MATCH(Table2[[#Headers],[Middle Angle]],Table2[#Headers],0),0)</f>
        <v xml:space="preserve"> 10 ft.- 4 1/ 2"</v>
      </c>
      <c r="N408" s="2" t="str">
        <f>VLOOKUP([jobnumber],OvalData[],MATCH(Table2[[#Headers],[Front Angle]],Table2[#Headers],0),0)</f>
        <v xml:space="preserve"> 10 ft.- 3"</v>
      </c>
      <c r="O408" s="2">
        <f>VLOOKUP([jobnumber],OvalData[],MATCH(Table2[[#Headers],[Pipe Center Line]],Table2[#Headers],0),0)</f>
        <v>131</v>
      </c>
      <c r="P408" s="2">
        <f>VLOOKUP([jobnumber],OvalData[],MATCH(Table2[[#Headers],[Heat Expansion Gap]],Table2[#Headers],0),0)</f>
        <v>0</v>
      </c>
      <c r="Q408" s="2">
        <f>VLOOKUP([jobnumber],OvalData[],MATCH(Table2[[#Headers],[Hanging Weight Closed]],Table2[#Headers],0),0)</f>
        <v>795</v>
      </c>
      <c r="R408" s="2">
        <f>VLOOKUP([jobnumber],OvalData[],MATCH(Table2[[#Headers],[Hanging Weight Open]],Table2[#Headers],0),0)</f>
        <v>140</v>
      </c>
      <c r="S408" s="2">
        <f>VLOOKUP([jobnumber],OvalData[],MATCH(Table2[[#Headers],[Initial Lever Arm]],Table2[#Headers],0),0)</f>
        <v>4.25</v>
      </c>
      <c r="T408" s="2">
        <f>VLOOKUP([jobnumber],OvalData[],MATCH(Table2[[#Headers],[Turns to Raise]],Table2[#Headers],0),0)</f>
        <v>3.5859999999999999</v>
      </c>
      <c r="U408" s="2">
        <f>VLOOKUP([jobnumber],OvalData[],MATCH(Table2[[#Headers],[Final Lever Arm]],Table2[#Headers],0),0)</f>
        <v>6.37</v>
      </c>
      <c r="V408" s="2">
        <f>VLOOKUP([jobnumber],OvalData[],MATCH(Table2[[#Headers],[Torque Required Closed]],Table2[#Headers],0),0)</f>
        <v>3377.9</v>
      </c>
      <c r="W408" s="2">
        <f>VLOOKUP([jobnumber],OvalData[],MATCH(Table2[[#Headers],[Torque Required Open]],Table2[#Headers],0),0)</f>
        <v>892</v>
      </c>
      <c r="X408" s="2">
        <f>VLOOKUP([jobnumber],OvalData[],MATCH(Table2[[#Headers],[Pre Turns]],Table2[#Headers],0),0)</f>
        <v>1.3332999999999999</v>
      </c>
      <c r="Y408" s="2">
        <f>VLOOKUP([jobnumber],OvalData[],MATCH(Table2[[#Headers],[Required Torque Per Turn]],Table2[#Headers],0),0)</f>
        <v>688</v>
      </c>
      <c r="Z408" s="2">
        <f>VLOOKUP([jobnumber],OvalData[],MATCH(Table2[[#Headers],[Total Turns]],Table2[#Headers],0),0)</f>
        <v>4.91</v>
      </c>
      <c r="AA408" s="2">
        <f>VLOOKUP([jobnumber],OvalData[],MATCH(Table2[[#Headers],[Grille Vision Section]],Table2[#Headers],0),0)</f>
        <v>0</v>
      </c>
      <c r="AB408" s="2">
        <f>VLOOKUP([jobnumber],OvalData[],MATCH(Table2[[#Headers],[Grille Amount]],Table2[#Headers],0),0)</f>
        <v>0</v>
      </c>
      <c r="AC408" s="2">
        <f>VLOOKUP([jobnumber],OvalData[],MATCH(Table2[[#Headers],[Grille Center]],Table2[#Headers],0),0)</f>
        <v>0</v>
      </c>
      <c r="AD408" s="2">
        <f>VLOOKUP([jobnumber],OvalData[],MATCH(Table2[[#Headers],[Grille Pattern]],Table2[#Headers],0),0)</f>
        <v>0</v>
      </c>
      <c r="AE408" s="2">
        <f>VLOOKUP([jobnumber],OvalData[],MATCH(Table2[[#Headers],[Grille First Tube]],Table2[#Headers],0),0)</f>
        <v>0</v>
      </c>
      <c r="AF408" s="2">
        <f>VLOOKUP([jobnumber],OvalData[],MATCH(Table2[[#Headers],[Grille Standard Tube]],Table2[#Headers],0),0)</f>
        <v>0</v>
      </c>
      <c r="AG408" s="2">
        <f>VLOOKUP([jobnumber],OvalData[],MATCH(Table2[[#Headers],[Grille Total Links]],Table2[#Headers],0),0)</f>
        <v>0</v>
      </c>
      <c r="AH408" s="2">
        <f>VLOOKUP([jobnumber],OvalData[],MATCH(Table2[[#Headers],[Grille Rods]],Table2[#Headers],0),0)</f>
        <v>0</v>
      </c>
      <c r="AI408" s="2">
        <f>VLOOKUP([jobnumber],OvalData[],MATCH(Table2[[#Headers],[Grille Rod Length]],Table2[#Headers],0),0)</f>
        <v>0</v>
      </c>
      <c r="AJ408" s="2">
        <f>VLOOKUP([jobnumber],OvalData[],MATCH(Table2[[#Headers],[slattype]],Table2[#Headers],0),0)</f>
        <v>2</v>
      </c>
      <c r="AK408" s="2">
        <f>VLOOKUP([jobnumber],OvalData[],MATCH(Table2[[#Headers],[slatgage]],Table2[#Headers],0),0)</f>
        <v>18</v>
      </c>
      <c r="AL408" s="2">
        <f>VLOOKUP([jobnumber],OvalData[],MATCH(Table2[[#Headers],[Numer of Top Slats]],Table2[#Headers],0),0)</f>
        <v>0</v>
      </c>
      <c r="AM408" s="2">
        <f>VLOOKUP([jobnumber],OvalData[],MATCH(Table2[[#Headers],[Number of Bottom Slats]],Table2[#Headers],0),0)</f>
        <v>0</v>
      </c>
      <c r="AN408" s="2">
        <f>VLOOKUP([jobnumber],OvalData[],MATCH(Table2[[#Headers],[Solid Bottom Height]],Table2[#Headers],0),0)</f>
        <v>0</v>
      </c>
      <c r="AO408" s="2" t="str">
        <f>VLOOKUP([jobnumber],OvalData[],MATCH(Table2[[#Headers],[slatlength]],Table2[#Headers],0),0)</f>
        <v xml:space="preserve"> 18 ft.- 5 7/ 8"</v>
      </c>
      <c r="AP408" s="2">
        <f>VLOOKUP([jobnumber],OvalData[],MATCH(Table2[[#Headers],[Bottom Slat Length]],Table2[#Headers],0),0)</f>
        <v>0</v>
      </c>
      <c r="AQ408" s="2">
        <f>VLOOKUP([jobnumber],OvalData[],MATCH(Table2[[#Headers],[Number of Perferated Slats]],Table2[#Headers],0),0)</f>
        <v>0</v>
      </c>
      <c r="AR408" s="2">
        <f>VLOOKUP([jobnumber],OvalData[],MATCH(Table2[[#Headers],[First Preferated Slat From End]],Table2[#Headers],0),0)</f>
        <v>0</v>
      </c>
      <c r="AS408" s="2">
        <f>VLOOKUP([jobnumber],OvalData[],MATCH(Table2[[#Headers],[First Preferated Slat From Bottom]],Table2[#Headers],0),0)</f>
        <v>0</v>
      </c>
      <c r="AT408" s="2">
        <f>VLOOKUP([jobnumber],OvalData[],MATCH(Table2[[#Headers],[Total Number of Slats]],Table2[#Headers],0),0)</f>
        <v>51</v>
      </c>
      <c r="AU408" s="2">
        <f>VLOOKUP([jobnumber],OvalData[],MATCH(Table2[[#Headers],[Bottom Bar Slope]],Table2[#Headers],0),0)</f>
        <v>0</v>
      </c>
      <c r="AV408" s="2">
        <f>VLOOKUP([jobnumber],OvalData[],MATCH(Table2[[#Headers],[Bottom Bar Weight]],Table2[#Headers],0),0)</f>
        <v>80.5</v>
      </c>
      <c r="AW408" s="2" t="str">
        <f>VLOOKUP([jobnumber],OvalData[],MATCH(Table2[[#Headers],[Outer Spring Gage]],Table2[#Headers],0),0)</f>
        <v>Null</v>
      </c>
      <c r="AX408" s="2" t="str">
        <f>VLOOKUP([jobnumber],OvalData[],MATCH(Table2[[#Headers],[Outer Spring OD]],Table2[#Headers],0),0)</f>
        <v>Null</v>
      </c>
      <c r="AY408" s="2" t="str">
        <f>VLOOKUP([jobnumber],OvalData[],MATCH(Table2[[#Headers],[Outer Spring Length]],Table2[#Headers],0),0)</f>
        <v>Null</v>
      </c>
      <c r="AZ408" s="2" t="str">
        <f>VLOOKUP([jobnumber],OvalData[],MATCH(Table2[[#Headers],[Outer Spring Stretch]],Table2[#Headers],0),0)</f>
        <v>Null</v>
      </c>
      <c r="BA408" s="2" t="str">
        <f>VLOOKUP([jobnumber],OvalData[],MATCH(Table2[[#Headers],[Outer Spring Torque]],Table2[#Headers],0),0)</f>
        <v>Null</v>
      </c>
      <c r="BB408" s="2" t="str">
        <f>VLOOKUP([jobnumber],OvalData[],MATCH(Table2[[#Headers],[Outer Spring Max Turns]],Table2[#Headers],0),0)</f>
        <v>Null</v>
      </c>
      <c r="BC408" s="2" t="str">
        <f>VLOOKUP([jobnumber],OvalData[],MATCH(Table2[[#Headers],[Outer Spring Weight]],Table2[#Headers],0),0)</f>
        <v>Null</v>
      </c>
      <c r="BD408" s="2" t="str">
        <f>VLOOKUP([jobnumber],OvalData[],MATCH(Table2[[#Headers],[Inner Spring Gage]],Table2[#Headers],0),0)</f>
        <v>Null</v>
      </c>
      <c r="BE408" s="2" t="str">
        <f>VLOOKUP([jobnumber],OvalData[],MATCH(Table2[[#Headers],[Inner Spring OD]],Table2[#Headers],0),0)</f>
        <v>Null</v>
      </c>
      <c r="BF408" s="2" t="str">
        <f>VLOOKUP([jobnumber],OvalData[],MATCH(Table2[[#Headers],[Inner Spring Length]],Table2[#Headers],0),0)</f>
        <v>Null</v>
      </c>
      <c r="BG408" s="2" t="str">
        <f>VLOOKUP([jobnumber],OvalData[],MATCH(Table2[[#Headers],[Inner Spring Stretch]],Table2[#Headers],0),0)</f>
        <v>Null</v>
      </c>
      <c r="BH408" s="2" t="str">
        <f>VLOOKUP([jobnumber],OvalData[],MATCH(Table2[[#Headers],[Inner Spring Torque]],Table2[#Headers],0),0)</f>
        <v>Null</v>
      </c>
      <c r="BI408" s="2" t="str">
        <f>VLOOKUP([jobnumber],OvalData[],MATCH(Table2[[#Headers],[Inner Spring Max Turns]],Table2[#Headers],0),0)</f>
        <v>Null</v>
      </c>
      <c r="BJ408" s="2" t="str">
        <f>VLOOKUP([jobnumber],OvalData[],MATCH(Table2[[#Headers],[Inner Spring Weight]],Table2[#Headers],0),0)</f>
        <v>Null</v>
      </c>
      <c r="BK408" s="2">
        <f>VLOOKUP([jobnumber],OvalData[],MATCH(Table2[[#Headers],[Cycles]],Table2[#Headers],0),0)</f>
        <v>0</v>
      </c>
      <c r="BL408" s="2">
        <f>VLOOKUP([jobnumber],OvalData[],MATCH(Table2[[#Headers],[Total Spring Torque]],Table2[#Headers],0),0)</f>
        <v>0</v>
      </c>
      <c r="BM408" s="2">
        <f>VLOOKUP([jobnumber],OvalData[],MATCH(Table2[[#Headers],[Total Spring Weight]],Table2[#Headers],0),0)</f>
        <v>0</v>
      </c>
      <c r="BN408" s="2">
        <f>VLOOKUP([jobnumber],OvalData[],MATCH(Table2[[#Headers],[Pipe Weight]],Table2[#Headers],0),0)</f>
        <v>688.24239999999998</v>
      </c>
      <c r="BO408" s="2">
        <f>VLOOKUP([jobnumber],OvalData[],MATCH(Table2[[#Headers],[Max Pipe Deflection]],Table2[#Headers],0),0)</f>
        <v>2309</v>
      </c>
      <c r="BP408" s="2">
        <f>VLOOKUP([jobnumber],OvalData[],MATCH(Table2[[#Headers],[Number Non-Insulated Wrap Slats]],Table2[#Headers],0),0)</f>
        <v>0</v>
      </c>
      <c r="BQ408" s="2">
        <f>VLOOKUP([jobnumber],OvalData[],MATCH(Table2[[#Headers],[Number of Insolated Top Slats]],Table2[#Headers],0),0)</f>
        <v>45</v>
      </c>
      <c r="BR408" s="2">
        <f>VLOOKUP([jobnumber],OvalData[],MATCH(Table2[[#Headers],[Insolated Total Slats]],Table2[#Headers],0),0)</f>
        <v>45</v>
      </c>
      <c r="BS408" s="2">
        <f>VLOOKUP([jobnumber],OvalData[],MATCH(Table2[[#Headers],[Number of Slats]],Table2[#Headers],0),0)</f>
        <v>44.69</v>
      </c>
      <c r="BT408" s="2">
        <f>VLOOKUP([jobnumber],OvalData[],MATCH(Table2[[#Headers],[Wrap]],Table2[#Headers],0),0)</f>
        <v>0</v>
      </c>
      <c r="BU408" s="2">
        <f>VLOOKUP([jobnumber],OvalData[],MATCH(Table2[[#Headers],[Wall Angle Thickness]],Table2[#Headers],0),0)</f>
        <v>0</v>
      </c>
      <c r="BV408" s="2">
        <f>VLOOKUP([jobnumber],OvalData[],MATCH(Table2[[#Headers],[windlocks]],Table2[#Headers],0),0)</f>
        <v>0</v>
      </c>
      <c r="BW408" s="2" t="str">
        <f>VLOOKUP([jobnumber],OvalData[],MATCH(Table2[[#Headers],[bottombartype]],Table2[#Headers],0),0)</f>
        <v>SPECIAL</v>
      </c>
      <c r="BX408" s="2">
        <f>VLOOKUP([jobnumber],OvalData[],MATCH(Table2[[#Headers],[endlockweight]],Table2[#Headers],0),0)</f>
        <v>0.17</v>
      </c>
      <c r="BY408" s="2">
        <f>VLOOKUP([jobnumber],OvalData[],MATCH(Table2[[#Headers],[Endlock Total Weight]],Table2[#Headers],0),0)</f>
        <v>7.5972999999999997</v>
      </c>
      <c r="BZ408" s="2">
        <f>VLOOKUP([jobnumber],OvalData[],MATCH(Table2[[#Headers],[Grille Weight]],Table2[#Headers],0),0)</f>
        <v>0</v>
      </c>
      <c r="CA408" s="2">
        <f>VLOOKUP([jobnumber],OvalData[],MATCH(Table2[[#Headers],[barrelrings]],Table2[#Headers],0),0)</f>
        <v>1</v>
      </c>
    </row>
    <row r="409" spans="2:79">
      <c r="B409" s="2" t="str">
        <f>VLOOKUP([jobnumber],OvalData[],MATCH(Table2[[#Headers],[Hand]],Table2[#Headers],0),0)</f>
        <v>RH</v>
      </c>
      <c r="C409" s="2" t="str">
        <f>VLOOKUP([jobnumber],OvalData[],MATCH(Table2[[#Headers],[Model]],Table2[#Headers],0),0)</f>
        <v>SFMPP</v>
      </c>
      <c r="D409" s="2" t="str">
        <f>VLOOKUP([jobnumber],OvalData[],MATCH(Table2[[#Headers],[width]],Table2[#Headers],0),0)</f>
        <v xml:space="preserve"> 18 ft.- 2"</v>
      </c>
      <c r="E409" s="2" t="str">
        <f>VLOOKUP([jobnumber],OvalData[],MATCH(Table2[[#Headers],[stopheight]],Table2[#Headers],0),0)</f>
        <v xml:space="preserve"> 10 ft.- 0"</v>
      </c>
      <c r="F409" s="2" t="str">
        <f>VLOOKUP([jobnumber],OvalData[],MATCH(Table2[[#Headers],[Between Brackets]],Table2[#Headers],0),0)</f>
        <v xml:space="preserve"> 18 ft.- 7 7/ 8"</v>
      </c>
      <c r="G409" s="2" t="str">
        <f>VLOOKUP([jobnumber],OvalData[],MATCH(Table2[[#Headers],[shell]],Table2[#Headers],0),0)</f>
        <v>6 INCH TUBE</v>
      </c>
      <c r="H409" s="2" t="str">
        <f>VLOOKUP([jobnumber],OvalData[],MATCH(Table2[[#Headers],[pipewidth]],Table2[#Headers],0),0)</f>
        <v xml:space="preserve"> 18 ft.- 1 3/ 8"</v>
      </c>
      <c r="I409" s="2">
        <f>VLOOKUP([jobnumber],OvalData[],MATCH(Table2[[#Headers],[Support Tubes]],Table2[#Headers],0),0)</f>
        <v>0</v>
      </c>
      <c r="J409" s="2">
        <f>VLOOKUP([jobnumber],OvalData[],MATCH(Table2[[#Headers],[Upset]],Table2[#Headers],0),0)</f>
        <v>2</v>
      </c>
      <c r="K409" s="2" t="str">
        <f>VLOOKUP([jobnumber],OvalData[],MATCH(Table2[[#Headers],[Guide Type]],Table2[#Headers],0),0)</f>
        <v>SN2-4 5/8-E</v>
      </c>
      <c r="L409" s="2" t="str">
        <f>VLOOKUP([jobnumber],OvalData[],MATCH(Table2[[#Headers],[Wall Angle]],Table2[#Headers],0),0)</f>
        <v xml:space="preserve"> 11 ft.- 8"</v>
      </c>
      <c r="M409" s="2" t="str">
        <f>VLOOKUP([jobnumber],OvalData[],MATCH(Table2[[#Headers],[Middle Angle]],Table2[#Headers],0),0)</f>
        <v xml:space="preserve"> 10 ft.- 4 1/ 2"</v>
      </c>
      <c r="N409" s="2" t="str">
        <f>VLOOKUP([jobnumber],OvalData[],MATCH(Table2[[#Headers],[Front Angle]],Table2[#Headers],0),0)</f>
        <v xml:space="preserve"> 10 ft.- 3"</v>
      </c>
      <c r="O409" s="2">
        <f>VLOOKUP([jobnumber],OvalData[],MATCH(Table2[[#Headers],[Pipe Center Line]],Table2[#Headers],0),0)</f>
        <v>131</v>
      </c>
      <c r="P409" s="2">
        <f>VLOOKUP([jobnumber],OvalData[],MATCH(Table2[[#Headers],[Heat Expansion Gap]],Table2[#Headers],0),0)</f>
        <v>0</v>
      </c>
      <c r="Q409" s="2">
        <f>VLOOKUP([jobnumber],OvalData[],MATCH(Table2[[#Headers],[Hanging Weight Closed]],Table2[#Headers],0),0)</f>
        <v>795</v>
      </c>
      <c r="R409" s="2">
        <f>VLOOKUP([jobnumber],OvalData[],MATCH(Table2[[#Headers],[Hanging Weight Open]],Table2[#Headers],0),0)</f>
        <v>140</v>
      </c>
      <c r="S409" s="2">
        <f>VLOOKUP([jobnumber],OvalData[],MATCH(Table2[[#Headers],[Initial Lever Arm]],Table2[#Headers],0),0)</f>
        <v>4.25</v>
      </c>
      <c r="T409" s="2">
        <f>VLOOKUP([jobnumber],OvalData[],MATCH(Table2[[#Headers],[Turns to Raise]],Table2[#Headers],0),0)</f>
        <v>3.5859999999999999</v>
      </c>
      <c r="U409" s="2">
        <f>VLOOKUP([jobnumber],OvalData[],MATCH(Table2[[#Headers],[Final Lever Arm]],Table2[#Headers],0),0)</f>
        <v>6.37</v>
      </c>
      <c r="V409" s="2">
        <f>VLOOKUP([jobnumber],OvalData[],MATCH(Table2[[#Headers],[Torque Required Closed]],Table2[#Headers],0),0)</f>
        <v>3377.9</v>
      </c>
      <c r="W409" s="2">
        <f>VLOOKUP([jobnumber],OvalData[],MATCH(Table2[[#Headers],[Torque Required Open]],Table2[#Headers],0),0)</f>
        <v>892</v>
      </c>
      <c r="X409" s="2">
        <f>VLOOKUP([jobnumber],OvalData[],MATCH(Table2[[#Headers],[Pre Turns]],Table2[#Headers],0),0)</f>
        <v>1.3332999999999999</v>
      </c>
      <c r="Y409" s="2">
        <f>VLOOKUP([jobnumber],OvalData[],MATCH(Table2[[#Headers],[Required Torque Per Turn]],Table2[#Headers],0),0)</f>
        <v>688</v>
      </c>
      <c r="Z409" s="2">
        <f>VLOOKUP([jobnumber],OvalData[],MATCH(Table2[[#Headers],[Total Turns]],Table2[#Headers],0),0)</f>
        <v>4.91</v>
      </c>
      <c r="AA409" s="2">
        <f>VLOOKUP([jobnumber],OvalData[],MATCH(Table2[[#Headers],[Grille Vision Section]],Table2[#Headers],0),0)</f>
        <v>0</v>
      </c>
      <c r="AB409" s="2">
        <f>VLOOKUP([jobnumber],OvalData[],MATCH(Table2[[#Headers],[Grille Amount]],Table2[#Headers],0),0)</f>
        <v>0</v>
      </c>
      <c r="AC409" s="2">
        <f>VLOOKUP([jobnumber],OvalData[],MATCH(Table2[[#Headers],[Grille Center]],Table2[#Headers],0),0)</f>
        <v>0</v>
      </c>
      <c r="AD409" s="2">
        <f>VLOOKUP([jobnumber],OvalData[],MATCH(Table2[[#Headers],[Grille Pattern]],Table2[#Headers],0),0)</f>
        <v>0</v>
      </c>
      <c r="AE409" s="2">
        <f>VLOOKUP([jobnumber],OvalData[],MATCH(Table2[[#Headers],[Grille First Tube]],Table2[#Headers],0),0)</f>
        <v>0</v>
      </c>
      <c r="AF409" s="2">
        <f>VLOOKUP([jobnumber],OvalData[],MATCH(Table2[[#Headers],[Grille Standard Tube]],Table2[#Headers],0),0)</f>
        <v>0</v>
      </c>
      <c r="AG409" s="2">
        <f>VLOOKUP([jobnumber],OvalData[],MATCH(Table2[[#Headers],[Grille Total Links]],Table2[#Headers],0),0)</f>
        <v>0</v>
      </c>
      <c r="AH409" s="2">
        <f>VLOOKUP([jobnumber],OvalData[],MATCH(Table2[[#Headers],[Grille Rods]],Table2[#Headers],0),0)</f>
        <v>0</v>
      </c>
      <c r="AI409" s="2">
        <f>VLOOKUP([jobnumber],OvalData[],MATCH(Table2[[#Headers],[Grille Rod Length]],Table2[#Headers],0),0)</f>
        <v>0</v>
      </c>
      <c r="AJ409" s="2">
        <f>VLOOKUP([jobnumber],OvalData[],MATCH(Table2[[#Headers],[slattype]],Table2[#Headers],0),0)</f>
        <v>2</v>
      </c>
      <c r="AK409" s="2">
        <f>VLOOKUP([jobnumber],OvalData[],MATCH(Table2[[#Headers],[slatgage]],Table2[#Headers],0),0)</f>
        <v>18</v>
      </c>
      <c r="AL409" s="2">
        <f>VLOOKUP([jobnumber],OvalData[],MATCH(Table2[[#Headers],[Numer of Top Slats]],Table2[#Headers],0),0)</f>
        <v>0</v>
      </c>
      <c r="AM409" s="2">
        <f>VLOOKUP([jobnumber],OvalData[],MATCH(Table2[[#Headers],[Number of Bottom Slats]],Table2[#Headers],0),0)</f>
        <v>0</v>
      </c>
      <c r="AN409" s="2">
        <f>VLOOKUP([jobnumber],OvalData[],MATCH(Table2[[#Headers],[Solid Bottom Height]],Table2[#Headers],0),0)</f>
        <v>0</v>
      </c>
      <c r="AO409" s="2" t="str">
        <f>VLOOKUP([jobnumber],OvalData[],MATCH(Table2[[#Headers],[slatlength]],Table2[#Headers],0),0)</f>
        <v xml:space="preserve"> 18 ft.- 5 7/ 8"</v>
      </c>
      <c r="AP409" s="2">
        <f>VLOOKUP([jobnumber],OvalData[],MATCH(Table2[[#Headers],[Bottom Slat Length]],Table2[#Headers],0),0)</f>
        <v>0</v>
      </c>
      <c r="AQ409" s="2">
        <f>VLOOKUP([jobnumber],OvalData[],MATCH(Table2[[#Headers],[Number of Perferated Slats]],Table2[#Headers],0),0)</f>
        <v>0</v>
      </c>
      <c r="AR409" s="2">
        <f>VLOOKUP([jobnumber],OvalData[],MATCH(Table2[[#Headers],[First Preferated Slat From End]],Table2[#Headers],0),0)</f>
        <v>0</v>
      </c>
      <c r="AS409" s="2">
        <f>VLOOKUP([jobnumber],OvalData[],MATCH(Table2[[#Headers],[First Preferated Slat From Bottom]],Table2[#Headers],0),0)</f>
        <v>0</v>
      </c>
      <c r="AT409" s="2">
        <f>VLOOKUP([jobnumber],OvalData[],MATCH(Table2[[#Headers],[Total Number of Slats]],Table2[#Headers],0),0)</f>
        <v>51</v>
      </c>
      <c r="AU409" s="2">
        <f>VLOOKUP([jobnumber],OvalData[],MATCH(Table2[[#Headers],[Bottom Bar Slope]],Table2[#Headers],0),0)</f>
        <v>0</v>
      </c>
      <c r="AV409" s="2">
        <f>VLOOKUP([jobnumber],OvalData[],MATCH(Table2[[#Headers],[Bottom Bar Weight]],Table2[#Headers],0),0)</f>
        <v>80.5</v>
      </c>
      <c r="AW409" s="2" t="str">
        <f>VLOOKUP([jobnumber],OvalData[],MATCH(Table2[[#Headers],[Outer Spring Gage]],Table2[#Headers],0),0)</f>
        <v>Null</v>
      </c>
      <c r="AX409" s="2" t="str">
        <f>VLOOKUP([jobnumber],OvalData[],MATCH(Table2[[#Headers],[Outer Spring OD]],Table2[#Headers],0),0)</f>
        <v>Null</v>
      </c>
      <c r="AY409" s="2" t="str">
        <f>VLOOKUP([jobnumber],OvalData[],MATCH(Table2[[#Headers],[Outer Spring Length]],Table2[#Headers],0),0)</f>
        <v>Null</v>
      </c>
      <c r="AZ409" s="2" t="str">
        <f>VLOOKUP([jobnumber],OvalData[],MATCH(Table2[[#Headers],[Outer Spring Stretch]],Table2[#Headers],0),0)</f>
        <v>Null</v>
      </c>
      <c r="BA409" s="2" t="str">
        <f>VLOOKUP([jobnumber],OvalData[],MATCH(Table2[[#Headers],[Outer Spring Torque]],Table2[#Headers],0),0)</f>
        <v>Null</v>
      </c>
      <c r="BB409" s="2" t="str">
        <f>VLOOKUP([jobnumber],OvalData[],MATCH(Table2[[#Headers],[Outer Spring Max Turns]],Table2[#Headers],0),0)</f>
        <v>Null</v>
      </c>
      <c r="BC409" s="2" t="str">
        <f>VLOOKUP([jobnumber],OvalData[],MATCH(Table2[[#Headers],[Outer Spring Weight]],Table2[#Headers],0),0)</f>
        <v>Null</v>
      </c>
      <c r="BD409" s="2" t="str">
        <f>VLOOKUP([jobnumber],OvalData[],MATCH(Table2[[#Headers],[Inner Spring Gage]],Table2[#Headers],0),0)</f>
        <v>Null</v>
      </c>
      <c r="BE409" s="2" t="str">
        <f>VLOOKUP([jobnumber],OvalData[],MATCH(Table2[[#Headers],[Inner Spring OD]],Table2[#Headers],0),0)</f>
        <v>Null</v>
      </c>
      <c r="BF409" s="2" t="str">
        <f>VLOOKUP([jobnumber],OvalData[],MATCH(Table2[[#Headers],[Inner Spring Length]],Table2[#Headers],0),0)</f>
        <v>Null</v>
      </c>
      <c r="BG409" s="2" t="str">
        <f>VLOOKUP([jobnumber],OvalData[],MATCH(Table2[[#Headers],[Inner Spring Stretch]],Table2[#Headers],0),0)</f>
        <v>Null</v>
      </c>
      <c r="BH409" s="2" t="str">
        <f>VLOOKUP([jobnumber],OvalData[],MATCH(Table2[[#Headers],[Inner Spring Torque]],Table2[#Headers],0),0)</f>
        <v>Null</v>
      </c>
      <c r="BI409" s="2" t="str">
        <f>VLOOKUP([jobnumber],OvalData[],MATCH(Table2[[#Headers],[Inner Spring Max Turns]],Table2[#Headers],0),0)</f>
        <v>Null</v>
      </c>
      <c r="BJ409" s="2" t="str">
        <f>VLOOKUP([jobnumber],OvalData[],MATCH(Table2[[#Headers],[Inner Spring Weight]],Table2[#Headers],0),0)</f>
        <v>Null</v>
      </c>
      <c r="BK409" s="2">
        <f>VLOOKUP([jobnumber],OvalData[],MATCH(Table2[[#Headers],[Cycles]],Table2[#Headers],0),0)</f>
        <v>0</v>
      </c>
      <c r="BL409" s="2">
        <f>VLOOKUP([jobnumber],OvalData[],MATCH(Table2[[#Headers],[Total Spring Torque]],Table2[#Headers],0),0)</f>
        <v>0</v>
      </c>
      <c r="BM409" s="2">
        <f>VLOOKUP([jobnumber],OvalData[],MATCH(Table2[[#Headers],[Total Spring Weight]],Table2[#Headers],0),0)</f>
        <v>0</v>
      </c>
      <c r="BN409" s="2">
        <f>VLOOKUP([jobnumber],OvalData[],MATCH(Table2[[#Headers],[Pipe Weight]],Table2[#Headers],0),0)</f>
        <v>688.24239999999998</v>
      </c>
      <c r="BO409" s="2">
        <f>VLOOKUP([jobnumber],OvalData[],MATCH(Table2[[#Headers],[Max Pipe Deflection]],Table2[#Headers],0),0)</f>
        <v>2309</v>
      </c>
      <c r="BP409" s="2">
        <f>VLOOKUP([jobnumber],OvalData[],MATCH(Table2[[#Headers],[Number Non-Insulated Wrap Slats]],Table2[#Headers],0),0)</f>
        <v>0</v>
      </c>
      <c r="BQ409" s="2">
        <f>VLOOKUP([jobnumber],OvalData[],MATCH(Table2[[#Headers],[Number of Insolated Top Slats]],Table2[#Headers],0),0)</f>
        <v>45</v>
      </c>
      <c r="BR409" s="2">
        <f>VLOOKUP([jobnumber],OvalData[],MATCH(Table2[[#Headers],[Insolated Total Slats]],Table2[#Headers],0),0)</f>
        <v>45</v>
      </c>
      <c r="BS409" s="2">
        <f>VLOOKUP([jobnumber],OvalData[],MATCH(Table2[[#Headers],[Number of Slats]],Table2[#Headers],0),0)</f>
        <v>44.69</v>
      </c>
      <c r="BT409" s="2">
        <f>VLOOKUP([jobnumber],OvalData[],MATCH(Table2[[#Headers],[Wrap]],Table2[#Headers],0),0)</f>
        <v>0</v>
      </c>
      <c r="BU409" s="2">
        <f>VLOOKUP([jobnumber],OvalData[],MATCH(Table2[[#Headers],[Wall Angle Thickness]],Table2[#Headers],0),0)</f>
        <v>0</v>
      </c>
      <c r="BV409" s="2">
        <f>VLOOKUP([jobnumber],OvalData[],MATCH(Table2[[#Headers],[windlocks]],Table2[#Headers],0),0)</f>
        <v>0</v>
      </c>
      <c r="BW409" s="2" t="str">
        <f>VLOOKUP([jobnumber],OvalData[],MATCH(Table2[[#Headers],[bottombartype]],Table2[#Headers],0),0)</f>
        <v>SPECIAL</v>
      </c>
      <c r="BX409" s="2">
        <f>VLOOKUP([jobnumber],OvalData[],MATCH(Table2[[#Headers],[endlockweight]],Table2[#Headers],0),0)</f>
        <v>0.17</v>
      </c>
      <c r="BY409" s="2">
        <f>VLOOKUP([jobnumber],OvalData[],MATCH(Table2[[#Headers],[Endlock Total Weight]],Table2[#Headers],0),0)</f>
        <v>7.5972999999999997</v>
      </c>
      <c r="BZ409" s="2">
        <f>VLOOKUP([jobnumber],OvalData[],MATCH(Table2[[#Headers],[Grille Weight]],Table2[#Headers],0),0)</f>
        <v>0</v>
      </c>
      <c r="CA409" s="2">
        <f>VLOOKUP([jobnumber],OvalData[],MATCH(Table2[[#Headers],[barrelrings]],Table2[#Headers],0),0)</f>
        <v>1</v>
      </c>
    </row>
    <row r="410" spans="2:79">
      <c r="B410" s="2" t="str">
        <f>VLOOKUP([jobnumber],OvalData[],MATCH(Table2[[#Headers],[Hand]],Table2[#Headers],0),0)</f>
        <v>RH</v>
      </c>
      <c r="C410" s="2" t="str">
        <f>VLOOKUP([jobnumber],OvalData[],MATCH(Table2[[#Headers],[Model]],Table2[#Headers],0),0)</f>
        <v>SFMPP</v>
      </c>
      <c r="D410" s="2" t="str">
        <f>VLOOKUP([jobnumber],OvalData[],MATCH(Table2[[#Headers],[width]],Table2[#Headers],0),0)</f>
        <v xml:space="preserve"> 18 ft.- 2"</v>
      </c>
      <c r="E410" s="2" t="str">
        <f>VLOOKUP([jobnumber],OvalData[],MATCH(Table2[[#Headers],[stopheight]],Table2[#Headers],0),0)</f>
        <v xml:space="preserve"> 10 ft.- 0"</v>
      </c>
      <c r="F410" s="2" t="str">
        <f>VLOOKUP([jobnumber],OvalData[],MATCH(Table2[[#Headers],[Between Brackets]],Table2[#Headers],0),0)</f>
        <v xml:space="preserve"> 18 ft.- 7 7/ 8"</v>
      </c>
      <c r="G410" s="2" t="str">
        <f>VLOOKUP([jobnumber],OvalData[],MATCH(Table2[[#Headers],[shell]],Table2[#Headers],0),0)</f>
        <v>6 INCH TUBE</v>
      </c>
      <c r="H410" s="2" t="str">
        <f>VLOOKUP([jobnumber],OvalData[],MATCH(Table2[[#Headers],[pipewidth]],Table2[#Headers],0),0)</f>
        <v xml:space="preserve"> 18 ft.- 1 3/ 8"</v>
      </c>
      <c r="I410" s="2">
        <f>VLOOKUP([jobnumber],OvalData[],MATCH(Table2[[#Headers],[Support Tubes]],Table2[#Headers],0),0)</f>
        <v>0</v>
      </c>
      <c r="J410" s="2">
        <f>VLOOKUP([jobnumber],OvalData[],MATCH(Table2[[#Headers],[Upset]],Table2[#Headers],0),0)</f>
        <v>2</v>
      </c>
      <c r="K410" s="2" t="str">
        <f>VLOOKUP([jobnumber],OvalData[],MATCH(Table2[[#Headers],[Guide Type]],Table2[#Headers],0),0)</f>
        <v>SN2-4 5/8-E</v>
      </c>
      <c r="L410" s="2" t="str">
        <f>VLOOKUP([jobnumber],OvalData[],MATCH(Table2[[#Headers],[Wall Angle]],Table2[#Headers],0),0)</f>
        <v xml:space="preserve"> 11 ft.- 8"</v>
      </c>
      <c r="M410" s="2" t="str">
        <f>VLOOKUP([jobnumber],OvalData[],MATCH(Table2[[#Headers],[Middle Angle]],Table2[#Headers],0),0)</f>
        <v xml:space="preserve"> 10 ft.- 4 1/ 2"</v>
      </c>
      <c r="N410" s="2" t="str">
        <f>VLOOKUP([jobnumber],OvalData[],MATCH(Table2[[#Headers],[Front Angle]],Table2[#Headers],0),0)</f>
        <v xml:space="preserve"> 10 ft.- 3"</v>
      </c>
      <c r="O410" s="2">
        <f>VLOOKUP([jobnumber],OvalData[],MATCH(Table2[[#Headers],[Pipe Center Line]],Table2[#Headers],0),0)</f>
        <v>131</v>
      </c>
      <c r="P410" s="2">
        <f>VLOOKUP([jobnumber],OvalData[],MATCH(Table2[[#Headers],[Heat Expansion Gap]],Table2[#Headers],0),0)</f>
        <v>0</v>
      </c>
      <c r="Q410" s="2">
        <f>VLOOKUP([jobnumber],OvalData[],MATCH(Table2[[#Headers],[Hanging Weight Closed]],Table2[#Headers],0),0)</f>
        <v>795</v>
      </c>
      <c r="R410" s="2">
        <f>VLOOKUP([jobnumber],OvalData[],MATCH(Table2[[#Headers],[Hanging Weight Open]],Table2[#Headers],0),0)</f>
        <v>140</v>
      </c>
      <c r="S410" s="2">
        <f>VLOOKUP([jobnumber],OvalData[],MATCH(Table2[[#Headers],[Initial Lever Arm]],Table2[#Headers],0),0)</f>
        <v>4.25</v>
      </c>
      <c r="T410" s="2">
        <f>VLOOKUP([jobnumber],OvalData[],MATCH(Table2[[#Headers],[Turns to Raise]],Table2[#Headers],0),0)</f>
        <v>3.5859999999999999</v>
      </c>
      <c r="U410" s="2">
        <f>VLOOKUP([jobnumber],OvalData[],MATCH(Table2[[#Headers],[Final Lever Arm]],Table2[#Headers],0),0)</f>
        <v>6.37</v>
      </c>
      <c r="V410" s="2">
        <f>VLOOKUP([jobnumber],OvalData[],MATCH(Table2[[#Headers],[Torque Required Closed]],Table2[#Headers],0),0)</f>
        <v>3377.9</v>
      </c>
      <c r="W410" s="2">
        <f>VLOOKUP([jobnumber],OvalData[],MATCH(Table2[[#Headers],[Torque Required Open]],Table2[#Headers],0),0)</f>
        <v>892</v>
      </c>
      <c r="X410" s="2">
        <f>VLOOKUP([jobnumber],OvalData[],MATCH(Table2[[#Headers],[Pre Turns]],Table2[#Headers],0),0)</f>
        <v>1.3332999999999999</v>
      </c>
      <c r="Y410" s="2">
        <f>VLOOKUP([jobnumber],OvalData[],MATCH(Table2[[#Headers],[Required Torque Per Turn]],Table2[#Headers],0),0)</f>
        <v>688</v>
      </c>
      <c r="Z410" s="2">
        <f>VLOOKUP([jobnumber],OvalData[],MATCH(Table2[[#Headers],[Total Turns]],Table2[#Headers],0),0)</f>
        <v>4.91</v>
      </c>
      <c r="AA410" s="2">
        <f>VLOOKUP([jobnumber],OvalData[],MATCH(Table2[[#Headers],[Grille Vision Section]],Table2[#Headers],0),0)</f>
        <v>0</v>
      </c>
      <c r="AB410" s="2">
        <f>VLOOKUP([jobnumber],OvalData[],MATCH(Table2[[#Headers],[Grille Amount]],Table2[#Headers],0),0)</f>
        <v>0</v>
      </c>
      <c r="AC410" s="2">
        <f>VLOOKUP([jobnumber],OvalData[],MATCH(Table2[[#Headers],[Grille Center]],Table2[#Headers],0),0)</f>
        <v>0</v>
      </c>
      <c r="AD410" s="2">
        <f>VLOOKUP([jobnumber],OvalData[],MATCH(Table2[[#Headers],[Grille Pattern]],Table2[#Headers],0),0)</f>
        <v>0</v>
      </c>
      <c r="AE410" s="2">
        <f>VLOOKUP([jobnumber],OvalData[],MATCH(Table2[[#Headers],[Grille First Tube]],Table2[#Headers],0),0)</f>
        <v>0</v>
      </c>
      <c r="AF410" s="2">
        <f>VLOOKUP([jobnumber],OvalData[],MATCH(Table2[[#Headers],[Grille Standard Tube]],Table2[#Headers],0),0)</f>
        <v>0</v>
      </c>
      <c r="AG410" s="2">
        <f>VLOOKUP([jobnumber],OvalData[],MATCH(Table2[[#Headers],[Grille Total Links]],Table2[#Headers],0),0)</f>
        <v>0</v>
      </c>
      <c r="AH410" s="2">
        <f>VLOOKUP([jobnumber],OvalData[],MATCH(Table2[[#Headers],[Grille Rods]],Table2[#Headers],0),0)</f>
        <v>0</v>
      </c>
      <c r="AI410" s="2">
        <f>VLOOKUP([jobnumber],OvalData[],MATCH(Table2[[#Headers],[Grille Rod Length]],Table2[#Headers],0),0)</f>
        <v>0</v>
      </c>
      <c r="AJ410" s="2">
        <f>VLOOKUP([jobnumber],OvalData[],MATCH(Table2[[#Headers],[slattype]],Table2[#Headers],0),0)</f>
        <v>2</v>
      </c>
      <c r="AK410" s="2">
        <f>VLOOKUP([jobnumber],OvalData[],MATCH(Table2[[#Headers],[slatgage]],Table2[#Headers],0),0)</f>
        <v>18</v>
      </c>
      <c r="AL410" s="2">
        <f>VLOOKUP([jobnumber],OvalData[],MATCH(Table2[[#Headers],[Numer of Top Slats]],Table2[#Headers],0),0)</f>
        <v>0</v>
      </c>
      <c r="AM410" s="2">
        <f>VLOOKUP([jobnumber],OvalData[],MATCH(Table2[[#Headers],[Number of Bottom Slats]],Table2[#Headers],0),0)</f>
        <v>0</v>
      </c>
      <c r="AN410" s="2">
        <f>VLOOKUP([jobnumber],OvalData[],MATCH(Table2[[#Headers],[Solid Bottom Height]],Table2[#Headers],0),0)</f>
        <v>0</v>
      </c>
      <c r="AO410" s="2" t="str">
        <f>VLOOKUP([jobnumber],OvalData[],MATCH(Table2[[#Headers],[slatlength]],Table2[#Headers],0),0)</f>
        <v xml:space="preserve"> 18 ft.- 5 7/ 8"</v>
      </c>
      <c r="AP410" s="2">
        <f>VLOOKUP([jobnumber],OvalData[],MATCH(Table2[[#Headers],[Bottom Slat Length]],Table2[#Headers],0),0)</f>
        <v>0</v>
      </c>
      <c r="AQ410" s="2">
        <f>VLOOKUP([jobnumber],OvalData[],MATCH(Table2[[#Headers],[Number of Perferated Slats]],Table2[#Headers],0),0)</f>
        <v>0</v>
      </c>
      <c r="AR410" s="2">
        <f>VLOOKUP([jobnumber],OvalData[],MATCH(Table2[[#Headers],[First Preferated Slat From End]],Table2[#Headers],0),0)</f>
        <v>0</v>
      </c>
      <c r="AS410" s="2">
        <f>VLOOKUP([jobnumber],OvalData[],MATCH(Table2[[#Headers],[First Preferated Slat From Bottom]],Table2[#Headers],0),0)</f>
        <v>0</v>
      </c>
      <c r="AT410" s="2">
        <f>VLOOKUP([jobnumber],OvalData[],MATCH(Table2[[#Headers],[Total Number of Slats]],Table2[#Headers],0),0)</f>
        <v>51</v>
      </c>
      <c r="AU410" s="2">
        <f>VLOOKUP([jobnumber],OvalData[],MATCH(Table2[[#Headers],[Bottom Bar Slope]],Table2[#Headers],0),0)</f>
        <v>0</v>
      </c>
      <c r="AV410" s="2">
        <f>VLOOKUP([jobnumber],OvalData[],MATCH(Table2[[#Headers],[Bottom Bar Weight]],Table2[#Headers],0),0)</f>
        <v>80.5</v>
      </c>
      <c r="AW410" s="2" t="str">
        <f>VLOOKUP([jobnumber],OvalData[],MATCH(Table2[[#Headers],[Outer Spring Gage]],Table2[#Headers],0),0)</f>
        <v>Null</v>
      </c>
      <c r="AX410" s="2" t="str">
        <f>VLOOKUP([jobnumber],OvalData[],MATCH(Table2[[#Headers],[Outer Spring OD]],Table2[#Headers],0),0)</f>
        <v>Null</v>
      </c>
      <c r="AY410" s="2" t="str">
        <f>VLOOKUP([jobnumber],OvalData[],MATCH(Table2[[#Headers],[Outer Spring Length]],Table2[#Headers],0),0)</f>
        <v>Null</v>
      </c>
      <c r="AZ410" s="2" t="str">
        <f>VLOOKUP([jobnumber],OvalData[],MATCH(Table2[[#Headers],[Outer Spring Stretch]],Table2[#Headers],0),0)</f>
        <v>Null</v>
      </c>
      <c r="BA410" s="2" t="str">
        <f>VLOOKUP([jobnumber],OvalData[],MATCH(Table2[[#Headers],[Outer Spring Torque]],Table2[#Headers],0),0)</f>
        <v>Null</v>
      </c>
      <c r="BB410" s="2" t="str">
        <f>VLOOKUP([jobnumber],OvalData[],MATCH(Table2[[#Headers],[Outer Spring Max Turns]],Table2[#Headers],0),0)</f>
        <v>Null</v>
      </c>
      <c r="BC410" s="2" t="str">
        <f>VLOOKUP([jobnumber],OvalData[],MATCH(Table2[[#Headers],[Outer Spring Weight]],Table2[#Headers],0),0)</f>
        <v>Null</v>
      </c>
      <c r="BD410" s="2" t="str">
        <f>VLOOKUP([jobnumber],OvalData[],MATCH(Table2[[#Headers],[Inner Spring Gage]],Table2[#Headers],0),0)</f>
        <v>Null</v>
      </c>
      <c r="BE410" s="2" t="str">
        <f>VLOOKUP([jobnumber],OvalData[],MATCH(Table2[[#Headers],[Inner Spring OD]],Table2[#Headers],0),0)</f>
        <v>Null</v>
      </c>
      <c r="BF410" s="2" t="str">
        <f>VLOOKUP([jobnumber],OvalData[],MATCH(Table2[[#Headers],[Inner Spring Length]],Table2[#Headers],0),0)</f>
        <v>Null</v>
      </c>
      <c r="BG410" s="2" t="str">
        <f>VLOOKUP([jobnumber],OvalData[],MATCH(Table2[[#Headers],[Inner Spring Stretch]],Table2[#Headers],0),0)</f>
        <v>Null</v>
      </c>
      <c r="BH410" s="2" t="str">
        <f>VLOOKUP([jobnumber],OvalData[],MATCH(Table2[[#Headers],[Inner Spring Torque]],Table2[#Headers],0),0)</f>
        <v>Null</v>
      </c>
      <c r="BI410" s="2" t="str">
        <f>VLOOKUP([jobnumber],OvalData[],MATCH(Table2[[#Headers],[Inner Spring Max Turns]],Table2[#Headers],0),0)</f>
        <v>Null</v>
      </c>
      <c r="BJ410" s="2" t="str">
        <f>VLOOKUP([jobnumber],OvalData[],MATCH(Table2[[#Headers],[Inner Spring Weight]],Table2[#Headers],0),0)</f>
        <v>Null</v>
      </c>
      <c r="BK410" s="2">
        <f>VLOOKUP([jobnumber],OvalData[],MATCH(Table2[[#Headers],[Cycles]],Table2[#Headers],0),0)</f>
        <v>0</v>
      </c>
      <c r="BL410" s="2">
        <f>VLOOKUP([jobnumber],OvalData[],MATCH(Table2[[#Headers],[Total Spring Torque]],Table2[#Headers],0),0)</f>
        <v>0</v>
      </c>
      <c r="BM410" s="2">
        <f>VLOOKUP([jobnumber],OvalData[],MATCH(Table2[[#Headers],[Total Spring Weight]],Table2[#Headers],0),0)</f>
        <v>0</v>
      </c>
      <c r="BN410" s="2">
        <f>VLOOKUP([jobnumber],OvalData[],MATCH(Table2[[#Headers],[Pipe Weight]],Table2[#Headers],0),0)</f>
        <v>688.24239999999998</v>
      </c>
      <c r="BO410" s="2">
        <f>VLOOKUP([jobnumber],OvalData[],MATCH(Table2[[#Headers],[Max Pipe Deflection]],Table2[#Headers],0),0)</f>
        <v>2309</v>
      </c>
      <c r="BP410" s="2">
        <f>VLOOKUP([jobnumber],OvalData[],MATCH(Table2[[#Headers],[Number Non-Insulated Wrap Slats]],Table2[#Headers],0),0)</f>
        <v>0</v>
      </c>
      <c r="BQ410" s="2">
        <f>VLOOKUP([jobnumber],OvalData[],MATCH(Table2[[#Headers],[Number of Insolated Top Slats]],Table2[#Headers],0),0)</f>
        <v>45</v>
      </c>
      <c r="BR410" s="2">
        <f>VLOOKUP([jobnumber],OvalData[],MATCH(Table2[[#Headers],[Insolated Total Slats]],Table2[#Headers],0),0)</f>
        <v>45</v>
      </c>
      <c r="BS410" s="2">
        <f>VLOOKUP([jobnumber],OvalData[],MATCH(Table2[[#Headers],[Number of Slats]],Table2[#Headers],0),0)</f>
        <v>44.69</v>
      </c>
      <c r="BT410" s="2">
        <f>VLOOKUP([jobnumber],OvalData[],MATCH(Table2[[#Headers],[Wrap]],Table2[#Headers],0),0)</f>
        <v>0</v>
      </c>
      <c r="BU410" s="2">
        <f>VLOOKUP([jobnumber],OvalData[],MATCH(Table2[[#Headers],[Wall Angle Thickness]],Table2[#Headers],0),0)</f>
        <v>0</v>
      </c>
      <c r="BV410" s="2">
        <f>VLOOKUP([jobnumber],OvalData[],MATCH(Table2[[#Headers],[windlocks]],Table2[#Headers],0),0)</f>
        <v>0</v>
      </c>
      <c r="BW410" s="2" t="str">
        <f>VLOOKUP([jobnumber],OvalData[],MATCH(Table2[[#Headers],[bottombartype]],Table2[#Headers],0),0)</f>
        <v>SPECIAL</v>
      </c>
      <c r="BX410" s="2">
        <f>VLOOKUP([jobnumber],OvalData[],MATCH(Table2[[#Headers],[endlockweight]],Table2[#Headers],0),0)</f>
        <v>0.17</v>
      </c>
      <c r="BY410" s="2">
        <f>VLOOKUP([jobnumber],OvalData[],MATCH(Table2[[#Headers],[Endlock Total Weight]],Table2[#Headers],0),0)</f>
        <v>7.5972999999999997</v>
      </c>
      <c r="BZ410" s="2">
        <f>VLOOKUP([jobnumber],OvalData[],MATCH(Table2[[#Headers],[Grille Weight]],Table2[#Headers],0),0)</f>
        <v>0</v>
      </c>
      <c r="CA410" s="2">
        <f>VLOOKUP([jobnumber],OvalData[],MATCH(Table2[[#Headers],[barrelrings]],Table2[#Headers],0),0)</f>
        <v>1</v>
      </c>
    </row>
    <row r="411" spans="2:79">
      <c r="B411" s="2" t="str">
        <f>VLOOKUP([jobnumber],OvalData[],MATCH(Table2[[#Headers],[Hand]],Table2[#Headers],0),0)</f>
        <v>RH</v>
      </c>
      <c r="C411" s="2" t="str">
        <f>VLOOKUP([jobnumber],OvalData[],MATCH(Table2[[#Headers],[Model]],Table2[#Headers],0),0)</f>
        <v>SFMPP</v>
      </c>
      <c r="D411" s="2" t="str">
        <f>VLOOKUP([jobnumber],OvalData[],MATCH(Table2[[#Headers],[width]],Table2[#Headers],0),0)</f>
        <v xml:space="preserve"> 18 ft.- 2"</v>
      </c>
      <c r="E411" s="2" t="str">
        <f>VLOOKUP([jobnumber],OvalData[],MATCH(Table2[[#Headers],[stopheight]],Table2[#Headers],0),0)</f>
        <v xml:space="preserve"> 10 ft.- 0"</v>
      </c>
      <c r="F411" s="2" t="str">
        <f>VLOOKUP([jobnumber],OvalData[],MATCH(Table2[[#Headers],[Between Brackets]],Table2[#Headers],0),0)</f>
        <v xml:space="preserve"> 18 ft.- 7 7/ 8"</v>
      </c>
      <c r="G411" s="2" t="str">
        <f>VLOOKUP([jobnumber],OvalData[],MATCH(Table2[[#Headers],[shell]],Table2[#Headers],0),0)</f>
        <v>6 INCH TUBE</v>
      </c>
      <c r="H411" s="2" t="str">
        <f>VLOOKUP([jobnumber],OvalData[],MATCH(Table2[[#Headers],[pipewidth]],Table2[#Headers],0),0)</f>
        <v xml:space="preserve"> 18 ft.- 1 3/ 8"</v>
      </c>
      <c r="I411" s="2">
        <f>VLOOKUP([jobnumber],OvalData[],MATCH(Table2[[#Headers],[Support Tubes]],Table2[#Headers],0),0)</f>
        <v>0</v>
      </c>
      <c r="J411" s="2">
        <f>VLOOKUP([jobnumber],OvalData[],MATCH(Table2[[#Headers],[Upset]],Table2[#Headers],0),0)</f>
        <v>2</v>
      </c>
      <c r="K411" s="2" t="str">
        <f>VLOOKUP([jobnumber],OvalData[],MATCH(Table2[[#Headers],[Guide Type]],Table2[#Headers],0),0)</f>
        <v>SN2-4 5/8-E</v>
      </c>
      <c r="L411" s="2" t="str">
        <f>VLOOKUP([jobnumber],OvalData[],MATCH(Table2[[#Headers],[Wall Angle]],Table2[#Headers],0),0)</f>
        <v xml:space="preserve"> 11 ft.- 8"</v>
      </c>
      <c r="M411" s="2" t="str">
        <f>VLOOKUP([jobnumber],OvalData[],MATCH(Table2[[#Headers],[Middle Angle]],Table2[#Headers],0),0)</f>
        <v xml:space="preserve"> 10 ft.- 4 1/ 2"</v>
      </c>
      <c r="N411" s="2" t="str">
        <f>VLOOKUP([jobnumber],OvalData[],MATCH(Table2[[#Headers],[Front Angle]],Table2[#Headers],0),0)</f>
        <v xml:space="preserve"> 10 ft.- 3"</v>
      </c>
      <c r="O411" s="2">
        <f>VLOOKUP([jobnumber],OvalData[],MATCH(Table2[[#Headers],[Pipe Center Line]],Table2[#Headers],0),0)</f>
        <v>131</v>
      </c>
      <c r="P411" s="2">
        <f>VLOOKUP([jobnumber],OvalData[],MATCH(Table2[[#Headers],[Heat Expansion Gap]],Table2[#Headers],0),0)</f>
        <v>0</v>
      </c>
      <c r="Q411" s="2">
        <f>VLOOKUP([jobnumber],OvalData[],MATCH(Table2[[#Headers],[Hanging Weight Closed]],Table2[#Headers],0),0)</f>
        <v>795</v>
      </c>
      <c r="R411" s="2">
        <f>VLOOKUP([jobnumber],OvalData[],MATCH(Table2[[#Headers],[Hanging Weight Open]],Table2[#Headers],0),0)</f>
        <v>140</v>
      </c>
      <c r="S411" s="2">
        <f>VLOOKUP([jobnumber],OvalData[],MATCH(Table2[[#Headers],[Initial Lever Arm]],Table2[#Headers],0),0)</f>
        <v>4.25</v>
      </c>
      <c r="T411" s="2">
        <f>VLOOKUP([jobnumber],OvalData[],MATCH(Table2[[#Headers],[Turns to Raise]],Table2[#Headers],0),0)</f>
        <v>3.5859999999999999</v>
      </c>
      <c r="U411" s="2">
        <f>VLOOKUP([jobnumber],OvalData[],MATCH(Table2[[#Headers],[Final Lever Arm]],Table2[#Headers],0),0)</f>
        <v>6.37</v>
      </c>
      <c r="V411" s="2">
        <f>VLOOKUP([jobnumber],OvalData[],MATCH(Table2[[#Headers],[Torque Required Closed]],Table2[#Headers],0),0)</f>
        <v>3377.9</v>
      </c>
      <c r="W411" s="2">
        <f>VLOOKUP([jobnumber],OvalData[],MATCH(Table2[[#Headers],[Torque Required Open]],Table2[#Headers],0),0)</f>
        <v>892</v>
      </c>
      <c r="X411" s="2">
        <f>VLOOKUP([jobnumber],OvalData[],MATCH(Table2[[#Headers],[Pre Turns]],Table2[#Headers],0),0)</f>
        <v>1.3332999999999999</v>
      </c>
      <c r="Y411" s="2">
        <f>VLOOKUP([jobnumber],OvalData[],MATCH(Table2[[#Headers],[Required Torque Per Turn]],Table2[#Headers],0),0)</f>
        <v>688</v>
      </c>
      <c r="Z411" s="2">
        <f>VLOOKUP([jobnumber],OvalData[],MATCH(Table2[[#Headers],[Total Turns]],Table2[#Headers],0),0)</f>
        <v>4.91</v>
      </c>
      <c r="AA411" s="2">
        <f>VLOOKUP([jobnumber],OvalData[],MATCH(Table2[[#Headers],[Grille Vision Section]],Table2[#Headers],0),0)</f>
        <v>0</v>
      </c>
      <c r="AB411" s="2">
        <f>VLOOKUP([jobnumber],OvalData[],MATCH(Table2[[#Headers],[Grille Amount]],Table2[#Headers],0),0)</f>
        <v>0</v>
      </c>
      <c r="AC411" s="2">
        <f>VLOOKUP([jobnumber],OvalData[],MATCH(Table2[[#Headers],[Grille Center]],Table2[#Headers],0),0)</f>
        <v>0</v>
      </c>
      <c r="AD411" s="2">
        <f>VLOOKUP([jobnumber],OvalData[],MATCH(Table2[[#Headers],[Grille Pattern]],Table2[#Headers],0),0)</f>
        <v>0</v>
      </c>
      <c r="AE411" s="2">
        <f>VLOOKUP([jobnumber],OvalData[],MATCH(Table2[[#Headers],[Grille First Tube]],Table2[#Headers],0),0)</f>
        <v>0</v>
      </c>
      <c r="AF411" s="2">
        <f>VLOOKUP([jobnumber],OvalData[],MATCH(Table2[[#Headers],[Grille Standard Tube]],Table2[#Headers],0),0)</f>
        <v>0</v>
      </c>
      <c r="AG411" s="2">
        <f>VLOOKUP([jobnumber],OvalData[],MATCH(Table2[[#Headers],[Grille Total Links]],Table2[#Headers],0),0)</f>
        <v>0</v>
      </c>
      <c r="AH411" s="2">
        <f>VLOOKUP([jobnumber],OvalData[],MATCH(Table2[[#Headers],[Grille Rods]],Table2[#Headers],0),0)</f>
        <v>0</v>
      </c>
      <c r="AI411" s="2">
        <f>VLOOKUP([jobnumber],OvalData[],MATCH(Table2[[#Headers],[Grille Rod Length]],Table2[#Headers],0),0)</f>
        <v>0</v>
      </c>
      <c r="AJ411" s="2">
        <f>VLOOKUP([jobnumber],OvalData[],MATCH(Table2[[#Headers],[slattype]],Table2[#Headers],0),0)</f>
        <v>2</v>
      </c>
      <c r="AK411" s="2">
        <f>VLOOKUP([jobnumber],OvalData[],MATCH(Table2[[#Headers],[slatgage]],Table2[#Headers],0),0)</f>
        <v>18</v>
      </c>
      <c r="AL411" s="2">
        <f>VLOOKUP([jobnumber],OvalData[],MATCH(Table2[[#Headers],[Numer of Top Slats]],Table2[#Headers],0),0)</f>
        <v>0</v>
      </c>
      <c r="AM411" s="2">
        <f>VLOOKUP([jobnumber],OvalData[],MATCH(Table2[[#Headers],[Number of Bottom Slats]],Table2[#Headers],0),0)</f>
        <v>0</v>
      </c>
      <c r="AN411" s="2">
        <f>VLOOKUP([jobnumber],OvalData[],MATCH(Table2[[#Headers],[Solid Bottom Height]],Table2[#Headers],0),0)</f>
        <v>0</v>
      </c>
      <c r="AO411" s="2" t="str">
        <f>VLOOKUP([jobnumber],OvalData[],MATCH(Table2[[#Headers],[slatlength]],Table2[#Headers],0),0)</f>
        <v xml:space="preserve"> 18 ft.- 5 7/ 8"</v>
      </c>
      <c r="AP411" s="2">
        <f>VLOOKUP([jobnumber],OvalData[],MATCH(Table2[[#Headers],[Bottom Slat Length]],Table2[#Headers],0),0)</f>
        <v>0</v>
      </c>
      <c r="AQ411" s="2">
        <f>VLOOKUP([jobnumber],OvalData[],MATCH(Table2[[#Headers],[Number of Perferated Slats]],Table2[#Headers],0),0)</f>
        <v>0</v>
      </c>
      <c r="AR411" s="2">
        <f>VLOOKUP([jobnumber],OvalData[],MATCH(Table2[[#Headers],[First Preferated Slat From End]],Table2[#Headers],0),0)</f>
        <v>0</v>
      </c>
      <c r="AS411" s="2">
        <f>VLOOKUP([jobnumber],OvalData[],MATCH(Table2[[#Headers],[First Preferated Slat From Bottom]],Table2[#Headers],0),0)</f>
        <v>0</v>
      </c>
      <c r="AT411" s="2">
        <f>VLOOKUP([jobnumber],OvalData[],MATCH(Table2[[#Headers],[Total Number of Slats]],Table2[#Headers],0),0)</f>
        <v>51</v>
      </c>
      <c r="AU411" s="2">
        <f>VLOOKUP([jobnumber],OvalData[],MATCH(Table2[[#Headers],[Bottom Bar Slope]],Table2[#Headers],0),0)</f>
        <v>0</v>
      </c>
      <c r="AV411" s="2">
        <f>VLOOKUP([jobnumber],OvalData[],MATCH(Table2[[#Headers],[Bottom Bar Weight]],Table2[#Headers],0),0)</f>
        <v>80.5</v>
      </c>
      <c r="AW411" s="2" t="str">
        <f>VLOOKUP([jobnumber],OvalData[],MATCH(Table2[[#Headers],[Outer Spring Gage]],Table2[#Headers],0),0)</f>
        <v>Null</v>
      </c>
      <c r="AX411" s="2" t="str">
        <f>VLOOKUP([jobnumber],OvalData[],MATCH(Table2[[#Headers],[Outer Spring OD]],Table2[#Headers],0),0)</f>
        <v>Null</v>
      </c>
      <c r="AY411" s="2" t="str">
        <f>VLOOKUP([jobnumber],OvalData[],MATCH(Table2[[#Headers],[Outer Spring Length]],Table2[#Headers],0),0)</f>
        <v>Null</v>
      </c>
      <c r="AZ411" s="2" t="str">
        <f>VLOOKUP([jobnumber],OvalData[],MATCH(Table2[[#Headers],[Outer Spring Stretch]],Table2[#Headers],0),0)</f>
        <v>Null</v>
      </c>
      <c r="BA411" s="2" t="str">
        <f>VLOOKUP([jobnumber],OvalData[],MATCH(Table2[[#Headers],[Outer Spring Torque]],Table2[#Headers],0),0)</f>
        <v>Null</v>
      </c>
      <c r="BB411" s="2" t="str">
        <f>VLOOKUP([jobnumber],OvalData[],MATCH(Table2[[#Headers],[Outer Spring Max Turns]],Table2[#Headers],0),0)</f>
        <v>Null</v>
      </c>
      <c r="BC411" s="2" t="str">
        <f>VLOOKUP([jobnumber],OvalData[],MATCH(Table2[[#Headers],[Outer Spring Weight]],Table2[#Headers],0),0)</f>
        <v>Null</v>
      </c>
      <c r="BD411" s="2" t="str">
        <f>VLOOKUP([jobnumber],OvalData[],MATCH(Table2[[#Headers],[Inner Spring Gage]],Table2[#Headers],0),0)</f>
        <v>Null</v>
      </c>
      <c r="BE411" s="2" t="str">
        <f>VLOOKUP([jobnumber],OvalData[],MATCH(Table2[[#Headers],[Inner Spring OD]],Table2[#Headers],0),0)</f>
        <v>Null</v>
      </c>
      <c r="BF411" s="2" t="str">
        <f>VLOOKUP([jobnumber],OvalData[],MATCH(Table2[[#Headers],[Inner Spring Length]],Table2[#Headers],0),0)</f>
        <v>Null</v>
      </c>
      <c r="BG411" s="2" t="str">
        <f>VLOOKUP([jobnumber],OvalData[],MATCH(Table2[[#Headers],[Inner Spring Stretch]],Table2[#Headers],0),0)</f>
        <v>Null</v>
      </c>
      <c r="BH411" s="2" t="str">
        <f>VLOOKUP([jobnumber],OvalData[],MATCH(Table2[[#Headers],[Inner Spring Torque]],Table2[#Headers],0),0)</f>
        <v>Null</v>
      </c>
      <c r="BI411" s="2" t="str">
        <f>VLOOKUP([jobnumber],OvalData[],MATCH(Table2[[#Headers],[Inner Spring Max Turns]],Table2[#Headers],0),0)</f>
        <v>Null</v>
      </c>
      <c r="BJ411" s="2" t="str">
        <f>VLOOKUP([jobnumber],OvalData[],MATCH(Table2[[#Headers],[Inner Spring Weight]],Table2[#Headers],0),0)</f>
        <v>Null</v>
      </c>
      <c r="BK411" s="2">
        <f>VLOOKUP([jobnumber],OvalData[],MATCH(Table2[[#Headers],[Cycles]],Table2[#Headers],0),0)</f>
        <v>0</v>
      </c>
      <c r="BL411" s="2">
        <f>VLOOKUP([jobnumber],OvalData[],MATCH(Table2[[#Headers],[Total Spring Torque]],Table2[#Headers],0),0)</f>
        <v>0</v>
      </c>
      <c r="BM411" s="2">
        <f>VLOOKUP([jobnumber],OvalData[],MATCH(Table2[[#Headers],[Total Spring Weight]],Table2[#Headers],0),0)</f>
        <v>0</v>
      </c>
      <c r="BN411" s="2">
        <f>VLOOKUP([jobnumber],OvalData[],MATCH(Table2[[#Headers],[Pipe Weight]],Table2[#Headers],0),0)</f>
        <v>688.24239999999998</v>
      </c>
      <c r="BO411" s="2">
        <f>VLOOKUP([jobnumber],OvalData[],MATCH(Table2[[#Headers],[Max Pipe Deflection]],Table2[#Headers],0),0)</f>
        <v>2309</v>
      </c>
      <c r="BP411" s="2">
        <f>VLOOKUP([jobnumber],OvalData[],MATCH(Table2[[#Headers],[Number Non-Insulated Wrap Slats]],Table2[#Headers],0),0)</f>
        <v>0</v>
      </c>
      <c r="BQ411" s="2">
        <f>VLOOKUP([jobnumber],OvalData[],MATCH(Table2[[#Headers],[Number of Insolated Top Slats]],Table2[#Headers],0),0)</f>
        <v>45</v>
      </c>
      <c r="BR411" s="2">
        <f>VLOOKUP([jobnumber],OvalData[],MATCH(Table2[[#Headers],[Insolated Total Slats]],Table2[#Headers],0),0)</f>
        <v>45</v>
      </c>
      <c r="BS411" s="2">
        <f>VLOOKUP([jobnumber],OvalData[],MATCH(Table2[[#Headers],[Number of Slats]],Table2[#Headers],0),0)</f>
        <v>44.69</v>
      </c>
      <c r="BT411" s="2">
        <f>VLOOKUP([jobnumber],OvalData[],MATCH(Table2[[#Headers],[Wrap]],Table2[#Headers],0),0)</f>
        <v>0</v>
      </c>
      <c r="BU411" s="2">
        <f>VLOOKUP([jobnumber],OvalData[],MATCH(Table2[[#Headers],[Wall Angle Thickness]],Table2[#Headers],0),0)</f>
        <v>0</v>
      </c>
      <c r="BV411" s="2">
        <f>VLOOKUP([jobnumber],OvalData[],MATCH(Table2[[#Headers],[windlocks]],Table2[#Headers],0),0)</f>
        <v>0</v>
      </c>
      <c r="BW411" s="2" t="str">
        <f>VLOOKUP([jobnumber],OvalData[],MATCH(Table2[[#Headers],[bottombartype]],Table2[#Headers],0),0)</f>
        <v>SPECIAL</v>
      </c>
      <c r="BX411" s="2">
        <f>VLOOKUP([jobnumber],OvalData[],MATCH(Table2[[#Headers],[endlockweight]],Table2[#Headers],0),0)</f>
        <v>0.17</v>
      </c>
      <c r="BY411" s="2">
        <f>VLOOKUP([jobnumber],OvalData[],MATCH(Table2[[#Headers],[Endlock Total Weight]],Table2[#Headers],0),0)</f>
        <v>7.5972999999999997</v>
      </c>
      <c r="BZ411" s="2">
        <f>VLOOKUP([jobnumber],OvalData[],MATCH(Table2[[#Headers],[Grille Weight]],Table2[#Headers],0),0)</f>
        <v>0</v>
      </c>
      <c r="CA411" s="2">
        <f>VLOOKUP([jobnumber],OvalData[],MATCH(Table2[[#Headers],[barrelrings]],Table2[#Headers],0),0)</f>
        <v>1</v>
      </c>
    </row>
    <row r="412" spans="2:79">
      <c r="B412" s="2" t="str">
        <f>VLOOKUP([jobnumber],OvalData[],MATCH(Table2[[#Headers],[Hand]],Table2[#Headers],0),0)</f>
        <v>RH</v>
      </c>
      <c r="C412" s="2" t="str">
        <f>VLOOKUP([jobnumber],OvalData[],MATCH(Table2[[#Headers],[Model]],Table2[#Headers],0),0)</f>
        <v>SFMPP</v>
      </c>
      <c r="D412" s="2" t="str">
        <f>VLOOKUP([jobnumber],OvalData[],MATCH(Table2[[#Headers],[width]],Table2[#Headers],0),0)</f>
        <v xml:space="preserve"> 18 ft.- 2"</v>
      </c>
      <c r="E412" s="2" t="str">
        <f>VLOOKUP([jobnumber],OvalData[],MATCH(Table2[[#Headers],[stopheight]],Table2[#Headers],0),0)</f>
        <v xml:space="preserve"> 10 ft.- 0"</v>
      </c>
      <c r="F412" s="2" t="str">
        <f>VLOOKUP([jobnumber],OvalData[],MATCH(Table2[[#Headers],[Between Brackets]],Table2[#Headers],0),0)</f>
        <v xml:space="preserve"> 18 ft.- 7 7/ 8"</v>
      </c>
      <c r="G412" s="2" t="str">
        <f>VLOOKUP([jobnumber],OvalData[],MATCH(Table2[[#Headers],[shell]],Table2[#Headers],0),0)</f>
        <v>6 INCH TUBE</v>
      </c>
      <c r="H412" s="2" t="str">
        <f>VLOOKUP([jobnumber],OvalData[],MATCH(Table2[[#Headers],[pipewidth]],Table2[#Headers],0),0)</f>
        <v xml:space="preserve"> 18 ft.- 1 3/ 8"</v>
      </c>
      <c r="I412" s="2">
        <f>VLOOKUP([jobnumber],OvalData[],MATCH(Table2[[#Headers],[Support Tubes]],Table2[#Headers],0),0)</f>
        <v>0</v>
      </c>
      <c r="J412" s="2">
        <f>VLOOKUP([jobnumber],OvalData[],MATCH(Table2[[#Headers],[Upset]],Table2[#Headers],0),0)</f>
        <v>2</v>
      </c>
      <c r="K412" s="2" t="str">
        <f>VLOOKUP([jobnumber],OvalData[],MATCH(Table2[[#Headers],[Guide Type]],Table2[#Headers],0),0)</f>
        <v>SN2-4 5/8-E</v>
      </c>
      <c r="L412" s="2" t="str">
        <f>VLOOKUP([jobnumber],OvalData[],MATCH(Table2[[#Headers],[Wall Angle]],Table2[#Headers],0),0)</f>
        <v xml:space="preserve"> 11 ft.- 8"</v>
      </c>
      <c r="M412" s="2" t="str">
        <f>VLOOKUP([jobnumber],OvalData[],MATCH(Table2[[#Headers],[Middle Angle]],Table2[#Headers],0),0)</f>
        <v xml:space="preserve"> 10 ft.- 4 1/ 2"</v>
      </c>
      <c r="N412" s="2" t="str">
        <f>VLOOKUP([jobnumber],OvalData[],MATCH(Table2[[#Headers],[Front Angle]],Table2[#Headers],0),0)</f>
        <v xml:space="preserve"> 10 ft.- 3"</v>
      </c>
      <c r="O412" s="2">
        <f>VLOOKUP([jobnumber],OvalData[],MATCH(Table2[[#Headers],[Pipe Center Line]],Table2[#Headers],0),0)</f>
        <v>131</v>
      </c>
      <c r="P412" s="2">
        <f>VLOOKUP([jobnumber],OvalData[],MATCH(Table2[[#Headers],[Heat Expansion Gap]],Table2[#Headers],0),0)</f>
        <v>0</v>
      </c>
      <c r="Q412" s="2">
        <f>VLOOKUP([jobnumber],OvalData[],MATCH(Table2[[#Headers],[Hanging Weight Closed]],Table2[#Headers],0),0)</f>
        <v>795</v>
      </c>
      <c r="R412" s="2">
        <f>VLOOKUP([jobnumber],OvalData[],MATCH(Table2[[#Headers],[Hanging Weight Open]],Table2[#Headers],0),0)</f>
        <v>140</v>
      </c>
      <c r="S412" s="2">
        <f>VLOOKUP([jobnumber],OvalData[],MATCH(Table2[[#Headers],[Initial Lever Arm]],Table2[#Headers],0),0)</f>
        <v>4.25</v>
      </c>
      <c r="T412" s="2">
        <f>VLOOKUP([jobnumber],OvalData[],MATCH(Table2[[#Headers],[Turns to Raise]],Table2[#Headers],0),0)</f>
        <v>3.5859999999999999</v>
      </c>
      <c r="U412" s="2">
        <f>VLOOKUP([jobnumber],OvalData[],MATCH(Table2[[#Headers],[Final Lever Arm]],Table2[#Headers],0),0)</f>
        <v>6.37</v>
      </c>
      <c r="V412" s="2">
        <f>VLOOKUP([jobnumber],OvalData[],MATCH(Table2[[#Headers],[Torque Required Closed]],Table2[#Headers],0),0)</f>
        <v>3377.9</v>
      </c>
      <c r="W412" s="2">
        <f>VLOOKUP([jobnumber],OvalData[],MATCH(Table2[[#Headers],[Torque Required Open]],Table2[#Headers],0),0)</f>
        <v>892</v>
      </c>
      <c r="X412" s="2">
        <f>VLOOKUP([jobnumber],OvalData[],MATCH(Table2[[#Headers],[Pre Turns]],Table2[#Headers],0),0)</f>
        <v>1.3332999999999999</v>
      </c>
      <c r="Y412" s="2">
        <f>VLOOKUP([jobnumber],OvalData[],MATCH(Table2[[#Headers],[Required Torque Per Turn]],Table2[#Headers],0),0)</f>
        <v>688</v>
      </c>
      <c r="Z412" s="2">
        <f>VLOOKUP([jobnumber],OvalData[],MATCH(Table2[[#Headers],[Total Turns]],Table2[#Headers],0),0)</f>
        <v>4.91</v>
      </c>
      <c r="AA412" s="2">
        <f>VLOOKUP([jobnumber],OvalData[],MATCH(Table2[[#Headers],[Grille Vision Section]],Table2[#Headers],0),0)</f>
        <v>0</v>
      </c>
      <c r="AB412" s="2">
        <f>VLOOKUP([jobnumber],OvalData[],MATCH(Table2[[#Headers],[Grille Amount]],Table2[#Headers],0),0)</f>
        <v>0</v>
      </c>
      <c r="AC412" s="2">
        <f>VLOOKUP([jobnumber],OvalData[],MATCH(Table2[[#Headers],[Grille Center]],Table2[#Headers],0),0)</f>
        <v>0</v>
      </c>
      <c r="AD412" s="2">
        <f>VLOOKUP([jobnumber],OvalData[],MATCH(Table2[[#Headers],[Grille Pattern]],Table2[#Headers],0),0)</f>
        <v>0</v>
      </c>
      <c r="AE412" s="2">
        <f>VLOOKUP([jobnumber],OvalData[],MATCH(Table2[[#Headers],[Grille First Tube]],Table2[#Headers],0),0)</f>
        <v>0</v>
      </c>
      <c r="AF412" s="2">
        <f>VLOOKUP([jobnumber],OvalData[],MATCH(Table2[[#Headers],[Grille Standard Tube]],Table2[#Headers],0),0)</f>
        <v>0</v>
      </c>
      <c r="AG412" s="2">
        <f>VLOOKUP([jobnumber],OvalData[],MATCH(Table2[[#Headers],[Grille Total Links]],Table2[#Headers],0),0)</f>
        <v>0</v>
      </c>
      <c r="AH412" s="2">
        <f>VLOOKUP([jobnumber],OvalData[],MATCH(Table2[[#Headers],[Grille Rods]],Table2[#Headers],0),0)</f>
        <v>0</v>
      </c>
      <c r="AI412" s="2">
        <f>VLOOKUP([jobnumber],OvalData[],MATCH(Table2[[#Headers],[Grille Rod Length]],Table2[#Headers],0),0)</f>
        <v>0</v>
      </c>
      <c r="AJ412" s="2">
        <f>VLOOKUP([jobnumber],OvalData[],MATCH(Table2[[#Headers],[slattype]],Table2[#Headers],0),0)</f>
        <v>2</v>
      </c>
      <c r="AK412" s="2">
        <f>VLOOKUP([jobnumber],OvalData[],MATCH(Table2[[#Headers],[slatgage]],Table2[#Headers],0),0)</f>
        <v>18</v>
      </c>
      <c r="AL412" s="2">
        <f>VLOOKUP([jobnumber],OvalData[],MATCH(Table2[[#Headers],[Numer of Top Slats]],Table2[#Headers],0),0)</f>
        <v>0</v>
      </c>
      <c r="AM412" s="2">
        <f>VLOOKUP([jobnumber],OvalData[],MATCH(Table2[[#Headers],[Number of Bottom Slats]],Table2[#Headers],0),0)</f>
        <v>0</v>
      </c>
      <c r="AN412" s="2">
        <f>VLOOKUP([jobnumber],OvalData[],MATCH(Table2[[#Headers],[Solid Bottom Height]],Table2[#Headers],0),0)</f>
        <v>0</v>
      </c>
      <c r="AO412" s="2" t="str">
        <f>VLOOKUP([jobnumber],OvalData[],MATCH(Table2[[#Headers],[slatlength]],Table2[#Headers],0),0)</f>
        <v xml:space="preserve"> 18 ft.- 5 7/ 8"</v>
      </c>
      <c r="AP412" s="2">
        <f>VLOOKUP([jobnumber],OvalData[],MATCH(Table2[[#Headers],[Bottom Slat Length]],Table2[#Headers],0),0)</f>
        <v>0</v>
      </c>
      <c r="AQ412" s="2">
        <f>VLOOKUP([jobnumber],OvalData[],MATCH(Table2[[#Headers],[Number of Perferated Slats]],Table2[#Headers],0),0)</f>
        <v>0</v>
      </c>
      <c r="AR412" s="2">
        <f>VLOOKUP([jobnumber],OvalData[],MATCH(Table2[[#Headers],[First Preferated Slat From End]],Table2[#Headers],0),0)</f>
        <v>0</v>
      </c>
      <c r="AS412" s="2">
        <f>VLOOKUP([jobnumber],OvalData[],MATCH(Table2[[#Headers],[First Preferated Slat From Bottom]],Table2[#Headers],0),0)</f>
        <v>0</v>
      </c>
      <c r="AT412" s="2">
        <f>VLOOKUP([jobnumber],OvalData[],MATCH(Table2[[#Headers],[Total Number of Slats]],Table2[#Headers],0),0)</f>
        <v>51</v>
      </c>
      <c r="AU412" s="2">
        <f>VLOOKUP([jobnumber],OvalData[],MATCH(Table2[[#Headers],[Bottom Bar Slope]],Table2[#Headers],0),0)</f>
        <v>0</v>
      </c>
      <c r="AV412" s="2">
        <f>VLOOKUP([jobnumber],OvalData[],MATCH(Table2[[#Headers],[Bottom Bar Weight]],Table2[#Headers],0),0)</f>
        <v>80.5</v>
      </c>
      <c r="AW412" s="2" t="str">
        <f>VLOOKUP([jobnumber],OvalData[],MATCH(Table2[[#Headers],[Outer Spring Gage]],Table2[#Headers],0),0)</f>
        <v>Null</v>
      </c>
      <c r="AX412" s="2" t="str">
        <f>VLOOKUP([jobnumber],OvalData[],MATCH(Table2[[#Headers],[Outer Spring OD]],Table2[#Headers],0),0)</f>
        <v>Null</v>
      </c>
      <c r="AY412" s="2" t="str">
        <f>VLOOKUP([jobnumber],OvalData[],MATCH(Table2[[#Headers],[Outer Spring Length]],Table2[#Headers],0),0)</f>
        <v>Null</v>
      </c>
      <c r="AZ412" s="2" t="str">
        <f>VLOOKUP([jobnumber],OvalData[],MATCH(Table2[[#Headers],[Outer Spring Stretch]],Table2[#Headers],0),0)</f>
        <v>Null</v>
      </c>
      <c r="BA412" s="2" t="str">
        <f>VLOOKUP([jobnumber],OvalData[],MATCH(Table2[[#Headers],[Outer Spring Torque]],Table2[#Headers],0),0)</f>
        <v>Null</v>
      </c>
      <c r="BB412" s="2" t="str">
        <f>VLOOKUP([jobnumber],OvalData[],MATCH(Table2[[#Headers],[Outer Spring Max Turns]],Table2[#Headers],0),0)</f>
        <v>Null</v>
      </c>
      <c r="BC412" s="2" t="str">
        <f>VLOOKUP([jobnumber],OvalData[],MATCH(Table2[[#Headers],[Outer Spring Weight]],Table2[#Headers],0),0)</f>
        <v>Null</v>
      </c>
      <c r="BD412" s="2" t="str">
        <f>VLOOKUP([jobnumber],OvalData[],MATCH(Table2[[#Headers],[Inner Spring Gage]],Table2[#Headers],0),0)</f>
        <v>Null</v>
      </c>
      <c r="BE412" s="2" t="str">
        <f>VLOOKUP([jobnumber],OvalData[],MATCH(Table2[[#Headers],[Inner Spring OD]],Table2[#Headers],0),0)</f>
        <v>Null</v>
      </c>
      <c r="BF412" s="2" t="str">
        <f>VLOOKUP([jobnumber],OvalData[],MATCH(Table2[[#Headers],[Inner Spring Length]],Table2[#Headers],0),0)</f>
        <v>Null</v>
      </c>
      <c r="BG412" s="2" t="str">
        <f>VLOOKUP([jobnumber],OvalData[],MATCH(Table2[[#Headers],[Inner Spring Stretch]],Table2[#Headers],0),0)</f>
        <v>Null</v>
      </c>
      <c r="BH412" s="2" t="str">
        <f>VLOOKUP([jobnumber],OvalData[],MATCH(Table2[[#Headers],[Inner Spring Torque]],Table2[#Headers],0),0)</f>
        <v>Null</v>
      </c>
      <c r="BI412" s="2" t="str">
        <f>VLOOKUP([jobnumber],OvalData[],MATCH(Table2[[#Headers],[Inner Spring Max Turns]],Table2[#Headers],0),0)</f>
        <v>Null</v>
      </c>
      <c r="BJ412" s="2" t="str">
        <f>VLOOKUP([jobnumber],OvalData[],MATCH(Table2[[#Headers],[Inner Spring Weight]],Table2[#Headers],0),0)</f>
        <v>Null</v>
      </c>
      <c r="BK412" s="2">
        <f>VLOOKUP([jobnumber],OvalData[],MATCH(Table2[[#Headers],[Cycles]],Table2[#Headers],0),0)</f>
        <v>0</v>
      </c>
      <c r="BL412" s="2">
        <f>VLOOKUP([jobnumber],OvalData[],MATCH(Table2[[#Headers],[Total Spring Torque]],Table2[#Headers],0),0)</f>
        <v>0</v>
      </c>
      <c r="BM412" s="2">
        <f>VLOOKUP([jobnumber],OvalData[],MATCH(Table2[[#Headers],[Total Spring Weight]],Table2[#Headers],0),0)</f>
        <v>0</v>
      </c>
      <c r="BN412" s="2">
        <f>VLOOKUP([jobnumber],OvalData[],MATCH(Table2[[#Headers],[Pipe Weight]],Table2[#Headers],0),0)</f>
        <v>688.24239999999998</v>
      </c>
      <c r="BO412" s="2">
        <f>VLOOKUP([jobnumber],OvalData[],MATCH(Table2[[#Headers],[Max Pipe Deflection]],Table2[#Headers],0),0)</f>
        <v>2309</v>
      </c>
      <c r="BP412" s="2">
        <f>VLOOKUP([jobnumber],OvalData[],MATCH(Table2[[#Headers],[Number Non-Insulated Wrap Slats]],Table2[#Headers],0),0)</f>
        <v>0</v>
      </c>
      <c r="BQ412" s="2">
        <f>VLOOKUP([jobnumber],OvalData[],MATCH(Table2[[#Headers],[Number of Insolated Top Slats]],Table2[#Headers],0),0)</f>
        <v>45</v>
      </c>
      <c r="BR412" s="2">
        <f>VLOOKUP([jobnumber],OvalData[],MATCH(Table2[[#Headers],[Insolated Total Slats]],Table2[#Headers],0),0)</f>
        <v>45</v>
      </c>
      <c r="BS412" s="2">
        <f>VLOOKUP([jobnumber],OvalData[],MATCH(Table2[[#Headers],[Number of Slats]],Table2[#Headers],0),0)</f>
        <v>44.69</v>
      </c>
      <c r="BT412" s="2">
        <f>VLOOKUP([jobnumber],OvalData[],MATCH(Table2[[#Headers],[Wrap]],Table2[#Headers],0),0)</f>
        <v>0</v>
      </c>
      <c r="BU412" s="2">
        <f>VLOOKUP([jobnumber],OvalData[],MATCH(Table2[[#Headers],[Wall Angle Thickness]],Table2[#Headers],0),0)</f>
        <v>0</v>
      </c>
      <c r="BV412" s="2">
        <f>VLOOKUP([jobnumber],OvalData[],MATCH(Table2[[#Headers],[windlocks]],Table2[#Headers],0),0)</f>
        <v>0</v>
      </c>
      <c r="BW412" s="2" t="str">
        <f>VLOOKUP([jobnumber],OvalData[],MATCH(Table2[[#Headers],[bottombartype]],Table2[#Headers],0),0)</f>
        <v>SPECIAL</v>
      </c>
      <c r="BX412" s="2">
        <f>VLOOKUP([jobnumber],OvalData[],MATCH(Table2[[#Headers],[endlockweight]],Table2[#Headers],0),0)</f>
        <v>0.17</v>
      </c>
      <c r="BY412" s="2">
        <f>VLOOKUP([jobnumber],OvalData[],MATCH(Table2[[#Headers],[Endlock Total Weight]],Table2[#Headers],0),0)</f>
        <v>7.5972999999999997</v>
      </c>
      <c r="BZ412" s="2">
        <f>VLOOKUP([jobnumber],OvalData[],MATCH(Table2[[#Headers],[Grille Weight]],Table2[#Headers],0),0)</f>
        <v>0</v>
      </c>
      <c r="CA412" s="2">
        <f>VLOOKUP([jobnumber],OvalData[],MATCH(Table2[[#Headers],[barrelrings]],Table2[#Headers],0),0)</f>
        <v>1</v>
      </c>
    </row>
    <row r="413" spans="2:79">
      <c r="B413" s="2" t="str">
        <f>VLOOKUP([jobnumber],OvalData[],MATCH(Table2[[#Headers],[Hand]],Table2[#Headers],0),0)</f>
        <v>RH</v>
      </c>
      <c r="C413" s="2" t="str">
        <f>VLOOKUP([jobnumber],OvalData[],MATCH(Table2[[#Headers],[Model]],Table2[#Headers],0),0)</f>
        <v>SFMPP</v>
      </c>
      <c r="D413" s="2" t="str">
        <f>VLOOKUP([jobnumber],OvalData[],MATCH(Table2[[#Headers],[width]],Table2[#Headers],0),0)</f>
        <v xml:space="preserve"> 18 ft.- 2"</v>
      </c>
      <c r="E413" s="2" t="str">
        <f>VLOOKUP([jobnumber],OvalData[],MATCH(Table2[[#Headers],[stopheight]],Table2[#Headers],0),0)</f>
        <v xml:space="preserve"> 10 ft.- 0"</v>
      </c>
      <c r="F413" s="2" t="str">
        <f>VLOOKUP([jobnumber],OvalData[],MATCH(Table2[[#Headers],[Between Brackets]],Table2[#Headers],0),0)</f>
        <v xml:space="preserve"> 18 ft.- 7 7/ 8"</v>
      </c>
      <c r="G413" s="2" t="str">
        <f>VLOOKUP([jobnumber],OvalData[],MATCH(Table2[[#Headers],[shell]],Table2[#Headers],0),0)</f>
        <v>6 INCH TUBE</v>
      </c>
      <c r="H413" s="2" t="str">
        <f>VLOOKUP([jobnumber],OvalData[],MATCH(Table2[[#Headers],[pipewidth]],Table2[#Headers],0),0)</f>
        <v xml:space="preserve"> 18 ft.- 1 3/ 8"</v>
      </c>
      <c r="I413" s="2">
        <f>VLOOKUP([jobnumber],OvalData[],MATCH(Table2[[#Headers],[Support Tubes]],Table2[#Headers],0),0)</f>
        <v>0</v>
      </c>
      <c r="J413" s="2">
        <f>VLOOKUP([jobnumber],OvalData[],MATCH(Table2[[#Headers],[Upset]],Table2[#Headers],0),0)</f>
        <v>2</v>
      </c>
      <c r="K413" s="2" t="str">
        <f>VLOOKUP([jobnumber],OvalData[],MATCH(Table2[[#Headers],[Guide Type]],Table2[#Headers],0),0)</f>
        <v>SN2-4 5/8-E</v>
      </c>
      <c r="L413" s="2" t="str">
        <f>VLOOKUP([jobnumber],OvalData[],MATCH(Table2[[#Headers],[Wall Angle]],Table2[#Headers],0),0)</f>
        <v xml:space="preserve"> 11 ft.- 8"</v>
      </c>
      <c r="M413" s="2" t="str">
        <f>VLOOKUP([jobnumber],OvalData[],MATCH(Table2[[#Headers],[Middle Angle]],Table2[#Headers],0),0)</f>
        <v xml:space="preserve"> 10 ft.- 4 1/ 2"</v>
      </c>
      <c r="N413" s="2" t="str">
        <f>VLOOKUP([jobnumber],OvalData[],MATCH(Table2[[#Headers],[Front Angle]],Table2[#Headers],0),0)</f>
        <v xml:space="preserve"> 10 ft.- 3"</v>
      </c>
      <c r="O413" s="2">
        <f>VLOOKUP([jobnumber],OvalData[],MATCH(Table2[[#Headers],[Pipe Center Line]],Table2[#Headers],0),0)</f>
        <v>131</v>
      </c>
      <c r="P413" s="2">
        <f>VLOOKUP([jobnumber],OvalData[],MATCH(Table2[[#Headers],[Heat Expansion Gap]],Table2[#Headers],0),0)</f>
        <v>0</v>
      </c>
      <c r="Q413" s="2">
        <f>VLOOKUP([jobnumber],OvalData[],MATCH(Table2[[#Headers],[Hanging Weight Closed]],Table2[#Headers],0),0)</f>
        <v>795</v>
      </c>
      <c r="R413" s="2">
        <f>VLOOKUP([jobnumber],OvalData[],MATCH(Table2[[#Headers],[Hanging Weight Open]],Table2[#Headers],0),0)</f>
        <v>140</v>
      </c>
      <c r="S413" s="2">
        <f>VLOOKUP([jobnumber],OvalData[],MATCH(Table2[[#Headers],[Initial Lever Arm]],Table2[#Headers],0),0)</f>
        <v>4.25</v>
      </c>
      <c r="T413" s="2">
        <f>VLOOKUP([jobnumber],OvalData[],MATCH(Table2[[#Headers],[Turns to Raise]],Table2[#Headers],0),0)</f>
        <v>3.5859999999999999</v>
      </c>
      <c r="U413" s="2">
        <f>VLOOKUP([jobnumber],OvalData[],MATCH(Table2[[#Headers],[Final Lever Arm]],Table2[#Headers],0),0)</f>
        <v>6.37</v>
      </c>
      <c r="V413" s="2">
        <f>VLOOKUP([jobnumber],OvalData[],MATCH(Table2[[#Headers],[Torque Required Closed]],Table2[#Headers],0),0)</f>
        <v>3377.9</v>
      </c>
      <c r="W413" s="2">
        <f>VLOOKUP([jobnumber],OvalData[],MATCH(Table2[[#Headers],[Torque Required Open]],Table2[#Headers],0),0)</f>
        <v>892</v>
      </c>
      <c r="X413" s="2">
        <f>VLOOKUP([jobnumber],OvalData[],MATCH(Table2[[#Headers],[Pre Turns]],Table2[#Headers],0),0)</f>
        <v>1.3332999999999999</v>
      </c>
      <c r="Y413" s="2">
        <f>VLOOKUP([jobnumber],OvalData[],MATCH(Table2[[#Headers],[Required Torque Per Turn]],Table2[#Headers],0),0)</f>
        <v>688</v>
      </c>
      <c r="Z413" s="2">
        <f>VLOOKUP([jobnumber],OvalData[],MATCH(Table2[[#Headers],[Total Turns]],Table2[#Headers],0),0)</f>
        <v>4.91</v>
      </c>
      <c r="AA413" s="2">
        <f>VLOOKUP([jobnumber],OvalData[],MATCH(Table2[[#Headers],[Grille Vision Section]],Table2[#Headers],0),0)</f>
        <v>0</v>
      </c>
      <c r="AB413" s="2">
        <f>VLOOKUP([jobnumber],OvalData[],MATCH(Table2[[#Headers],[Grille Amount]],Table2[#Headers],0),0)</f>
        <v>0</v>
      </c>
      <c r="AC413" s="2">
        <f>VLOOKUP([jobnumber],OvalData[],MATCH(Table2[[#Headers],[Grille Center]],Table2[#Headers],0),0)</f>
        <v>0</v>
      </c>
      <c r="AD413" s="2">
        <f>VLOOKUP([jobnumber],OvalData[],MATCH(Table2[[#Headers],[Grille Pattern]],Table2[#Headers],0),0)</f>
        <v>0</v>
      </c>
      <c r="AE413" s="2">
        <f>VLOOKUP([jobnumber],OvalData[],MATCH(Table2[[#Headers],[Grille First Tube]],Table2[#Headers],0),0)</f>
        <v>0</v>
      </c>
      <c r="AF413" s="2">
        <f>VLOOKUP([jobnumber],OvalData[],MATCH(Table2[[#Headers],[Grille Standard Tube]],Table2[#Headers],0),0)</f>
        <v>0</v>
      </c>
      <c r="AG413" s="2">
        <f>VLOOKUP([jobnumber],OvalData[],MATCH(Table2[[#Headers],[Grille Total Links]],Table2[#Headers],0),0)</f>
        <v>0</v>
      </c>
      <c r="AH413" s="2">
        <f>VLOOKUP([jobnumber],OvalData[],MATCH(Table2[[#Headers],[Grille Rods]],Table2[#Headers],0),0)</f>
        <v>0</v>
      </c>
      <c r="AI413" s="2">
        <f>VLOOKUP([jobnumber],OvalData[],MATCH(Table2[[#Headers],[Grille Rod Length]],Table2[#Headers],0),0)</f>
        <v>0</v>
      </c>
      <c r="AJ413" s="2">
        <f>VLOOKUP([jobnumber],OvalData[],MATCH(Table2[[#Headers],[slattype]],Table2[#Headers],0),0)</f>
        <v>2</v>
      </c>
      <c r="AK413" s="2">
        <f>VLOOKUP([jobnumber],OvalData[],MATCH(Table2[[#Headers],[slatgage]],Table2[#Headers],0),0)</f>
        <v>18</v>
      </c>
      <c r="AL413" s="2">
        <f>VLOOKUP([jobnumber],OvalData[],MATCH(Table2[[#Headers],[Numer of Top Slats]],Table2[#Headers],0),0)</f>
        <v>0</v>
      </c>
      <c r="AM413" s="2">
        <f>VLOOKUP([jobnumber],OvalData[],MATCH(Table2[[#Headers],[Number of Bottom Slats]],Table2[#Headers],0),0)</f>
        <v>0</v>
      </c>
      <c r="AN413" s="2">
        <f>VLOOKUP([jobnumber],OvalData[],MATCH(Table2[[#Headers],[Solid Bottom Height]],Table2[#Headers],0),0)</f>
        <v>0</v>
      </c>
      <c r="AO413" s="2" t="str">
        <f>VLOOKUP([jobnumber],OvalData[],MATCH(Table2[[#Headers],[slatlength]],Table2[#Headers],0),0)</f>
        <v xml:space="preserve"> 18 ft.- 5 7/ 8"</v>
      </c>
      <c r="AP413" s="2">
        <f>VLOOKUP([jobnumber],OvalData[],MATCH(Table2[[#Headers],[Bottom Slat Length]],Table2[#Headers],0),0)</f>
        <v>0</v>
      </c>
      <c r="AQ413" s="2">
        <f>VLOOKUP([jobnumber],OvalData[],MATCH(Table2[[#Headers],[Number of Perferated Slats]],Table2[#Headers],0),0)</f>
        <v>0</v>
      </c>
      <c r="AR413" s="2">
        <f>VLOOKUP([jobnumber],OvalData[],MATCH(Table2[[#Headers],[First Preferated Slat From End]],Table2[#Headers],0),0)</f>
        <v>0</v>
      </c>
      <c r="AS413" s="2">
        <f>VLOOKUP([jobnumber],OvalData[],MATCH(Table2[[#Headers],[First Preferated Slat From Bottom]],Table2[#Headers],0),0)</f>
        <v>0</v>
      </c>
      <c r="AT413" s="2">
        <f>VLOOKUP([jobnumber],OvalData[],MATCH(Table2[[#Headers],[Total Number of Slats]],Table2[#Headers],0),0)</f>
        <v>51</v>
      </c>
      <c r="AU413" s="2">
        <f>VLOOKUP([jobnumber],OvalData[],MATCH(Table2[[#Headers],[Bottom Bar Slope]],Table2[#Headers],0),0)</f>
        <v>0</v>
      </c>
      <c r="AV413" s="2">
        <f>VLOOKUP([jobnumber],OvalData[],MATCH(Table2[[#Headers],[Bottom Bar Weight]],Table2[#Headers],0),0)</f>
        <v>80.5</v>
      </c>
      <c r="AW413" s="2" t="str">
        <f>VLOOKUP([jobnumber],OvalData[],MATCH(Table2[[#Headers],[Outer Spring Gage]],Table2[#Headers],0),0)</f>
        <v>Null</v>
      </c>
      <c r="AX413" s="2" t="str">
        <f>VLOOKUP([jobnumber],OvalData[],MATCH(Table2[[#Headers],[Outer Spring OD]],Table2[#Headers],0),0)</f>
        <v>Null</v>
      </c>
      <c r="AY413" s="2" t="str">
        <f>VLOOKUP([jobnumber],OvalData[],MATCH(Table2[[#Headers],[Outer Spring Length]],Table2[#Headers],0),0)</f>
        <v>Null</v>
      </c>
      <c r="AZ413" s="2" t="str">
        <f>VLOOKUP([jobnumber],OvalData[],MATCH(Table2[[#Headers],[Outer Spring Stretch]],Table2[#Headers],0),0)</f>
        <v>Null</v>
      </c>
      <c r="BA413" s="2" t="str">
        <f>VLOOKUP([jobnumber],OvalData[],MATCH(Table2[[#Headers],[Outer Spring Torque]],Table2[#Headers],0),0)</f>
        <v>Null</v>
      </c>
      <c r="BB413" s="2" t="str">
        <f>VLOOKUP([jobnumber],OvalData[],MATCH(Table2[[#Headers],[Outer Spring Max Turns]],Table2[#Headers],0),0)</f>
        <v>Null</v>
      </c>
      <c r="BC413" s="2" t="str">
        <f>VLOOKUP([jobnumber],OvalData[],MATCH(Table2[[#Headers],[Outer Spring Weight]],Table2[#Headers],0),0)</f>
        <v>Null</v>
      </c>
      <c r="BD413" s="2" t="str">
        <f>VLOOKUP([jobnumber],OvalData[],MATCH(Table2[[#Headers],[Inner Spring Gage]],Table2[#Headers],0),0)</f>
        <v>Null</v>
      </c>
      <c r="BE413" s="2" t="str">
        <f>VLOOKUP([jobnumber],OvalData[],MATCH(Table2[[#Headers],[Inner Spring OD]],Table2[#Headers],0),0)</f>
        <v>Null</v>
      </c>
      <c r="BF413" s="2" t="str">
        <f>VLOOKUP([jobnumber],OvalData[],MATCH(Table2[[#Headers],[Inner Spring Length]],Table2[#Headers],0),0)</f>
        <v>Null</v>
      </c>
      <c r="BG413" s="2" t="str">
        <f>VLOOKUP([jobnumber],OvalData[],MATCH(Table2[[#Headers],[Inner Spring Stretch]],Table2[#Headers],0),0)</f>
        <v>Null</v>
      </c>
      <c r="BH413" s="2" t="str">
        <f>VLOOKUP([jobnumber],OvalData[],MATCH(Table2[[#Headers],[Inner Spring Torque]],Table2[#Headers],0),0)</f>
        <v>Null</v>
      </c>
      <c r="BI413" s="2" t="str">
        <f>VLOOKUP([jobnumber],OvalData[],MATCH(Table2[[#Headers],[Inner Spring Max Turns]],Table2[#Headers],0),0)</f>
        <v>Null</v>
      </c>
      <c r="BJ413" s="2" t="str">
        <f>VLOOKUP([jobnumber],OvalData[],MATCH(Table2[[#Headers],[Inner Spring Weight]],Table2[#Headers],0),0)</f>
        <v>Null</v>
      </c>
      <c r="BK413" s="2">
        <f>VLOOKUP([jobnumber],OvalData[],MATCH(Table2[[#Headers],[Cycles]],Table2[#Headers],0),0)</f>
        <v>0</v>
      </c>
      <c r="BL413" s="2">
        <f>VLOOKUP([jobnumber],OvalData[],MATCH(Table2[[#Headers],[Total Spring Torque]],Table2[#Headers],0),0)</f>
        <v>0</v>
      </c>
      <c r="BM413" s="2">
        <f>VLOOKUP([jobnumber],OvalData[],MATCH(Table2[[#Headers],[Total Spring Weight]],Table2[#Headers],0),0)</f>
        <v>0</v>
      </c>
      <c r="BN413" s="2">
        <f>VLOOKUP([jobnumber],OvalData[],MATCH(Table2[[#Headers],[Pipe Weight]],Table2[#Headers],0),0)</f>
        <v>688.24239999999998</v>
      </c>
      <c r="BO413" s="2">
        <f>VLOOKUP([jobnumber],OvalData[],MATCH(Table2[[#Headers],[Max Pipe Deflection]],Table2[#Headers],0),0)</f>
        <v>2309</v>
      </c>
      <c r="BP413" s="2">
        <f>VLOOKUP([jobnumber],OvalData[],MATCH(Table2[[#Headers],[Number Non-Insulated Wrap Slats]],Table2[#Headers],0),0)</f>
        <v>0</v>
      </c>
      <c r="BQ413" s="2">
        <f>VLOOKUP([jobnumber],OvalData[],MATCH(Table2[[#Headers],[Number of Insolated Top Slats]],Table2[#Headers],0),0)</f>
        <v>45</v>
      </c>
      <c r="BR413" s="2">
        <f>VLOOKUP([jobnumber],OvalData[],MATCH(Table2[[#Headers],[Insolated Total Slats]],Table2[#Headers],0),0)</f>
        <v>45</v>
      </c>
      <c r="BS413" s="2">
        <f>VLOOKUP([jobnumber],OvalData[],MATCH(Table2[[#Headers],[Number of Slats]],Table2[#Headers],0),0)</f>
        <v>44.69</v>
      </c>
      <c r="BT413" s="2">
        <f>VLOOKUP([jobnumber],OvalData[],MATCH(Table2[[#Headers],[Wrap]],Table2[#Headers],0),0)</f>
        <v>0</v>
      </c>
      <c r="BU413" s="2">
        <f>VLOOKUP([jobnumber],OvalData[],MATCH(Table2[[#Headers],[Wall Angle Thickness]],Table2[#Headers],0),0)</f>
        <v>0</v>
      </c>
      <c r="BV413" s="2">
        <f>VLOOKUP([jobnumber],OvalData[],MATCH(Table2[[#Headers],[windlocks]],Table2[#Headers],0),0)</f>
        <v>0</v>
      </c>
      <c r="BW413" s="2" t="str">
        <f>VLOOKUP([jobnumber],OvalData[],MATCH(Table2[[#Headers],[bottombartype]],Table2[#Headers],0),0)</f>
        <v>SPECIAL</v>
      </c>
      <c r="BX413" s="2">
        <f>VLOOKUP([jobnumber],OvalData[],MATCH(Table2[[#Headers],[endlockweight]],Table2[#Headers],0),0)</f>
        <v>0.17</v>
      </c>
      <c r="BY413" s="2">
        <f>VLOOKUP([jobnumber],OvalData[],MATCH(Table2[[#Headers],[Endlock Total Weight]],Table2[#Headers],0),0)</f>
        <v>7.5972999999999997</v>
      </c>
      <c r="BZ413" s="2">
        <f>VLOOKUP([jobnumber],OvalData[],MATCH(Table2[[#Headers],[Grille Weight]],Table2[#Headers],0),0)</f>
        <v>0</v>
      </c>
      <c r="CA413" s="2">
        <f>VLOOKUP([jobnumber],OvalData[],MATCH(Table2[[#Headers],[barrelrings]],Table2[#Headers],0),0)</f>
        <v>1</v>
      </c>
    </row>
    <row r="414" spans="2:79">
      <c r="B414" s="2" t="str">
        <f>VLOOKUP([jobnumber],OvalData[],MATCH(Table2[[#Headers],[Hand]],Table2[#Headers],0),0)</f>
        <v>RH</v>
      </c>
      <c r="C414" s="2" t="str">
        <f>VLOOKUP([jobnumber],OvalData[],MATCH(Table2[[#Headers],[Model]],Table2[#Headers],0),0)</f>
        <v>SFMPP</v>
      </c>
      <c r="D414" s="2" t="str">
        <f>VLOOKUP([jobnumber],OvalData[],MATCH(Table2[[#Headers],[width]],Table2[#Headers],0),0)</f>
        <v xml:space="preserve"> 18 ft.- 2"</v>
      </c>
      <c r="E414" s="2" t="str">
        <f>VLOOKUP([jobnumber],OvalData[],MATCH(Table2[[#Headers],[stopheight]],Table2[#Headers],0),0)</f>
        <v xml:space="preserve"> 10 ft.- 0"</v>
      </c>
      <c r="F414" s="2" t="str">
        <f>VLOOKUP([jobnumber],OvalData[],MATCH(Table2[[#Headers],[Between Brackets]],Table2[#Headers],0),0)</f>
        <v xml:space="preserve"> 18 ft.- 7 7/ 8"</v>
      </c>
      <c r="G414" s="2" t="str">
        <f>VLOOKUP([jobnumber],OvalData[],MATCH(Table2[[#Headers],[shell]],Table2[#Headers],0),0)</f>
        <v>6 INCH TUBE</v>
      </c>
      <c r="H414" s="2" t="str">
        <f>VLOOKUP([jobnumber],OvalData[],MATCH(Table2[[#Headers],[pipewidth]],Table2[#Headers],0),0)</f>
        <v xml:space="preserve"> 18 ft.- 1 3/ 8"</v>
      </c>
      <c r="I414" s="2">
        <f>VLOOKUP([jobnumber],OvalData[],MATCH(Table2[[#Headers],[Support Tubes]],Table2[#Headers],0),0)</f>
        <v>0</v>
      </c>
      <c r="J414" s="2">
        <f>VLOOKUP([jobnumber],OvalData[],MATCH(Table2[[#Headers],[Upset]],Table2[#Headers],0),0)</f>
        <v>2</v>
      </c>
      <c r="K414" s="2" t="str">
        <f>VLOOKUP([jobnumber],OvalData[],MATCH(Table2[[#Headers],[Guide Type]],Table2[#Headers],0),0)</f>
        <v>SN2-4 5/8-E</v>
      </c>
      <c r="L414" s="2" t="str">
        <f>VLOOKUP([jobnumber],OvalData[],MATCH(Table2[[#Headers],[Wall Angle]],Table2[#Headers],0),0)</f>
        <v xml:space="preserve"> 11 ft.- 8"</v>
      </c>
      <c r="M414" s="2" t="str">
        <f>VLOOKUP([jobnumber],OvalData[],MATCH(Table2[[#Headers],[Middle Angle]],Table2[#Headers],0),0)</f>
        <v xml:space="preserve"> 10 ft.- 4 1/ 2"</v>
      </c>
      <c r="N414" s="2" t="str">
        <f>VLOOKUP([jobnumber],OvalData[],MATCH(Table2[[#Headers],[Front Angle]],Table2[#Headers],0),0)</f>
        <v xml:space="preserve"> 10 ft.- 3"</v>
      </c>
      <c r="O414" s="2">
        <f>VLOOKUP([jobnumber],OvalData[],MATCH(Table2[[#Headers],[Pipe Center Line]],Table2[#Headers],0),0)</f>
        <v>131</v>
      </c>
      <c r="P414" s="2">
        <f>VLOOKUP([jobnumber],OvalData[],MATCH(Table2[[#Headers],[Heat Expansion Gap]],Table2[#Headers],0),0)</f>
        <v>0</v>
      </c>
      <c r="Q414" s="2">
        <f>VLOOKUP([jobnumber],OvalData[],MATCH(Table2[[#Headers],[Hanging Weight Closed]],Table2[#Headers],0),0)</f>
        <v>795</v>
      </c>
      <c r="R414" s="2">
        <f>VLOOKUP([jobnumber],OvalData[],MATCH(Table2[[#Headers],[Hanging Weight Open]],Table2[#Headers],0),0)</f>
        <v>140</v>
      </c>
      <c r="S414" s="2">
        <f>VLOOKUP([jobnumber],OvalData[],MATCH(Table2[[#Headers],[Initial Lever Arm]],Table2[#Headers],0),0)</f>
        <v>4.25</v>
      </c>
      <c r="T414" s="2">
        <f>VLOOKUP([jobnumber],OvalData[],MATCH(Table2[[#Headers],[Turns to Raise]],Table2[#Headers],0),0)</f>
        <v>3.5859999999999999</v>
      </c>
      <c r="U414" s="2">
        <f>VLOOKUP([jobnumber],OvalData[],MATCH(Table2[[#Headers],[Final Lever Arm]],Table2[#Headers],0),0)</f>
        <v>6.37</v>
      </c>
      <c r="V414" s="2">
        <f>VLOOKUP([jobnumber],OvalData[],MATCH(Table2[[#Headers],[Torque Required Closed]],Table2[#Headers],0),0)</f>
        <v>3377.9</v>
      </c>
      <c r="W414" s="2">
        <f>VLOOKUP([jobnumber],OvalData[],MATCH(Table2[[#Headers],[Torque Required Open]],Table2[#Headers],0),0)</f>
        <v>892</v>
      </c>
      <c r="X414" s="2">
        <f>VLOOKUP([jobnumber],OvalData[],MATCH(Table2[[#Headers],[Pre Turns]],Table2[#Headers],0),0)</f>
        <v>1.3332999999999999</v>
      </c>
      <c r="Y414" s="2">
        <f>VLOOKUP([jobnumber],OvalData[],MATCH(Table2[[#Headers],[Required Torque Per Turn]],Table2[#Headers],0),0)</f>
        <v>688</v>
      </c>
      <c r="Z414" s="2">
        <f>VLOOKUP([jobnumber],OvalData[],MATCH(Table2[[#Headers],[Total Turns]],Table2[#Headers],0),0)</f>
        <v>4.91</v>
      </c>
      <c r="AA414" s="2">
        <f>VLOOKUP([jobnumber],OvalData[],MATCH(Table2[[#Headers],[Grille Vision Section]],Table2[#Headers],0),0)</f>
        <v>0</v>
      </c>
      <c r="AB414" s="2">
        <f>VLOOKUP([jobnumber],OvalData[],MATCH(Table2[[#Headers],[Grille Amount]],Table2[#Headers],0),0)</f>
        <v>0</v>
      </c>
      <c r="AC414" s="2">
        <f>VLOOKUP([jobnumber],OvalData[],MATCH(Table2[[#Headers],[Grille Center]],Table2[#Headers],0),0)</f>
        <v>0</v>
      </c>
      <c r="AD414" s="2">
        <f>VLOOKUP([jobnumber],OvalData[],MATCH(Table2[[#Headers],[Grille Pattern]],Table2[#Headers],0),0)</f>
        <v>0</v>
      </c>
      <c r="AE414" s="2">
        <f>VLOOKUP([jobnumber],OvalData[],MATCH(Table2[[#Headers],[Grille First Tube]],Table2[#Headers],0),0)</f>
        <v>0</v>
      </c>
      <c r="AF414" s="2">
        <f>VLOOKUP([jobnumber],OvalData[],MATCH(Table2[[#Headers],[Grille Standard Tube]],Table2[#Headers],0),0)</f>
        <v>0</v>
      </c>
      <c r="AG414" s="2">
        <f>VLOOKUP([jobnumber],OvalData[],MATCH(Table2[[#Headers],[Grille Total Links]],Table2[#Headers],0),0)</f>
        <v>0</v>
      </c>
      <c r="AH414" s="2">
        <f>VLOOKUP([jobnumber],OvalData[],MATCH(Table2[[#Headers],[Grille Rods]],Table2[#Headers],0),0)</f>
        <v>0</v>
      </c>
      <c r="AI414" s="2">
        <f>VLOOKUP([jobnumber],OvalData[],MATCH(Table2[[#Headers],[Grille Rod Length]],Table2[#Headers],0),0)</f>
        <v>0</v>
      </c>
      <c r="AJ414" s="2">
        <f>VLOOKUP([jobnumber],OvalData[],MATCH(Table2[[#Headers],[slattype]],Table2[#Headers],0),0)</f>
        <v>2</v>
      </c>
      <c r="AK414" s="2">
        <f>VLOOKUP([jobnumber],OvalData[],MATCH(Table2[[#Headers],[slatgage]],Table2[#Headers],0),0)</f>
        <v>18</v>
      </c>
      <c r="AL414" s="2">
        <f>VLOOKUP([jobnumber],OvalData[],MATCH(Table2[[#Headers],[Numer of Top Slats]],Table2[#Headers],0),0)</f>
        <v>0</v>
      </c>
      <c r="AM414" s="2">
        <f>VLOOKUP([jobnumber],OvalData[],MATCH(Table2[[#Headers],[Number of Bottom Slats]],Table2[#Headers],0),0)</f>
        <v>0</v>
      </c>
      <c r="AN414" s="2">
        <f>VLOOKUP([jobnumber],OvalData[],MATCH(Table2[[#Headers],[Solid Bottom Height]],Table2[#Headers],0),0)</f>
        <v>0</v>
      </c>
      <c r="AO414" s="2" t="str">
        <f>VLOOKUP([jobnumber],OvalData[],MATCH(Table2[[#Headers],[slatlength]],Table2[#Headers],0),0)</f>
        <v xml:space="preserve"> 18 ft.- 5 7/ 8"</v>
      </c>
      <c r="AP414" s="2">
        <f>VLOOKUP([jobnumber],OvalData[],MATCH(Table2[[#Headers],[Bottom Slat Length]],Table2[#Headers],0),0)</f>
        <v>0</v>
      </c>
      <c r="AQ414" s="2">
        <f>VLOOKUP([jobnumber],OvalData[],MATCH(Table2[[#Headers],[Number of Perferated Slats]],Table2[#Headers],0),0)</f>
        <v>0</v>
      </c>
      <c r="AR414" s="2">
        <f>VLOOKUP([jobnumber],OvalData[],MATCH(Table2[[#Headers],[First Preferated Slat From End]],Table2[#Headers],0),0)</f>
        <v>0</v>
      </c>
      <c r="AS414" s="2">
        <f>VLOOKUP([jobnumber],OvalData[],MATCH(Table2[[#Headers],[First Preferated Slat From Bottom]],Table2[#Headers],0),0)</f>
        <v>0</v>
      </c>
      <c r="AT414" s="2">
        <f>VLOOKUP([jobnumber],OvalData[],MATCH(Table2[[#Headers],[Total Number of Slats]],Table2[#Headers],0),0)</f>
        <v>51</v>
      </c>
      <c r="AU414" s="2">
        <f>VLOOKUP([jobnumber],OvalData[],MATCH(Table2[[#Headers],[Bottom Bar Slope]],Table2[#Headers],0),0)</f>
        <v>0</v>
      </c>
      <c r="AV414" s="2">
        <f>VLOOKUP([jobnumber],OvalData[],MATCH(Table2[[#Headers],[Bottom Bar Weight]],Table2[#Headers],0),0)</f>
        <v>80.5</v>
      </c>
      <c r="AW414" s="2" t="str">
        <f>VLOOKUP([jobnumber],OvalData[],MATCH(Table2[[#Headers],[Outer Spring Gage]],Table2[#Headers],0),0)</f>
        <v>Null</v>
      </c>
      <c r="AX414" s="2" t="str">
        <f>VLOOKUP([jobnumber],OvalData[],MATCH(Table2[[#Headers],[Outer Spring OD]],Table2[#Headers],0),0)</f>
        <v>Null</v>
      </c>
      <c r="AY414" s="2" t="str">
        <f>VLOOKUP([jobnumber],OvalData[],MATCH(Table2[[#Headers],[Outer Spring Length]],Table2[#Headers],0),0)</f>
        <v>Null</v>
      </c>
      <c r="AZ414" s="2" t="str">
        <f>VLOOKUP([jobnumber],OvalData[],MATCH(Table2[[#Headers],[Outer Spring Stretch]],Table2[#Headers],0),0)</f>
        <v>Null</v>
      </c>
      <c r="BA414" s="2" t="str">
        <f>VLOOKUP([jobnumber],OvalData[],MATCH(Table2[[#Headers],[Outer Spring Torque]],Table2[#Headers],0),0)</f>
        <v>Null</v>
      </c>
      <c r="BB414" s="2" t="str">
        <f>VLOOKUP([jobnumber],OvalData[],MATCH(Table2[[#Headers],[Outer Spring Max Turns]],Table2[#Headers],0),0)</f>
        <v>Null</v>
      </c>
      <c r="BC414" s="2" t="str">
        <f>VLOOKUP([jobnumber],OvalData[],MATCH(Table2[[#Headers],[Outer Spring Weight]],Table2[#Headers],0),0)</f>
        <v>Null</v>
      </c>
      <c r="BD414" s="2" t="str">
        <f>VLOOKUP([jobnumber],OvalData[],MATCH(Table2[[#Headers],[Inner Spring Gage]],Table2[#Headers],0),0)</f>
        <v>Null</v>
      </c>
      <c r="BE414" s="2" t="str">
        <f>VLOOKUP([jobnumber],OvalData[],MATCH(Table2[[#Headers],[Inner Spring OD]],Table2[#Headers],0),0)</f>
        <v>Null</v>
      </c>
      <c r="BF414" s="2" t="str">
        <f>VLOOKUP([jobnumber],OvalData[],MATCH(Table2[[#Headers],[Inner Spring Length]],Table2[#Headers],0),0)</f>
        <v>Null</v>
      </c>
      <c r="BG414" s="2" t="str">
        <f>VLOOKUP([jobnumber],OvalData[],MATCH(Table2[[#Headers],[Inner Spring Stretch]],Table2[#Headers],0),0)</f>
        <v>Null</v>
      </c>
      <c r="BH414" s="2" t="str">
        <f>VLOOKUP([jobnumber],OvalData[],MATCH(Table2[[#Headers],[Inner Spring Torque]],Table2[#Headers],0),0)</f>
        <v>Null</v>
      </c>
      <c r="BI414" s="2" t="str">
        <f>VLOOKUP([jobnumber],OvalData[],MATCH(Table2[[#Headers],[Inner Spring Max Turns]],Table2[#Headers],0),0)</f>
        <v>Null</v>
      </c>
      <c r="BJ414" s="2" t="str">
        <f>VLOOKUP([jobnumber],OvalData[],MATCH(Table2[[#Headers],[Inner Spring Weight]],Table2[#Headers],0),0)</f>
        <v>Null</v>
      </c>
      <c r="BK414" s="2">
        <f>VLOOKUP([jobnumber],OvalData[],MATCH(Table2[[#Headers],[Cycles]],Table2[#Headers],0),0)</f>
        <v>0</v>
      </c>
      <c r="BL414" s="2">
        <f>VLOOKUP([jobnumber],OvalData[],MATCH(Table2[[#Headers],[Total Spring Torque]],Table2[#Headers],0),0)</f>
        <v>0</v>
      </c>
      <c r="BM414" s="2">
        <f>VLOOKUP([jobnumber],OvalData[],MATCH(Table2[[#Headers],[Total Spring Weight]],Table2[#Headers],0),0)</f>
        <v>0</v>
      </c>
      <c r="BN414" s="2">
        <f>VLOOKUP([jobnumber],OvalData[],MATCH(Table2[[#Headers],[Pipe Weight]],Table2[#Headers],0),0)</f>
        <v>688.24239999999998</v>
      </c>
      <c r="BO414" s="2">
        <f>VLOOKUP([jobnumber],OvalData[],MATCH(Table2[[#Headers],[Max Pipe Deflection]],Table2[#Headers],0),0)</f>
        <v>2309</v>
      </c>
      <c r="BP414" s="2">
        <f>VLOOKUP([jobnumber],OvalData[],MATCH(Table2[[#Headers],[Number Non-Insulated Wrap Slats]],Table2[#Headers],0),0)</f>
        <v>0</v>
      </c>
      <c r="BQ414" s="2">
        <f>VLOOKUP([jobnumber],OvalData[],MATCH(Table2[[#Headers],[Number of Insolated Top Slats]],Table2[#Headers],0),0)</f>
        <v>45</v>
      </c>
      <c r="BR414" s="2">
        <f>VLOOKUP([jobnumber],OvalData[],MATCH(Table2[[#Headers],[Insolated Total Slats]],Table2[#Headers],0),0)</f>
        <v>45</v>
      </c>
      <c r="BS414" s="2">
        <f>VLOOKUP([jobnumber],OvalData[],MATCH(Table2[[#Headers],[Number of Slats]],Table2[#Headers],0),0)</f>
        <v>44.69</v>
      </c>
      <c r="BT414" s="2">
        <f>VLOOKUP([jobnumber],OvalData[],MATCH(Table2[[#Headers],[Wrap]],Table2[#Headers],0),0)</f>
        <v>0</v>
      </c>
      <c r="BU414" s="2">
        <f>VLOOKUP([jobnumber],OvalData[],MATCH(Table2[[#Headers],[Wall Angle Thickness]],Table2[#Headers],0),0)</f>
        <v>0</v>
      </c>
      <c r="BV414" s="2">
        <f>VLOOKUP([jobnumber],OvalData[],MATCH(Table2[[#Headers],[windlocks]],Table2[#Headers],0),0)</f>
        <v>0</v>
      </c>
      <c r="BW414" s="2" t="str">
        <f>VLOOKUP([jobnumber],OvalData[],MATCH(Table2[[#Headers],[bottombartype]],Table2[#Headers],0),0)</f>
        <v>SPECIAL</v>
      </c>
      <c r="BX414" s="2">
        <f>VLOOKUP([jobnumber],OvalData[],MATCH(Table2[[#Headers],[endlockweight]],Table2[#Headers],0),0)</f>
        <v>0.17</v>
      </c>
      <c r="BY414" s="2">
        <f>VLOOKUP([jobnumber],OvalData[],MATCH(Table2[[#Headers],[Endlock Total Weight]],Table2[#Headers],0),0)</f>
        <v>7.5972999999999997</v>
      </c>
      <c r="BZ414" s="2">
        <f>VLOOKUP([jobnumber],OvalData[],MATCH(Table2[[#Headers],[Grille Weight]],Table2[#Headers],0),0)</f>
        <v>0</v>
      </c>
      <c r="CA414" s="2">
        <f>VLOOKUP([jobnumber],OvalData[],MATCH(Table2[[#Headers],[barrelrings]],Table2[#Headers],0),0)</f>
        <v>1</v>
      </c>
    </row>
    <row r="415" spans="2:79">
      <c r="B415" s="2" t="str">
        <f>VLOOKUP([jobnumber],OvalData[],MATCH(Table2[[#Headers],[Hand]],Table2[#Headers],0),0)</f>
        <v>RH</v>
      </c>
      <c r="C415" s="2" t="str">
        <f>VLOOKUP([jobnumber],OvalData[],MATCH(Table2[[#Headers],[Model]],Table2[#Headers],0),0)</f>
        <v>SFMPP</v>
      </c>
      <c r="D415" s="2" t="str">
        <f>VLOOKUP([jobnumber],OvalData[],MATCH(Table2[[#Headers],[width]],Table2[#Headers],0),0)</f>
        <v xml:space="preserve"> 18 ft.- 2"</v>
      </c>
      <c r="E415" s="2" t="str">
        <f>VLOOKUP([jobnumber],OvalData[],MATCH(Table2[[#Headers],[stopheight]],Table2[#Headers],0),0)</f>
        <v xml:space="preserve"> 10 ft.- 0"</v>
      </c>
      <c r="F415" s="2" t="str">
        <f>VLOOKUP([jobnumber],OvalData[],MATCH(Table2[[#Headers],[Between Brackets]],Table2[#Headers],0),0)</f>
        <v xml:space="preserve"> 18 ft.- 7 7/ 8"</v>
      </c>
      <c r="G415" s="2" t="str">
        <f>VLOOKUP([jobnumber],OvalData[],MATCH(Table2[[#Headers],[shell]],Table2[#Headers],0),0)</f>
        <v>6 INCH TUBE</v>
      </c>
      <c r="H415" s="2" t="str">
        <f>VLOOKUP([jobnumber],OvalData[],MATCH(Table2[[#Headers],[pipewidth]],Table2[#Headers],0),0)</f>
        <v xml:space="preserve"> 18 ft.- 1 3/ 8"</v>
      </c>
      <c r="I415" s="2">
        <f>VLOOKUP([jobnumber],OvalData[],MATCH(Table2[[#Headers],[Support Tubes]],Table2[#Headers],0),0)</f>
        <v>0</v>
      </c>
      <c r="J415" s="2">
        <f>VLOOKUP([jobnumber],OvalData[],MATCH(Table2[[#Headers],[Upset]],Table2[#Headers],0),0)</f>
        <v>2</v>
      </c>
      <c r="K415" s="2" t="str">
        <f>VLOOKUP([jobnumber],OvalData[],MATCH(Table2[[#Headers],[Guide Type]],Table2[#Headers],0),0)</f>
        <v>SN2-4 5/8-E</v>
      </c>
      <c r="L415" s="2" t="str">
        <f>VLOOKUP([jobnumber],OvalData[],MATCH(Table2[[#Headers],[Wall Angle]],Table2[#Headers],0),0)</f>
        <v xml:space="preserve"> 11 ft.- 8"</v>
      </c>
      <c r="M415" s="2" t="str">
        <f>VLOOKUP([jobnumber],OvalData[],MATCH(Table2[[#Headers],[Middle Angle]],Table2[#Headers],0),0)</f>
        <v xml:space="preserve"> 10 ft.- 4 1/ 2"</v>
      </c>
      <c r="N415" s="2" t="str">
        <f>VLOOKUP([jobnumber],OvalData[],MATCH(Table2[[#Headers],[Front Angle]],Table2[#Headers],0),0)</f>
        <v xml:space="preserve"> 10 ft.- 3"</v>
      </c>
      <c r="O415" s="2">
        <f>VLOOKUP([jobnumber],OvalData[],MATCH(Table2[[#Headers],[Pipe Center Line]],Table2[#Headers],0),0)</f>
        <v>131</v>
      </c>
      <c r="P415" s="2">
        <f>VLOOKUP([jobnumber],OvalData[],MATCH(Table2[[#Headers],[Heat Expansion Gap]],Table2[#Headers],0),0)</f>
        <v>0</v>
      </c>
      <c r="Q415" s="2">
        <f>VLOOKUP([jobnumber],OvalData[],MATCH(Table2[[#Headers],[Hanging Weight Closed]],Table2[#Headers],0),0)</f>
        <v>795</v>
      </c>
      <c r="R415" s="2">
        <f>VLOOKUP([jobnumber],OvalData[],MATCH(Table2[[#Headers],[Hanging Weight Open]],Table2[#Headers],0),0)</f>
        <v>140</v>
      </c>
      <c r="S415" s="2">
        <f>VLOOKUP([jobnumber],OvalData[],MATCH(Table2[[#Headers],[Initial Lever Arm]],Table2[#Headers],0),0)</f>
        <v>4.25</v>
      </c>
      <c r="T415" s="2">
        <f>VLOOKUP([jobnumber],OvalData[],MATCH(Table2[[#Headers],[Turns to Raise]],Table2[#Headers],0),0)</f>
        <v>3.5859999999999999</v>
      </c>
      <c r="U415" s="2">
        <f>VLOOKUP([jobnumber],OvalData[],MATCH(Table2[[#Headers],[Final Lever Arm]],Table2[#Headers],0),0)</f>
        <v>6.37</v>
      </c>
      <c r="V415" s="2">
        <f>VLOOKUP([jobnumber],OvalData[],MATCH(Table2[[#Headers],[Torque Required Closed]],Table2[#Headers],0),0)</f>
        <v>3377.9</v>
      </c>
      <c r="W415" s="2">
        <f>VLOOKUP([jobnumber],OvalData[],MATCH(Table2[[#Headers],[Torque Required Open]],Table2[#Headers],0),0)</f>
        <v>892</v>
      </c>
      <c r="X415" s="2">
        <f>VLOOKUP([jobnumber],OvalData[],MATCH(Table2[[#Headers],[Pre Turns]],Table2[#Headers],0),0)</f>
        <v>1.3332999999999999</v>
      </c>
      <c r="Y415" s="2">
        <f>VLOOKUP([jobnumber],OvalData[],MATCH(Table2[[#Headers],[Required Torque Per Turn]],Table2[#Headers],0),0)</f>
        <v>688</v>
      </c>
      <c r="Z415" s="2">
        <f>VLOOKUP([jobnumber],OvalData[],MATCH(Table2[[#Headers],[Total Turns]],Table2[#Headers],0),0)</f>
        <v>4.91</v>
      </c>
      <c r="AA415" s="2">
        <f>VLOOKUP([jobnumber],OvalData[],MATCH(Table2[[#Headers],[Grille Vision Section]],Table2[#Headers],0),0)</f>
        <v>0</v>
      </c>
      <c r="AB415" s="2">
        <f>VLOOKUP([jobnumber],OvalData[],MATCH(Table2[[#Headers],[Grille Amount]],Table2[#Headers],0),0)</f>
        <v>0</v>
      </c>
      <c r="AC415" s="2">
        <f>VLOOKUP([jobnumber],OvalData[],MATCH(Table2[[#Headers],[Grille Center]],Table2[#Headers],0),0)</f>
        <v>0</v>
      </c>
      <c r="AD415" s="2">
        <f>VLOOKUP([jobnumber],OvalData[],MATCH(Table2[[#Headers],[Grille Pattern]],Table2[#Headers],0),0)</f>
        <v>0</v>
      </c>
      <c r="AE415" s="2">
        <f>VLOOKUP([jobnumber],OvalData[],MATCH(Table2[[#Headers],[Grille First Tube]],Table2[#Headers],0),0)</f>
        <v>0</v>
      </c>
      <c r="AF415" s="2">
        <f>VLOOKUP([jobnumber],OvalData[],MATCH(Table2[[#Headers],[Grille Standard Tube]],Table2[#Headers],0),0)</f>
        <v>0</v>
      </c>
      <c r="AG415" s="2">
        <f>VLOOKUP([jobnumber],OvalData[],MATCH(Table2[[#Headers],[Grille Total Links]],Table2[#Headers],0),0)</f>
        <v>0</v>
      </c>
      <c r="AH415" s="2">
        <f>VLOOKUP([jobnumber],OvalData[],MATCH(Table2[[#Headers],[Grille Rods]],Table2[#Headers],0),0)</f>
        <v>0</v>
      </c>
      <c r="AI415" s="2">
        <f>VLOOKUP([jobnumber],OvalData[],MATCH(Table2[[#Headers],[Grille Rod Length]],Table2[#Headers],0),0)</f>
        <v>0</v>
      </c>
      <c r="AJ415" s="2">
        <f>VLOOKUP([jobnumber],OvalData[],MATCH(Table2[[#Headers],[slattype]],Table2[#Headers],0),0)</f>
        <v>2</v>
      </c>
      <c r="AK415" s="2">
        <f>VLOOKUP([jobnumber],OvalData[],MATCH(Table2[[#Headers],[slatgage]],Table2[#Headers],0),0)</f>
        <v>18</v>
      </c>
      <c r="AL415" s="2">
        <f>VLOOKUP([jobnumber],OvalData[],MATCH(Table2[[#Headers],[Numer of Top Slats]],Table2[#Headers],0),0)</f>
        <v>0</v>
      </c>
      <c r="AM415" s="2">
        <f>VLOOKUP([jobnumber],OvalData[],MATCH(Table2[[#Headers],[Number of Bottom Slats]],Table2[#Headers],0),0)</f>
        <v>0</v>
      </c>
      <c r="AN415" s="2">
        <f>VLOOKUP([jobnumber],OvalData[],MATCH(Table2[[#Headers],[Solid Bottom Height]],Table2[#Headers],0),0)</f>
        <v>0</v>
      </c>
      <c r="AO415" s="2" t="str">
        <f>VLOOKUP([jobnumber],OvalData[],MATCH(Table2[[#Headers],[slatlength]],Table2[#Headers],0),0)</f>
        <v xml:space="preserve"> 18 ft.- 5 7/ 8"</v>
      </c>
      <c r="AP415" s="2">
        <f>VLOOKUP([jobnumber],OvalData[],MATCH(Table2[[#Headers],[Bottom Slat Length]],Table2[#Headers],0),0)</f>
        <v>0</v>
      </c>
      <c r="AQ415" s="2">
        <f>VLOOKUP([jobnumber],OvalData[],MATCH(Table2[[#Headers],[Number of Perferated Slats]],Table2[#Headers],0),0)</f>
        <v>0</v>
      </c>
      <c r="AR415" s="2">
        <f>VLOOKUP([jobnumber],OvalData[],MATCH(Table2[[#Headers],[First Preferated Slat From End]],Table2[#Headers],0),0)</f>
        <v>0</v>
      </c>
      <c r="AS415" s="2">
        <f>VLOOKUP([jobnumber],OvalData[],MATCH(Table2[[#Headers],[First Preferated Slat From Bottom]],Table2[#Headers],0),0)</f>
        <v>0</v>
      </c>
      <c r="AT415" s="2">
        <f>VLOOKUP([jobnumber],OvalData[],MATCH(Table2[[#Headers],[Total Number of Slats]],Table2[#Headers],0),0)</f>
        <v>51</v>
      </c>
      <c r="AU415" s="2">
        <f>VLOOKUP([jobnumber],OvalData[],MATCH(Table2[[#Headers],[Bottom Bar Slope]],Table2[#Headers],0),0)</f>
        <v>0</v>
      </c>
      <c r="AV415" s="2">
        <f>VLOOKUP([jobnumber],OvalData[],MATCH(Table2[[#Headers],[Bottom Bar Weight]],Table2[#Headers],0),0)</f>
        <v>80.5</v>
      </c>
      <c r="AW415" s="2" t="str">
        <f>VLOOKUP([jobnumber],OvalData[],MATCH(Table2[[#Headers],[Outer Spring Gage]],Table2[#Headers],0),0)</f>
        <v>Null</v>
      </c>
      <c r="AX415" s="2" t="str">
        <f>VLOOKUP([jobnumber],OvalData[],MATCH(Table2[[#Headers],[Outer Spring OD]],Table2[#Headers],0),0)</f>
        <v>Null</v>
      </c>
      <c r="AY415" s="2" t="str">
        <f>VLOOKUP([jobnumber],OvalData[],MATCH(Table2[[#Headers],[Outer Spring Length]],Table2[#Headers],0),0)</f>
        <v>Null</v>
      </c>
      <c r="AZ415" s="2" t="str">
        <f>VLOOKUP([jobnumber],OvalData[],MATCH(Table2[[#Headers],[Outer Spring Stretch]],Table2[#Headers],0),0)</f>
        <v>Null</v>
      </c>
      <c r="BA415" s="2" t="str">
        <f>VLOOKUP([jobnumber],OvalData[],MATCH(Table2[[#Headers],[Outer Spring Torque]],Table2[#Headers],0),0)</f>
        <v>Null</v>
      </c>
      <c r="BB415" s="2" t="str">
        <f>VLOOKUP([jobnumber],OvalData[],MATCH(Table2[[#Headers],[Outer Spring Max Turns]],Table2[#Headers],0),0)</f>
        <v>Null</v>
      </c>
      <c r="BC415" s="2" t="str">
        <f>VLOOKUP([jobnumber],OvalData[],MATCH(Table2[[#Headers],[Outer Spring Weight]],Table2[#Headers],0),0)</f>
        <v>Null</v>
      </c>
      <c r="BD415" s="2" t="str">
        <f>VLOOKUP([jobnumber],OvalData[],MATCH(Table2[[#Headers],[Inner Spring Gage]],Table2[#Headers],0),0)</f>
        <v>Null</v>
      </c>
      <c r="BE415" s="2" t="str">
        <f>VLOOKUP([jobnumber],OvalData[],MATCH(Table2[[#Headers],[Inner Spring OD]],Table2[#Headers],0),0)</f>
        <v>Null</v>
      </c>
      <c r="BF415" s="2" t="str">
        <f>VLOOKUP([jobnumber],OvalData[],MATCH(Table2[[#Headers],[Inner Spring Length]],Table2[#Headers],0),0)</f>
        <v>Null</v>
      </c>
      <c r="BG415" s="2" t="str">
        <f>VLOOKUP([jobnumber],OvalData[],MATCH(Table2[[#Headers],[Inner Spring Stretch]],Table2[#Headers],0),0)</f>
        <v>Null</v>
      </c>
      <c r="BH415" s="2" t="str">
        <f>VLOOKUP([jobnumber],OvalData[],MATCH(Table2[[#Headers],[Inner Spring Torque]],Table2[#Headers],0),0)</f>
        <v>Null</v>
      </c>
      <c r="BI415" s="2" t="str">
        <f>VLOOKUP([jobnumber],OvalData[],MATCH(Table2[[#Headers],[Inner Spring Max Turns]],Table2[#Headers],0),0)</f>
        <v>Null</v>
      </c>
      <c r="BJ415" s="2" t="str">
        <f>VLOOKUP([jobnumber],OvalData[],MATCH(Table2[[#Headers],[Inner Spring Weight]],Table2[#Headers],0),0)</f>
        <v>Null</v>
      </c>
      <c r="BK415" s="2">
        <f>VLOOKUP([jobnumber],OvalData[],MATCH(Table2[[#Headers],[Cycles]],Table2[#Headers],0),0)</f>
        <v>0</v>
      </c>
      <c r="BL415" s="2">
        <f>VLOOKUP([jobnumber],OvalData[],MATCH(Table2[[#Headers],[Total Spring Torque]],Table2[#Headers],0),0)</f>
        <v>0</v>
      </c>
      <c r="BM415" s="2">
        <f>VLOOKUP([jobnumber],OvalData[],MATCH(Table2[[#Headers],[Total Spring Weight]],Table2[#Headers],0),0)</f>
        <v>0</v>
      </c>
      <c r="BN415" s="2">
        <f>VLOOKUP([jobnumber],OvalData[],MATCH(Table2[[#Headers],[Pipe Weight]],Table2[#Headers],0),0)</f>
        <v>688.24239999999998</v>
      </c>
      <c r="BO415" s="2">
        <f>VLOOKUP([jobnumber],OvalData[],MATCH(Table2[[#Headers],[Max Pipe Deflection]],Table2[#Headers],0),0)</f>
        <v>2309</v>
      </c>
      <c r="BP415" s="2">
        <f>VLOOKUP([jobnumber],OvalData[],MATCH(Table2[[#Headers],[Number Non-Insulated Wrap Slats]],Table2[#Headers],0),0)</f>
        <v>0</v>
      </c>
      <c r="BQ415" s="2">
        <f>VLOOKUP([jobnumber],OvalData[],MATCH(Table2[[#Headers],[Number of Insolated Top Slats]],Table2[#Headers],0),0)</f>
        <v>45</v>
      </c>
      <c r="BR415" s="2">
        <f>VLOOKUP([jobnumber],OvalData[],MATCH(Table2[[#Headers],[Insolated Total Slats]],Table2[#Headers],0),0)</f>
        <v>45</v>
      </c>
      <c r="BS415" s="2">
        <f>VLOOKUP([jobnumber],OvalData[],MATCH(Table2[[#Headers],[Number of Slats]],Table2[#Headers],0),0)</f>
        <v>44.69</v>
      </c>
      <c r="BT415" s="2">
        <f>VLOOKUP([jobnumber],OvalData[],MATCH(Table2[[#Headers],[Wrap]],Table2[#Headers],0),0)</f>
        <v>0</v>
      </c>
      <c r="BU415" s="2">
        <f>VLOOKUP([jobnumber],OvalData[],MATCH(Table2[[#Headers],[Wall Angle Thickness]],Table2[#Headers],0),0)</f>
        <v>0</v>
      </c>
      <c r="BV415" s="2">
        <f>VLOOKUP([jobnumber],OvalData[],MATCH(Table2[[#Headers],[windlocks]],Table2[#Headers],0),0)</f>
        <v>0</v>
      </c>
      <c r="BW415" s="2" t="str">
        <f>VLOOKUP([jobnumber],OvalData[],MATCH(Table2[[#Headers],[bottombartype]],Table2[#Headers],0),0)</f>
        <v>SPECIAL</v>
      </c>
      <c r="BX415" s="2">
        <f>VLOOKUP([jobnumber],OvalData[],MATCH(Table2[[#Headers],[endlockweight]],Table2[#Headers],0),0)</f>
        <v>0.17</v>
      </c>
      <c r="BY415" s="2">
        <f>VLOOKUP([jobnumber],OvalData[],MATCH(Table2[[#Headers],[Endlock Total Weight]],Table2[#Headers],0),0)</f>
        <v>7.5972999999999997</v>
      </c>
      <c r="BZ415" s="2">
        <f>VLOOKUP([jobnumber],OvalData[],MATCH(Table2[[#Headers],[Grille Weight]],Table2[#Headers],0),0)</f>
        <v>0</v>
      </c>
      <c r="CA415" s="2">
        <f>VLOOKUP([jobnumber],OvalData[],MATCH(Table2[[#Headers],[barrelrings]],Table2[#Headers],0),0)</f>
        <v>1</v>
      </c>
    </row>
    <row r="416" spans="2:79">
      <c r="B416" s="2" t="str">
        <f>VLOOKUP([jobnumber],OvalData[],MATCH(Table2[[#Headers],[Hand]],Table2[#Headers],0),0)</f>
        <v>RH</v>
      </c>
      <c r="C416" s="2" t="str">
        <f>VLOOKUP([jobnumber],OvalData[],MATCH(Table2[[#Headers],[Model]],Table2[#Headers],0),0)</f>
        <v>SFMPP</v>
      </c>
      <c r="D416" s="2" t="str">
        <f>VLOOKUP([jobnumber],OvalData[],MATCH(Table2[[#Headers],[width]],Table2[#Headers],0),0)</f>
        <v xml:space="preserve"> 18 ft.- 2"</v>
      </c>
      <c r="E416" s="2" t="str">
        <f>VLOOKUP([jobnumber],OvalData[],MATCH(Table2[[#Headers],[stopheight]],Table2[#Headers],0),0)</f>
        <v xml:space="preserve"> 10 ft.- 0"</v>
      </c>
      <c r="F416" s="2" t="str">
        <f>VLOOKUP([jobnumber],OvalData[],MATCH(Table2[[#Headers],[Between Brackets]],Table2[#Headers],0),0)</f>
        <v xml:space="preserve"> 18 ft.- 7 7/ 8"</v>
      </c>
      <c r="G416" s="2" t="str">
        <f>VLOOKUP([jobnumber],OvalData[],MATCH(Table2[[#Headers],[shell]],Table2[#Headers],0),0)</f>
        <v>6 INCH TUBE</v>
      </c>
      <c r="H416" s="2" t="str">
        <f>VLOOKUP([jobnumber],OvalData[],MATCH(Table2[[#Headers],[pipewidth]],Table2[#Headers],0),0)</f>
        <v xml:space="preserve"> 18 ft.- 1 3/ 8"</v>
      </c>
      <c r="I416" s="2">
        <f>VLOOKUP([jobnumber],OvalData[],MATCH(Table2[[#Headers],[Support Tubes]],Table2[#Headers],0),0)</f>
        <v>0</v>
      </c>
      <c r="J416" s="2">
        <f>VLOOKUP([jobnumber],OvalData[],MATCH(Table2[[#Headers],[Upset]],Table2[#Headers],0),0)</f>
        <v>2</v>
      </c>
      <c r="K416" s="2" t="str">
        <f>VLOOKUP([jobnumber],OvalData[],MATCH(Table2[[#Headers],[Guide Type]],Table2[#Headers],0),0)</f>
        <v>SN2-4 5/8-E</v>
      </c>
      <c r="L416" s="2" t="str">
        <f>VLOOKUP([jobnumber],OvalData[],MATCH(Table2[[#Headers],[Wall Angle]],Table2[#Headers],0),0)</f>
        <v xml:space="preserve"> 11 ft.- 8"</v>
      </c>
      <c r="M416" s="2" t="str">
        <f>VLOOKUP([jobnumber],OvalData[],MATCH(Table2[[#Headers],[Middle Angle]],Table2[#Headers],0),0)</f>
        <v xml:space="preserve"> 10 ft.- 4 1/ 2"</v>
      </c>
      <c r="N416" s="2" t="str">
        <f>VLOOKUP([jobnumber],OvalData[],MATCH(Table2[[#Headers],[Front Angle]],Table2[#Headers],0),0)</f>
        <v xml:space="preserve"> 10 ft.- 3"</v>
      </c>
      <c r="O416" s="2">
        <f>VLOOKUP([jobnumber],OvalData[],MATCH(Table2[[#Headers],[Pipe Center Line]],Table2[#Headers],0),0)</f>
        <v>131</v>
      </c>
      <c r="P416" s="2">
        <f>VLOOKUP([jobnumber],OvalData[],MATCH(Table2[[#Headers],[Heat Expansion Gap]],Table2[#Headers],0),0)</f>
        <v>0</v>
      </c>
      <c r="Q416" s="2">
        <f>VLOOKUP([jobnumber],OvalData[],MATCH(Table2[[#Headers],[Hanging Weight Closed]],Table2[#Headers],0),0)</f>
        <v>795</v>
      </c>
      <c r="R416" s="2">
        <f>VLOOKUP([jobnumber],OvalData[],MATCH(Table2[[#Headers],[Hanging Weight Open]],Table2[#Headers],0),0)</f>
        <v>140</v>
      </c>
      <c r="S416" s="2">
        <f>VLOOKUP([jobnumber],OvalData[],MATCH(Table2[[#Headers],[Initial Lever Arm]],Table2[#Headers],0),0)</f>
        <v>4.25</v>
      </c>
      <c r="T416" s="2">
        <f>VLOOKUP([jobnumber],OvalData[],MATCH(Table2[[#Headers],[Turns to Raise]],Table2[#Headers],0),0)</f>
        <v>3.5859999999999999</v>
      </c>
      <c r="U416" s="2">
        <f>VLOOKUP([jobnumber],OvalData[],MATCH(Table2[[#Headers],[Final Lever Arm]],Table2[#Headers],0),0)</f>
        <v>6.37</v>
      </c>
      <c r="V416" s="2">
        <f>VLOOKUP([jobnumber],OvalData[],MATCH(Table2[[#Headers],[Torque Required Closed]],Table2[#Headers],0),0)</f>
        <v>3377.9</v>
      </c>
      <c r="W416" s="2">
        <f>VLOOKUP([jobnumber],OvalData[],MATCH(Table2[[#Headers],[Torque Required Open]],Table2[#Headers],0),0)</f>
        <v>892</v>
      </c>
      <c r="X416" s="2">
        <f>VLOOKUP([jobnumber],OvalData[],MATCH(Table2[[#Headers],[Pre Turns]],Table2[#Headers],0),0)</f>
        <v>1.3332999999999999</v>
      </c>
      <c r="Y416" s="2">
        <f>VLOOKUP([jobnumber],OvalData[],MATCH(Table2[[#Headers],[Required Torque Per Turn]],Table2[#Headers],0),0)</f>
        <v>688</v>
      </c>
      <c r="Z416" s="2">
        <f>VLOOKUP([jobnumber],OvalData[],MATCH(Table2[[#Headers],[Total Turns]],Table2[#Headers],0),0)</f>
        <v>4.91</v>
      </c>
      <c r="AA416" s="2">
        <f>VLOOKUP([jobnumber],OvalData[],MATCH(Table2[[#Headers],[Grille Vision Section]],Table2[#Headers],0),0)</f>
        <v>0</v>
      </c>
      <c r="AB416" s="2">
        <f>VLOOKUP([jobnumber],OvalData[],MATCH(Table2[[#Headers],[Grille Amount]],Table2[#Headers],0),0)</f>
        <v>0</v>
      </c>
      <c r="AC416" s="2">
        <f>VLOOKUP([jobnumber],OvalData[],MATCH(Table2[[#Headers],[Grille Center]],Table2[#Headers],0),0)</f>
        <v>0</v>
      </c>
      <c r="AD416" s="2">
        <f>VLOOKUP([jobnumber],OvalData[],MATCH(Table2[[#Headers],[Grille Pattern]],Table2[#Headers],0),0)</f>
        <v>0</v>
      </c>
      <c r="AE416" s="2">
        <f>VLOOKUP([jobnumber],OvalData[],MATCH(Table2[[#Headers],[Grille First Tube]],Table2[#Headers],0),0)</f>
        <v>0</v>
      </c>
      <c r="AF416" s="2">
        <f>VLOOKUP([jobnumber],OvalData[],MATCH(Table2[[#Headers],[Grille Standard Tube]],Table2[#Headers],0),0)</f>
        <v>0</v>
      </c>
      <c r="AG416" s="2">
        <f>VLOOKUP([jobnumber],OvalData[],MATCH(Table2[[#Headers],[Grille Total Links]],Table2[#Headers],0),0)</f>
        <v>0</v>
      </c>
      <c r="AH416" s="2">
        <f>VLOOKUP([jobnumber],OvalData[],MATCH(Table2[[#Headers],[Grille Rods]],Table2[#Headers],0),0)</f>
        <v>0</v>
      </c>
      <c r="AI416" s="2">
        <f>VLOOKUP([jobnumber],OvalData[],MATCH(Table2[[#Headers],[Grille Rod Length]],Table2[#Headers],0),0)</f>
        <v>0</v>
      </c>
      <c r="AJ416" s="2">
        <f>VLOOKUP([jobnumber],OvalData[],MATCH(Table2[[#Headers],[slattype]],Table2[#Headers],0),0)</f>
        <v>2</v>
      </c>
      <c r="AK416" s="2">
        <f>VLOOKUP([jobnumber],OvalData[],MATCH(Table2[[#Headers],[slatgage]],Table2[#Headers],0),0)</f>
        <v>18</v>
      </c>
      <c r="AL416" s="2">
        <f>VLOOKUP([jobnumber],OvalData[],MATCH(Table2[[#Headers],[Numer of Top Slats]],Table2[#Headers],0),0)</f>
        <v>0</v>
      </c>
      <c r="AM416" s="2">
        <f>VLOOKUP([jobnumber],OvalData[],MATCH(Table2[[#Headers],[Number of Bottom Slats]],Table2[#Headers],0),0)</f>
        <v>0</v>
      </c>
      <c r="AN416" s="2">
        <f>VLOOKUP([jobnumber],OvalData[],MATCH(Table2[[#Headers],[Solid Bottom Height]],Table2[#Headers],0),0)</f>
        <v>0</v>
      </c>
      <c r="AO416" s="2" t="str">
        <f>VLOOKUP([jobnumber],OvalData[],MATCH(Table2[[#Headers],[slatlength]],Table2[#Headers],0),0)</f>
        <v xml:space="preserve"> 18 ft.- 5 7/ 8"</v>
      </c>
      <c r="AP416" s="2">
        <f>VLOOKUP([jobnumber],OvalData[],MATCH(Table2[[#Headers],[Bottom Slat Length]],Table2[#Headers],0),0)</f>
        <v>0</v>
      </c>
      <c r="AQ416" s="2">
        <f>VLOOKUP([jobnumber],OvalData[],MATCH(Table2[[#Headers],[Number of Perferated Slats]],Table2[#Headers],0),0)</f>
        <v>0</v>
      </c>
      <c r="AR416" s="2">
        <f>VLOOKUP([jobnumber],OvalData[],MATCH(Table2[[#Headers],[First Preferated Slat From End]],Table2[#Headers],0),0)</f>
        <v>0</v>
      </c>
      <c r="AS416" s="2">
        <f>VLOOKUP([jobnumber],OvalData[],MATCH(Table2[[#Headers],[First Preferated Slat From Bottom]],Table2[#Headers],0),0)</f>
        <v>0</v>
      </c>
      <c r="AT416" s="2">
        <f>VLOOKUP([jobnumber],OvalData[],MATCH(Table2[[#Headers],[Total Number of Slats]],Table2[#Headers],0),0)</f>
        <v>51</v>
      </c>
      <c r="AU416" s="2">
        <f>VLOOKUP([jobnumber],OvalData[],MATCH(Table2[[#Headers],[Bottom Bar Slope]],Table2[#Headers],0),0)</f>
        <v>0</v>
      </c>
      <c r="AV416" s="2">
        <f>VLOOKUP([jobnumber],OvalData[],MATCH(Table2[[#Headers],[Bottom Bar Weight]],Table2[#Headers],0),0)</f>
        <v>80.5</v>
      </c>
      <c r="AW416" s="2" t="str">
        <f>VLOOKUP([jobnumber],OvalData[],MATCH(Table2[[#Headers],[Outer Spring Gage]],Table2[#Headers],0),0)</f>
        <v>Null</v>
      </c>
      <c r="AX416" s="2" t="str">
        <f>VLOOKUP([jobnumber],OvalData[],MATCH(Table2[[#Headers],[Outer Spring OD]],Table2[#Headers],0),0)</f>
        <v>Null</v>
      </c>
      <c r="AY416" s="2" t="str">
        <f>VLOOKUP([jobnumber],OvalData[],MATCH(Table2[[#Headers],[Outer Spring Length]],Table2[#Headers],0),0)</f>
        <v>Null</v>
      </c>
      <c r="AZ416" s="2" t="str">
        <f>VLOOKUP([jobnumber],OvalData[],MATCH(Table2[[#Headers],[Outer Spring Stretch]],Table2[#Headers],0),0)</f>
        <v>Null</v>
      </c>
      <c r="BA416" s="2" t="str">
        <f>VLOOKUP([jobnumber],OvalData[],MATCH(Table2[[#Headers],[Outer Spring Torque]],Table2[#Headers],0),0)</f>
        <v>Null</v>
      </c>
      <c r="BB416" s="2" t="str">
        <f>VLOOKUP([jobnumber],OvalData[],MATCH(Table2[[#Headers],[Outer Spring Max Turns]],Table2[#Headers],0),0)</f>
        <v>Null</v>
      </c>
      <c r="BC416" s="2" t="str">
        <f>VLOOKUP([jobnumber],OvalData[],MATCH(Table2[[#Headers],[Outer Spring Weight]],Table2[#Headers],0),0)</f>
        <v>Null</v>
      </c>
      <c r="BD416" s="2" t="str">
        <f>VLOOKUP([jobnumber],OvalData[],MATCH(Table2[[#Headers],[Inner Spring Gage]],Table2[#Headers],0),0)</f>
        <v>Null</v>
      </c>
      <c r="BE416" s="2" t="str">
        <f>VLOOKUP([jobnumber],OvalData[],MATCH(Table2[[#Headers],[Inner Spring OD]],Table2[#Headers],0),0)</f>
        <v>Null</v>
      </c>
      <c r="BF416" s="2" t="str">
        <f>VLOOKUP([jobnumber],OvalData[],MATCH(Table2[[#Headers],[Inner Spring Length]],Table2[#Headers],0),0)</f>
        <v>Null</v>
      </c>
      <c r="BG416" s="2" t="str">
        <f>VLOOKUP([jobnumber],OvalData[],MATCH(Table2[[#Headers],[Inner Spring Stretch]],Table2[#Headers],0),0)</f>
        <v>Null</v>
      </c>
      <c r="BH416" s="2" t="str">
        <f>VLOOKUP([jobnumber],OvalData[],MATCH(Table2[[#Headers],[Inner Spring Torque]],Table2[#Headers],0),0)</f>
        <v>Null</v>
      </c>
      <c r="BI416" s="2" t="str">
        <f>VLOOKUP([jobnumber],OvalData[],MATCH(Table2[[#Headers],[Inner Spring Max Turns]],Table2[#Headers],0),0)</f>
        <v>Null</v>
      </c>
      <c r="BJ416" s="2" t="str">
        <f>VLOOKUP([jobnumber],OvalData[],MATCH(Table2[[#Headers],[Inner Spring Weight]],Table2[#Headers],0),0)</f>
        <v>Null</v>
      </c>
      <c r="BK416" s="2">
        <f>VLOOKUP([jobnumber],OvalData[],MATCH(Table2[[#Headers],[Cycles]],Table2[#Headers],0),0)</f>
        <v>0</v>
      </c>
      <c r="BL416" s="2">
        <f>VLOOKUP([jobnumber],OvalData[],MATCH(Table2[[#Headers],[Total Spring Torque]],Table2[#Headers],0),0)</f>
        <v>0</v>
      </c>
      <c r="BM416" s="2">
        <f>VLOOKUP([jobnumber],OvalData[],MATCH(Table2[[#Headers],[Total Spring Weight]],Table2[#Headers],0),0)</f>
        <v>0</v>
      </c>
      <c r="BN416" s="2">
        <f>VLOOKUP([jobnumber],OvalData[],MATCH(Table2[[#Headers],[Pipe Weight]],Table2[#Headers],0),0)</f>
        <v>688.24239999999998</v>
      </c>
      <c r="BO416" s="2">
        <f>VLOOKUP([jobnumber],OvalData[],MATCH(Table2[[#Headers],[Max Pipe Deflection]],Table2[#Headers],0),0)</f>
        <v>2309</v>
      </c>
      <c r="BP416" s="2">
        <f>VLOOKUP([jobnumber],OvalData[],MATCH(Table2[[#Headers],[Number Non-Insulated Wrap Slats]],Table2[#Headers],0),0)</f>
        <v>0</v>
      </c>
      <c r="BQ416" s="2">
        <f>VLOOKUP([jobnumber],OvalData[],MATCH(Table2[[#Headers],[Number of Insolated Top Slats]],Table2[#Headers],0),0)</f>
        <v>45</v>
      </c>
      <c r="BR416" s="2">
        <f>VLOOKUP([jobnumber],OvalData[],MATCH(Table2[[#Headers],[Insolated Total Slats]],Table2[#Headers],0),0)</f>
        <v>45</v>
      </c>
      <c r="BS416" s="2">
        <f>VLOOKUP([jobnumber],OvalData[],MATCH(Table2[[#Headers],[Number of Slats]],Table2[#Headers],0),0)</f>
        <v>44.69</v>
      </c>
      <c r="BT416" s="2">
        <f>VLOOKUP([jobnumber],OvalData[],MATCH(Table2[[#Headers],[Wrap]],Table2[#Headers],0),0)</f>
        <v>0</v>
      </c>
      <c r="BU416" s="2">
        <f>VLOOKUP([jobnumber],OvalData[],MATCH(Table2[[#Headers],[Wall Angle Thickness]],Table2[#Headers],0),0)</f>
        <v>0</v>
      </c>
      <c r="BV416" s="2">
        <f>VLOOKUP([jobnumber],OvalData[],MATCH(Table2[[#Headers],[windlocks]],Table2[#Headers],0),0)</f>
        <v>0</v>
      </c>
      <c r="BW416" s="2" t="str">
        <f>VLOOKUP([jobnumber],OvalData[],MATCH(Table2[[#Headers],[bottombartype]],Table2[#Headers],0),0)</f>
        <v>SPECIAL</v>
      </c>
      <c r="BX416" s="2">
        <f>VLOOKUP([jobnumber],OvalData[],MATCH(Table2[[#Headers],[endlockweight]],Table2[#Headers],0),0)</f>
        <v>0.17</v>
      </c>
      <c r="BY416" s="2">
        <f>VLOOKUP([jobnumber],OvalData[],MATCH(Table2[[#Headers],[Endlock Total Weight]],Table2[#Headers],0),0)</f>
        <v>7.5972999999999997</v>
      </c>
      <c r="BZ416" s="2">
        <f>VLOOKUP([jobnumber],OvalData[],MATCH(Table2[[#Headers],[Grille Weight]],Table2[#Headers],0),0)</f>
        <v>0</v>
      </c>
      <c r="CA416" s="2">
        <f>VLOOKUP([jobnumber],OvalData[],MATCH(Table2[[#Headers],[barrelrings]],Table2[#Headers],0),0)</f>
        <v>1</v>
      </c>
    </row>
    <row r="417" spans="2:79">
      <c r="B417" s="2" t="str">
        <f>VLOOKUP([jobnumber],OvalData[],MATCH(Table2[[#Headers],[Hand]],Table2[#Headers],0),0)</f>
        <v>RH</v>
      </c>
      <c r="C417" s="2" t="str">
        <f>VLOOKUP([jobnumber],OvalData[],MATCH(Table2[[#Headers],[Model]],Table2[#Headers],0),0)</f>
        <v>SFMPP</v>
      </c>
      <c r="D417" s="2" t="str">
        <f>VLOOKUP([jobnumber],OvalData[],MATCH(Table2[[#Headers],[width]],Table2[#Headers],0),0)</f>
        <v xml:space="preserve"> 18 ft.- 2"</v>
      </c>
      <c r="E417" s="2" t="str">
        <f>VLOOKUP([jobnumber],OvalData[],MATCH(Table2[[#Headers],[stopheight]],Table2[#Headers],0),0)</f>
        <v xml:space="preserve"> 10 ft.- 0"</v>
      </c>
      <c r="F417" s="2" t="str">
        <f>VLOOKUP([jobnumber],OvalData[],MATCH(Table2[[#Headers],[Between Brackets]],Table2[#Headers],0),0)</f>
        <v xml:space="preserve"> 18 ft.- 7 7/ 8"</v>
      </c>
      <c r="G417" s="2" t="str">
        <f>VLOOKUP([jobnumber],OvalData[],MATCH(Table2[[#Headers],[shell]],Table2[#Headers],0),0)</f>
        <v>6 INCH TUBE</v>
      </c>
      <c r="H417" s="2" t="str">
        <f>VLOOKUP([jobnumber],OvalData[],MATCH(Table2[[#Headers],[pipewidth]],Table2[#Headers],0),0)</f>
        <v xml:space="preserve"> 18 ft.- 1 3/ 8"</v>
      </c>
      <c r="I417" s="2">
        <f>VLOOKUP([jobnumber],OvalData[],MATCH(Table2[[#Headers],[Support Tubes]],Table2[#Headers],0),0)</f>
        <v>0</v>
      </c>
      <c r="J417" s="2">
        <f>VLOOKUP([jobnumber],OvalData[],MATCH(Table2[[#Headers],[Upset]],Table2[#Headers],0),0)</f>
        <v>2</v>
      </c>
      <c r="K417" s="2" t="str">
        <f>VLOOKUP([jobnumber],OvalData[],MATCH(Table2[[#Headers],[Guide Type]],Table2[#Headers],0),0)</f>
        <v>SN2-4 5/8-E</v>
      </c>
      <c r="L417" s="2" t="str">
        <f>VLOOKUP([jobnumber],OvalData[],MATCH(Table2[[#Headers],[Wall Angle]],Table2[#Headers],0),0)</f>
        <v xml:space="preserve"> 11 ft.- 8"</v>
      </c>
      <c r="M417" s="2" t="str">
        <f>VLOOKUP([jobnumber],OvalData[],MATCH(Table2[[#Headers],[Middle Angle]],Table2[#Headers],0),0)</f>
        <v xml:space="preserve"> 10 ft.- 4 1/ 2"</v>
      </c>
      <c r="N417" s="2" t="str">
        <f>VLOOKUP([jobnumber],OvalData[],MATCH(Table2[[#Headers],[Front Angle]],Table2[#Headers],0),0)</f>
        <v xml:space="preserve"> 10 ft.- 3"</v>
      </c>
      <c r="O417" s="2">
        <f>VLOOKUP([jobnumber],OvalData[],MATCH(Table2[[#Headers],[Pipe Center Line]],Table2[#Headers],0),0)</f>
        <v>131</v>
      </c>
      <c r="P417" s="2">
        <f>VLOOKUP([jobnumber],OvalData[],MATCH(Table2[[#Headers],[Heat Expansion Gap]],Table2[#Headers],0),0)</f>
        <v>0</v>
      </c>
      <c r="Q417" s="2">
        <f>VLOOKUP([jobnumber],OvalData[],MATCH(Table2[[#Headers],[Hanging Weight Closed]],Table2[#Headers],0),0)</f>
        <v>795</v>
      </c>
      <c r="R417" s="2">
        <f>VLOOKUP([jobnumber],OvalData[],MATCH(Table2[[#Headers],[Hanging Weight Open]],Table2[#Headers],0),0)</f>
        <v>140</v>
      </c>
      <c r="S417" s="2">
        <f>VLOOKUP([jobnumber],OvalData[],MATCH(Table2[[#Headers],[Initial Lever Arm]],Table2[#Headers],0),0)</f>
        <v>4.25</v>
      </c>
      <c r="T417" s="2">
        <f>VLOOKUP([jobnumber],OvalData[],MATCH(Table2[[#Headers],[Turns to Raise]],Table2[#Headers],0),0)</f>
        <v>3.5859999999999999</v>
      </c>
      <c r="U417" s="2">
        <f>VLOOKUP([jobnumber],OvalData[],MATCH(Table2[[#Headers],[Final Lever Arm]],Table2[#Headers],0),0)</f>
        <v>6.37</v>
      </c>
      <c r="V417" s="2">
        <f>VLOOKUP([jobnumber],OvalData[],MATCH(Table2[[#Headers],[Torque Required Closed]],Table2[#Headers],0),0)</f>
        <v>3377.9</v>
      </c>
      <c r="W417" s="2">
        <f>VLOOKUP([jobnumber],OvalData[],MATCH(Table2[[#Headers],[Torque Required Open]],Table2[#Headers],0),0)</f>
        <v>892</v>
      </c>
      <c r="X417" s="2">
        <f>VLOOKUP([jobnumber],OvalData[],MATCH(Table2[[#Headers],[Pre Turns]],Table2[#Headers],0),0)</f>
        <v>1.3332999999999999</v>
      </c>
      <c r="Y417" s="2">
        <f>VLOOKUP([jobnumber],OvalData[],MATCH(Table2[[#Headers],[Required Torque Per Turn]],Table2[#Headers],0),0)</f>
        <v>688</v>
      </c>
      <c r="Z417" s="2">
        <f>VLOOKUP([jobnumber],OvalData[],MATCH(Table2[[#Headers],[Total Turns]],Table2[#Headers],0),0)</f>
        <v>4.91</v>
      </c>
      <c r="AA417" s="2">
        <f>VLOOKUP([jobnumber],OvalData[],MATCH(Table2[[#Headers],[Grille Vision Section]],Table2[#Headers],0),0)</f>
        <v>0</v>
      </c>
      <c r="AB417" s="2">
        <f>VLOOKUP([jobnumber],OvalData[],MATCH(Table2[[#Headers],[Grille Amount]],Table2[#Headers],0),0)</f>
        <v>0</v>
      </c>
      <c r="AC417" s="2">
        <f>VLOOKUP([jobnumber],OvalData[],MATCH(Table2[[#Headers],[Grille Center]],Table2[#Headers],0),0)</f>
        <v>0</v>
      </c>
      <c r="AD417" s="2">
        <f>VLOOKUP([jobnumber],OvalData[],MATCH(Table2[[#Headers],[Grille Pattern]],Table2[#Headers],0),0)</f>
        <v>0</v>
      </c>
      <c r="AE417" s="2">
        <f>VLOOKUP([jobnumber],OvalData[],MATCH(Table2[[#Headers],[Grille First Tube]],Table2[#Headers],0),0)</f>
        <v>0</v>
      </c>
      <c r="AF417" s="2">
        <f>VLOOKUP([jobnumber],OvalData[],MATCH(Table2[[#Headers],[Grille Standard Tube]],Table2[#Headers],0),0)</f>
        <v>0</v>
      </c>
      <c r="AG417" s="2">
        <f>VLOOKUP([jobnumber],OvalData[],MATCH(Table2[[#Headers],[Grille Total Links]],Table2[#Headers],0),0)</f>
        <v>0</v>
      </c>
      <c r="AH417" s="2">
        <f>VLOOKUP([jobnumber],OvalData[],MATCH(Table2[[#Headers],[Grille Rods]],Table2[#Headers],0),0)</f>
        <v>0</v>
      </c>
      <c r="AI417" s="2">
        <f>VLOOKUP([jobnumber],OvalData[],MATCH(Table2[[#Headers],[Grille Rod Length]],Table2[#Headers],0),0)</f>
        <v>0</v>
      </c>
      <c r="AJ417" s="2">
        <f>VLOOKUP([jobnumber],OvalData[],MATCH(Table2[[#Headers],[slattype]],Table2[#Headers],0),0)</f>
        <v>2</v>
      </c>
      <c r="AK417" s="2">
        <f>VLOOKUP([jobnumber],OvalData[],MATCH(Table2[[#Headers],[slatgage]],Table2[#Headers],0),0)</f>
        <v>18</v>
      </c>
      <c r="AL417" s="2">
        <f>VLOOKUP([jobnumber],OvalData[],MATCH(Table2[[#Headers],[Numer of Top Slats]],Table2[#Headers],0),0)</f>
        <v>0</v>
      </c>
      <c r="AM417" s="2">
        <f>VLOOKUP([jobnumber],OvalData[],MATCH(Table2[[#Headers],[Number of Bottom Slats]],Table2[#Headers],0),0)</f>
        <v>0</v>
      </c>
      <c r="AN417" s="2">
        <f>VLOOKUP([jobnumber],OvalData[],MATCH(Table2[[#Headers],[Solid Bottom Height]],Table2[#Headers],0),0)</f>
        <v>0</v>
      </c>
      <c r="AO417" s="2" t="str">
        <f>VLOOKUP([jobnumber],OvalData[],MATCH(Table2[[#Headers],[slatlength]],Table2[#Headers],0),0)</f>
        <v xml:space="preserve"> 18 ft.- 5 7/ 8"</v>
      </c>
      <c r="AP417" s="2">
        <f>VLOOKUP([jobnumber],OvalData[],MATCH(Table2[[#Headers],[Bottom Slat Length]],Table2[#Headers],0),0)</f>
        <v>0</v>
      </c>
      <c r="AQ417" s="2">
        <f>VLOOKUP([jobnumber],OvalData[],MATCH(Table2[[#Headers],[Number of Perferated Slats]],Table2[#Headers],0),0)</f>
        <v>0</v>
      </c>
      <c r="AR417" s="2">
        <f>VLOOKUP([jobnumber],OvalData[],MATCH(Table2[[#Headers],[First Preferated Slat From End]],Table2[#Headers],0),0)</f>
        <v>0</v>
      </c>
      <c r="AS417" s="2">
        <f>VLOOKUP([jobnumber],OvalData[],MATCH(Table2[[#Headers],[First Preferated Slat From Bottom]],Table2[#Headers],0),0)</f>
        <v>0</v>
      </c>
      <c r="AT417" s="2">
        <f>VLOOKUP([jobnumber],OvalData[],MATCH(Table2[[#Headers],[Total Number of Slats]],Table2[#Headers],0),0)</f>
        <v>51</v>
      </c>
      <c r="AU417" s="2">
        <f>VLOOKUP([jobnumber],OvalData[],MATCH(Table2[[#Headers],[Bottom Bar Slope]],Table2[#Headers],0),0)</f>
        <v>0</v>
      </c>
      <c r="AV417" s="2">
        <f>VLOOKUP([jobnumber],OvalData[],MATCH(Table2[[#Headers],[Bottom Bar Weight]],Table2[#Headers],0),0)</f>
        <v>80.5</v>
      </c>
      <c r="AW417" s="2" t="str">
        <f>VLOOKUP([jobnumber],OvalData[],MATCH(Table2[[#Headers],[Outer Spring Gage]],Table2[#Headers],0),0)</f>
        <v>Null</v>
      </c>
      <c r="AX417" s="2" t="str">
        <f>VLOOKUP([jobnumber],OvalData[],MATCH(Table2[[#Headers],[Outer Spring OD]],Table2[#Headers],0),0)</f>
        <v>Null</v>
      </c>
      <c r="AY417" s="2" t="str">
        <f>VLOOKUP([jobnumber],OvalData[],MATCH(Table2[[#Headers],[Outer Spring Length]],Table2[#Headers],0),0)</f>
        <v>Null</v>
      </c>
      <c r="AZ417" s="2" t="str">
        <f>VLOOKUP([jobnumber],OvalData[],MATCH(Table2[[#Headers],[Outer Spring Stretch]],Table2[#Headers],0),0)</f>
        <v>Null</v>
      </c>
      <c r="BA417" s="2" t="str">
        <f>VLOOKUP([jobnumber],OvalData[],MATCH(Table2[[#Headers],[Outer Spring Torque]],Table2[#Headers],0),0)</f>
        <v>Null</v>
      </c>
      <c r="BB417" s="2" t="str">
        <f>VLOOKUP([jobnumber],OvalData[],MATCH(Table2[[#Headers],[Outer Spring Max Turns]],Table2[#Headers],0),0)</f>
        <v>Null</v>
      </c>
      <c r="BC417" s="2" t="str">
        <f>VLOOKUP([jobnumber],OvalData[],MATCH(Table2[[#Headers],[Outer Spring Weight]],Table2[#Headers],0),0)</f>
        <v>Null</v>
      </c>
      <c r="BD417" s="2" t="str">
        <f>VLOOKUP([jobnumber],OvalData[],MATCH(Table2[[#Headers],[Inner Spring Gage]],Table2[#Headers],0),0)</f>
        <v>Null</v>
      </c>
      <c r="BE417" s="2" t="str">
        <f>VLOOKUP([jobnumber],OvalData[],MATCH(Table2[[#Headers],[Inner Spring OD]],Table2[#Headers],0),0)</f>
        <v>Null</v>
      </c>
      <c r="BF417" s="2" t="str">
        <f>VLOOKUP([jobnumber],OvalData[],MATCH(Table2[[#Headers],[Inner Spring Length]],Table2[#Headers],0),0)</f>
        <v>Null</v>
      </c>
      <c r="BG417" s="2" t="str">
        <f>VLOOKUP([jobnumber],OvalData[],MATCH(Table2[[#Headers],[Inner Spring Stretch]],Table2[#Headers],0),0)</f>
        <v>Null</v>
      </c>
      <c r="BH417" s="2" t="str">
        <f>VLOOKUP([jobnumber],OvalData[],MATCH(Table2[[#Headers],[Inner Spring Torque]],Table2[#Headers],0),0)</f>
        <v>Null</v>
      </c>
      <c r="BI417" s="2" t="str">
        <f>VLOOKUP([jobnumber],OvalData[],MATCH(Table2[[#Headers],[Inner Spring Max Turns]],Table2[#Headers],0),0)</f>
        <v>Null</v>
      </c>
      <c r="BJ417" s="2" t="str">
        <f>VLOOKUP([jobnumber],OvalData[],MATCH(Table2[[#Headers],[Inner Spring Weight]],Table2[#Headers],0),0)</f>
        <v>Null</v>
      </c>
      <c r="BK417" s="2">
        <f>VLOOKUP([jobnumber],OvalData[],MATCH(Table2[[#Headers],[Cycles]],Table2[#Headers],0),0)</f>
        <v>0</v>
      </c>
      <c r="BL417" s="2">
        <f>VLOOKUP([jobnumber],OvalData[],MATCH(Table2[[#Headers],[Total Spring Torque]],Table2[#Headers],0),0)</f>
        <v>0</v>
      </c>
      <c r="BM417" s="2">
        <f>VLOOKUP([jobnumber],OvalData[],MATCH(Table2[[#Headers],[Total Spring Weight]],Table2[#Headers],0),0)</f>
        <v>0</v>
      </c>
      <c r="BN417" s="2">
        <f>VLOOKUP([jobnumber],OvalData[],MATCH(Table2[[#Headers],[Pipe Weight]],Table2[#Headers],0),0)</f>
        <v>688.24239999999998</v>
      </c>
      <c r="BO417" s="2">
        <f>VLOOKUP([jobnumber],OvalData[],MATCH(Table2[[#Headers],[Max Pipe Deflection]],Table2[#Headers],0),0)</f>
        <v>2309</v>
      </c>
      <c r="BP417" s="2">
        <f>VLOOKUP([jobnumber],OvalData[],MATCH(Table2[[#Headers],[Number Non-Insulated Wrap Slats]],Table2[#Headers],0),0)</f>
        <v>0</v>
      </c>
      <c r="BQ417" s="2">
        <f>VLOOKUP([jobnumber],OvalData[],MATCH(Table2[[#Headers],[Number of Insolated Top Slats]],Table2[#Headers],0),0)</f>
        <v>45</v>
      </c>
      <c r="BR417" s="2">
        <f>VLOOKUP([jobnumber],OvalData[],MATCH(Table2[[#Headers],[Insolated Total Slats]],Table2[#Headers],0),0)</f>
        <v>45</v>
      </c>
      <c r="BS417" s="2">
        <f>VLOOKUP([jobnumber],OvalData[],MATCH(Table2[[#Headers],[Number of Slats]],Table2[#Headers],0),0)</f>
        <v>44.69</v>
      </c>
      <c r="BT417" s="2">
        <f>VLOOKUP([jobnumber],OvalData[],MATCH(Table2[[#Headers],[Wrap]],Table2[#Headers],0),0)</f>
        <v>0</v>
      </c>
      <c r="BU417" s="2">
        <f>VLOOKUP([jobnumber],OvalData[],MATCH(Table2[[#Headers],[Wall Angle Thickness]],Table2[#Headers],0),0)</f>
        <v>0</v>
      </c>
      <c r="BV417" s="2">
        <f>VLOOKUP([jobnumber],OvalData[],MATCH(Table2[[#Headers],[windlocks]],Table2[#Headers],0),0)</f>
        <v>0</v>
      </c>
      <c r="BW417" s="2" t="str">
        <f>VLOOKUP([jobnumber],OvalData[],MATCH(Table2[[#Headers],[bottombartype]],Table2[#Headers],0),0)</f>
        <v>SPECIAL</v>
      </c>
      <c r="BX417" s="2">
        <f>VLOOKUP([jobnumber],OvalData[],MATCH(Table2[[#Headers],[endlockweight]],Table2[#Headers],0),0)</f>
        <v>0.17</v>
      </c>
      <c r="BY417" s="2">
        <f>VLOOKUP([jobnumber],OvalData[],MATCH(Table2[[#Headers],[Endlock Total Weight]],Table2[#Headers],0),0)</f>
        <v>7.5972999999999997</v>
      </c>
      <c r="BZ417" s="2">
        <f>VLOOKUP([jobnumber],OvalData[],MATCH(Table2[[#Headers],[Grille Weight]],Table2[#Headers],0),0)</f>
        <v>0</v>
      </c>
      <c r="CA417" s="2">
        <f>VLOOKUP([jobnumber],OvalData[],MATCH(Table2[[#Headers],[barrelrings]],Table2[#Headers],0),0)</f>
        <v>1</v>
      </c>
    </row>
    <row r="418" spans="2:79">
      <c r="B418" s="2" t="str">
        <f>VLOOKUP([jobnumber],OvalData[],MATCH(Table2[[#Headers],[Hand]],Table2[#Headers],0),0)</f>
        <v>RH</v>
      </c>
      <c r="C418" s="2" t="str">
        <f>VLOOKUP([jobnumber],OvalData[],MATCH(Table2[[#Headers],[Model]],Table2[#Headers],0),0)</f>
        <v>SFMPP</v>
      </c>
      <c r="D418" s="2" t="str">
        <f>VLOOKUP([jobnumber],OvalData[],MATCH(Table2[[#Headers],[width]],Table2[#Headers],0),0)</f>
        <v xml:space="preserve"> 18 ft.- 2"</v>
      </c>
      <c r="E418" s="2" t="str">
        <f>VLOOKUP([jobnumber],OvalData[],MATCH(Table2[[#Headers],[stopheight]],Table2[#Headers],0),0)</f>
        <v xml:space="preserve"> 10 ft.- 0"</v>
      </c>
      <c r="F418" s="2" t="str">
        <f>VLOOKUP([jobnumber],OvalData[],MATCH(Table2[[#Headers],[Between Brackets]],Table2[#Headers],0),0)</f>
        <v xml:space="preserve"> 18 ft.- 7 7/ 8"</v>
      </c>
      <c r="G418" s="2" t="str">
        <f>VLOOKUP([jobnumber],OvalData[],MATCH(Table2[[#Headers],[shell]],Table2[#Headers],0),0)</f>
        <v>6 INCH TUBE</v>
      </c>
      <c r="H418" s="2" t="str">
        <f>VLOOKUP([jobnumber],OvalData[],MATCH(Table2[[#Headers],[pipewidth]],Table2[#Headers],0),0)</f>
        <v xml:space="preserve"> 18 ft.- 1 3/ 8"</v>
      </c>
      <c r="I418" s="2">
        <f>VLOOKUP([jobnumber],OvalData[],MATCH(Table2[[#Headers],[Support Tubes]],Table2[#Headers],0),0)</f>
        <v>0</v>
      </c>
      <c r="J418" s="2">
        <f>VLOOKUP([jobnumber],OvalData[],MATCH(Table2[[#Headers],[Upset]],Table2[#Headers],0),0)</f>
        <v>2</v>
      </c>
      <c r="K418" s="2" t="str">
        <f>VLOOKUP([jobnumber],OvalData[],MATCH(Table2[[#Headers],[Guide Type]],Table2[#Headers],0),0)</f>
        <v>SN2-4 5/8-E</v>
      </c>
      <c r="L418" s="2" t="str">
        <f>VLOOKUP([jobnumber],OvalData[],MATCH(Table2[[#Headers],[Wall Angle]],Table2[#Headers],0),0)</f>
        <v xml:space="preserve"> 11 ft.- 8"</v>
      </c>
      <c r="M418" s="2" t="str">
        <f>VLOOKUP([jobnumber],OvalData[],MATCH(Table2[[#Headers],[Middle Angle]],Table2[#Headers],0),0)</f>
        <v xml:space="preserve"> 10 ft.- 4 1/ 2"</v>
      </c>
      <c r="N418" s="2" t="str">
        <f>VLOOKUP([jobnumber],OvalData[],MATCH(Table2[[#Headers],[Front Angle]],Table2[#Headers],0),0)</f>
        <v xml:space="preserve"> 10 ft.- 3"</v>
      </c>
      <c r="O418" s="2">
        <f>VLOOKUP([jobnumber],OvalData[],MATCH(Table2[[#Headers],[Pipe Center Line]],Table2[#Headers],0),0)</f>
        <v>131</v>
      </c>
      <c r="P418" s="2">
        <f>VLOOKUP([jobnumber],OvalData[],MATCH(Table2[[#Headers],[Heat Expansion Gap]],Table2[#Headers],0),0)</f>
        <v>0</v>
      </c>
      <c r="Q418" s="2">
        <f>VLOOKUP([jobnumber],OvalData[],MATCH(Table2[[#Headers],[Hanging Weight Closed]],Table2[#Headers],0),0)</f>
        <v>795</v>
      </c>
      <c r="R418" s="2">
        <f>VLOOKUP([jobnumber],OvalData[],MATCH(Table2[[#Headers],[Hanging Weight Open]],Table2[#Headers],0),0)</f>
        <v>140</v>
      </c>
      <c r="S418" s="2">
        <f>VLOOKUP([jobnumber],OvalData[],MATCH(Table2[[#Headers],[Initial Lever Arm]],Table2[#Headers],0),0)</f>
        <v>4.25</v>
      </c>
      <c r="T418" s="2">
        <f>VLOOKUP([jobnumber],OvalData[],MATCH(Table2[[#Headers],[Turns to Raise]],Table2[#Headers],0),0)</f>
        <v>3.5859999999999999</v>
      </c>
      <c r="U418" s="2">
        <f>VLOOKUP([jobnumber],OvalData[],MATCH(Table2[[#Headers],[Final Lever Arm]],Table2[#Headers],0),0)</f>
        <v>6.37</v>
      </c>
      <c r="V418" s="2">
        <f>VLOOKUP([jobnumber],OvalData[],MATCH(Table2[[#Headers],[Torque Required Closed]],Table2[#Headers],0),0)</f>
        <v>3377.9</v>
      </c>
      <c r="W418" s="2">
        <f>VLOOKUP([jobnumber],OvalData[],MATCH(Table2[[#Headers],[Torque Required Open]],Table2[#Headers],0),0)</f>
        <v>892</v>
      </c>
      <c r="X418" s="2">
        <f>VLOOKUP([jobnumber],OvalData[],MATCH(Table2[[#Headers],[Pre Turns]],Table2[#Headers],0),0)</f>
        <v>1.3332999999999999</v>
      </c>
      <c r="Y418" s="2">
        <f>VLOOKUP([jobnumber],OvalData[],MATCH(Table2[[#Headers],[Required Torque Per Turn]],Table2[#Headers],0),0)</f>
        <v>688</v>
      </c>
      <c r="Z418" s="2">
        <f>VLOOKUP([jobnumber],OvalData[],MATCH(Table2[[#Headers],[Total Turns]],Table2[#Headers],0),0)</f>
        <v>4.91</v>
      </c>
      <c r="AA418" s="2">
        <f>VLOOKUP([jobnumber],OvalData[],MATCH(Table2[[#Headers],[Grille Vision Section]],Table2[#Headers],0),0)</f>
        <v>0</v>
      </c>
      <c r="AB418" s="2">
        <f>VLOOKUP([jobnumber],OvalData[],MATCH(Table2[[#Headers],[Grille Amount]],Table2[#Headers],0),0)</f>
        <v>0</v>
      </c>
      <c r="AC418" s="2">
        <f>VLOOKUP([jobnumber],OvalData[],MATCH(Table2[[#Headers],[Grille Center]],Table2[#Headers],0),0)</f>
        <v>0</v>
      </c>
      <c r="AD418" s="2">
        <f>VLOOKUP([jobnumber],OvalData[],MATCH(Table2[[#Headers],[Grille Pattern]],Table2[#Headers],0),0)</f>
        <v>0</v>
      </c>
      <c r="AE418" s="2">
        <f>VLOOKUP([jobnumber],OvalData[],MATCH(Table2[[#Headers],[Grille First Tube]],Table2[#Headers],0),0)</f>
        <v>0</v>
      </c>
      <c r="AF418" s="2">
        <f>VLOOKUP([jobnumber],OvalData[],MATCH(Table2[[#Headers],[Grille Standard Tube]],Table2[#Headers],0),0)</f>
        <v>0</v>
      </c>
      <c r="AG418" s="2">
        <f>VLOOKUP([jobnumber],OvalData[],MATCH(Table2[[#Headers],[Grille Total Links]],Table2[#Headers],0),0)</f>
        <v>0</v>
      </c>
      <c r="AH418" s="2">
        <f>VLOOKUP([jobnumber],OvalData[],MATCH(Table2[[#Headers],[Grille Rods]],Table2[#Headers],0),0)</f>
        <v>0</v>
      </c>
      <c r="AI418" s="2">
        <f>VLOOKUP([jobnumber],OvalData[],MATCH(Table2[[#Headers],[Grille Rod Length]],Table2[#Headers],0),0)</f>
        <v>0</v>
      </c>
      <c r="AJ418" s="2">
        <f>VLOOKUP([jobnumber],OvalData[],MATCH(Table2[[#Headers],[slattype]],Table2[#Headers],0),0)</f>
        <v>2</v>
      </c>
      <c r="AK418" s="2">
        <f>VLOOKUP([jobnumber],OvalData[],MATCH(Table2[[#Headers],[slatgage]],Table2[#Headers],0),0)</f>
        <v>18</v>
      </c>
      <c r="AL418" s="2">
        <f>VLOOKUP([jobnumber],OvalData[],MATCH(Table2[[#Headers],[Numer of Top Slats]],Table2[#Headers],0),0)</f>
        <v>0</v>
      </c>
      <c r="AM418" s="2">
        <f>VLOOKUP([jobnumber],OvalData[],MATCH(Table2[[#Headers],[Number of Bottom Slats]],Table2[#Headers],0),0)</f>
        <v>0</v>
      </c>
      <c r="AN418" s="2">
        <f>VLOOKUP([jobnumber],OvalData[],MATCH(Table2[[#Headers],[Solid Bottom Height]],Table2[#Headers],0),0)</f>
        <v>0</v>
      </c>
      <c r="AO418" s="2" t="str">
        <f>VLOOKUP([jobnumber],OvalData[],MATCH(Table2[[#Headers],[slatlength]],Table2[#Headers],0),0)</f>
        <v xml:space="preserve"> 18 ft.- 5 7/ 8"</v>
      </c>
      <c r="AP418" s="2">
        <f>VLOOKUP([jobnumber],OvalData[],MATCH(Table2[[#Headers],[Bottom Slat Length]],Table2[#Headers],0),0)</f>
        <v>0</v>
      </c>
      <c r="AQ418" s="2">
        <f>VLOOKUP([jobnumber],OvalData[],MATCH(Table2[[#Headers],[Number of Perferated Slats]],Table2[#Headers],0),0)</f>
        <v>0</v>
      </c>
      <c r="AR418" s="2">
        <f>VLOOKUP([jobnumber],OvalData[],MATCH(Table2[[#Headers],[First Preferated Slat From End]],Table2[#Headers],0),0)</f>
        <v>0</v>
      </c>
      <c r="AS418" s="2">
        <f>VLOOKUP([jobnumber],OvalData[],MATCH(Table2[[#Headers],[First Preferated Slat From Bottom]],Table2[#Headers],0),0)</f>
        <v>0</v>
      </c>
      <c r="AT418" s="2">
        <f>VLOOKUP([jobnumber],OvalData[],MATCH(Table2[[#Headers],[Total Number of Slats]],Table2[#Headers],0),0)</f>
        <v>51</v>
      </c>
      <c r="AU418" s="2">
        <f>VLOOKUP([jobnumber],OvalData[],MATCH(Table2[[#Headers],[Bottom Bar Slope]],Table2[#Headers],0),0)</f>
        <v>0</v>
      </c>
      <c r="AV418" s="2">
        <f>VLOOKUP([jobnumber],OvalData[],MATCH(Table2[[#Headers],[Bottom Bar Weight]],Table2[#Headers],0),0)</f>
        <v>80.5</v>
      </c>
      <c r="AW418" s="2" t="str">
        <f>VLOOKUP([jobnumber],OvalData[],MATCH(Table2[[#Headers],[Outer Spring Gage]],Table2[#Headers],0),0)</f>
        <v>Null</v>
      </c>
      <c r="AX418" s="2" t="str">
        <f>VLOOKUP([jobnumber],OvalData[],MATCH(Table2[[#Headers],[Outer Spring OD]],Table2[#Headers],0),0)</f>
        <v>Null</v>
      </c>
      <c r="AY418" s="2" t="str">
        <f>VLOOKUP([jobnumber],OvalData[],MATCH(Table2[[#Headers],[Outer Spring Length]],Table2[#Headers],0),0)</f>
        <v>Null</v>
      </c>
      <c r="AZ418" s="2" t="str">
        <f>VLOOKUP([jobnumber],OvalData[],MATCH(Table2[[#Headers],[Outer Spring Stretch]],Table2[#Headers],0),0)</f>
        <v>Null</v>
      </c>
      <c r="BA418" s="2" t="str">
        <f>VLOOKUP([jobnumber],OvalData[],MATCH(Table2[[#Headers],[Outer Spring Torque]],Table2[#Headers],0),0)</f>
        <v>Null</v>
      </c>
      <c r="BB418" s="2" t="str">
        <f>VLOOKUP([jobnumber],OvalData[],MATCH(Table2[[#Headers],[Outer Spring Max Turns]],Table2[#Headers],0),0)</f>
        <v>Null</v>
      </c>
      <c r="BC418" s="2" t="str">
        <f>VLOOKUP([jobnumber],OvalData[],MATCH(Table2[[#Headers],[Outer Spring Weight]],Table2[#Headers],0),0)</f>
        <v>Null</v>
      </c>
      <c r="BD418" s="2" t="str">
        <f>VLOOKUP([jobnumber],OvalData[],MATCH(Table2[[#Headers],[Inner Spring Gage]],Table2[#Headers],0),0)</f>
        <v>Null</v>
      </c>
      <c r="BE418" s="2" t="str">
        <f>VLOOKUP([jobnumber],OvalData[],MATCH(Table2[[#Headers],[Inner Spring OD]],Table2[#Headers],0),0)</f>
        <v>Null</v>
      </c>
      <c r="BF418" s="2" t="str">
        <f>VLOOKUP([jobnumber],OvalData[],MATCH(Table2[[#Headers],[Inner Spring Length]],Table2[#Headers],0),0)</f>
        <v>Null</v>
      </c>
      <c r="BG418" s="2" t="str">
        <f>VLOOKUP([jobnumber],OvalData[],MATCH(Table2[[#Headers],[Inner Spring Stretch]],Table2[#Headers],0),0)</f>
        <v>Null</v>
      </c>
      <c r="BH418" s="2" t="str">
        <f>VLOOKUP([jobnumber],OvalData[],MATCH(Table2[[#Headers],[Inner Spring Torque]],Table2[#Headers],0),0)</f>
        <v>Null</v>
      </c>
      <c r="BI418" s="2" t="str">
        <f>VLOOKUP([jobnumber],OvalData[],MATCH(Table2[[#Headers],[Inner Spring Max Turns]],Table2[#Headers],0),0)</f>
        <v>Null</v>
      </c>
      <c r="BJ418" s="2" t="str">
        <f>VLOOKUP([jobnumber],OvalData[],MATCH(Table2[[#Headers],[Inner Spring Weight]],Table2[#Headers],0),0)</f>
        <v>Null</v>
      </c>
      <c r="BK418" s="2">
        <f>VLOOKUP([jobnumber],OvalData[],MATCH(Table2[[#Headers],[Cycles]],Table2[#Headers],0),0)</f>
        <v>0</v>
      </c>
      <c r="BL418" s="2">
        <f>VLOOKUP([jobnumber],OvalData[],MATCH(Table2[[#Headers],[Total Spring Torque]],Table2[#Headers],0),0)</f>
        <v>0</v>
      </c>
      <c r="BM418" s="2">
        <f>VLOOKUP([jobnumber],OvalData[],MATCH(Table2[[#Headers],[Total Spring Weight]],Table2[#Headers],0),0)</f>
        <v>0</v>
      </c>
      <c r="BN418" s="2">
        <f>VLOOKUP([jobnumber],OvalData[],MATCH(Table2[[#Headers],[Pipe Weight]],Table2[#Headers],0),0)</f>
        <v>688.24239999999998</v>
      </c>
      <c r="BO418" s="2">
        <f>VLOOKUP([jobnumber],OvalData[],MATCH(Table2[[#Headers],[Max Pipe Deflection]],Table2[#Headers],0),0)</f>
        <v>2309</v>
      </c>
      <c r="BP418" s="2">
        <f>VLOOKUP([jobnumber],OvalData[],MATCH(Table2[[#Headers],[Number Non-Insulated Wrap Slats]],Table2[#Headers],0),0)</f>
        <v>0</v>
      </c>
      <c r="BQ418" s="2">
        <f>VLOOKUP([jobnumber],OvalData[],MATCH(Table2[[#Headers],[Number of Insolated Top Slats]],Table2[#Headers],0),0)</f>
        <v>45</v>
      </c>
      <c r="BR418" s="2">
        <f>VLOOKUP([jobnumber],OvalData[],MATCH(Table2[[#Headers],[Insolated Total Slats]],Table2[#Headers],0),0)</f>
        <v>45</v>
      </c>
      <c r="BS418" s="2">
        <f>VLOOKUP([jobnumber],OvalData[],MATCH(Table2[[#Headers],[Number of Slats]],Table2[#Headers],0),0)</f>
        <v>44.69</v>
      </c>
      <c r="BT418" s="2">
        <f>VLOOKUP([jobnumber],OvalData[],MATCH(Table2[[#Headers],[Wrap]],Table2[#Headers],0),0)</f>
        <v>0</v>
      </c>
      <c r="BU418" s="2">
        <f>VLOOKUP([jobnumber],OvalData[],MATCH(Table2[[#Headers],[Wall Angle Thickness]],Table2[#Headers],0),0)</f>
        <v>0</v>
      </c>
      <c r="BV418" s="2">
        <f>VLOOKUP([jobnumber],OvalData[],MATCH(Table2[[#Headers],[windlocks]],Table2[#Headers],0),0)</f>
        <v>0</v>
      </c>
      <c r="BW418" s="2" t="str">
        <f>VLOOKUP([jobnumber],OvalData[],MATCH(Table2[[#Headers],[bottombartype]],Table2[#Headers],0),0)</f>
        <v>SPECIAL</v>
      </c>
      <c r="BX418" s="2">
        <f>VLOOKUP([jobnumber],OvalData[],MATCH(Table2[[#Headers],[endlockweight]],Table2[#Headers],0),0)</f>
        <v>0.17</v>
      </c>
      <c r="BY418" s="2">
        <f>VLOOKUP([jobnumber],OvalData[],MATCH(Table2[[#Headers],[Endlock Total Weight]],Table2[#Headers],0),0)</f>
        <v>7.5972999999999997</v>
      </c>
      <c r="BZ418" s="2">
        <f>VLOOKUP([jobnumber],OvalData[],MATCH(Table2[[#Headers],[Grille Weight]],Table2[#Headers],0),0)</f>
        <v>0</v>
      </c>
      <c r="CA418" s="2">
        <f>VLOOKUP([jobnumber],OvalData[],MATCH(Table2[[#Headers],[barrelrings]],Table2[#Headers],0),0)</f>
        <v>1</v>
      </c>
    </row>
    <row r="419" spans="2:79">
      <c r="B419" s="2" t="str">
        <f>VLOOKUP([jobnumber],OvalData[],MATCH(Table2[[#Headers],[Hand]],Table2[#Headers],0),0)</f>
        <v>RH</v>
      </c>
      <c r="C419" s="2" t="str">
        <f>VLOOKUP([jobnumber],OvalData[],MATCH(Table2[[#Headers],[Model]],Table2[#Headers],0),0)</f>
        <v>SFMPP</v>
      </c>
      <c r="D419" s="2" t="str">
        <f>VLOOKUP([jobnumber],OvalData[],MATCH(Table2[[#Headers],[width]],Table2[#Headers],0),0)</f>
        <v xml:space="preserve"> 18 ft.- 2"</v>
      </c>
      <c r="E419" s="2" t="str">
        <f>VLOOKUP([jobnumber],OvalData[],MATCH(Table2[[#Headers],[stopheight]],Table2[#Headers],0),0)</f>
        <v xml:space="preserve"> 10 ft.- 0"</v>
      </c>
      <c r="F419" s="2" t="str">
        <f>VLOOKUP([jobnumber],OvalData[],MATCH(Table2[[#Headers],[Between Brackets]],Table2[#Headers],0),0)</f>
        <v xml:space="preserve"> 18 ft.- 7 7/ 8"</v>
      </c>
      <c r="G419" s="2" t="str">
        <f>VLOOKUP([jobnumber],OvalData[],MATCH(Table2[[#Headers],[shell]],Table2[#Headers],0),0)</f>
        <v>6 INCH TUBE</v>
      </c>
      <c r="H419" s="2" t="str">
        <f>VLOOKUP([jobnumber],OvalData[],MATCH(Table2[[#Headers],[pipewidth]],Table2[#Headers],0),0)</f>
        <v xml:space="preserve"> 18 ft.- 1 3/ 8"</v>
      </c>
      <c r="I419" s="2">
        <f>VLOOKUP([jobnumber],OvalData[],MATCH(Table2[[#Headers],[Support Tubes]],Table2[#Headers],0),0)</f>
        <v>0</v>
      </c>
      <c r="J419" s="2">
        <f>VLOOKUP([jobnumber],OvalData[],MATCH(Table2[[#Headers],[Upset]],Table2[#Headers],0),0)</f>
        <v>2</v>
      </c>
      <c r="K419" s="2" t="str">
        <f>VLOOKUP([jobnumber],OvalData[],MATCH(Table2[[#Headers],[Guide Type]],Table2[#Headers],0),0)</f>
        <v>SN2-4 5/8-E</v>
      </c>
      <c r="L419" s="2" t="str">
        <f>VLOOKUP([jobnumber],OvalData[],MATCH(Table2[[#Headers],[Wall Angle]],Table2[#Headers],0),0)</f>
        <v xml:space="preserve"> 11 ft.- 8"</v>
      </c>
      <c r="M419" s="2" t="str">
        <f>VLOOKUP([jobnumber],OvalData[],MATCH(Table2[[#Headers],[Middle Angle]],Table2[#Headers],0),0)</f>
        <v xml:space="preserve"> 10 ft.- 4 1/ 2"</v>
      </c>
      <c r="N419" s="2" t="str">
        <f>VLOOKUP([jobnumber],OvalData[],MATCH(Table2[[#Headers],[Front Angle]],Table2[#Headers],0),0)</f>
        <v xml:space="preserve"> 10 ft.- 3"</v>
      </c>
      <c r="O419" s="2">
        <f>VLOOKUP([jobnumber],OvalData[],MATCH(Table2[[#Headers],[Pipe Center Line]],Table2[#Headers],0),0)</f>
        <v>131</v>
      </c>
      <c r="P419" s="2">
        <f>VLOOKUP([jobnumber],OvalData[],MATCH(Table2[[#Headers],[Heat Expansion Gap]],Table2[#Headers],0),0)</f>
        <v>0</v>
      </c>
      <c r="Q419" s="2">
        <f>VLOOKUP([jobnumber],OvalData[],MATCH(Table2[[#Headers],[Hanging Weight Closed]],Table2[#Headers],0),0)</f>
        <v>795</v>
      </c>
      <c r="R419" s="2">
        <f>VLOOKUP([jobnumber],OvalData[],MATCH(Table2[[#Headers],[Hanging Weight Open]],Table2[#Headers],0),0)</f>
        <v>140</v>
      </c>
      <c r="S419" s="2">
        <f>VLOOKUP([jobnumber],OvalData[],MATCH(Table2[[#Headers],[Initial Lever Arm]],Table2[#Headers],0),0)</f>
        <v>4.25</v>
      </c>
      <c r="T419" s="2">
        <f>VLOOKUP([jobnumber],OvalData[],MATCH(Table2[[#Headers],[Turns to Raise]],Table2[#Headers],0),0)</f>
        <v>3.5859999999999999</v>
      </c>
      <c r="U419" s="2">
        <f>VLOOKUP([jobnumber],OvalData[],MATCH(Table2[[#Headers],[Final Lever Arm]],Table2[#Headers],0),0)</f>
        <v>6.37</v>
      </c>
      <c r="V419" s="2">
        <f>VLOOKUP([jobnumber],OvalData[],MATCH(Table2[[#Headers],[Torque Required Closed]],Table2[#Headers],0),0)</f>
        <v>3377.9</v>
      </c>
      <c r="W419" s="2">
        <f>VLOOKUP([jobnumber],OvalData[],MATCH(Table2[[#Headers],[Torque Required Open]],Table2[#Headers],0),0)</f>
        <v>892</v>
      </c>
      <c r="X419" s="2">
        <f>VLOOKUP([jobnumber],OvalData[],MATCH(Table2[[#Headers],[Pre Turns]],Table2[#Headers],0),0)</f>
        <v>1.3332999999999999</v>
      </c>
      <c r="Y419" s="2">
        <f>VLOOKUP([jobnumber],OvalData[],MATCH(Table2[[#Headers],[Required Torque Per Turn]],Table2[#Headers],0),0)</f>
        <v>688</v>
      </c>
      <c r="Z419" s="2">
        <f>VLOOKUP([jobnumber],OvalData[],MATCH(Table2[[#Headers],[Total Turns]],Table2[#Headers],0),0)</f>
        <v>4.91</v>
      </c>
      <c r="AA419" s="2">
        <f>VLOOKUP([jobnumber],OvalData[],MATCH(Table2[[#Headers],[Grille Vision Section]],Table2[#Headers],0),0)</f>
        <v>0</v>
      </c>
      <c r="AB419" s="2">
        <f>VLOOKUP([jobnumber],OvalData[],MATCH(Table2[[#Headers],[Grille Amount]],Table2[#Headers],0),0)</f>
        <v>0</v>
      </c>
      <c r="AC419" s="2">
        <f>VLOOKUP([jobnumber],OvalData[],MATCH(Table2[[#Headers],[Grille Center]],Table2[#Headers],0),0)</f>
        <v>0</v>
      </c>
      <c r="AD419" s="2">
        <f>VLOOKUP([jobnumber],OvalData[],MATCH(Table2[[#Headers],[Grille Pattern]],Table2[#Headers],0),0)</f>
        <v>0</v>
      </c>
      <c r="AE419" s="2">
        <f>VLOOKUP([jobnumber],OvalData[],MATCH(Table2[[#Headers],[Grille First Tube]],Table2[#Headers],0),0)</f>
        <v>0</v>
      </c>
      <c r="AF419" s="2">
        <f>VLOOKUP([jobnumber],OvalData[],MATCH(Table2[[#Headers],[Grille Standard Tube]],Table2[#Headers],0),0)</f>
        <v>0</v>
      </c>
      <c r="AG419" s="2">
        <f>VLOOKUP([jobnumber],OvalData[],MATCH(Table2[[#Headers],[Grille Total Links]],Table2[#Headers],0),0)</f>
        <v>0</v>
      </c>
      <c r="AH419" s="2">
        <f>VLOOKUP([jobnumber],OvalData[],MATCH(Table2[[#Headers],[Grille Rods]],Table2[#Headers],0),0)</f>
        <v>0</v>
      </c>
      <c r="AI419" s="2">
        <f>VLOOKUP([jobnumber],OvalData[],MATCH(Table2[[#Headers],[Grille Rod Length]],Table2[#Headers],0),0)</f>
        <v>0</v>
      </c>
      <c r="AJ419" s="2">
        <f>VLOOKUP([jobnumber],OvalData[],MATCH(Table2[[#Headers],[slattype]],Table2[#Headers],0),0)</f>
        <v>2</v>
      </c>
      <c r="AK419" s="2">
        <f>VLOOKUP([jobnumber],OvalData[],MATCH(Table2[[#Headers],[slatgage]],Table2[#Headers],0),0)</f>
        <v>18</v>
      </c>
      <c r="AL419" s="2">
        <f>VLOOKUP([jobnumber],OvalData[],MATCH(Table2[[#Headers],[Numer of Top Slats]],Table2[#Headers],0),0)</f>
        <v>0</v>
      </c>
      <c r="AM419" s="2">
        <f>VLOOKUP([jobnumber],OvalData[],MATCH(Table2[[#Headers],[Number of Bottom Slats]],Table2[#Headers],0),0)</f>
        <v>0</v>
      </c>
      <c r="AN419" s="2">
        <f>VLOOKUP([jobnumber],OvalData[],MATCH(Table2[[#Headers],[Solid Bottom Height]],Table2[#Headers],0),0)</f>
        <v>0</v>
      </c>
      <c r="AO419" s="2" t="str">
        <f>VLOOKUP([jobnumber],OvalData[],MATCH(Table2[[#Headers],[slatlength]],Table2[#Headers],0),0)</f>
        <v xml:space="preserve"> 18 ft.- 5 7/ 8"</v>
      </c>
      <c r="AP419" s="2">
        <f>VLOOKUP([jobnumber],OvalData[],MATCH(Table2[[#Headers],[Bottom Slat Length]],Table2[#Headers],0),0)</f>
        <v>0</v>
      </c>
      <c r="AQ419" s="2">
        <f>VLOOKUP([jobnumber],OvalData[],MATCH(Table2[[#Headers],[Number of Perferated Slats]],Table2[#Headers],0),0)</f>
        <v>0</v>
      </c>
      <c r="AR419" s="2">
        <f>VLOOKUP([jobnumber],OvalData[],MATCH(Table2[[#Headers],[First Preferated Slat From End]],Table2[#Headers],0),0)</f>
        <v>0</v>
      </c>
      <c r="AS419" s="2">
        <f>VLOOKUP([jobnumber],OvalData[],MATCH(Table2[[#Headers],[First Preferated Slat From Bottom]],Table2[#Headers],0),0)</f>
        <v>0</v>
      </c>
      <c r="AT419" s="2">
        <f>VLOOKUP([jobnumber],OvalData[],MATCH(Table2[[#Headers],[Total Number of Slats]],Table2[#Headers],0),0)</f>
        <v>51</v>
      </c>
      <c r="AU419" s="2">
        <f>VLOOKUP([jobnumber],OvalData[],MATCH(Table2[[#Headers],[Bottom Bar Slope]],Table2[#Headers],0),0)</f>
        <v>0</v>
      </c>
      <c r="AV419" s="2">
        <f>VLOOKUP([jobnumber],OvalData[],MATCH(Table2[[#Headers],[Bottom Bar Weight]],Table2[#Headers],0),0)</f>
        <v>80.5</v>
      </c>
      <c r="AW419" s="2" t="str">
        <f>VLOOKUP([jobnumber],OvalData[],MATCH(Table2[[#Headers],[Outer Spring Gage]],Table2[#Headers],0),0)</f>
        <v>Null</v>
      </c>
      <c r="AX419" s="2" t="str">
        <f>VLOOKUP([jobnumber],OvalData[],MATCH(Table2[[#Headers],[Outer Spring OD]],Table2[#Headers],0),0)</f>
        <v>Null</v>
      </c>
      <c r="AY419" s="2" t="str">
        <f>VLOOKUP([jobnumber],OvalData[],MATCH(Table2[[#Headers],[Outer Spring Length]],Table2[#Headers],0),0)</f>
        <v>Null</v>
      </c>
      <c r="AZ419" s="2" t="str">
        <f>VLOOKUP([jobnumber],OvalData[],MATCH(Table2[[#Headers],[Outer Spring Stretch]],Table2[#Headers],0),0)</f>
        <v>Null</v>
      </c>
      <c r="BA419" s="2" t="str">
        <f>VLOOKUP([jobnumber],OvalData[],MATCH(Table2[[#Headers],[Outer Spring Torque]],Table2[#Headers],0),0)</f>
        <v>Null</v>
      </c>
      <c r="BB419" s="2" t="str">
        <f>VLOOKUP([jobnumber],OvalData[],MATCH(Table2[[#Headers],[Outer Spring Max Turns]],Table2[#Headers],0),0)</f>
        <v>Null</v>
      </c>
      <c r="BC419" s="2" t="str">
        <f>VLOOKUP([jobnumber],OvalData[],MATCH(Table2[[#Headers],[Outer Spring Weight]],Table2[#Headers],0),0)</f>
        <v>Null</v>
      </c>
      <c r="BD419" s="2" t="str">
        <f>VLOOKUP([jobnumber],OvalData[],MATCH(Table2[[#Headers],[Inner Spring Gage]],Table2[#Headers],0),0)</f>
        <v>Null</v>
      </c>
      <c r="BE419" s="2" t="str">
        <f>VLOOKUP([jobnumber],OvalData[],MATCH(Table2[[#Headers],[Inner Spring OD]],Table2[#Headers],0),0)</f>
        <v>Null</v>
      </c>
      <c r="BF419" s="2" t="str">
        <f>VLOOKUP([jobnumber],OvalData[],MATCH(Table2[[#Headers],[Inner Spring Length]],Table2[#Headers],0),0)</f>
        <v>Null</v>
      </c>
      <c r="BG419" s="2" t="str">
        <f>VLOOKUP([jobnumber],OvalData[],MATCH(Table2[[#Headers],[Inner Spring Stretch]],Table2[#Headers],0),0)</f>
        <v>Null</v>
      </c>
      <c r="BH419" s="2" t="str">
        <f>VLOOKUP([jobnumber],OvalData[],MATCH(Table2[[#Headers],[Inner Spring Torque]],Table2[#Headers],0),0)</f>
        <v>Null</v>
      </c>
      <c r="BI419" s="2" t="str">
        <f>VLOOKUP([jobnumber],OvalData[],MATCH(Table2[[#Headers],[Inner Spring Max Turns]],Table2[#Headers],0),0)</f>
        <v>Null</v>
      </c>
      <c r="BJ419" s="2" t="str">
        <f>VLOOKUP([jobnumber],OvalData[],MATCH(Table2[[#Headers],[Inner Spring Weight]],Table2[#Headers],0),0)</f>
        <v>Null</v>
      </c>
      <c r="BK419" s="2">
        <f>VLOOKUP([jobnumber],OvalData[],MATCH(Table2[[#Headers],[Cycles]],Table2[#Headers],0),0)</f>
        <v>0</v>
      </c>
      <c r="BL419" s="2">
        <f>VLOOKUP([jobnumber],OvalData[],MATCH(Table2[[#Headers],[Total Spring Torque]],Table2[#Headers],0),0)</f>
        <v>0</v>
      </c>
      <c r="BM419" s="2">
        <f>VLOOKUP([jobnumber],OvalData[],MATCH(Table2[[#Headers],[Total Spring Weight]],Table2[#Headers],0),0)</f>
        <v>0</v>
      </c>
      <c r="BN419" s="2">
        <f>VLOOKUP([jobnumber],OvalData[],MATCH(Table2[[#Headers],[Pipe Weight]],Table2[#Headers],0),0)</f>
        <v>688.24239999999998</v>
      </c>
      <c r="BO419" s="2">
        <f>VLOOKUP([jobnumber],OvalData[],MATCH(Table2[[#Headers],[Max Pipe Deflection]],Table2[#Headers],0),0)</f>
        <v>2309</v>
      </c>
      <c r="BP419" s="2">
        <f>VLOOKUP([jobnumber],OvalData[],MATCH(Table2[[#Headers],[Number Non-Insulated Wrap Slats]],Table2[#Headers],0),0)</f>
        <v>0</v>
      </c>
      <c r="BQ419" s="2">
        <f>VLOOKUP([jobnumber],OvalData[],MATCH(Table2[[#Headers],[Number of Insolated Top Slats]],Table2[#Headers],0),0)</f>
        <v>45</v>
      </c>
      <c r="BR419" s="2">
        <f>VLOOKUP([jobnumber],OvalData[],MATCH(Table2[[#Headers],[Insolated Total Slats]],Table2[#Headers],0),0)</f>
        <v>45</v>
      </c>
      <c r="BS419" s="2">
        <f>VLOOKUP([jobnumber],OvalData[],MATCH(Table2[[#Headers],[Number of Slats]],Table2[#Headers],0),0)</f>
        <v>44.69</v>
      </c>
      <c r="BT419" s="2">
        <f>VLOOKUP([jobnumber],OvalData[],MATCH(Table2[[#Headers],[Wrap]],Table2[#Headers],0),0)</f>
        <v>0</v>
      </c>
      <c r="BU419" s="2">
        <f>VLOOKUP([jobnumber],OvalData[],MATCH(Table2[[#Headers],[Wall Angle Thickness]],Table2[#Headers],0),0)</f>
        <v>0</v>
      </c>
      <c r="BV419" s="2">
        <f>VLOOKUP([jobnumber],OvalData[],MATCH(Table2[[#Headers],[windlocks]],Table2[#Headers],0),0)</f>
        <v>0</v>
      </c>
      <c r="BW419" s="2" t="str">
        <f>VLOOKUP([jobnumber],OvalData[],MATCH(Table2[[#Headers],[bottombartype]],Table2[#Headers],0),0)</f>
        <v>SPECIAL</v>
      </c>
      <c r="BX419" s="2">
        <f>VLOOKUP([jobnumber],OvalData[],MATCH(Table2[[#Headers],[endlockweight]],Table2[#Headers],0),0)</f>
        <v>0.17</v>
      </c>
      <c r="BY419" s="2">
        <f>VLOOKUP([jobnumber],OvalData[],MATCH(Table2[[#Headers],[Endlock Total Weight]],Table2[#Headers],0),0)</f>
        <v>7.5972999999999997</v>
      </c>
      <c r="BZ419" s="2">
        <f>VLOOKUP([jobnumber],OvalData[],MATCH(Table2[[#Headers],[Grille Weight]],Table2[#Headers],0),0)</f>
        <v>0</v>
      </c>
      <c r="CA419" s="2">
        <f>VLOOKUP([jobnumber],OvalData[],MATCH(Table2[[#Headers],[barrelrings]],Table2[#Headers],0),0)</f>
        <v>1</v>
      </c>
    </row>
    <row r="420" spans="2:79">
      <c r="B420" s="2" t="str">
        <f>VLOOKUP([jobnumber],OvalData[],MATCH(Table2[[#Headers],[Hand]],Table2[#Headers],0),0)</f>
        <v>RH</v>
      </c>
      <c r="C420" s="2" t="str">
        <f>VLOOKUP([jobnumber],OvalData[],MATCH(Table2[[#Headers],[Model]],Table2[#Headers],0),0)</f>
        <v>SFMPP</v>
      </c>
      <c r="D420" s="2" t="str">
        <f>VLOOKUP([jobnumber],OvalData[],MATCH(Table2[[#Headers],[width]],Table2[#Headers],0),0)</f>
        <v xml:space="preserve"> 18 ft.- 2"</v>
      </c>
      <c r="E420" s="2" t="str">
        <f>VLOOKUP([jobnumber],OvalData[],MATCH(Table2[[#Headers],[stopheight]],Table2[#Headers],0),0)</f>
        <v xml:space="preserve"> 10 ft.- 0"</v>
      </c>
      <c r="F420" s="2" t="str">
        <f>VLOOKUP([jobnumber],OvalData[],MATCH(Table2[[#Headers],[Between Brackets]],Table2[#Headers],0),0)</f>
        <v xml:space="preserve"> 18 ft.- 7 7/ 8"</v>
      </c>
      <c r="G420" s="2" t="str">
        <f>VLOOKUP([jobnumber],OvalData[],MATCH(Table2[[#Headers],[shell]],Table2[#Headers],0),0)</f>
        <v>6 INCH TUBE</v>
      </c>
      <c r="H420" s="2" t="str">
        <f>VLOOKUP([jobnumber],OvalData[],MATCH(Table2[[#Headers],[pipewidth]],Table2[#Headers],0),0)</f>
        <v xml:space="preserve"> 18 ft.- 1 3/ 8"</v>
      </c>
      <c r="I420" s="2">
        <f>VLOOKUP([jobnumber],OvalData[],MATCH(Table2[[#Headers],[Support Tubes]],Table2[#Headers],0),0)</f>
        <v>0</v>
      </c>
      <c r="J420" s="2">
        <f>VLOOKUP([jobnumber],OvalData[],MATCH(Table2[[#Headers],[Upset]],Table2[#Headers],0),0)</f>
        <v>2</v>
      </c>
      <c r="K420" s="2" t="str">
        <f>VLOOKUP([jobnumber],OvalData[],MATCH(Table2[[#Headers],[Guide Type]],Table2[#Headers],0),0)</f>
        <v>SN2-4 5/8-E</v>
      </c>
      <c r="L420" s="2" t="str">
        <f>VLOOKUP([jobnumber],OvalData[],MATCH(Table2[[#Headers],[Wall Angle]],Table2[#Headers],0),0)</f>
        <v xml:space="preserve"> 11 ft.- 8"</v>
      </c>
      <c r="M420" s="2" t="str">
        <f>VLOOKUP([jobnumber],OvalData[],MATCH(Table2[[#Headers],[Middle Angle]],Table2[#Headers],0),0)</f>
        <v xml:space="preserve"> 10 ft.- 4 1/ 2"</v>
      </c>
      <c r="N420" s="2" t="str">
        <f>VLOOKUP([jobnumber],OvalData[],MATCH(Table2[[#Headers],[Front Angle]],Table2[#Headers],0),0)</f>
        <v xml:space="preserve"> 10 ft.- 3"</v>
      </c>
      <c r="O420" s="2">
        <f>VLOOKUP([jobnumber],OvalData[],MATCH(Table2[[#Headers],[Pipe Center Line]],Table2[#Headers],0),0)</f>
        <v>131</v>
      </c>
      <c r="P420" s="2">
        <f>VLOOKUP([jobnumber],OvalData[],MATCH(Table2[[#Headers],[Heat Expansion Gap]],Table2[#Headers],0),0)</f>
        <v>0</v>
      </c>
      <c r="Q420" s="2">
        <f>VLOOKUP([jobnumber],OvalData[],MATCH(Table2[[#Headers],[Hanging Weight Closed]],Table2[#Headers],0),0)</f>
        <v>795</v>
      </c>
      <c r="R420" s="2">
        <f>VLOOKUP([jobnumber],OvalData[],MATCH(Table2[[#Headers],[Hanging Weight Open]],Table2[#Headers],0),0)</f>
        <v>140</v>
      </c>
      <c r="S420" s="2">
        <f>VLOOKUP([jobnumber],OvalData[],MATCH(Table2[[#Headers],[Initial Lever Arm]],Table2[#Headers],0),0)</f>
        <v>4.25</v>
      </c>
      <c r="T420" s="2">
        <f>VLOOKUP([jobnumber],OvalData[],MATCH(Table2[[#Headers],[Turns to Raise]],Table2[#Headers],0),0)</f>
        <v>3.5859999999999999</v>
      </c>
      <c r="U420" s="2">
        <f>VLOOKUP([jobnumber],OvalData[],MATCH(Table2[[#Headers],[Final Lever Arm]],Table2[#Headers],0),0)</f>
        <v>6.37</v>
      </c>
      <c r="V420" s="2">
        <f>VLOOKUP([jobnumber],OvalData[],MATCH(Table2[[#Headers],[Torque Required Closed]],Table2[#Headers],0),0)</f>
        <v>3377.9</v>
      </c>
      <c r="W420" s="2">
        <f>VLOOKUP([jobnumber],OvalData[],MATCH(Table2[[#Headers],[Torque Required Open]],Table2[#Headers],0),0)</f>
        <v>892</v>
      </c>
      <c r="X420" s="2">
        <f>VLOOKUP([jobnumber],OvalData[],MATCH(Table2[[#Headers],[Pre Turns]],Table2[#Headers],0),0)</f>
        <v>1.3332999999999999</v>
      </c>
      <c r="Y420" s="2">
        <f>VLOOKUP([jobnumber],OvalData[],MATCH(Table2[[#Headers],[Required Torque Per Turn]],Table2[#Headers],0),0)</f>
        <v>688</v>
      </c>
      <c r="Z420" s="2">
        <f>VLOOKUP([jobnumber],OvalData[],MATCH(Table2[[#Headers],[Total Turns]],Table2[#Headers],0),0)</f>
        <v>4.91</v>
      </c>
      <c r="AA420" s="2">
        <f>VLOOKUP([jobnumber],OvalData[],MATCH(Table2[[#Headers],[Grille Vision Section]],Table2[#Headers],0),0)</f>
        <v>0</v>
      </c>
      <c r="AB420" s="2">
        <f>VLOOKUP([jobnumber],OvalData[],MATCH(Table2[[#Headers],[Grille Amount]],Table2[#Headers],0),0)</f>
        <v>0</v>
      </c>
      <c r="AC420" s="2">
        <f>VLOOKUP([jobnumber],OvalData[],MATCH(Table2[[#Headers],[Grille Center]],Table2[#Headers],0),0)</f>
        <v>0</v>
      </c>
      <c r="AD420" s="2">
        <f>VLOOKUP([jobnumber],OvalData[],MATCH(Table2[[#Headers],[Grille Pattern]],Table2[#Headers],0),0)</f>
        <v>0</v>
      </c>
      <c r="AE420" s="2">
        <f>VLOOKUP([jobnumber],OvalData[],MATCH(Table2[[#Headers],[Grille First Tube]],Table2[#Headers],0),0)</f>
        <v>0</v>
      </c>
      <c r="AF420" s="2">
        <f>VLOOKUP([jobnumber],OvalData[],MATCH(Table2[[#Headers],[Grille Standard Tube]],Table2[#Headers],0),0)</f>
        <v>0</v>
      </c>
      <c r="AG420" s="2">
        <f>VLOOKUP([jobnumber],OvalData[],MATCH(Table2[[#Headers],[Grille Total Links]],Table2[#Headers],0),0)</f>
        <v>0</v>
      </c>
      <c r="AH420" s="2">
        <f>VLOOKUP([jobnumber],OvalData[],MATCH(Table2[[#Headers],[Grille Rods]],Table2[#Headers],0),0)</f>
        <v>0</v>
      </c>
      <c r="AI420" s="2">
        <f>VLOOKUP([jobnumber],OvalData[],MATCH(Table2[[#Headers],[Grille Rod Length]],Table2[#Headers],0),0)</f>
        <v>0</v>
      </c>
      <c r="AJ420" s="2">
        <f>VLOOKUP([jobnumber],OvalData[],MATCH(Table2[[#Headers],[slattype]],Table2[#Headers],0),0)</f>
        <v>2</v>
      </c>
      <c r="AK420" s="2">
        <f>VLOOKUP([jobnumber],OvalData[],MATCH(Table2[[#Headers],[slatgage]],Table2[#Headers],0),0)</f>
        <v>18</v>
      </c>
      <c r="AL420" s="2">
        <f>VLOOKUP([jobnumber],OvalData[],MATCH(Table2[[#Headers],[Numer of Top Slats]],Table2[#Headers],0),0)</f>
        <v>0</v>
      </c>
      <c r="AM420" s="2">
        <f>VLOOKUP([jobnumber],OvalData[],MATCH(Table2[[#Headers],[Number of Bottom Slats]],Table2[#Headers],0),0)</f>
        <v>0</v>
      </c>
      <c r="AN420" s="2">
        <f>VLOOKUP([jobnumber],OvalData[],MATCH(Table2[[#Headers],[Solid Bottom Height]],Table2[#Headers],0),0)</f>
        <v>0</v>
      </c>
      <c r="AO420" s="2" t="str">
        <f>VLOOKUP([jobnumber],OvalData[],MATCH(Table2[[#Headers],[slatlength]],Table2[#Headers],0),0)</f>
        <v xml:space="preserve"> 18 ft.- 5 7/ 8"</v>
      </c>
      <c r="AP420" s="2">
        <f>VLOOKUP([jobnumber],OvalData[],MATCH(Table2[[#Headers],[Bottom Slat Length]],Table2[#Headers],0),0)</f>
        <v>0</v>
      </c>
      <c r="AQ420" s="2">
        <f>VLOOKUP([jobnumber],OvalData[],MATCH(Table2[[#Headers],[Number of Perferated Slats]],Table2[#Headers],0),0)</f>
        <v>0</v>
      </c>
      <c r="AR420" s="2">
        <f>VLOOKUP([jobnumber],OvalData[],MATCH(Table2[[#Headers],[First Preferated Slat From End]],Table2[#Headers],0),0)</f>
        <v>0</v>
      </c>
      <c r="AS420" s="2">
        <f>VLOOKUP([jobnumber],OvalData[],MATCH(Table2[[#Headers],[First Preferated Slat From Bottom]],Table2[#Headers],0),0)</f>
        <v>0</v>
      </c>
      <c r="AT420" s="2">
        <f>VLOOKUP([jobnumber],OvalData[],MATCH(Table2[[#Headers],[Total Number of Slats]],Table2[#Headers],0),0)</f>
        <v>51</v>
      </c>
      <c r="AU420" s="2">
        <f>VLOOKUP([jobnumber],OvalData[],MATCH(Table2[[#Headers],[Bottom Bar Slope]],Table2[#Headers],0),0)</f>
        <v>0</v>
      </c>
      <c r="AV420" s="2">
        <f>VLOOKUP([jobnumber],OvalData[],MATCH(Table2[[#Headers],[Bottom Bar Weight]],Table2[#Headers],0),0)</f>
        <v>80.5</v>
      </c>
      <c r="AW420" s="2" t="str">
        <f>VLOOKUP([jobnumber],OvalData[],MATCH(Table2[[#Headers],[Outer Spring Gage]],Table2[#Headers],0),0)</f>
        <v>Null</v>
      </c>
      <c r="AX420" s="2" t="str">
        <f>VLOOKUP([jobnumber],OvalData[],MATCH(Table2[[#Headers],[Outer Spring OD]],Table2[#Headers],0),0)</f>
        <v>Null</v>
      </c>
      <c r="AY420" s="2" t="str">
        <f>VLOOKUP([jobnumber],OvalData[],MATCH(Table2[[#Headers],[Outer Spring Length]],Table2[#Headers],0),0)</f>
        <v>Null</v>
      </c>
      <c r="AZ420" s="2" t="str">
        <f>VLOOKUP([jobnumber],OvalData[],MATCH(Table2[[#Headers],[Outer Spring Stretch]],Table2[#Headers],0),0)</f>
        <v>Null</v>
      </c>
      <c r="BA420" s="2" t="str">
        <f>VLOOKUP([jobnumber],OvalData[],MATCH(Table2[[#Headers],[Outer Spring Torque]],Table2[#Headers],0),0)</f>
        <v>Null</v>
      </c>
      <c r="BB420" s="2" t="str">
        <f>VLOOKUP([jobnumber],OvalData[],MATCH(Table2[[#Headers],[Outer Spring Max Turns]],Table2[#Headers],0),0)</f>
        <v>Null</v>
      </c>
      <c r="BC420" s="2" t="str">
        <f>VLOOKUP([jobnumber],OvalData[],MATCH(Table2[[#Headers],[Outer Spring Weight]],Table2[#Headers],0),0)</f>
        <v>Null</v>
      </c>
      <c r="BD420" s="2" t="str">
        <f>VLOOKUP([jobnumber],OvalData[],MATCH(Table2[[#Headers],[Inner Spring Gage]],Table2[#Headers],0),0)</f>
        <v>Null</v>
      </c>
      <c r="BE420" s="2" t="str">
        <f>VLOOKUP([jobnumber],OvalData[],MATCH(Table2[[#Headers],[Inner Spring OD]],Table2[#Headers],0),0)</f>
        <v>Null</v>
      </c>
      <c r="BF420" s="2" t="str">
        <f>VLOOKUP([jobnumber],OvalData[],MATCH(Table2[[#Headers],[Inner Spring Length]],Table2[#Headers],0),0)</f>
        <v>Null</v>
      </c>
      <c r="BG420" s="2" t="str">
        <f>VLOOKUP([jobnumber],OvalData[],MATCH(Table2[[#Headers],[Inner Spring Stretch]],Table2[#Headers],0),0)</f>
        <v>Null</v>
      </c>
      <c r="BH420" s="2" t="str">
        <f>VLOOKUP([jobnumber],OvalData[],MATCH(Table2[[#Headers],[Inner Spring Torque]],Table2[#Headers],0),0)</f>
        <v>Null</v>
      </c>
      <c r="BI420" s="2" t="str">
        <f>VLOOKUP([jobnumber],OvalData[],MATCH(Table2[[#Headers],[Inner Spring Max Turns]],Table2[#Headers],0),0)</f>
        <v>Null</v>
      </c>
      <c r="BJ420" s="2" t="str">
        <f>VLOOKUP([jobnumber],OvalData[],MATCH(Table2[[#Headers],[Inner Spring Weight]],Table2[#Headers],0),0)</f>
        <v>Null</v>
      </c>
      <c r="BK420" s="2">
        <f>VLOOKUP([jobnumber],OvalData[],MATCH(Table2[[#Headers],[Cycles]],Table2[#Headers],0),0)</f>
        <v>0</v>
      </c>
      <c r="BL420" s="2">
        <f>VLOOKUP([jobnumber],OvalData[],MATCH(Table2[[#Headers],[Total Spring Torque]],Table2[#Headers],0),0)</f>
        <v>0</v>
      </c>
      <c r="BM420" s="2">
        <f>VLOOKUP([jobnumber],OvalData[],MATCH(Table2[[#Headers],[Total Spring Weight]],Table2[#Headers],0),0)</f>
        <v>0</v>
      </c>
      <c r="BN420" s="2">
        <f>VLOOKUP([jobnumber],OvalData[],MATCH(Table2[[#Headers],[Pipe Weight]],Table2[#Headers],0),0)</f>
        <v>688.24239999999998</v>
      </c>
      <c r="BO420" s="2">
        <f>VLOOKUP([jobnumber],OvalData[],MATCH(Table2[[#Headers],[Max Pipe Deflection]],Table2[#Headers],0),0)</f>
        <v>2309</v>
      </c>
      <c r="BP420" s="2">
        <f>VLOOKUP([jobnumber],OvalData[],MATCH(Table2[[#Headers],[Number Non-Insulated Wrap Slats]],Table2[#Headers],0),0)</f>
        <v>0</v>
      </c>
      <c r="BQ420" s="2">
        <f>VLOOKUP([jobnumber],OvalData[],MATCH(Table2[[#Headers],[Number of Insolated Top Slats]],Table2[#Headers],0),0)</f>
        <v>45</v>
      </c>
      <c r="BR420" s="2">
        <f>VLOOKUP([jobnumber],OvalData[],MATCH(Table2[[#Headers],[Insolated Total Slats]],Table2[#Headers],0),0)</f>
        <v>45</v>
      </c>
      <c r="BS420" s="2">
        <f>VLOOKUP([jobnumber],OvalData[],MATCH(Table2[[#Headers],[Number of Slats]],Table2[#Headers],0),0)</f>
        <v>44.69</v>
      </c>
      <c r="BT420" s="2">
        <f>VLOOKUP([jobnumber],OvalData[],MATCH(Table2[[#Headers],[Wrap]],Table2[#Headers],0),0)</f>
        <v>0</v>
      </c>
      <c r="BU420" s="2">
        <f>VLOOKUP([jobnumber],OvalData[],MATCH(Table2[[#Headers],[Wall Angle Thickness]],Table2[#Headers],0),0)</f>
        <v>0</v>
      </c>
      <c r="BV420" s="2">
        <f>VLOOKUP([jobnumber],OvalData[],MATCH(Table2[[#Headers],[windlocks]],Table2[#Headers],0),0)</f>
        <v>0</v>
      </c>
      <c r="BW420" s="2" t="str">
        <f>VLOOKUP([jobnumber],OvalData[],MATCH(Table2[[#Headers],[bottombartype]],Table2[#Headers],0),0)</f>
        <v>SPECIAL</v>
      </c>
      <c r="BX420" s="2">
        <f>VLOOKUP([jobnumber],OvalData[],MATCH(Table2[[#Headers],[endlockweight]],Table2[#Headers],0),0)</f>
        <v>0.17</v>
      </c>
      <c r="BY420" s="2">
        <f>VLOOKUP([jobnumber],OvalData[],MATCH(Table2[[#Headers],[Endlock Total Weight]],Table2[#Headers],0),0)</f>
        <v>7.5972999999999997</v>
      </c>
      <c r="BZ420" s="2">
        <f>VLOOKUP([jobnumber],OvalData[],MATCH(Table2[[#Headers],[Grille Weight]],Table2[#Headers],0),0)</f>
        <v>0</v>
      </c>
      <c r="CA420" s="2">
        <f>VLOOKUP([jobnumber],OvalData[],MATCH(Table2[[#Headers],[barrelrings]],Table2[#Headers],0),0)</f>
        <v>1</v>
      </c>
    </row>
    <row r="421" spans="2:79">
      <c r="B421" s="2" t="str">
        <f>VLOOKUP([jobnumber],OvalData[],MATCH(Table2[[#Headers],[Hand]],Table2[#Headers],0),0)</f>
        <v>RH</v>
      </c>
      <c r="C421" s="2" t="str">
        <f>VLOOKUP([jobnumber],OvalData[],MATCH(Table2[[#Headers],[Model]],Table2[#Headers],0),0)</f>
        <v>SFMPP</v>
      </c>
      <c r="D421" s="2" t="str">
        <f>VLOOKUP([jobnumber],OvalData[],MATCH(Table2[[#Headers],[width]],Table2[#Headers],0),0)</f>
        <v xml:space="preserve"> 18 ft.- 2"</v>
      </c>
      <c r="E421" s="2" t="str">
        <f>VLOOKUP([jobnumber],OvalData[],MATCH(Table2[[#Headers],[stopheight]],Table2[#Headers],0),0)</f>
        <v xml:space="preserve"> 10 ft.- 0"</v>
      </c>
      <c r="F421" s="2" t="str">
        <f>VLOOKUP([jobnumber],OvalData[],MATCH(Table2[[#Headers],[Between Brackets]],Table2[#Headers],0),0)</f>
        <v xml:space="preserve"> 18 ft.- 7 7/ 8"</v>
      </c>
      <c r="G421" s="2" t="str">
        <f>VLOOKUP([jobnumber],OvalData[],MATCH(Table2[[#Headers],[shell]],Table2[#Headers],0),0)</f>
        <v>6 INCH TUBE</v>
      </c>
      <c r="H421" s="2" t="str">
        <f>VLOOKUP([jobnumber],OvalData[],MATCH(Table2[[#Headers],[pipewidth]],Table2[#Headers],0),0)</f>
        <v xml:space="preserve"> 18 ft.- 1 3/ 8"</v>
      </c>
      <c r="I421" s="2">
        <f>VLOOKUP([jobnumber],OvalData[],MATCH(Table2[[#Headers],[Support Tubes]],Table2[#Headers],0),0)</f>
        <v>0</v>
      </c>
      <c r="J421" s="2">
        <f>VLOOKUP([jobnumber],OvalData[],MATCH(Table2[[#Headers],[Upset]],Table2[#Headers],0),0)</f>
        <v>2</v>
      </c>
      <c r="K421" s="2" t="str">
        <f>VLOOKUP([jobnumber],OvalData[],MATCH(Table2[[#Headers],[Guide Type]],Table2[#Headers],0),0)</f>
        <v>SN2-4 5/8-E</v>
      </c>
      <c r="L421" s="2" t="str">
        <f>VLOOKUP([jobnumber],OvalData[],MATCH(Table2[[#Headers],[Wall Angle]],Table2[#Headers],0),0)</f>
        <v xml:space="preserve"> 11 ft.- 8"</v>
      </c>
      <c r="M421" s="2" t="str">
        <f>VLOOKUP([jobnumber],OvalData[],MATCH(Table2[[#Headers],[Middle Angle]],Table2[#Headers],0),0)</f>
        <v xml:space="preserve"> 10 ft.- 4 1/ 2"</v>
      </c>
      <c r="N421" s="2" t="str">
        <f>VLOOKUP([jobnumber],OvalData[],MATCH(Table2[[#Headers],[Front Angle]],Table2[#Headers],0),0)</f>
        <v xml:space="preserve"> 10 ft.- 3"</v>
      </c>
      <c r="O421" s="2">
        <f>VLOOKUP([jobnumber],OvalData[],MATCH(Table2[[#Headers],[Pipe Center Line]],Table2[#Headers],0),0)</f>
        <v>131</v>
      </c>
      <c r="P421" s="2">
        <f>VLOOKUP([jobnumber],OvalData[],MATCH(Table2[[#Headers],[Heat Expansion Gap]],Table2[#Headers],0),0)</f>
        <v>0</v>
      </c>
      <c r="Q421" s="2">
        <f>VLOOKUP([jobnumber],OvalData[],MATCH(Table2[[#Headers],[Hanging Weight Closed]],Table2[#Headers],0),0)</f>
        <v>795</v>
      </c>
      <c r="R421" s="2">
        <f>VLOOKUP([jobnumber],OvalData[],MATCH(Table2[[#Headers],[Hanging Weight Open]],Table2[#Headers],0),0)</f>
        <v>140</v>
      </c>
      <c r="S421" s="2">
        <f>VLOOKUP([jobnumber],OvalData[],MATCH(Table2[[#Headers],[Initial Lever Arm]],Table2[#Headers],0),0)</f>
        <v>4.25</v>
      </c>
      <c r="T421" s="2">
        <f>VLOOKUP([jobnumber],OvalData[],MATCH(Table2[[#Headers],[Turns to Raise]],Table2[#Headers],0),0)</f>
        <v>3.5859999999999999</v>
      </c>
      <c r="U421" s="2">
        <f>VLOOKUP([jobnumber],OvalData[],MATCH(Table2[[#Headers],[Final Lever Arm]],Table2[#Headers],0),0)</f>
        <v>6.37</v>
      </c>
      <c r="V421" s="2">
        <f>VLOOKUP([jobnumber],OvalData[],MATCH(Table2[[#Headers],[Torque Required Closed]],Table2[#Headers],0),0)</f>
        <v>3377.9</v>
      </c>
      <c r="W421" s="2">
        <f>VLOOKUP([jobnumber],OvalData[],MATCH(Table2[[#Headers],[Torque Required Open]],Table2[#Headers],0),0)</f>
        <v>892</v>
      </c>
      <c r="X421" s="2">
        <f>VLOOKUP([jobnumber],OvalData[],MATCH(Table2[[#Headers],[Pre Turns]],Table2[#Headers],0),0)</f>
        <v>1.3332999999999999</v>
      </c>
      <c r="Y421" s="2">
        <f>VLOOKUP([jobnumber],OvalData[],MATCH(Table2[[#Headers],[Required Torque Per Turn]],Table2[#Headers],0),0)</f>
        <v>688</v>
      </c>
      <c r="Z421" s="2">
        <f>VLOOKUP([jobnumber],OvalData[],MATCH(Table2[[#Headers],[Total Turns]],Table2[#Headers],0),0)</f>
        <v>4.91</v>
      </c>
      <c r="AA421" s="2">
        <f>VLOOKUP([jobnumber],OvalData[],MATCH(Table2[[#Headers],[Grille Vision Section]],Table2[#Headers],0),0)</f>
        <v>0</v>
      </c>
      <c r="AB421" s="2">
        <f>VLOOKUP([jobnumber],OvalData[],MATCH(Table2[[#Headers],[Grille Amount]],Table2[#Headers],0),0)</f>
        <v>0</v>
      </c>
      <c r="AC421" s="2">
        <f>VLOOKUP([jobnumber],OvalData[],MATCH(Table2[[#Headers],[Grille Center]],Table2[#Headers],0),0)</f>
        <v>0</v>
      </c>
      <c r="AD421" s="2">
        <f>VLOOKUP([jobnumber],OvalData[],MATCH(Table2[[#Headers],[Grille Pattern]],Table2[#Headers],0),0)</f>
        <v>0</v>
      </c>
      <c r="AE421" s="2">
        <f>VLOOKUP([jobnumber],OvalData[],MATCH(Table2[[#Headers],[Grille First Tube]],Table2[#Headers],0),0)</f>
        <v>0</v>
      </c>
      <c r="AF421" s="2">
        <f>VLOOKUP([jobnumber],OvalData[],MATCH(Table2[[#Headers],[Grille Standard Tube]],Table2[#Headers],0),0)</f>
        <v>0</v>
      </c>
      <c r="AG421" s="2">
        <f>VLOOKUP([jobnumber],OvalData[],MATCH(Table2[[#Headers],[Grille Total Links]],Table2[#Headers],0),0)</f>
        <v>0</v>
      </c>
      <c r="AH421" s="2">
        <f>VLOOKUP([jobnumber],OvalData[],MATCH(Table2[[#Headers],[Grille Rods]],Table2[#Headers],0),0)</f>
        <v>0</v>
      </c>
      <c r="AI421" s="2">
        <f>VLOOKUP([jobnumber],OvalData[],MATCH(Table2[[#Headers],[Grille Rod Length]],Table2[#Headers],0),0)</f>
        <v>0</v>
      </c>
      <c r="AJ421" s="2">
        <f>VLOOKUP([jobnumber],OvalData[],MATCH(Table2[[#Headers],[slattype]],Table2[#Headers],0),0)</f>
        <v>2</v>
      </c>
      <c r="AK421" s="2">
        <f>VLOOKUP([jobnumber],OvalData[],MATCH(Table2[[#Headers],[slatgage]],Table2[#Headers],0),0)</f>
        <v>18</v>
      </c>
      <c r="AL421" s="2">
        <f>VLOOKUP([jobnumber],OvalData[],MATCH(Table2[[#Headers],[Numer of Top Slats]],Table2[#Headers],0),0)</f>
        <v>0</v>
      </c>
      <c r="AM421" s="2">
        <f>VLOOKUP([jobnumber],OvalData[],MATCH(Table2[[#Headers],[Number of Bottom Slats]],Table2[#Headers],0),0)</f>
        <v>0</v>
      </c>
      <c r="AN421" s="2">
        <f>VLOOKUP([jobnumber],OvalData[],MATCH(Table2[[#Headers],[Solid Bottom Height]],Table2[#Headers],0),0)</f>
        <v>0</v>
      </c>
      <c r="AO421" s="2" t="str">
        <f>VLOOKUP([jobnumber],OvalData[],MATCH(Table2[[#Headers],[slatlength]],Table2[#Headers],0),0)</f>
        <v xml:space="preserve"> 18 ft.- 5 7/ 8"</v>
      </c>
      <c r="AP421" s="2">
        <f>VLOOKUP([jobnumber],OvalData[],MATCH(Table2[[#Headers],[Bottom Slat Length]],Table2[#Headers],0),0)</f>
        <v>0</v>
      </c>
      <c r="AQ421" s="2">
        <f>VLOOKUP([jobnumber],OvalData[],MATCH(Table2[[#Headers],[Number of Perferated Slats]],Table2[#Headers],0),0)</f>
        <v>0</v>
      </c>
      <c r="AR421" s="2">
        <f>VLOOKUP([jobnumber],OvalData[],MATCH(Table2[[#Headers],[First Preferated Slat From End]],Table2[#Headers],0),0)</f>
        <v>0</v>
      </c>
      <c r="AS421" s="2">
        <f>VLOOKUP([jobnumber],OvalData[],MATCH(Table2[[#Headers],[First Preferated Slat From Bottom]],Table2[#Headers],0),0)</f>
        <v>0</v>
      </c>
      <c r="AT421" s="2">
        <f>VLOOKUP([jobnumber],OvalData[],MATCH(Table2[[#Headers],[Total Number of Slats]],Table2[#Headers],0),0)</f>
        <v>51</v>
      </c>
      <c r="AU421" s="2">
        <f>VLOOKUP([jobnumber],OvalData[],MATCH(Table2[[#Headers],[Bottom Bar Slope]],Table2[#Headers],0),0)</f>
        <v>0</v>
      </c>
      <c r="AV421" s="2">
        <f>VLOOKUP([jobnumber],OvalData[],MATCH(Table2[[#Headers],[Bottom Bar Weight]],Table2[#Headers],0),0)</f>
        <v>80.5</v>
      </c>
      <c r="AW421" s="2" t="str">
        <f>VLOOKUP([jobnumber],OvalData[],MATCH(Table2[[#Headers],[Outer Spring Gage]],Table2[#Headers],0),0)</f>
        <v>Null</v>
      </c>
      <c r="AX421" s="2" t="str">
        <f>VLOOKUP([jobnumber],OvalData[],MATCH(Table2[[#Headers],[Outer Spring OD]],Table2[#Headers],0),0)</f>
        <v>Null</v>
      </c>
      <c r="AY421" s="2" t="str">
        <f>VLOOKUP([jobnumber],OvalData[],MATCH(Table2[[#Headers],[Outer Spring Length]],Table2[#Headers],0),0)</f>
        <v>Null</v>
      </c>
      <c r="AZ421" s="2" t="str">
        <f>VLOOKUP([jobnumber],OvalData[],MATCH(Table2[[#Headers],[Outer Spring Stretch]],Table2[#Headers],0),0)</f>
        <v>Null</v>
      </c>
      <c r="BA421" s="2" t="str">
        <f>VLOOKUP([jobnumber],OvalData[],MATCH(Table2[[#Headers],[Outer Spring Torque]],Table2[#Headers],0),0)</f>
        <v>Null</v>
      </c>
      <c r="BB421" s="2" t="str">
        <f>VLOOKUP([jobnumber],OvalData[],MATCH(Table2[[#Headers],[Outer Spring Max Turns]],Table2[#Headers],0),0)</f>
        <v>Null</v>
      </c>
      <c r="BC421" s="2" t="str">
        <f>VLOOKUP([jobnumber],OvalData[],MATCH(Table2[[#Headers],[Outer Spring Weight]],Table2[#Headers],0),0)</f>
        <v>Null</v>
      </c>
      <c r="BD421" s="2" t="str">
        <f>VLOOKUP([jobnumber],OvalData[],MATCH(Table2[[#Headers],[Inner Spring Gage]],Table2[#Headers],0),0)</f>
        <v>Null</v>
      </c>
      <c r="BE421" s="2" t="str">
        <f>VLOOKUP([jobnumber],OvalData[],MATCH(Table2[[#Headers],[Inner Spring OD]],Table2[#Headers],0),0)</f>
        <v>Null</v>
      </c>
      <c r="BF421" s="2" t="str">
        <f>VLOOKUP([jobnumber],OvalData[],MATCH(Table2[[#Headers],[Inner Spring Length]],Table2[#Headers],0),0)</f>
        <v>Null</v>
      </c>
      <c r="BG421" s="2" t="str">
        <f>VLOOKUP([jobnumber],OvalData[],MATCH(Table2[[#Headers],[Inner Spring Stretch]],Table2[#Headers],0),0)</f>
        <v>Null</v>
      </c>
      <c r="BH421" s="2" t="str">
        <f>VLOOKUP([jobnumber],OvalData[],MATCH(Table2[[#Headers],[Inner Spring Torque]],Table2[#Headers],0),0)</f>
        <v>Null</v>
      </c>
      <c r="BI421" s="2" t="str">
        <f>VLOOKUP([jobnumber],OvalData[],MATCH(Table2[[#Headers],[Inner Spring Max Turns]],Table2[#Headers],0),0)</f>
        <v>Null</v>
      </c>
      <c r="BJ421" s="2" t="str">
        <f>VLOOKUP([jobnumber],OvalData[],MATCH(Table2[[#Headers],[Inner Spring Weight]],Table2[#Headers],0),0)</f>
        <v>Null</v>
      </c>
      <c r="BK421" s="2">
        <f>VLOOKUP([jobnumber],OvalData[],MATCH(Table2[[#Headers],[Cycles]],Table2[#Headers],0),0)</f>
        <v>0</v>
      </c>
      <c r="BL421" s="2">
        <f>VLOOKUP([jobnumber],OvalData[],MATCH(Table2[[#Headers],[Total Spring Torque]],Table2[#Headers],0),0)</f>
        <v>0</v>
      </c>
      <c r="BM421" s="2">
        <f>VLOOKUP([jobnumber],OvalData[],MATCH(Table2[[#Headers],[Total Spring Weight]],Table2[#Headers],0),0)</f>
        <v>0</v>
      </c>
      <c r="BN421" s="2">
        <f>VLOOKUP([jobnumber],OvalData[],MATCH(Table2[[#Headers],[Pipe Weight]],Table2[#Headers],0),0)</f>
        <v>688.24239999999998</v>
      </c>
      <c r="BO421" s="2">
        <f>VLOOKUP([jobnumber],OvalData[],MATCH(Table2[[#Headers],[Max Pipe Deflection]],Table2[#Headers],0),0)</f>
        <v>2309</v>
      </c>
      <c r="BP421" s="2">
        <f>VLOOKUP([jobnumber],OvalData[],MATCH(Table2[[#Headers],[Number Non-Insulated Wrap Slats]],Table2[#Headers],0),0)</f>
        <v>0</v>
      </c>
      <c r="BQ421" s="2">
        <f>VLOOKUP([jobnumber],OvalData[],MATCH(Table2[[#Headers],[Number of Insolated Top Slats]],Table2[#Headers],0),0)</f>
        <v>45</v>
      </c>
      <c r="BR421" s="2">
        <f>VLOOKUP([jobnumber],OvalData[],MATCH(Table2[[#Headers],[Insolated Total Slats]],Table2[#Headers],0),0)</f>
        <v>45</v>
      </c>
      <c r="BS421" s="2">
        <f>VLOOKUP([jobnumber],OvalData[],MATCH(Table2[[#Headers],[Number of Slats]],Table2[#Headers],0),0)</f>
        <v>44.69</v>
      </c>
      <c r="BT421" s="2">
        <f>VLOOKUP([jobnumber],OvalData[],MATCH(Table2[[#Headers],[Wrap]],Table2[#Headers],0),0)</f>
        <v>0</v>
      </c>
      <c r="BU421" s="2">
        <f>VLOOKUP([jobnumber],OvalData[],MATCH(Table2[[#Headers],[Wall Angle Thickness]],Table2[#Headers],0),0)</f>
        <v>0</v>
      </c>
      <c r="BV421" s="2">
        <f>VLOOKUP([jobnumber],OvalData[],MATCH(Table2[[#Headers],[windlocks]],Table2[#Headers],0),0)</f>
        <v>0</v>
      </c>
      <c r="BW421" s="2" t="str">
        <f>VLOOKUP([jobnumber],OvalData[],MATCH(Table2[[#Headers],[bottombartype]],Table2[#Headers],0),0)</f>
        <v>SPECIAL</v>
      </c>
      <c r="BX421" s="2">
        <f>VLOOKUP([jobnumber],OvalData[],MATCH(Table2[[#Headers],[endlockweight]],Table2[#Headers],0),0)</f>
        <v>0.17</v>
      </c>
      <c r="BY421" s="2">
        <f>VLOOKUP([jobnumber],OvalData[],MATCH(Table2[[#Headers],[Endlock Total Weight]],Table2[#Headers],0),0)</f>
        <v>7.5972999999999997</v>
      </c>
      <c r="BZ421" s="2">
        <f>VLOOKUP([jobnumber],OvalData[],MATCH(Table2[[#Headers],[Grille Weight]],Table2[#Headers],0),0)</f>
        <v>0</v>
      </c>
      <c r="CA421" s="2">
        <f>VLOOKUP([jobnumber],OvalData[],MATCH(Table2[[#Headers],[barrelrings]],Table2[#Headers],0),0)</f>
        <v>1</v>
      </c>
    </row>
    <row r="422" spans="2:79">
      <c r="B422" s="2" t="str">
        <f>VLOOKUP([jobnumber],OvalData[],MATCH(Table2[[#Headers],[Hand]],Table2[#Headers],0),0)</f>
        <v>RH</v>
      </c>
      <c r="C422" s="2" t="str">
        <f>VLOOKUP([jobnumber],OvalData[],MATCH(Table2[[#Headers],[Model]],Table2[#Headers],0),0)</f>
        <v>SFMPP</v>
      </c>
      <c r="D422" s="2" t="str">
        <f>VLOOKUP([jobnumber],OvalData[],MATCH(Table2[[#Headers],[width]],Table2[#Headers],0),0)</f>
        <v xml:space="preserve"> 18 ft.- 2"</v>
      </c>
      <c r="E422" s="2" t="str">
        <f>VLOOKUP([jobnumber],OvalData[],MATCH(Table2[[#Headers],[stopheight]],Table2[#Headers],0),0)</f>
        <v xml:space="preserve"> 10 ft.- 0"</v>
      </c>
      <c r="F422" s="2" t="str">
        <f>VLOOKUP([jobnumber],OvalData[],MATCH(Table2[[#Headers],[Between Brackets]],Table2[#Headers],0),0)</f>
        <v xml:space="preserve"> 18 ft.- 7 7/ 8"</v>
      </c>
      <c r="G422" s="2" t="str">
        <f>VLOOKUP([jobnumber],OvalData[],MATCH(Table2[[#Headers],[shell]],Table2[#Headers],0),0)</f>
        <v>6 INCH TUBE</v>
      </c>
      <c r="H422" s="2" t="str">
        <f>VLOOKUP([jobnumber],OvalData[],MATCH(Table2[[#Headers],[pipewidth]],Table2[#Headers],0),0)</f>
        <v xml:space="preserve"> 18 ft.- 1 3/ 8"</v>
      </c>
      <c r="I422" s="2">
        <f>VLOOKUP([jobnumber],OvalData[],MATCH(Table2[[#Headers],[Support Tubes]],Table2[#Headers],0),0)</f>
        <v>0</v>
      </c>
      <c r="J422" s="2">
        <f>VLOOKUP([jobnumber],OvalData[],MATCH(Table2[[#Headers],[Upset]],Table2[#Headers],0),0)</f>
        <v>2</v>
      </c>
      <c r="K422" s="2" t="str">
        <f>VLOOKUP([jobnumber],OvalData[],MATCH(Table2[[#Headers],[Guide Type]],Table2[#Headers],0),0)</f>
        <v>SN2-4 5/8-E</v>
      </c>
      <c r="L422" s="2" t="str">
        <f>VLOOKUP([jobnumber],OvalData[],MATCH(Table2[[#Headers],[Wall Angle]],Table2[#Headers],0),0)</f>
        <v xml:space="preserve"> 11 ft.- 8"</v>
      </c>
      <c r="M422" s="2" t="str">
        <f>VLOOKUP([jobnumber],OvalData[],MATCH(Table2[[#Headers],[Middle Angle]],Table2[#Headers],0),0)</f>
        <v xml:space="preserve"> 10 ft.- 4 1/ 2"</v>
      </c>
      <c r="N422" s="2" t="str">
        <f>VLOOKUP([jobnumber],OvalData[],MATCH(Table2[[#Headers],[Front Angle]],Table2[#Headers],0),0)</f>
        <v xml:space="preserve"> 10 ft.- 3"</v>
      </c>
      <c r="O422" s="2">
        <f>VLOOKUP([jobnumber],OvalData[],MATCH(Table2[[#Headers],[Pipe Center Line]],Table2[#Headers],0),0)</f>
        <v>131</v>
      </c>
      <c r="P422" s="2">
        <f>VLOOKUP([jobnumber],OvalData[],MATCH(Table2[[#Headers],[Heat Expansion Gap]],Table2[#Headers],0),0)</f>
        <v>0</v>
      </c>
      <c r="Q422" s="2">
        <f>VLOOKUP([jobnumber],OvalData[],MATCH(Table2[[#Headers],[Hanging Weight Closed]],Table2[#Headers],0),0)</f>
        <v>795</v>
      </c>
      <c r="R422" s="2">
        <f>VLOOKUP([jobnumber],OvalData[],MATCH(Table2[[#Headers],[Hanging Weight Open]],Table2[#Headers],0),0)</f>
        <v>140</v>
      </c>
      <c r="S422" s="2">
        <f>VLOOKUP([jobnumber],OvalData[],MATCH(Table2[[#Headers],[Initial Lever Arm]],Table2[#Headers],0),0)</f>
        <v>4.25</v>
      </c>
      <c r="T422" s="2">
        <f>VLOOKUP([jobnumber],OvalData[],MATCH(Table2[[#Headers],[Turns to Raise]],Table2[#Headers],0),0)</f>
        <v>3.5859999999999999</v>
      </c>
      <c r="U422" s="2">
        <f>VLOOKUP([jobnumber],OvalData[],MATCH(Table2[[#Headers],[Final Lever Arm]],Table2[#Headers],0),0)</f>
        <v>6.37</v>
      </c>
      <c r="V422" s="2">
        <f>VLOOKUP([jobnumber],OvalData[],MATCH(Table2[[#Headers],[Torque Required Closed]],Table2[#Headers],0),0)</f>
        <v>3377.9</v>
      </c>
      <c r="W422" s="2">
        <f>VLOOKUP([jobnumber],OvalData[],MATCH(Table2[[#Headers],[Torque Required Open]],Table2[#Headers],0),0)</f>
        <v>892</v>
      </c>
      <c r="X422" s="2">
        <f>VLOOKUP([jobnumber],OvalData[],MATCH(Table2[[#Headers],[Pre Turns]],Table2[#Headers],0),0)</f>
        <v>1.3332999999999999</v>
      </c>
      <c r="Y422" s="2">
        <f>VLOOKUP([jobnumber],OvalData[],MATCH(Table2[[#Headers],[Required Torque Per Turn]],Table2[#Headers],0),0)</f>
        <v>688</v>
      </c>
      <c r="Z422" s="2">
        <f>VLOOKUP([jobnumber],OvalData[],MATCH(Table2[[#Headers],[Total Turns]],Table2[#Headers],0),0)</f>
        <v>4.91</v>
      </c>
      <c r="AA422" s="2">
        <f>VLOOKUP([jobnumber],OvalData[],MATCH(Table2[[#Headers],[Grille Vision Section]],Table2[#Headers],0),0)</f>
        <v>0</v>
      </c>
      <c r="AB422" s="2">
        <f>VLOOKUP([jobnumber],OvalData[],MATCH(Table2[[#Headers],[Grille Amount]],Table2[#Headers],0),0)</f>
        <v>0</v>
      </c>
      <c r="AC422" s="2">
        <f>VLOOKUP([jobnumber],OvalData[],MATCH(Table2[[#Headers],[Grille Center]],Table2[#Headers],0),0)</f>
        <v>0</v>
      </c>
      <c r="AD422" s="2">
        <f>VLOOKUP([jobnumber],OvalData[],MATCH(Table2[[#Headers],[Grille Pattern]],Table2[#Headers],0),0)</f>
        <v>0</v>
      </c>
      <c r="AE422" s="2">
        <f>VLOOKUP([jobnumber],OvalData[],MATCH(Table2[[#Headers],[Grille First Tube]],Table2[#Headers],0),0)</f>
        <v>0</v>
      </c>
      <c r="AF422" s="2">
        <f>VLOOKUP([jobnumber],OvalData[],MATCH(Table2[[#Headers],[Grille Standard Tube]],Table2[#Headers],0),0)</f>
        <v>0</v>
      </c>
      <c r="AG422" s="2">
        <f>VLOOKUP([jobnumber],OvalData[],MATCH(Table2[[#Headers],[Grille Total Links]],Table2[#Headers],0),0)</f>
        <v>0</v>
      </c>
      <c r="AH422" s="2">
        <f>VLOOKUP([jobnumber],OvalData[],MATCH(Table2[[#Headers],[Grille Rods]],Table2[#Headers],0),0)</f>
        <v>0</v>
      </c>
      <c r="AI422" s="2">
        <f>VLOOKUP([jobnumber],OvalData[],MATCH(Table2[[#Headers],[Grille Rod Length]],Table2[#Headers],0),0)</f>
        <v>0</v>
      </c>
      <c r="AJ422" s="2">
        <f>VLOOKUP([jobnumber],OvalData[],MATCH(Table2[[#Headers],[slattype]],Table2[#Headers],0),0)</f>
        <v>2</v>
      </c>
      <c r="AK422" s="2">
        <f>VLOOKUP([jobnumber],OvalData[],MATCH(Table2[[#Headers],[slatgage]],Table2[#Headers],0),0)</f>
        <v>18</v>
      </c>
      <c r="AL422" s="2">
        <f>VLOOKUP([jobnumber],OvalData[],MATCH(Table2[[#Headers],[Numer of Top Slats]],Table2[#Headers],0),0)</f>
        <v>0</v>
      </c>
      <c r="AM422" s="2">
        <f>VLOOKUP([jobnumber],OvalData[],MATCH(Table2[[#Headers],[Number of Bottom Slats]],Table2[#Headers],0),0)</f>
        <v>0</v>
      </c>
      <c r="AN422" s="2">
        <f>VLOOKUP([jobnumber],OvalData[],MATCH(Table2[[#Headers],[Solid Bottom Height]],Table2[#Headers],0),0)</f>
        <v>0</v>
      </c>
      <c r="AO422" s="2" t="str">
        <f>VLOOKUP([jobnumber],OvalData[],MATCH(Table2[[#Headers],[slatlength]],Table2[#Headers],0),0)</f>
        <v xml:space="preserve"> 18 ft.- 5 7/ 8"</v>
      </c>
      <c r="AP422" s="2">
        <f>VLOOKUP([jobnumber],OvalData[],MATCH(Table2[[#Headers],[Bottom Slat Length]],Table2[#Headers],0),0)</f>
        <v>0</v>
      </c>
      <c r="AQ422" s="2">
        <f>VLOOKUP([jobnumber],OvalData[],MATCH(Table2[[#Headers],[Number of Perferated Slats]],Table2[#Headers],0),0)</f>
        <v>0</v>
      </c>
      <c r="AR422" s="2">
        <f>VLOOKUP([jobnumber],OvalData[],MATCH(Table2[[#Headers],[First Preferated Slat From End]],Table2[#Headers],0),0)</f>
        <v>0</v>
      </c>
      <c r="AS422" s="2">
        <f>VLOOKUP([jobnumber],OvalData[],MATCH(Table2[[#Headers],[First Preferated Slat From Bottom]],Table2[#Headers],0),0)</f>
        <v>0</v>
      </c>
      <c r="AT422" s="2">
        <f>VLOOKUP([jobnumber],OvalData[],MATCH(Table2[[#Headers],[Total Number of Slats]],Table2[#Headers],0),0)</f>
        <v>51</v>
      </c>
      <c r="AU422" s="2">
        <f>VLOOKUP([jobnumber],OvalData[],MATCH(Table2[[#Headers],[Bottom Bar Slope]],Table2[#Headers],0),0)</f>
        <v>0</v>
      </c>
      <c r="AV422" s="2">
        <f>VLOOKUP([jobnumber],OvalData[],MATCH(Table2[[#Headers],[Bottom Bar Weight]],Table2[#Headers],0),0)</f>
        <v>80.5</v>
      </c>
      <c r="AW422" s="2" t="str">
        <f>VLOOKUP([jobnumber],OvalData[],MATCH(Table2[[#Headers],[Outer Spring Gage]],Table2[#Headers],0),0)</f>
        <v>Null</v>
      </c>
      <c r="AX422" s="2" t="str">
        <f>VLOOKUP([jobnumber],OvalData[],MATCH(Table2[[#Headers],[Outer Spring OD]],Table2[#Headers],0),0)</f>
        <v>Null</v>
      </c>
      <c r="AY422" s="2" t="str">
        <f>VLOOKUP([jobnumber],OvalData[],MATCH(Table2[[#Headers],[Outer Spring Length]],Table2[#Headers],0),0)</f>
        <v>Null</v>
      </c>
      <c r="AZ422" s="2" t="str">
        <f>VLOOKUP([jobnumber],OvalData[],MATCH(Table2[[#Headers],[Outer Spring Stretch]],Table2[#Headers],0),0)</f>
        <v>Null</v>
      </c>
      <c r="BA422" s="2" t="str">
        <f>VLOOKUP([jobnumber],OvalData[],MATCH(Table2[[#Headers],[Outer Spring Torque]],Table2[#Headers],0),0)</f>
        <v>Null</v>
      </c>
      <c r="BB422" s="2" t="str">
        <f>VLOOKUP([jobnumber],OvalData[],MATCH(Table2[[#Headers],[Outer Spring Max Turns]],Table2[#Headers],0),0)</f>
        <v>Null</v>
      </c>
      <c r="BC422" s="2" t="str">
        <f>VLOOKUP([jobnumber],OvalData[],MATCH(Table2[[#Headers],[Outer Spring Weight]],Table2[#Headers],0),0)</f>
        <v>Null</v>
      </c>
      <c r="BD422" s="2" t="str">
        <f>VLOOKUP([jobnumber],OvalData[],MATCH(Table2[[#Headers],[Inner Spring Gage]],Table2[#Headers],0),0)</f>
        <v>Null</v>
      </c>
      <c r="BE422" s="2" t="str">
        <f>VLOOKUP([jobnumber],OvalData[],MATCH(Table2[[#Headers],[Inner Spring OD]],Table2[#Headers],0),0)</f>
        <v>Null</v>
      </c>
      <c r="BF422" s="2" t="str">
        <f>VLOOKUP([jobnumber],OvalData[],MATCH(Table2[[#Headers],[Inner Spring Length]],Table2[#Headers],0),0)</f>
        <v>Null</v>
      </c>
      <c r="BG422" s="2" t="str">
        <f>VLOOKUP([jobnumber],OvalData[],MATCH(Table2[[#Headers],[Inner Spring Stretch]],Table2[#Headers],0),0)</f>
        <v>Null</v>
      </c>
      <c r="BH422" s="2" t="str">
        <f>VLOOKUP([jobnumber],OvalData[],MATCH(Table2[[#Headers],[Inner Spring Torque]],Table2[#Headers],0),0)</f>
        <v>Null</v>
      </c>
      <c r="BI422" s="2" t="str">
        <f>VLOOKUP([jobnumber],OvalData[],MATCH(Table2[[#Headers],[Inner Spring Max Turns]],Table2[#Headers],0),0)</f>
        <v>Null</v>
      </c>
      <c r="BJ422" s="2" t="str">
        <f>VLOOKUP([jobnumber],OvalData[],MATCH(Table2[[#Headers],[Inner Spring Weight]],Table2[#Headers],0),0)</f>
        <v>Null</v>
      </c>
      <c r="BK422" s="2">
        <f>VLOOKUP([jobnumber],OvalData[],MATCH(Table2[[#Headers],[Cycles]],Table2[#Headers],0),0)</f>
        <v>0</v>
      </c>
      <c r="BL422" s="2">
        <f>VLOOKUP([jobnumber],OvalData[],MATCH(Table2[[#Headers],[Total Spring Torque]],Table2[#Headers],0),0)</f>
        <v>0</v>
      </c>
      <c r="BM422" s="2">
        <f>VLOOKUP([jobnumber],OvalData[],MATCH(Table2[[#Headers],[Total Spring Weight]],Table2[#Headers],0),0)</f>
        <v>0</v>
      </c>
      <c r="BN422" s="2">
        <f>VLOOKUP([jobnumber],OvalData[],MATCH(Table2[[#Headers],[Pipe Weight]],Table2[#Headers],0),0)</f>
        <v>688.24239999999998</v>
      </c>
      <c r="BO422" s="2">
        <f>VLOOKUP([jobnumber],OvalData[],MATCH(Table2[[#Headers],[Max Pipe Deflection]],Table2[#Headers],0),0)</f>
        <v>2309</v>
      </c>
      <c r="BP422" s="2">
        <f>VLOOKUP([jobnumber],OvalData[],MATCH(Table2[[#Headers],[Number Non-Insulated Wrap Slats]],Table2[#Headers],0),0)</f>
        <v>0</v>
      </c>
      <c r="BQ422" s="2">
        <f>VLOOKUP([jobnumber],OvalData[],MATCH(Table2[[#Headers],[Number of Insolated Top Slats]],Table2[#Headers],0),0)</f>
        <v>45</v>
      </c>
      <c r="BR422" s="2">
        <f>VLOOKUP([jobnumber],OvalData[],MATCH(Table2[[#Headers],[Insolated Total Slats]],Table2[#Headers],0),0)</f>
        <v>45</v>
      </c>
      <c r="BS422" s="2">
        <f>VLOOKUP([jobnumber],OvalData[],MATCH(Table2[[#Headers],[Number of Slats]],Table2[#Headers],0),0)</f>
        <v>44.69</v>
      </c>
      <c r="BT422" s="2">
        <f>VLOOKUP([jobnumber],OvalData[],MATCH(Table2[[#Headers],[Wrap]],Table2[#Headers],0),0)</f>
        <v>0</v>
      </c>
      <c r="BU422" s="2">
        <f>VLOOKUP([jobnumber],OvalData[],MATCH(Table2[[#Headers],[Wall Angle Thickness]],Table2[#Headers],0),0)</f>
        <v>0</v>
      </c>
      <c r="BV422" s="2">
        <f>VLOOKUP([jobnumber],OvalData[],MATCH(Table2[[#Headers],[windlocks]],Table2[#Headers],0),0)</f>
        <v>0</v>
      </c>
      <c r="BW422" s="2" t="str">
        <f>VLOOKUP([jobnumber],OvalData[],MATCH(Table2[[#Headers],[bottombartype]],Table2[#Headers],0),0)</f>
        <v>SPECIAL</v>
      </c>
      <c r="BX422" s="2">
        <f>VLOOKUP([jobnumber],OvalData[],MATCH(Table2[[#Headers],[endlockweight]],Table2[#Headers],0),0)</f>
        <v>0.17</v>
      </c>
      <c r="BY422" s="2">
        <f>VLOOKUP([jobnumber],OvalData[],MATCH(Table2[[#Headers],[Endlock Total Weight]],Table2[#Headers],0),0)</f>
        <v>7.5972999999999997</v>
      </c>
      <c r="BZ422" s="2">
        <f>VLOOKUP([jobnumber],OvalData[],MATCH(Table2[[#Headers],[Grille Weight]],Table2[#Headers],0),0)</f>
        <v>0</v>
      </c>
      <c r="CA422" s="2">
        <f>VLOOKUP([jobnumber],OvalData[],MATCH(Table2[[#Headers],[barrelrings]],Table2[#Headers],0),0)</f>
        <v>1</v>
      </c>
    </row>
    <row r="423" spans="2:79">
      <c r="B423" s="2" t="str">
        <f>VLOOKUP([jobnumber],OvalData[],MATCH(Table2[[#Headers],[Hand]],Table2[#Headers],0),0)</f>
        <v>RH</v>
      </c>
      <c r="C423" s="2" t="str">
        <f>VLOOKUP([jobnumber],OvalData[],MATCH(Table2[[#Headers],[Model]],Table2[#Headers],0),0)</f>
        <v>SFMPP</v>
      </c>
      <c r="D423" s="2" t="str">
        <f>VLOOKUP([jobnumber],OvalData[],MATCH(Table2[[#Headers],[width]],Table2[#Headers],0),0)</f>
        <v xml:space="preserve"> 18 ft.- 2"</v>
      </c>
      <c r="E423" s="2" t="str">
        <f>VLOOKUP([jobnumber],OvalData[],MATCH(Table2[[#Headers],[stopheight]],Table2[#Headers],0),0)</f>
        <v xml:space="preserve"> 10 ft.- 0"</v>
      </c>
      <c r="F423" s="2" t="str">
        <f>VLOOKUP([jobnumber],OvalData[],MATCH(Table2[[#Headers],[Between Brackets]],Table2[#Headers],0),0)</f>
        <v xml:space="preserve"> 18 ft.- 7 7/ 8"</v>
      </c>
      <c r="G423" s="2" t="str">
        <f>VLOOKUP([jobnumber],OvalData[],MATCH(Table2[[#Headers],[shell]],Table2[#Headers],0),0)</f>
        <v>6 INCH TUBE</v>
      </c>
      <c r="H423" s="2" t="str">
        <f>VLOOKUP([jobnumber],OvalData[],MATCH(Table2[[#Headers],[pipewidth]],Table2[#Headers],0),0)</f>
        <v xml:space="preserve"> 18 ft.- 1 3/ 8"</v>
      </c>
      <c r="I423" s="2">
        <f>VLOOKUP([jobnumber],OvalData[],MATCH(Table2[[#Headers],[Support Tubes]],Table2[#Headers],0),0)</f>
        <v>0</v>
      </c>
      <c r="J423" s="2">
        <f>VLOOKUP([jobnumber],OvalData[],MATCH(Table2[[#Headers],[Upset]],Table2[#Headers],0),0)</f>
        <v>2</v>
      </c>
      <c r="K423" s="2" t="str">
        <f>VLOOKUP([jobnumber],OvalData[],MATCH(Table2[[#Headers],[Guide Type]],Table2[#Headers],0),0)</f>
        <v>SN2-4 5/8-E</v>
      </c>
      <c r="L423" s="2" t="str">
        <f>VLOOKUP([jobnumber],OvalData[],MATCH(Table2[[#Headers],[Wall Angle]],Table2[#Headers],0),0)</f>
        <v xml:space="preserve"> 11 ft.- 8"</v>
      </c>
      <c r="M423" s="2" t="str">
        <f>VLOOKUP([jobnumber],OvalData[],MATCH(Table2[[#Headers],[Middle Angle]],Table2[#Headers],0),0)</f>
        <v xml:space="preserve"> 10 ft.- 4 1/ 2"</v>
      </c>
      <c r="N423" s="2" t="str">
        <f>VLOOKUP([jobnumber],OvalData[],MATCH(Table2[[#Headers],[Front Angle]],Table2[#Headers],0),0)</f>
        <v xml:space="preserve"> 10 ft.- 3"</v>
      </c>
      <c r="O423" s="2">
        <f>VLOOKUP([jobnumber],OvalData[],MATCH(Table2[[#Headers],[Pipe Center Line]],Table2[#Headers],0),0)</f>
        <v>131</v>
      </c>
      <c r="P423" s="2">
        <f>VLOOKUP([jobnumber],OvalData[],MATCH(Table2[[#Headers],[Heat Expansion Gap]],Table2[#Headers],0),0)</f>
        <v>0</v>
      </c>
      <c r="Q423" s="2">
        <f>VLOOKUP([jobnumber],OvalData[],MATCH(Table2[[#Headers],[Hanging Weight Closed]],Table2[#Headers],0),0)</f>
        <v>795</v>
      </c>
      <c r="R423" s="2">
        <f>VLOOKUP([jobnumber],OvalData[],MATCH(Table2[[#Headers],[Hanging Weight Open]],Table2[#Headers],0),0)</f>
        <v>140</v>
      </c>
      <c r="S423" s="2">
        <f>VLOOKUP([jobnumber],OvalData[],MATCH(Table2[[#Headers],[Initial Lever Arm]],Table2[#Headers],0),0)</f>
        <v>4.25</v>
      </c>
      <c r="T423" s="2">
        <f>VLOOKUP([jobnumber],OvalData[],MATCH(Table2[[#Headers],[Turns to Raise]],Table2[#Headers],0),0)</f>
        <v>3.5859999999999999</v>
      </c>
      <c r="U423" s="2">
        <f>VLOOKUP([jobnumber],OvalData[],MATCH(Table2[[#Headers],[Final Lever Arm]],Table2[#Headers],0),0)</f>
        <v>6.37</v>
      </c>
      <c r="V423" s="2">
        <f>VLOOKUP([jobnumber],OvalData[],MATCH(Table2[[#Headers],[Torque Required Closed]],Table2[#Headers],0),0)</f>
        <v>3377.9</v>
      </c>
      <c r="W423" s="2">
        <f>VLOOKUP([jobnumber],OvalData[],MATCH(Table2[[#Headers],[Torque Required Open]],Table2[#Headers],0),0)</f>
        <v>892</v>
      </c>
      <c r="X423" s="2">
        <f>VLOOKUP([jobnumber],OvalData[],MATCH(Table2[[#Headers],[Pre Turns]],Table2[#Headers],0),0)</f>
        <v>1.3332999999999999</v>
      </c>
      <c r="Y423" s="2">
        <f>VLOOKUP([jobnumber],OvalData[],MATCH(Table2[[#Headers],[Required Torque Per Turn]],Table2[#Headers],0),0)</f>
        <v>688</v>
      </c>
      <c r="Z423" s="2">
        <f>VLOOKUP([jobnumber],OvalData[],MATCH(Table2[[#Headers],[Total Turns]],Table2[#Headers],0),0)</f>
        <v>4.91</v>
      </c>
      <c r="AA423" s="2">
        <f>VLOOKUP([jobnumber],OvalData[],MATCH(Table2[[#Headers],[Grille Vision Section]],Table2[#Headers],0),0)</f>
        <v>0</v>
      </c>
      <c r="AB423" s="2">
        <f>VLOOKUP([jobnumber],OvalData[],MATCH(Table2[[#Headers],[Grille Amount]],Table2[#Headers],0),0)</f>
        <v>0</v>
      </c>
      <c r="AC423" s="2">
        <f>VLOOKUP([jobnumber],OvalData[],MATCH(Table2[[#Headers],[Grille Center]],Table2[#Headers],0),0)</f>
        <v>0</v>
      </c>
      <c r="AD423" s="2">
        <f>VLOOKUP([jobnumber],OvalData[],MATCH(Table2[[#Headers],[Grille Pattern]],Table2[#Headers],0),0)</f>
        <v>0</v>
      </c>
      <c r="AE423" s="2">
        <f>VLOOKUP([jobnumber],OvalData[],MATCH(Table2[[#Headers],[Grille First Tube]],Table2[#Headers],0),0)</f>
        <v>0</v>
      </c>
      <c r="AF423" s="2">
        <f>VLOOKUP([jobnumber],OvalData[],MATCH(Table2[[#Headers],[Grille Standard Tube]],Table2[#Headers],0),0)</f>
        <v>0</v>
      </c>
      <c r="AG423" s="2">
        <f>VLOOKUP([jobnumber],OvalData[],MATCH(Table2[[#Headers],[Grille Total Links]],Table2[#Headers],0),0)</f>
        <v>0</v>
      </c>
      <c r="AH423" s="2">
        <f>VLOOKUP([jobnumber],OvalData[],MATCH(Table2[[#Headers],[Grille Rods]],Table2[#Headers],0),0)</f>
        <v>0</v>
      </c>
      <c r="AI423" s="2">
        <f>VLOOKUP([jobnumber],OvalData[],MATCH(Table2[[#Headers],[Grille Rod Length]],Table2[#Headers],0),0)</f>
        <v>0</v>
      </c>
      <c r="AJ423" s="2">
        <f>VLOOKUP([jobnumber],OvalData[],MATCH(Table2[[#Headers],[slattype]],Table2[#Headers],0),0)</f>
        <v>2</v>
      </c>
      <c r="AK423" s="2">
        <f>VLOOKUP([jobnumber],OvalData[],MATCH(Table2[[#Headers],[slatgage]],Table2[#Headers],0),0)</f>
        <v>18</v>
      </c>
      <c r="AL423" s="2">
        <f>VLOOKUP([jobnumber],OvalData[],MATCH(Table2[[#Headers],[Numer of Top Slats]],Table2[#Headers],0),0)</f>
        <v>0</v>
      </c>
      <c r="AM423" s="2">
        <f>VLOOKUP([jobnumber],OvalData[],MATCH(Table2[[#Headers],[Number of Bottom Slats]],Table2[#Headers],0),0)</f>
        <v>0</v>
      </c>
      <c r="AN423" s="2">
        <f>VLOOKUP([jobnumber],OvalData[],MATCH(Table2[[#Headers],[Solid Bottom Height]],Table2[#Headers],0),0)</f>
        <v>0</v>
      </c>
      <c r="AO423" s="2" t="str">
        <f>VLOOKUP([jobnumber],OvalData[],MATCH(Table2[[#Headers],[slatlength]],Table2[#Headers],0),0)</f>
        <v xml:space="preserve"> 18 ft.- 5 7/ 8"</v>
      </c>
      <c r="AP423" s="2">
        <f>VLOOKUP([jobnumber],OvalData[],MATCH(Table2[[#Headers],[Bottom Slat Length]],Table2[#Headers],0),0)</f>
        <v>0</v>
      </c>
      <c r="AQ423" s="2">
        <f>VLOOKUP([jobnumber],OvalData[],MATCH(Table2[[#Headers],[Number of Perferated Slats]],Table2[#Headers],0),0)</f>
        <v>0</v>
      </c>
      <c r="AR423" s="2">
        <f>VLOOKUP([jobnumber],OvalData[],MATCH(Table2[[#Headers],[First Preferated Slat From End]],Table2[#Headers],0),0)</f>
        <v>0</v>
      </c>
      <c r="AS423" s="2">
        <f>VLOOKUP([jobnumber],OvalData[],MATCH(Table2[[#Headers],[First Preferated Slat From Bottom]],Table2[#Headers],0),0)</f>
        <v>0</v>
      </c>
      <c r="AT423" s="2">
        <f>VLOOKUP([jobnumber],OvalData[],MATCH(Table2[[#Headers],[Total Number of Slats]],Table2[#Headers],0),0)</f>
        <v>51</v>
      </c>
      <c r="AU423" s="2">
        <f>VLOOKUP([jobnumber],OvalData[],MATCH(Table2[[#Headers],[Bottom Bar Slope]],Table2[#Headers],0),0)</f>
        <v>0</v>
      </c>
      <c r="AV423" s="2">
        <f>VLOOKUP([jobnumber],OvalData[],MATCH(Table2[[#Headers],[Bottom Bar Weight]],Table2[#Headers],0),0)</f>
        <v>80.5</v>
      </c>
      <c r="AW423" s="2" t="str">
        <f>VLOOKUP([jobnumber],OvalData[],MATCH(Table2[[#Headers],[Outer Spring Gage]],Table2[#Headers],0),0)</f>
        <v>Null</v>
      </c>
      <c r="AX423" s="2" t="str">
        <f>VLOOKUP([jobnumber],OvalData[],MATCH(Table2[[#Headers],[Outer Spring OD]],Table2[#Headers],0),0)</f>
        <v>Null</v>
      </c>
      <c r="AY423" s="2" t="str">
        <f>VLOOKUP([jobnumber],OvalData[],MATCH(Table2[[#Headers],[Outer Spring Length]],Table2[#Headers],0),0)</f>
        <v>Null</v>
      </c>
      <c r="AZ423" s="2" t="str">
        <f>VLOOKUP([jobnumber],OvalData[],MATCH(Table2[[#Headers],[Outer Spring Stretch]],Table2[#Headers],0),0)</f>
        <v>Null</v>
      </c>
      <c r="BA423" s="2" t="str">
        <f>VLOOKUP([jobnumber],OvalData[],MATCH(Table2[[#Headers],[Outer Spring Torque]],Table2[#Headers],0),0)</f>
        <v>Null</v>
      </c>
      <c r="BB423" s="2" t="str">
        <f>VLOOKUP([jobnumber],OvalData[],MATCH(Table2[[#Headers],[Outer Spring Max Turns]],Table2[#Headers],0),0)</f>
        <v>Null</v>
      </c>
      <c r="BC423" s="2" t="str">
        <f>VLOOKUP([jobnumber],OvalData[],MATCH(Table2[[#Headers],[Outer Spring Weight]],Table2[#Headers],0),0)</f>
        <v>Null</v>
      </c>
      <c r="BD423" s="2" t="str">
        <f>VLOOKUP([jobnumber],OvalData[],MATCH(Table2[[#Headers],[Inner Spring Gage]],Table2[#Headers],0),0)</f>
        <v>Null</v>
      </c>
      <c r="BE423" s="2" t="str">
        <f>VLOOKUP([jobnumber],OvalData[],MATCH(Table2[[#Headers],[Inner Spring OD]],Table2[#Headers],0),0)</f>
        <v>Null</v>
      </c>
      <c r="BF423" s="2" t="str">
        <f>VLOOKUP([jobnumber],OvalData[],MATCH(Table2[[#Headers],[Inner Spring Length]],Table2[#Headers],0),0)</f>
        <v>Null</v>
      </c>
      <c r="BG423" s="2" t="str">
        <f>VLOOKUP([jobnumber],OvalData[],MATCH(Table2[[#Headers],[Inner Spring Stretch]],Table2[#Headers],0),0)</f>
        <v>Null</v>
      </c>
      <c r="BH423" s="2" t="str">
        <f>VLOOKUP([jobnumber],OvalData[],MATCH(Table2[[#Headers],[Inner Spring Torque]],Table2[#Headers],0),0)</f>
        <v>Null</v>
      </c>
      <c r="BI423" s="2" t="str">
        <f>VLOOKUP([jobnumber],OvalData[],MATCH(Table2[[#Headers],[Inner Spring Max Turns]],Table2[#Headers],0),0)</f>
        <v>Null</v>
      </c>
      <c r="BJ423" s="2" t="str">
        <f>VLOOKUP([jobnumber],OvalData[],MATCH(Table2[[#Headers],[Inner Spring Weight]],Table2[#Headers],0),0)</f>
        <v>Null</v>
      </c>
      <c r="BK423" s="2">
        <f>VLOOKUP([jobnumber],OvalData[],MATCH(Table2[[#Headers],[Cycles]],Table2[#Headers],0),0)</f>
        <v>0</v>
      </c>
      <c r="BL423" s="2">
        <f>VLOOKUP([jobnumber],OvalData[],MATCH(Table2[[#Headers],[Total Spring Torque]],Table2[#Headers],0),0)</f>
        <v>0</v>
      </c>
      <c r="BM423" s="2">
        <f>VLOOKUP([jobnumber],OvalData[],MATCH(Table2[[#Headers],[Total Spring Weight]],Table2[#Headers],0),0)</f>
        <v>0</v>
      </c>
      <c r="BN423" s="2">
        <f>VLOOKUP([jobnumber],OvalData[],MATCH(Table2[[#Headers],[Pipe Weight]],Table2[#Headers],0),0)</f>
        <v>688.24239999999998</v>
      </c>
      <c r="BO423" s="2">
        <f>VLOOKUP([jobnumber],OvalData[],MATCH(Table2[[#Headers],[Max Pipe Deflection]],Table2[#Headers],0),0)</f>
        <v>2309</v>
      </c>
      <c r="BP423" s="2">
        <f>VLOOKUP([jobnumber],OvalData[],MATCH(Table2[[#Headers],[Number Non-Insulated Wrap Slats]],Table2[#Headers],0),0)</f>
        <v>0</v>
      </c>
      <c r="BQ423" s="2">
        <f>VLOOKUP([jobnumber],OvalData[],MATCH(Table2[[#Headers],[Number of Insolated Top Slats]],Table2[#Headers],0),0)</f>
        <v>45</v>
      </c>
      <c r="BR423" s="2">
        <f>VLOOKUP([jobnumber],OvalData[],MATCH(Table2[[#Headers],[Insolated Total Slats]],Table2[#Headers],0),0)</f>
        <v>45</v>
      </c>
      <c r="BS423" s="2">
        <f>VLOOKUP([jobnumber],OvalData[],MATCH(Table2[[#Headers],[Number of Slats]],Table2[#Headers],0),0)</f>
        <v>44.69</v>
      </c>
      <c r="BT423" s="2">
        <f>VLOOKUP([jobnumber],OvalData[],MATCH(Table2[[#Headers],[Wrap]],Table2[#Headers],0),0)</f>
        <v>0</v>
      </c>
      <c r="BU423" s="2">
        <f>VLOOKUP([jobnumber],OvalData[],MATCH(Table2[[#Headers],[Wall Angle Thickness]],Table2[#Headers],0),0)</f>
        <v>0</v>
      </c>
      <c r="BV423" s="2">
        <f>VLOOKUP([jobnumber],OvalData[],MATCH(Table2[[#Headers],[windlocks]],Table2[#Headers],0),0)</f>
        <v>0</v>
      </c>
      <c r="BW423" s="2" t="str">
        <f>VLOOKUP([jobnumber],OvalData[],MATCH(Table2[[#Headers],[bottombartype]],Table2[#Headers],0),0)</f>
        <v>SPECIAL</v>
      </c>
      <c r="BX423" s="2">
        <f>VLOOKUP([jobnumber],OvalData[],MATCH(Table2[[#Headers],[endlockweight]],Table2[#Headers],0),0)</f>
        <v>0.17</v>
      </c>
      <c r="BY423" s="2">
        <f>VLOOKUP([jobnumber],OvalData[],MATCH(Table2[[#Headers],[Endlock Total Weight]],Table2[#Headers],0),0)</f>
        <v>7.5972999999999997</v>
      </c>
      <c r="BZ423" s="2">
        <f>VLOOKUP([jobnumber],OvalData[],MATCH(Table2[[#Headers],[Grille Weight]],Table2[#Headers],0),0)</f>
        <v>0</v>
      </c>
      <c r="CA423" s="2">
        <f>VLOOKUP([jobnumber],OvalData[],MATCH(Table2[[#Headers],[barrelrings]],Table2[#Headers],0),0)</f>
        <v>1</v>
      </c>
    </row>
    <row r="424" spans="2:79">
      <c r="B424" s="2" t="str">
        <f>VLOOKUP([jobnumber],OvalData[],MATCH(Table2[[#Headers],[Hand]],Table2[#Headers],0),0)</f>
        <v>RH</v>
      </c>
      <c r="C424" s="2" t="str">
        <f>VLOOKUP([jobnumber],OvalData[],MATCH(Table2[[#Headers],[Model]],Table2[#Headers],0),0)</f>
        <v>SFMPP</v>
      </c>
      <c r="D424" s="2" t="str">
        <f>VLOOKUP([jobnumber],OvalData[],MATCH(Table2[[#Headers],[width]],Table2[#Headers],0),0)</f>
        <v xml:space="preserve"> 18 ft.- 2"</v>
      </c>
      <c r="E424" s="2" t="str">
        <f>VLOOKUP([jobnumber],OvalData[],MATCH(Table2[[#Headers],[stopheight]],Table2[#Headers],0),0)</f>
        <v xml:space="preserve"> 10 ft.- 0"</v>
      </c>
      <c r="F424" s="2" t="str">
        <f>VLOOKUP([jobnumber],OvalData[],MATCH(Table2[[#Headers],[Between Brackets]],Table2[#Headers],0),0)</f>
        <v xml:space="preserve"> 18 ft.- 7 7/ 8"</v>
      </c>
      <c r="G424" s="2" t="str">
        <f>VLOOKUP([jobnumber],OvalData[],MATCH(Table2[[#Headers],[shell]],Table2[#Headers],0),0)</f>
        <v>6 INCH TUBE</v>
      </c>
      <c r="H424" s="2" t="str">
        <f>VLOOKUP([jobnumber],OvalData[],MATCH(Table2[[#Headers],[pipewidth]],Table2[#Headers],0),0)</f>
        <v xml:space="preserve"> 18 ft.- 1 3/ 8"</v>
      </c>
      <c r="I424" s="2">
        <f>VLOOKUP([jobnumber],OvalData[],MATCH(Table2[[#Headers],[Support Tubes]],Table2[#Headers],0),0)</f>
        <v>0</v>
      </c>
      <c r="J424" s="2">
        <f>VLOOKUP([jobnumber],OvalData[],MATCH(Table2[[#Headers],[Upset]],Table2[#Headers],0),0)</f>
        <v>2</v>
      </c>
      <c r="K424" s="2" t="str">
        <f>VLOOKUP([jobnumber],OvalData[],MATCH(Table2[[#Headers],[Guide Type]],Table2[#Headers],0),0)</f>
        <v>SN2-4 5/8-E</v>
      </c>
      <c r="L424" s="2" t="str">
        <f>VLOOKUP([jobnumber],OvalData[],MATCH(Table2[[#Headers],[Wall Angle]],Table2[#Headers],0),0)</f>
        <v xml:space="preserve"> 11 ft.- 8"</v>
      </c>
      <c r="M424" s="2" t="str">
        <f>VLOOKUP([jobnumber],OvalData[],MATCH(Table2[[#Headers],[Middle Angle]],Table2[#Headers],0),0)</f>
        <v xml:space="preserve"> 10 ft.- 4 1/ 2"</v>
      </c>
      <c r="N424" s="2" t="str">
        <f>VLOOKUP([jobnumber],OvalData[],MATCH(Table2[[#Headers],[Front Angle]],Table2[#Headers],0),0)</f>
        <v xml:space="preserve"> 10 ft.- 3"</v>
      </c>
      <c r="O424" s="2">
        <f>VLOOKUP([jobnumber],OvalData[],MATCH(Table2[[#Headers],[Pipe Center Line]],Table2[#Headers],0),0)</f>
        <v>131</v>
      </c>
      <c r="P424" s="2">
        <f>VLOOKUP([jobnumber],OvalData[],MATCH(Table2[[#Headers],[Heat Expansion Gap]],Table2[#Headers],0),0)</f>
        <v>0</v>
      </c>
      <c r="Q424" s="2">
        <f>VLOOKUP([jobnumber],OvalData[],MATCH(Table2[[#Headers],[Hanging Weight Closed]],Table2[#Headers],0),0)</f>
        <v>795</v>
      </c>
      <c r="R424" s="2">
        <f>VLOOKUP([jobnumber],OvalData[],MATCH(Table2[[#Headers],[Hanging Weight Open]],Table2[#Headers],0),0)</f>
        <v>140</v>
      </c>
      <c r="S424" s="2">
        <f>VLOOKUP([jobnumber],OvalData[],MATCH(Table2[[#Headers],[Initial Lever Arm]],Table2[#Headers],0),0)</f>
        <v>4.25</v>
      </c>
      <c r="T424" s="2">
        <f>VLOOKUP([jobnumber],OvalData[],MATCH(Table2[[#Headers],[Turns to Raise]],Table2[#Headers],0),0)</f>
        <v>3.5859999999999999</v>
      </c>
      <c r="U424" s="2">
        <f>VLOOKUP([jobnumber],OvalData[],MATCH(Table2[[#Headers],[Final Lever Arm]],Table2[#Headers],0),0)</f>
        <v>6.37</v>
      </c>
      <c r="V424" s="2">
        <f>VLOOKUP([jobnumber],OvalData[],MATCH(Table2[[#Headers],[Torque Required Closed]],Table2[#Headers],0),0)</f>
        <v>3377.9</v>
      </c>
      <c r="W424" s="2">
        <f>VLOOKUP([jobnumber],OvalData[],MATCH(Table2[[#Headers],[Torque Required Open]],Table2[#Headers],0),0)</f>
        <v>892</v>
      </c>
      <c r="X424" s="2">
        <f>VLOOKUP([jobnumber],OvalData[],MATCH(Table2[[#Headers],[Pre Turns]],Table2[#Headers],0),0)</f>
        <v>1.3332999999999999</v>
      </c>
      <c r="Y424" s="2">
        <f>VLOOKUP([jobnumber],OvalData[],MATCH(Table2[[#Headers],[Required Torque Per Turn]],Table2[#Headers],0),0)</f>
        <v>688</v>
      </c>
      <c r="Z424" s="2">
        <f>VLOOKUP([jobnumber],OvalData[],MATCH(Table2[[#Headers],[Total Turns]],Table2[#Headers],0),0)</f>
        <v>4.91</v>
      </c>
      <c r="AA424" s="2">
        <f>VLOOKUP([jobnumber],OvalData[],MATCH(Table2[[#Headers],[Grille Vision Section]],Table2[#Headers],0),0)</f>
        <v>0</v>
      </c>
      <c r="AB424" s="2">
        <f>VLOOKUP([jobnumber],OvalData[],MATCH(Table2[[#Headers],[Grille Amount]],Table2[#Headers],0),0)</f>
        <v>0</v>
      </c>
      <c r="AC424" s="2">
        <f>VLOOKUP([jobnumber],OvalData[],MATCH(Table2[[#Headers],[Grille Center]],Table2[#Headers],0),0)</f>
        <v>0</v>
      </c>
      <c r="AD424" s="2">
        <f>VLOOKUP([jobnumber],OvalData[],MATCH(Table2[[#Headers],[Grille Pattern]],Table2[#Headers],0),0)</f>
        <v>0</v>
      </c>
      <c r="AE424" s="2">
        <f>VLOOKUP([jobnumber],OvalData[],MATCH(Table2[[#Headers],[Grille First Tube]],Table2[#Headers],0),0)</f>
        <v>0</v>
      </c>
      <c r="AF424" s="2">
        <f>VLOOKUP([jobnumber],OvalData[],MATCH(Table2[[#Headers],[Grille Standard Tube]],Table2[#Headers],0),0)</f>
        <v>0</v>
      </c>
      <c r="AG424" s="2">
        <f>VLOOKUP([jobnumber],OvalData[],MATCH(Table2[[#Headers],[Grille Total Links]],Table2[#Headers],0),0)</f>
        <v>0</v>
      </c>
      <c r="AH424" s="2">
        <f>VLOOKUP([jobnumber],OvalData[],MATCH(Table2[[#Headers],[Grille Rods]],Table2[#Headers],0),0)</f>
        <v>0</v>
      </c>
      <c r="AI424" s="2">
        <f>VLOOKUP([jobnumber],OvalData[],MATCH(Table2[[#Headers],[Grille Rod Length]],Table2[#Headers],0),0)</f>
        <v>0</v>
      </c>
      <c r="AJ424" s="2">
        <f>VLOOKUP([jobnumber],OvalData[],MATCH(Table2[[#Headers],[slattype]],Table2[#Headers],0),0)</f>
        <v>2</v>
      </c>
      <c r="AK424" s="2">
        <f>VLOOKUP([jobnumber],OvalData[],MATCH(Table2[[#Headers],[slatgage]],Table2[#Headers],0),0)</f>
        <v>18</v>
      </c>
      <c r="AL424" s="2">
        <f>VLOOKUP([jobnumber],OvalData[],MATCH(Table2[[#Headers],[Numer of Top Slats]],Table2[#Headers],0),0)</f>
        <v>0</v>
      </c>
      <c r="AM424" s="2">
        <f>VLOOKUP([jobnumber],OvalData[],MATCH(Table2[[#Headers],[Number of Bottom Slats]],Table2[#Headers],0),0)</f>
        <v>0</v>
      </c>
      <c r="AN424" s="2">
        <f>VLOOKUP([jobnumber],OvalData[],MATCH(Table2[[#Headers],[Solid Bottom Height]],Table2[#Headers],0),0)</f>
        <v>0</v>
      </c>
      <c r="AO424" s="2" t="str">
        <f>VLOOKUP([jobnumber],OvalData[],MATCH(Table2[[#Headers],[slatlength]],Table2[#Headers],0),0)</f>
        <v xml:space="preserve"> 18 ft.- 5 7/ 8"</v>
      </c>
      <c r="AP424" s="2">
        <f>VLOOKUP([jobnumber],OvalData[],MATCH(Table2[[#Headers],[Bottom Slat Length]],Table2[#Headers],0),0)</f>
        <v>0</v>
      </c>
      <c r="AQ424" s="2">
        <f>VLOOKUP([jobnumber],OvalData[],MATCH(Table2[[#Headers],[Number of Perferated Slats]],Table2[#Headers],0),0)</f>
        <v>0</v>
      </c>
      <c r="AR424" s="2">
        <f>VLOOKUP([jobnumber],OvalData[],MATCH(Table2[[#Headers],[First Preferated Slat From End]],Table2[#Headers],0),0)</f>
        <v>0</v>
      </c>
      <c r="AS424" s="2">
        <f>VLOOKUP([jobnumber],OvalData[],MATCH(Table2[[#Headers],[First Preferated Slat From Bottom]],Table2[#Headers],0),0)</f>
        <v>0</v>
      </c>
      <c r="AT424" s="2">
        <f>VLOOKUP([jobnumber],OvalData[],MATCH(Table2[[#Headers],[Total Number of Slats]],Table2[#Headers],0),0)</f>
        <v>51</v>
      </c>
      <c r="AU424" s="2">
        <f>VLOOKUP([jobnumber],OvalData[],MATCH(Table2[[#Headers],[Bottom Bar Slope]],Table2[#Headers],0),0)</f>
        <v>0</v>
      </c>
      <c r="AV424" s="2">
        <f>VLOOKUP([jobnumber],OvalData[],MATCH(Table2[[#Headers],[Bottom Bar Weight]],Table2[#Headers],0),0)</f>
        <v>80.5</v>
      </c>
      <c r="AW424" s="2" t="str">
        <f>VLOOKUP([jobnumber],OvalData[],MATCH(Table2[[#Headers],[Outer Spring Gage]],Table2[#Headers],0),0)</f>
        <v>Null</v>
      </c>
      <c r="AX424" s="2" t="str">
        <f>VLOOKUP([jobnumber],OvalData[],MATCH(Table2[[#Headers],[Outer Spring OD]],Table2[#Headers],0),0)</f>
        <v>Null</v>
      </c>
      <c r="AY424" s="2" t="str">
        <f>VLOOKUP([jobnumber],OvalData[],MATCH(Table2[[#Headers],[Outer Spring Length]],Table2[#Headers],0),0)</f>
        <v>Null</v>
      </c>
      <c r="AZ424" s="2" t="str">
        <f>VLOOKUP([jobnumber],OvalData[],MATCH(Table2[[#Headers],[Outer Spring Stretch]],Table2[#Headers],0),0)</f>
        <v>Null</v>
      </c>
      <c r="BA424" s="2" t="str">
        <f>VLOOKUP([jobnumber],OvalData[],MATCH(Table2[[#Headers],[Outer Spring Torque]],Table2[#Headers],0),0)</f>
        <v>Null</v>
      </c>
      <c r="BB424" s="2" t="str">
        <f>VLOOKUP([jobnumber],OvalData[],MATCH(Table2[[#Headers],[Outer Spring Max Turns]],Table2[#Headers],0),0)</f>
        <v>Null</v>
      </c>
      <c r="BC424" s="2" t="str">
        <f>VLOOKUP([jobnumber],OvalData[],MATCH(Table2[[#Headers],[Outer Spring Weight]],Table2[#Headers],0),0)</f>
        <v>Null</v>
      </c>
      <c r="BD424" s="2" t="str">
        <f>VLOOKUP([jobnumber],OvalData[],MATCH(Table2[[#Headers],[Inner Spring Gage]],Table2[#Headers],0),0)</f>
        <v>Null</v>
      </c>
      <c r="BE424" s="2" t="str">
        <f>VLOOKUP([jobnumber],OvalData[],MATCH(Table2[[#Headers],[Inner Spring OD]],Table2[#Headers],0),0)</f>
        <v>Null</v>
      </c>
      <c r="BF424" s="2" t="str">
        <f>VLOOKUP([jobnumber],OvalData[],MATCH(Table2[[#Headers],[Inner Spring Length]],Table2[#Headers],0),0)</f>
        <v>Null</v>
      </c>
      <c r="BG424" s="2" t="str">
        <f>VLOOKUP([jobnumber],OvalData[],MATCH(Table2[[#Headers],[Inner Spring Stretch]],Table2[#Headers],0),0)</f>
        <v>Null</v>
      </c>
      <c r="BH424" s="2" t="str">
        <f>VLOOKUP([jobnumber],OvalData[],MATCH(Table2[[#Headers],[Inner Spring Torque]],Table2[#Headers],0),0)</f>
        <v>Null</v>
      </c>
      <c r="BI424" s="2" t="str">
        <f>VLOOKUP([jobnumber],OvalData[],MATCH(Table2[[#Headers],[Inner Spring Max Turns]],Table2[#Headers],0),0)</f>
        <v>Null</v>
      </c>
      <c r="BJ424" s="2" t="str">
        <f>VLOOKUP([jobnumber],OvalData[],MATCH(Table2[[#Headers],[Inner Spring Weight]],Table2[#Headers],0),0)</f>
        <v>Null</v>
      </c>
      <c r="BK424" s="2">
        <f>VLOOKUP([jobnumber],OvalData[],MATCH(Table2[[#Headers],[Cycles]],Table2[#Headers],0),0)</f>
        <v>0</v>
      </c>
      <c r="BL424" s="2">
        <f>VLOOKUP([jobnumber],OvalData[],MATCH(Table2[[#Headers],[Total Spring Torque]],Table2[#Headers],0),0)</f>
        <v>0</v>
      </c>
      <c r="BM424" s="2">
        <f>VLOOKUP([jobnumber],OvalData[],MATCH(Table2[[#Headers],[Total Spring Weight]],Table2[#Headers],0),0)</f>
        <v>0</v>
      </c>
      <c r="BN424" s="2">
        <f>VLOOKUP([jobnumber],OvalData[],MATCH(Table2[[#Headers],[Pipe Weight]],Table2[#Headers],0),0)</f>
        <v>688.24239999999998</v>
      </c>
      <c r="BO424" s="2">
        <f>VLOOKUP([jobnumber],OvalData[],MATCH(Table2[[#Headers],[Max Pipe Deflection]],Table2[#Headers],0),0)</f>
        <v>2309</v>
      </c>
      <c r="BP424" s="2">
        <f>VLOOKUP([jobnumber],OvalData[],MATCH(Table2[[#Headers],[Number Non-Insulated Wrap Slats]],Table2[#Headers],0),0)</f>
        <v>0</v>
      </c>
      <c r="BQ424" s="2">
        <f>VLOOKUP([jobnumber],OvalData[],MATCH(Table2[[#Headers],[Number of Insolated Top Slats]],Table2[#Headers],0),0)</f>
        <v>45</v>
      </c>
      <c r="BR424" s="2">
        <f>VLOOKUP([jobnumber],OvalData[],MATCH(Table2[[#Headers],[Insolated Total Slats]],Table2[#Headers],0),0)</f>
        <v>45</v>
      </c>
      <c r="BS424" s="2">
        <f>VLOOKUP([jobnumber],OvalData[],MATCH(Table2[[#Headers],[Number of Slats]],Table2[#Headers],0),0)</f>
        <v>44.69</v>
      </c>
      <c r="BT424" s="2">
        <f>VLOOKUP([jobnumber],OvalData[],MATCH(Table2[[#Headers],[Wrap]],Table2[#Headers],0),0)</f>
        <v>0</v>
      </c>
      <c r="BU424" s="2">
        <f>VLOOKUP([jobnumber],OvalData[],MATCH(Table2[[#Headers],[Wall Angle Thickness]],Table2[#Headers],0),0)</f>
        <v>0</v>
      </c>
      <c r="BV424" s="2">
        <f>VLOOKUP([jobnumber],OvalData[],MATCH(Table2[[#Headers],[windlocks]],Table2[#Headers],0),0)</f>
        <v>0</v>
      </c>
      <c r="BW424" s="2" t="str">
        <f>VLOOKUP([jobnumber],OvalData[],MATCH(Table2[[#Headers],[bottombartype]],Table2[#Headers],0),0)</f>
        <v>SPECIAL</v>
      </c>
      <c r="BX424" s="2">
        <f>VLOOKUP([jobnumber],OvalData[],MATCH(Table2[[#Headers],[endlockweight]],Table2[#Headers],0),0)</f>
        <v>0.17</v>
      </c>
      <c r="BY424" s="2">
        <f>VLOOKUP([jobnumber],OvalData[],MATCH(Table2[[#Headers],[Endlock Total Weight]],Table2[#Headers],0),0)</f>
        <v>7.5972999999999997</v>
      </c>
      <c r="BZ424" s="2">
        <f>VLOOKUP([jobnumber],OvalData[],MATCH(Table2[[#Headers],[Grille Weight]],Table2[#Headers],0),0)</f>
        <v>0</v>
      </c>
      <c r="CA424" s="2">
        <f>VLOOKUP([jobnumber],OvalData[],MATCH(Table2[[#Headers],[barrelrings]],Table2[#Headers],0),0)</f>
        <v>1</v>
      </c>
    </row>
    <row r="425" spans="2:79">
      <c r="B425" s="2" t="str">
        <f>VLOOKUP([jobnumber],OvalData[],MATCH(Table2[[#Headers],[Hand]],Table2[#Headers],0),0)</f>
        <v>RH</v>
      </c>
      <c r="C425" s="2" t="str">
        <f>VLOOKUP([jobnumber],OvalData[],MATCH(Table2[[#Headers],[Model]],Table2[#Headers],0),0)</f>
        <v>SFMPP</v>
      </c>
      <c r="D425" s="2" t="str">
        <f>VLOOKUP([jobnumber],OvalData[],MATCH(Table2[[#Headers],[width]],Table2[#Headers],0),0)</f>
        <v xml:space="preserve"> 18 ft.- 2"</v>
      </c>
      <c r="E425" s="2" t="str">
        <f>VLOOKUP([jobnumber],OvalData[],MATCH(Table2[[#Headers],[stopheight]],Table2[#Headers],0),0)</f>
        <v xml:space="preserve"> 10 ft.- 0"</v>
      </c>
      <c r="F425" s="2" t="str">
        <f>VLOOKUP([jobnumber],OvalData[],MATCH(Table2[[#Headers],[Between Brackets]],Table2[#Headers],0),0)</f>
        <v xml:space="preserve"> 18 ft.- 7 7/ 8"</v>
      </c>
      <c r="G425" s="2" t="str">
        <f>VLOOKUP([jobnumber],OvalData[],MATCH(Table2[[#Headers],[shell]],Table2[#Headers],0),0)</f>
        <v>6 INCH TUBE</v>
      </c>
      <c r="H425" s="2" t="str">
        <f>VLOOKUP([jobnumber],OvalData[],MATCH(Table2[[#Headers],[pipewidth]],Table2[#Headers],0),0)</f>
        <v xml:space="preserve"> 18 ft.- 1 3/ 8"</v>
      </c>
      <c r="I425" s="2">
        <f>VLOOKUP([jobnumber],OvalData[],MATCH(Table2[[#Headers],[Support Tubes]],Table2[#Headers],0),0)</f>
        <v>0</v>
      </c>
      <c r="J425" s="2">
        <f>VLOOKUP([jobnumber],OvalData[],MATCH(Table2[[#Headers],[Upset]],Table2[#Headers],0),0)</f>
        <v>2</v>
      </c>
      <c r="K425" s="2" t="str">
        <f>VLOOKUP([jobnumber],OvalData[],MATCH(Table2[[#Headers],[Guide Type]],Table2[#Headers],0),0)</f>
        <v>SN2-4 5/8-E</v>
      </c>
      <c r="L425" s="2" t="str">
        <f>VLOOKUP([jobnumber],OvalData[],MATCH(Table2[[#Headers],[Wall Angle]],Table2[#Headers],0),0)</f>
        <v xml:space="preserve"> 11 ft.- 8"</v>
      </c>
      <c r="M425" s="2" t="str">
        <f>VLOOKUP([jobnumber],OvalData[],MATCH(Table2[[#Headers],[Middle Angle]],Table2[#Headers],0),0)</f>
        <v xml:space="preserve"> 10 ft.- 4 1/ 2"</v>
      </c>
      <c r="N425" s="2" t="str">
        <f>VLOOKUP([jobnumber],OvalData[],MATCH(Table2[[#Headers],[Front Angle]],Table2[#Headers],0),0)</f>
        <v xml:space="preserve"> 10 ft.- 3"</v>
      </c>
      <c r="O425" s="2">
        <f>VLOOKUP([jobnumber],OvalData[],MATCH(Table2[[#Headers],[Pipe Center Line]],Table2[#Headers],0),0)</f>
        <v>131</v>
      </c>
      <c r="P425" s="2">
        <f>VLOOKUP([jobnumber],OvalData[],MATCH(Table2[[#Headers],[Heat Expansion Gap]],Table2[#Headers],0),0)</f>
        <v>0</v>
      </c>
      <c r="Q425" s="2">
        <f>VLOOKUP([jobnumber],OvalData[],MATCH(Table2[[#Headers],[Hanging Weight Closed]],Table2[#Headers],0),0)</f>
        <v>795</v>
      </c>
      <c r="R425" s="2">
        <f>VLOOKUP([jobnumber],OvalData[],MATCH(Table2[[#Headers],[Hanging Weight Open]],Table2[#Headers],0),0)</f>
        <v>140</v>
      </c>
      <c r="S425" s="2">
        <f>VLOOKUP([jobnumber],OvalData[],MATCH(Table2[[#Headers],[Initial Lever Arm]],Table2[#Headers],0),0)</f>
        <v>4.25</v>
      </c>
      <c r="T425" s="2">
        <f>VLOOKUP([jobnumber],OvalData[],MATCH(Table2[[#Headers],[Turns to Raise]],Table2[#Headers],0),0)</f>
        <v>3.5859999999999999</v>
      </c>
      <c r="U425" s="2">
        <f>VLOOKUP([jobnumber],OvalData[],MATCH(Table2[[#Headers],[Final Lever Arm]],Table2[#Headers],0),0)</f>
        <v>6.37</v>
      </c>
      <c r="V425" s="2">
        <f>VLOOKUP([jobnumber],OvalData[],MATCH(Table2[[#Headers],[Torque Required Closed]],Table2[#Headers],0),0)</f>
        <v>3377.9</v>
      </c>
      <c r="W425" s="2">
        <f>VLOOKUP([jobnumber],OvalData[],MATCH(Table2[[#Headers],[Torque Required Open]],Table2[#Headers],0),0)</f>
        <v>892</v>
      </c>
      <c r="X425" s="2">
        <f>VLOOKUP([jobnumber],OvalData[],MATCH(Table2[[#Headers],[Pre Turns]],Table2[#Headers],0),0)</f>
        <v>1.3332999999999999</v>
      </c>
      <c r="Y425" s="2">
        <f>VLOOKUP([jobnumber],OvalData[],MATCH(Table2[[#Headers],[Required Torque Per Turn]],Table2[#Headers],0),0)</f>
        <v>688</v>
      </c>
      <c r="Z425" s="2">
        <f>VLOOKUP([jobnumber],OvalData[],MATCH(Table2[[#Headers],[Total Turns]],Table2[#Headers],0),0)</f>
        <v>4.91</v>
      </c>
      <c r="AA425" s="2">
        <f>VLOOKUP([jobnumber],OvalData[],MATCH(Table2[[#Headers],[Grille Vision Section]],Table2[#Headers],0),0)</f>
        <v>0</v>
      </c>
      <c r="AB425" s="2">
        <f>VLOOKUP([jobnumber],OvalData[],MATCH(Table2[[#Headers],[Grille Amount]],Table2[#Headers],0),0)</f>
        <v>0</v>
      </c>
      <c r="AC425" s="2">
        <f>VLOOKUP([jobnumber],OvalData[],MATCH(Table2[[#Headers],[Grille Center]],Table2[#Headers],0),0)</f>
        <v>0</v>
      </c>
      <c r="AD425" s="2">
        <f>VLOOKUP([jobnumber],OvalData[],MATCH(Table2[[#Headers],[Grille Pattern]],Table2[#Headers],0),0)</f>
        <v>0</v>
      </c>
      <c r="AE425" s="2">
        <f>VLOOKUP([jobnumber],OvalData[],MATCH(Table2[[#Headers],[Grille First Tube]],Table2[#Headers],0),0)</f>
        <v>0</v>
      </c>
      <c r="AF425" s="2">
        <f>VLOOKUP([jobnumber],OvalData[],MATCH(Table2[[#Headers],[Grille Standard Tube]],Table2[#Headers],0),0)</f>
        <v>0</v>
      </c>
      <c r="AG425" s="2">
        <f>VLOOKUP([jobnumber],OvalData[],MATCH(Table2[[#Headers],[Grille Total Links]],Table2[#Headers],0),0)</f>
        <v>0</v>
      </c>
      <c r="AH425" s="2">
        <f>VLOOKUP([jobnumber],OvalData[],MATCH(Table2[[#Headers],[Grille Rods]],Table2[#Headers],0),0)</f>
        <v>0</v>
      </c>
      <c r="AI425" s="2">
        <f>VLOOKUP([jobnumber],OvalData[],MATCH(Table2[[#Headers],[Grille Rod Length]],Table2[#Headers],0),0)</f>
        <v>0</v>
      </c>
      <c r="AJ425" s="2">
        <f>VLOOKUP([jobnumber],OvalData[],MATCH(Table2[[#Headers],[slattype]],Table2[#Headers],0),0)</f>
        <v>2</v>
      </c>
      <c r="AK425" s="2">
        <f>VLOOKUP([jobnumber],OvalData[],MATCH(Table2[[#Headers],[slatgage]],Table2[#Headers],0),0)</f>
        <v>18</v>
      </c>
      <c r="AL425" s="2">
        <f>VLOOKUP([jobnumber],OvalData[],MATCH(Table2[[#Headers],[Numer of Top Slats]],Table2[#Headers],0),0)</f>
        <v>0</v>
      </c>
      <c r="AM425" s="2">
        <f>VLOOKUP([jobnumber],OvalData[],MATCH(Table2[[#Headers],[Number of Bottom Slats]],Table2[#Headers],0),0)</f>
        <v>0</v>
      </c>
      <c r="AN425" s="2">
        <f>VLOOKUP([jobnumber],OvalData[],MATCH(Table2[[#Headers],[Solid Bottom Height]],Table2[#Headers],0),0)</f>
        <v>0</v>
      </c>
      <c r="AO425" s="2" t="str">
        <f>VLOOKUP([jobnumber],OvalData[],MATCH(Table2[[#Headers],[slatlength]],Table2[#Headers],0),0)</f>
        <v xml:space="preserve"> 18 ft.- 5 7/ 8"</v>
      </c>
      <c r="AP425" s="2">
        <f>VLOOKUP([jobnumber],OvalData[],MATCH(Table2[[#Headers],[Bottom Slat Length]],Table2[#Headers],0),0)</f>
        <v>0</v>
      </c>
      <c r="AQ425" s="2">
        <f>VLOOKUP([jobnumber],OvalData[],MATCH(Table2[[#Headers],[Number of Perferated Slats]],Table2[#Headers],0),0)</f>
        <v>0</v>
      </c>
      <c r="AR425" s="2">
        <f>VLOOKUP([jobnumber],OvalData[],MATCH(Table2[[#Headers],[First Preferated Slat From End]],Table2[#Headers],0),0)</f>
        <v>0</v>
      </c>
      <c r="AS425" s="2">
        <f>VLOOKUP([jobnumber],OvalData[],MATCH(Table2[[#Headers],[First Preferated Slat From Bottom]],Table2[#Headers],0),0)</f>
        <v>0</v>
      </c>
      <c r="AT425" s="2">
        <f>VLOOKUP([jobnumber],OvalData[],MATCH(Table2[[#Headers],[Total Number of Slats]],Table2[#Headers],0),0)</f>
        <v>51</v>
      </c>
      <c r="AU425" s="2">
        <f>VLOOKUP([jobnumber],OvalData[],MATCH(Table2[[#Headers],[Bottom Bar Slope]],Table2[#Headers],0),0)</f>
        <v>0</v>
      </c>
      <c r="AV425" s="2">
        <f>VLOOKUP([jobnumber],OvalData[],MATCH(Table2[[#Headers],[Bottom Bar Weight]],Table2[#Headers],0),0)</f>
        <v>80.5</v>
      </c>
      <c r="AW425" s="2" t="str">
        <f>VLOOKUP([jobnumber],OvalData[],MATCH(Table2[[#Headers],[Outer Spring Gage]],Table2[#Headers],0),0)</f>
        <v>Null</v>
      </c>
      <c r="AX425" s="2" t="str">
        <f>VLOOKUP([jobnumber],OvalData[],MATCH(Table2[[#Headers],[Outer Spring OD]],Table2[#Headers],0),0)</f>
        <v>Null</v>
      </c>
      <c r="AY425" s="2" t="str">
        <f>VLOOKUP([jobnumber],OvalData[],MATCH(Table2[[#Headers],[Outer Spring Length]],Table2[#Headers],0),0)</f>
        <v>Null</v>
      </c>
      <c r="AZ425" s="2" t="str">
        <f>VLOOKUP([jobnumber],OvalData[],MATCH(Table2[[#Headers],[Outer Spring Stretch]],Table2[#Headers],0),0)</f>
        <v>Null</v>
      </c>
      <c r="BA425" s="2" t="str">
        <f>VLOOKUP([jobnumber],OvalData[],MATCH(Table2[[#Headers],[Outer Spring Torque]],Table2[#Headers],0),0)</f>
        <v>Null</v>
      </c>
      <c r="BB425" s="2" t="str">
        <f>VLOOKUP([jobnumber],OvalData[],MATCH(Table2[[#Headers],[Outer Spring Max Turns]],Table2[#Headers],0),0)</f>
        <v>Null</v>
      </c>
      <c r="BC425" s="2" t="str">
        <f>VLOOKUP([jobnumber],OvalData[],MATCH(Table2[[#Headers],[Outer Spring Weight]],Table2[#Headers],0),0)</f>
        <v>Null</v>
      </c>
      <c r="BD425" s="2" t="str">
        <f>VLOOKUP([jobnumber],OvalData[],MATCH(Table2[[#Headers],[Inner Spring Gage]],Table2[#Headers],0),0)</f>
        <v>Null</v>
      </c>
      <c r="BE425" s="2" t="str">
        <f>VLOOKUP([jobnumber],OvalData[],MATCH(Table2[[#Headers],[Inner Spring OD]],Table2[#Headers],0),0)</f>
        <v>Null</v>
      </c>
      <c r="BF425" s="2" t="str">
        <f>VLOOKUP([jobnumber],OvalData[],MATCH(Table2[[#Headers],[Inner Spring Length]],Table2[#Headers],0),0)</f>
        <v>Null</v>
      </c>
      <c r="BG425" s="2" t="str">
        <f>VLOOKUP([jobnumber],OvalData[],MATCH(Table2[[#Headers],[Inner Spring Stretch]],Table2[#Headers],0),0)</f>
        <v>Null</v>
      </c>
      <c r="BH425" s="2" t="str">
        <f>VLOOKUP([jobnumber],OvalData[],MATCH(Table2[[#Headers],[Inner Spring Torque]],Table2[#Headers],0),0)</f>
        <v>Null</v>
      </c>
      <c r="BI425" s="2" t="str">
        <f>VLOOKUP([jobnumber],OvalData[],MATCH(Table2[[#Headers],[Inner Spring Max Turns]],Table2[#Headers],0),0)</f>
        <v>Null</v>
      </c>
      <c r="BJ425" s="2" t="str">
        <f>VLOOKUP([jobnumber],OvalData[],MATCH(Table2[[#Headers],[Inner Spring Weight]],Table2[#Headers],0),0)</f>
        <v>Null</v>
      </c>
      <c r="BK425" s="2">
        <f>VLOOKUP([jobnumber],OvalData[],MATCH(Table2[[#Headers],[Cycles]],Table2[#Headers],0),0)</f>
        <v>0</v>
      </c>
      <c r="BL425" s="2">
        <f>VLOOKUP([jobnumber],OvalData[],MATCH(Table2[[#Headers],[Total Spring Torque]],Table2[#Headers],0),0)</f>
        <v>0</v>
      </c>
      <c r="BM425" s="2">
        <f>VLOOKUP([jobnumber],OvalData[],MATCH(Table2[[#Headers],[Total Spring Weight]],Table2[#Headers],0),0)</f>
        <v>0</v>
      </c>
      <c r="BN425" s="2">
        <f>VLOOKUP([jobnumber],OvalData[],MATCH(Table2[[#Headers],[Pipe Weight]],Table2[#Headers],0),0)</f>
        <v>688.24239999999998</v>
      </c>
      <c r="BO425" s="2">
        <f>VLOOKUP([jobnumber],OvalData[],MATCH(Table2[[#Headers],[Max Pipe Deflection]],Table2[#Headers],0),0)</f>
        <v>2309</v>
      </c>
      <c r="BP425" s="2">
        <f>VLOOKUP([jobnumber],OvalData[],MATCH(Table2[[#Headers],[Number Non-Insulated Wrap Slats]],Table2[#Headers],0),0)</f>
        <v>0</v>
      </c>
      <c r="BQ425" s="2">
        <f>VLOOKUP([jobnumber],OvalData[],MATCH(Table2[[#Headers],[Number of Insolated Top Slats]],Table2[#Headers],0),0)</f>
        <v>45</v>
      </c>
      <c r="BR425" s="2">
        <f>VLOOKUP([jobnumber],OvalData[],MATCH(Table2[[#Headers],[Insolated Total Slats]],Table2[#Headers],0),0)</f>
        <v>45</v>
      </c>
      <c r="BS425" s="2">
        <f>VLOOKUP([jobnumber],OvalData[],MATCH(Table2[[#Headers],[Number of Slats]],Table2[#Headers],0),0)</f>
        <v>44.69</v>
      </c>
      <c r="BT425" s="2">
        <f>VLOOKUP([jobnumber],OvalData[],MATCH(Table2[[#Headers],[Wrap]],Table2[#Headers],0),0)</f>
        <v>0</v>
      </c>
      <c r="BU425" s="2">
        <f>VLOOKUP([jobnumber],OvalData[],MATCH(Table2[[#Headers],[Wall Angle Thickness]],Table2[#Headers],0),0)</f>
        <v>0</v>
      </c>
      <c r="BV425" s="2">
        <f>VLOOKUP([jobnumber],OvalData[],MATCH(Table2[[#Headers],[windlocks]],Table2[#Headers],0),0)</f>
        <v>0</v>
      </c>
      <c r="BW425" s="2" t="str">
        <f>VLOOKUP([jobnumber],OvalData[],MATCH(Table2[[#Headers],[bottombartype]],Table2[#Headers],0),0)</f>
        <v>SPECIAL</v>
      </c>
      <c r="BX425" s="2">
        <f>VLOOKUP([jobnumber],OvalData[],MATCH(Table2[[#Headers],[endlockweight]],Table2[#Headers],0),0)</f>
        <v>0.17</v>
      </c>
      <c r="BY425" s="2">
        <f>VLOOKUP([jobnumber],OvalData[],MATCH(Table2[[#Headers],[Endlock Total Weight]],Table2[#Headers],0),0)</f>
        <v>7.5972999999999997</v>
      </c>
      <c r="BZ425" s="2">
        <f>VLOOKUP([jobnumber],OvalData[],MATCH(Table2[[#Headers],[Grille Weight]],Table2[#Headers],0),0)</f>
        <v>0</v>
      </c>
      <c r="CA425" s="2">
        <f>VLOOKUP([jobnumber],OvalData[],MATCH(Table2[[#Headers],[barrelrings]],Table2[#Headers],0),0)</f>
        <v>1</v>
      </c>
    </row>
    <row r="426" spans="2:79">
      <c r="B426" s="2" t="str">
        <f>VLOOKUP([jobnumber],OvalData[],MATCH(Table2[[#Headers],[Hand]],Table2[#Headers],0),0)</f>
        <v>RH</v>
      </c>
      <c r="C426" s="2" t="str">
        <f>VLOOKUP([jobnumber],OvalData[],MATCH(Table2[[#Headers],[Model]],Table2[#Headers],0),0)</f>
        <v>SFMPP</v>
      </c>
      <c r="D426" s="2" t="str">
        <f>VLOOKUP([jobnumber],OvalData[],MATCH(Table2[[#Headers],[width]],Table2[#Headers],0),0)</f>
        <v xml:space="preserve"> 18 ft.- 2"</v>
      </c>
      <c r="E426" s="2" t="str">
        <f>VLOOKUP([jobnumber],OvalData[],MATCH(Table2[[#Headers],[stopheight]],Table2[#Headers],0),0)</f>
        <v xml:space="preserve"> 10 ft.- 0"</v>
      </c>
      <c r="F426" s="2" t="str">
        <f>VLOOKUP([jobnumber],OvalData[],MATCH(Table2[[#Headers],[Between Brackets]],Table2[#Headers],0),0)</f>
        <v xml:space="preserve"> 18 ft.- 7 7/ 8"</v>
      </c>
      <c r="G426" s="2" t="str">
        <f>VLOOKUP([jobnumber],OvalData[],MATCH(Table2[[#Headers],[shell]],Table2[#Headers],0),0)</f>
        <v>6 INCH TUBE</v>
      </c>
      <c r="H426" s="2" t="str">
        <f>VLOOKUP([jobnumber],OvalData[],MATCH(Table2[[#Headers],[pipewidth]],Table2[#Headers],0),0)</f>
        <v xml:space="preserve"> 18 ft.- 1 3/ 8"</v>
      </c>
      <c r="I426" s="2">
        <f>VLOOKUP([jobnumber],OvalData[],MATCH(Table2[[#Headers],[Support Tubes]],Table2[#Headers],0),0)</f>
        <v>0</v>
      </c>
      <c r="J426" s="2">
        <f>VLOOKUP([jobnumber],OvalData[],MATCH(Table2[[#Headers],[Upset]],Table2[#Headers],0),0)</f>
        <v>2</v>
      </c>
      <c r="K426" s="2" t="str">
        <f>VLOOKUP([jobnumber],OvalData[],MATCH(Table2[[#Headers],[Guide Type]],Table2[#Headers],0),0)</f>
        <v>SN2-4 5/8-E</v>
      </c>
      <c r="L426" s="2" t="str">
        <f>VLOOKUP([jobnumber],OvalData[],MATCH(Table2[[#Headers],[Wall Angle]],Table2[#Headers],0),0)</f>
        <v xml:space="preserve"> 11 ft.- 8"</v>
      </c>
      <c r="M426" s="2" t="str">
        <f>VLOOKUP([jobnumber],OvalData[],MATCH(Table2[[#Headers],[Middle Angle]],Table2[#Headers],0),0)</f>
        <v xml:space="preserve"> 10 ft.- 4 1/ 2"</v>
      </c>
      <c r="N426" s="2" t="str">
        <f>VLOOKUP([jobnumber],OvalData[],MATCH(Table2[[#Headers],[Front Angle]],Table2[#Headers],0),0)</f>
        <v xml:space="preserve"> 10 ft.- 3"</v>
      </c>
      <c r="O426" s="2">
        <f>VLOOKUP([jobnumber],OvalData[],MATCH(Table2[[#Headers],[Pipe Center Line]],Table2[#Headers],0),0)</f>
        <v>131</v>
      </c>
      <c r="P426" s="2">
        <f>VLOOKUP([jobnumber],OvalData[],MATCH(Table2[[#Headers],[Heat Expansion Gap]],Table2[#Headers],0),0)</f>
        <v>0</v>
      </c>
      <c r="Q426" s="2">
        <f>VLOOKUP([jobnumber],OvalData[],MATCH(Table2[[#Headers],[Hanging Weight Closed]],Table2[#Headers],0),0)</f>
        <v>795</v>
      </c>
      <c r="R426" s="2">
        <f>VLOOKUP([jobnumber],OvalData[],MATCH(Table2[[#Headers],[Hanging Weight Open]],Table2[#Headers],0),0)</f>
        <v>140</v>
      </c>
      <c r="S426" s="2">
        <f>VLOOKUP([jobnumber],OvalData[],MATCH(Table2[[#Headers],[Initial Lever Arm]],Table2[#Headers],0),0)</f>
        <v>4.25</v>
      </c>
      <c r="T426" s="2">
        <f>VLOOKUP([jobnumber],OvalData[],MATCH(Table2[[#Headers],[Turns to Raise]],Table2[#Headers],0),0)</f>
        <v>3.5859999999999999</v>
      </c>
      <c r="U426" s="2">
        <f>VLOOKUP([jobnumber],OvalData[],MATCH(Table2[[#Headers],[Final Lever Arm]],Table2[#Headers],0),0)</f>
        <v>6.37</v>
      </c>
      <c r="V426" s="2">
        <f>VLOOKUP([jobnumber],OvalData[],MATCH(Table2[[#Headers],[Torque Required Closed]],Table2[#Headers],0),0)</f>
        <v>3377.9</v>
      </c>
      <c r="W426" s="2">
        <f>VLOOKUP([jobnumber],OvalData[],MATCH(Table2[[#Headers],[Torque Required Open]],Table2[#Headers],0),0)</f>
        <v>892</v>
      </c>
      <c r="X426" s="2">
        <f>VLOOKUP([jobnumber],OvalData[],MATCH(Table2[[#Headers],[Pre Turns]],Table2[#Headers],0),0)</f>
        <v>1.3332999999999999</v>
      </c>
      <c r="Y426" s="2">
        <f>VLOOKUP([jobnumber],OvalData[],MATCH(Table2[[#Headers],[Required Torque Per Turn]],Table2[#Headers],0),0)</f>
        <v>688</v>
      </c>
      <c r="Z426" s="2">
        <f>VLOOKUP([jobnumber],OvalData[],MATCH(Table2[[#Headers],[Total Turns]],Table2[#Headers],0),0)</f>
        <v>4.91</v>
      </c>
      <c r="AA426" s="2">
        <f>VLOOKUP([jobnumber],OvalData[],MATCH(Table2[[#Headers],[Grille Vision Section]],Table2[#Headers],0),0)</f>
        <v>0</v>
      </c>
      <c r="AB426" s="2">
        <f>VLOOKUP([jobnumber],OvalData[],MATCH(Table2[[#Headers],[Grille Amount]],Table2[#Headers],0),0)</f>
        <v>0</v>
      </c>
      <c r="AC426" s="2">
        <f>VLOOKUP([jobnumber],OvalData[],MATCH(Table2[[#Headers],[Grille Center]],Table2[#Headers],0),0)</f>
        <v>0</v>
      </c>
      <c r="AD426" s="2">
        <f>VLOOKUP([jobnumber],OvalData[],MATCH(Table2[[#Headers],[Grille Pattern]],Table2[#Headers],0),0)</f>
        <v>0</v>
      </c>
      <c r="AE426" s="2">
        <f>VLOOKUP([jobnumber],OvalData[],MATCH(Table2[[#Headers],[Grille First Tube]],Table2[#Headers],0),0)</f>
        <v>0</v>
      </c>
      <c r="AF426" s="2">
        <f>VLOOKUP([jobnumber],OvalData[],MATCH(Table2[[#Headers],[Grille Standard Tube]],Table2[#Headers],0),0)</f>
        <v>0</v>
      </c>
      <c r="AG426" s="2">
        <f>VLOOKUP([jobnumber],OvalData[],MATCH(Table2[[#Headers],[Grille Total Links]],Table2[#Headers],0),0)</f>
        <v>0</v>
      </c>
      <c r="AH426" s="2">
        <f>VLOOKUP([jobnumber],OvalData[],MATCH(Table2[[#Headers],[Grille Rods]],Table2[#Headers],0),0)</f>
        <v>0</v>
      </c>
      <c r="AI426" s="2">
        <f>VLOOKUP([jobnumber],OvalData[],MATCH(Table2[[#Headers],[Grille Rod Length]],Table2[#Headers],0),0)</f>
        <v>0</v>
      </c>
      <c r="AJ426" s="2">
        <f>VLOOKUP([jobnumber],OvalData[],MATCH(Table2[[#Headers],[slattype]],Table2[#Headers],0),0)</f>
        <v>2</v>
      </c>
      <c r="AK426" s="2">
        <f>VLOOKUP([jobnumber],OvalData[],MATCH(Table2[[#Headers],[slatgage]],Table2[#Headers],0),0)</f>
        <v>18</v>
      </c>
      <c r="AL426" s="2">
        <f>VLOOKUP([jobnumber],OvalData[],MATCH(Table2[[#Headers],[Numer of Top Slats]],Table2[#Headers],0),0)</f>
        <v>0</v>
      </c>
      <c r="AM426" s="2">
        <f>VLOOKUP([jobnumber],OvalData[],MATCH(Table2[[#Headers],[Number of Bottom Slats]],Table2[#Headers],0),0)</f>
        <v>0</v>
      </c>
      <c r="AN426" s="2">
        <f>VLOOKUP([jobnumber],OvalData[],MATCH(Table2[[#Headers],[Solid Bottom Height]],Table2[#Headers],0),0)</f>
        <v>0</v>
      </c>
      <c r="AO426" s="2" t="str">
        <f>VLOOKUP([jobnumber],OvalData[],MATCH(Table2[[#Headers],[slatlength]],Table2[#Headers],0),0)</f>
        <v xml:space="preserve"> 18 ft.- 5 7/ 8"</v>
      </c>
      <c r="AP426" s="2">
        <f>VLOOKUP([jobnumber],OvalData[],MATCH(Table2[[#Headers],[Bottom Slat Length]],Table2[#Headers],0),0)</f>
        <v>0</v>
      </c>
      <c r="AQ426" s="2">
        <f>VLOOKUP([jobnumber],OvalData[],MATCH(Table2[[#Headers],[Number of Perferated Slats]],Table2[#Headers],0),0)</f>
        <v>0</v>
      </c>
      <c r="AR426" s="2">
        <f>VLOOKUP([jobnumber],OvalData[],MATCH(Table2[[#Headers],[First Preferated Slat From End]],Table2[#Headers],0),0)</f>
        <v>0</v>
      </c>
      <c r="AS426" s="2">
        <f>VLOOKUP([jobnumber],OvalData[],MATCH(Table2[[#Headers],[First Preferated Slat From Bottom]],Table2[#Headers],0),0)</f>
        <v>0</v>
      </c>
      <c r="AT426" s="2">
        <f>VLOOKUP([jobnumber],OvalData[],MATCH(Table2[[#Headers],[Total Number of Slats]],Table2[#Headers],0),0)</f>
        <v>51</v>
      </c>
      <c r="AU426" s="2">
        <f>VLOOKUP([jobnumber],OvalData[],MATCH(Table2[[#Headers],[Bottom Bar Slope]],Table2[#Headers],0),0)</f>
        <v>0</v>
      </c>
      <c r="AV426" s="2">
        <f>VLOOKUP([jobnumber],OvalData[],MATCH(Table2[[#Headers],[Bottom Bar Weight]],Table2[#Headers],0),0)</f>
        <v>80.5</v>
      </c>
      <c r="AW426" s="2" t="str">
        <f>VLOOKUP([jobnumber],OvalData[],MATCH(Table2[[#Headers],[Outer Spring Gage]],Table2[#Headers],0),0)</f>
        <v>Null</v>
      </c>
      <c r="AX426" s="2" t="str">
        <f>VLOOKUP([jobnumber],OvalData[],MATCH(Table2[[#Headers],[Outer Spring OD]],Table2[#Headers],0),0)</f>
        <v>Null</v>
      </c>
      <c r="AY426" s="2" t="str">
        <f>VLOOKUP([jobnumber],OvalData[],MATCH(Table2[[#Headers],[Outer Spring Length]],Table2[#Headers],0),0)</f>
        <v>Null</v>
      </c>
      <c r="AZ426" s="2" t="str">
        <f>VLOOKUP([jobnumber],OvalData[],MATCH(Table2[[#Headers],[Outer Spring Stretch]],Table2[#Headers],0),0)</f>
        <v>Null</v>
      </c>
      <c r="BA426" s="2" t="str">
        <f>VLOOKUP([jobnumber],OvalData[],MATCH(Table2[[#Headers],[Outer Spring Torque]],Table2[#Headers],0),0)</f>
        <v>Null</v>
      </c>
      <c r="BB426" s="2" t="str">
        <f>VLOOKUP([jobnumber],OvalData[],MATCH(Table2[[#Headers],[Outer Spring Max Turns]],Table2[#Headers],0),0)</f>
        <v>Null</v>
      </c>
      <c r="BC426" s="2" t="str">
        <f>VLOOKUP([jobnumber],OvalData[],MATCH(Table2[[#Headers],[Outer Spring Weight]],Table2[#Headers],0),0)</f>
        <v>Null</v>
      </c>
      <c r="BD426" s="2" t="str">
        <f>VLOOKUP([jobnumber],OvalData[],MATCH(Table2[[#Headers],[Inner Spring Gage]],Table2[#Headers],0),0)</f>
        <v>Null</v>
      </c>
      <c r="BE426" s="2" t="str">
        <f>VLOOKUP([jobnumber],OvalData[],MATCH(Table2[[#Headers],[Inner Spring OD]],Table2[#Headers],0),0)</f>
        <v>Null</v>
      </c>
      <c r="BF426" s="2" t="str">
        <f>VLOOKUP([jobnumber],OvalData[],MATCH(Table2[[#Headers],[Inner Spring Length]],Table2[#Headers],0),0)</f>
        <v>Null</v>
      </c>
      <c r="BG426" s="2" t="str">
        <f>VLOOKUP([jobnumber],OvalData[],MATCH(Table2[[#Headers],[Inner Spring Stretch]],Table2[#Headers],0),0)</f>
        <v>Null</v>
      </c>
      <c r="BH426" s="2" t="str">
        <f>VLOOKUP([jobnumber],OvalData[],MATCH(Table2[[#Headers],[Inner Spring Torque]],Table2[#Headers],0),0)</f>
        <v>Null</v>
      </c>
      <c r="BI426" s="2" t="str">
        <f>VLOOKUP([jobnumber],OvalData[],MATCH(Table2[[#Headers],[Inner Spring Max Turns]],Table2[#Headers],0),0)</f>
        <v>Null</v>
      </c>
      <c r="BJ426" s="2" t="str">
        <f>VLOOKUP([jobnumber],OvalData[],MATCH(Table2[[#Headers],[Inner Spring Weight]],Table2[#Headers],0),0)</f>
        <v>Null</v>
      </c>
      <c r="BK426" s="2">
        <f>VLOOKUP([jobnumber],OvalData[],MATCH(Table2[[#Headers],[Cycles]],Table2[#Headers],0),0)</f>
        <v>0</v>
      </c>
      <c r="BL426" s="2">
        <f>VLOOKUP([jobnumber],OvalData[],MATCH(Table2[[#Headers],[Total Spring Torque]],Table2[#Headers],0),0)</f>
        <v>0</v>
      </c>
      <c r="BM426" s="2">
        <f>VLOOKUP([jobnumber],OvalData[],MATCH(Table2[[#Headers],[Total Spring Weight]],Table2[#Headers],0),0)</f>
        <v>0</v>
      </c>
      <c r="BN426" s="2">
        <f>VLOOKUP([jobnumber],OvalData[],MATCH(Table2[[#Headers],[Pipe Weight]],Table2[#Headers],0),0)</f>
        <v>688.24239999999998</v>
      </c>
      <c r="BO426" s="2">
        <f>VLOOKUP([jobnumber],OvalData[],MATCH(Table2[[#Headers],[Max Pipe Deflection]],Table2[#Headers],0),0)</f>
        <v>2309</v>
      </c>
      <c r="BP426" s="2">
        <f>VLOOKUP([jobnumber],OvalData[],MATCH(Table2[[#Headers],[Number Non-Insulated Wrap Slats]],Table2[#Headers],0),0)</f>
        <v>0</v>
      </c>
      <c r="BQ426" s="2">
        <f>VLOOKUP([jobnumber],OvalData[],MATCH(Table2[[#Headers],[Number of Insolated Top Slats]],Table2[#Headers],0),0)</f>
        <v>45</v>
      </c>
      <c r="BR426" s="2">
        <f>VLOOKUP([jobnumber],OvalData[],MATCH(Table2[[#Headers],[Insolated Total Slats]],Table2[#Headers],0),0)</f>
        <v>45</v>
      </c>
      <c r="BS426" s="2">
        <f>VLOOKUP([jobnumber],OvalData[],MATCH(Table2[[#Headers],[Number of Slats]],Table2[#Headers],0),0)</f>
        <v>44.69</v>
      </c>
      <c r="BT426" s="2">
        <f>VLOOKUP([jobnumber],OvalData[],MATCH(Table2[[#Headers],[Wrap]],Table2[#Headers],0),0)</f>
        <v>0</v>
      </c>
      <c r="BU426" s="2">
        <f>VLOOKUP([jobnumber],OvalData[],MATCH(Table2[[#Headers],[Wall Angle Thickness]],Table2[#Headers],0),0)</f>
        <v>0</v>
      </c>
      <c r="BV426" s="2">
        <f>VLOOKUP([jobnumber],OvalData[],MATCH(Table2[[#Headers],[windlocks]],Table2[#Headers],0),0)</f>
        <v>0</v>
      </c>
      <c r="BW426" s="2" t="str">
        <f>VLOOKUP([jobnumber],OvalData[],MATCH(Table2[[#Headers],[bottombartype]],Table2[#Headers],0),0)</f>
        <v>SPECIAL</v>
      </c>
      <c r="BX426" s="2">
        <f>VLOOKUP([jobnumber],OvalData[],MATCH(Table2[[#Headers],[endlockweight]],Table2[#Headers],0),0)</f>
        <v>0.17</v>
      </c>
      <c r="BY426" s="2">
        <f>VLOOKUP([jobnumber],OvalData[],MATCH(Table2[[#Headers],[Endlock Total Weight]],Table2[#Headers],0),0)</f>
        <v>7.5972999999999997</v>
      </c>
      <c r="BZ426" s="2">
        <f>VLOOKUP([jobnumber],OvalData[],MATCH(Table2[[#Headers],[Grille Weight]],Table2[#Headers],0),0)</f>
        <v>0</v>
      </c>
      <c r="CA426" s="2">
        <f>VLOOKUP([jobnumber],OvalData[],MATCH(Table2[[#Headers],[barrelrings]],Table2[#Headers],0),0)</f>
        <v>1</v>
      </c>
    </row>
    <row r="427" spans="2:79">
      <c r="B427" s="2" t="str">
        <f>VLOOKUP([jobnumber],OvalData[],MATCH(Table2[[#Headers],[Hand]],Table2[#Headers],0),0)</f>
        <v>RH</v>
      </c>
      <c r="C427" s="2" t="str">
        <f>VLOOKUP([jobnumber],OvalData[],MATCH(Table2[[#Headers],[Model]],Table2[#Headers],0),0)</f>
        <v>SFMPP</v>
      </c>
      <c r="D427" s="2" t="str">
        <f>VLOOKUP([jobnumber],OvalData[],MATCH(Table2[[#Headers],[width]],Table2[#Headers],0),0)</f>
        <v xml:space="preserve"> 18 ft.- 2"</v>
      </c>
      <c r="E427" s="2" t="str">
        <f>VLOOKUP([jobnumber],OvalData[],MATCH(Table2[[#Headers],[stopheight]],Table2[#Headers],0),0)</f>
        <v xml:space="preserve"> 10 ft.- 0"</v>
      </c>
      <c r="F427" s="2" t="str">
        <f>VLOOKUP([jobnumber],OvalData[],MATCH(Table2[[#Headers],[Between Brackets]],Table2[#Headers],0),0)</f>
        <v xml:space="preserve"> 18 ft.- 7 7/ 8"</v>
      </c>
      <c r="G427" s="2" t="str">
        <f>VLOOKUP([jobnumber],OvalData[],MATCH(Table2[[#Headers],[shell]],Table2[#Headers],0),0)</f>
        <v>6 INCH TUBE</v>
      </c>
      <c r="H427" s="2" t="str">
        <f>VLOOKUP([jobnumber],OvalData[],MATCH(Table2[[#Headers],[pipewidth]],Table2[#Headers],0),0)</f>
        <v xml:space="preserve"> 18 ft.- 1 3/ 8"</v>
      </c>
      <c r="I427" s="2">
        <f>VLOOKUP([jobnumber],OvalData[],MATCH(Table2[[#Headers],[Support Tubes]],Table2[#Headers],0),0)</f>
        <v>0</v>
      </c>
      <c r="J427" s="2">
        <f>VLOOKUP([jobnumber],OvalData[],MATCH(Table2[[#Headers],[Upset]],Table2[#Headers],0),0)</f>
        <v>2</v>
      </c>
      <c r="K427" s="2" t="str">
        <f>VLOOKUP([jobnumber],OvalData[],MATCH(Table2[[#Headers],[Guide Type]],Table2[#Headers],0),0)</f>
        <v>SN2-4 5/8-E</v>
      </c>
      <c r="L427" s="2" t="str">
        <f>VLOOKUP([jobnumber],OvalData[],MATCH(Table2[[#Headers],[Wall Angle]],Table2[#Headers],0),0)</f>
        <v xml:space="preserve"> 11 ft.- 8"</v>
      </c>
      <c r="M427" s="2" t="str">
        <f>VLOOKUP([jobnumber],OvalData[],MATCH(Table2[[#Headers],[Middle Angle]],Table2[#Headers],0),0)</f>
        <v xml:space="preserve"> 10 ft.- 4 1/ 2"</v>
      </c>
      <c r="N427" s="2" t="str">
        <f>VLOOKUP([jobnumber],OvalData[],MATCH(Table2[[#Headers],[Front Angle]],Table2[#Headers],0),0)</f>
        <v xml:space="preserve"> 10 ft.- 3"</v>
      </c>
      <c r="O427" s="2">
        <f>VLOOKUP([jobnumber],OvalData[],MATCH(Table2[[#Headers],[Pipe Center Line]],Table2[#Headers],0),0)</f>
        <v>131</v>
      </c>
      <c r="P427" s="2">
        <f>VLOOKUP([jobnumber],OvalData[],MATCH(Table2[[#Headers],[Heat Expansion Gap]],Table2[#Headers],0),0)</f>
        <v>0</v>
      </c>
      <c r="Q427" s="2">
        <f>VLOOKUP([jobnumber],OvalData[],MATCH(Table2[[#Headers],[Hanging Weight Closed]],Table2[#Headers],0),0)</f>
        <v>795</v>
      </c>
      <c r="R427" s="2">
        <f>VLOOKUP([jobnumber],OvalData[],MATCH(Table2[[#Headers],[Hanging Weight Open]],Table2[#Headers],0),0)</f>
        <v>140</v>
      </c>
      <c r="S427" s="2">
        <f>VLOOKUP([jobnumber],OvalData[],MATCH(Table2[[#Headers],[Initial Lever Arm]],Table2[#Headers],0),0)</f>
        <v>4.25</v>
      </c>
      <c r="T427" s="2">
        <f>VLOOKUP([jobnumber],OvalData[],MATCH(Table2[[#Headers],[Turns to Raise]],Table2[#Headers],0),0)</f>
        <v>3.5859999999999999</v>
      </c>
      <c r="U427" s="2">
        <f>VLOOKUP([jobnumber],OvalData[],MATCH(Table2[[#Headers],[Final Lever Arm]],Table2[#Headers],0),0)</f>
        <v>6.37</v>
      </c>
      <c r="V427" s="2">
        <f>VLOOKUP([jobnumber],OvalData[],MATCH(Table2[[#Headers],[Torque Required Closed]],Table2[#Headers],0),0)</f>
        <v>3377.9</v>
      </c>
      <c r="W427" s="2">
        <f>VLOOKUP([jobnumber],OvalData[],MATCH(Table2[[#Headers],[Torque Required Open]],Table2[#Headers],0),0)</f>
        <v>892</v>
      </c>
      <c r="X427" s="2">
        <f>VLOOKUP([jobnumber],OvalData[],MATCH(Table2[[#Headers],[Pre Turns]],Table2[#Headers],0),0)</f>
        <v>1.3332999999999999</v>
      </c>
      <c r="Y427" s="2">
        <f>VLOOKUP([jobnumber],OvalData[],MATCH(Table2[[#Headers],[Required Torque Per Turn]],Table2[#Headers],0),0)</f>
        <v>688</v>
      </c>
      <c r="Z427" s="2">
        <f>VLOOKUP([jobnumber],OvalData[],MATCH(Table2[[#Headers],[Total Turns]],Table2[#Headers],0),0)</f>
        <v>4.91</v>
      </c>
      <c r="AA427" s="2">
        <f>VLOOKUP([jobnumber],OvalData[],MATCH(Table2[[#Headers],[Grille Vision Section]],Table2[#Headers],0),0)</f>
        <v>0</v>
      </c>
      <c r="AB427" s="2">
        <f>VLOOKUP([jobnumber],OvalData[],MATCH(Table2[[#Headers],[Grille Amount]],Table2[#Headers],0),0)</f>
        <v>0</v>
      </c>
      <c r="AC427" s="2">
        <f>VLOOKUP([jobnumber],OvalData[],MATCH(Table2[[#Headers],[Grille Center]],Table2[#Headers],0),0)</f>
        <v>0</v>
      </c>
      <c r="AD427" s="2">
        <f>VLOOKUP([jobnumber],OvalData[],MATCH(Table2[[#Headers],[Grille Pattern]],Table2[#Headers],0),0)</f>
        <v>0</v>
      </c>
      <c r="AE427" s="2">
        <f>VLOOKUP([jobnumber],OvalData[],MATCH(Table2[[#Headers],[Grille First Tube]],Table2[#Headers],0),0)</f>
        <v>0</v>
      </c>
      <c r="AF427" s="2">
        <f>VLOOKUP([jobnumber],OvalData[],MATCH(Table2[[#Headers],[Grille Standard Tube]],Table2[#Headers],0),0)</f>
        <v>0</v>
      </c>
      <c r="AG427" s="2">
        <f>VLOOKUP([jobnumber],OvalData[],MATCH(Table2[[#Headers],[Grille Total Links]],Table2[#Headers],0),0)</f>
        <v>0</v>
      </c>
      <c r="AH427" s="2">
        <f>VLOOKUP([jobnumber],OvalData[],MATCH(Table2[[#Headers],[Grille Rods]],Table2[#Headers],0),0)</f>
        <v>0</v>
      </c>
      <c r="AI427" s="2">
        <f>VLOOKUP([jobnumber],OvalData[],MATCH(Table2[[#Headers],[Grille Rod Length]],Table2[#Headers],0),0)</f>
        <v>0</v>
      </c>
      <c r="AJ427" s="2">
        <f>VLOOKUP([jobnumber],OvalData[],MATCH(Table2[[#Headers],[slattype]],Table2[#Headers],0),0)</f>
        <v>2</v>
      </c>
      <c r="AK427" s="2">
        <f>VLOOKUP([jobnumber],OvalData[],MATCH(Table2[[#Headers],[slatgage]],Table2[#Headers],0),0)</f>
        <v>18</v>
      </c>
      <c r="AL427" s="2">
        <f>VLOOKUP([jobnumber],OvalData[],MATCH(Table2[[#Headers],[Numer of Top Slats]],Table2[#Headers],0),0)</f>
        <v>0</v>
      </c>
      <c r="AM427" s="2">
        <f>VLOOKUP([jobnumber],OvalData[],MATCH(Table2[[#Headers],[Number of Bottom Slats]],Table2[#Headers],0),0)</f>
        <v>0</v>
      </c>
      <c r="AN427" s="2">
        <f>VLOOKUP([jobnumber],OvalData[],MATCH(Table2[[#Headers],[Solid Bottom Height]],Table2[#Headers],0),0)</f>
        <v>0</v>
      </c>
      <c r="AO427" s="2" t="str">
        <f>VLOOKUP([jobnumber],OvalData[],MATCH(Table2[[#Headers],[slatlength]],Table2[#Headers],0),0)</f>
        <v xml:space="preserve"> 18 ft.- 5 7/ 8"</v>
      </c>
      <c r="AP427" s="2">
        <f>VLOOKUP([jobnumber],OvalData[],MATCH(Table2[[#Headers],[Bottom Slat Length]],Table2[#Headers],0),0)</f>
        <v>0</v>
      </c>
      <c r="AQ427" s="2">
        <f>VLOOKUP([jobnumber],OvalData[],MATCH(Table2[[#Headers],[Number of Perferated Slats]],Table2[#Headers],0),0)</f>
        <v>0</v>
      </c>
      <c r="AR427" s="2">
        <f>VLOOKUP([jobnumber],OvalData[],MATCH(Table2[[#Headers],[First Preferated Slat From End]],Table2[#Headers],0),0)</f>
        <v>0</v>
      </c>
      <c r="AS427" s="2">
        <f>VLOOKUP([jobnumber],OvalData[],MATCH(Table2[[#Headers],[First Preferated Slat From Bottom]],Table2[#Headers],0),0)</f>
        <v>0</v>
      </c>
      <c r="AT427" s="2">
        <f>VLOOKUP([jobnumber],OvalData[],MATCH(Table2[[#Headers],[Total Number of Slats]],Table2[#Headers],0),0)</f>
        <v>51</v>
      </c>
      <c r="AU427" s="2">
        <f>VLOOKUP([jobnumber],OvalData[],MATCH(Table2[[#Headers],[Bottom Bar Slope]],Table2[#Headers],0),0)</f>
        <v>0</v>
      </c>
      <c r="AV427" s="2">
        <f>VLOOKUP([jobnumber],OvalData[],MATCH(Table2[[#Headers],[Bottom Bar Weight]],Table2[#Headers],0),0)</f>
        <v>80.5</v>
      </c>
      <c r="AW427" s="2" t="str">
        <f>VLOOKUP([jobnumber],OvalData[],MATCH(Table2[[#Headers],[Outer Spring Gage]],Table2[#Headers],0),0)</f>
        <v>Null</v>
      </c>
      <c r="AX427" s="2" t="str">
        <f>VLOOKUP([jobnumber],OvalData[],MATCH(Table2[[#Headers],[Outer Spring OD]],Table2[#Headers],0),0)</f>
        <v>Null</v>
      </c>
      <c r="AY427" s="2" t="str">
        <f>VLOOKUP([jobnumber],OvalData[],MATCH(Table2[[#Headers],[Outer Spring Length]],Table2[#Headers],0),0)</f>
        <v>Null</v>
      </c>
      <c r="AZ427" s="2" t="str">
        <f>VLOOKUP([jobnumber],OvalData[],MATCH(Table2[[#Headers],[Outer Spring Stretch]],Table2[#Headers],0),0)</f>
        <v>Null</v>
      </c>
      <c r="BA427" s="2" t="str">
        <f>VLOOKUP([jobnumber],OvalData[],MATCH(Table2[[#Headers],[Outer Spring Torque]],Table2[#Headers],0),0)</f>
        <v>Null</v>
      </c>
      <c r="BB427" s="2" t="str">
        <f>VLOOKUP([jobnumber],OvalData[],MATCH(Table2[[#Headers],[Outer Spring Max Turns]],Table2[#Headers],0),0)</f>
        <v>Null</v>
      </c>
      <c r="BC427" s="2" t="str">
        <f>VLOOKUP([jobnumber],OvalData[],MATCH(Table2[[#Headers],[Outer Spring Weight]],Table2[#Headers],0),0)</f>
        <v>Null</v>
      </c>
      <c r="BD427" s="2" t="str">
        <f>VLOOKUP([jobnumber],OvalData[],MATCH(Table2[[#Headers],[Inner Spring Gage]],Table2[#Headers],0),0)</f>
        <v>Null</v>
      </c>
      <c r="BE427" s="2" t="str">
        <f>VLOOKUP([jobnumber],OvalData[],MATCH(Table2[[#Headers],[Inner Spring OD]],Table2[#Headers],0),0)</f>
        <v>Null</v>
      </c>
      <c r="BF427" s="2" t="str">
        <f>VLOOKUP([jobnumber],OvalData[],MATCH(Table2[[#Headers],[Inner Spring Length]],Table2[#Headers],0),0)</f>
        <v>Null</v>
      </c>
      <c r="BG427" s="2" t="str">
        <f>VLOOKUP([jobnumber],OvalData[],MATCH(Table2[[#Headers],[Inner Spring Stretch]],Table2[#Headers],0),0)</f>
        <v>Null</v>
      </c>
      <c r="BH427" s="2" t="str">
        <f>VLOOKUP([jobnumber],OvalData[],MATCH(Table2[[#Headers],[Inner Spring Torque]],Table2[#Headers],0),0)</f>
        <v>Null</v>
      </c>
      <c r="BI427" s="2" t="str">
        <f>VLOOKUP([jobnumber],OvalData[],MATCH(Table2[[#Headers],[Inner Spring Max Turns]],Table2[#Headers],0),0)</f>
        <v>Null</v>
      </c>
      <c r="BJ427" s="2" t="str">
        <f>VLOOKUP([jobnumber],OvalData[],MATCH(Table2[[#Headers],[Inner Spring Weight]],Table2[#Headers],0),0)</f>
        <v>Null</v>
      </c>
      <c r="BK427" s="2">
        <f>VLOOKUP([jobnumber],OvalData[],MATCH(Table2[[#Headers],[Cycles]],Table2[#Headers],0),0)</f>
        <v>0</v>
      </c>
      <c r="BL427" s="2">
        <f>VLOOKUP([jobnumber],OvalData[],MATCH(Table2[[#Headers],[Total Spring Torque]],Table2[#Headers],0),0)</f>
        <v>0</v>
      </c>
      <c r="BM427" s="2">
        <f>VLOOKUP([jobnumber],OvalData[],MATCH(Table2[[#Headers],[Total Spring Weight]],Table2[#Headers],0),0)</f>
        <v>0</v>
      </c>
      <c r="BN427" s="2">
        <f>VLOOKUP([jobnumber],OvalData[],MATCH(Table2[[#Headers],[Pipe Weight]],Table2[#Headers],0),0)</f>
        <v>688.24239999999998</v>
      </c>
      <c r="BO427" s="2">
        <f>VLOOKUP([jobnumber],OvalData[],MATCH(Table2[[#Headers],[Max Pipe Deflection]],Table2[#Headers],0),0)</f>
        <v>2309</v>
      </c>
      <c r="BP427" s="2">
        <f>VLOOKUP([jobnumber],OvalData[],MATCH(Table2[[#Headers],[Number Non-Insulated Wrap Slats]],Table2[#Headers],0),0)</f>
        <v>0</v>
      </c>
      <c r="BQ427" s="2">
        <f>VLOOKUP([jobnumber],OvalData[],MATCH(Table2[[#Headers],[Number of Insolated Top Slats]],Table2[#Headers],0),0)</f>
        <v>45</v>
      </c>
      <c r="BR427" s="2">
        <f>VLOOKUP([jobnumber],OvalData[],MATCH(Table2[[#Headers],[Insolated Total Slats]],Table2[#Headers],0),0)</f>
        <v>45</v>
      </c>
      <c r="BS427" s="2">
        <f>VLOOKUP([jobnumber],OvalData[],MATCH(Table2[[#Headers],[Number of Slats]],Table2[#Headers],0),0)</f>
        <v>44.69</v>
      </c>
      <c r="BT427" s="2">
        <f>VLOOKUP([jobnumber],OvalData[],MATCH(Table2[[#Headers],[Wrap]],Table2[#Headers],0),0)</f>
        <v>0</v>
      </c>
      <c r="BU427" s="2">
        <f>VLOOKUP([jobnumber],OvalData[],MATCH(Table2[[#Headers],[Wall Angle Thickness]],Table2[#Headers],0),0)</f>
        <v>0</v>
      </c>
      <c r="BV427" s="2">
        <f>VLOOKUP([jobnumber],OvalData[],MATCH(Table2[[#Headers],[windlocks]],Table2[#Headers],0),0)</f>
        <v>0</v>
      </c>
      <c r="BW427" s="2" t="str">
        <f>VLOOKUP([jobnumber],OvalData[],MATCH(Table2[[#Headers],[bottombartype]],Table2[#Headers],0),0)</f>
        <v>SPECIAL</v>
      </c>
      <c r="BX427" s="2">
        <f>VLOOKUP([jobnumber],OvalData[],MATCH(Table2[[#Headers],[endlockweight]],Table2[#Headers],0),0)</f>
        <v>0.17</v>
      </c>
      <c r="BY427" s="2">
        <f>VLOOKUP([jobnumber],OvalData[],MATCH(Table2[[#Headers],[Endlock Total Weight]],Table2[#Headers],0),0)</f>
        <v>7.5972999999999997</v>
      </c>
      <c r="BZ427" s="2">
        <f>VLOOKUP([jobnumber],OvalData[],MATCH(Table2[[#Headers],[Grille Weight]],Table2[#Headers],0),0)</f>
        <v>0</v>
      </c>
      <c r="CA427" s="2">
        <f>VLOOKUP([jobnumber],OvalData[],MATCH(Table2[[#Headers],[barrelrings]],Table2[#Headers],0),0)</f>
        <v>1</v>
      </c>
    </row>
    <row r="428" spans="2:79">
      <c r="B428" s="2" t="str">
        <f>VLOOKUP([jobnumber],OvalData[],MATCH(Table2[[#Headers],[Hand]],Table2[#Headers],0),0)</f>
        <v>RH</v>
      </c>
      <c r="C428" s="2" t="str">
        <f>VLOOKUP([jobnumber],OvalData[],MATCH(Table2[[#Headers],[Model]],Table2[#Headers],0),0)</f>
        <v>SFMPP</v>
      </c>
      <c r="D428" s="2" t="str">
        <f>VLOOKUP([jobnumber],OvalData[],MATCH(Table2[[#Headers],[width]],Table2[#Headers],0),0)</f>
        <v xml:space="preserve"> 18 ft.- 2"</v>
      </c>
      <c r="E428" s="2" t="str">
        <f>VLOOKUP([jobnumber],OvalData[],MATCH(Table2[[#Headers],[stopheight]],Table2[#Headers],0),0)</f>
        <v xml:space="preserve"> 10 ft.- 0"</v>
      </c>
      <c r="F428" s="2" t="str">
        <f>VLOOKUP([jobnumber],OvalData[],MATCH(Table2[[#Headers],[Between Brackets]],Table2[#Headers],0),0)</f>
        <v xml:space="preserve"> 18 ft.- 7 7/ 8"</v>
      </c>
      <c r="G428" s="2" t="str">
        <f>VLOOKUP([jobnumber],OvalData[],MATCH(Table2[[#Headers],[shell]],Table2[#Headers],0),0)</f>
        <v>6 INCH TUBE</v>
      </c>
      <c r="H428" s="2" t="str">
        <f>VLOOKUP([jobnumber],OvalData[],MATCH(Table2[[#Headers],[pipewidth]],Table2[#Headers],0),0)</f>
        <v xml:space="preserve"> 18 ft.- 1 3/ 8"</v>
      </c>
      <c r="I428" s="2">
        <f>VLOOKUP([jobnumber],OvalData[],MATCH(Table2[[#Headers],[Support Tubes]],Table2[#Headers],0),0)</f>
        <v>0</v>
      </c>
      <c r="J428" s="2">
        <f>VLOOKUP([jobnumber],OvalData[],MATCH(Table2[[#Headers],[Upset]],Table2[#Headers],0),0)</f>
        <v>2</v>
      </c>
      <c r="K428" s="2" t="str">
        <f>VLOOKUP([jobnumber],OvalData[],MATCH(Table2[[#Headers],[Guide Type]],Table2[#Headers],0),0)</f>
        <v>SN2-4 5/8-E</v>
      </c>
      <c r="L428" s="2" t="str">
        <f>VLOOKUP([jobnumber],OvalData[],MATCH(Table2[[#Headers],[Wall Angle]],Table2[#Headers],0),0)</f>
        <v xml:space="preserve"> 11 ft.- 8"</v>
      </c>
      <c r="M428" s="2" t="str">
        <f>VLOOKUP([jobnumber],OvalData[],MATCH(Table2[[#Headers],[Middle Angle]],Table2[#Headers],0),0)</f>
        <v xml:space="preserve"> 10 ft.- 4 1/ 2"</v>
      </c>
      <c r="N428" s="2" t="str">
        <f>VLOOKUP([jobnumber],OvalData[],MATCH(Table2[[#Headers],[Front Angle]],Table2[#Headers],0),0)</f>
        <v xml:space="preserve"> 10 ft.- 3"</v>
      </c>
      <c r="O428" s="2">
        <f>VLOOKUP([jobnumber],OvalData[],MATCH(Table2[[#Headers],[Pipe Center Line]],Table2[#Headers],0),0)</f>
        <v>131</v>
      </c>
      <c r="P428" s="2">
        <f>VLOOKUP([jobnumber],OvalData[],MATCH(Table2[[#Headers],[Heat Expansion Gap]],Table2[#Headers],0),0)</f>
        <v>0</v>
      </c>
      <c r="Q428" s="2">
        <f>VLOOKUP([jobnumber],OvalData[],MATCH(Table2[[#Headers],[Hanging Weight Closed]],Table2[#Headers],0),0)</f>
        <v>795</v>
      </c>
      <c r="R428" s="2">
        <f>VLOOKUP([jobnumber],OvalData[],MATCH(Table2[[#Headers],[Hanging Weight Open]],Table2[#Headers],0),0)</f>
        <v>140</v>
      </c>
      <c r="S428" s="2">
        <f>VLOOKUP([jobnumber],OvalData[],MATCH(Table2[[#Headers],[Initial Lever Arm]],Table2[#Headers],0),0)</f>
        <v>4.25</v>
      </c>
      <c r="T428" s="2">
        <f>VLOOKUP([jobnumber],OvalData[],MATCH(Table2[[#Headers],[Turns to Raise]],Table2[#Headers],0),0)</f>
        <v>3.5859999999999999</v>
      </c>
      <c r="U428" s="2">
        <f>VLOOKUP([jobnumber],OvalData[],MATCH(Table2[[#Headers],[Final Lever Arm]],Table2[#Headers],0),0)</f>
        <v>6.37</v>
      </c>
      <c r="V428" s="2">
        <f>VLOOKUP([jobnumber],OvalData[],MATCH(Table2[[#Headers],[Torque Required Closed]],Table2[#Headers],0),0)</f>
        <v>3377.9</v>
      </c>
      <c r="W428" s="2">
        <f>VLOOKUP([jobnumber],OvalData[],MATCH(Table2[[#Headers],[Torque Required Open]],Table2[#Headers],0),0)</f>
        <v>892</v>
      </c>
      <c r="X428" s="2">
        <f>VLOOKUP([jobnumber],OvalData[],MATCH(Table2[[#Headers],[Pre Turns]],Table2[#Headers],0),0)</f>
        <v>1.3332999999999999</v>
      </c>
      <c r="Y428" s="2">
        <f>VLOOKUP([jobnumber],OvalData[],MATCH(Table2[[#Headers],[Required Torque Per Turn]],Table2[#Headers],0),0)</f>
        <v>688</v>
      </c>
      <c r="Z428" s="2">
        <f>VLOOKUP([jobnumber],OvalData[],MATCH(Table2[[#Headers],[Total Turns]],Table2[#Headers],0),0)</f>
        <v>4.91</v>
      </c>
      <c r="AA428" s="2">
        <f>VLOOKUP([jobnumber],OvalData[],MATCH(Table2[[#Headers],[Grille Vision Section]],Table2[#Headers],0),0)</f>
        <v>0</v>
      </c>
      <c r="AB428" s="2">
        <f>VLOOKUP([jobnumber],OvalData[],MATCH(Table2[[#Headers],[Grille Amount]],Table2[#Headers],0),0)</f>
        <v>0</v>
      </c>
      <c r="AC428" s="2">
        <f>VLOOKUP([jobnumber],OvalData[],MATCH(Table2[[#Headers],[Grille Center]],Table2[#Headers],0),0)</f>
        <v>0</v>
      </c>
      <c r="AD428" s="2">
        <f>VLOOKUP([jobnumber],OvalData[],MATCH(Table2[[#Headers],[Grille Pattern]],Table2[#Headers],0),0)</f>
        <v>0</v>
      </c>
      <c r="AE428" s="2">
        <f>VLOOKUP([jobnumber],OvalData[],MATCH(Table2[[#Headers],[Grille First Tube]],Table2[#Headers],0),0)</f>
        <v>0</v>
      </c>
      <c r="AF428" s="2">
        <f>VLOOKUP([jobnumber],OvalData[],MATCH(Table2[[#Headers],[Grille Standard Tube]],Table2[#Headers],0),0)</f>
        <v>0</v>
      </c>
      <c r="AG428" s="2">
        <f>VLOOKUP([jobnumber],OvalData[],MATCH(Table2[[#Headers],[Grille Total Links]],Table2[#Headers],0),0)</f>
        <v>0</v>
      </c>
      <c r="AH428" s="2">
        <f>VLOOKUP([jobnumber],OvalData[],MATCH(Table2[[#Headers],[Grille Rods]],Table2[#Headers],0),0)</f>
        <v>0</v>
      </c>
      <c r="AI428" s="2">
        <f>VLOOKUP([jobnumber],OvalData[],MATCH(Table2[[#Headers],[Grille Rod Length]],Table2[#Headers],0),0)</f>
        <v>0</v>
      </c>
      <c r="AJ428" s="2">
        <f>VLOOKUP([jobnumber],OvalData[],MATCH(Table2[[#Headers],[slattype]],Table2[#Headers],0),0)</f>
        <v>2</v>
      </c>
      <c r="AK428" s="2">
        <f>VLOOKUP([jobnumber],OvalData[],MATCH(Table2[[#Headers],[slatgage]],Table2[#Headers],0),0)</f>
        <v>18</v>
      </c>
      <c r="AL428" s="2">
        <f>VLOOKUP([jobnumber],OvalData[],MATCH(Table2[[#Headers],[Numer of Top Slats]],Table2[#Headers],0),0)</f>
        <v>0</v>
      </c>
      <c r="AM428" s="2">
        <f>VLOOKUP([jobnumber],OvalData[],MATCH(Table2[[#Headers],[Number of Bottom Slats]],Table2[#Headers],0),0)</f>
        <v>0</v>
      </c>
      <c r="AN428" s="2">
        <f>VLOOKUP([jobnumber],OvalData[],MATCH(Table2[[#Headers],[Solid Bottom Height]],Table2[#Headers],0),0)</f>
        <v>0</v>
      </c>
      <c r="AO428" s="2" t="str">
        <f>VLOOKUP([jobnumber],OvalData[],MATCH(Table2[[#Headers],[slatlength]],Table2[#Headers],0),0)</f>
        <v xml:space="preserve"> 18 ft.- 5 7/ 8"</v>
      </c>
      <c r="AP428" s="2">
        <f>VLOOKUP([jobnumber],OvalData[],MATCH(Table2[[#Headers],[Bottom Slat Length]],Table2[#Headers],0),0)</f>
        <v>0</v>
      </c>
      <c r="AQ428" s="2">
        <f>VLOOKUP([jobnumber],OvalData[],MATCH(Table2[[#Headers],[Number of Perferated Slats]],Table2[#Headers],0),0)</f>
        <v>0</v>
      </c>
      <c r="AR428" s="2">
        <f>VLOOKUP([jobnumber],OvalData[],MATCH(Table2[[#Headers],[First Preferated Slat From End]],Table2[#Headers],0),0)</f>
        <v>0</v>
      </c>
      <c r="AS428" s="2">
        <f>VLOOKUP([jobnumber],OvalData[],MATCH(Table2[[#Headers],[First Preferated Slat From Bottom]],Table2[#Headers],0),0)</f>
        <v>0</v>
      </c>
      <c r="AT428" s="2">
        <f>VLOOKUP([jobnumber],OvalData[],MATCH(Table2[[#Headers],[Total Number of Slats]],Table2[#Headers],0),0)</f>
        <v>51</v>
      </c>
      <c r="AU428" s="2">
        <f>VLOOKUP([jobnumber],OvalData[],MATCH(Table2[[#Headers],[Bottom Bar Slope]],Table2[#Headers],0),0)</f>
        <v>0</v>
      </c>
      <c r="AV428" s="2">
        <f>VLOOKUP([jobnumber],OvalData[],MATCH(Table2[[#Headers],[Bottom Bar Weight]],Table2[#Headers],0),0)</f>
        <v>80.5</v>
      </c>
      <c r="AW428" s="2" t="str">
        <f>VLOOKUP([jobnumber],OvalData[],MATCH(Table2[[#Headers],[Outer Spring Gage]],Table2[#Headers],0),0)</f>
        <v>Null</v>
      </c>
      <c r="AX428" s="2" t="str">
        <f>VLOOKUP([jobnumber],OvalData[],MATCH(Table2[[#Headers],[Outer Spring OD]],Table2[#Headers],0),0)</f>
        <v>Null</v>
      </c>
      <c r="AY428" s="2" t="str">
        <f>VLOOKUP([jobnumber],OvalData[],MATCH(Table2[[#Headers],[Outer Spring Length]],Table2[#Headers],0),0)</f>
        <v>Null</v>
      </c>
      <c r="AZ428" s="2" t="str">
        <f>VLOOKUP([jobnumber],OvalData[],MATCH(Table2[[#Headers],[Outer Spring Stretch]],Table2[#Headers],0),0)</f>
        <v>Null</v>
      </c>
      <c r="BA428" s="2" t="str">
        <f>VLOOKUP([jobnumber],OvalData[],MATCH(Table2[[#Headers],[Outer Spring Torque]],Table2[#Headers],0),0)</f>
        <v>Null</v>
      </c>
      <c r="BB428" s="2" t="str">
        <f>VLOOKUP([jobnumber],OvalData[],MATCH(Table2[[#Headers],[Outer Spring Max Turns]],Table2[#Headers],0),0)</f>
        <v>Null</v>
      </c>
      <c r="BC428" s="2" t="str">
        <f>VLOOKUP([jobnumber],OvalData[],MATCH(Table2[[#Headers],[Outer Spring Weight]],Table2[#Headers],0),0)</f>
        <v>Null</v>
      </c>
      <c r="BD428" s="2" t="str">
        <f>VLOOKUP([jobnumber],OvalData[],MATCH(Table2[[#Headers],[Inner Spring Gage]],Table2[#Headers],0),0)</f>
        <v>Null</v>
      </c>
      <c r="BE428" s="2" t="str">
        <f>VLOOKUP([jobnumber],OvalData[],MATCH(Table2[[#Headers],[Inner Spring OD]],Table2[#Headers],0),0)</f>
        <v>Null</v>
      </c>
      <c r="BF428" s="2" t="str">
        <f>VLOOKUP([jobnumber],OvalData[],MATCH(Table2[[#Headers],[Inner Spring Length]],Table2[#Headers],0),0)</f>
        <v>Null</v>
      </c>
      <c r="BG428" s="2" t="str">
        <f>VLOOKUP([jobnumber],OvalData[],MATCH(Table2[[#Headers],[Inner Spring Stretch]],Table2[#Headers],0),0)</f>
        <v>Null</v>
      </c>
      <c r="BH428" s="2" t="str">
        <f>VLOOKUP([jobnumber],OvalData[],MATCH(Table2[[#Headers],[Inner Spring Torque]],Table2[#Headers],0),0)</f>
        <v>Null</v>
      </c>
      <c r="BI428" s="2" t="str">
        <f>VLOOKUP([jobnumber],OvalData[],MATCH(Table2[[#Headers],[Inner Spring Max Turns]],Table2[#Headers],0),0)</f>
        <v>Null</v>
      </c>
      <c r="BJ428" s="2" t="str">
        <f>VLOOKUP([jobnumber],OvalData[],MATCH(Table2[[#Headers],[Inner Spring Weight]],Table2[#Headers],0),0)</f>
        <v>Null</v>
      </c>
      <c r="BK428" s="2">
        <f>VLOOKUP([jobnumber],OvalData[],MATCH(Table2[[#Headers],[Cycles]],Table2[#Headers],0),0)</f>
        <v>0</v>
      </c>
      <c r="BL428" s="2">
        <f>VLOOKUP([jobnumber],OvalData[],MATCH(Table2[[#Headers],[Total Spring Torque]],Table2[#Headers],0),0)</f>
        <v>0</v>
      </c>
      <c r="BM428" s="2">
        <f>VLOOKUP([jobnumber],OvalData[],MATCH(Table2[[#Headers],[Total Spring Weight]],Table2[#Headers],0),0)</f>
        <v>0</v>
      </c>
      <c r="BN428" s="2">
        <f>VLOOKUP([jobnumber],OvalData[],MATCH(Table2[[#Headers],[Pipe Weight]],Table2[#Headers],0),0)</f>
        <v>688.24239999999998</v>
      </c>
      <c r="BO428" s="2">
        <f>VLOOKUP([jobnumber],OvalData[],MATCH(Table2[[#Headers],[Max Pipe Deflection]],Table2[#Headers],0),0)</f>
        <v>2309</v>
      </c>
      <c r="BP428" s="2">
        <f>VLOOKUP([jobnumber],OvalData[],MATCH(Table2[[#Headers],[Number Non-Insulated Wrap Slats]],Table2[#Headers],0),0)</f>
        <v>0</v>
      </c>
      <c r="BQ428" s="2">
        <f>VLOOKUP([jobnumber],OvalData[],MATCH(Table2[[#Headers],[Number of Insolated Top Slats]],Table2[#Headers],0),0)</f>
        <v>45</v>
      </c>
      <c r="BR428" s="2">
        <f>VLOOKUP([jobnumber],OvalData[],MATCH(Table2[[#Headers],[Insolated Total Slats]],Table2[#Headers],0),0)</f>
        <v>45</v>
      </c>
      <c r="BS428" s="2">
        <f>VLOOKUP([jobnumber],OvalData[],MATCH(Table2[[#Headers],[Number of Slats]],Table2[#Headers],0),0)</f>
        <v>44.69</v>
      </c>
      <c r="BT428" s="2">
        <f>VLOOKUP([jobnumber],OvalData[],MATCH(Table2[[#Headers],[Wrap]],Table2[#Headers],0),0)</f>
        <v>0</v>
      </c>
      <c r="BU428" s="2">
        <f>VLOOKUP([jobnumber],OvalData[],MATCH(Table2[[#Headers],[Wall Angle Thickness]],Table2[#Headers],0),0)</f>
        <v>0</v>
      </c>
      <c r="BV428" s="2">
        <f>VLOOKUP([jobnumber],OvalData[],MATCH(Table2[[#Headers],[windlocks]],Table2[#Headers],0),0)</f>
        <v>0</v>
      </c>
      <c r="BW428" s="2" t="str">
        <f>VLOOKUP([jobnumber],OvalData[],MATCH(Table2[[#Headers],[bottombartype]],Table2[#Headers],0),0)</f>
        <v>SPECIAL</v>
      </c>
      <c r="BX428" s="2">
        <f>VLOOKUP([jobnumber],OvalData[],MATCH(Table2[[#Headers],[endlockweight]],Table2[#Headers],0),0)</f>
        <v>0.17</v>
      </c>
      <c r="BY428" s="2">
        <f>VLOOKUP([jobnumber],OvalData[],MATCH(Table2[[#Headers],[Endlock Total Weight]],Table2[#Headers],0),0)</f>
        <v>7.5972999999999997</v>
      </c>
      <c r="BZ428" s="2">
        <f>VLOOKUP([jobnumber],OvalData[],MATCH(Table2[[#Headers],[Grille Weight]],Table2[#Headers],0),0)</f>
        <v>0</v>
      </c>
      <c r="CA428" s="2">
        <f>VLOOKUP([jobnumber],OvalData[],MATCH(Table2[[#Headers],[barrelrings]],Table2[#Headers],0),0)</f>
        <v>1</v>
      </c>
    </row>
    <row r="429" spans="2:79">
      <c r="B429" s="2" t="str">
        <f>VLOOKUP([jobnumber],OvalData[],MATCH(Table2[[#Headers],[Hand]],Table2[#Headers],0),0)</f>
        <v>RH</v>
      </c>
      <c r="C429" s="2" t="str">
        <f>VLOOKUP([jobnumber],OvalData[],MATCH(Table2[[#Headers],[Model]],Table2[#Headers],0),0)</f>
        <v>SFMPP</v>
      </c>
      <c r="D429" s="2" t="str">
        <f>VLOOKUP([jobnumber],OvalData[],MATCH(Table2[[#Headers],[width]],Table2[#Headers],0),0)</f>
        <v xml:space="preserve"> 18 ft.- 2"</v>
      </c>
      <c r="E429" s="2" t="str">
        <f>VLOOKUP([jobnumber],OvalData[],MATCH(Table2[[#Headers],[stopheight]],Table2[#Headers],0),0)</f>
        <v xml:space="preserve"> 10 ft.- 0"</v>
      </c>
      <c r="F429" s="2" t="str">
        <f>VLOOKUP([jobnumber],OvalData[],MATCH(Table2[[#Headers],[Between Brackets]],Table2[#Headers],0),0)</f>
        <v xml:space="preserve"> 18 ft.- 7 7/ 8"</v>
      </c>
      <c r="G429" s="2" t="str">
        <f>VLOOKUP([jobnumber],OvalData[],MATCH(Table2[[#Headers],[shell]],Table2[#Headers],0),0)</f>
        <v>6 INCH TUBE</v>
      </c>
      <c r="H429" s="2" t="str">
        <f>VLOOKUP([jobnumber],OvalData[],MATCH(Table2[[#Headers],[pipewidth]],Table2[#Headers],0),0)</f>
        <v xml:space="preserve"> 18 ft.- 1 3/ 8"</v>
      </c>
      <c r="I429" s="2">
        <f>VLOOKUP([jobnumber],OvalData[],MATCH(Table2[[#Headers],[Support Tubes]],Table2[#Headers],0),0)</f>
        <v>0</v>
      </c>
      <c r="J429" s="2">
        <f>VLOOKUP([jobnumber],OvalData[],MATCH(Table2[[#Headers],[Upset]],Table2[#Headers],0),0)</f>
        <v>2</v>
      </c>
      <c r="K429" s="2" t="str">
        <f>VLOOKUP([jobnumber],OvalData[],MATCH(Table2[[#Headers],[Guide Type]],Table2[#Headers],0),0)</f>
        <v>SN2-4 5/8-E</v>
      </c>
      <c r="L429" s="2" t="str">
        <f>VLOOKUP([jobnumber],OvalData[],MATCH(Table2[[#Headers],[Wall Angle]],Table2[#Headers],0),0)</f>
        <v xml:space="preserve"> 11 ft.- 8"</v>
      </c>
      <c r="M429" s="2" t="str">
        <f>VLOOKUP([jobnumber],OvalData[],MATCH(Table2[[#Headers],[Middle Angle]],Table2[#Headers],0),0)</f>
        <v xml:space="preserve"> 10 ft.- 4 1/ 2"</v>
      </c>
      <c r="N429" s="2" t="str">
        <f>VLOOKUP([jobnumber],OvalData[],MATCH(Table2[[#Headers],[Front Angle]],Table2[#Headers],0),0)</f>
        <v xml:space="preserve"> 10 ft.- 3"</v>
      </c>
      <c r="O429" s="2">
        <f>VLOOKUP([jobnumber],OvalData[],MATCH(Table2[[#Headers],[Pipe Center Line]],Table2[#Headers],0),0)</f>
        <v>131</v>
      </c>
      <c r="P429" s="2">
        <f>VLOOKUP([jobnumber],OvalData[],MATCH(Table2[[#Headers],[Heat Expansion Gap]],Table2[#Headers],0),0)</f>
        <v>0</v>
      </c>
      <c r="Q429" s="2">
        <f>VLOOKUP([jobnumber],OvalData[],MATCH(Table2[[#Headers],[Hanging Weight Closed]],Table2[#Headers],0),0)</f>
        <v>795</v>
      </c>
      <c r="R429" s="2">
        <f>VLOOKUP([jobnumber],OvalData[],MATCH(Table2[[#Headers],[Hanging Weight Open]],Table2[#Headers],0),0)</f>
        <v>140</v>
      </c>
      <c r="S429" s="2">
        <f>VLOOKUP([jobnumber],OvalData[],MATCH(Table2[[#Headers],[Initial Lever Arm]],Table2[#Headers],0),0)</f>
        <v>4.25</v>
      </c>
      <c r="T429" s="2">
        <f>VLOOKUP([jobnumber],OvalData[],MATCH(Table2[[#Headers],[Turns to Raise]],Table2[#Headers],0),0)</f>
        <v>3.5859999999999999</v>
      </c>
      <c r="U429" s="2">
        <f>VLOOKUP([jobnumber],OvalData[],MATCH(Table2[[#Headers],[Final Lever Arm]],Table2[#Headers],0),0)</f>
        <v>6.37</v>
      </c>
      <c r="V429" s="2">
        <f>VLOOKUP([jobnumber],OvalData[],MATCH(Table2[[#Headers],[Torque Required Closed]],Table2[#Headers],0),0)</f>
        <v>3377.9</v>
      </c>
      <c r="W429" s="2">
        <f>VLOOKUP([jobnumber],OvalData[],MATCH(Table2[[#Headers],[Torque Required Open]],Table2[#Headers],0),0)</f>
        <v>892</v>
      </c>
      <c r="X429" s="2">
        <f>VLOOKUP([jobnumber],OvalData[],MATCH(Table2[[#Headers],[Pre Turns]],Table2[#Headers],0),0)</f>
        <v>1.3332999999999999</v>
      </c>
      <c r="Y429" s="2">
        <f>VLOOKUP([jobnumber],OvalData[],MATCH(Table2[[#Headers],[Required Torque Per Turn]],Table2[#Headers],0),0)</f>
        <v>688</v>
      </c>
      <c r="Z429" s="2">
        <f>VLOOKUP([jobnumber],OvalData[],MATCH(Table2[[#Headers],[Total Turns]],Table2[#Headers],0),0)</f>
        <v>4.91</v>
      </c>
      <c r="AA429" s="2">
        <f>VLOOKUP([jobnumber],OvalData[],MATCH(Table2[[#Headers],[Grille Vision Section]],Table2[#Headers],0),0)</f>
        <v>0</v>
      </c>
      <c r="AB429" s="2">
        <f>VLOOKUP([jobnumber],OvalData[],MATCH(Table2[[#Headers],[Grille Amount]],Table2[#Headers],0),0)</f>
        <v>0</v>
      </c>
      <c r="AC429" s="2">
        <f>VLOOKUP([jobnumber],OvalData[],MATCH(Table2[[#Headers],[Grille Center]],Table2[#Headers],0),0)</f>
        <v>0</v>
      </c>
      <c r="AD429" s="2">
        <f>VLOOKUP([jobnumber],OvalData[],MATCH(Table2[[#Headers],[Grille Pattern]],Table2[#Headers],0),0)</f>
        <v>0</v>
      </c>
      <c r="AE429" s="2">
        <f>VLOOKUP([jobnumber],OvalData[],MATCH(Table2[[#Headers],[Grille First Tube]],Table2[#Headers],0),0)</f>
        <v>0</v>
      </c>
      <c r="AF429" s="2">
        <f>VLOOKUP([jobnumber],OvalData[],MATCH(Table2[[#Headers],[Grille Standard Tube]],Table2[#Headers],0),0)</f>
        <v>0</v>
      </c>
      <c r="AG429" s="2">
        <f>VLOOKUP([jobnumber],OvalData[],MATCH(Table2[[#Headers],[Grille Total Links]],Table2[#Headers],0),0)</f>
        <v>0</v>
      </c>
      <c r="AH429" s="2">
        <f>VLOOKUP([jobnumber],OvalData[],MATCH(Table2[[#Headers],[Grille Rods]],Table2[#Headers],0),0)</f>
        <v>0</v>
      </c>
      <c r="AI429" s="2">
        <f>VLOOKUP([jobnumber],OvalData[],MATCH(Table2[[#Headers],[Grille Rod Length]],Table2[#Headers],0),0)</f>
        <v>0</v>
      </c>
      <c r="AJ429" s="2">
        <f>VLOOKUP([jobnumber],OvalData[],MATCH(Table2[[#Headers],[slattype]],Table2[#Headers],0),0)</f>
        <v>2</v>
      </c>
      <c r="AK429" s="2">
        <f>VLOOKUP([jobnumber],OvalData[],MATCH(Table2[[#Headers],[slatgage]],Table2[#Headers],0),0)</f>
        <v>18</v>
      </c>
      <c r="AL429" s="2">
        <f>VLOOKUP([jobnumber],OvalData[],MATCH(Table2[[#Headers],[Numer of Top Slats]],Table2[#Headers],0),0)</f>
        <v>0</v>
      </c>
      <c r="AM429" s="2">
        <f>VLOOKUP([jobnumber],OvalData[],MATCH(Table2[[#Headers],[Number of Bottom Slats]],Table2[#Headers],0),0)</f>
        <v>0</v>
      </c>
      <c r="AN429" s="2">
        <f>VLOOKUP([jobnumber],OvalData[],MATCH(Table2[[#Headers],[Solid Bottom Height]],Table2[#Headers],0),0)</f>
        <v>0</v>
      </c>
      <c r="AO429" s="2" t="str">
        <f>VLOOKUP([jobnumber],OvalData[],MATCH(Table2[[#Headers],[slatlength]],Table2[#Headers],0),0)</f>
        <v xml:space="preserve"> 18 ft.- 5 7/ 8"</v>
      </c>
      <c r="AP429" s="2">
        <f>VLOOKUP([jobnumber],OvalData[],MATCH(Table2[[#Headers],[Bottom Slat Length]],Table2[#Headers],0),0)</f>
        <v>0</v>
      </c>
      <c r="AQ429" s="2">
        <f>VLOOKUP([jobnumber],OvalData[],MATCH(Table2[[#Headers],[Number of Perferated Slats]],Table2[#Headers],0),0)</f>
        <v>0</v>
      </c>
      <c r="AR429" s="2">
        <f>VLOOKUP([jobnumber],OvalData[],MATCH(Table2[[#Headers],[First Preferated Slat From End]],Table2[#Headers],0),0)</f>
        <v>0</v>
      </c>
      <c r="AS429" s="2">
        <f>VLOOKUP([jobnumber],OvalData[],MATCH(Table2[[#Headers],[First Preferated Slat From Bottom]],Table2[#Headers],0),0)</f>
        <v>0</v>
      </c>
      <c r="AT429" s="2">
        <f>VLOOKUP([jobnumber],OvalData[],MATCH(Table2[[#Headers],[Total Number of Slats]],Table2[#Headers],0),0)</f>
        <v>51</v>
      </c>
      <c r="AU429" s="2">
        <f>VLOOKUP([jobnumber],OvalData[],MATCH(Table2[[#Headers],[Bottom Bar Slope]],Table2[#Headers],0),0)</f>
        <v>0</v>
      </c>
      <c r="AV429" s="2">
        <f>VLOOKUP([jobnumber],OvalData[],MATCH(Table2[[#Headers],[Bottom Bar Weight]],Table2[#Headers],0),0)</f>
        <v>80.5</v>
      </c>
      <c r="AW429" s="2" t="str">
        <f>VLOOKUP([jobnumber],OvalData[],MATCH(Table2[[#Headers],[Outer Spring Gage]],Table2[#Headers],0),0)</f>
        <v>Null</v>
      </c>
      <c r="AX429" s="2" t="str">
        <f>VLOOKUP([jobnumber],OvalData[],MATCH(Table2[[#Headers],[Outer Spring OD]],Table2[#Headers],0),0)</f>
        <v>Null</v>
      </c>
      <c r="AY429" s="2" t="str">
        <f>VLOOKUP([jobnumber],OvalData[],MATCH(Table2[[#Headers],[Outer Spring Length]],Table2[#Headers],0),0)</f>
        <v>Null</v>
      </c>
      <c r="AZ429" s="2" t="str">
        <f>VLOOKUP([jobnumber],OvalData[],MATCH(Table2[[#Headers],[Outer Spring Stretch]],Table2[#Headers],0),0)</f>
        <v>Null</v>
      </c>
      <c r="BA429" s="2" t="str">
        <f>VLOOKUP([jobnumber],OvalData[],MATCH(Table2[[#Headers],[Outer Spring Torque]],Table2[#Headers],0),0)</f>
        <v>Null</v>
      </c>
      <c r="BB429" s="2" t="str">
        <f>VLOOKUP([jobnumber],OvalData[],MATCH(Table2[[#Headers],[Outer Spring Max Turns]],Table2[#Headers],0),0)</f>
        <v>Null</v>
      </c>
      <c r="BC429" s="2" t="str">
        <f>VLOOKUP([jobnumber],OvalData[],MATCH(Table2[[#Headers],[Outer Spring Weight]],Table2[#Headers],0),0)</f>
        <v>Null</v>
      </c>
      <c r="BD429" s="2" t="str">
        <f>VLOOKUP([jobnumber],OvalData[],MATCH(Table2[[#Headers],[Inner Spring Gage]],Table2[#Headers],0),0)</f>
        <v>Null</v>
      </c>
      <c r="BE429" s="2" t="str">
        <f>VLOOKUP([jobnumber],OvalData[],MATCH(Table2[[#Headers],[Inner Spring OD]],Table2[#Headers],0),0)</f>
        <v>Null</v>
      </c>
      <c r="BF429" s="2" t="str">
        <f>VLOOKUP([jobnumber],OvalData[],MATCH(Table2[[#Headers],[Inner Spring Length]],Table2[#Headers],0),0)</f>
        <v>Null</v>
      </c>
      <c r="BG429" s="2" t="str">
        <f>VLOOKUP([jobnumber],OvalData[],MATCH(Table2[[#Headers],[Inner Spring Stretch]],Table2[#Headers],0),0)</f>
        <v>Null</v>
      </c>
      <c r="BH429" s="2" t="str">
        <f>VLOOKUP([jobnumber],OvalData[],MATCH(Table2[[#Headers],[Inner Spring Torque]],Table2[#Headers],0),0)</f>
        <v>Null</v>
      </c>
      <c r="BI429" s="2" t="str">
        <f>VLOOKUP([jobnumber],OvalData[],MATCH(Table2[[#Headers],[Inner Spring Max Turns]],Table2[#Headers],0),0)</f>
        <v>Null</v>
      </c>
      <c r="BJ429" s="2" t="str">
        <f>VLOOKUP([jobnumber],OvalData[],MATCH(Table2[[#Headers],[Inner Spring Weight]],Table2[#Headers],0),0)</f>
        <v>Null</v>
      </c>
      <c r="BK429" s="2">
        <f>VLOOKUP([jobnumber],OvalData[],MATCH(Table2[[#Headers],[Cycles]],Table2[#Headers],0),0)</f>
        <v>0</v>
      </c>
      <c r="BL429" s="2">
        <f>VLOOKUP([jobnumber],OvalData[],MATCH(Table2[[#Headers],[Total Spring Torque]],Table2[#Headers],0),0)</f>
        <v>0</v>
      </c>
      <c r="BM429" s="2">
        <f>VLOOKUP([jobnumber],OvalData[],MATCH(Table2[[#Headers],[Total Spring Weight]],Table2[#Headers],0),0)</f>
        <v>0</v>
      </c>
      <c r="BN429" s="2">
        <f>VLOOKUP([jobnumber],OvalData[],MATCH(Table2[[#Headers],[Pipe Weight]],Table2[#Headers],0),0)</f>
        <v>688.24239999999998</v>
      </c>
      <c r="BO429" s="2">
        <f>VLOOKUP([jobnumber],OvalData[],MATCH(Table2[[#Headers],[Max Pipe Deflection]],Table2[#Headers],0),0)</f>
        <v>2309</v>
      </c>
      <c r="BP429" s="2">
        <f>VLOOKUP([jobnumber],OvalData[],MATCH(Table2[[#Headers],[Number Non-Insulated Wrap Slats]],Table2[#Headers],0),0)</f>
        <v>0</v>
      </c>
      <c r="BQ429" s="2">
        <f>VLOOKUP([jobnumber],OvalData[],MATCH(Table2[[#Headers],[Number of Insolated Top Slats]],Table2[#Headers],0),0)</f>
        <v>45</v>
      </c>
      <c r="BR429" s="2">
        <f>VLOOKUP([jobnumber],OvalData[],MATCH(Table2[[#Headers],[Insolated Total Slats]],Table2[#Headers],0),0)</f>
        <v>45</v>
      </c>
      <c r="BS429" s="2">
        <f>VLOOKUP([jobnumber],OvalData[],MATCH(Table2[[#Headers],[Number of Slats]],Table2[#Headers],0),0)</f>
        <v>44.69</v>
      </c>
      <c r="BT429" s="2">
        <f>VLOOKUP([jobnumber],OvalData[],MATCH(Table2[[#Headers],[Wrap]],Table2[#Headers],0),0)</f>
        <v>0</v>
      </c>
      <c r="BU429" s="2">
        <f>VLOOKUP([jobnumber],OvalData[],MATCH(Table2[[#Headers],[Wall Angle Thickness]],Table2[#Headers],0),0)</f>
        <v>0</v>
      </c>
      <c r="BV429" s="2">
        <f>VLOOKUP([jobnumber],OvalData[],MATCH(Table2[[#Headers],[windlocks]],Table2[#Headers],0),0)</f>
        <v>0</v>
      </c>
      <c r="BW429" s="2" t="str">
        <f>VLOOKUP([jobnumber],OvalData[],MATCH(Table2[[#Headers],[bottombartype]],Table2[#Headers],0),0)</f>
        <v>SPECIAL</v>
      </c>
      <c r="BX429" s="2">
        <f>VLOOKUP([jobnumber],OvalData[],MATCH(Table2[[#Headers],[endlockweight]],Table2[#Headers],0),0)</f>
        <v>0.17</v>
      </c>
      <c r="BY429" s="2">
        <f>VLOOKUP([jobnumber],OvalData[],MATCH(Table2[[#Headers],[Endlock Total Weight]],Table2[#Headers],0),0)</f>
        <v>7.5972999999999997</v>
      </c>
      <c r="BZ429" s="2">
        <f>VLOOKUP([jobnumber],OvalData[],MATCH(Table2[[#Headers],[Grille Weight]],Table2[#Headers],0),0)</f>
        <v>0</v>
      </c>
      <c r="CA429" s="2">
        <f>VLOOKUP([jobnumber],OvalData[],MATCH(Table2[[#Headers],[barrelrings]],Table2[#Headers],0),0)</f>
        <v>1</v>
      </c>
    </row>
    <row r="430" spans="2:79">
      <c r="B430" s="2" t="str">
        <f>VLOOKUP([jobnumber],OvalData[],MATCH(Table2[[#Headers],[Hand]],Table2[#Headers],0),0)</f>
        <v>RH</v>
      </c>
      <c r="C430" s="2" t="str">
        <f>VLOOKUP([jobnumber],OvalData[],MATCH(Table2[[#Headers],[Model]],Table2[#Headers],0),0)</f>
        <v>SFMPP</v>
      </c>
      <c r="D430" s="2" t="str">
        <f>VLOOKUP([jobnumber],OvalData[],MATCH(Table2[[#Headers],[width]],Table2[#Headers],0),0)</f>
        <v xml:space="preserve"> 18 ft.- 2"</v>
      </c>
      <c r="E430" s="2" t="str">
        <f>VLOOKUP([jobnumber],OvalData[],MATCH(Table2[[#Headers],[stopheight]],Table2[#Headers],0),0)</f>
        <v xml:space="preserve"> 10 ft.- 0"</v>
      </c>
      <c r="F430" s="2" t="str">
        <f>VLOOKUP([jobnumber],OvalData[],MATCH(Table2[[#Headers],[Between Brackets]],Table2[#Headers],0),0)</f>
        <v xml:space="preserve"> 18 ft.- 7 7/ 8"</v>
      </c>
      <c r="G430" s="2" t="str">
        <f>VLOOKUP([jobnumber],OvalData[],MATCH(Table2[[#Headers],[shell]],Table2[#Headers],0),0)</f>
        <v>6 INCH TUBE</v>
      </c>
      <c r="H430" s="2" t="str">
        <f>VLOOKUP([jobnumber],OvalData[],MATCH(Table2[[#Headers],[pipewidth]],Table2[#Headers],0),0)</f>
        <v xml:space="preserve"> 18 ft.- 1 3/ 8"</v>
      </c>
      <c r="I430" s="2">
        <f>VLOOKUP([jobnumber],OvalData[],MATCH(Table2[[#Headers],[Support Tubes]],Table2[#Headers],0),0)</f>
        <v>0</v>
      </c>
      <c r="J430" s="2">
        <f>VLOOKUP([jobnumber],OvalData[],MATCH(Table2[[#Headers],[Upset]],Table2[#Headers],0),0)</f>
        <v>2</v>
      </c>
      <c r="K430" s="2" t="str">
        <f>VLOOKUP([jobnumber],OvalData[],MATCH(Table2[[#Headers],[Guide Type]],Table2[#Headers],0),0)</f>
        <v>SN2-4 5/8-E</v>
      </c>
      <c r="L430" s="2" t="str">
        <f>VLOOKUP([jobnumber],OvalData[],MATCH(Table2[[#Headers],[Wall Angle]],Table2[#Headers],0),0)</f>
        <v xml:space="preserve"> 11 ft.- 8"</v>
      </c>
      <c r="M430" s="2" t="str">
        <f>VLOOKUP([jobnumber],OvalData[],MATCH(Table2[[#Headers],[Middle Angle]],Table2[#Headers],0),0)</f>
        <v xml:space="preserve"> 10 ft.- 4 1/ 2"</v>
      </c>
      <c r="N430" s="2" t="str">
        <f>VLOOKUP([jobnumber],OvalData[],MATCH(Table2[[#Headers],[Front Angle]],Table2[#Headers],0),0)</f>
        <v xml:space="preserve"> 10 ft.- 3"</v>
      </c>
      <c r="O430" s="2">
        <f>VLOOKUP([jobnumber],OvalData[],MATCH(Table2[[#Headers],[Pipe Center Line]],Table2[#Headers],0),0)</f>
        <v>131</v>
      </c>
      <c r="P430" s="2">
        <f>VLOOKUP([jobnumber],OvalData[],MATCH(Table2[[#Headers],[Heat Expansion Gap]],Table2[#Headers],0),0)</f>
        <v>0</v>
      </c>
      <c r="Q430" s="2">
        <f>VLOOKUP([jobnumber],OvalData[],MATCH(Table2[[#Headers],[Hanging Weight Closed]],Table2[#Headers],0),0)</f>
        <v>795</v>
      </c>
      <c r="R430" s="2">
        <f>VLOOKUP([jobnumber],OvalData[],MATCH(Table2[[#Headers],[Hanging Weight Open]],Table2[#Headers],0),0)</f>
        <v>140</v>
      </c>
      <c r="S430" s="2">
        <f>VLOOKUP([jobnumber],OvalData[],MATCH(Table2[[#Headers],[Initial Lever Arm]],Table2[#Headers],0),0)</f>
        <v>4.25</v>
      </c>
      <c r="T430" s="2">
        <f>VLOOKUP([jobnumber],OvalData[],MATCH(Table2[[#Headers],[Turns to Raise]],Table2[#Headers],0),0)</f>
        <v>3.5859999999999999</v>
      </c>
      <c r="U430" s="2">
        <f>VLOOKUP([jobnumber],OvalData[],MATCH(Table2[[#Headers],[Final Lever Arm]],Table2[#Headers],0),0)</f>
        <v>6.37</v>
      </c>
      <c r="V430" s="2">
        <f>VLOOKUP([jobnumber],OvalData[],MATCH(Table2[[#Headers],[Torque Required Closed]],Table2[#Headers],0),0)</f>
        <v>3377.9</v>
      </c>
      <c r="W430" s="2">
        <f>VLOOKUP([jobnumber],OvalData[],MATCH(Table2[[#Headers],[Torque Required Open]],Table2[#Headers],0),0)</f>
        <v>892</v>
      </c>
      <c r="X430" s="2">
        <f>VLOOKUP([jobnumber],OvalData[],MATCH(Table2[[#Headers],[Pre Turns]],Table2[#Headers],0),0)</f>
        <v>1.3332999999999999</v>
      </c>
      <c r="Y430" s="2">
        <f>VLOOKUP([jobnumber],OvalData[],MATCH(Table2[[#Headers],[Required Torque Per Turn]],Table2[#Headers],0),0)</f>
        <v>688</v>
      </c>
      <c r="Z430" s="2">
        <f>VLOOKUP([jobnumber],OvalData[],MATCH(Table2[[#Headers],[Total Turns]],Table2[#Headers],0),0)</f>
        <v>4.91</v>
      </c>
      <c r="AA430" s="2">
        <f>VLOOKUP([jobnumber],OvalData[],MATCH(Table2[[#Headers],[Grille Vision Section]],Table2[#Headers],0),0)</f>
        <v>0</v>
      </c>
      <c r="AB430" s="2">
        <f>VLOOKUP([jobnumber],OvalData[],MATCH(Table2[[#Headers],[Grille Amount]],Table2[#Headers],0),0)</f>
        <v>0</v>
      </c>
      <c r="AC430" s="2">
        <f>VLOOKUP([jobnumber],OvalData[],MATCH(Table2[[#Headers],[Grille Center]],Table2[#Headers],0),0)</f>
        <v>0</v>
      </c>
      <c r="AD430" s="2">
        <f>VLOOKUP([jobnumber],OvalData[],MATCH(Table2[[#Headers],[Grille Pattern]],Table2[#Headers],0),0)</f>
        <v>0</v>
      </c>
      <c r="AE430" s="2">
        <f>VLOOKUP([jobnumber],OvalData[],MATCH(Table2[[#Headers],[Grille First Tube]],Table2[#Headers],0),0)</f>
        <v>0</v>
      </c>
      <c r="AF430" s="2">
        <f>VLOOKUP([jobnumber],OvalData[],MATCH(Table2[[#Headers],[Grille Standard Tube]],Table2[#Headers],0),0)</f>
        <v>0</v>
      </c>
      <c r="AG430" s="2">
        <f>VLOOKUP([jobnumber],OvalData[],MATCH(Table2[[#Headers],[Grille Total Links]],Table2[#Headers],0),0)</f>
        <v>0</v>
      </c>
      <c r="AH430" s="2">
        <f>VLOOKUP([jobnumber],OvalData[],MATCH(Table2[[#Headers],[Grille Rods]],Table2[#Headers],0),0)</f>
        <v>0</v>
      </c>
      <c r="AI430" s="2">
        <f>VLOOKUP([jobnumber],OvalData[],MATCH(Table2[[#Headers],[Grille Rod Length]],Table2[#Headers],0),0)</f>
        <v>0</v>
      </c>
      <c r="AJ430" s="2">
        <f>VLOOKUP([jobnumber],OvalData[],MATCH(Table2[[#Headers],[slattype]],Table2[#Headers],0),0)</f>
        <v>2</v>
      </c>
      <c r="AK430" s="2">
        <f>VLOOKUP([jobnumber],OvalData[],MATCH(Table2[[#Headers],[slatgage]],Table2[#Headers],0),0)</f>
        <v>18</v>
      </c>
      <c r="AL430" s="2">
        <f>VLOOKUP([jobnumber],OvalData[],MATCH(Table2[[#Headers],[Numer of Top Slats]],Table2[#Headers],0),0)</f>
        <v>0</v>
      </c>
      <c r="AM430" s="2">
        <f>VLOOKUP([jobnumber],OvalData[],MATCH(Table2[[#Headers],[Number of Bottom Slats]],Table2[#Headers],0),0)</f>
        <v>0</v>
      </c>
      <c r="AN430" s="2">
        <f>VLOOKUP([jobnumber],OvalData[],MATCH(Table2[[#Headers],[Solid Bottom Height]],Table2[#Headers],0),0)</f>
        <v>0</v>
      </c>
      <c r="AO430" s="2" t="str">
        <f>VLOOKUP([jobnumber],OvalData[],MATCH(Table2[[#Headers],[slatlength]],Table2[#Headers],0),0)</f>
        <v xml:space="preserve"> 18 ft.- 5 7/ 8"</v>
      </c>
      <c r="AP430" s="2">
        <f>VLOOKUP([jobnumber],OvalData[],MATCH(Table2[[#Headers],[Bottom Slat Length]],Table2[#Headers],0),0)</f>
        <v>0</v>
      </c>
      <c r="AQ430" s="2">
        <f>VLOOKUP([jobnumber],OvalData[],MATCH(Table2[[#Headers],[Number of Perferated Slats]],Table2[#Headers],0),0)</f>
        <v>0</v>
      </c>
      <c r="AR430" s="2">
        <f>VLOOKUP([jobnumber],OvalData[],MATCH(Table2[[#Headers],[First Preferated Slat From End]],Table2[#Headers],0),0)</f>
        <v>0</v>
      </c>
      <c r="AS430" s="2">
        <f>VLOOKUP([jobnumber],OvalData[],MATCH(Table2[[#Headers],[First Preferated Slat From Bottom]],Table2[#Headers],0),0)</f>
        <v>0</v>
      </c>
      <c r="AT430" s="2">
        <f>VLOOKUP([jobnumber],OvalData[],MATCH(Table2[[#Headers],[Total Number of Slats]],Table2[#Headers],0),0)</f>
        <v>51</v>
      </c>
      <c r="AU430" s="2">
        <f>VLOOKUP([jobnumber],OvalData[],MATCH(Table2[[#Headers],[Bottom Bar Slope]],Table2[#Headers],0),0)</f>
        <v>0</v>
      </c>
      <c r="AV430" s="2">
        <f>VLOOKUP([jobnumber],OvalData[],MATCH(Table2[[#Headers],[Bottom Bar Weight]],Table2[#Headers],0),0)</f>
        <v>80.5</v>
      </c>
      <c r="AW430" s="2" t="str">
        <f>VLOOKUP([jobnumber],OvalData[],MATCH(Table2[[#Headers],[Outer Spring Gage]],Table2[#Headers],0),0)</f>
        <v>Null</v>
      </c>
      <c r="AX430" s="2" t="str">
        <f>VLOOKUP([jobnumber],OvalData[],MATCH(Table2[[#Headers],[Outer Spring OD]],Table2[#Headers],0),0)</f>
        <v>Null</v>
      </c>
      <c r="AY430" s="2" t="str">
        <f>VLOOKUP([jobnumber],OvalData[],MATCH(Table2[[#Headers],[Outer Spring Length]],Table2[#Headers],0),0)</f>
        <v>Null</v>
      </c>
      <c r="AZ430" s="2" t="str">
        <f>VLOOKUP([jobnumber],OvalData[],MATCH(Table2[[#Headers],[Outer Spring Stretch]],Table2[#Headers],0),0)</f>
        <v>Null</v>
      </c>
      <c r="BA430" s="2" t="str">
        <f>VLOOKUP([jobnumber],OvalData[],MATCH(Table2[[#Headers],[Outer Spring Torque]],Table2[#Headers],0),0)</f>
        <v>Null</v>
      </c>
      <c r="BB430" s="2" t="str">
        <f>VLOOKUP([jobnumber],OvalData[],MATCH(Table2[[#Headers],[Outer Spring Max Turns]],Table2[#Headers],0),0)</f>
        <v>Null</v>
      </c>
      <c r="BC430" s="2" t="str">
        <f>VLOOKUP([jobnumber],OvalData[],MATCH(Table2[[#Headers],[Outer Spring Weight]],Table2[#Headers],0),0)</f>
        <v>Null</v>
      </c>
      <c r="BD430" s="2" t="str">
        <f>VLOOKUP([jobnumber],OvalData[],MATCH(Table2[[#Headers],[Inner Spring Gage]],Table2[#Headers],0),0)</f>
        <v>Null</v>
      </c>
      <c r="BE430" s="2" t="str">
        <f>VLOOKUP([jobnumber],OvalData[],MATCH(Table2[[#Headers],[Inner Spring OD]],Table2[#Headers],0),0)</f>
        <v>Null</v>
      </c>
      <c r="BF430" s="2" t="str">
        <f>VLOOKUP([jobnumber],OvalData[],MATCH(Table2[[#Headers],[Inner Spring Length]],Table2[#Headers],0),0)</f>
        <v>Null</v>
      </c>
      <c r="BG430" s="2" t="str">
        <f>VLOOKUP([jobnumber],OvalData[],MATCH(Table2[[#Headers],[Inner Spring Stretch]],Table2[#Headers],0),0)</f>
        <v>Null</v>
      </c>
      <c r="BH430" s="2" t="str">
        <f>VLOOKUP([jobnumber],OvalData[],MATCH(Table2[[#Headers],[Inner Spring Torque]],Table2[#Headers],0),0)</f>
        <v>Null</v>
      </c>
      <c r="BI430" s="2" t="str">
        <f>VLOOKUP([jobnumber],OvalData[],MATCH(Table2[[#Headers],[Inner Spring Max Turns]],Table2[#Headers],0),0)</f>
        <v>Null</v>
      </c>
      <c r="BJ430" s="2" t="str">
        <f>VLOOKUP([jobnumber],OvalData[],MATCH(Table2[[#Headers],[Inner Spring Weight]],Table2[#Headers],0),0)</f>
        <v>Null</v>
      </c>
      <c r="BK430" s="2">
        <f>VLOOKUP([jobnumber],OvalData[],MATCH(Table2[[#Headers],[Cycles]],Table2[#Headers],0),0)</f>
        <v>0</v>
      </c>
      <c r="BL430" s="2">
        <f>VLOOKUP([jobnumber],OvalData[],MATCH(Table2[[#Headers],[Total Spring Torque]],Table2[#Headers],0),0)</f>
        <v>0</v>
      </c>
      <c r="BM430" s="2">
        <f>VLOOKUP([jobnumber],OvalData[],MATCH(Table2[[#Headers],[Total Spring Weight]],Table2[#Headers],0),0)</f>
        <v>0</v>
      </c>
      <c r="BN430" s="2">
        <f>VLOOKUP([jobnumber],OvalData[],MATCH(Table2[[#Headers],[Pipe Weight]],Table2[#Headers],0),0)</f>
        <v>688.24239999999998</v>
      </c>
      <c r="BO430" s="2">
        <f>VLOOKUP([jobnumber],OvalData[],MATCH(Table2[[#Headers],[Max Pipe Deflection]],Table2[#Headers],0),0)</f>
        <v>2309</v>
      </c>
      <c r="BP430" s="2">
        <f>VLOOKUP([jobnumber],OvalData[],MATCH(Table2[[#Headers],[Number Non-Insulated Wrap Slats]],Table2[#Headers],0),0)</f>
        <v>0</v>
      </c>
      <c r="BQ430" s="2">
        <f>VLOOKUP([jobnumber],OvalData[],MATCH(Table2[[#Headers],[Number of Insolated Top Slats]],Table2[#Headers],0),0)</f>
        <v>45</v>
      </c>
      <c r="BR430" s="2">
        <f>VLOOKUP([jobnumber],OvalData[],MATCH(Table2[[#Headers],[Insolated Total Slats]],Table2[#Headers],0),0)</f>
        <v>45</v>
      </c>
      <c r="BS430" s="2">
        <f>VLOOKUP([jobnumber],OvalData[],MATCH(Table2[[#Headers],[Number of Slats]],Table2[#Headers],0),0)</f>
        <v>44.69</v>
      </c>
      <c r="BT430" s="2">
        <f>VLOOKUP([jobnumber],OvalData[],MATCH(Table2[[#Headers],[Wrap]],Table2[#Headers],0),0)</f>
        <v>0</v>
      </c>
      <c r="BU430" s="2">
        <f>VLOOKUP([jobnumber],OvalData[],MATCH(Table2[[#Headers],[Wall Angle Thickness]],Table2[#Headers],0),0)</f>
        <v>0</v>
      </c>
      <c r="BV430" s="2">
        <f>VLOOKUP([jobnumber],OvalData[],MATCH(Table2[[#Headers],[windlocks]],Table2[#Headers],0),0)</f>
        <v>0</v>
      </c>
      <c r="BW430" s="2" t="str">
        <f>VLOOKUP([jobnumber],OvalData[],MATCH(Table2[[#Headers],[bottombartype]],Table2[#Headers],0),0)</f>
        <v>SPECIAL</v>
      </c>
      <c r="BX430" s="2">
        <f>VLOOKUP([jobnumber],OvalData[],MATCH(Table2[[#Headers],[endlockweight]],Table2[#Headers],0),0)</f>
        <v>0.17</v>
      </c>
      <c r="BY430" s="2">
        <f>VLOOKUP([jobnumber],OvalData[],MATCH(Table2[[#Headers],[Endlock Total Weight]],Table2[#Headers],0),0)</f>
        <v>7.5972999999999997</v>
      </c>
      <c r="BZ430" s="2">
        <f>VLOOKUP([jobnumber],OvalData[],MATCH(Table2[[#Headers],[Grille Weight]],Table2[#Headers],0),0)</f>
        <v>0</v>
      </c>
      <c r="CA430" s="2">
        <f>VLOOKUP([jobnumber],OvalData[],MATCH(Table2[[#Headers],[barrelrings]],Table2[#Headers],0),0)</f>
        <v>1</v>
      </c>
    </row>
    <row r="431" spans="2:79">
      <c r="B431" s="2" t="str">
        <f>VLOOKUP([jobnumber],OvalData[],MATCH(Table2[[#Headers],[Hand]],Table2[#Headers],0),0)</f>
        <v>RH</v>
      </c>
      <c r="C431" s="2" t="str">
        <f>VLOOKUP([jobnumber],OvalData[],MATCH(Table2[[#Headers],[Model]],Table2[#Headers],0),0)</f>
        <v>SFMPP</v>
      </c>
      <c r="D431" s="2" t="str">
        <f>VLOOKUP([jobnumber],OvalData[],MATCH(Table2[[#Headers],[width]],Table2[#Headers],0),0)</f>
        <v xml:space="preserve"> 18 ft.- 2"</v>
      </c>
      <c r="E431" s="2" t="str">
        <f>VLOOKUP([jobnumber],OvalData[],MATCH(Table2[[#Headers],[stopheight]],Table2[#Headers],0),0)</f>
        <v xml:space="preserve"> 10 ft.- 0"</v>
      </c>
      <c r="F431" s="2" t="str">
        <f>VLOOKUP([jobnumber],OvalData[],MATCH(Table2[[#Headers],[Between Brackets]],Table2[#Headers],0),0)</f>
        <v xml:space="preserve"> 18 ft.- 7 7/ 8"</v>
      </c>
      <c r="G431" s="2" t="str">
        <f>VLOOKUP([jobnumber],OvalData[],MATCH(Table2[[#Headers],[shell]],Table2[#Headers],0),0)</f>
        <v>6 INCH TUBE</v>
      </c>
      <c r="H431" s="2" t="str">
        <f>VLOOKUP([jobnumber],OvalData[],MATCH(Table2[[#Headers],[pipewidth]],Table2[#Headers],0),0)</f>
        <v xml:space="preserve"> 18 ft.- 1 3/ 8"</v>
      </c>
      <c r="I431" s="2">
        <f>VLOOKUP([jobnumber],OvalData[],MATCH(Table2[[#Headers],[Support Tubes]],Table2[#Headers],0),0)</f>
        <v>0</v>
      </c>
      <c r="J431" s="2">
        <f>VLOOKUP([jobnumber],OvalData[],MATCH(Table2[[#Headers],[Upset]],Table2[#Headers],0),0)</f>
        <v>2</v>
      </c>
      <c r="K431" s="2" t="str">
        <f>VLOOKUP([jobnumber],OvalData[],MATCH(Table2[[#Headers],[Guide Type]],Table2[#Headers],0),0)</f>
        <v>SN2-4 5/8-E</v>
      </c>
      <c r="L431" s="2" t="str">
        <f>VLOOKUP([jobnumber],OvalData[],MATCH(Table2[[#Headers],[Wall Angle]],Table2[#Headers],0),0)</f>
        <v xml:space="preserve"> 11 ft.- 8"</v>
      </c>
      <c r="M431" s="2" t="str">
        <f>VLOOKUP([jobnumber],OvalData[],MATCH(Table2[[#Headers],[Middle Angle]],Table2[#Headers],0),0)</f>
        <v xml:space="preserve"> 10 ft.- 4 1/ 2"</v>
      </c>
      <c r="N431" s="2" t="str">
        <f>VLOOKUP([jobnumber],OvalData[],MATCH(Table2[[#Headers],[Front Angle]],Table2[#Headers],0),0)</f>
        <v xml:space="preserve"> 10 ft.- 3"</v>
      </c>
      <c r="O431" s="2">
        <f>VLOOKUP([jobnumber],OvalData[],MATCH(Table2[[#Headers],[Pipe Center Line]],Table2[#Headers],0),0)</f>
        <v>131</v>
      </c>
      <c r="P431" s="2">
        <f>VLOOKUP([jobnumber],OvalData[],MATCH(Table2[[#Headers],[Heat Expansion Gap]],Table2[#Headers],0),0)</f>
        <v>0</v>
      </c>
      <c r="Q431" s="2">
        <f>VLOOKUP([jobnumber],OvalData[],MATCH(Table2[[#Headers],[Hanging Weight Closed]],Table2[#Headers],0),0)</f>
        <v>795</v>
      </c>
      <c r="R431" s="2">
        <f>VLOOKUP([jobnumber],OvalData[],MATCH(Table2[[#Headers],[Hanging Weight Open]],Table2[#Headers],0),0)</f>
        <v>140</v>
      </c>
      <c r="S431" s="2">
        <f>VLOOKUP([jobnumber],OvalData[],MATCH(Table2[[#Headers],[Initial Lever Arm]],Table2[#Headers],0),0)</f>
        <v>4.25</v>
      </c>
      <c r="T431" s="2">
        <f>VLOOKUP([jobnumber],OvalData[],MATCH(Table2[[#Headers],[Turns to Raise]],Table2[#Headers],0),0)</f>
        <v>3.5859999999999999</v>
      </c>
      <c r="U431" s="2">
        <f>VLOOKUP([jobnumber],OvalData[],MATCH(Table2[[#Headers],[Final Lever Arm]],Table2[#Headers],0),0)</f>
        <v>6.37</v>
      </c>
      <c r="V431" s="2">
        <f>VLOOKUP([jobnumber],OvalData[],MATCH(Table2[[#Headers],[Torque Required Closed]],Table2[#Headers],0),0)</f>
        <v>3377.9</v>
      </c>
      <c r="W431" s="2">
        <f>VLOOKUP([jobnumber],OvalData[],MATCH(Table2[[#Headers],[Torque Required Open]],Table2[#Headers],0),0)</f>
        <v>892</v>
      </c>
      <c r="X431" s="2">
        <f>VLOOKUP([jobnumber],OvalData[],MATCH(Table2[[#Headers],[Pre Turns]],Table2[#Headers],0),0)</f>
        <v>1.3332999999999999</v>
      </c>
      <c r="Y431" s="2">
        <f>VLOOKUP([jobnumber],OvalData[],MATCH(Table2[[#Headers],[Required Torque Per Turn]],Table2[#Headers],0),0)</f>
        <v>688</v>
      </c>
      <c r="Z431" s="2">
        <f>VLOOKUP([jobnumber],OvalData[],MATCH(Table2[[#Headers],[Total Turns]],Table2[#Headers],0),0)</f>
        <v>4.91</v>
      </c>
      <c r="AA431" s="2">
        <f>VLOOKUP([jobnumber],OvalData[],MATCH(Table2[[#Headers],[Grille Vision Section]],Table2[#Headers],0),0)</f>
        <v>0</v>
      </c>
      <c r="AB431" s="2">
        <f>VLOOKUP([jobnumber],OvalData[],MATCH(Table2[[#Headers],[Grille Amount]],Table2[#Headers],0),0)</f>
        <v>0</v>
      </c>
      <c r="AC431" s="2">
        <f>VLOOKUP([jobnumber],OvalData[],MATCH(Table2[[#Headers],[Grille Center]],Table2[#Headers],0),0)</f>
        <v>0</v>
      </c>
      <c r="AD431" s="2">
        <f>VLOOKUP([jobnumber],OvalData[],MATCH(Table2[[#Headers],[Grille Pattern]],Table2[#Headers],0),0)</f>
        <v>0</v>
      </c>
      <c r="AE431" s="2">
        <f>VLOOKUP([jobnumber],OvalData[],MATCH(Table2[[#Headers],[Grille First Tube]],Table2[#Headers],0),0)</f>
        <v>0</v>
      </c>
      <c r="AF431" s="2">
        <f>VLOOKUP([jobnumber],OvalData[],MATCH(Table2[[#Headers],[Grille Standard Tube]],Table2[#Headers],0),0)</f>
        <v>0</v>
      </c>
      <c r="AG431" s="2">
        <f>VLOOKUP([jobnumber],OvalData[],MATCH(Table2[[#Headers],[Grille Total Links]],Table2[#Headers],0),0)</f>
        <v>0</v>
      </c>
      <c r="AH431" s="2">
        <f>VLOOKUP([jobnumber],OvalData[],MATCH(Table2[[#Headers],[Grille Rods]],Table2[#Headers],0),0)</f>
        <v>0</v>
      </c>
      <c r="AI431" s="2">
        <f>VLOOKUP([jobnumber],OvalData[],MATCH(Table2[[#Headers],[Grille Rod Length]],Table2[#Headers],0),0)</f>
        <v>0</v>
      </c>
      <c r="AJ431" s="2">
        <f>VLOOKUP([jobnumber],OvalData[],MATCH(Table2[[#Headers],[slattype]],Table2[#Headers],0),0)</f>
        <v>2</v>
      </c>
      <c r="AK431" s="2">
        <f>VLOOKUP([jobnumber],OvalData[],MATCH(Table2[[#Headers],[slatgage]],Table2[#Headers],0),0)</f>
        <v>18</v>
      </c>
      <c r="AL431" s="2">
        <f>VLOOKUP([jobnumber],OvalData[],MATCH(Table2[[#Headers],[Numer of Top Slats]],Table2[#Headers],0),0)</f>
        <v>0</v>
      </c>
      <c r="AM431" s="2">
        <f>VLOOKUP([jobnumber],OvalData[],MATCH(Table2[[#Headers],[Number of Bottom Slats]],Table2[#Headers],0),0)</f>
        <v>0</v>
      </c>
      <c r="AN431" s="2">
        <f>VLOOKUP([jobnumber],OvalData[],MATCH(Table2[[#Headers],[Solid Bottom Height]],Table2[#Headers],0),0)</f>
        <v>0</v>
      </c>
      <c r="AO431" s="2" t="str">
        <f>VLOOKUP([jobnumber],OvalData[],MATCH(Table2[[#Headers],[slatlength]],Table2[#Headers],0),0)</f>
        <v xml:space="preserve"> 18 ft.- 5 7/ 8"</v>
      </c>
      <c r="AP431" s="2">
        <f>VLOOKUP([jobnumber],OvalData[],MATCH(Table2[[#Headers],[Bottom Slat Length]],Table2[#Headers],0),0)</f>
        <v>0</v>
      </c>
      <c r="AQ431" s="2">
        <f>VLOOKUP([jobnumber],OvalData[],MATCH(Table2[[#Headers],[Number of Perferated Slats]],Table2[#Headers],0),0)</f>
        <v>0</v>
      </c>
      <c r="AR431" s="2">
        <f>VLOOKUP([jobnumber],OvalData[],MATCH(Table2[[#Headers],[First Preferated Slat From End]],Table2[#Headers],0),0)</f>
        <v>0</v>
      </c>
      <c r="AS431" s="2">
        <f>VLOOKUP([jobnumber],OvalData[],MATCH(Table2[[#Headers],[First Preferated Slat From Bottom]],Table2[#Headers],0),0)</f>
        <v>0</v>
      </c>
      <c r="AT431" s="2">
        <f>VLOOKUP([jobnumber],OvalData[],MATCH(Table2[[#Headers],[Total Number of Slats]],Table2[#Headers],0),0)</f>
        <v>51</v>
      </c>
      <c r="AU431" s="2">
        <f>VLOOKUP([jobnumber],OvalData[],MATCH(Table2[[#Headers],[Bottom Bar Slope]],Table2[#Headers],0),0)</f>
        <v>0</v>
      </c>
      <c r="AV431" s="2">
        <f>VLOOKUP([jobnumber],OvalData[],MATCH(Table2[[#Headers],[Bottom Bar Weight]],Table2[#Headers],0),0)</f>
        <v>80.5</v>
      </c>
      <c r="AW431" s="2" t="str">
        <f>VLOOKUP([jobnumber],OvalData[],MATCH(Table2[[#Headers],[Outer Spring Gage]],Table2[#Headers],0),0)</f>
        <v>Null</v>
      </c>
      <c r="AX431" s="2" t="str">
        <f>VLOOKUP([jobnumber],OvalData[],MATCH(Table2[[#Headers],[Outer Spring OD]],Table2[#Headers],0),0)</f>
        <v>Null</v>
      </c>
      <c r="AY431" s="2" t="str">
        <f>VLOOKUP([jobnumber],OvalData[],MATCH(Table2[[#Headers],[Outer Spring Length]],Table2[#Headers],0),0)</f>
        <v>Null</v>
      </c>
      <c r="AZ431" s="2" t="str">
        <f>VLOOKUP([jobnumber],OvalData[],MATCH(Table2[[#Headers],[Outer Spring Stretch]],Table2[#Headers],0),0)</f>
        <v>Null</v>
      </c>
      <c r="BA431" s="2" t="str">
        <f>VLOOKUP([jobnumber],OvalData[],MATCH(Table2[[#Headers],[Outer Spring Torque]],Table2[#Headers],0),0)</f>
        <v>Null</v>
      </c>
      <c r="BB431" s="2" t="str">
        <f>VLOOKUP([jobnumber],OvalData[],MATCH(Table2[[#Headers],[Outer Spring Max Turns]],Table2[#Headers],0),0)</f>
        <v>Null</v>
      </c>
      <c r="BC431" s="2" t="str">
        <f>VLOOKUP([jobnumber],OvalData[],MATCH(Table2[[#Headers],[Outer Spring Weight]],Table2[#Headers],0),0)</f>
        <v>Null</v>
      </c>
      <c r="BD431" s="2" t="str">
        <f>VLOOKUP([jobnumber],OvalData[],MATCH(Table2[[#Headers],[Inner Spring Gage]],Table2[#Headers],0),0)</f>
        <v>Null</v>
      </c>
      <c r="BE431" s="2" t="str">
        <f>VLOOKUP([jobnumber],OvalData[],MATCH(Table2[[#Headers],[Inner Spring OD]],Table2[#Headers],0),0)</f>
        <v>Null</v>
      </c>
      <c r="BF431" s="2" t="str">
        <f>VLOOKUP([jobnumber],OvalData[],MATCH(Table2[[#Headers],[Inner Spring Length]],Table2[#Headers],0),0)</f>
        <v>Null</v>
      </c>
      <c r="BG431" s="2" t="str">
        <f>VLOOKUP([jobnumber],OvalData[],MATCH(Table2[[#Headers],[Inner Spring Stretch]],Table2[#Headers],0),0)</f>
        <v>Null</v>
      </c>
      <c r="BH431" s="2" t="str">
        <f>VLOOKUP([jobnumber],OvalData[],MATCH(Table2[[#Headers],[Inner Spring Torque]],Table2[#Headers],0),0)</f>
        <v>Null</v>
      </c>
      <c r="BI431" s="2" t="str">
        <f>VLOOKUP([jobnumber],OvalData[],MATCH(Table2[[#Headers],[Inner Spring Max Turns]],Table2[#Headers],0),0)</f>
        <v>Null</v>
      </c>
      <c r="BJ431" s="2" t="str">
        <f>VLOOKUP([jobnumber],OvalData[],MATCH(Table2[[#Headers],[Inner Spring Weight]],Table2[#Headers],0),0)</f>
        <v>Null</v>
      </c>
      <c r="BK431" s="2">
        <f>VLOOKUP([jobnumber],OvalData[],MATCH(Table2[[#Headers],[Cycles]],Table2[#Headers],0),0)</f>
        <v>0</v>
      </c>
      <c r="BL431" s="2">
        <f>VLOOKUP([jobnumber],OvalData[],MATCH(Table2[[#Headers],[Total Spring Torque]],Table2[#Headers],0),0)</f>
        <v>0</v>
      </c>
      <c r="BM431" s="2">
        <f>VLOOKUP([jobnumber],OvalData[],MATCH(Table2[[#Headers],[Total Spring Weight]],Table2[#Headers],0),0)</f>
        <v>0</v>
      </c>
      <c r="BN431" s="2">
        <f>VLOOKUP([jobnumber],OvalData[],MATCH(Table2[[#Headers],[Pipe Weight]],Table2[#Headers],0),0)</f>
        <v>688.24239999999998</v>
      </c>
      <c r="BO431" s="2">
        <f>VLOOKUP([jobnumber],OvalData[],MATCH(Table2[[#Headers],[Max Pipe Deflection]],Table2[#Headers],0),0)</f>
        <v>2309</v>
      </c>
      <c r="BP431" s="2">
        <f>VLOOKUP([jobnumber],OvalData[],MATCH(Table2[[#Headers],[Number Non-Insulated Wrap Slats]],Table2[#Headers],0),0)</f>
        <v>0</v>
      </c>
      <c r="BQ431" s="2">
        <f>VLOOKUP([jobnumber],OvalData[],MATCH(Table2[[#Headers],[Number of Insolated Top Slats]],Table2[#Headers],0),0)</f>
        <v>45</v>
      </c>
      <c r="BR431" s="2">
        <f>VLOOKUP([jobnumber],OvalData[],MATCH(Table2[[#Headers],[Insolated Total Slats]],Table2[#Headers],0),0)</f>
        <v>45</v>
      </c>
      <c r="BS431" s="2">
        <f>VLOOKUP([jobnumber],OvalData[],MATCH(Table2[[#Headers],[Number of Slats]],Table2[#Headers],0),0)</f>
        <v>44.69</v>
      </c>
      <c r="BT431" s="2">
        <f>VLOOKUP([jobnumber],OvalData[],MATCH(Table2[[#Headers],[Wrap]],Table2[#Headers],0),0)</f>
        <v>0</v>
      </c>
      <c r="BU431" s="2">
        <f>VLOOKUP([jobnumber],OvalData[],MATCH(Table2[[#Headers],[Wall Angle Thickness]],Table2[#Headers],0),0)</f>
        <v>0</v>
      </c>
      <c r="BV431" s="2">
        <f>VLOOKUP([jobnumber],OvalData[],MATCH(Table2[[#Headers],[windlocks]],Table2[#Headers],0),0)</f>
        <v>0</v>
      </c>
      <c r="BW431" s="2" t="str">
        <f>VLOOKUP([jobnumber],OvalData[],MATCH(Table2[[#Headers],[bottombartype]],Table2[#Headers],0),0)</f>
        <v>SPECIAL</v>
      </c>
      <c r="BX431" s="2">
        <f>VLOOKUP([jobnumber],OvalData[],MATCH(Table2[[#Headers],[endlockweight]],Table2[#Headers],0),0)</f>
        <v>0.17</v>
      </c>
      <c r="BY431" s="2">
        <f>VLOOKUP([jobnumber],OvalData[],MATCH(Table2[[#Headers],[Endlock Total Weight]],Table2[#Headers],0),0)</f>
        <v>7.5972999999999997</v>
      </c>
      <c r="BZ431" s="2">
        <f>VLOOKUP([jobnumber],OvalData[],MATCH(Table2[[#Headers],[Grille Weight]],Table2[#Headers],0),0)</f>
        <v>0</v>
      </c>
      <c r="CA431" s="2">
        <f>VLOOKUP([jobnumber],OvalData[],MATCH(Table2[[#Headers],[barrelrings]],Table2[#Headers],0),0)</f>
        <v>1</v>
      </c>
    </row>
    <row r="432" spans="2:79">
      <c r="B432" s="2" t="str">
        <f>VLOOKUP([jobnumber],OvalData[],MATCH(Table2[[#Headers],[Hand]],Table2[#Headers],0),0)</f>
        <v>RH</v>
      </c>
      <c r="C432" s="2" t="str">
        <f>VLOOKUP([jobnumber],OvalData[],MATCH(Table2[[#Headers],[Model]],Table2[#Headers],0),0)</f>
        <v>SFMPP</v>
      </c>
      <c r="D432" s="2" t="str">
        <f>VLOOKUP([jobnumber],OvalData[],MATCH(Table2[[#Headers],[width]],Table2[#Headers],0),0)</f>
        <v xml:space="preserve"> 18 ft.- 2"</v>
      </c>
      <c r="E432" s="2" t="str">
        <f>VLOOKUP([jobnumber],OvalData[],MATCH(Table2[[#Headers],[stopheight]],Table2[#Headers],0),0)</f>
        <v xml:space="preserve"> 10 ft.- 0"</v>
      </c>
      <c r="F432" s="2" t="str">
        <f>VLOOKUP([jobnumber],OvalData[],MATCH(Table2[[#Headers],[Between Brackets]],Table2[#Headers],0),0)</f>
        <v xml:space="preserve"> 18 ft.- 7 7/ 8"</v>
      </c>
      <c r="G432" s="2" t="str">
        <f>VLOOKUP([jobnumber],OvalData[],MATCH(Table2[[#Headers],[shell]],Table2[#Headers],0),0)</f>
        <v>6 INCH TUBE</v>
      </c>
      <c r="H432" s="2" t="str">
        <f>VLOOKUP([jobnumber],OvalData[],MATCH(Table2[[#Headers],[pipewidth]],Table2[#Headers],0),0)</f>
        <v xml:space="preserve"> 18 ft.- 1 3/ 8"</v>
      </c>
      <c r="I432" s="2">
        <f>VLOOKUP([jobnumber],OvalData[],MATCH(Table2[[#Headers],[Support Tubes]],Table2[#Headers],0),0)</f>
        <v>0</v>
      </c>
      <c r="J432" s="2">
        <f>VLOOKUP([jobnumber],OvalData[],MATCH(Table2[[#Headers],[Upset]],Table2[#Headers],0),0)</f>
        <v>2</v>
      </c>
      <c r="K432" s="2" t="str">
        <f>VLOOKUP([jobnumber],OvalData[],MATCH(Table2[[#Headers],[Guide Type]],Table2[#Headers],0),0)</f>
        <v>SN2-4 5/8-E</v>
      </c>
      <c r="L432" s="2" t="str">
        <f>VLOOKUP([jobnumber],OvalData[],MATCH(Table2[[#Headers],[Wall Angle]],Table2[#Headers],0),0)</f>
        <v xml:space="preserve"> 11 ft.- 8"</v>
      </c>
      <c r="M432" s="2" t="str">
        <f>VLOOKUP([jobnumber],OvalData[],MATCH(Table2[[#Headers],[Middle Angle]],Table2[#Headers],0),0)</f>
        <v xml:space="preserve"> 10 ft.- 4 1/ 2"</v>
      </c>
      <c r="N432" s="2" t="str">
        <f>VLOOKUP([jobnumber],OvalData[],MATCH(Table2[[#Headers],[Front Angle]],Table2[#Headers],0),0)</f>
        <v xml:space="preserve"> 10 ft.- 3"</v>
      </c>
      <c r="O432" s="2">
        <f>VLOOKUP([jobnumber],OvalData[],MATCH(Table2[[#Headers],[Pipe Center Line]],Table2[#Headers],0),0)</f>
        <v>131</v>
      </c>
      <c r="P432" s="2">
        <f>VLOOKUP([jobnumber],OvalData[],MATCH(Table2[[#Headers],[Heat Expansion Gap]],Table2[#Headers],0),0)</f>
        <v>0</v>
      </c>
      <c r="Q432" s="2">
        <f>VLOOKUP([jobnumber],OvalData[],MATCH(Table2[[#Headers],[Hanging Weight Closed]],Table2[#Headers],0),0)</f>
        <v>795</v>
      </c>
      <c r="R432" s="2">
        <f>VLOOKUP([jobnumber],OvalData[],MATCH(Table2[[#Headers],[Hanging Weight Open]],Table2[#Headers],0),0)</f>
        <v>140</v>
      </c>
      <c r="S432" s="2">
        <f>VLOOKUP([jobnumber],OvalData[],MATCH(Table2[[#Headers],[Initial Lever Arm]],Table2[#Headers],0),0)</f>
        <v>4.25</v>
      </c>
      <c r="T432" s="2">
        <f>VLOOKUP([jobnumber],OvalData[],MATCH(Table2[[#Headers],[Turns to Raise]],Table2[#Headers],0),0)</f>
        <v>3.5859999999999999</v>
      </c>
      <c r="U432" s="2">
        <f>VLOOKUP([jobnumber],OvalData[],MATCH(Table2[[#Headers],[Final Lever Arm]],Table2[#Headers],0),0)</f>
        <v>6.37</v>
      </c>
      <c r="V432" s="2">
        <f>VLOOKUP([jobnumber],OvalData[],MATCH(Table2[[#Headers],[Torque Required Closed]],Table2[#Headers],0),0)</f>
        <v>3377.9</v>
      </c>
      <c r="W432" s="2">
        <f>VLOOKUP([jobnumber],OvalData[],MATCH(Table2[[#Headers],[Torque Required Open]],Table2[#Headers],0),0)</f>
        <v>892</v>
      </c>
      <c r="X432" s="2">
        <f>VLOOKUP([jobnumber],OvalData[],MATCH(Table2[[#Headers],[Pre Turns]],Table2[#Headers],0),0)</f>
        <v>1.3332999999999999</v>
      </c>
      <c r="Y432" s="2">
        <f>VLOOKUP([jobnumber],OvalData[],MATCH(Table2[[#Headers],[Required Torque Per Turn]],Table2[#Headers],0),0)</f>
        <v>688</v>
      </c>
      <c r="Z432" s="2">
        <f>VLOOKUP([jobnumber],OvalData[],MATCH(Table2[[#Headers],[Total Turns]],Table2[#Headers],0),0)</f>
        <v>4.91</v>
      </c>
      <c r="AA432" s="2">
        <f>VLOOKUP([jobnumber],OvalData[],MATCH(Table2[[#Headers],[Grille Vision Section]],Table2[#Headers],0),0)</f>
        <v>0</v>
      </c>
      <c r="AB432" s="2">
        <f>VLOOKUP([jobnumber],OvalData[],MATCH(Table2[[#Headers],[Grille Amount]],Table2[#Headers],0),0)</f>
        <v>0</v>
      </c>
      <c r="AC432" s="2">
        <f>VLOOKUP([jobnumber],OvalData[],MATCH(Table2[[#Headers],[Grille Center]],Table2[#Headers],0),0)</f>
        <v>0</v>
      </c>
      <c r="AD432" s="2">
        <f>VLOOKUP([jobnumber],OvalData[],MATCH(Table2[[#Headers],[Grille Pattern]],Table2[#Headers],0),0)</f>
        <v>0</v>
      </c>
      <c r="AE432" s="2">
        <f>VLOOKUP([jobnumber],OvalData[],MATCH(Table2[[#Headers],[Grille First Tube]],Table2[#Headers],0),0)</f>
        <v>0</v>
      </c>
      <c r="AF432" s="2">
        <f>VLOOKUP([jobnumber],OvalData[],MATCH(Table2[[#Headers],[Grille Standard Tube]],Table2[#Headers],0),0)</f>
        <v>0</v>
      </c>
      <c r="AG432" s="2">
        <f>VLOOKUP([jobnumber],OvalData[],MATCH(Table2[[#Headers],[Grille Total Links]],Table2[#Headers],0),0)</f>
        <v>0</v>
      </c>
      <c r="AH432" s="2">
        <f>VLOOKUP([jobnumber],OvalData[],MATCH(Table2[[#Headers],[Grille Rods]],Table2[#Headers],0),0)</f>
        <v>0</v>
      </c>
      <c r="AI432" s="2">
        <f>VLOOKUP([jobnumber],OvalData[],MATCH(Table2[[#Headers],[Grille Rod Length]],Table2[#Headers],0),0)</f>
        <v>0</v>
      </c>
      <c r="AJ432" s="2">
        <f>VLOOKUP([jobnumber],OvalData[],MATCH(Table2[[#Headers],[slattype]],Table2[#Headers],0),0)</f>
        <v>2</v>
      </c>
      <c r="AK432" s="2">
        <f>VLOOKUP([jobnumber],OvalData[],MATCH(Table2[[#Headers],[slatgage]],Table2[#Headers],0),0)</f>
        <v>18</v>
      </c>
      <c r="AL432" s="2">
        <f>VLOOKUP([jobnumber],OvalData[],MATCH(Table2[[#Headers],[Numer of Top Slats]],Table2[#Headers],0),0)</f>
        <v>0</v>
      </c>
      <c r="AM432" s="2">
        <f>VLOOKUP([jobnumber],OvalData[],MATCH(Table2[[#Headers],[Number of Bottom Slats]],Table2[#Headers],0),0)</f>
        <v>0</v>
      </c>
      <c r="AN432" s="2">
        <f>VLOOKUP([jobnumber],OvalData[],MATCH(Table2[[#Headers],[Solid Bottom Height]],Table2[#Headers],0),0)</f>
        <v>0</v>
      </c>
      <c r="AO432" s="2" t="str">
        <f>VLOOKUP([jobnumber],OvalData[],MATCH(Table2[[#Headers],[slatlength]],Table2[#Headers],0),0)</f>
        <v xml:space="preserve"> 18 ft.- 5 7/ 8"</v>
      </c>
      <c r="AP432" s="2">
        <f>VLOOKUP([jobnumber],OvalData[],MATCH(Table2[[#Headers],[Bottom Slat Length]],Table2[#Headers],0),0)</f>
        <v>0</v>
      </c>
      <c r="AQ432" s="2">
        <f>VLOOKUP([jobnumber],OvalData[],MATCH(Table2[[#Headers],[Number of Perferated Slats]],Table2[#Headers],0),0)</f>
        <v>0</v>
      </c>
      <c r="AR432" s="2">
        <f>VLOOKUP([jobnumber],OvalData[],MATCH(Table2[[#Headers],[First Preferated Slat From End]],Table2[#Headers],0),0)</f>
        <v>0</v>
      </c>
      <c r="AS432" s="2">
        <f>VLOOKUP([jobnumber],OvalData[],MATCH(Table2[[#Headers],[First Preferated Slat From Bottom]],Table2[#Headers],0),0)</f>
        <v>0</v>
      </c>
      <c r="AT432" s="2">
        <f>VLOOKUP([jobnumber],OvalData[],MATCH(Table2[[#Headers],[Total Number of Slats]],Table2[#Headers],0),0)</f>
        <v>51</v>
      </c>
      <c r="AU432" s="2">
        <f>VLOOKUP([jobnumber],OvalData[],MATCH(Table2[[#Headers],[Bottom Bar Slope]],Table2[#Headers],0),0)</f>
        <v>0</v>
      </c>
      <c r="AV432" s="2">
        <f>VLOOKUP([jobnumber],OvalData[],MATCH(Table2[[#Headers],[Bottom Bar Weight]],Table2[#Headers],0),0)</f>
        <v>80.5</v>
      </c>
      <c r="AW432" s="2" t="str">
        <f>VLOOKUP([jobnumber],OvalData[],MATCH(Table2[[#Headers],[Outer Spring Gage]],Table2[#Headers],0),0)</f>
        <v>Null</v>
      </c>
      <c r="AX432" s="2" t="str">
        <f>VLOOKUP([jobnumber],OvalData[],MATCH(Table2[[#Headers],[Outer Spring OD]],Table2[#Headers],0),0)</f>
        <v>Null</v>
      </c>
      <c r="AY432" s="2" t="str">
        <f>VLOOKUP([jobnumber],OvalData[],MATCH(Table2[[#Headers],[Outer Spring Length]],Table2[#Headers],0),0)</f>
        <v>Null</v>
      </c>
      <c r="AZ432" s="2" t="str">
        <f>VLOOKUP([jobnumber],OvalData[],MATCH(Table2[[#Headers],[Outer Spring Stretch]],Table2[#Headers],0),0)</f>
        <v>Null</v>
      </c>
      <c r="BA432" s="2" t="str">
        <f>VLOOKUP([jobnumber],OvalData[],MATCH(Table2[[#Headers],[Outer Spring Torque]],Table2[#Headers],0),0)</f>
        <v>Null</v>
      </c>
      <c r="BB432" s="2" t="str">
        <f>VLOOKUP([jobnumber],OvalData[],MATCH(Table2[[#Headers],[Outer Spring Max Turns]],Table2[#Headers],0),0)</f>
        <v>Null</v>
      </c>
      <c r="BC432" s="2" t="str">
        <f>VLOOKUP([jobnumber],OvalData[],MATCH(Table2[[#Headers],[Outer Spring Weight]],Table2[#Headers],0),0)</f>
        <v>Null</v>
      </c>
      <c r="BD432" s="2" t="str">
        <f>VLOOKUP([jobnumber],OvalData[],MATCH(Table2[[#Headers],[Inner Spring Gage]],Table2[#Headers],0),0)</f>
        <v>Null</v>
      </c>
      <c r="BE432" s="2" t="str">
        <f>VLOOKUP([jobnumber],OvalData[],MATCH(Table2[[#Headers],[Inner Spring OD]],Table2[#Headers],0),0)</f>
        <v>Null</v>
      </c>
      <c r="BF432" s="2" t="str">
        <f>VLOOKUP([jobnumber],OvalData[],MATCH(Table2[[#Headers],[Inner Spring Length]],Table2[#Headers],0),0)</f>
        <v>Null</v>
      </c>
      <c r="BG432" s="2" t="str">
        <f>VLOOKUP([jobnumber],OvalData[],MATCH(Table2[[#Headers],[Inner Spring Stretch]],Table2[#Headers],0),0)</f>
        <v>Null</v>
      </c>
      <c r="BH432" s="2" t="str">
        <f>VLOOKUP([jobnumber],OvalData[],MATCH(Table2[[#Headers],[Inner Spring Torque]],Table2[#Headers],0),0)</f>
        <v>Null</v>
      </c>
      <c r="BI432" s="2" t="str">
        <f>VLOOKUP([jobnumber],OvalData[],MATCH(Table2[[#Headers],[Inner Spring Max Turns]],Table2[#Headers],0),0)</f>
        <v>Null</v>
      </c>
      <c r="BJ432" s="2" t="str">
        <f>VLOOKUP([jobnumber],OvalData[],MATCH(Table2[[#Headers],[Inner Spring Weight]],Table2[#Headers],0),0)</f>
        <v>Null</v>
      </c>
      <c r="BK432" s="2">
        <f>VLOOKUP([jobnumber],OvalData[],MATCH(Table2[[#Headers],[Cycles]],Table2[#Headers],0),0)</f>
        <v>0</v>
      </c>
      <c r="BL432" s="2">
        <f>VLOOKUP([jobnumber],OvalData[],MATCH(Table2[[#Headers],[Total Spring Torque]],Table2[#Headers],0),0)</f>
        <v>0</v>
      </c>
      <c r="BM432" s="2">
        <f>VLOOKUP([jobnumber],OvalData[],MATCH(Table2[[#Headers],[Total Spring Weight]],Table2[#Headers],0),0)</f>
        <v>0</v>
      </c>
      <c r="BN432" s="2">
        <f>VLOOKUP([jobnumber],OvalData[],MATCH(Table2[[#Headers],[Pipe Weight]],Table2[#Headers],0),0)</f>
        <v>688.24239999999998</v>
      </c>
      <c r="BO432" s="2">
        <f>VLOOKUP([jobnumber],OvalData[],MATCH(Table2[[#Headers],[Max Pipe Deflection]],Table2[#Headers],0),0)</f>
        <v>2309</v>
      </c>
      <c r="BP432" s="2">
        <f>VLOOKUP([jobnumber],OvalData[],MATCH(Table2[[#Headers],[Number Non-Insulated Wrap Slats]],Table2[#Headers],0),0)</f>
        <v>0</v>
      </c>
      <c r="BQ432" s="2">
        <f>VLOOKUP([jobnumber],OvalData[],MATCH(Table2[[#Headers],[Number of Insolated Top Slats]],Table2[#Headers],0),0)</f>
        <v>45</v>
      </c>
      <c r="BR432" s="2">
        <f>VLOOKUP([jobnumber],OvalData[],MATCH(Table2[[#Headers],[Insolated Total Slats]],Table2[#Headers],0),0)</f>
        <v>45</v>
      </c>
      <c r="BS432" s="2">
        <f>VLOOKUP([jobnumber],OvalData[],MATCH(Table2[[#Headers],[Number of Slats]],Table2[#Headers],0),0)</f>
        <v>44.69</v>
      </c>
      <c r="BT432" s="2">
        <f>VLOOKUP([jobnumber],OvalData[],MATCH(Table2[[#Headers],[Wrap]],Table2[#Headers],0),0)</f>
        <v>0</v>
      </c>
      <c r="BU432" s="2">
        <f>VLOOKUP([jobnumber],OvalData[],MATCH(Table2[[#Headers],[Wall Angle Thickness]],Table2[#Headers],0),0)</f>
        <v>0</v>
      </c>
      <c r="BV432" s="2">
        <f>VLOOKUP([jobnumber],OvalData[],MATCH(Table2[[#Headers],[windlocks]],Table2[#Headers],0),0)</f>
        <v>0</v>
      </c>
      <c r="BW432" s="2" t="str">
        <f>VLOOKUP([jobnumber],OvalData[],MATCH(Table2[[#Headers],[bottombartype]],Table2[#Headers],0),0)</f>
        <v>SPECIAL</v>
      </c>
      <c r="BX432" s="2">
        <f>VLOOKUP([jobnumber],OvalData[],MATCH(Table2[[#Headers],[endlockweight]],Table2[#Headers],0),0)</f>
        <v>0.17</v>
      </c>
      <c r="BY432" s="2">
        <f>VLOOKUP([jobnumber],OvalData[],MATCH(Table2[[#Headers],[Endlock Total Weight]],Table2[#Headers],0),0)</f>
        <v>7.5972999999999997</v>
      </c>
      <c r="BZ432" s="2">
        <f>VLOOKUP([jobnumber],OvalData[],MATCH(Table2[[#Headers],[Grille Weight]],Table2[#Headers],0),0)</f>
        <v>0</v>
      </c>
      <c r="CA432" s="2">
        <f>VLOOKUP([jobnumber],OvalData[],MATCH(Table2[[#Headers],[barrelrings]],Table2[#Headers],0),0)</f>
        <v>1</v>
      </c>
    </row>
    <row r="433" spans="2:79">
      <c r="B433" s="2" t="str">
        <f>VLOOKUP([jobnumber],OvalData[],MATCH(Table2[[#Headers],[Hand]],Table2[#Headers],0),0)</f>
        <v>RH</v>
      </c>
      <c r="C433" s="2" t="str">
        <f>VLOOKUP([jobnumber],OvalData[],MATCH(Table2[[#Headers],[Model]],Table2[#Headers],0),0)</f>
        <v>SFMPP</v>
      </c>
      <c r="D433" s="2" t="str">
        <f>VLOOKUP([jobnumber],OvalData[],MATCH(Table2[[#Headers],[width]],Table2[#Headers],0),0)</f>
        <v xml:space="preserve"> 18 ft.- 2"</v>
      </c>
      <c r="E433" s="2" t="str">
        <f>VLOOKUP([jobnumber],OvalData[],MATCH(Table2[[#Headers],[stopheight]],Table2[#Headers],0),0)</f>
        <v xml:space="preserve"> 10 ft.- 0"</v>
      </c>
      <c r="F433" s="2" t="str">
        <f>VLOOKUP([jobnumber],OvalData[],MATCH(Table2[[#Headers],[Between Brackets]],Table2[#Headers],0),0)</f>
        <v xml:space="preserve"> 18 ft.- 7 7/ 8"</v>
      </c>
      <c r="G433" s="2" t="str">
        <f>VLOOKUP([jobnumber],OvalData[],MATCH(Table2[[#Headers],[shell]],Table2[#Headers],0),0)</f>
        <v>6 INCH TUBE</v>
      </c>
      <c r="H433" s="2" t="str">
        <f>VLOOKUP([jobnumber],OvalData[],MATCH(Table2[[#Headers],[pipewidth]],Table2[#Headers],0),0)</f>
        <v xml:space="preserve"> 18 ft.- 1 3/ 8"</v>
      </c>
      <c r="I433" s="2">
        <f>VLOOKUP([jobnumber],OvalData[],MATCH(Table2[[#Headers],[Support Tubes]],Table2[#Headers],0),0)</f>
        <v>0</v>
      </c>
      <c r="J433" s="2">
        <f>VLOOKUP([jobnumber],OvalData[],MATCH(Table2[[#Headers],[Upset]],Table2[#Headers],0),0)</f>
        <v>2</v>
      </c>
      <c r="K433" s="2" t="str">
        <f>VLOOKUP([jobnumber],OvalData[],MATCH(Table2[[#Headers],[Guide Type]],Table2[#Headers],0),0)</f>
        <v>SN2-4 5/8-E</v>
      </c>
      <c r="L433" s="2" t="str">
        <f>VLOOKUP([jobnumber],OvalData[],MATCH(Table2[[#Headers],[Wall Angle]],Table2[#Headers],0),0)</f>
        <v xml:space="preserve"> 11 ft.- 8"</v>
      </c>
      <c r="M433" s="2" t="str">
        <f>VLOOKUP([jobnumber],OvalData[],MATCH(Table2[[#Headers],[Middle Angle]],Table2[#Headers],0),0)</f>
        <v xml:space="preserve"> 10 ft.- 4 1/ 2"</v>
      </c>
      <c r="N433" s="2" t="str">
        <f>VLOOKUP([jobnumber],OvalData[],MATCH(Table2[[#Headers],[Front Angle]],Table2[#Headers],0),0)</f>
        <v xml:space="preserve"> 10 ft.- 3"</v>
      </c>
      <c r="O433" s="2">
        <f>VLOOKUP([jobnumber],OvalData[],MATCH(Table2[[#Headers],[Pipe Center Line]],Table2[#Headers],0),0)</f>
        <v>131</v>
      </c>
      <c r="P433" s="2">
        <f>VLOOKUP([jobnumber],OvalData[],MATCH(Table2[[#Headers],[Heat Expansion Gap]],Table2[#Headers],0),0)</f>
        <v>0</v>
      </c>
      <c r="Q433" s="2">
        <f>VLOOKUP([jobnumber],OvalData[],MATCH(Table2[[#Headers],[Hanging Weight Closed]],Table2[#Headers],0),0)</f>
        <v>795</v>
      </c>
      <c r="R433" s="2">
        <f>VLOOKUP([jobnumber],OvalData[],MATCH(Table2[[#Headers],[Hanging Weight Open]],Table2[#Headers],0),0)</f>
        <v>140</v>
      </c>
      <c r="S433" s="2">
        <f>VLOOKUP([jobnumber],OvalData[],MATCH(Table2[[#Headers],[Initial Lever Arm]],Table2[#Headers],0),0)</f>
        <v>4.25</v>
      </c>
      <c r="T433" s="2">
        <f>VLOOKUP([jobnumber],OvalData[],MATCH(Table2[[#Headers],[Turns to Raise]],Table2[#Headers],0),0)</f>
        <v>3.5859999999999999</v>
      </c>
      <c r="U433" s="2">
        <f>VLOOKUP([jobnumber],OvalData[],MATCH(Table2[[#Headers],[Final Lever Arm]],Table2[#Headers],0),0)</f>
        <v>6.37</v>
      </c>
      <c r="V433" s="2">
        <f>VLOOKUP([jobnumber],OvalData[],MATCH(Table2[[#Headers],[Torque Required Closed]],Table2[#Headers],0),0)</f>
        <v>3377.9</v>
      </c>
      <c r="W433" s="2">
        <f>VLOOKUP([jobnumber],OvalData[],MATCH(Table2[[#Headers],[Torque Required Open]],Table2[#Headers],0),0)</f>
        <v>892</v>
      </c>
      <c r="X433" s="2">
        <f>VLOOKUP([jobnumber],OvalData[],MATCH(Table2[[#Headers],[Pre Turns]],Table2[#Headers],0),0)</f>
        <v>1.3332999999999999</v>
      </c>
      <c r="Y433" s="2">
        <f>VLOOKUP([jobnumber],OvalData[],MATCH(Table2[[#Headers],[Required Torque Per Turn]],Table2[#Headers],0),0)</f>
        <v>688</v>
      </c>
      <c r="Z433" s="2">
        <f>VLOOKUP([jobnumber],OvalData[],MATCH(Table2[[#Headers],[Total Turns]],Table2[#Headers],0),0)</f>
        <v>4.91</v>
      </c>
      <c r="AA433" s="2">
        <f>VLOOKUP([jobnumber],OvalData[],MATCH(Table2[[#Headers],[Grille Vision Section]],Table2[#Headers],0),0)</f>
        <v>0</v>
      </c>
      <c r="AB433" s="2">
        <f>VLOOKUP([jobnumber],OvalData[],MATCH(Table2[[#Headers],[Grille Amount]],Table2[#Headers],0),0)</f>
        <v>0</v>
      </c>
      <c r="AC433" s="2">
        <f>VLOOKUP([jobnumber],OvalData[],MATCH(Table2[[#Headers],[Grille Center]],Table2[#Headers],0),0)</f>
        <v>0</v>
      </c>
      <c r="AD433" s="2">
        <f>VLOOKUP([jobnumber],OvalData[],MATCH(Table2[[#Headers],[Grille Pattern]],Table2[#Headers],0),0)</f>
        <v>0</v>
      </c>
      <c r="AE433" s="2">
        <f>VLOOKUP([jobnumber],OvalData[],MATCH(Table2[[#Headers],[Grille First Tube]],Table2[#Headers],0),0)</f>
        <v>0</v>
      </c>
      <c r="AF433" s="2">
        <f>VLOOKUP([jobnumber],OvalData[],MATCH(Table2[[#Headers],[Grille Standard Tube]],Table2[#Headers],0),0)</f>
        <v>0</v>
      </c>
      <c r="AG433" s="2">
        <f>VLOOKUP([jobnumber],OvalData[],MATCH(Table2[[#Headers],[Grille Total Links]],Table2[#Headers],0),0)</f>
        <v>0</v>
      </c>
      <c r="AH433" s="2">
        <f>VLOOKUP([jobnumber],OvalData[],MATCH(Table2[[#Headers],[Grille Rods]],Table2[#Headers],0),0)</f>
        <v>0</v>
      </c>
      <c r="AI433" s="2">
        <f>VLOOKUP([jobnumber],OvalData[],MATCH(Table2[[#Headers],[Grille Rod Length]],Table2[#Headers],0),0)</f>
        <v>0</v>
      </c>
      <c r="AJ433" s="2">
        <f>VLOOKUP([jobnumber],OvalData[],MATCH(Table2[[#Headers],[slattype]],Table2[#Headers],0),0)</f>
        <v>2</v>
      </c>
      <c r="AK433" s="2">
        <f>VLOOKUP([jobnumber],OvalData[],MATCH(Table2[[#Headers],[slatgage]],Table2[#Headers],0),0)</f>
        <v>18</v>
      </c>
      <c r="AL433" s="2">
        <f>VLOOKUP([jobnumber],OvalData[],MATCH(Table2[[#Headers],[Numer of Top Slats]],Table2[#Headers],0),0)</f>
        <v>0</v>
      </c>
      <c r="AM433" s="2">
        <f>VLOOKUP([jobnumber],OvalData[],MATCH(Table2[[#Headers],[Number of Bottom Slats]],Table2[#Headers],0),0)</f>
        <v>0</v>
      </c>
      <c r="AN433" s="2">
        <f>VLOOKUP([jobnumber],OvalData[],MATCH(Table2[[#Headers],[Solid Bottom Height]],Table2[#Headers],0),0)</f>
        <v>0</v>
      </c>
      <c r="AO433" s="2" t="str">
        <f>VLOOKUP([jobnumber],OvalData[],MATCH(Table2[[#Headers],[slatlength]],Table2[#Headers],0),0)</f>
        <v xml:space="preserve"> 18 ft.- 5 7/ 8"</v>
      </c>
      <c r="AP433" s="2">
        <f>VLOOKUP([jobnumber],OvalData[],MATCH(Table2[[#Headers],[Bottom Slat Length]],Table2[#Headers],0),0)</f>
        <v>0</v>
      </c>
      <c r="AQ433" s="2">
        <f>VLOOKUP([jobnumber],OvalData[],MATCH(Table2[[#Headers],[Number of Perferated Slats]],Table2[#Headers],0),0)</f>
        <v>0</v>
      </c>
      <c r="AR433" s="2">
        <f>VLOOKUP([jobnumber],OvalData[],MATCH(Table2[[#Headers],[First Preferated Slat From End]],Table2[#Headers],0),0)</f>
        <v>0</v>
      </c>
      <c r="AS433" s="2">
        <f>VLOOKUP([jobnumber],OvalData[],MATCH(Table2[[#Headers],[First Preferated Slat From Bottom]],Table2[#Headers],0),0)</f>
        <v>0</v>
      </c>
      <c r="AT433" s="2">
        <f>VLOOKUP([jobnumber],OvalData[],MATCH(Table2[[#Headers],[Total Number of Slats]],Table2[#Headers],0),0)</f>
        <v>51</v>
      </c>
      <c r="AU433" s="2">
        <f>VLOOKUP([jobnumber],OvalData[],MATCH(Table2[[#Headers],[Bottom Bar Slope]],Table2[#Headers],0),0)</f>
        <v>0</v>
      </c>
      <c r="AV433" s="2">
        <f>VLOOKUP([jobnumber],OvalData[],MATCH(Table2[[#Headers],[Bottom Bar Weight]],Table2[#Headers],0),0)</f>
        <v>80.5</v>
      </c>
      <c r="AW433" s="2" t="str">
        <f>VLOOKUP([jobnumber],OvalData[],MATCH(Table2[[#Headers],[Outer Spring Gage]],Table2[#Headers],0),0)</f>
        <v>Null</v>
      </c>
      <c r="AX433" s="2" t="str">
        <f>VLOOKUP([jobnumber],OvalData[],MATCH(Table2[[#Headers],[Outer Spring OD]],Table2[#Headers],0),0)</f>
        <v>Null</v>
      </c>
      <c r="AY433" s="2" t="str">
        <f>VLOOKUP([jobnumber],OvalData[],MATCH(Table2[[#Headers],[Outer Spring Length]],Table2[#Headers],0),0)</f>
        <v>Null</v>
      </c>
      <c r="AZ433" s="2" t="str">
        <f>VLOOKUP([jobnumber],OvalData[],MATCH(Table2[[#Headers],[Outer Spring Stretch]],Table2[#Headers],0),0)</f>
        <v>Null</v>
      </c>
      <c r="BA433" s="2" t="str">
        <f>VLOOKUP([jobnumber],OvalData[],MATCH(Table2[[#Headers],[Outer Spring Torque]],Table2[#Headers],0),0)</f>
        <v>Null</v>
      </c>
      <c r="BB433" s="2" t="str">
        <f>VLOOKUP([jobnumber],OvalData[],MATCH(Table2[[#Headers],[Outer Spring Max Turns]],Table2[#Headers],0),0)</f>
        <v>Null</v>
      </c>
      <c r="BC433" s="2" t="str">
        <f>VLOOKUP([jobnumber],OvalData[],MATCH(Table2[[#Headers],[Outer Spring Weight]],Table2[#Headers],0),0)</f>
        <v>Null</v>
      </c>
      <c r="BD433" s="2" t="str">
        <f>VLOOKUP([jobnumber],OvalData[],MATCH(Table2[[#Headers],[Inner Spring Gage]],Table2[#Headers],0),0)</f>
        <v>Null</v>
      </c>
      <c r="BE433" s="2" t="str">
        <f>VLOOKUP([jobnumber],OvalData[],MATCH(Table2[[#Headers],[Inner Spring OD]],Table2[#Headers],0),0)</f>
        <v>Null</v>
      </c>
      <c r="BF433" s="2" t="str">
        <f>VLOOKUP([jobnumber],OvalData[],MATCH(Table2[[#Headers],[Inner Spring Length]],Table2[#Headers],0),0)</f>
        <v>Null</v>
      </c>
      <c r="BG433" s="2" t="str">
        <f>VLOOKUP([jobnumber],OvalData[],MATCH(Table2[[#Headers],[Inner Spring Stretch]],Table2[#Headers],0),0)</f>
        <v>Null</v>
      </c>
      <c r="BH433" s="2" t="str">
        <f>VLOOKUP([jobnumber],OvalData[],MATCH(Table2[[#Headers],[Inner Spring Torque]],Table2[#Headers],0),0)</f>
        <v>Null</v>
      </c>
      <c r="BI433" s="2" t="str">
        <f>VLOOKUP([jobnumber],OvalData[],MATCH(Table2[[#Headers],[Inner Spring Max Turns]],Table2[#Headers],0),0)</f>
        <v>Null</v>
      </c>
      <c r="BJ433" s="2" t="str">
        <f>VLOOKUP([jobnumber],OvalData[],MATCH(Table2[[#Headers],[Inner Spring Weight]],Table2[#Headers],0),0)</f>
        <v>Null</v>
      </c>
      <c r="BK433" s="2">
        <f>VLOOKUP([jobnumber],OvalData[],MATCH(Table2[[#Headers],[Cycles]],Table2[#Headers],0),0)</f>
        <v>0</v>
      </c>
      <c r="BL433" s="2">
        <f>VLOOKUP([jobnumber],OvalData[],MATCH(Table2[[#Headers],[Total Spring Torque]],Table2[#Headers],0),0)</f>
        <v>0</v>
      </c>
      <c r="BM433" s="2">
        <f>VLOOKUP([jobnumber],OvalData[],MATCH(Table2[[#Headers],[Total Spring Weight]],Table2[#Headers],0),0)</f>
        <v>0</v>
      </c>
      <c r="BN433" s="2">
        <f>VLOOKUP([jobnumber],OvalData[],MATCH(Table2[[#Headers],[Pipe Weight]],Table2[#Headers],0),0)</f>
        <v>688.24239999999998</v>
      </c>
      <c r="BO433" s="2">
        <f>VLOOKUP([jobnumber],OvalData[],MATCH(Table2[[#Headers],[Max Pipe Deflection]],Table2[#Headers],0),0)</f>
        <v>2309</v>
      </c>
      <c r="BP433" s="2">
        <f>VLOOKUP([jobnumber],OvalData[],MATCH(Table2[[#Headers],[Number Non-Insulated Wrap Slats]],Table2[#Headers],0),0)</f>
        <v>0</v>
      </c>
      <c r="BQ433" s="2">
        <f>VLOOKUP([jobnumber],OvalData[],MATCH(Table2[[#Headers],[Number of Insolated Top Slats]],Table2[#Headers],0),0)</f>
        <v>45</v>
      </c>
      <c r="BR433" s="2">
        <f>VLOOKUP([jobnumber],OvalData[],MATCH(Table2[[#Headers],[Insolated Total Slats]],Table2[#Headers],0),0)</f>
        <v>45</v>
      </c>
      <c r="BS433" s="2">
        <f>VLOOKUP([jobnumber],OvalData[],MATCH(Table2[[#Headers],[Number of Slats]],Table2[#Headers],0),0)</f>
        <v>44.69</v>
      </c>
      <c r="BT433" s="2">
        <f>VLOOKUP([jobnumber],OvalData[],MATCH(Table2[[#Headers],[Wrap]],Table2[#Headers],0),0)</f>
        <v>0</v>
      </c>
      <c r="BU433" s="2">
        <f>VLOOKUP([jobnumber],OvalData[],MATCH(Table2[[#Headers],[Wall Angle Thickness]],Table2[#Headers],0),0)</f>
        <v>0</v>
      </c>
      <c r="BV433" s="2">
        <f>VLOOKUP([jobnumber],OvalData[],MATCH(Table2[[#Headers],[windlocks]],Table2[#Headers],0),0)</f>
        <v>0</v>
      </c>
      <c r="BW433" s="2" t="str">
        <f>VLOOKUP([jobnumber],OvalData[],MATCH(Table2[[#Headers],[bottombartype]],Table2[#Headers],0),0)</f>
        <v>SPECIAL</v>
      </c>
      <c r="BX433" s="2">
        <f>VLOOKUP([jobnumber],OvalData[],MATCH(Table2[[#Headers],[endlockweight]],Table2[#Headers],0),0)</f>
        <v>0.17</v>
      </c>
      <c r="BY433" s="2">
        <f>VLOOKUP([jobnumber],OvalData[],MATCH(Table2[[#Headers],[Endlock Total Weight]],Table2[#Headers],0),0)</f>
        <v>7.5972999999999997</v>
      </c>
      <c r="BZ433" s="2">
        <f>VLOOKUP([jobnumber],OvalData[],MATCH(Table2[[#Headers],[Grille Weight]],Table2[#Headers],0),0)</f>
        <v>0</v>
      </c>
      <c r="CA433" s="2">
        <f>VLOOKUP([jobnumber],OvalData[],MATCH(Table2[[#Headers],[barrelrings]],Table2[#Headers],0),0)</f>
        <v>1</v>
      </c>
    </row>
    <row r="434" spans="2:79">
      <c r="B434" s="2" t="str">
        <f>VLOOKUP([jobnumber],OvalData[],MATCH(Table2[[#Headers],[Hand]],Table2[#Headers],0),0)</f>
        <v>RH</v>
      </c>
      <c r="C434" s="2" t="str">
        <f>VLOOKUP([jobnumber],OvalData[],MATCH(Table2[[#Headers],[Model]],Table2[#Headers],0),0)</f>
        <v>SFMPP</v>
      </c>
      <c r="D434" s="2" t="str">
        <f>VLOOKUP([jobnumber],OvalData[],MATCH(Table2[[#Headers],[width]],Table2[#Headers],0),0)</f>
        <v xml:space="preserve"> 18 ft.- 2"</v>
      </c>
      <c r="E434" s="2" t="str">
        <f>VLOOKUP([jobnumber],OvalData[],MATCH(Table2[[#Headers],[stopheight]],Table2[#Headers],0),0)</f>
        <v xml:space="preserve"> 10 ft.- 0"</v>
      </c>
      <c r="F434" s="2" t="str">
        <f>VLOOKUP([jobnumber],OvalData[],MATCH(Table2[[#Headers],[Between Brackets]],Table2[#Headers],0),0)</f>
        <v xml:space="preserve"> 18 ft.- 7 7/ 8"</v>
      </c>
      <c r="G434" s="2" t="str">
        <f>VLOOKUP([jobnumber],OvalData[],MATCH(Table2[[#Headers],[shell]],Table2[#Headers],0),0)</f>
        <v>6 INCH TUBE</v>
      </c>
      <c r="H434" s="2" t="str">
        <f>VLOOKUP([jobnumber],OvalData[],MATCH(Table2[[#Headers],[pipewidth]],Table2[#Headers],0),0)</f>
        <v xml:space="preserve"> 18 ft.- 1 3/ 8"</v>
      </c>
      <c r="I434" s="2">
        <f>VLOOKUP([jobnumber],OvalData[],MATCH(Table2[[#Headers],[Support Tubes]],Table2[#Headers],0),0)</f>
        <v>0</v>
      </c>
      <c r="J434" s="2">
        <f>VLOOKUP([jobnumber],OvalData[],MATCH(Table2[[#Headers],[Upset]],Table2[#Headers],0),0)</f>
        <v>2</v>
      </c>
      <c r="K434" s="2" t="str">
        <f>VLOOKUP([jobnumber],OvalData[],MATCH(Table2[[#Headers],[Guide Type]],Table2[#Headers],0),0)</f>
        <v>SN2-4 5/8-E</v>
      </c>
      <c r="L434" s="2" t="str">
        <f>VLOOKUP([jobnumber],OvalData[],MATCH(Table2[[#Headers],[Wall Angle]],Table2[#Headers],0),0)</f>
        <v xml:space="preserve"> 11 ft.- 8"</v>
      </c>
      <c r="M434" s="2" t="str">
        <f>VLOOKUP([jobnumber],OvalData[],MATCH(Table2[[#Headers],[Middle Angle]],Table2[#Headers],0),0)</f>
        <v xml:space="preserve"> 10 ft.- 4 1/ 2"</v>
      </c>
      <c r="N434" s="2" t="str">
        <f>VLOOKUP([jobnumber],OvalData[],MATCH(Table2[[#Headers],[Front Angle]],Table2[#Headers],0),0)</f>
        <v xml:space="preserve"> 10 ft.- 3"</v>
      </c>
      <c r="O434" s="2">
        <f>VLOOKUP([jobnumber],OvalData[],MATCH(Table2[[#Headers],[Pipe Center Line]],Table2[#Headers],0),0)</f>
        <v>131</v>
      </c>
      <c r="P434" s="2">
        <f>VLOOKUP([jobnumber],OvalData[],MATCH(Table2[[#Headers],[Heat Expansion Gap]],Table2[#Headers],0),0)</f>
        <v>0</v>
      </c>
      <c r="Q434" s="2">
        <f>VLOOKUP([jobnumber],OvalData[],MATCH(Table2[[#Headers],[Hanging Weight Closed]],Table2[#Headers],0),0)</f>
        <v>795</v>
      </c>
      <c r="R434" s="2">
        <f>VLOOKUP([jobnumber],OvalData[],MATCH(Table2[[#Headers],[Hanging Weight Open]],Table2[#Headers],0),0)</f>
        <v>140</v>
      </c>
      <c r="S434" s="2">
        <f>VLOOKUP([jobnumber],OvalData[],MATCH(Table2[[#Headers],[Initial Lever Arm]],Table2[#Headers],0),0)</f>
        <v>4.25</v>
      </c>
      <c r="T434" s="2">
        <f>VLOOKUP([jobnumber],OvalData[],MATCH(Table2[[#Headers],[Turns to Raise]],Table2[#Headers],0),0)</f>
        <v>3.5859999999999999</v>
      </c>
      <c r="U434" s="2">
        <f>VLOOKUP([jobnumber],OvalData[],MATCH(Table2[[#Headers],[Final Lever Arm]],Table2[#Headers],0),0)</f>
        <v>6.37</v>
      </c>
      <c r="V434" s="2">
        <f>VLOOKUP([jobnumber],OvalData[],MATCH(Table2[[#Headers],[Torque Required Closed]],Table2[#Headers],0),0)</f>
        <v>3377.9</v>
      </c>
      <c r="W434" s="2">
        <f>VLOOKUP([jobnumber],OvalData[],MATCH(Table2[[#Headers],[Torque Required Open]],Table2[#Headers],0),0)</f>
        <v>892</v>
      </c>
      <c r="X434" s="2">
        <f>VLOOKUP([jobnumber],OvalData[],MATCH(Table2[[#Headers],[Pre Turns]],Table2[#Headers],0),0)</f>
        <v>1.3332999999999999</v>
      </c>
      <c r="Y434" s="2">
        <f>VLOOKUP([jobnumber],OvalData[],MATCH(Table2[[#Headers],[Required Torque Per Turn]],Table2[#Headers],0),0)</f>
        <v>688</v>
      </c>
      <c r="Z434" s="2">
        <f>VLOOKUP([jobnumber],OvalData[],MATCH(Table2[[#Headers],[Total Turns]],Table2[#Headers],0),0)</f>
        <v>4.91</v>
      </c>
      <c r="AA434" s="2">
        <f>VLOOKUP([jobnumber],OvalData[],MATCH(Table2[[#Headers],[Grille Vision Section]],Table2[#Headers],0),0)</f>
        <v>0</v>
      </c>
      <c r="AB434" s="2">
        <f>VLOOKUP([jobnumber],OvalData[],MATCH(Table2[[#Headers],[Grille Amount]],Table2[#Headers],0),0)</f>
        <v>0</v>
      </c>
      <c r="AC434" s="2">
        <f>VLOOKUP([jobnumber],OvalData[],MATCH(Table2[[#Headers],[Grille Center]],Table2[#Headers],0),0)</f>
        <v>0</v>
      </c>
      <c r="AD434" s="2">
        <f>VLOOKUP([jobnumber],OvalData[],MATCH(Table2[[#Headers],[Grille Pattern]],Table2[#Headers],0),0)</f>
        <v>0</v>
      </c>
      <c r="AE434" s="2">
        <f>VLOOKUP([jobnumber],OvalData[],MATCH(Table2[[#Headers],[Grille First Tube]],Table2[#Headers],0),0)</f>
        <v>0</v>
      </c>
      <c r="AF434" s="2">
        <f>VLOOKUP([jobnumber],OvalData[],MATCH(Table2[[#Headers],[Grille Standard Tube]],Table2[#Headers],0),0)</f>
        <v>0</v>
      </c>
      <c r="AG434" s="2">
        <f>VLOOKUP([jobnumber],OvalData[],MATCH(Table2[[#Headers],[Grille Total Links]],Table2[#Headers],0),0)</f>
        <v>0</v>
      </c>
      <c r="AH434" s="2">
        <f>VLOOKUP([jobnumber],OvalData[],MATCH(Table2[[#Headers],[Grille Rods]],Table2[#Headers],0),0)</f>
        <v>0</v>
      </c>
      <c r="AI434" s="2">
        <f>VLOOKUP([jobnumber],OvalData[],MATCH(Table2[[#Headers],[Grille Rod Length]],Table2[#Headers],0),0)</f>
        <v>0</v>
      </c>
      <c r="AJ434" s="2">
        <f>VLOOKUP([jobnumber],OvalData[],MATCH(Table2[[#Headers],[slattype]],Table2[#Headers],0),0)</f>
        <v>2</v>
      </c>
      <c r="AK434" s="2">
        <f>VLOOKUP([jobnumber],OvalData[],MATCH(Table2[[#Headers],[slatgage]],Table2[#Headers],0),0)</f>
        <v>18</v>
      </c>
      <c r="AL434" s="2">
        <f>VLOOKUP([jobnumber],OvalData[],MATCH(Table2[[#Headers],[Numer of Top Slats]],Table2[#Headers],0),0)</f>
        <v>0</v>
      </c>
      <c r="AM434" s="2">
        <f>VLOOKUP([jobnumber],OvalData[],MATCH(Table2[[#Headers],[Number of Bottom Slats]],Table2[#Headers],0),0)</f>
        <v>0</v>
      </c>
      <c r="AN434" s="2">
        <f>VLOOKUP([jobnumber],OvalData[],MATCH(Table2[[#Headers],[Solid Bottom Height]],Table2[#Headers],0),0)</f>
        <v>0</v>
      </c>
      <c r="AO434" s="2" t="str">
        <f>VLOOKUP([jobnumber],OvalData[],MATCH(Table2[[#Headers],[slatlength]],Table2[#Headers],0),0)</f>
        <v xml:space="preserve"> 18 ft.- 5 7/ 8"</v>
      </c>
      <c r="AP434" s="2">
        <f>VLOOKUP([jobnumber],OvalData[],MATCH(Table2[[#Headers],[Bottom Slat Length]],Table2[#Headers],0),0)</f>
        <v>0</v>
      </c>
      <c r="AQ434" s="2">
        <f>VLOOKUP([jobnumber],OvalData[],MATCH(Table2[[#Headers],[Number of Perferated Slats]],Table2[#Headers],0),0)</f>
        <v>0</v>
      </c>
      <c r="AR434" s="2">
        <f>VLOOKUP([jobnumber],OvalData[],MATCH(Table2[[#Headers],[First Preferated Slat From End]],Table2[#Headers],0),0)</f>
        <v>0</v>
      </c>
      <c r="AS434" s="2">
        <f>VLOOKUP([jobnumber],OvalData[],MATCH(Table2[[#Headers],[First Preferated Slat From Bottom]],Table2[#Headers],0),0)</f>
        <v>0</v>
      </c>
      <c r="AT434" s="2">
        <f>VLOOKUP([jobnumber],OvalData[],MATCH(Table2[[#Headers],[Total Number of Slats]],Table2[#Headers],0),0)</f>
        <v>51</v>
      </c>
      <c r="AU434" s="2">
        <f>VLOOKUP([jobnumber],OvalData[],MATCH(Table2[[#Headers],[Bottom Bar Slope]],Table2[#Headers],0),0)</f>
        <v>0</v>
      </c>
      <c r="AV434" s="2">
        <f>VLOOKUP([jobnumber],OvalData[],MATCH(Table2[[#Headers],[Bottom Bar Weight]],Table2[#Headers],0),0)</f>
        <v>80.5</v>
      </c>
      <c r="AW434" s="2" t="str">
        <f>VLOOKUP([jobnumber],OvalData[],MATCH(Table2[[#Headers],[Outer Spring Gage]],Table2[#Headers],0),0)</f>
        <v>Null</v>
      </c>
      <c r="AX434" s="2" t="str">
        <f>VLOOKUP([jobnumber],OvalData[],MATCH(Table2[[#Headers],[Outer Spring OD]],Table2[#Headers],0),0)</f>
        <v>Null</v>
      </c>
      <c r="AY434" s="2" t="str">
        <f>VLOOKUP([jobnumber],OvalData[],MATCH(Table2[[#Headers],[Outer Spring Length]],Table2[#Headers],0),0)</f>
        <v>Null</v>
      </c>
      <c r="AZ434" s="2" t="str">
        <f>VLOOKUP([jobnumber],OvalData[],MATCH(Table2[[#Headers],[Outer Spring Stretch]],Table2[#Headers],0),0)</f>
        <v>Null</v>
      </c>
      <c r="BA434" s="2" t="str">
        <f>VLOOKUP([jobnumber],OvalData[],MATCH(Table2[[#Headers],[Outer Spring Torque]],Table2[#Headers],0),0)</f>
        <v>Null</v>
      </c>
      <c r="BB434" s="2" t="str">
        <f>VLOOKUP([jobnumber],OvalData[],MATCH(Table2[[#Headers],[Outer Spring Max Turns]],Table2[#Headers],0),0)</f>
        <v>Null</v>
      </c>
      <c r="BC434" s="2" t="str">
        <f>VLOOKUP([jobnumber],OvalData[],MATCH(Table2[[#Headers],[Outer Spring Weight]],Table2[#Headers],0),0)</f>
        <v>Null</v>
      </c>
      <c r="BD434" s="2" t="str">
        <f>VLOOKUP([jobnumber],OvalData[],MATCH(Table2[[#Headers],[Inner Spring Gage]],Table2[#Headers],0),0)</f>
        <v>Null</v>
      </c>
      <c r="BE434" s="2" t="str">
        <f>VLOOKUP([jobnumber],OvalData[],MATCH(Table2[[#Headers],[Inner Spring OD]],Table2[#Headers],0),0)</f>
        <v>Null</v>
      </c>
      <c r="BF434" s="2" t="str">
        <f>VLOOKUP([jobnumber],OvalData[],MATCH(Table2[[#Headers],[Inner Spring Length]],Table2[#Headers],0),0)</f>
        <v>Null</v>
      </c>
      <c r="BG434" s="2" t="str">
        <f>VLOOKUP([jobnumber],OvalData[],MATCH(Table2[[#Headers],[Inner Spring Stretch]],Table2[#Headers],0),0)</f>
        <v>Null</v>
      </c>
      <c r="BH434" s="2" t="str">
        <f>VLOOKUP([jobnumber],OvalData[],MATCH(Table2[[#Headers],[Inner Spring Torque]],Table2[#Headers],0),0)</f>
        <v>Null</v>
      </c>
      <c r="BI434" s="2" t="str">
        <f>VLOOKUP([jobnumber],OvalData[],MATCH(Table2[[#Headers],[Inner Spring Max Turns]],Table2[#Headers],0),0)</f>
        <v>Null</v>
      </c>
      <c r="BJ434" s="2" t="str">
        <f>VLOOKUP([jobnumber],OvalData[],MATCH(Table2[[#Headers],[Inner Spring Weight]],Table2[#Headers],0),0)</f>
        <v>Null</v>
      </c>
      <c r="BK434" s="2">
        <f>VLOOKUP([jobnumber],OvalData[],MATCH(Table2[[#Headers],[Cycles]],Table2[#Headers],0),0)</f>
        <v>0</v>
      </c>
      <c r="BL434" s="2">
        <f>VLOOKUP([jobnumber],OvalData[],MATCH(Table2[[#Headers],[Total Spring Torque]],Table2[#Headers],0),0)</f>
        <v>0</v>
      </c>
      <c r="BM434" s="2">
        <f>VLOOKUP([jobnumber],OvalData[],MATCH(Table2[[#Headers],[Total Spring Weight]],Table2[#Headers],0),0)</f>
        <v>0</v>
      </c>
      <c r="BN434" s="2">
        <f>VLOOKUP([jobnumber],OvalData[],MATCH(Table2[[#Headers],[Pipe Weight]],Table2[#Headers],0),0)</f>
        <v>688.24239999999998</v>
      </c>
      <c r="BO434" s="2">
        <f>VLOOKUP([jobnumber],OvalData[],MATCH(Table2[[#Headers],[Max Pipe Deflection]],Table2[#Headers],0),0)</f>
        <v>2309</v>
      </c>
      <c r="BP434" s="2">
        <f>VLOOKUP([jobnumber],OvalData[],MATCH(Table2[[#Headers],[Number Non-Insulated Wrap Slats]],Table2[#Headers],0),0)</f>
        <v>0</v>
      </c>
      <c r="BQ434" s="2">
        <f>VLOOKUP([jobnumber],OvalData[],MATCH(Table2[[#Headers],[Number of Insolated Top Slats]],Table2[#Headers],0),0)</f>
        <v>45</v>
      </c>
      <c r="BR434" s="2">
        <f>VLOOKUP([jobnumber],OvalData[],MATCH(Table2[[#Headers],[Insolated Total Slats]],Table2[#Headers],0),0)</f>
        <v>45</v>
      </c>
      <c r="BS434" s="2">
        <f>VLOOKUP([jobnumber],OvalData[],MATCH(Table2[[#Headers],[Number of Slats]],Table2[#Headers],0),0)</f>
        <v>44.69</v>
      </c>
      <c r="BT434" s="2">
        <f>VLOOKUP([jobnumber],OvalData[],MATCH(Table2[[#Headers],[Wrap]],Table2[#Headers],0),0)</f>
        <v>0</v>
      </c>
      <c r="BU434" s="2">
        <f>VLOOKUP([jobnumber],OvalData[],MATCH(Table2[[#Headers],[Wall Angle Thickness]],Table2[#Headers],0),0)</f>
        <v>0</v>
      </c>
      <c r="BV434" s="2">
        <f>VLOOKUP([jobnumber],OvalData[],MATCH(Table2[[#Headers],[windlocks]],Table2[#Headers],0),0)</f>
        <v>0</v>
      </c>
      <c r="BW434" s="2" t="str">
        <f>VLOOKUP([jobnumber],OvalData[],MATCH(Table2[[#Headers],[bottombartype]],Table2[#Headers],0),0)</f>
        <v>SPECIAL</v>
      </c>
      <c r="BX434" s="2">
        <f>VLOOKUP([jobnumber],OvalData[],MATCH(Table2[[#Headers],[endlockweight]],Table2[#Headers],0),0)</f>
        <v>0.17</v>
      </c>
      <c r="BY434" s="2">
        <f>VLOOKUP([jobnumber],OvalData[],MATCH(Table2[[#Headers],[Endlock Total Weight]],Table2[#Headers],0),0)</f>
        <v>7.5972999999999997</v>
      </c>
      <c r="BZ434" s="2">
        <f>VLOOKUP([jobnumber],OvalData[],MATCH(Table2[[#Headers],[Grille Weight]],Table2[#Headers],0),0)</f>
        <v>0</v>
      </c>
      <c r="CA434" s="2">
        <f>VLOOKUP([jobnumber],OvalData[],MATCH(Table2[[#Headers],[barrelrings]],Table2[#Headers],0),0)</f>
        <v>1</v>
      </c>
    </row>
    <row r="435" spans="2:79">
      <c r="B435" s="2" t="str">
        <f>VLOOKUP([jobnumber],OvalData[],MATCH(Table2[[#Headers],[Hand]],Table2[#Headers],0),0)</f>
        <v>RH</v>
      </c>
      <c r="C435" s="2" t="str">
        <f>VLOOKUP([jobnumber],OvalData[],MATCH(Table2[[#Headers],[Model]],Table2[#Headers],0),0)</f>
        <v>SFMPP</v>
      </c>
      <c r="D435" s="2" t="str">
        <f>VLOOKUP([jobnumber],OvalData[],MATCH(Table2[[#Headers],[width]],Table2[#Headers],0),0)</f>
        <v xml:space="preserve"> 18 ft.- 2"</v>
      </c>
      <c r="E435" s="2" t="str">
        <f>VLOOKUP([jobnumber],OvalData[],MATCH(Table2[[#Headers],[stopheight]],Table2[#Headers],0),0)</f>
        <v xml:space="preserve"> 10 ft.- 0"</v>
      </c>
      <c r="F435" s="2" t="str">
        <f>VLOOKUP([jobnumber],OvalData[],MATCH(Table2[[#Headers],[Between Brackets]],Table2[#Headers],0),0)</f>
        <v xml:space="preserve"> 18 ft.- 7 7/ 8"</v>
      </c>
      <c r="G435" s="2" t="str">
        <f>VLOOKUP([jobnumber],OvalData[],MATCH(Table2[[#Headers],[shell]],Table2[#Headers],0),0)</f>
        <v>6 INCH TUBE</v>
      </c>
      <c r="H435" s="2" t="str">
        <f>VLOOKUP([jobnumber],OvalData[],MATCH(Table2[[#Headers],[pipewidth]],Table2[#Headers],0),0)</f>
        <v xml:space="preserve"> 18 ft.- 1 3/ 8"</v>
      </c>
      <c r="I435" s="2">
        <f>VLOOKUP([jobnumber],OvalData[],MATCH(Table2[[#Headers],[Support Tubes]],Table2[#Headers],0),0)</f>
        <v>0</v>
      </c>
      <c r="J435" s="2">
        <f>VLOOKUP([jobnumber],OvalData[],MATCH(Table2[[#Headers],[Upset]],Table2[#Headers],0),0)</f>
        <v>2</v>
      </c>
      <c r="K435" s="2" t="str">
        <f>VLOOKUP([jobnumber],OvalData[],MATCH(Table2[[#Headers],[Guide Type]],Table2[#Headers],0),0)</f>
        <v>SN2-4 5/8-E</v>
      </c>
      <c r="L435" s="2" t="str">
        <f>VLOOKUP([jobnumber],OvalData[],MATCH(Table2[[#Headers],[Wall Angle]],Table2[#Headers],0),0)</f>
        <v xml:space="preserve"> 11 ft.- 8"</v>
      </c>
      <c r="M435" s="2" t="str">
        <f>VLOOKUP([jobnumber],OvalData[],MATCH(Table2[[#Headers],[Middle Angle]],Table2[#Headers],0),0)</f>
        <v xml:space="preserve"> 10 ft.- 4 1/ 2"</v>
      </c>
      <c r="N435" s="2" t="str">
        <f>VLOOKUP([jobnumber],OvalData[],MATCH(Table2[[#Headers],[Front Angle]],Table2[#Headers],0),0)</f>
        <v xml:space="preserve"> 10 ft.- 3"</v>
      </c>
      <c r="O435" s="2">
        <f>VLOOKUP([jobnumber],OvalData[],MATCH(Table2[[#Headers],[Pipe Center Line]],Table2[#Headers],0),0)</f>
        <v>131</v>
      </c>
      <c r="P435" s="2">
        <f>VLOOKUP([jobnumber],OvalData[],MATCH(Table2[[#Headers],[Heat Expansion Gap]],Table2[#Headers],0),0)</f>
        <v>0</v>
      </c>
      <c r="Q435" s="2">
        <f>VLOOKUP([jobnumber],OvalData[],MATCH(Table2[[#Headers],[Hanging Weight Closed]],Table2[#Headers],0),0)</f>
        <v>795</v>
      </c>
      <c r="R435" s="2">
        <f>VLOOKUP([jobnumber],OvalData[],MATCH(Table2[[#Headers],[Hanging Weight Open]],Table2[#Headers],0),0)</f>
        <v>140</v>
      </c>
      <c r="S435" s="2">
        <f>VLOOKUP([jobnumber],OvalData[],MATCH(Table2[[#Headers],[Initial Lever Arm]],Table2[#Headers],0),0)</f>
        <v>4.25</v>
      </c>
      <c r="T435" s="2">
        <f>VLOOKUP([jobnumber],OvalData[],MATCH(Table2[[#Headers],[Turns to Raise]],Table2[#Headers],0),0)</f>
        <v>3.5859999999999999</v>
      </c>
      <c r="U435" s="2">
        <f>VLOOKUP([jobnumber],OvalData[],MATCH(Table2[[#Headers],[Final Lever Arm]],Table2[#Headers],0),0)</f>
        <v>6.37</v>
      </c>
      <c r="V435" s="2">
        <f>VLOOKUP([jobnumber],OvalData[],MATCH(Table2[[#Headers],[Torque Required Closed]],Table2[#Headers],0),0)</f>
        <v>3377.9</v>
      </c>
      <c r="W435" s="2">
        <f>VLOOKUP([jobnumber],OvalData[],MATCH(Table2[[#Headers],[Torque Required Open]],Table2[#Headers],0),0)</f>
        <v>892</v>
      </c>
      <c r="X435" s="2">
        <f>VLOOKUP([jobnumber],OvalData[],MATCH(Table2[[#Headers],[Pre Turns]],Table2[#Headers],0),0)</f>
        <v>1.3332999999999999</v>
      </c>
      <c r="Y435" s="2">
        <f>VLOOKUP([jobnumber],OvalData[],MATCH(Table2[[#Headers],[Required Torque Per Turn]],Table2[#Headers],0),0)</f>
        <v>688</v>
      </c>
      <c r="Z435" s="2">
        <f>VLOOKUP([jobnumber],OvalData[],MATCH(Table2[[#Headers],[Total Turns]],Table2[#Headers],0),0)</f>
        <v>4.91</v>
      </c>
      <c r="AA435" s="2">
        <f>VLOOKUP([jobnumber],OvalData[],MATCH(Table2[[#Headers],[Grille Vision Section]],Table2[#Headers],0),0)</f>
        <v>0</v>
      </c>
      <c r="AB435" s="2">
        <f>VLOOKUP([jobnumber],OvalData[],MATCH(Table2[[#Headers],[Grille Amount]],Table2[#Headers],0),0)</f>
        <v>0</v>
      </c>
      <c r="AC435" s="2">
        <f>VLOOKUP([jobnumber],OvalData[],MATCH(Table2[[#Headers],[Grille Center]],Table2[#Headers],0),0)</f>
        <v>0</v>
      </c>
      <c r="AD435" s="2">
        <f>VLOOKUP([jobnumber],OvalData[],MATCH(Table2[[#Headers],[Grille Pattern]],Table2[#Headers],0),0)</f>
        <v>0</v>
      </c>
      <c r="AE435" s="2">
        <f>VLOOKUP([jobnumber],OvalData[],MATCH(Table2[[#Headers],[Grille First Tube]],Table2[#Headers],0),0)</f>
        <v>0</v>
      </c>
      <c r="AF435" s="2">
        <f>VLOOKUP([jobnumber],OvalData[],MATCH(Table2[[#Headers],[Grille Standard Tube]],Table2[#Headers],0),0)</f>
        <v>0</v>
      </c>
      <c r="AG435" s="2">
        <f>VLOOKUP([jobnumber],OvalData[],MATCH(Table2[[#Headers],[Grille Total Links]],Table2[#Headers],0),0)</f>
        <v>0</v>
      </c>
      <c r="AH435" s="2">
        <f>VLOOKUP([jobnumber],OvalData[],MATCH(Table2[[#Headers],[Grille Rods]],Table2[#Headers],0),0)</f>
        <v>0</v>
      </c>
      <c r="AI435" s="2">
        <f>VLOOKUP([jobnumber],OvalData[],MATCH(Table2[[#Headers],[Grille Rod Length]],Table2[#Headers],0),0)</f>
        <v>0</v>
      </c>
      <c r="AJ435" s="2">
        <f>VLOOKUP([jobnumber],OvalData[],MATCH(Table2[[#Headers],[slattype]],Table2[#Headers],0),0)</f>
        <v>2</v>
      </c>
      <c r="AK435" s="2">
        <f>VLOOKUP([jobnumber],OvalData[],MATCH(Table2[[#Headers],[slatgage]],Table2[#Headers],0),0)</f>
        <v>18</v>
      </c>
      <c r="AL435" s="2">
        <f>VLOOKUP([jobnumber],OvalData[],MATCH(Table2[[#Headers],[Numer of Top Slats]],Table2[#Headers],0),0)</f>
        <v>0</v>
      </c>
      <c r="AM435" s="2">
        <f>VLOOKUP([jobnumber],OvalData[],MATCH(Table2[[#Headers],[Number of Bottom Slats]],Table2[#Headers],0),0)</f>
        <v>0</v>
      </c>
      <c r="AN435" s="2">
        <f>VLOOKUP([jobnumber],OvalData[],MATCH(Table2[[#Headers],[Solid Bottom Height]],Table2[#Headers],0),0)</f>
        <v>0</v>
      </c>
      <c r="AO435" s="2" t="str">
        <f>VLOOKUP([jobnumber],OvalData[],MATCH(Table2[[#Headers],[slatlength]],Table2[#Headers],0),0)</f>
        <v xml:space="preserve"> 18 ft.- 5 7/ 8"</v>
      </c>
      <c r="AP435" s="2">
        <f>VLOOKUP([jobnumber],OvalData[],MATCH(Table2[[#Headers],[Bottom Slat Length]],Table2[#Headers],0),0)</f>
        <v>0</v>
      </c>
      <c r="AQ435" s="2">
        <f>VLOOKUP([jobnumber],OvalData[],MATCH(Table2[[#Headers],[Number of Perferated Slats]],Table2[#Headers],0),0)</f>
        <v>0</v>
      </c>
      <c r="AR435" s="2">
        <f>VLOOKUP([jobnumber],OvalData[],MATCH(Table2[[#Headers],[First Preferated Slat From End]],Table2[#Headers],0),0)</f>
        <v>0</v>
      </c>
      <c r="AS435" s="2">
        <f>VLOOKUP([jobnumber],OvalData[],MATCH(Table2[[#Headers],[First Preferated Slat From Bottom]],Table2[#Headers],0),0)</f>
        <v>0</v>
      </c>
      <c r="AT435" s="2">
        <f>VLOOKUP([jobnumber],OvalData[],MATCH(Table2[[#Headers],[Total Number of Slats]],Table2[#Headers],0),0)</f>
        <v>51</v>
      </c>
      <c r="AU435" s="2">
        <f>VLOOKUP([jobnumber],OvalData[],MATCH(Table2[[#Headers],[Bottom Bar Slope]],Table2[#Headers],0),0)</f>
        <v>0</v>
      </c>
      <c r="AV435" s="2">
        <f>VLOOKUP([jobnumber],OvalData[],MATCH(Table2[[#Headers],[Bottom Bar Weight]],Table2[#Headers],0),0)</f>
        <v>80.5</v>
      </c>
      <c r="AW435" s="2" t="str">
        <f>VLOOKUP([jobnumber],OvalData[],MATCH(Table2[[#Headers],[Outer Spring Gage]],Table2[#Headers],0),0)</f>
        <v>Null</v>
      </c>
      <c r="AX435" s="2" t="str">
        <f>VLOOKUP([jobnumber],OvalData[],MATCH(Table2[[#Headers],[Outer Spring OD]],Table2[#Headers],0),0)</f>
        <v>Null</v>
      </c>
      <c r="AY435" s="2" t="str">
        <f>VLOOKUP([jobnumber],OvalData[],MATCH(Table2[[#Headers],[Outer Spring Length]],Table2[#Headers],0),0)</f>
        <v>Null</v>
      </c>
      <c r="AZ435" s="2" t="str">
        <f>VLOOKUP([jobnumber],OvalData[],MATCH(Table2[[#Headers],[Outer Spring Stretch]],Table2[#Headers],0),0)</f>
        <v>Null</v>
      </c>
      <c r="BA435" s="2" t="str">
        <f>VLOOKUP([jobnumber],OvalData[],MATCH(Table2[[#Headers],[Outer Spring Torque]],Table2[#Headers],0),0)</f>
        <v>Null</v>
      </c>
      <c r="BB435" s="2" t="str">
        <f>VLOOKUP([jobnumber],OvalData[],MATCH(Table2[[#Headers],[Outer Spring Max Turns]],Table2[#Headers],0),0)</f>
        <v>Null</v>
      </c>
      <c r="BC435" s="2" t="str">
        <f>VLOOKUP([jobnumber],OvalData[],MATCH(Table2[[#Headers],[Outer Spring Weight]],Table2[#Headers],0),0)</f>
        <v>Null</v>
      </c>
      <c r="BD435" s="2" t="str">
        <f>VLOOKUP([jobnumber],OvalData[],MATCH(Table2[[#Headers],[Inner Spring Gage]],Table2[#Headers],0),0)</f>
        <v>Null</v>
      </c>
      <c r="BE435" s="2" t="str">
        <f>VLOOKUP([jobnumber],OvalData[],MATCH(Table2[[#Headers],[Inner Spring OD]],Table2[#Headers],0),0)</f>
        <v>Null</v>
      </c>
      <c r="BF435" s="2" t="str">
        <f>VLOOKUP([jobnumber],OvalData[],MATCH(Table2[[#Headers],[Inner Spring Length]],Table2[#Headers],0),0)</f>
        <v>Null</v>
      </c>
      <c r="BG435" s="2" t="str">
        <f>VLOOKUP([jobnumber],OvalData[],MATCH(Table2[[#Headers],[Inner Spring Stretch]],Table2[#Headers],0),0)</f>
        <v>Null</v>
      </c>
      <c r="BH435" s="2" t="str">
        <f>VLOOKUP([jobnumber],OvalData[],MATCH(Table2[[#Headers],[Inner Spring Torque]],Table2[#Headers],0),0)</f>
        <v>Null</v>
      </c>
      <c r="BI435" s="2" t="str">
        <f>VLOOKUP([jobnumber],OvalData[],MATCH(Table2[[#Headers],[Inner Spring Max Turns]],Table2[#Headers],0),0)</f>
        <v>Null</v>
      </c>
      <c r="BJ435" s="2" t="str">
        <f>VLOOKUP([jobnumber],OvalData[],MATCH(Table2[[#Headers],[Inner Spring Weight]],Table2[#Headers],0),0)</f>
        <v>Null</v>
      </c>
      <c r="BK435" s="2">
        <f>VLOOKUP([jobnumber],OvalData[],MATCH(Table2[[#Headers],[Cycles]],Table2[#Headers],0),0)</f>
        <v>0</v>
      </c>
      <c r="BL435" s="2">
        <f>VLOOKUP([jobnumber],OvalData[],MATCH(Table2[[#Headers],[Total Spring Torque]],Table2[#Headers],0),0)</f>
        <v>0</v>
      </c>
      <c r="BM435" s="2">
        <f>VLOOKUP([jobnumber],OvalData[],MATCH(Table2[[#Headers],[Total Spring Weight]],Table2[#Headers],0),0)</f>
        <v>0</v>
      </c>
      <c r="BN435" s="2">
        <f>VLOOKUP([jobnumber],OvalData[],MATCH(Table2[[#Headers],[Pipe Weight]],Table2[#Headers],0),0)</f>
        <v>688.24239999999998</v>
      </c>
      <c r="BO435" s="2">
        <f>VLOOKUP([jobnumber],OvalData[],MATCH(Table2[[#Headers],[Max Pipe Deflection]],Table2[#Headers],0),0)</f>
        <v>2309</v>
      </c>
      <c r="BP435" s="2">
        <f>VLOOKUP([jobnumber],OvalData[],MATCH(Table2[[#Headers],[Number Non-Insulated Wrap Slats]],Table2[#Headers],0),0)</f>
        <v>0</v>
      </c>
      <c r="BQ435" s="2">
        <f>VLOOKUP([jobnumber],OvalData[],MATCH(Table2[[#Headers],[Number of Insolated Top Slats]],Table2[#Headers],0),0)</f>
        <v>45</v>
      </c>
      <c r="BR435" s="2">
        <f>VLOOKUP([jobnumber],OvalData[],MATCH(Table2[[#Headers],[Insolated Total Slats]],Table2[#Headers],0),0)</f>
        <v>45</v>
      </c>
      <c r="BS435" s="2">
        <f>VLOOKUP([jobnumber],OvalData[],MATCH(Table2[[#Headers],[Number of Slats]],Table2[#Headers],0),0)</f>
        <v>44.69</v>
      </c>
      <c r="BT435" s="2">
        <f>VLOOKUP([jobnumber],OvalData[],MATCH(Table2[[#Headers],[Wrap]],Table2[#Headers],0),0)</f>
        <v>0</v>
      </c>
      <c r="BU435" s="2">
        <f>VLOOKUP([jobnumber],OvalData[],MATCH(Table2[[#Headers],[Wall Angle Thickness]],Table2[#Headers],0),0)</f>
        <v>0</v>
      </c>
      <c r="BV435" s="2">
        <f>VLOOKUP([jobnumber],OvalData[],MATCH(Table2[[#Headers],[windlocks]],Table2[#Headers],0),0)</f>
        <v>0</v>
      </c>
      <c r="BW435" s="2" t="str">
        <f>VLOOKUP([jobnumber],OvalData[],MATCH(Table2[[#Headers],[bottombartype]],Table2[#Headers],0),0)</f>
        <v>SPECIAL</v>
      </c>
      <c r="BX435" s="2">
        <f>VLOOKUP([jobnumber],OvalData[],MATCH(Table2[[#Headers],[endlockweight]],Table2[#Headers],0),0)</f>
        <v>0.17</v>
      </c>
      <c r="BY435" s="2">
        <f>VLOOKUP([jobnumber],OvalData[],MATCH(Table2[[#Headers],[Endlock Total Weight]],Table2[#Headers],0),0)</f>
        <v>7.5972999999999997</v>
      </c>
      <c r="BZ435" s="2">
        <f>VLOOKUP([jobnumber],OvalData[],MATCH(Table2[[#Headers],[Grille Weight]],Table2[#Headers],0),0)</f>
        <v>0</v>
      </c>
      <c r="CA435" s="2">
        <f>VLOOKUP([jobnumber],OvalData[],MATCH(Table2[[#Headers],[barrelrings]],Table2[#Headers],0),0)</f>
        <v>1</v>
      </c>
    </row>
    <row r="436" spans="2:79">
      <c r="B436" s="2" t="str">
        <f>VLOOKUP([jobnumber],OvalData[],MATCH(Table2[[#Headers],[Hand]],Table2[#Headers],0),0)</f>
        <v>RH</v>
      </c>
      <c r="C436" s="2" t="str">
        <f>VLOOKUP([jobnumber],OvalData[],MATCH(Table2[[#Headers],[Model]],Table2[#Headers],0),0)</f>
        <v>SFMPP</v>
      </c>
      <c r="D436" s="2" t="str">
        <f>VLOOKUP([jobnumber],OvalData[],MATCH(Table2[[#Headers],[width]],Table2[#Headers],0),0)</f>
        <v xml:space="preserve"> 18 ft.- 2"</v>
      </c>
      <c r="E436" s="2" t="str">
        <f>VLOOKUP([jobnumber],OvalData[],MATCH(Table2[[#Headers],[stopheight]],Table2[#Headers],0),0)</f>
        <v xml:space="preserve"> 10 ft.- 0"</v>
      </c>
      <c r="F436" s="2" t="str">
        <f>VLOOKUP([jobnumber],OvalData[],MATCH(Table2[[#Headers],[Between Brackets]],Table2[#Headers],0),0)</f>
        <v xml:space="preserve"> 18 ft.- 7 7/ 8"</v>
      </c>
      <c r="G436" s="2" t="str">
        <f>VLOOKUP([jobnumber],OvalData[],MATCH(Table2[[#Headers],[shell]],Table2[#Headers],0),0)</f>
        <v>6 INCH TUBE</v>
      </c>
      <c r="H436" s="2" t="str">
        <f>VLOOKUP([jobnumber],OvalData[],MATCH(Table2[[#Headers],[pipewidth]],Table2[#Headers],0),0)</f>
        <v xml:space="preserve"> 18 ft.- 1 3/ 8"</v>
      </c>
      <c r="I436" s="2">
        <f>VLOOKUP([jobnumber],OvalData[],MATCH(Table2[[#Headers],[Support Tubes]],Table2[#Headers],0),0)</f>
        <v>0</v>
      </c>
      <c r="J436" s="2">
        <f>VLOOKUP([jobnumber],OvalData[],MATCH(Table2[[#Headers],[Upset]],Table2[#Headers],0),0)</f>
        <v>2</v>
      </c>
      <c r="K436" s="2" t="str">
        <f>VLOOKUP([jobnumber],OvalData[],MATCH(Table2[[#Headers],[Guide Type]],Table2[#Headers],0),0)</f>
        <v>SN2-4 5/8-E</v>
      </c>
      <c r="L436" s="2" t="str">
        <f>VLOOKUP([jobnumber],OvalData[],MATCH(Table2[[#Headers],[Wall Angle]],Table2[#Headers],0),0)</f>
        <v xml:space="preserve"> 11 ft.- 8"</v>
      </c>
      <c r="M436" s="2" t="str">
        <f>VLOOKUP([jobnumber],OvalData[],MATCH(Table2[[#Headers],[Middle Angle]],Table2[#Headers],0),0)</f>
        <v xml:space="preserve"> 10 ft.- 4 1/ 2"</v>
      </c>
      <c r="N436" s="2" t="str">
        <f>VLOOKUP([jobnumber],OvalData[],MATCH(Table2[[#Headers],[Front Angle]],Table2[#Headers],0),0)</f>
        <v xml:space="preserve"> 10 ft.- 3"</v>
      </c>
      <c r="O436" s="2">
        <f>VLOOKUP([jobnumber],OvalData[],MATCH(Table2[[#Headers],[Pipe Center Line]],Table2[#Headers],0),0)</f>
        <v>131</v>
      </c>
      <c r="P436" s="2">
        <f>VLOOKUP([jobnumber],OvalData[],MATCH(Table2[[#Headers],[Heat Expansion Gap]],Table2[#Headers],0),0)</f>
        <v>0</v>
      </c>
      <c r="Q436" s="2">
        <f>VLOOKUP([jobnumber],OvalData[],MATCH(Table2[[#Headers],[Hanging Weight Closed]],Table2[#Headers],0),0)</f>
        <v>795</v>
      </c>
      <c r="R436" s="2">
        <f>VLOOKUP([jobnumber],OvalData[],MATCH(Table2[[#Headers],[Hanging Weight Open]],Table2[#Headers],0),0)</f>
        <v>140</v>
      </c>
      <c r="S436" s="2">
        <f>VLOOKUP([jobnumber],OvalData[],MATCH(Table2[[#Headers],[Initial Lever Arm]],Table2[#Headers],0),0)</f>
        <v>4.25</v>
      </c>
      <c r="T436" s="2">
        <f>VLOOKUP([jobnumber],OvalData[],MATCH(Table2[[#Headers],[Turns to Raise]],Table2[#Headers],0),0)</f>
        <v>3.5859999999999999</v>
      </c>
      <c r="U436" s="2">
        <f>VLOOKUP([jobnumber],OvalData[],MATCH(Table2[[#Headers],[Final Lever Arm]],Table2[#Headers],0),0)</f>
        <v>6.37</v>
      </c>
      <c r="V436" s="2">
        <f>VLOOKUP([jobnumber],OvalData[],MATCH(Table2[[#Headers],[Torque Required Closed]],Table2[#Headers],0),0)</f>
        <v>3377.9</v>
      </c>
      <c r="W436" s="2">
        <f>VLOOKUP([jobnumber],OvalData[],MATCH(Table2[[#Headers],[Torque Required Open]],Table2[#Headers],0),0)</f>
        <v>892</v>
      </c>
      <c r="X436" s="2">
        <f>VLOOKUP([jobnumber],OvalData[],MATCH(Table2[[#Headers],[Pre Turns]],Table2[#Headers],0),0)</f>
        <v>1.3332999999999999</v>
      </c>
      <c r="Y436" s="2">
        <f>VLOOKUP([jobnumber],OvalData[],MATCH(Table2[[#Headers],[Required Torque Per Turn]],Table2[#Headers],0),0)</f>
        <v>688</v>
      </c>
      <c r="Z436" s="2">
        <f>VLOOKUP([jobnumber],OvalData[],MATCH(Table2[[#Headers],[Total Turns]],Table2[#Headers],0),0)</f>
        <v>4.91</v>
      </c>
      <c r="AA436" s="2">
        <f>VLOOKUP([jobnumber],OvalData[],MATCH(Table2[[#Headers],[Grille Vision Section]],Table2[#Headers],0),0)</f>
        <v>0</v>
      </c>
      <c r="AB436" s="2">
        <f>VLOOKUP([jobnumber],OvalData[],MATCH(Table2[[#Headers],[Grille Amount]],Table2[#Headers],0),0)</f>
        <v>0</v>
      </c>
      <c r="AC436" s="2">
        <f>VLOOKUP([jobnumber],OvalData[],MATCH(Table2[[#Headers],[Grille Center]],Table2[#Headers],0),0)</f>
        <v>0</v>
      </c>
      <c r="AD436" s="2">
        <f>VLOOKUP([jobnumber],OvalData[],MATCH(Table2[[#Headers],[Grille Pattern]],Table2[#Headers],0),0)</f>
        <v>0</v>
      </c>
      <c r="AE436" s="2">
        <f>VLOOKUP([jobnumber],OvalData[],MATCH(Table2[[#Headers],[Grille First Tube]],Table2[#Headers],0),0)</f>
        <v>0</v>
      </c>
      <c r="AF436" s="2">
        <f>VLOOKUP([jobnumber],OvalData[],MATCH(Table2[[#Headers],[Grille Standard Tube]],Table2[#Headers],0),0)</f>
        <v>0</v>
      </c>
      <c r="AG436" s="2">
        <f>VLOOKUP([jobnumber],OvalData[],MATCH(Table2[[#Headers],[Grille Total Links]],Table2[#Headers],0),0)</f>
        <v>0</v>
      </c>
      <c r="AH436" s="2">
        <f>VLOOKUP([jobnumber],OvalData[],MATCH(Table2[[#Headers],[Grille Rods]],Table2[#Headers],0),0)</f>
        <v>0</v>
      </c>
      <c r="AI436" s="2">
        <f>VLOOKUP([jobnumber],OvalData[],MATCH(Table2[[#Headers],[Grille Rod Length]],Table2[#Headers],0),0)</f>
        <v>0</v>
      </c>
      <c r="AJ436" s="2">
        <f>VLOOKUP([jobnumber],OvalData[],MATCH(Table2[[#Headers],[slattype]],Table2[#Headers],0),0)</f>
        <v>2</v>
      </c>
      <c r="AK436" s="2">
        <f>VLOOKUP([jobnumber],OvalData[],MATCH(Table2[[#Headers],[slatgage]],Table2[#Headers],0),0)</f>
        <v>18</v>
      </c>
      <c r="AL436" s="2">
        <f>VLOOKUP([jobnumber],OvalData[],MATCH(Table2[[#Headers],[Numer of Top Slats]],Table2[#Headers],0),0)</f>
        <v>0</v>
      </c>
      <c r="AM436" s="2">
        <f>VLOOKUP([jobnumber],OvalData[],MATCH(Table2[[#Headers],[Number of Bottom Slats]],Table2[#Headers],0),0)</f>
        <v>0</v>
      </c>
      <c r="AN436" s="2">
        <f>VLOOKUP([jobnumber],OvalData[],MATCH(Table2[[#Headers],[Solid Bottom Height]],Table2[#Headers],0),0)</f>
        <v>0</v>
      </c>
      <c r="AO436" s="2" t="str">
        <f>VLOOKUP([jobnumber],OvalData[],MATCH(Table2[[#Headers],[slatlength]],Table2[#Headers],0),0)</f>
        <v xml:space="preserve"> 18 ft.- 5 7/ 8"</v>
      </c>
      <c r="AP436" s="2">
        <f>VLOOKUP([jobnumber],OvalData[],MATCH(Table2[[#Headers],[Bottom Slat Length]],Table2[#Headers],0),0)</f>
        <v>0</v>
      </c>
      <c r="AQ436" s="2">
        <f>VLOOKUP([jobnumber],OvalData[],MATCH(Table2[[#Headers],[Number of Perferated Slats]],Table2[#Headers],0),0)</f>
        <v>0</v>
      </c>
      <c r="AR436" s="2">
        <f>VLOOKUP([jobnumber],OvalData[],MATCH(Table2[[#Headers],[First Preferated Slat From End]],Table2[#Headers],0),0)</f>
        <v>0</v>
      </c>
      <c r="AS436" s="2">
        <f>VLOOKUP([jobnumber],OvalData[],MATCH(Table2[[#Headers],[First Preferated Slat From Bottom]],Table2[#Headers],0),0)</f>
        <v>0</v>
      </c>
      <c r="AT436" s="2">
        <f>VLOOKUP([jobnumber],OvalData[],MATCH(Table2[[#Headers],[Total Number of Slats]],Table2[#Headers],0),0)</f>
        <v>51</v>
      </c>
      <c r="AU436" s="2">
        <f>VLOOKUP([jobnumber],OvalData[],MATCH(Table2[[#Headers],[Bottom Bar Slope]],Table2[#Headers],0),0)</f>
        <v>0</v>
      </c>
      <c r="AV436" s="2">
        <f>VLOOKUP([jobnumber],OvalData[],MATCH(Table2[[#Headers],[Bottom Bar Weight]],Table2[#Headers],0),0)</f>
        <v>80.5</v>
      </c>
      <c r="AW436" s="2" t="str">
        <f>VLOOKUP([jobnumber],OvalData[],MATCH(Table2[[#Headers],[Outer Spring Gage]],Table2[#Headers],0),0)</f>
        <v>Null</v>
      </c>
      <c r="AX436" s="2" t="str">
        <f>VLOOKUP([jobnumber],OvalData[],MATCH(Table2[[#Headers],[Outer Spring OD]],Table2[#Headers],0),0)</f>
        <v>Null</v>
      </c>
      <c r="AY436" s="2" t="str">
        <f>VLOOKUP([jobnumber],OvalData[],MATCH(Table2[[#Headers],[Outer Spring Length]],Table2[#Headers],0),0)</f>
        <v>Null</v>
      </c>
      <c r="AZ436" s="2" t="str">
        <f>VLOOKUP([jobnumber],OvalData[],MATCH(Table2[[#Headers],[Outer Spring Stretch]],Table2[#Headers],0),0)</f>
        <v>Null</v>
      </c>
      <c r="BA436" s="2" t="str">
        <f>VLOOKUP([jobnumber],OvalData[],MATCH(Table2[[#Headers],[Outer Spring Torque]],Table2[#Headers],0),0)</f>
        <v>Null</v>
      </c>
      <c r="BB436" s="2" t="str">
        <f>VLOOKUP([jobnumber],OvalData[],MATCH(Table2[[#Headers],[Outer Spring Max Turns]],Table2[#Headers],0),0)</f>
        <v>Null</v>
      </c>
      <c r="BC436" s="2" t="str">
        <f>VLOOKUP([jobnumber],OvalData[],MATCH(Table2[[#Headers],[Outer Spring Weight]],Table2[#Headers],0),0)</f>
        <v>Null</v>
      </c>
      <c r="BD436" s="2" t="str">
        <f>VLOOKUP([jobnumber],OvalData[],MATCH(Table2[[#Headers],[Inner Spring Gage]],Table2[#Headers],0),0)</f>
        <v>Null</v>
      </c>
      <c r="BE436" s="2" t="str">
        <f>VLOOKUP([jobnumber],OvalData[],MATCH(Table2[[#Headers],[Inner Spring OD]],Table2[#Headers],0),0)</f>
        <v>Null</v>
      </c>
      <c r="BF436" s="2" t="str">
        <f>VLOOKUP([jobnumber],OvalData[],MATCH(Table2[[#Headers],[Inner Spring Length]],Table2[#Headers],0),0)</f>
        <v>Null</v>
      </c>
      <c r="BG436" s="2" t="str">
        <f>VLOOKUP([jobnumber],OvalData[],MATCH(Table2[[#Headers],[Inner Spring Stretch]],Table2[#Headers],0),0)</f>
        <v>Null</v>
      </c>
      <c r="BH436" s="2" t="str">
        <f>VLOOKUP([jobnumber],OvalData[],MATCH(Table2[[#Headers],[Inner Spring Torque]],Table2[#Headers],0),0)</f>
        <v>Null</v>
      </c>
      <c r="BI436" s="2" t="str">
        <f>VLOOKUP([jobnumber],OvalData[],MATCH(Table2[[#Headers],[Inner Spring Max Turns]],Table2[#Headers],0),0)</f>
        <v>Null</v>
      </c>
      <c r="BJ436" s="2" t="str">
        <f>VLOOKUP([jobnumber],OvalData[],MATCH(Table2[[#Headers],[Inner Spring Weight]],Table2[#Headers],0),0)</f>
        <v>Null</v>
      </c>
      <c r="BK436" s="2">
        <f>VLOOKUP([jobnumber],OvalData[],MATCH(Table2[[#Headers],[Cycles]],Table2[#Headers],0),0)</f>
        <v>0</v>
      </c>
      <c r="BL436" s="2">
        <f>VLOOKUP([jobnumber],OvalData[],MATCH(Table2[[#Headers],[Total Spring Torque]],Table2[#Headers],0),0)</f>
        <v>0</v>
      </c>
      <c r="BM436" s="2">
        <f>VLOOKUP([jobnumber],OvalData[],MATCH(Table2[[#Headers],[Total Spring Weight]],Table2[#Headers],0),0)</f>
        <v>0</v>
      </c>
      <c r="BN436" s="2">
        <f>VLOOKUP([jobnumber],OvalData[],MATCH(Table2[[#Headers],[Pipe Weight]],Table2[#Headers],0),0)</f>
        <v>688.24239999999998</v>
      </c>
      <c r="BO436" s="2">
        <f>VLOOKUP([jobnumber],OvalData[],MATCH(Table2[[#Headers],[Max Pipe Deflection]],Table2[#Headers],0),0)</f>
        <v>2309</v>
      </c>
      <c r="BP436" s="2">
        <f>VLOOKUP([jobnumber],OvalData[],MATCH(Table2[[#Headers],[Number Non-Insulated Wrap Slats]],Table2[#Headers],0),0)</f>
        <v>0</v>
      </c>
      <c r="BQ436" s="2">
        <f>VLOOKUP([jobnumber],OvalData[],MATCH(Table2[[#Headers],[Number of Insolated Top Slats]],Table2[#Headers],0),0)</f>
        <v>45</v>
      </c>
      <c r="BR436" s="2">
        <f>VLOOKUP([jobnumber],OvalData[],MATCH(Table2[[#Headers],[Insolated Total Slats]],Table2[#Headers],0),0)</f>
        <v>45</v>
      </c>
      <c r="BS436" s="2">
        <f>VLOOKUP([jobnumber],OvalData[],MATCH(Table2[[#Headers],[Number of Slats]],Table2[#Headers],0),0)</f>
        <v>44.69</v>
      </c>
      <c r="BT436" s="2">
        <f>VLOOKUP([jobnumber],OvalData[],MATCH(Table2[[#Headers],[Wrap]],Table2[#Headers],0),0)</f>
        <v>0</v>
      </c>
      <c r="BU436" s="2">
        <f>VLOOKUP([jobnumber],OvalData[],MATCH(Table2[[#Headers],[Wall Angle Thickness]],Table2[#Headers],0),0)</f>
        <v>0</v>
      </c>
      <c r="BV436" s="2">
        <f>VLOOKUP([jobnumber],OvalData[],MATCH(Table2[[#Headers],[windlocks]],Table2[#Headers],0),0)</f>
        <v>0</v>
      </c>
      <c r="BW436" s="2" t="str">
        <f>VLOOKUP([jobnumber],OvalData[],MATCH(Table2[[#Headers],[bottombartype]],Table2[#Headers],0),0)</f>
        <v>SPECIAL</v>
      </c>
      <c r="BX436" s="2">
        <f>VLOOKUP([jobnumber],OvalData[],MATCH(Table2[[#Headers],[endlockweight]],Table2[#Headers],0),0)</f>
        <v>0.17</v>
      </c>
      <c r="BY436" s="2">
        <f>VLOOKUP([jobnumber],OvalData[],MATCH(Table2[[#Headers],[Endlock Total Weight]],Table2[#Headers],0),0)</f>
        <v>7.5972999999999997</v>
      </c>
      <c r="BZ436" s="2">
        <f>VLOOKUP([jobnumber],OvalData[],MATCH(Table2[[#Headers],[Grille Weight]],Table2[#Headers],0),0)</f>
        <v>0</v>
      </c>
      <c r="CA436" s="2">
        <f>VLOOKUP([jobnumber],OvalData[],MATCH(Table2[[#Headers],[barrelrings]],Table2[#Headers],0),0)</f>
        <v>1</v>
      </c>
    </row>
    <row r="437" spans="2:79">
      <c r="B437" s="2" t="str">
        <f>VLOOKUP([jobnumber],OvalData[],MATCH(Table2[[#Headers],[Hand]],Table2[#Headers],0),0)</f>
        <v>RH</v>
      </c>
      <c r="C437" s="2" t="str">
        <f>VLOOKUP([jobnumber],OvalData[],MATCH(Table2[[#Headers],[Model]],Table2[#Headers],0),0)</f>
        <v>SFMPP</v>
      </c>
      <c r="D437" s="2" t="str">
        <f>VLOOKUP([jobnumber],OvalData[],MATCH(Table2[[#Headers],[width]],Table2[#Headers],0),0)</f>
        <v xml:space="preserve"> 18 ft.- 2"</v>
      </c>
      <c r="E437" s="2" t="str">
        <f>VLOOKUP([jobnumber],OvalData[],MATCH(Table2[[#Headers],[stopheight]],Table2[#Headers],0),0)</f>
        <v xml:space="preserve"> 10 ft.- 0"</v>
      </c>
      <c r="F437" s="2" t="str">
        <f>VLOOKUP([jobnumber],OvalData[],MATCH(Table2[[#Headers],[Between Brackets]],Table2[#Headers],0),0)</f>
        <v xml:space="preserve"> 18 ft.- 7 7/ 8"</v>
      </c>
      <c r="G437" s="2" t="str">
        <f>VLOOKUP([jobnumber],OvalData[],MATCH(Table2[[#Headers],[shell]],Table2[#Headers],0),0)</f>
        <v>6 INCH TUBE</v>
      </c>
      <c r="H437" s="2" t="str">
        <f>VLOOKUP([jobnumber],OvalData[],MATCH(Table2[[#Headers],[pipewidth]],Table2[#Headers],0),0)</f>
        <v xml:space="preserve"> 18 ft.- 1 3/ 8"</v>
      </c>
      <c r="I437" s="2">
        <f>VLOOKUP([jobnumber],OvalData[],MATCH(Table2[[#Headers],[Support Tubes]],Table2[#Headers],0),0)</f>
        <v>0</v>
      </c>
      <c r="J437" s="2">
        <f>VLOOKUP([jobnumber],OvalData[],MATCH(Table2[[#Headers],[Upset]],Table2[#Headers],0),0)</f>
        <v>2</v>
      </c>
      <c r="K437" s="2" t="str">
        <f>VLOOKUP([jobnumber],OvalData[],MATCH(Table2[[#Headers],[Guide Type]],Table2[#Headers],0),0)</f>
        <v>SN2-4 5/8-E</v>
      </c>
      <c r="L437" s="2" t="str">
        <f>VLOOKUP([jobnumber],OvalData[],MATCH(Table2[[#Headers],[Wall Angle]],Table2[#Headers],0),0)</f>
        <v xml:space="preserve"> 11 ft.- 8"</v>
      </c>
      <c r="M437" s="2" t="str">
        <f>VLOOKUP([jobnumber],OvalData[],MATCH(Table2[[#Headers],[Middle Angle]],Table2[#Headers],0),0)</f>
        <v xml:space="preserve"> 10 ft.- 4 1/ 2"</v>
      </c>
      <c r="N437" s="2" t="str">
        <f>VLOOKUP([jobnumber],OvalData[],MATCH(Table2[[#Headers],[Front Angle]],Table2[#Headers],0),0)</f>
        <v xml:space="preserve"> 10 ft.- 3"</v>
      </c>
      <c r="O437" s="2">
        <f>VLOOKUP([jobnumber],OvalData[],MATCH(Table2[[#Headers],[Pipe Center Line]],Table2[#Headers],0),0)</f>
        <v>131</v>
      </c>
      <c r="P437" s="2">
        <f>VLOOKUP([jobnumber],OvalData[],MATCH(Table2[[#Headers],[Heat Expansion Gap]],Table2[#Headers],0),0)</f>
        <v>0</v>
      </c>
      <c r="Q437" s="2">
        <f>VLOOKUP([jobnumber],OvalData[],MATCH(Table2[[#Headers],[Hanging Weight Closed]],Table2[#Headers],0),0)</f>
        <v>795</v>
      </c>
      <c r="R437" s="2">
        <f>VLOOKUP([jobnumber],OvalData[],MATCH(Table2[[#Headers],[Hanging Weight Open]],Table2[#Headers],0),0)</f>
        <v>140</v>
      </c>
      <c r="S437" s="2">
        <f>VLOOKUP([jobnumber],OvalData[],MATCH(Table2[[#Headers],[Initial Lever Arm]],Table2[#Headers],0),0)</f>
        <v>4.25</v>
      </c>
      <c r="T437" s="2">
        <f>VLOOKUP([jobnumber],OvalData[],MATCH(Table2[[#Headers],[Turns to Raise]],Table2[#Headers],0),0)</f>
        <v>3.5859999999999999</v>
      </c>
      <c r="U437" s="2">
        <f>VLOOKUP([jobnumber],OvalData[],MATCH(Table2[[#Headers],[Final Lever Arm]],Table2[#Headers],0),0)</f>
        <v>6.37</v>
      </c>
      <c r="V437" s="2">
        <f>VLOOKUP([jobnumber],OvalData[],MATCH(Table2[[#Headers],[Torque Required Closed]],Table2[#Headers],0),0)</f>
        <v>3377.9</v>
      </c>
      <c r="W437" s="2">
        <f>VLOOKUP([jobnumber],OvalData[],MATCH(Table2[[#Headers],[Torque Required Open]],Table2[#Headers],0),0)</f>
        <v>892</v>
      </c>
      <c r="X437" s="2">
        <f>VLOOKUP([jobnumber],OvalData[],MATCH(Table2[[#Headers],[Pre Turns]],Table2[#Headers],0),0)</f>
        <v>1.3332999999999999</v>
      </c>
      <c r="Y437" s="2">
        <f>VLOOKUP([jobnumber],OvalData[],MATCH(Table2[[#Headers],[Required Torque Per Turn]],Table2[#Headers],0),0)</f>
        <v>688</v>
      </c>
      <c r="Z437" s="2">
        <f>VLOOKUP([jobnumber],OvalData[],MATCH(Table2[[#Headers],[Total Turns]],Table2[#Headers],0),0)</f>
        <v>4.91</v>
      </c>
      <c r="AA437" s="2">
        <f>VLOOKUP([jobnumber],OvalData[],MATCH(Table2[[#Headers],[Grille Vision Section]],Table2[#Headers],0),0)</f>
        <v>0</v>
      </c>
      <c r="AB437" s="2">
        <f>VLOOKUP([jobnumber],OvalData[],MATCH(Table2[[#Headers],[Grille Amount]],Table2[#Headers],0),0)</f>
        <v>0</v>
      </c>
      <c r="AC437" s="2">
        <f>VLOOKUP([jobnumber],OvalData[],MATCH(Table2[[#Headers],[Grille Center]],Table2[#Headers],0),0)</f>
        <v>0</v>
      </c>
      <c r="AD437" s="2">
        <f>VLOOKUP([jobnumber],OvalData[],MATCH(Table2[[#Headers],[Grille Pattern]],Table2[#Headers],0),0)</f>
        <v>0</v>
      </c>
      <c r="AE437" s="2">
        <f>VLOOKUP([jobnumber],OvalData[],MATCH(Table2[[#Headers],[Grille First Tube]],Table2[#Headers],0),0)</f>
        <v>0</v>
      </c>
      <c r="AF437" s="2">
        <f>VLOOKUP([jobnumber],OvalData[],MATCH(Table2[[#Headers],[Grille Standard Tube]],Table2[#Headers],0),0)</f>
        <v>0</v>
      </c>
      <c r="AG437" s="2">
        <f>VLOOKUP([jobnumber],OvalData[],MATCH(Table2[[#Headers],[Grille Total Links]],Table2[#Headers],0),0)</f>
        <v>0</v>
      </c>
      <c r="AH437" s="2">
        <f>VLOOKUP([jobnumber],OvalData[],MATCH(Table2[[#Headers],[Grille Rods]],Table2[#Headers],0),0)</f>
        <v>0</v>
      </c>
      <c r="AI437" s="2">
        <f>VLOOKUP([jobnumber],OvalData[],MATCH(Table2[[#Headers],[Grille Rod Length]],Table2[#Headers],0),0)</f>
        <v>0</v>
      </c>
      <c r="AJ437" s="2">
        <f>VLOOKUP([jobnumber],OvalData[],MATCH(Table2[[#Headers],[slattype]],Table2[#Headers],0),0)</f>
        <v>2</v>
      </c>
      <c r="AK437" s="2">
        <f>VLOOKUP([jobnumber],OvalData[],MATCH(Table2[[#Headers],[slatgage]],Table2[#Headers],0),0)</f>
        <v>18</v>
      </c>
      <c r="AL437" s="2">
        <f>VLOOKUP([jobnumber],OvalData[],MATCH(Table2[[#Headers],[Numer of Top Slats]],Table2[#Headers],0),0)</f>
        <v>0</v>
      </c>
      <c r="AM437" s="2">
        <f>VLOOKUP([jobnumber],OvalData[],MATCH(Table2[[#Headers],[Number of Bottom Slats]],Table2[#Headers],0),0)</f>
        <v>0</v>
      </c>
      <c r="AN437" s="2">
        <f>VLOOKUP([jobnumber],OvalData[],MATCH(Table2[[#Headers],[Solid Bottom Height]],Table2[#Headers],0),0)</f>
        <v>0</v>
      </c>
      <c r="AO437" s="2" t="str">
        <f>VLOOKUP([jobnumber],OvalData[],MATCH(Table2[[#Headers],[slatlength]],Table2[#Headers],0),0)</f>
        <v xml:space="preserve"> 18 ft.- 5 7/ 8"</v>
      </c>
      <c r="AP437" s="2">
        <f>VLOOKUP([jobnumber],OvalData[],MATCH(Table2[[#Headers],[Bottom Slat Length]],Table2[#Headers],0),0)</f>
        <v>0</v>
      </c>
      <c r="AQ437" s="2">
        <f>VLOOKUP([jobnumber],OvalData[],MATCH(Table2[[#Headers],[Number of Perferated Slats]],Table2[#Headers],0),0)</f>
        <v>0</v>
      </c>
      <c r="AR437" s="2">
        <f>VLOOKUP([jobnumber],OvalData[],MATCH(Table2[[#Headers],[First Preferated Slat From End]],Table2[#Headers],0),0)</f>
        <v>0</v>
      </c>
      <c r="AS437" s="2">
        <f>VLOOKUP([jobnumber],OvalData[],MATCH(Table2[[#Headers],[First Preferated Slat From Bottom]],Table2[#Headers],0),0)</f>
        <v>0</v>
      </c>
      <c r="AT437" s="2">
        <f>VLOOKUP([jobnumber],OvalData[],MATCH(Table2[[#Headers],[Total Number of Slats]],Table2[#Headers],0),0)</f>
        <v>51</v>
      </c>
      <c r="AU437" s="2">
        <f>VLOOKUP([jobnumber],OvalData[],MATCH(Table2[[#Headers],[Bottom Bar Slope]],Table2[#Headers],0),0)</f>
        <v>0</v>
      </c>
      <c r="AV437" s="2">
        <f>VLOOKUP([jobnumber],OvalData[],MATCH(Table2[[#Headers],[Bottom Bar Weight]],Table2[#Headers],0),0)</f>
        <v>80.5</v>
      </c>
      <c r="AW437" s="2" t="str">
        <f>VLOOKUP([jobnumber],OvalData[],MATCH(Table2[[#Headers],[Outer Spring Gage]],Table2[#Headers],0),0)</f>
        <v>Null</v>
      </c>
      <c r="AX437" s="2" t="str">
        <f>VLOOKUP([jobnumber],OvalData[],MATCH(Table2[[#Headers],[Outer Spring OD]],Table2[#Headers],0),0)</f>
        <v>Null</v>
      </c>
      <c r="AY437" s="2" t="str">
        <f>VLOOKUP([jobnumber],OvalData[],MATCH(Table2[[#Headers],[Outer Spring Length]],Table2[#Headers],0),0)</f>
        <v>Null</v>
      </c>
      <c r="AZ437" s="2" t="str">
        <f>VLOOKUP([jobnumber],OvalData[],MATCH(Table2[[#Headers],[Outer Spring Stretch]],Table2[#Headers],0),0)</f>
        <v>Null</v>
      </c>
      <c r="BA437" s="2" t="str">
        <f>VLOOKUP([jobnumber],OvalData[],MATCH(Table2[[#Headers],[Outer Spring Torque]],Table2[#Headers],0),0)</f>
        <v>Null</v>
      </c>
      <c r="BB437" s="2" t="str">
        <f>VLOOKUP([jobnumber],OvalData[],MATCH(Table2[[#Headers],[Outer Spring Max Turns]],Table2[#Headers],0),0)</f>
        <v>Null</v>
      </c>
      <c r="BC437" s="2" t="str">
        <f>VLOOKUP([jobnumber],OvalData[],MATCH(Table2[[#Headers],[Outer Spring Weight]],Table2[#Headers],0),0)</f>
        <v>Null</v>
      </c>
      <c r="BD437" s="2" t="str">
        <f>VLOOKUP([jobnumber],OvalData[],MATCH(Table2[[#Headers],[Inner Spring Gage]],Table2[#Headers],0),0)</f>
        <v>Null</v>
      </c>
      <c r="BE437" s="2" t="str">
        <f>VLOOKUP([jobnumber],OvalData[],MATCH(Table2[[#Headers],[Inner Spring OD]],Table2[#Headers],0),0)</f>
        <v>Null</v>
      </c>
      <c r="BF437" s="2" t="str">
        <f>VLOOKUP([jobnumber],OvalData[],MATCH(Table2[[#Headers],[Inner Spring Length]],Table2[#Headers],0),0)</f>
        <v>Null</v>
      </c>
      <c r="BG437" s="2" t="str">
        <f>VLOOKUP([jobnumber],OvalData[],MATCH(Table2[[#Headers],[Inner Spring Stretch]],Table2[#Headers],0),0)</f>
        <v>Null</v>
      </c>
      <c r="BH437" s="2" t="str">
        <f>VLOOKUP([jobnumber],OvalData[],MATCH(Table2[[#Headers],[Inner Spring Torque]],Table2[#Headers],0),0)</f>
        <v>Null</v>
      </c>
      <c r="BI437" s="2" t="str">
        <f>VLOOKUP([jobnumber],OvalData[],MATCH(Table2[[#Headers],[Inner Spring Max Turns]],Table2[#Headers],0),0)</f>
        <v>Null</v>
      </c>
      <c r="BJ437" s="2" t="str">
        <f>VLOOKUP([jobnumber],OvalData[],MATCH(Table2[[#Headers],[Inner Spring Weight]],Table2[#Headers],0),0)</f>
        <v>Null</v>
      </c>
      <c r="BK437" s="2">
        <f>VLOOKUP([jobnumber],OvalData[],MATCH(Table2[[#Headers],[Cycles]],Table2[#Headers],0),0)</f>
        <v>0</v>
      </c>
      <c r="BL437" s="2">
        <f>VLOOKUP([jobnumber],OvalData[],MATCH(Table2[[#Headers],[Total Spring Torque]],Table2[#Headers],0),0)</f>
        <v>0</v>
      </c>
      <c r="BM437" s="2">
        <f>VLOOKUP([jobnumber],OvalData[],MATCH(Table2[[#Headers],[Total Spring Weight]],Table2[#Headers],0),0)</f>
        <v>0</v>
      </c>
      <c r="BN437" s="2">
        <f>VLOOKUP([jobnumber],OvalData[],MATCH(Table2[[#Headers],[Pipe Weight]],Table2[#Headers],0),0)</f>
        <v>688.24239999999998</v>
      </c>
      <c r="BO437" s="2">
        <f>VLOOKUP([jobnumber],OvalData[],MATCH(Table2[[#Headers],[Max Pipe Deflection]],Table2[#Headers],0),0)</f>
        <v>2309</v>
      </c>
      <c r="BP437" s="2">
        <f>VLOOKUP([jobnumber],OvalData[],MATCH(Table2[[#Headers],[Number Non-Insulated Wrap Slats]],Table2[#Headers],0),0)</f>
        <v>0</v>
      </c>
      <c r="BQ437" s="2">
        <f>VLOOKUP([jobnumber],OvalData[],MATCH(Table2[[#Headers],[Number of Insolated Top Slats]],Table2[#Headers],0),0)</f>
        <v>45</v>
      </c>
      <c r="BR437" s="2">
        <f>VLOOKUP([jobnumber],OvalData[],MATCH(Table2[[#Headers],[Insolated Total Slats]],Table2[#Headers],0),0)</f>
        <v>45</v>
      </c>
      <c r="BS437" s="2">
        <f>VLOOKUP([jobnumber],OvalData[],MATCH(Table2[[#Headers],[Number of Slats]],Table2[#Headers],0),0)</f>
        <v>44.69</v>
      </c>
      <c r="BT437" s="2">
        <f>VLOOKUP([jobnumber],OvalData[],MATCH(Table2[[#Headers],[Wrap]],Table2[#Headers],0),0)</f>
        <v>0</v>
      </c>
      <c r="BU437" s="2">
        <f>VLOOKUP([jobnumber],OvalData[],MATCH(Table2[[#Headers],[Wall Angle Thickness]],Table2[#Headers],0),0)</f>
        <v>0</v>
      </c>
      <c r="BV437" s="2">
        <f>VLOOKUP([jobnumber],OvalData[],MATCH(Table2[[#Headers],[windlocks]],Table2[#Headers],0),0)</f>
        <v>0</v>
      </c>
      <c r="BW437" s="2" t="str">
        <f>VLOOKUP([jobnumber],OvalData[],MATCH(Table2[[#Headers],[bottombartype]],Table2[#Headers],0),0)</f>
        <v>SPECIAL</v>
      </c>
      <c r="BX437" s="2">
        <f>VLOOKUP([jobnumber],OvalData[],MATCH(Table2[[#Headers],[endlockweight]],Table2[#Headers],0),0)</f>
        <v>0.17</v>
      </c>
      <c r="BY437" s="2">
        <f>VLOOKUP([jobnumber],OvalData[],MATCH(Table2[[#Headers],[Endlock Total Weight]],Table2[#Headers],0),0)</f>
        <v>7.5972999999999997</v>
      </c>
      <c r="BZ437" s="2">
        <f>VLOOKUP([jobnumber],OvalData[],MATCH(Table2[[#Headers],[Grille Weight]],Table2[#Headers],0),0)</f>
        <v>0</v>
      </c>
      <c r="CA437" s="2">
        <f>VLOOKUP([jobnumber],OvalData[],MATCH(Table2[[#Headers],[barrelrings]],Table2[#Headers],0),0)</f>
        <v>1</v>
      </c>
    </row>
    <row r="438" spans="2:79">
      <c r="B438" s="2" t="str">
        <f>VLOOKUP([jobnumber],OvalData[],MATCH(Table2[[#Headers],[Hand]],Table2[#Headers],0),0)</f>
        <v>RH</v>
      </c>
      <c r="C438" s="2" t="str">
        <f>VLOOKUP([jobnumber],OvalData[],MATCH(Table2[[#Headers],[Model]],Table2[#Headers],0),0)</f>
        <v>SFMPP</v>
      </c>
      <c r="D438" s="2" t="str">
        <f>VLOOKUP([jobnumber],OvalData[],MATCH(Table2[[#Headers],[width]],Table2[#Headers],0),0)</f>
        <v xml:space="preserve"> 18 ft.- 2"</v>
      </c>
      <c r="E438" s="2" t="str">
        <f>VLOOKUP([jobnumber],OvalData[],MATCH(Table2[[#Headers],[stopheight]],Table2[#Headers],0),0)</f>
        <v xml:space="preserve"> 10 ft.- 0"</v>
      </c>
      <c r="F438" s="2" t="str">
        <f>VLOOKUP([jobnumber],OvalData[],MATCH(Table2[[#Headers],[Between Brackets]],Table2[#Headers],0),0)</f>
        <v xml:space="preserve"> 18 ft.- 7 7/ 8"</v>
      </c>
      <c r="G438" s="2" t="str">
        <f>VLOOKUP([jobnumber],OvalData[],MATCH(Table2[[#Headers],[shell]],Table2[#Headers],0),0)</f>
        <v>6 INCH TUBE</v>
      </c>
      <c r="H438" s="2" t="str">
        <f>VLOOKUP([jobnumber],OvalData[],MATCH(Table2[[#Headers],[pipewidth]],Table2[#Headers],0),0)</f>
        <v xml:space="preserve"> 18 ft.- 1 3/ 8"</v>
      </c>
      <c r="I438" s="2">
        <f>VLOOKUP([jobnumber],OvalData[],MATCH(Table2[[#Headers],[Support Tubes]],Table2[#Headers],0),0)</f>
        <v>0</v>
      </c>
      <c r="J438" s="2">
        <f>VLOOKUP([jobnumber],OvalData[],MATCH(Table2[[#Headers],[Upset]],Table2[#Headers],0),0)</f>
        <v>2</v>
      </c>
      <c r="K438" s="2" t="str">
        <f>VLOOKUP([jobnumber],OvalData[],MATCH(Table2[[#Headers],[Guide Type]],Table2[#Headers],0),0)</f>
        <v>SN2-4 5/8-E</v>
      </c>
      <c r="L438" s="2" t="str">
        <f>VLOOKUP([jobnumber],OvalData[],MATCH(Table2[[#Headers],[Wall Angle]],Table2[#Headers],0),0)</f>
        <v xml:space="preserve"> 11 ft.- 8"</v>
      </c>
      <c r="M438" s="2" t="str">
        <f>VLOOKUP([jobnumber],OvalData[],MATCH(Table2[[#Headers],[Middle Angle]],Table2[#Headers],0),0)</f>
        <v xml:space="preserve"> 10 ft.- 4 1/ 2"</v>
      </c>
      <c r="N438" s="2" t="str">
        <f>VLOOKUP([jobnumber],OvalData[],MATCH(Table2[[#Headers],[Front Angle]],Table2[#Headers],0),0)</f>
        <v xml:space="preserve"> 10 ft.- 3"</v>
      </c>
      <c r="O438" s="2">
        <f>VLOOKUP([jobnumber],OvalData[],MATCH(Table2[[#Headers],[Pipe Center Line]],Table2[#Headers],0),0)</f>
        <v>131</v>
      </c>
      <c r="P438" s="2">
        <f>VLOOKUP([jobnumber],OvalData[],MATCH(Table2[[#Headers],[Heat Expansion Gap]],Table2[#Headers],0),0)</f>
        <v>0</v>
      </c>
      <c r="Q438" s="2">
        <f>VLOOKUP([jobnumber],OvalData[],MATCH(Table2[[#Headers],[Hanging Weight Closed]],Table2[#Headers],0),0)</f>
        <v>795</v>
      </c>
      <c r="R438" s="2">
        <f>VLOOKUP([jobnumber],OvalData[],MATCH(Table2[[#Headers],[Hanging Weight Open]],Table2[#Headers],0),0)</f>
        <v>140</v>
      </c>
      <c r="S438" s="2">
        <f>VLOOKUP([jobnumber],OvalData[],MATCH(Table2[[#Headers],[Initial Lever Arm]],Table2[#Headers],0),0)</f>
        <v>4.25</v>
      </c>
      <c r="T438" s="2">
        <f>VLOOKUP([jobnumber],OvalData[],MATCH(Table2[[#Headers],[Turns to Raise]],Table2[#Headers],0),0)</f>
        <v>3.5859999999999999</v>
      </c>
      <c r="U438" s="2">
        <f>VLOOKUP([jobnumber],OvalData[],MATCH(Table2[[#Headers],[Final Lever Arm]],Table2[#Headers],0),0)</f>
        <v>6.37</v>
      </c>
      <c r="V438" s="2">
        <f>VLOOKUP([jobnumber],OvalData[],MATCH(Table2[[#Headers],[Torque Required Closed]],Table2[#Headers],0),0)</f>
        <v>3377.9</v>
      </c>
      <c r="W438" s="2">
        <f>VLOOKUP([jobnumber],OvalData[],MATCH(Table2[[#Headers],[Torque Required Open]],Table2[#Headers],0),0)</f>
        <v>892</v>
      </c>
      <c r="X438" s="2">
        <f>VLOOKUP([jobnumber],OvalData[],MATCH(Table2[[#Headers],[Pre Turns]],Table2[#Headers],0),0)</f>
        <v>1.3332999999999999</v>
      </c>
      <c r="Y438" s="2">
        <f>VLOOKUP([jobnumber],OvalData[],MATCH(Table2[[#Headers],[Required Torque Per Turn]],Table2[#Headers],0),0)</f>
        <v>688</v>
      </c>
      <c r="Z438" s="2">
        <f>VLOOKUP([jobnumber],OvalData[],MATCH(Table2[[#Headers],[Total Turns]],Table2[#Headers],0),0)</f>
        <v>4.91</v>
      </c>
      <c r="AA438" s="2">
        <f>VLOOKUP([jobnumber],OvalData[],MATCH(Table2[[#Headers],[Grille Vision Section]],Table2[#Headers],0),0)</f>
        <v>0</v>
      </c>
      <c r="AB438" s="2">
        <f>VLOOKUP([jobnumber],OvalData[],MATCH(Table2[[#Headers],[Grille Amount]],Table2[#Headers],0),0)</f>
        <v>0</v>
      </c>
      <c r="AC438" s="2">
        <f>VLOOKUP([jobnumber],OvalData[],MATCH(Table2[[#Headers],[Grille Center]],Table2[#Headers],0),0)</f>
        <v>0</v>
      </c>
      <c r="AD438" s="2">
        <f>VLOOKUP([jobnumber],OvalData[],MATCH(Table2[[#Headers],[Grille Pattern]],Table2[#Headers],0),0)</f>
        <v>0</v>
      </c>
      <c r="AE438" s="2">
        <f>VLOOKUP([jobnumber],OvalData[],MATCH(Table2[[#Headers],[Grille First Tube]],Table2[#Headers],0),0)</f>
        <v>0</v>
      </c>
      <c r="AF438" s="2">
        <f>VLOOKUP([jobnumber],OvalData[],MATCH(Table2[[#Headers],[Grille Standard Tube]],Table2[#Headers],0),0)</f>
        <v>0</v>
      </c>
      <c r="AG438" s="2">
        <f>VLOOKUP([jobnumber],OvalData[],MATCH(Table2[[#Headers],[Grille Total Links]],Table2[#Headers],0),0)</f>
        <v>0</v>
      </c>
      <c r="AH438" s="2">
        <f>VLOOKUP([jobnumber],OvalData[],MATCH(Table2[[#Headers],[Grille Rods]],Table2[#Headers],0),0)</f>
        <v>0</v>
      </c>
      <c r="AI438" s="2">
        <f>VLOOKUP([jobnumber],OvalData[],MATCH(Table2[[#Headers],[Grille Rod Length]],Table2[#Headers],0),0)</f>
        <v>0</v>
      </c>
      <c r="AJ438" s="2">
        <f>VLOOKUP([jobnumber],OvalData[],MATCH(Table2[[#Headers],[slattype]],Table2[#Headers],0),0)</f>
        <v>2</v>
      </c>
      <c r="AK438" s="2">
        <f>VLOOKUP([jobnumber],OvalData[],MATCH(Table2[[#Headers],[slatgage]],Table2[#Headers],0),0)</f>
        <v>18</v>
      </c>
      <c r="AL438" s="2">
        <f>VLOOKUP([jobnumber],OvalData[],MATCH(Table2[[#Headers],[Numer of Top Slats]],Table2[#Headers],0),0)</f>
        <v>0</v>
      </c>
      <c r="AM438" s="2">
        <f>VLOOKUP([jobnumber],OvalData[],MATCH(Table2[[#Headers],[Number of Bottom Slats]],Table2[#Headers],0),0)</f>
        <v>0</v>
      </c>
      <c r="AN438" s="2">
        <f>VLOOKUP([jobnumber],OvalData[],MATCH(Table2[[#Headers],[Solid Bottom Height]],Table2[#Headers],0),0)</f>
        <v>0</v>
      </c>
      <c r="AO438" s="2" t="str">
        <f>VLOOKUP([jobnumber],OvalData[],MATCH(Table2[[#Headers],[slatlength]],Table2[#Headers],0),0)</f>
        <v xml:space="preserve"> 18 ft.- 5 7/ 8"</v>
      </c>
      <c r="AP438" s="2">
        <f>VLOOKUP([jobnumber],OvalData[],MATCH(Table2[[#Headers],[Bottom Slat Length]],Table2[#Headers],0),0)</f>
        <v>0</v>
      </c>
      <c r="AQ438" s="2">
        <f>VLOOKUP([jobnumber],OvalData[],MATCH(Table2[[#Headers],[Number of Perferated Slats]],Table2[#Headers],0),0)</f>
        <v>0</v>
      </c>
      <c r="AR438" s="2">
        <f>VLOOKUP([jobnumber],OvalData[],MATCH(Table2[[#Headers],[First Preferated Slat From End]],Table2[#Headers],0),0)</f>
        <v>0</v>
      </c>
      <c r="AS438" s="2">
        <f>VLOOKUP([jobnumber],OvalData[],MATCH(Table2[[#Headers],[First Preferated Slat From Bottom]],Table2[#Headers],0),0)</f>
        <v>0</v>
      </c>
      <c r="AT438" s="2">
        <f>VLOOKUP([jobnumber],OvalData[],MATCH(Table2[[#Headers],[Total Number of Slats]],Table2[#Headers],0),0)</f>
        <v>51</v>
      </c>
      <c r="AU438" s="2">
        <f>VLOOKUP([jobnumber],OvalData[],MATCH(Table2[[#Headers],[Bottom Bar Slope]],Table2[#Headers],0),0)</f>
        <v>0</v>
      </c>
      <c r="AV438" s="2">
        <f>VLOOKUP([jobnumber],OvalData[],MATCH(Table2[[#Headers],[Bottom Bar Weight]],Table2[#Headers],0),0)</f>
        <v>80.5</v>
      </c>
      <c r="AW438" s="2" t="str">
        <f>VLOOKUP([jobnumber],OvalData[],MATCH(Table2[[#Headers],[Outer Spring Gage]],Table2[#Headers],0),0)</f>
        <v>Null</v>
      </c>
      <c r="AX438" s="2" t="str">
        <f>VLOOKUP([jobnumber],OvalData[],MATCH(Table2[[#Headers],[Outer Spring OD]],Table2[#Headers],0),0)</f>
        <v>Null</v>
      </c>
      <c r="AY438" s="2" t="str">
        <f>VLOOKUP([jobnumber],OvalData[],MATCH(Table2[[#Headers],[Outer Spring Length]],Table2[#Headers],0),0)</f>
        <v>Null</v>
      </c>
      <c r="AZ438" s="2" t="str">
        <f>VLOOKUP([jobnumber],OvalData[],MATCH(Table2[[#Headers],[Outer Spring Stretch]],Table2[#Headers],0),0)</f>
        <v>Null</v>
      </c>
      <c r="BA438" s="2" t="str">
        <f>VLOOKUP([jobnumber],OvalData[],MATCH(Table2[[#Headers],[Outer Spring Torque]],Table2[#Headers],0),0)</f>
        <v>Null</v>
      </c>
      <c r="BB438" s="2" t="str">
        <f>VLOOKUP([jobnumber],OvalData[],MATCH(Table2[[#Headers],[Outer Spring Max Turns]],Table2[#Headers],0),0)</f>
        <v>Null</v>
      </c>
      <c r="BC438" s="2" t="str">
        <f>VLOOKUP([jobnumber],OvalData[],MATCH(Table2[[#Headers],[Outer Spring Weight]],Table2[#Headers],0),0)</f>
        <v>Null</v>
      </c>
      <c r="BD438" s="2" t="str">
        <f>VLOOKUP([jobnumber],OvalData[],MATCH(Table2[[#Headers],[Inner Spring Gage]],Table2[#Headers],0),0)</f>
        <v>Null</v>
      </c>
      <c r="BE438" s="2" t="str">
        <f>VLOOKUP([jobnumber],OvalData[],MATCH(Table2[[#Headers],[Inner Spring OD]],Table2[#Headers],0),0)</f>
        <v>Null</v>
      </c>
      <c r="BF438" s="2" t="str">
        <f>VLOOKUP([jobnumber],OvalData[],MATCH(Table2[[#Headers],[Inner Spring Length]],Table2[#Headers],0),0)</f>
        <v>Null</v>
      </c>
      <c r="BG438" s="2" t="str">
        <f>VLOOKUP([jobnumber],OvalData[],MATCH(Table2[[#Headers],[Inner Spring Stretch]],Table2[#Headers],0),0)</f>
        <v>Null</v>
      </c>
      <c r="BH438" s="2" t="str">
        <f>VLOOKUP([jobnumber],OvalData[],MATCH(Table2[[#Headers],[Inner Spring Torque]],Table2[#Headers],0),0)</f>
        <v>Null</v>
      </c>
      <c r="BI438" s="2" t="str">
        <f>VLOOKUP([jobnumber],OvalData[],MATCH(Table2[[#Headers],[Inner Spring Max Turns]],Table2[#Headers],0),0)</f>
        <v>Null</v>
      </c>
      <c r="BJ438" s="2" t="str">
        <f>VLOOKUP([jobnumber],OvalData[],MATCH(Table2[[#Headers],[Inner Spring Weight]],Table2[#Headers],0),0)</f>
        <v>Null</v>
      </c>
      <c r="BK438" s="2">
        <f>VLOOKUP([jobnumber],OvalData[],MATCH(Table2[[#Headers],[Cycles]],Table2[#Headers],0),0)</f>
        <v>0</v>
      </c>
      <c r="BL438" s="2">
        <f>VLOOKUP([jobnumber],OvalData[],MATCH(Table2[[#Headers],[Total Spring Torque]],Table2[#Headers],0),0)</f>
        <v>0</v>
      </c>
      <c r="BM438" s="2">
        <f>VLOOKUP([jobnumber],OvalData[],MATCH(Table2[[#Headers],[Total Spring Weight]],Table2[#Headers],0),0)</f>
        <v>0</v>
      </c>
      <c r="BN438" s="2">
        <f>VLOOKUP([jobnumber],OvalData[],MATCH(Table2[[#Headers],[Pipe Weight]],Table2[#Headers],0),0)</f>
        <v>688.24239999999998</v>
      </c>
      <c r="BO438" s="2">
        <f>VLOOKUP([jobnumber],OvalData[],MATCH(Table2[[#Headers],[Max Pipe Deflection]],Table2[#Headers],0),0)</f>
        <v>2309</v>
      </c>
      <c r="BP438" s="2">
        <f>VLOOKUP([jobnumber],OvalData[],MATCH(Table2[[#Headers],[Number Non-Insulated Wrap Slats]],Table2[#Headers],0),0)</f>
        <v>0</v>
      </c>
      <c r="BQ438" s="2">
        <f>VLOOKUP([jobnumber],OvalData[],MATCH(Table2[[#Headers],[Number of Insolated Top Slats]],Table2[#Headers],0),0)</f>
        <v>45</v>
      </c>
      <c r="BR438" s="2">
        <f>VLOOKUP([jobnumber],OvalData[],MATCH(Table2[[#Headers],[Insolated Total Slats]],Table2[#Headers],0),0)</f>
        <v>45</v>
      </c>
      <c r="BS438" s="2">
        <f>VLOOKUP([jobnumber],OvalData[],MATCH(Table2[[#Headers],[Number of Slats]],Table2[#Headers],0),0)</f>
        <v>44.69</v>
      </c>
      <c r="BT438" s="2">
        <f>VLOOKUP([jobnumber],OvalData[],MATCH(Table2[[#Headers],[Wrap]],Table2[#Headers],0),0)</f>
        <v>0</v>
      </c>
      <c r="BU438" s="2">
        <f>VLOOKUP([jobnumber],OvalData[],MATCH(Table2[[#Headers],[Wall Angle Thickness]],Table2[#Headers],0),0)</f>
        <v>0</v>
      </c>
      <c r="BV438" s="2">
        <f>VLOOKUP([jobnumber],OvalData[],MATCH(Table2[[#Headers],[windlocks]],Table2[#Headers],0),0)</f>
        <v>0</v>
      </c>
      <c r="BW438" s="2" t="str">
        <f>VLOOKUP([jobnumber],OvalData[],MATCH(Table2[[#Headers],[bottombartype]],Table2[#Headers],0),0)</f>
        <v>SPECIAL</v>
      </c>
      <c r="BX438" s="2">
        <f>VLOOKUP([jobnumber],OvalData[],MATCH(Table2[[#Headers],[endlockweight]],Table2[#Headers],0),0)</f>
        <v>0.17</v>
      </c>
      <c r="BY438" s="2">
        <f>VLOOKUP([jobnumber],OvalData[],MATCH(Table2[[#Headers],[Endlock Total Weight]],Table2[#Headers],0),0)</f>
        <v>7.5972999999999997</v>
      </c>
      <c r="BZ438" s="2">
        <f>VLOOKUP([jobnumber],OvalData[],MATCH(Table2[[#Headers],[Grille Weight]],Table2[#Headers],0),0)</f>
        <v>0</v>
      </c>
      <c r="CA438" s="2">
        <f>VLOOKUP([jobnumber],OvalData[],MATCH(Table2[[#Headers],[barrelrings]],Table2[#Headers],0),0)</f>
        <v>1</v>
      </c>
    </row>
    <row r="439" spans="2:79">
      <c r="B439" s="2" t="str">
        <f>VLOOKUP([jobnumber],OvalData[],MATCH(Table2[[#Headers],[Hand]],Table2[#Headers],0),0)</f>
        <v>RH</v>
      </c>
      <c r="C439" s="2" t="str">
        <f>VLOOKUP([jobnumber],OvalData[],MATCH(Table2[[#Headers],[Model]],Table2[#Headers],0),0)</f>
        <v>SFMPP</v>
      </c>
      <c r="D439" s="2" t="str">
        <f>VLOOKUP([jobnumber],OvalData[],MATCH(Table2[[#Headers],[width]],Table2[#Headers],0),0)</f>
        <v xml:space="preserve"> 18 ft.- 2"</v>
      </c>
      <c r="E439" s="2" t="str">
        <f>VLOOKUP([jobnumber],OvalData[],MATCH(Table2[[#Headers],[stopheight]],Table2[#Headers],0),0)</f>
        <v xml:space="preserve"> 10 ft.- 0"</v>
      </c>
      <c r="F439" s="2" t="str">
        <f>VLOOKUP([jobnumber],OvalData[],MATCH(Table2[[#Headers],[Between Brackets]],Table2[#Headers],0),0)</f>
        <v xml:space="preserve"> 18 ft.- 7 7/ 8"</v>
      </c>
      <c r="G439" s="2" t="str">
        <f>VLOOKUP([jobnumber],OvalData[],MATCH(Table2[[#Headers],[shell]],Table2[#Headers],0),0)</f>
        <v>6 INCH TUBE</v>
      </c>
      <c r="H439" s="2" t="str">
        <f>VLOOKUP([jobnumber],OvalData[],MATCH(Table2[[#Headers],[pipewidth]],Table2[#Headers],0),0)</f>
        <v xml:space="preserve"> 18 ft.- 1 3/ 8"</v>
      </c>
      <c r="I439" s="2">
        <f>VLOOKUP([jobnumber],OvalData[],MATCH(Table2[[#Headers],[Support Tubes]],Table2[#Headers],0),0)</f>
        <v>0</v>
      </c>
      <c r="J439" s="2">
        <f>VLOOKUP([jobnumber],OvalData[],MATCH(Table2[[#Headers],[Upset]],Table2[#Headers],0),0)</f>
        <v>2</v>
      </c>
      <c r="K439" s="2" t="str">
        <f>VLOOKUP([jobnumber],OvalData[],MATCH(Table2[[#Headers],[Guide Type]],Table2[#Headers],0),0)</f>
        <v>SN2-4 5/8-E</v>
      </c>
      <c r="L439" s="2" t="str">
        <f>VLOOKUP([jobnumber],OvalData[],MATCH(Table2[[#Headers],[Wall Angle]],Table2[#Headers],0),0)</f>
        <v xml:space="preserve"> 11 ft.- 8"</v>
      </c>
      <c r="M439" s="2" t="str">
        <f>VLOOKUP([jobnumber],OvalData[],MATCH(Table2[[#Headers],[Middle Angle]],Table2[#Headers],0),0)</f>
        <v xml:space="preserve"> 10 ft.- 4 1/ 2"</v>
      </c>
      <c r="N439" s="2" t="str">
        <f>VLOOKUP([jobnumber],OvalData[],MATCH(Table2[[#Headers],[Front Angle]],Table2[#Headers],0),0)</f>
        <v xml:space="preserve"> 10 ft.- 3"</v>
      </c>
      <c r="O439" s="2">
        <f>VLOOKUP([jobnumber],OvalData[],MATCH(Table2[[#Headers],[Pipe Center Line]],Table2[#Headers],0),0)</f>
        <v>131</v>
      </c>
      <c r="P439" s="2">
        <f>VLOOKUP([jobnumber],OvalData[],MATCH(Table2[[#Headers],[Heat Expansion Gap]],Table2[#Headers],0),0)</f>
        <v>0</v>
      </c>
      <c r="Q439" s="2">
        <f>VLOOKUP([jobnumber],OvalData[],MATCH(Table2[[#Headers],[Hanging Weight Closed]],Table2[#Headers],0),0)</f>
        <v>795</v>
      </c>
      <c r="R439" s="2">
        <f>VLOOKUP([jobnumber],OvalData[],MATCH(Table2[[#Headers],[Hanging Weight Open]],Table2[#Headers],0),0)</f>
        <v>140</v>
      </c>
      <c r="S439" s="2">
        <f>VLOOKUP([jobnumber],OvalData[],MATCH(Table2[[#Headers],[Initial Lever Arm]],Table2[#Headers],0),0)</f>
        <v>4.25</v>
      </c>
      <c r="T439" s="2">
        <f>VLOOKUP([jobnumber],OvalData[],MATCH(Table2[[#Headers],[Turns to Raise]],Table2[#Headers],0),0)</f>
        <v>3.5859999999999999</v>
      </c>
      <c r="U439" s="2">
        <f>VLOOKUP([jobnumber],OvalData[],MATCH(Table2[[#Headers],[Final Lever Arm]],Table2[#Headers],0),0)</f>
        <v>6.37</v>
      </c>
      <c r="V439" s="2">
        <f>VLOOKUP([jobnumber],OvalData[],MATCH(Table2[[#Headers],[Torque Required Closed]],Table2[#Headers],0),0)</f>
        <v>3377.9</v>
      </c>
      <c r="W439" s="2">
        <f>VLOOKUP([jobnumber],OvalData[],MATCH(Table2[[#Headers],[Torque Required Open]],Table2[#Headers],0),0)</f>
        <v>892</v>
      </c>
      <c r="X439" s="2">
        <f>VLOOKUP([jobnumber],OvalData[],MATCH(Table2[[#Headers],[Pre Turns]],Table2[#Headers],0),0)</f>
        <v>1.3332999999999999</v>
      </c>
      <c r="Y439" s="2">
        <f>VLOOKUP([jobnumber],OvalData[],MATCH(Table2[[#Headers],[Required Torque Per Turn]],Table2[#Headers],0),0)</f>
        <v>688</v>
      </c>
      <c r="Z439" s="2">
        <f>VLOOKUP([jobnumber],OvalData[],MATCH(Table2[[#Headers],[Total Turns]],Table2[#Headers],0),0)</f>
        <v>4.91</v>
      </c>
      <c r="AA439" s="2">
        <f>VLOOKUP([jobnumber],OvalData[],MATCH(Table2[[#Headers],[Grille Vision Section]],Table2[#Headers],0),0)</f>
        <v>0</v>
      </c>
      <c r="AB439" s="2">
        <f>VLOOKUP([jobnumber],OvalData[],MATCH(Table2[[#Headers],[Grille Amount]],Table2[#Headers],0),0)</f>
        <v>0</v>
      </c>
      <c r="AC439" s="2">
        <f>VLOOKUP([jobnumber],OvalData[],MATCH(Table2[[#Headers],[Grille Center]],Table2[#Headers],0),0)</f>
        <v>0</v>
      </c>
      <c r="AD439" s="2">
        <f>VLOOKUP([jobnumber],OvalData[],MATCH(Table2[[#Headers],[Grille Pattern]],Table2[#Headers],0),0)</f>
        <v>0</v>
      </c>
      <c r="AE439" s="2">
        <f>VLOOKUP([jobnumber],OvalData[],MATCH(Table2[[#Headers],[Grille First Tube]],Table2[#Headers],0),0)</f>
        <v>0</v>
      </c>
      <c r="AF439" s="2">
        <f>VLOOKUP([jobnumber],OvalData[],MATCH(Table2[[#Headers],[Grille Standard Tube]],Table2[#Headers],0),0)</f>
        <v>0</v>
      </c>
      <c r="AG439" s="2">
        <f>VLOOKUP([jobnumber],OvalData[],MATCH(Table2[[#Headers],[Grille Total Links]],Table2[#Headers],0),0)</f>
        <v>0</v>
      </c>
      <c r="AH439" s="2">
        <f>VLOOKUP([jobnumber],OvalData[],MATCH(Table2[[#Headers],[Grille Rods]],Table2[#Headers],0),0)</f>
        <v>0</v>
      </c>
      <c r="AI439" s="2">
        <f>VLOOKUP([jobnumber],OvalData[],MATCH(Table2[[#Headers],[Grille Rod Length]],Table2[#Headers],0),0)</f>
        <v>0</v>
      </c>
      <c r="AJ439" s="2">
        <f>VLOOKUP([jobnumber],OvalData[],MATCH(Table2[[#Headers],[slattype]],Table2[#Headers],0),0)</f>
        <v>2</v>
      </c>
      <c r="AK439" s="2">
        <f>VLOOKUP([jobnumber],OvalData[],MATCH(Table2[[#Headers],[slatgage]],Table2[#Headers],0),0)</f>
        <v>18</v>
      </c>
      <c r="AL439" s="2">
        <f>VLOOKUP([jobnumber],OvalData[],MATCH(Table2[[#Headers],[Numer of Top Slats]],Table2[#Headers],0),0)</f>
        <v>0</v>
      </c>
      <c r="AM439" s="2">
        <f>VLOOKUP([jobnumber],OvalData[],MATCH(Table2[[#Headers],[Number of Bottom Slats]],Table2[#Headers],0),0)</f>
        <v>0</v>
      </c>
      <c r="AN439" s="2">
        <f>VLOOKUP([jobnumber],OvalData[],MATCH(Table2[[#Headers],[Solid Bottom Height]],Table2[#Headers],0),0)</f>
        <v>0</v>
      </c>
      <c r="AO439" s="2" t="str">
        <f>VLOOKUP([jobnumber],OvalData[],MATCH(Table2[[#Headers],[slatlength]],Table2[#Headers],0),0)</f>
        <v xml:space="preserve"> 18 ft.- 5 7/ 8"</v>
      </c>
      <c r="AP439" s="2">
        <f>VLOOKUP([jobnumber],OvalData[],MATCH(Table2[[#Headers],[Bottom Slat Length]],Table2[#Headers],0),0)</f>
        <v>0</v>
      </c>
      <c r="AQ439" s="2">
        <f>VLOOKUP([jobnumber],OvalData[],MATCH(Table2[[#Headers],[Number of Perferated Slats]],Table2[#Headers],0),0)</f>
        <v>0</v>
      </c>
      <c r="AR439" s="2">
        <f>VLOOKUP([jobnumber],OvalData[],MATCH(Table2[[#Headers],[First Preferated Slat From End]],Table2[#Headers],0),0)</f>
        <v>0</v>
      </c>
      <c r="AS439" s="2">
        <f>VLOOKUP([jobnumber],OvalData[],MATCH(Table2[[#Headers],[First Preferated Slat From Bottom]],Table2[#Headers],0),0)</f>
        <v>0</v>
      </c>
      <c r="AT439" s="2">
        <f>VLOOKUP([jobnumber],OvalData[],MATCH(Table2[[#Headers],[Total Number of Slats]],Table2[#Headers],0),0)</f>
        <v>51</v>
      </c>
      <c r="AU439" s="2">
        <f>VLOOKUP([jobnumber],OvalData[],MATCH(Table2[[#Headers],[Bottom Bar Slope]],Table2[#Headers],0),0)</f>
        <v>0</v>
      </c>
      <c r="AV439" s="2">
        <f>VLOOKUP([jobnumber],OvalData[],MATCH(Table2[[#Headers],[Bottom Bar Weight]],Table2[#Headers],0),0)</f>
        <v>80.5</v>
      </c>
      <c r="AW439" s="2" t="str">
        <f>VLOOKUP([jobnumber],OvalData[],MATCH(Table2[[#Headers],[Outer Spring Gage]],Table2[#Headers],0),0)</f>
        <v>Null</v>
      </c>
      <c r="AX439" s="2" t="str">
        <f>VLOOKUP([jobnumber],OvalData[],MATCH(Table2[[#Headers],[Outer Spring OD]],Table2[#Headers],0),0)</f>
        <v>Null</v>
      </c>
      <c r="AY439" s="2" t="str">
        <f>VLOOKUP([jobnumber],OvalData[],MATCH(Table2[[#Headers],[Outer Spring Length]],Table2[#Headers],0),0)</f>
        <v>Null</v>
      </c>
      <c r="AZ439" s="2" t="str">
        <f>VLOOKUP([jobnumber],OvalData[],MATCH(Table2[[#Headers],[Outer Spring Stretch]],Table2[#Headers],0),0)</f>
        <v>Null</v>
      </c>
      <c r="BA439" s="2" t="str">
        <f>VLOOKUP([jobnumber],OvalData[],MATCH(Table2[[#Headers],[Outer Spring Torque]],Table2[#Headers],0),0)</f>
        <v>Null</v>
      </c>
      <c r="BB439" s="2" t="str">
        <f>VLOOKUP([jobnumber],OvalData[],MATCH(Table2[[#Headers],[Outer Spring Max Turns]],Table2[#Headers],0),0)</f>
        <v>Null</v>
      </c>
      <c r="BC439" s="2" t="str">
        <f>VLOOKUP([jobnumber],OvalData[],MATCH(Table2[[#Headers],[Outer Spring Weight]],Table2[#Headers],0),0)</f>
        <v>Null</v>
      </c>
      <c r="BD439" s="2" t="str">
        <f>VLOOKUP([jobnumber],OvalData[],MATCH(Table2[[#Headers],[Inner Spring Gage]],Table2[#Headers],0),0)</f>
        <v>Null</v>
      </c>
      <c r="BE439" s="2" t="str">
        <f>VLOOKUP([jobnumber],OvalData[],MATCH(Table2[[#Headers],[Inner Spring OD]],Table2[#Headers],0),0)</f>
        <v>Null</v>
      </c>
      <c r="BF439" s="2" t="str">
        <f>VLOOKUP([jobnumber],OvalData[],MATCH(Table2[[#Headers],[Inner Spring Length]],Table2[#Headers],0),0)</f>
        <v>Null</v>
      </c>
      <c r="BG439" s="2" t="str">
        <f>VLOOKUP([jobnumber],OvalData[],MATCH(Table2[[#Headers],[Inner Spring Stretch]],Table2[#Headers],0),0)</f>
        <v>Null</v>
      </c>
      <c r="BH439" s="2" t="str">
        <f>VLOOKUP([jobnumber],OvalData[],MATCH(Table2[[#Headers],[Inner Spring Torque]],Table2[#Headers],0),0)</f>
        <v>Null</v>
      </c>
      <c r="BI439" s="2" t="str">
        <f>VLOOKUP([jobnumber],OvalData[],MATCH(Table2[[#Headers],[Inner Spring Max Turns]],Table2[#Headers],0),0)</f>
        <v>Null</v>
      </c>
      <c r="BJ439" s="2" t="str">
        <f>VLOOKUP([jobnumber],OvalData[],MATCH(Table2[[#Headers],[Inner Spring Weight]],Table2[#Headers],0),0)</f>
        <v>Null</v>
      </c>
      <c r="BK439" s="2">
        <f>VLOOKUP([jobnumber],OvalData[],MATCH(Table2[[#Headers],[Cycles]],Table2[#Headers],0),0)</f>
        <v>0</v>
      </c>
      <c r="BL439" s="2">
        <f>VLOOKUP([jobnumber],OvalData[],MATCH(Table2[[#Headers],[Total Spring Torque]],Table2[#Headers],0),0)</f>
        <v>0</v>
      </c>
      <c r="BM439" s="2">
        <f>VLOOKUP([jobnumber],OvalData[],MATCH(Table2[[#Headers],[Total Spring Weight]],Table2[#Headers],0),0)</f>
        <v>0</v>
      </c>
      <c r="BN439" s="2">
        <f>VLOOKUP([jobnumber],OvalData[],MATCH(Table2[[#Headers],[Pipe Weight]],Table2[#Headers],0),0)</f>
        <v>688.24239999999998</v>
      </c>
      <c r="BO439" s="2">
        <f>VLOOKUP([jobnumber],OvalData[],MATCH(Table2[[#Headers],[Max Pipe Deflection]],Table2[#Headers],0),0)</f>
        <v>2309</v>
      </c>
      <c r="BP439" s="2">
        <f>VLOOKUP([jobnumber],OvalData[],MATCH(Table2[[#Headers],[Number Non-Insulated Wrap Slats]],Table2[#Headers],0),0)</f>
        <v>0</v>
      </c>
      <c r="BQ439" s="2">
        <f>VLOOKUP([jobnumber],OvalData[],MATCH(Table2[[#Headers],[Number of Insolated Top Slats]],Table2[#Headers],0),0)</f>
        <v>45</v>
      </c>
      <c r="BR439" s="2">
        <f>VLOOKUP([jobnumber],OvalData[],MATCH(Table2[[#Headers],[Insolated Total Slats]],Table2[#Headers],0),0)</f>
        <v>45</v>
      </c>
      <c r="BS439" s="2">
        <f>VLOOKUP([jobnumber],OvalData[],MATCH(Table2[[#Headers],[Number of Slats]],Table2[#Headers],0),0)</f>
        <v>44.69</v>
      </c>
      <c r="BT439" s="2">
        <f>VLOOKUP([jobnumber],OvalData[],MATCH(Table2[[#Headers],[Wrap]],Table2[#Headers],0),0)</f>
        <v>0</v>
      </c>
      <c r="BU439" s="2">
        <f>VLOOKUP([jobnumber],OvalData[],MATCH(Table2[[#Headers],[Wall Angle Thickness]],Table2[#Headers],0),0)</f>
        <v>0</v>
      </c>
      <c r="BV439" s="2">
        <f>VLOOKUP([jobnumber],OvalData[],MATCH(Table2[[#Headers],[windlocks]],Table2[#Headers],0),0)</f>
        <v>0</v>
      </c>
      <c r="BW439" s="2" t="str">
        <f>VLOOKUP([jobnumber],OvalData[],MATCH(Table2[[#Headers],[bottombartype]],Table2[#Headers],0),0)</f>
        <v>SPECIAL</v>
      </c>
      <c r="BX439" s="2">
        <f>VLOOKUP([jobnumber],OvalData[],MATCH(Table2[[#Headers],[endlockweight]],Table2[#Headers],0),0)</f>
        <v>0.17</v>
      </c>
      <c r="BY439" s="2">
        <f>VLOOKUP([jobnumber],OvalData[],MATCH(Table2[[#Headers],[Endlock Total Weight]],Table2[#Headers],0),0)</f>
        <v>7.5972999999999997</v>
      </c>
      <c r="BZ439" s="2">
        <f>VLOOKUP([jobnumber],OvalData[],MATCH(Table2[[#Headers],[Grille Weight]],Table2[#Headers],0),0)</f>
        <v>0</v>
      </c>
      <c r="CA439" s="2">
        <f>VLOOKUP([jobnumber],OvalData[],MATCH(Table2[[#Headers],[barrelrings]],Table2[#Headers],0),0)</f>
        <v>1</v>
      </c>
    </row>
    <row r="440" spans="2:79">
      <c r="B440" s="2" t="str">
        <f>VLOOKUP([jobnumber],OvalData[],MATCH(Table2[[#Headers],[Hand]],Table2[#Headers],0),0)</f>
        <v>RH</v>
      </c>
      <c r="C440" s="2" t="str">
        <f>VLOOKUP([jobnumber],OvalData[],MATCH(Table2[[#Headers],[Model]],Table2[#Headers],0),0)</f>
        <v>SFMPP</v>
      </c>
      <c r="D440" s="2" t="str">
        <f>VLOOKUP([jobnumber],OvalData[],MATCH(Table2[[#Headers],[width]],Table2[#Headers],0),0)</f>
        <v xml:space="preserve"> 18 ft.- 2"</v>
      </c>
      <c r="E440" s="2" t="str">
        <f>VLOOKUP([jobnumber],OvalData[],MATCH(Table2[[#Headers],[stopheight]],Table2[#Headers],0),0)</f>
        <v xml:space="preserve"> 10 ft.- 0"</v>
      </c>
      <c r="F440" s="2" t="str">
        <f>VLOOKUP([jobnumber],OvalData[],MATCH(Table2[[#Headers],[Between Brackets]],Table2[#Headers],0),0)</f>
        <v xml:space="preserve"> 18 ft.- 7 7/ 8"</v>
      </c>
      <c r="G440" s="2" t="str">
        <f>VLOOKUP([jobnumber],OvalData[],MATCH(Table2[[#Headers],[shell]],Table2[#Headers],0),0)</f>
        <v>6 INCH TUBE</v>
      </c>
      <c r="H440" s="2" t="str">
        <f>VLOOKUP([jobnumber],OvalData[],MATCH(Table2[[#Headers],[pipewidth]],Table2[#Headers],0),0)</f>
        <v xml:space="preserve"> 18 ft.- 1 3/ 8"</v>
      </c>
      <c r="I440" s="2">
        <f>VLOOKUP([jobnumber],OvalData[],MATCH(Table2[[#Headers],[Support Tubes]],Table2[#Headers],0),0)</f>
        <v>0</v>
      </c>
      <c r="J440" s="2">
        <f>VLOOKUP([jobnumber],OvalData[],MATCH(Table2[[#Headers],[Upset]],Table2[#Headers],0),0)</f>
        <v>2</v>
      </c>
      <c r="K440" s="2" t="str">
        <f>VLOOKUP([jobnumber],OvalData[],MATCH(Table2[[#Headers],[Guide Type]],Table2[#Headers],0),0)</f>
        <v>SN2-4 5/8-E</v>
      </c>
      <c r="L440" s="2" t="str">
        <f>VLOOKUP([jobnumber],OvalData[],MATCH(Table2[[#Headers],[Wall Angle]],Table2[#Headers],0),0)</f>
        <v xml:space="preserve"> 11 ft.- 8"</v>
      </c>
      <c r="M440" s="2" t="str">
        <f>VLOOKUP([jobnumber],OvalData[],MATCH(Table2[[#Headers],[Middle Angle]],Table2[#Headers],0),0)</f>
        <v xml:space="preserve"> 10 ft.- 4 1/ 2"</v>
      </c>
      <c r="N440" s="2" t="str">
        <f>VLOOKUP([jobnumber],OvalData[],MATCH(Table2[[#Headers],[Front Angle]],Table2[#Headers],0),0)</f>
        <v xml:space="preserve"> 10 ft.- 3"</v>
      </c>
      <c r="O440" s="2">
        <f>VLOOKUP([jobnumber],OvalData[],MATCH(Table2[[#Headers],[Pipe Center Line]],Table2[#Headers],0),0)</f>
        <v>131</v>
      </c>
      <c r="P440" s="2">
        <f>VLOOKUP([jobnumber],OvalData[],MATCH(Table2[[#Headers],[Heat Expansion Gap]],Table2[#Headers],0),0)</f>
        <v>0</v>
      </c>
      <c r="Q440" s="2">
        <f>VLOOKUP([jobnumber],OvalData[],MATCH(Table2[[#Headers],[Hanging Weight Closed]],Table2[#Headers],0),0)</f>
        <v>795</v>
      </c>
      <c r="R440" s="2">
        <f>VLOOKUP([jobnumber],OvalData[],MATCH(Table2[[#Headers],[Hanging Weight Open]],Table2[#Headers],0),0)</f>
        <v>140</v>
      </c>
      <c r="S440" s="2">
        <f>VLOOKUP([jobnumber],OvalData[],MATCH(Table2[[#Headers],[Initial Lever Arm]],Table2[#Headers],0),0)</f>
        <v>4.25</v>
      </c>
      <c r="T440" s="2">
        <f>VLOOKUP([jobnumber],OvalData[],MATCH(Table2[[#Headers],[Turns to Raise]],Table2[#Headers],0),0)</f>
        <v>3.5859999999999999</v>
      </c>
      <c r="U440" s="2">
        <f>VLOOKUP([jobnumber],OvalData[],MATCH(Table2[[#Headers],[Final Lever Arm]],Table2[#Headers],0),0)</f>
        <v>6.37</v>
      </c>
      <c r="V440" s="2">
        <f>VLOOKUP([jobnumber],OvalData[],MATCH(Table2[[#Headers],[Torque Required Closed]],Table2[#Headers],0),0)</f>
        <v>3377.9</v>
      </c>
      <c r="W440" s="2">
        <f>VLOOKUP([jobnumber],OvalData[],MATCH(Table2[[#Headers],[Torque Required Open]],Table2[#Headers],0),0)</f>
        <v>892</v>
      </c>
      <c r="X440" s="2">
        <f>VLOOKUP([jobnumber],OvalData[],MATCH(Table2[[#Headers],[Pre Turns]],Table2[#Headers],0),0)</f>
        <v>1.3332999999999999</v>
      </c>
      <c r="Y440" s="2">
        <f>VLOOKUP([jobnumber],OvalData[],MATCH(Table2[[#Headers],[Required Torque Per Turn]],Table2[#Headers],0),0)</f>
        <v>688</v>
      </c>
      <c r="Z440" s="2">
        <f>VLOOKUP([jobnumber],OvalData[],MATCH(Table2[[#Headers],[Total Turns]],Table2[#Headers],0),0)</f>
        <v>4.91</v>
      </c>
      <c r="AA440" s="2">
        <f>VLOOKUP([jobnumber],OvalData[],MATCH(Table2[[#Headers],[Grille Vision Section]],Table2[#Headers],0),0)</f>
        <v>0</v>
      </c>
      <c r="AB440" s="2">
        <f>VLOOKUP([jobnumber],OvalData[],MATCH(Table2[[#Headers],[Grille Amount]],Table2[#Headers],0),0)</f>
        <v>0</v>
      </c>
      <c r="AC440" s="2">
        <f>VLOOKUP([jobnumber],OvalData[],MATCH(Table2[[#Headers],[Grille Center]],Table2[#Headers],0),0)</f>
        <v>0</v>
      </c>
      <c r="AD440" s="2">
        <f>VLOOKUP([jobnumber],OvalData[],MATCH(Table2[[#Headers],[Grille Pattern]],Table2[#Headers],0),0)</f>
        <v>0</v>
      </c>
      <c r="AE440" s="2">
        <f>VLOOKUP([jobnumber],OvalData[],MATCH(Table2[[#Headers],[Grille First Tube]],Table2[#Headers],0),0)</f>
        <v>0</v>
      </c>
      <c r="AF440" s="2">
        <f>VLOOKUP([jobnumber],OvalData[],MATCH(Table2[[#Headers],[Grille Standard Tube]],Table2[#Headers],0),0)</f>
        <v>0</v>
      </c>
      <c r="AG440" s="2">
        <f>VLOOKUP([jobnumber],OvalData[],MATCH(Table2[[#Headers],[Grille Total Links]],Table2[#Headers],0),0)</f>
        <v>0</v>
      </c>
      <c r="AH440" s="2">
        <f>VLOOKUP([jobnumber],OvalData[],MATCH(Table2[[#Headers],[Grille Rods]],Table2[#Headers],0),0)</f>
        <v>0</v>
      </c>
      <c r="AI440" s="2">
        <f>VLOOKUP([jobnumber],OvalData[],MATCH(Table2[[#Headers],[Grille Rod Length]],Table2[#Headers],0),0)</f>
        <v>0</v>
      </c>
      <c r="AJ440" s="2">
        <f>VLOOKUP([jobnumber],OvalData[],MATCH(Table2[[#Headers],[slattype]],Table2[#Headers],0),0)</f>
        <v>2</v>
      </c>
      <c r="AK440" s="2">
        <f>VLOOKUP([jobnumber],OvalData[],MATCH(Table2[[#Headers],[slatgage]],Table2[#Headers],0),0)</f>
        <v>18</v>
      </c>
      <c r="AL440" s="2">
        <f>VLOOKUP([jobnumber],OvalData[],MATCH(Table2[[#Headers],[Numer of Top Slats]],Table2[#Headers],0),0)</f>
        <v>0</v>
      </c>
      <c r="AM440" s="2">
        <f>VLOOKUP([jobnumber],OvalData[],MATCH(Table2[[#Headers],[Number of Bottom Slats]],Table2[#Headers],0),0)</f>
        <v>0</v>
      </c>
      <c r="AN440" s="2">
        <f>VLOOKUP([jobnumber],OvalData[],MATCH(Table2[[#Headers],[Solid Bottom Height]],Table2[#Headers],0),0)</f>
        <v>0</v>
      </c>
      <c r="AO440" s="2" t="str">
        <f>VLOOKUP([jobnumber],OvalData[],MATCH(Table2[[#Headers],[slatlength]],Table2[#Headers],0),0)</f>
        <v xml:space="preserve"> 18 ft.- 5 7/ 8"</v>
      </c>
      <c r="AP440" s="2">
        <f>VLOOKUP([jobnumber],OvalData[],MATCH(Table2[[#Headers],[Bottom Slat Length]],Table2[#Headers],0),0)</f>
        <v>0</v>
      </c>
      <c r="AQ440" s="2">
        <f>VLOOKUP([jobnumber],OvalData[],MATCH(Table2[[#Headers],[Number of Perferated Slats]],Table2[#Headers],0),0)</f>
        <v>0</v>
      </c>
      <c r="AR440" s="2">
        <f>VLOOKUP([jobnumber],OvalData[],MATCH(Table2[[#Headers],[First Preferated Slat From End]],Table2[#Headers],0),0)</f>
        <v>0</v>
      </c>
      <c r="AS440" s="2">
        <f>VLOOKUP([jobnumber],OvalData[],MATCH(Table2[[#Headers],[First Preferated Slat From Bottom]],Table2[#Headers],0),0)</f>
        <v>0</v>
      </c>
      <c r="AT440" s="2">
        <f>VLOOKUP([jobnumber],OvalData[],MATCH(Table2[[#Headers],[Total Number of Slats]],Table2[#Headers],0),0)</f>
        <v>51</v>
      </c>
      <c r="AU440" s="2">
        <f>VLOOKUP([jobnumber],OvalData[],MATCH(Table2[[#Headers],[Bottom Bar Slope]],Table2[#Headers],0),0)</f>
        <v>0</v>
      </c>
      <c r="AV440" s="2">
        <f>VLOOKUP([jobnumber],OvalData[],MATCH(Table2[[#Headers],[Bottom Bar Weight]],Table2[#Headers],0),0)</f>
        <v>80.5</v>
      </c>
      <c r="AW440" s="2" t="str">
        <f>VLOOKUP([jobnumber],OvalData[],MATCH(Table2[[#Headers],[Outer Spring Gage]],Table2[#Headers],0),0)</f>
        <v>Null</v>
      </c>
      <c r="AX440" s="2" t="str">
        <f>VLOOKUP([jobnumber],OvalData[],MATCH(Table2[[#Headers],[Outer Spring OD]],Table2[#Headers],0),0)</f>
        <v>Null</v>
      </c>
      <c r="AY440" s="2" t="str">
        <f>VLOOKUP([jobnumber],OvalData[],MATCH(Table2[[#Headers],[Outer Spring Length]],Table2[#Headers],0),0)</f>
        <v>Null</v>
      </c>
      <c r="AZ440" s="2" t="str">
        <f>VLOOKUP([jobnumber],OvalData[],MATCH(Table2[[#Headers],[Outer Spring Stretch]],Table2[#Headers],0),0)</f>
        <v>Null</v>
      </c>
      <c r="BA440" s="2" t="str">
        <f>VLOOKUP([jobnumber],OvalData[],MATCH(Table2[[#Headers],[Outer Spring Torque]],Table2[#Headers],0),0)</f>
        <v>Null</v>
      </c>
      <c r="BB440" s="2" t="str">
        <f>VLOOKUP([jobnumber],OvalData[],MATCH(Table2[[#Headers],[Outer Spring Max Turns]],Table2[#Headers],0),0)</f>
        <v>Null</v>
      </c>
      <c r="BC440" s="2" t="str">
        <f>VLOOKUP([jobnumber],OvalData[],MATCH(Table2[[#Headers],[Outer Spring Weight]],Table2[#Headers],0),0)</f>
        <v>Null</v>
      </c>
      <c r="BD440" s="2" t="str">
        <f>VLOOKUP([jobnumber],OvalData[],MATCH(Table2[[#Headers],[Inner Spring Gage]],Table2[#Headers],0),0)</f>
        <v>Null</v>
      </c>
      <c r="BE440" s="2" t="str">
        <f>VLOOKUP([jobnumber],OvalData[],MATCH(Table2[[#Headers],[Inner Spring OD]],Table2[#Headers],0),0)</f>
        <v>Null</v>
      </c>
      <c r="BF440" s="2" t="str">
        <f>VLOOKUP([jobnumber],OvalData[],MATCH(Table2[[#Headers],[Inner Spring Length]],Table2[#Headers],0),0)</f>
        <v>Null</v>
      </c>
      <c r="BG440" s="2" t="str">
        <f>VLOOKUP([jobnumber],OvalData[],MATCH(Table2[[#Headers],[Inner Spring Stretch]],Table2[#Headers],0),0)</f>
        <v>Null</v>
      </c>
      <c r="BH440" s="2" t="str">
        <f>VLOOKUP([jobnumber],OvalData[],MATCH(Table2[[#Headers],[Inner Spring Torque]],Table2[#Headers],0),0)</f>
        <v>Null</v>
      </c>
      <c r="BI440" s="2" t="str">
        <f>VLOOKUP([jobnumber],OvalData[],MATCH(Table2[[#Headers],[Inner Spring Max Turns]],Table2[#Headers],0),0)</f>
        <v>Null</v>
      </c>
      <c r="BJ440" s="2" t="str">
        <f>VLOOKUP([jobnumber],OvalData[],MATCH(Table2[[#Headers],[Inner Spring Weight]],Table2[#Headers],0),0)</f>
        <v>Null</v>
      </c>
      <c r="BK440" s="2">
        <f>VLOOKUP([jobnumber],OvalData[],MATCH(Table2[[#Headers],[Cycles]],Table2[#Headers],0),0)</f>
        <v>0</v>
      </c>
      <c r="BL440" s="2">
        <f>VLOOKUP([jobnumber],OvalData[],MATCH(Table2[[#Headers],[Total Spring Torque]],Table2[#Headers],0),0)</f>
        <v>0</v>
      </c>
      <c r="BM440" s="2">
        <f>VLOOKUP([jobnumber],OvalData[],MATCH(Table2[[#Headers],[Total Spring Weight]],Table2[#Headers],0),0)</f>
        <v>0</v>
      </c>
      <c r="BN440" s="2">
        <f>VLOOKUP([jobnumber],OvalData[],MATCH(Table2[[#Headers],[Pipe Weight]],Table2[#Headers],0),0)</f>
        <v>688.24239999999998</v>
      </c>
      <c r="BO440" s="2">
        <f>VLOOKUP([jobnumber],OvalData[],MATCH(Table2[[#Headers],[Max Pipe Deflection]],Table2[#Headers],0),0)</f>
        <v>2309</v>
      </c>
      <c r="BP440" s="2">
        <f>VLOOKUP([jobnumber],OvalData[],MATCH(Table2[[#Headers],[Number Non-Insulated Wrap Slats]],Table2[#Headers],0),0)</f>
        <v>0</v>
      </c>
      <c r="BQ440" s="2">
        <f>VLOOKUP([jobnumber],OvalData[],MATCH(Table2[[#Headers],[Number of Insolated Top Slats]],Table2[#Headers],0),0)</f>
        <v>45</v>
      </c>
      <c r="BR440" s="2">
        <f>VLOOKUP([jobnumber],OvalData[],MATCH(Table2[[#Headers],[Insolated Total Slats]],Table2[#Headers],0),0)</f>
        <v>45</v>
      </c>
      <c r="BS440" s="2">
        <f>VLOOKUP([jobnumber],OvalData[],MATCH(Table2[[#Headers],[Number of Slats]],Table2[#Headers],0),0)</f>
        <v>44.69</v>
      </c>
      <c r="BT440" s="2">
        <f>VLOOKUP([jobnumber],OvalData[],MATCH(Table2[[#Headers],[Wrap]],Table2[#Headers],0),0)</f>
        <v>0</v>
      </c>
      <c r="BU440" s="2">
        <f>VLOOKUP([jobnumber],OvalData[],MATCH(Table2[[#Headers],[Wall Angle Thickness]],Table2[#Headers],0),0)</f>
        <v>0</v>
      </c>
      <c r="BV440" s="2">
        <f>VLOOKUP([jobnumber],OvalData[],MATCH(Table2[[#Headers],[windlocks]],Table2[#Headers],0),0)</f>
        <v>0</v>
      </c>
      <c r="BW440" s="2" t="str">
        <f>VLOOKUP([jobnumber],OvalData[],MATCH(Table2[[#Headers],[bottombartype]],Table2[#Headers],0),0)</f>
        <v>SPECIAL</v>
      </c>
      <c r="BX440" s="2">
        <f>VLOOKUP([jobnumber],OvalData[],MATCH(Table2[[#Headers],[endlockweight]],Table2[#Headers],0),0)</f>
        <v>0.17</v>
      </c>
      <c r="BY440" s="2">
        <f>VLOOKUP([jobnumber],OvalData[],MATCH(Table2[[#Headers],[Endlock Total Weight]],Table2[#Headers],0),0)</f>
        <v>7.5972999999999997</v>
      </c>
      <c r="BZ440" s="2">
        <f>VLOOKUP([jobnumber],OvalData[],MATCH(Table2[[#Headers],[Grille Weight]],Table2[#Headers],0),0)</f>
        <v>0</v>
      </c>
      <c r="CA440" s="2">
        <f>VLOOKUP([jobnumber],OvalData[],MATCH(Table2[[#Headers],[barrelrings]],Table2[#Headers],0),0)</f>
        <v>1</v>
      </c>
    </row>
    <row r="441" spans="2:79">
      <c r="B441" s="2" t="str">
        <f>VLOOKUP([jobnumber],OvalData[],MATCH(Table2[[#Headers],[Hand]],Table2[#Headers],0),0)</f>
        <v>RH</v>
      </c>
      <c r="C441" s="2" t="str">
        <f>VLOOKUP([jobnumber],OvalData[],MATCH(Table2[[#Headers],[Model]],Table2[#Headers],0),0)</f>
        <v>SFMPP</v>
      </c>
      <c r="D441" s="2" t="str">
        <f>VLOOKUP([jobnumber],OvalData[],MATCH(Table2[[#Headers],[width]],Table2[#Headers],0),0)</f>
        <v xml:space="preserve"> 18 ft.- 2"</v>
      </c>
      <c r="E441" s="2" t="str">
        <f>VLOOKUP([jobnumber],OvalData[],MATCH(Table2[[#Headers],[stopheight]],Table2[#Headers],0),0)</f>
        <v xml:space="preserve"> 10 ft.- 0"</v>
      </c>
      <c r="F441" s="2" t="str">
        <f>VLOOKUP([jobnumber],OvalData[],MATCH(Table2[[#Headers],[Between Brackets]],Table2[#Headers],0),0)</f>
        <v xml:space="preserve"> 18 ft.- 7 7/ 8"</v>
      </c>
      <c r="G441" s="2" t="str">
        <f>VLOOKUP([jobnumber],OvalData[],MATCH(Table2[[#Headers],[shell]],Table2[#Headers],0),0)</f>
        <v>6 INCH TUBE</v>
      </c>
      <c r="H441" s="2" t="str">
        <f>VLOOKUP([jobnumber],OvalData[],MATCH(Table2[[#Headers],[pipewidth]],Table2[#Headers],0),0)</f>
        <v xml:space="preserve"> 18 ft.- 1 3/ 8"</v>
      </c>
      <c r="I441" s="2">
        <f>VLOOKUP([jobnumber],OvalData[],MATCH(Table2[[#Headers],[Support Tubes]],Table2[#Headers],0),0)</f>
        <v>0</v>
      </c>
      <c r="J441" s="2">
        <f>VLOOKUP([jobnumber],OvalData[],MATCH(Table2[[#Headers],[Upset]],Table2[#Headers],0),0)</f>
        <v>2</v>
      </c>
      <c r="K441" s="2" t="str">
        <f>VLOOKUP([jobnumber],OvalData[],MATCH(Table2[[#Headers],[Guide Type]],Table2[#Headers],0),0)</f>
        <v>SN2-4 5/8-E</v>
      </c>
      <c r="L441" s="2" t="str">
        <f>VLOOKUP([jobnumber],OvalData[],MATCH(Table2[[#Headers],[Wall Angle]],Table2[#Headers],0),0)</f>
        <v xml:space="preserve"> 11 ft.- 8"</v>
      </c>
      <c r="M441" s="2" t="str">
        <f>VLOOKUP([jobnumber],OvalData[],MATCH(Table2[[#Headers],[Middle Angle]],Table2[#Headers],0),0)</f>
        <v xml:space="preserve"> 10 ft.- 4 1/ 2"</v>
      </c>
      <c r="N441" s="2" t="str">
        <f>VLOOKUP([jobnumber],OvalData[],MATCH(Table2[[#Headers],[Front Angle]],Table2[#Headers],0),0)</f>
        <v xml:space="preserve"> 10 ft.- 3"</v>
      </c>
      <c r="O441" s="2">
        <f>VLOOKUP([jobnumber],OvalData[],MATCH(Table2[[#Headers],[Pipe Center Line]],Table2[#Headers],0),0)</f>
        <v>131</v>
      </c>
      <c r="P441" s="2">
        <f>VLOOKUP([jobnumber],OvalData[],MATCH(Table2[[#Headers],[Heat Expansion Gap]],Table2[#Headers],0),0)</f>
        <v>0</v>
      </c>
      <c r="Q441" s="2">
        <f>VLOOKUP([jobnumber],OvalData[],MATCH(Table2[[#Headers],[Hanging Weight Closed]],Table2[#Headers],0),0)</f>
        <v>795</v>
      </c>
      <c r="R441" s="2">
        <f>VLOOKUP([jobnumber],OvalData[],MATCH(Table2[[#Headers],[Hanging Weight Open]],Table2[#Headers],0),0)</f>
        <v>140</v>
      </c>
      <c r="S441" s="2">
        <f>VLOOKUP([jobnumber],OvalData[],MATCH(Table2[[#Headers],[Initial Lever Arm]],Table2[#Headers],0),0)</f>
        <v>4.25</v>
      </c>
      <c r="T441" s="2">
        <f>VLOOKUP([jobnumber],OvalData[],MATCH(Table2[[#Headers],[Turns to Raise]],Table2[#Headers],0),0)</f>
        <v>3.5859999999999999</v>
      </c>
      <c r="U441" s="2">
        <f>VLOOKUP([jobnumber],OvalData[],MATCH(Table2[[#Headers],[Final Lever Arm]],Table2[#Headers],0),0)</f>
        <v>6.37</v>
      </c>
      <c r="V441" s="2">
        <f>VLOOKUP([jobnumber],OvalData[],MATCH(Table2[[#Headers],[Torque Required Closed]],Table2[#Headers],0),0)</f>
        <v>3377.9</v>
      </c>
      <c r="W441" s="2">
        <f>VLOOKUP([jobnumber],OvalData[],MATCH(Table2[[#Headers],[Torque Required Open]],Table2[#Headers],0),0)</f>
        <v>892</v>
      </c>
      <c r="X441" s="2">
        <f>VLOOKUP([jobnumber],OvalData[],MATCH(Table2[[#Headers],[Pre Turns]],Table2[#Headers],0),0)</f>
        <v>1.3332999999999999</v>
      </c>
      <c r="Y441" s="2">
        <f>VLOOKUP([jobnumber],OvalData[],MATCH(Table2[[#Headers],[Required Torque Per Turn]],Table2[#Headers],0),0)</f>
        <v>688</v>
      </c>
      <c r="Z441" s="2">
        <f>VLOOKUP([jobnumber],OvalData[],MATCH(Table2[[#Headers],[Total Turns]],Table2[#Headers],0),0)</f>
        <v>4.91</v>
      </c>
      <c r="AA441" s="2">
        <f>VLOOKUP([jobnumber],OvalData[],MATCH(Table2[[#Headers],[Grille Vision Section]],Table2[#Headers],0),0)</f>
        <v>0</v>
      </c>
      <c r="AB441" s="2">
        <f>VLOOKUP([jobnumber],OvalData[],MATCH(Table2[[#Headers],[Grille Amount]],Table2[#Headers],0),0)</f>
        <v>0</v>
      </c>
      <c r="AC441" s="2">
        <f>VLOOKUP([jobnumber],OvalData[],MATCH(Table2[[#Headers],[Grille Center]],Table2[#Headers],0),0)</f>
        <v>0</v>
      </c>
      <c r="AD441" s="2">
        <f>VLOOKUP([jobnumber],OvalData[],MATCH(Table2[[#Headers],[Grille Pattern]],Table2[#Headers],0),0)</f>
        <v>0</v>
      </c>
      <c r="AE441" s="2">
        <f>VLOOKUP([jobnumber],OvalData[],MATCH(Table2[[#Headers],[Grille First Tube]],Table2[#Headers],0),0)</f>
        <v>0</v>
      </c>
      <c r="AF441" s="2">
        <f>VLOOKUP([jobnumber],OvalData[],MATCH(Table2[[#Headers],[Grille Standard Tube]],Table2[#Headers],0),0)</f>
        <v>0</v>
      </c>
      <c r="AG441" s="2">
        <f>VLOOKUP([jobnumber],OvalData[],MATCH(Table2[[#Headers],[Grille Total Links]],Table2[#Headers],0),0)</f>
        <v>0</v>
      </c>
      <c r="AH441" s="2">
        <f>VLOOKUP([jobnumber],OvalData[],MATCH(Table2[[#Headers],[Grille Rods]],Table2[#Headers],0),0)</f>
        <v>0</v>
      </c>
      <c r="AI441" s="2">
        <f>VLOOKUP([jobnumber],OvalData[],MATCH(Table2[[#Headers],[Grille Rod Length]],Table2[#Headers],0),0)</f>
        <v>0</v>
      </c>
      <c r="AJ441" s="2">
        <f>VLOOKUP([jobnumber],OvalData[],MATCH(Table2[[#Headers],[slattype]],Table2[#Headers],0),0)</f>
        <v>2</v>
      </c>
      <c r="AK441" s="2">
        <f>VLOOKUP([jobnumber],OvalData[],MATCH(Table2[[#Headers],[slatgage]],Table2[#Headers],0),0)</f>
        <v>18</v>
      </c>
      <c r="AL441" s="2">
        <f>VLOOKUP([jobnumber],OvalData[],MATCH(Table2[[#Headers],[Numer of Top Slats]],Table2[#Headers],0),0)</f>
        <v>0</v>
      </c>
      <c r="AM441" s="2">
        <f>VLOOKUP([jobnumber],OvalData[],MATCH(Table2[[#Headers],[Number of Bottom Slats]],Table2[#Headers],0),0)</f>
        <v>0</v>
      </c>
      <c r="AN441" s="2">
        <f>VLOOKUP([jobnumber],OvalData[],MATCH(Table2[[#Headers],[Solid Bottom Height]],Table2[#Headers],0),0)</f>
        <v>0</v>
      </c>
      <c r="AO441" s="2" t="str">
        <f>VLOOKUP([jobnumber],OvalData[],MATCH(Table2[[#Headers],[slatlength]],Table2[#Headers],0),0)</f>
        <v xml:space="preserve"> 18 ft.- 5 7/ 8"</v>
      </c>
      <c r="AP441" s="2">
        <f>VLOOKUP([jobnumber],OvalData[],MATCH(Table2[[#Headers],[Bottom Slat Length]],Table2[#Headers],0),0)</f>
        <v>0</v>
      </c>
      <c r="AQ441" s="2">
        <f>VLOOKUP([jobnumber],OvalData[],MATCH(Table2[[#Headers],[Number of Perferated Slats]],Table2[#Headers],0),0)</f>
        <v>0</v>
      </c>
      <c r="AR441" s="2">
        <f>VLOOKUP([jobnumber],OvalData[],MATCH(Table2[[#Headers],[First Preferated Slat From End]],Table2[#Headers],0),0)</f>
        <v>0</v>
      </c>
      <c r="AS441" s="2">
        <f>VLOOKUP([jobnumber],OvalData[],MATCH(Table2[[#Headers],[First Preferated Slat From Bottom]],Table2[#Headers],0),0)</f>
        <v>0</v>
      </c>
      <c r="AT441" s="2">
        <f>VLOOKUP([jobnumber],OvalData[],MATCH(Table2[[#Headers],[Total Number of Slats]],Table2[#Headers],0),0)</f>
        <v>51</v>
      </c>
      <c r="AU441" s="2">
        <f>VLOOKUP([jobnumber],OvalData[],MATCH(Table2[[#Headers],[Bottom Bar Slope]],Table2[#Headers],0),0)</f>
        <v>0</v>
      </c>
      <c r="AV441" s="2">
        <f>VLOOKUP([jobnumber],OvalData[],MATCH(Table2[[#Headers],[Bottom Bar Weight]],Table2[#Headers],0),0)</f>
        <v>80.5</v>
      </c>
      <c r="AW441" s="2" t="str">
        <f>VLOOKUP([jobnumber],OvalData[],MATCH(Table2[[#Headers],[Outer Spring Gage]],Table2[#Headers],0),0)</f>
        <v>Null</v>
      </c>
      <c r="AX441" s="2" t="str">
        <f>VLOOKUP([jobnumber],OvalData[],MATCH(Table2[[#Headers],[Outer Spring OD]],Table2[#Headers],0),0)</f>
        <v>Null</v>
      </c>
      <c r="AY441" s="2" t="str">
        <f>VLOOKUP([jobnumber],OvalData[],MATCH(Table2[[#Headers],[Outer Spring Length]],Table2[#Headers],0),0)</f>
        <v>Null</v>
      </c>
      <c r="AZ441" s="2" t="str">
        <f>VLOOKUP([jobnumber],OvalData[],MATCH(Table2[[#Headers],[Outer Spring Stretch]],Table2[#Headers],0),0)</f>
        <v>Null</v>
      </c>
      <c r="BA441" s="2" t="str">
        <f>VLOOKUP([jobnumber],OvalData[],MATCH(Table2[[#Headers],[Outer Spring Torque]],Table2[#Headers],0),0)</f>
        <v>Null</v>
      </c>
      <c r="BB441" s="2" t="str">
        <f>VLOOKUP([jobnumber],OvalData[],MATCH(Table2[[#Headers],[Outer Spring Max Turns]],Table2[#Headers],0),0)</f>
        <v>Null</v>
      </c>
      <c r="BC441" s="2" t="str">
        <f>VLOOKUP([jobnumber],OvalData[],MATCH(Table2[[#Headers],[Outer Spring Weight]],Table2[#Headers],0),0)</f>
        <v>Null</v>
      </c>
      <c r="BD441" s="2" t="str">
        <f>VLOOKUP([jobnumber],OvalData[],MATCH(Table2[[#Headers],[Inner Spring Gage]],Table2[#Headers],0),0)</f>
        <v>Null</v>
      </c>
      <c r="BE441" s="2" t="str">
        <f>VLOOKUP([jobnumber],OvalData[],MATCH(Table2[[#Headers],[Inner Spring OD]],Table2[#Headers],0),0)</f>
        <v>Null</v>
      </c>
      <c r="BF441" s="2" t="str">
        <f>VLOOKUP([jobnumber],OvalData[],MATCH(Table2[[#Headers],[Inner Spring Length]],Table2[#Headers],0),0)</f>
        <v>Null</v>
      </c>
      <c r="BG441" s="2" t="str">
        <f>VLOOKUP([jobnumber],OvalData[],MATCH(Table2[[#Headers],[Inner Spring Stretch]],Table2[#Headers],0),0)</f>
        <v>Null</v>
      </c>
      <c r="BH441" s="2" t="str">
        <f>VLOOKUP([jobnumber],OvalData[],MATCH(Table2[[#Headers],[Inner Spring Torque]],Table2[#Headers],0),0)</f>
        <v>Null</v>
      </c>
      <c r="BI441" s="2" t="str">
        <f>VLOOKUP([jobnumber],OvalData[],MATCH(Table2[[#Headers],[Inner Spring Max Turns]],Table2[#Headers],0),0)</f>
        <v>Null</v>
      </c>
      <c r="BJ441" s="2" t="str">
        <f>VLOOKUP([jobnumber],OvalData[],MATCH(Table2[[#Headers],[Inner Spring Weight]],Table2[#Headers],0),0)</f>
        <v>Null</v>
      </c>
      <c r="BK441" s="2">
        <f>VLOOKUP([jobnumber],OvalData[],MATCH(Table2[[#Headers],[Cycles]],Table2[#Headers],0),0)</f>
        <v>0</v>
      </c>
      <c r="BL441" s="2">
        <f>VLOOKUP([jobnumber],OvalData[],MATCH(Table2[[#Headers],[Total Spring Torque]],Table2[#Headers],0),0)</f>
        <v>0</v>
      </c>
      <c r="BM441" s="2">
        <f>VLOOKUP([jobnumber],OvalData[],MATCH(Table2[[#Headers],[Total Spring Weight]],Table2[#Headers],0),0)</f>
        <v>0</v>
      </c>
      <c r="BN441" s="2">
        <f>VLOOKUP([jobnumber],OvalData[],MATCH(Table2[[#Headers],[Pipe Weight]],Table2[#Headers],0),0)</f>
        <v>688.24239999999998</v>
      </c>
      <c r="BO441" s="2">
        <f>VLOOKUP([jobnumber],OvalData[],MATCH(Table2[[#Headers],[Max Pipe Deflection]],Table2[#Headers],0),0)</f>
        <v>2309</v>
      </c>
      <c r="BP441" s="2">
        <f>VLOOKUP([jobnumber],OvalData[],MATCH(Table2[[#Headers],[Number Non-Insulated Wrap Slats]],Table2[#Headers],0),0)</f>
        <v>0</v>
      </c>
      <c r="BQ441" s="2">
        <f>VLOOKUP([jobnumber],OvalData[],MATCH(Table2[[#Headers],[Number of Insolated Top Slats]],Table2[#Headers],0),0)</f>
        <v>45</v>
      </c>
      <c r="BR441" s="2">
        <f>VLOOKUP([jobnumber],OvalData[],MATCH(Table2[[#Headers],[Insolated Total Slats]],Table2[#Headers],0),0)</f>
        <v>45</v>
      </c>
      <c r="BS441" s="2">
        <f>VLOOKUP([jobnumber],OvalData[],MATCH(Table2[[#Headers],[Number of Slats]],Table2[#Headers],0),0)</f>
        <v>44.69</v>
      </c>
      <c r="BT441" s="2">
        <f>VLOOKUP([jobnumber],OvalData[],MATCH(Table2[[#Headers],[Wrap]],Table2[#Headers],0),0)</f>
        <v>0</v>
      </c>
      <c r="BU441" s="2">
        <f>VLOOKUP([jobnumber],OvalData[],MATCH(Table2[[#Headers],[Wall Angle Thickness]],Table2[#Headers],0),0)</f>
        <v>0</v>
      </c>
      <c r="BV441" s="2">
        <f>VLOOKUP([jobnumber],OvalData[],MATCH(Table2[[#Headers],[windlocks]],Table2[#Headers],0),0)</f>
        <v>0</v>
      </c>
      <c r="BW441" s="2" t="str">
        <f>VLOOKUP([jobnumber],OvalData[],MATCH(Table2[[#Headers],[bottombartype]],Table2[#Headers],0),0)</f>
        <v>SPECIAL</v>
      </c>
      <c r="BX441" s="2">
        <f>VLOOKUP([jobnumber],OvalData[],MATCH(Table2[[#Headers],[endlockweight]],Table2[#Headers],0),0)</f>
        <v>0.17</v>
      </c>
      <c r="BY441" s="2">
        <f>VLOOKUP([jobnumber],OvalData[],MATCH(Table2[[#Headers],[Endlock Total Weight]],Table2[#Headers],0),0)</f>
        <v>7.5972999999999997</v>
      </c>
      <c r="BZ441" s="2">
        <f>VLOOKUP([jobnumber],OvalData[],MATCH(Table2[[#Headers],[Grille Weight]],Table2[#Headers],0),0)</f>
        <v>0</v>
      </c>
      <c r="CA441" s="2">
        <f>VLOOKUP([jobnumber],OvalData[],MATCH(Table2[[#Headers],[barrelrings]],Table2[#Headers],0),0)</f>
        <v>1</v>
      </c>
    </row>
    <row r="442" spans="2:79">
      <c r="B442" s="2" t="str">
        <f>VLOOKUP([jobnumber],OvalData[],MATCH(Table2[[#Headers],[Hand]],Table2[#Headers],0),0)</f>
        <v>RH</v>
      </c>
      <c r="C442" s="2" t="str">
        <f>VLOOKUP([jobnumber],OvalData[],MATCH(Table2[[#Headers],[Model]],Table2[#Headers],0),0)</f>
        <v>SFMPP</v>
      </c>
      <c r="D442" s="2" t="str">
        <f>VLOOKUP([jobnumber],OvalData[],MATCH(Table2[[#Headers],[width]],Table2[#Headers],0),0)</f>
        <v xml:space="preserve"> 18 ft.- 2"</v>
      </c>
      <c r="E442" s="2" t="str">
        <f>VLOOKUP([jobnumber],OvalData[],MATCH(Table2[[#Headers],[stopheight]],Table2[#Headers],0),0)</f>
        <v xml:space="preserve"> 10 ft.- 0"</v>
      </c>
      <c r="F442" s="2" t="str">
        <f>VLOOKUP([jobnumber],OvalData[],MATCH(Table2[[#Headers],[Between Brackets]],Table2[#Headers],0),0)</f>
        <v xml:space="preserve"> 18 ft.- 7 7/ 8"</v>
      </c>
      <c r="G442" s="2" t="str">
        <f>VLOOKUP([jobnumber],OvalData[],MATCH(Table2[[#Headers],[shell]],Table2[#Headers],0),0)</f>
        <v>6 INCH TUBE</v>
      </c>
      <c r="H442" s="2" t="str">
        <f>VLOOKUP([jobnumber],OvalData[],MATCH(Table2[[#Headers],[pipewidth]],Table2[#Headers],0),0)</f>
        <v xml:space="preserve"> 18 ft.- 1 3/ 8"</v>
      </c>
      <c r="I442" s="2">
        <f>VLOOKUP([jobnumber],OvalData[],MATCH(Table2[[#Headers],[Support Tubes]],Table2[#Headers],0),0)</f>
        <v>0</v>
      </c>
      <c r="J442" s="2">
        <f>VLOOKUP([jobnumber],OvalData[],MATCH(Table2[[#Headers],[Upset]],Table2[#Headers],0),0)</f>
        <v>2</v>
      </c>
      <c r="K442" s="2" t="str">
        <f>VLOOKUP([jobnumber],OvalData[],MATCH(Table2[[#Headers],[Guide Type]],Table2[#Headers],0),0)</f>
        <v>SN2-4 5/8-E</v>
      </c>
      <c r="L442" s="2" t="str">
        <f>VLOOKUP([jobnumber],OvalData[],MATCH(Table2[[#Headers],[Wall Angle]],Table2[#Headers],0),0)</f>
        <v xml:space="preserve"> 11 ft.- 8"</v>
      </c>
      <c r="M442" s="2" t="str">
        <f>VLOOKUP([jobnumber],OvalData[],MATCH(Table2[[#Headers],[Middle Angle]],Table2[#Headers],0),0)</f>
        <v xml:space="preserve"> 10 ft.- 4 1/ 2"</v>
      </c>
      <c r="N442" s="2" t="str">
        <f>VLOOKUP([jobnumber],OvalData[],MATCH(Table2[[#Headers],[Front Angle]],Table2[#Headers],0),0)</f>
        <v xml:space="preserve"> 10 ft.- 3"</v>
      </c>
      <c r="O442" s="2">
        <f>VLOOKUP([jobnumber],OvalData[],MATCH(Table2[[#Headers],[Pipe Center Line]],Table2[#Headers],0),0)</f>
        <v>131</v>
      </c>
      <c r="P442" s="2">
        <f>VLOOKUP([jobnumber],OvalData[],MATCH(Table2[[#Headers],[Heat Expansion Gap]],Table2[#Headers],0),0)</f>
        <v>0</v>
      </c>
      <c r="Q442" s="2">
        <f>VLOOKUP([jobnumber],OvalData[],MATCH(Table2[[#Headers],[Hanging Weight Closed]],Table2[#Headers],0),0)</f>
        <v>795</v>
      </c>
      <c r="R442" s="2">
        <f>VLOOKUP([jobnumber],OvalData[],MATCH(Table2[[#Headers],[Hanging Weight Open]],Table2[#Headers],0),0)</f>
        <v>140</v>
      </c>
      <c r="S442" s="2">
        <f>VLOOKUP([jobnumber],OvalData[],MATCH(Table2[[#Headers],[Initial Lever Arm]],Table2[#Headers],0),0)</f>
        <v>4.25</v>
      </c>
      <c r="T442" s="2">
        <f>VLOOKUP([jobnumber],OvalData[],MATCH(Table2[[#Headers],[Turns to Raise]],Table2[#Headers],0),0)</f>
        <v>3.5859999999999999</v>
      </c>
      <c r="U442" s="2">
        <f>VLOOKUP([jobnumber],OvalData[],MATCH(Table2[[#Headers],[Final Lever Arm]],Table2[#Headers],0),0)</f>
        <v>6.37</v>
      </c>
      <c r="V442" s="2">
        <f>VLOOKUP([jobnumber],OvalData[],MATCH(Table2[[#Headers],[Torque Required Closed]],Table2[#Headers],0),0)</f>
        <v>3377.9</v>
      </c>
      <c r="W442" s="2">
        <f>VLOOKUP([jobnumber],OvalData[],MATCH(Table2[[#Headers],[Torque Required Open]],Table2[#Headers],0),0)</f>
        <v>892</v>
      </c>
      <c r="X442" s="2">
        <f>VLOOKUP([jobnumber],OvalData[],MATCH(Table2[[#Headers],[Pre Turns]],Table2[#Headers],0),0)</f>
        <v>1.3332999999999999</v>
      </c>
      <c r="Y442" s="2">
        <f>VLOOKUP([jobnumber],OvalData[],MATCH(Table2[[#Headers],[Required Torque Per Turn]],Table2[#Headers],0),0)</f>
        <v>688</v>
      </c>
      <c r="Z442" s="2">
        <f>VLOOKUP([jobnumber],OvalData[],MATCH(Table2[[#Headers],[Total Turns]],Table2[#Headers],0),0)</f>
        <v>4.91</v>
      </c>
      <c r="AA442" s="2">
        <f>VLOOKUP([jobnumber],OvalData[],MATCH(Table2[[#Headers],[Grille Vision Section]],Table2[#Headers],0),0)</f>
        <v>0</v>
      </c>
      <c r="AB442" s="2">
        <f>VLOOKUP([jobnumber],OvalData[],MATCH(Table2[[#Headers],[Grille Amount]],Table2[#Headers],0),0)</f>
        <v>0</v>
      </c>
      <c r="AC442" s="2">
        <f>VLOOKUP([jobnumber],OvalData[],MATCH(Table2[[#Headers],[Grille Center]],Table2[#Headers],0),0)</f>
        <v>0</v>
      </c>
      <c r="AD442" s="2">
        <f>VLOOKUP([jobnumber],OvalData[],MATCH(Table2[[#Headers],[Grille Pattern]],Table2[#Headers],0),0)</f>
        <v>0</v>
      </c>
      <c r="AE442" s="2">
        <f>VLOOKUP([jobnumber],OvalData[],MATCH(Table2[[#Headers],[Grille First Tube]],Table2[#Headers],0),0)</f>
        <v>0</v>
      </c>
      <c r="AF442" s="2">
        <f>VLOOKUP([jobnumber],OvalData[],MATCH(Table2[[#Headers],[Grille Standard Tube]],Table2[#Headers],0),0)</f>
        <v>0</v>
      </c>
      <c r="AG442" s="2">
        <f>VLOOKUP([jobnumber],OvalData[],MATCH(Table2[[#Headers],[Grille Total Links]],Table2[#Headers],0),0)</f>
        <v>0</v>
      </c>
      <c r="AH442" s="2">
        <f>VLOOKUP([jobnumber],OvalData[],MATCH(Table2[[#Headers],[Grille Rods]],Table2[#Headers],0),0)</f>
        <v>0</v>
      </c>
      <c r="AI442" s="2">
        <f>VLOOKUP([jobnumber],OvalData[],MATCH(Table2[[#Headers],[Grille Rod Length]],Table2[#Headers],0),0)</f>
        <v>0</v>
      </c>
      <c r="AJ442" s="2">
        <f>VLOOKUP([jobnumber],OvalData[],MATCH(Table2[[#Headers],[slattype]],Table2[#Headers],0),0)</f>
        <v>2</v>
      </c>
      <c r="AK442" s="2">
        <f>VLOOKUP([jobnumber],OvalData[],MATCH(Table2[[#Headers],[slatgage]],Table2[#Headers],0),0)</f>
        <v>18</v>
      </c>
      <c r="AL442" s="2">
        <f>VLOOKUP([jobnumber],OvalData[],MATCH(Table2[[#Headers],[Numer of Top Slats]],Table2[#Headers],0),0)</f>
        <v>0</v>
      </c>
      <c r="AM442" s="2">
        <f>VLOOKUP([jobnumber],OvalData[],MATCH(Table2[[#Headers],[Number of Bottom Slats]],Table2[#Headers],0),0)</f>
        <v>0</v>
      </c>
      <c r="AN442" s="2">
        <f>VLOOKUP([jobnumber],OvalData[],MATCH(Table2[[#Headers],[Solid Bottom Height]],Table2[#Headers],0),0)</f>
        <v>0</v>
      </c>
      <c r="AO442" s="2" t="str">
        <f>VLOOKUP([jobnumber],OvalData[],MATCH(Table2[[#Headers],[slatlength]],Table2[#Headers],0),0)</f>
        <v xml:space="preserve"> 18 ft.- 5 7/ 8"</v>
      </c>
      <c r="AP442" s="2">
        <f>VLOOKUP([jobnumber],OvalData[],MATCH(Table2[[#Headers],[Bottom Slat Length]],Table2[#Headers],0),0)</f>
        <v>0</v>
      </c>
      <c r="AQ442" s="2">
        <f>VLOOKUP([jobnumber],OvalData[],MATCH(Table2[[#Headers],[Number of Perferated Slats]],Table2[#Headers],0),0)</f>
        <v>0</v>
      </c>
      <c r="AR442" s="2">
        <f>VLOOKUP([jobnumber],OvalData[],MATCH(Table2[[#Headers],[First Preferated Slat From End]],Table2[#Headers],0),0)</f>
        <v>0</v>
      </c>
      <c r="AS442" s="2">
        <f>VLOOKUP([jobnumber],OvalData[],MATCH(Table2[[#Headers],[First Preferated Slat From Bottom]],Table2[#Headers],0),0)</f>
        <v>0</v>
      </c>
      <c r="AT442" s="2">
        <f>VLOOKUP([jobnumber],OvalData[],MATCH(Table2[[#Headers],[Total Number of Slats]],Table2[#Headers],0),0)</f>
        <v>51</v>
      </c>
      <c r="AU442" s="2">
        <f>VLOOKUP([jobnumber],OvalData[],MATCH(Table2[[#Headers],[Bottom Bar Slope]],Table2[#Headers],0),0)</f>
        <v>0</v>
      </c>
      <c r="AV442" s="2">
        <f>VLOOKUP([jobnumber],OvalData[],MATCH(Table2[[#Headers],[Bottom Bar Weight]],Table2[#Headers],0),0)</f>
        <v>80.5</v>
      </c>
      <c r="AW442" s="2" t="str">
        <f>VLOOKUP([jobnumber],OvalData[],MATCH(Table2[[#Headers],[Outer Spring Gage]],Table2[#Headers],0),0)</f>
        <v>Null</v>
      </c>
      <c r="AX442" s="2" t="str">
        <f>VLOOKUP([jobnumber],OvalData[],MATCH(Table2[[#Headers],[Outer Spring OD]],Table2[#Headers],0),0)</f>
        <v>Null</v>
      </c>
      <c r="AY442" s="2" t="str">
        <f>VLOOKUP([jobnumber],OvalData[],MATCH(Table2[[#Headers],[Outer Spring Length]],Table2[#Headers],0),0)</f>
        <v>Null</v>
      </c>
      <c r="AZ442" s="2" t="str">
        <f>VLOOKUP([jobnumber],OvalData[],MATCH(Table2[[#Headers],[Outer Spring Stretch]],Table2[#Headers],0),0)</f>
        <v>Null</v>
      </c>
      <c r="BA442" s="2" t="str">
        <f>VLOOKUP([jobnumber],OvalData[],MATCH(Table2[[#Headers],[Outer Spring Torque]],Table2[#Headers],0),0)</f>
        <v>Null</v>
      </c>
      <c r="BB442" s="2" t="str">
        <f>VLOOKUP([jobnumber],OvalData[],MATCH(Table2[[#Headers],[Outer Spring Max Turns]],Table2[#Headers],0),0)</f>
        <v>Null</v>
      </c>
      <c r="BC442" s="2" t="str">
        <f>VLOOKUP([jobnumber],OvalData[],MATCH(Table2[[#Headers],[Outer Spring Weight]],Table2[#Headers],0),0)</f>
        <v>Null</v>
      </c>
      <c r="BD442" s="2" t="str">
        <f>VLOOKUP([jobnumber],OvalData[],MATCH(Table2[[#Headers],[Inner Spring Gage]],Table2[#Headers],0),0)</f>
        <v>Null</v>
      </c>
      <c r="BE442" s="2" t="str">
        <f>VLOOKUP([jobnumber],OvalData[],MATCH(Table2[[#Headers],[Inner Spring OD]],Table2[#Headers],0),0)</f>
        <v>Null</v>
      </c>
      <c r="BF442" s="2" t="str">
        <f>VLOOKUP([jobnumber],OvalData[],MATCH(Table2[[#Headers],[Inner Spring Length]],Table2[#Headers],0),0)</f>
        <v>Null</v>
      </c>
      <c r="BG442" s="2" t="str">
        <f>VLOOKUP([jobnumber],OvalData[],MATCH(Table2[[#Headers],[Inner Spring Stretch]],Table2[#Headers],0),0)</f>
        <v>Null</v>
      </c>
      <c r="BH442" s="2" t="str">
        <f>VLOOKUP([jobnumber],OvalData[],MATCH(Table2[[#Headers],[Inner Spring Torque]],Table2[#Headers],0),0)</f>
        <v>Null</v>
      </c>
      <c r="BI442" s="2" t="str">
        <f>VLOOKUP([jobnumber],OvalData[],MATCH(Table2[[#Headers],[Inner Spring Max Turns]],Table2[#Headers],0),0)</f>
        <v>Null</v>
      </c>
      <c r="BJ442" s="2" t="str">
        <f>VLOOKUP([jobnumber],OvalData[],MATCH(Table2[[#Headers],[Inner Spring Weight]],Table2[#Headers],0),0)</f>
        <v>Null</v>
      </c>
      <c r="BK442" s="2">
        <f>VLOOKUP([jobnumber],OvalData[],MATCH(Table2[[#Headers],[Cycles]],Table2[#Headers],0),0)</f>
        <v>0</v>
      </c>
      <c r="BL442" s="2">
        <f>VLOOKUP([jobnumber],OvalData[],MATCH(Table2[[#Headers],[Total Spring Torque]],Table2[#Headers],0),0)</f>
        <v>0</v>
      </c>
      <c r="BM442" s="2">
        <f>VLOOKUP([jobnumber],OvalData[],MATCH(Table2[[#Headers],[Total Spring Weight]],Table2[#Headers],0),0)</f>
        <v>0</v>
      </c>
      <c r="BN442" s="2">
        <f>VLOOKUP([jobnumber],OvalData[],MATCH(Table2[[#Headers],[Pipe Weight]],Table2[#Headers],0),0)</f>
        <v>688.24239999999998</v>
      </c>
      <c r="BO442" s="2">
        <f>VLOOKUP([jobnumber],OvalData[],MATCH(Table2[[#Headers],[Max Pipe Deflection]],Table2[#Headers],0),0)</f>
        <v>2309</v>
      </c>
      <c r="BP442" s="2">
        <f>VLOOKUP([jobnumber],OvalData[],MATCH(Table2[[#Headers],[Number Non-Insulated Wrap Slats]],Table2[#Headers],0),0)</f>
        <v>0</v>
      </c>
      <c r="BQ442" s="2">
        <f>VLOOKUP([jobnumber],OvalData[],MATCH(Table2[[#Headers],[Number of Insolated Top Slats]],Table2[#Headers],0),0)</f>
        <v>45</v>
      </c>
      <c r="BR442" s="2">
        <f>VLOOKUP([jobnumber],OvalData[],MATCH(Table2[[#Headers],[Insolated Total Slats]],Table2[#Headers],0),0)</f>
        <v>45</v>
      </c>
      <c r="BS442" s="2">
        <f>VLOOKUP([jobnumber],OvalData[],MATCH(Table2[[#Headers],[Number of Slats]],Table2[#Headers],0),0)</f>
        <v>44.69</v>
      </c>
      <c r="BT442" s="2">
        <f>VLOOKUP([jobnumber],OvalData[],MATCH(Table2[[#Headers],[Wrap]],Table2[#Headers],0),0)</f>
        <v>0</v>
      </c>
      <c r="BU442" s="2">
        <f>VLOOKUP([jobnumber],OvalData[],MATCH(Table2[[#Headers],[Wall Angle Thickness]],Table2[#Headers],0),0)</f>
        <v>0</v>
      </c>
      <c r="BV442" s="2">
        <f>VLOOKUP([jobnumber],OvalData[],MATCH(Table2[[#Headers],[windlocks]],Table2[#Headers],0),0)</f>
        <v>0</v>
      </c>
      <c r="BW442" s="2" t="str">
        <f>VLOOKUP([jobnumber],OvalData[],MATCH(Table2[[#Headers],[bottombartype]],Table2[#Headers],0),0)</f>
        <v>SPECIAL</v>
      </c>
      <c r="BX442" s="2">
        <f>VLOOKUP([jobnumber],OvalData[],MATCH(Table2[[#Headers],[endlockweight]],Table2[#Headers],0),0)</f>
        <v>0.17</v>
      </c>
      <c r="BY442" s="2">
        <f>VLOOKUP([jobnumber],OvalData[],MATCH(Table2[[#Headers],[Endlock Total Weight]],Table2[#Headers],0),0)</f>
        <v>7.5972999999999997</v>
      </c>
      <c r="BZ442" s="2">
        <f>VLOOKUP([jobnumber],OvalData[],MATCH(Table2[[#Headers],[Grille Weight]],Table2[#Headers],0),0)</f>
        <v>0</v>
      </c>
      <c r="CA442" s="2">
        <f>VLOOKUP([jobnumber],OvalData[],MATCH(Table2[[#Headers],[barrelrings]],Table2[#Headers],0),0)</f>
        <v>1</v>
      </c>
    </row>
    <row r="443" spans="2:79">
      <c r="B443" s="2" t="str">
        <f>VLOOKUP([jobnumber],OvalData[],MATCH(Table2[[#Headers],[Hand]],Table2[#Headers],0),0)</f>
        <v>RH</v>
      </c>
      <c r="C443" s="2" t="str">
        <f>VLOOKUP([jobnumber],OvalData[],MATCH(Table2[[#Headers],[Model]],Table2[#Headers],0),0)</f>
        <v>SFMPP</v>
      </c>
      <c r="D443" s="2" t="str">
        <f>VLOOKUP([jobnumber],OvalData[],MATCH(Table2[[#Headers],[width]],Table2[#Headers],0),0)</f>
        <v xml:space="preserve"> 18 ft.- 2"</v>
      </c>
      <c r="E443" s="2" t="str">
        <f>VLOOKUP([jobnumber],OvalData[],MATCH(Table2[[#Headers],[stopheight]],Table2[#Headers],0),0)</f>
        <v xml:space="preserve"> 10 ft.- 0"</v>
      </c>
      <c r="F443" s="2" t="str">
        <f>VLOOKUP([jobnumber],OvalData[],MATCH(Table2[[#Headers],[Between Brackets]],Table2[#Headers],0),0)</f>
        <v xml:space="preserve"> 18 ft.- 7 7/ 8"</v>
      </c>
      <c r="G443" s="2" t="str">
        <f>VLOOKUP([jobnumber],OvalData[],MATCH(Table2[[#Headers],[shell]],Table2[#Headers],0),0)</f>
        <v>6 INCH TUBE</v>
      </c>
      <c r="H443" s="2" t="str">
        <f>VLOOKUP([jobnumber],OvalData[],MATCH(Table2[[#Headers],[pipewidth]],Table2[#Headers],0),0)</f>
        <v xml:space="preserve"> 18 ft.- 1 3/ 8"</v>
      </c>
      <c r="I443" s="2">
        <f>VLOOKUP([jobnumber],OvalData[],MATCH(Table2[[#Headers],[Support Tubes]],Table2[#Headers],0),0)</f>
        <v>0</v>
      </c>
      <c r="J443" s="2">
        <f>VLOOKUP([jobnumber],OvalData[],MATCH(Table2[[#Headers],[Upset]],Table2[#Headers],0),0)</f>
        <v>2</v>
      </c>
      <c r="K443" s="2" t="str">
        <f>VLOOKUP([jobnumber],OvalData[],MATCH(Table2[[#Headers],[Guide Type]],Table2[#Headers],0),0)</f>
        <v>SN2-4 5/8-E</v>
      </c>
      <c r="L443" s="2" t="str">
        <f>VLOOKUP([jobnumber],OvalData[],MATCH(Table2[[#Headers],[Wall Angle]],Table2[#Headers],0),0)</f>
        <v xml:space="preserve"> 11 ft.- 8"</v>
      </c>
      <c r="M443" s="2" t="str">
        <f>VLOOKUP([jobnumber],OvalData[],MATCH(Table2[[#Headers],[Middle Angle]],Table2[#Headers],0),0)</f>
        <v xml:space="preserve"> 10 ft.- 4 1/ 2"</v>
      </c>
      <c r="N443" s="2" t="str">
        <f>VLOOKUP([jobnumber],OvalData[],MATCH(Table2[[#Headers],[Front Angle]],Table2[#Headers],0),0)</f>
        <v xml:space="preserve"> 10 ft.- 3"</v>
      </c>
      <c r="O443" s="2">
        <f>VLOOKUP([jobnumber],OvalData[],MATCH(Table2[[#Headers],[Pipe Center Line]],Table2[#Headers],0),0)</f>
        <v>131</v>
      </c>
      <c r="P443" s="2">
        <f>VLOOKUP([jobnumber],OvalData[],MATCH(Table2[[#Headers],[Heat Expansion Gap]],Table2[#Headers],0),0)</f>
        <v>0</v>
      </c>
      <c r="Q443" s="2">
        <f>VLOOKUP([jobnumber],OvalData[],MATCH(Table2[[#Headers],[Hanging Weight Closed]],Table2[#Headers],0),0)</f>
        <v>795</v>
      </c>
      <c r="R443" s="2">
        <f>VLOOKUP([jobnumber],OvalData[],MATCH(Table2[[#Headers],[Hanging Weight Open]],Table2[#Headers],0),0)</f>
        <v>140</v>
      </c>
      <c r="S443" s="2">
        <f>VLOOKUP([jobnumber],OvalData[],MATCH(Table2[[#Headers],[Initial Lever Arm]],Table2[#Headers],0),0)</f>
        <v>4.25</v>
      </c>
      <c r="T443" s="2">
        <f>VLOOKUP([jobnumber],OvalData[],MATCH(Table2[[#Headers],[Turns to Raise]],Table2[#Headers],0),0)</f>
        <v>3.5859999999999999</v>
      </c>
      <c r="U443" s="2">
        <f>VLOOKUP([jobnumber],OvalData[],MATCH(Table2[[#Headers],[Final Lever Arm]],Table2[#Headers],0),0)</f>
        <v>6.37</v>
      </c>
      <c r="V443" s="2">
        <f>VLOOKUP([jobnumber],OvalData[],MATCH(Table2[[#Headers],[Torque Required Closed]],Table2[#Headers],0),0)</f>
        <v>3377.9</v>
      </c>
      <c r="W443" s="2">
        <f>VLOOKUP([jobnumber],OvalData[],MATCH(Table2[[#Headers],[Torque Required Open]],Table2[#Headers],0),0)</f>
        <v>892</v>
      </c>
      <c r="X443" s="2">
        <f>VLOOKUP([jobnumber],OvalData[],MATCH(Table2[[#Headers],[Pre Turns]],Table2[#Headers],0),0)</f>
        <v>1.3332999999999999</v>
      </c>
      <c r="Y443" s="2">
        <f>VLOOKUP([jobnumber],OvalData[],MATCH(Table2[[#Headers],[Required Torque Per Turn]],Table2[#Headers],0),0)</f>
        <v>688</v>
      </c>
      <c r="Z443" s="2">
        <f>VLOOKUP([jobnumber],OvalData[],MATCH(Table2[[#Headers],[Total Turns]],Table2[#Headers],0),0)</f>
        <v>4.91</v>
      </c>
      <c r="AA443" s="2">
        <f>VLOOKUP([jobnumber],OvalData[],MATCH(Table2[[#Headers],[Grille Vision Section]],Table2[#Headers],0),0)</f>
        <v>0</v>
      </c>
      <c r="AB443" s="2">
        <f>VLOOKUP([jobnumber],OvalData[],MATCH(Table2[[#Headers],[Grille Amount]],Table2[#Headers],0),0)</f>
        <v>0</v>
      </c>
      <c r="AC443" s="2">
        <f>VLOOKUP([jobnumber],OvalData[],MATCH(Table2[[#Headers],[Grille Center]],Table2[#Headers],0),0)</f>
        <v>0</v>
      </c>
      <c r="AD443" s="2">
        <f>VLOOKUP([jobnumber],OvalData[],MATCH(Table2[[#Headers],[Grille Pattern]],Table2[#Headers],0),0)</f>
        <v>0</v>
      </c>
      <c r="AE443" s="2">
        <f>VLOOKUP([jobnumber],OvalData[],MATCH(Table2[[#Headers],[Grille First Tube]],Table2[#Headers],0),0)</f>
        <v>0</v>
      </c>
      <c r="AF443" s="2">
        <f>VLOOKUP([jobnumber],OvalData[],MATCH(Table2[[#Headers],[Grille Standard Tube]],Table2[#Headers],0),0)</f>
        <v>0</v>
      </c>
      <c r="AG443" s="2">
        <f>VLOOKUP([jobnumber],OvalData[],MATCH(Table2[[#Headers],[Grille Total Links]],Table2[#Headers],0),0)</f>
        <v>0</v>
      </c>
      <c r="AH443" s="2">
        <f>VLOOKUP([jobnumber],OvalData[],MATCH(Table2[[#Headers],[Grille Rods]],Table2[#Headers],0),0)</f>
        <v>0</v>
      </c>
      <c r="AI443" s="2">
        <f>VLOOKUP([jobnumber],OvalData[],MATCH(Table2[[#Headers],[Grille Rod Length]],Table2[#Headers],0),0)</f>
        <v>0</v>
      </c>
      <c r="AJ443" s="2">
        <f>VLOOKUP([jobnumber],OvalData[],MATCH(Table2[[#Headers],[slattype]],Table2[#Headers],0),0)</f>
        <v>2</v>
      </c>
      <c r="AK443" s="2">
        <f>VLOOKUP([jobnumber],OvalData[],MATCH(Table2[[#Headers],[slatgage]],Table2[#Headers],0),0)</f>
        <v>18</v>
      </c>
      <c r="AL443" s="2">
        <f>VLOOKUP([jobnumber],OvalData[],MATCH(Table2[[#Headers],[Numer of Top Slats]],Table2[#Headers],0),0)</f>
        <v>0</v>
      </c>
      <c r="AM443" s="2">
        <f>VLOOKUP([jobnumber],OvalData[],MATCH(Table2[[#Headers],[Number of Bottom Slats]],Table2[#Headers],0),0)</f>
        <v>0</v>
      </c>
      <c r="AN443" s="2">
        <f>VLOOKUP([jobnumber],OvalData[],MATCH(Table2[[#Headers],[Solid Bottom Height]],Table2[#Headers],0),0)</f>
        <v>0</v>
      </c>
      <c r="AO443" s="2" t="str">
        <f>VLOOKUP([jobnumber],OvalData[],MATCH(Table2[[#Headers],[slatlength]],Table2[#Headers],0),0)</f>
        <v xml:space="preserve"> 18 ft.- 5 7/ 8"</v>
      </c>
      <c r="AP443" s="2">
        <f>VLOOKUP([jobnumber],OvalData[],MATCH(Table2[[#Headers],[Bottom Slat Length]],Table2[#Headers],0),0)</f>
        <v>0</v>
      </c>
      <c r="AQ443" s="2">
        <f>VLOOKUP([jobnumber],OvalData[],MATCH(Table2[[#Headers],[Number of Perferated Slats]],Table2[#Headers],0),0)</f>
        <v>0</v>
      </c>
      <c r="AR443" s="2">
        <f>VLOOKUP([jobnumber],OvalData[],MATCH(Table2[[#Headers],[First Preferated Slat From End]],Table2[#Headers],0),0)</f>
        <v>0</v>
      </c>
      <c r="AS443" s="2">
        <f>VLOOKUP([jobnumber],OvalData[],MATCH(Table2[[#Headers],[First Preferated Slat From Bottom]],Table2[#Headers],0),0)</f>
        <v>0</v>
      </c>
      <c r="AT443" s="2">
        <f>VLOOKUP([jobnumber],OvalData[],MATCH(Table2[[#Headers],[Total Number of Slats]],Table2[#Headers],0),0)</f>
        <v>51</v>
      </c>
      <c r="AU443" s="2">
        <f>VLOOKUP([jobnumber],OvalData[],MATCH(Table2[[#Headers],[Bottom Bar Slope]],Table2[#Headers],0),0)</f>
        <v>0</v>
      </c>
      <c r="AV443" s="2">
        <f>VLOOKUP([jobnumber],OvalData[],MATCH(Table2[[#Headers],[Bottom Bar Weight]],Table2[#Headers],0),0)</f>
        <v>80.5</v>
      </c>
      <c r="AW443" s="2" t="str">
        <f>VLOOKUP([jobnumber],OvalData[],MATCH(Table2[[#Headers],[Outer Spring Gage]],Table2[#Headers],0),0)</f>
        <v>Null</v>
      </c>
      <c r="AX443" s="2" t="str">
        <f>VLOOKUP([jobnumber],OvalData[],MATCH(Table2[[#Headers],[Outer Spring OD]],Table2[#Headers],0),0)</f>
        <v>Null</v>
      </c>
      <c r="AY443" s="2" t="str">
        <f>VLOOKUP([jobnumber],OvalData[],MATCH(Table2[[#Headers],[Outer Spring Length]],Table2[#Headers],0),0)</f>
        <v>Null</v>
      </c>
      <c r="AZ443" s="2" t="str">
        <f>VLOOKUP([jobnumber],OvalData[],MATCH(Table2[[#Headers],[Outer Spring Stretch]],Table2[#Headers],0),0)</f>
        <v>Null</v>
      </c>
      <c r="BA443" s="2" t="str">
        <f>VLOOKUP([jobnumber],OvalData[],MATCH(Table2[[#Headers],[Outer Spring Torque]],Table2[#Headers],0),0)</f>
        <v>Null</v>
      </c>
      <c r="BB443" s="2" t="str">
        <f>VLOOKUP([jobnumber],OvalData[],MATCH(Table2[[#Headers],[Outer Spring Max Turns]],Table2[#Headers],0),0)</f>
        <v>Null</v>
      </c>
      <c r="BC443" s="2" t="str">
        <f>VLOOKUP([jobnumber],OvalData[],MATCH(Table2[[#Headers],[Outer Spring Weight]],Table2[#Headers],0),0)</f>
        <v>Null</v>
      </c>
      <c r="BD443" s="2" t="str">
        <f>VLOOKUP([jobnumber],OvalData[],MATCH(Table2[[#Headers],[Inner Spring Gage]],Table2[#Headers],0),0)</f>
        <v>Null</v>
      </c>
      <c r="BE443" s="2" t="str">
        <f>VLOOKUP([jobnumber],OvalData[],MATCH(Table2[[#Headers],[Inner Spring OD]],Table2[#Headers],0),0)</f>
        <v>Null</v>
      </c>
      <c r="BF443" s="2" t="str">
        <f>VLOOKUP([jobnumber],OvalData[],MATCH(Table2[[#Headers],[Inner Spring Length]],Table2[#Headers],0),0)</f>
        <v>Null</v>
      </c>
      <c r="BG443" s="2" t="str">
        <f>VLOOKUP([jobnumber],OvalData[],MATCH(Table2[[#Headers],[Inner Spring Stretch]],Table2[#Headers],0),0)</f>
        <v>Null</v>
      </c>
      <c r="BH443" s="2" t="str">
        <f>VLOOKUP([jobnumber],OvalData[],MATCH(Table2[[#Headers],[Inner Spring Torque]],Table2[#Headers],0),0)</f>
        <v>Null</v>
      </c>
      <c r="BI443" s="2" t="str">
        <f>VLOOKUP([jobnumber],OvalData[],MATCH(Table2[[#Headers],[Inner Spring Max Turns]],Table2[#Headers],0),0)</f>
        <v>Null</v>
      </c>
      <c r="BJ443" s="2" t="str">
        <f>VLOOKUP([jobnumber],OvalData[],MATCH(Table2[[#Headers],[Inner Spring Weight]],Table2[#Headers],0),0)</f>
        <v>Null</v>
      </c>
      <c r="BK443" s="2">
        <f>VLOOKUP([jobnumber],OvalData[],MATCH(Table2[[#Headers],[Cycles]],Table2[#Headers],0),0)</f>
        <v>0</v>
      </c>
      <c r="BL443" s="2">
        <f>VLOOKUP([jobnumber],OvalData[],MATCH(Table2[[#Headers],[Total Spring Torque]],Table2[#Headers],0),0)</f>
        <v>0</v>
      </c>
      <c r="BM443" s="2">
        <f>VLOOKUP([jobnumber],OvalData[],MATCH(Table2[[#Headers],[Total Spring Weight]],Table2[#Headers],0),0)</f>
        <v>0</v>
      </c>
      <c r="BN443" s="2">
        <f>VLOOKUP([jobnumber],OvalData[],MATCH(Table2[[#Headers],[Pipe Weight]],Table2[#Headers],0),0)</f>
        <v>688.24239999999998</v>
      </c>
      <c r="BO443" s="2">
        <f>VLOOKUP([jobnumber],OvalData[],MATCH(Table2[[#Headers],[Max Pipe Deflection]],Table2[#Headers],0),0)</f>
        <v>2309</v>
      </c>
      <c r="BP443" s="2">
        <f>VLOOKUP([jobnumber],OvalData[],MATCH(Table2[[#Headers],[Number Non-Insulated Wrap Slats]],Table2[#Headers],0),0)</f>
        <v>0</v>
      </c>
      <c r="BQ443" s="2">
        <f>VLOOKUP([jobnumber],OvalData[],MATCH(Table2[[#Headers],[Number of Insolated Top Slats]],Table2[#Headers],0),0)</f>
        <v>45</v>
      </c>
      <c r="BR443" s="2">
        <f>VLOOKUP([jobnumber],OvalData[],MATCH(Table2[[#Headers],[Insolated Total Slats]],Table2[#Headers],0),0)</f>
        <v>45</v>
      </c>
      <c r="BS443" s="2">
        <f>VLOOKUP([jobnumber],OvalData[],MATCH(Table2[[#Headers],[Number of Slats]],Table2[#Headers],0),0)</f>
        <v>44.69</v>
      </c>
      <c r="BT443" s="2">
        <f>VLOOKUP([jobnumber],OvalData[],MATCH(Table2[[#Headers],[Wrap]],Table2[#Headers],0),0)</f>
        <v>0</v>
      </c>
      <c r="BU443" s="2">
        <f>VLOOKUP([jobnumber],OvalData[],MATCH(Table2[[#Headers],[Wall Angle Thickness]],Table2[#Headers],0),0)</f>
        <v>0</v>
      </c>
      <c r="BV443" s="2">
        <f>VLOOKUP([jobnumber],OvalData[],MATCH(Table2[[#Headers],[windlocks]],Table2[#Headers],0),0)</f>
        <v>0</v>
      </c>
      <c r="BW443" s="2" t="str">
        <f>VLOOKUP([jobnumber],OvalData[],MATCH(Table2[[#Headers],[bottombartype]],Table2[#Headers],0),0)</f>
        <v>SPECIAL</v>
      </c>
      <c r="BX443" s="2">
        <f>VLOOKUP([jobnumber],OvalData[],MATCH(Table2[[#Headers],[endlockweight]],Table2[#Headers],0),0)</f>
        <v>0.17</v>
      </c>
      <c r="BY443" s="2">
        <f>VLOOKUP([jobnumber],OvalData[],MATCH(Table2[[#Headers],[Endlock Total Weight]],Table2[#Headers],0),0)</f>
        <v>7.5972999999999997</v>
      </c>
      <c r="BZ443" s="2">
        <f>VLOOKUP([jobnumber],OvalData[],MATCH(Table2[[#Headers],[Grille Weight]],Table2[#Headers],0),0)</f>
        <v>0</v>
      </c>
      <c r="CA443" s="2">
        <f>VLOOKUP([jobnumber],OvalData[],MATCH(Table2[[#Headers],[barrelrings]],Table2[#Headers],0),0)</f>
        <v>1</v>
      </c>
    </row>
    <row r="444" spans="2:79">
      <c r="B444" s="2" t="str">
        <f>VLOOKUP([jobnumber],OvalData[],MATCH(Table2[[#Headers],[Hand]],Table2[#Headers],0),0)</f>
        <v>RH</v>
      </c>
      <c r="C444" s="2" t="str">
        <f>VLOOKUP([jobnumber],OvalData[],MATCH(Table2[[#Headers],[Model]],Table2[#Headers],0),0)</f>
        <v>SFMPP</v>
      </c>
      <c r="D444" s="2" t="str">
        <f>VLOOKUP([jobnumber],OvalData[],MATCH(Table2[[#Headers],[width]],Table2[#Headers],0),0)</f>
        <v xml:space="preserve"> 18 ft.- 2"</v>
      </c>
      <c r="E444" s="2" t="str">
        <f>VLOOKUP([jobnumber],OvalData[],MATCH(Table2[[#Headers],[stopheight]],Table2[#Headers],0),0)</f>
        <v xml:space="preserve"> 10 ft.- 0"</v>
      </c>
      <c r="F444" s="2" t="str">
        <f>VLOOKUP([jobnumber],OvalData[],MATCH(Table2[[#Headers],[Between Brackets]],Table2[#Headers],0),0)</f>
        <v xml:space="preserve"> 18 ft.- 7 7/ 8"</v>
      </c>
      <c r="G444" s="2" t="str">
        <f>VLOOKUP([jobnumber],OvalData[],MATCH(Table2[[#Headers],[shell]],Table2[#Headers],0),0)</f>
        <v>6 INCH TUBE</v>
      </c>
      <c r="H444" s="2" t="str">
        <f>VLOOKUP([jobnumber],OvalData[],MATCH(Table2[[#Headers],[pipewidth]],Table2[#Headers],0),0)</f>
        <v xml:space="preserve"> 18 ft.- 1 3/ 8"</v>
      </c>
      <c r="I444" s="2">
        <f>VLOOKUP([jobnumber],OvalData[],MATCH(Table2[[#Headers],[Support Tubes]],Table2[#Headers],0),0)</f>
        <v>0</v>
      </c>
      <c r="J444" s="2">
        <f>VLOOKUP([jobnumber],OvalData[],MATCH(Table2[[#Headers],[Upset]],Table2[#Headers],0),0)</f>
        <v>2</v>
      </c>
      <c r="K444" s="2" t="str">
        <f>VLOOKUP([jobnumber],OvalData[],MATCH(Table2[[#Headers],[Guide Type]],Table2[#Headers],0),0)</f>
        <v>SN2-4 5/8-E</v>
      </c>
      <c r="L444" s="2" t="str">
        <f>VLOOKUP([jobnumber],OvalData[],MATCH(Table2[[#Headers],[Wall Angle]],Table2[#Headers],0),0)</f>
        <v xml:space="preserve"> 11 ft.- 8"</v>
      </c>
      <c r="M444" s="2" t="str">
        <f>VLOOKUP([jobnumber],OvalData[],MATCH(Table2[[#Headers],[Middle Angle]],Table2[#Headers],0),0)</f>
        <v xml:space="preserve"> 10 ft.- 4 1/ 2"</v>
      </c>
      <c r="N444" s="2" t="str">
        <f>VLOOKUP([jobnumber],OvalData[],MATCH(Table2[[#Headers],[Front Angle]],Table2[#Headers],0),0)</f>
        <v xml:space="preserve"> 10 ft.- 3"</v>
      </c>
      <c r="O444" s="2">
        <f>VLOOKUP([jobnumber],OvalData[],MATCH(Table2[[#Headers],[Pipe Center Line]],Table2[#Headers],0),0)</f>
        <v>131</v>
      </c>
      <c r="P444" s="2">
        <f>VLOOKUP([jobnumber],OvalData[],MATCH(Table2[[#Headers],[Heat Expansion Gap]],Table2[#Headers],0),0)</f>
        <v>0</v>
      </c>
      <c r="Q444" s="2">
        <f>VLOOKUP([jobnumber],OvalData[],MATCH(Table2[[#Headers],[Hanging Weight Closed]],Table2[#Headers],0),0)</f>
        <v>795</v>
      </c>
      <c r="R444" s="2">
        <f>VLOOKUP([jobnumber],OvalData[],MATCH(Table2[[#Headers],[Hanging Weight Open]],Table2[#Headers],0),0)</f>
        <v>140</v>
      </c>
      <c r="S444" s="2">
        <f>VLOOKUP([jobnumber],OvalData[],MATCH(Table2[[#Headers],[Initial Lever Arm]],Table2[#Headers],0),0)</f>
        <v>4.25</v>
      </c>
      <c r="T444" s="2">
        <f>VLOOKUP([jobnumber],OvalData[],MATCH(Table2[[#Headers],[Turns to Raise]],Table2[#Headers],0),0)</f>
        <v>3.5859999999999999</v>
      </c>
      <c r="U444" s="2">
        <f>VLOOKUP([jobnumber],OvalData[],MATCH(Table2[[#Headers],[Final Lever Arm]],Table2[#Headers],0),0)</f>
        <v>6.37</v>
      </c>
      <c r="V444" s="2">
        <f>VLOOKUP([jobnumber],OvalData[],MATCH(Table2[[#Headers],[Torque Required Closed]],Table2[#Headers],0),0)</f>
        <v>3377.9</v>
      </c>
      <c r="W444" s="2">
        <f>VLOOKUP([jobnumber],OvalData[],MATCH(Table2[[#Headers],[Torque Required Open]],Table2[#Headers],0),0)</f>
        <v>892</v>
      </c>
      <c r="X444" s="2">
        <f>VLOOKUP([jobnumber],OvalData[],MATCH(Table2[[#Headers],[Pre Turns]],Table2[#Headers],0),0)</f>
        <v>1.3332999999999999</v>
      </c>
      <c r="Y444" s="2">
        <f>VLOOKUP([jobnumber],OvalData[],MATCH(Table2[[#Headers],[Required Torque Per Turn]],Table2[#Headers],0),0)</f>
        <v>688</v>
      </c>
      <c r="Z444" s="2">
        <f>VLOOKUP([jobnumber],OvalData[],MATCH(Table2[[#Headers],[Total Turns]],Table2[#Headers],0),0)</f>
        <v>4.91</v>
      </c>
      <c r="AA444" s="2">
        <f>VLOOKUP([jobnumber],OvalData[],MATCH(Table2[[#Headers],[Grille Vision Section]],Table2[#Headers],0),0)</f>
        <v>0</v>
      </c>
      <c r="AB444" s="2">
        <f>VLOOKUP([jobnumber],OvalData[],MATCH(Table2[[#Headers],[Grille Amount]],Table2[#Headers],0),0)</f>
        <v>0</v>
      </c>
      <c r="AC444" s="2">
        <f>VLOOKUP([jobnumber],OvalData[],MATCH(Table2[[#Headers],[Grille Center]],Table2[#Headers],0),0)</f>
        <v>0</v>
      </c>
      <c r="AD444" s="2">
        <f>VLOOKUP([jobnumber],OvalData[],MATCH(Table2[[#Headers],[Grille Pattern]],Table2[#Headers],0),0)</f>
        <v>0</v>
      </c>
      <c r="AE444" s="2">
        <f>VLOOKUP([jobnumber],OvalData[],MATCH(Table2[[#Headers],[Grille First Tube]],Table2[#Headers],0),0)</f>
        <v>0</v>
      </c>
      <c r="AF444" s="2">
        <f>VLOOKUP([jobnumber],OvalData[],MATCH(Table2[[#Headers],[Grille Standard Tube]],Table2[#Headers],0),0)</f>
        <v>0</v>
      </c>
      <c r="AG444" s="2">
        <f>VLOOKUP([jobnumber],OvalData[],MATCH(Table2[[#Headers],[Grille Total Links]],Table2[#Headers],0),0)</f>
        <v>0</v>
      </c>
      <c r="AH444" s="2">
        <f>VLOOKUP([jobnumber],OvalData[],MATCH(Table2[[#Headers],[Grille Rods]],Table2[#Headers],0),0)</f>
        <v>0</v>
      </c>
      <c r="AI444" s="2">
        <f>VLOOKUP([jobnumber],OvalData[],MATCH(Table2[[#Headers],[Grille Rod Length]],Table2[#Headers],0),0)</f>
        <v>0</v>
      </c>
      <c r="AJ444" s="2">
        <f>VLOOKUP([jobnumber],OvalData[],MATCH(Table2[[#Headers],[slattype]],Table2[#Headers],0),0)</f>
        <v>2</v>
      </c>
      <c r="AK444" s="2">
        <f>VLOOKUP([jobnumber],OvalData[],MATCH(Table2[[#Headers],[slatgage]],Table2[#Headers],0),0)</f>
        <v>18</v>
      </c>
      <c r="AL444" s="2">
        <f>VLOOKUP([jobnumber],OvalData[],MATCH(Table2[[#Headers],[Numer of Top Slats]],Table2[#Headers],0),0)</f>
        <v>0</v>
      </c>
      <c r="AM444" s="2">
        <f>VLOOKUP([jobnumber],OvalData[],MATCH(Table2[[#Headers],[Number of Bottom Slats]],Table2[#Headers],0),0)</f>
        <v>0</v>
      </c>
      <c r="AN444" s="2">
        <f>VLOOKUP([jobnumber],OvalData[],MATCH(Table2[[#Headers],[Solid Bottom Height]],Table2[#Headers],0),0)</f>
        <v>0</v>
      </c>
      <c r="AO444" s="2" t="str">
        <f>VLOOKUP([jobnumber],OvalData[],MATCH(Table2[[#Headers],[slatlength]],Table2[#Headers],0),0)</f>
        <v xml:space="preserve"> 18 ft.- 5 7/ 8"</v>
      </c>
      <c r="AP444" s="2">
        <f>VLOOKUP([jobnumber],OvalData[],MATCH(Table2[[#Headers],[Bottom Slat Length]],Table2[#Headers],0),0)</f>
        <v>0</v>
      </c>
      <c r="AQ444" s="2">
        <f>VLOOKUP([jobnumber],OvalData[],MATCH(Table2[[#Headers],[Number of Perferated Slats]],Table2[#Headers],0),0)</f>
        <v>0</v>
      </c>
      <c r="AR444" s="2">
        <f>VLOOKUP([jobnumber],OvalData[],MATCH(Table2[[#Headers],[First Preferated Slat From End]],Table2[#Headers],0),0)</f>
        <v>0</v>
      </c>
      <c r="AS444" s="2">
        <f>VLOOKUP([jobnumber],OvalData[],MATCH(Table2[[#Headers],[First Preferated Slat From Bottom]],Table2[#Headers],0),0)</f>
        <v>0</v>
      </c>
      <c r="AT444" s="2">
        <f>VLOOKUP([jobnumber],OvalData[],MATCH(Table2[[#Headers],[Total Number of Slats]],Table2[#Headers],0),0)</f>
        <v>51</v>
      </c>
      <c r="AU444" s="2">
        <f>VLOOKUP([jobnumber],OvalData[],MATCH(Table2[[#Headers],[Bottom Bar Slope]],Table2[#Headers],0),0)</f>
        <v>0</v>
      </c>
      <c r="AV444" s="2">
        <f>VLOOKUP([jobnumber],OvalData[],MATCH(Table2[[#Headers],[Bottom Bar Weight]],Table2[#Headers],0),0)</f>
        <v>80.5</v>
      </c>
      <c r="AW444" s="2" t="str">
        <f>VLOOKUP([jobnumber],OvalData[],MATCH(Table2[[#Headers],[Outer Spring Gage]],Table2[#Headers],0),0)</f>
        <v>Null</v>
      </c>
      <c r="AX444" s="2" t="str">
        <f>VLOOKUP([jobnumber],OvalData[],MATCH(Table2[[#Headers],[Outer Spring OD]],Table2[#Headers],0),0)</f>
        <v>Null</v>
      </c>
      <c r="AY444" s="2" t="str">
        <f>VLOOKUP([jobnumber],OvalData[],MATCH(Table2[[#Headers],[Outer Spring Length]],Table2[#Headers],0),0)</f>
        <v>Null</v>
      </c>
      <c r="AZ444" s="2" t="str">
        <f>VLOOKUP([jobnumber],OvalData[],MATCH(Table2[[#Headers],[Outer Spring Stretch]],Table2[#Headers],0),0)</f>
        <v>Null</v>
      </c>
      <c r="BA444" s="2" t="str">
        <f>VLOOKUP([jobnumber],OvalData[],MATCH(Table2[[#Headers],[Outer Spring Torque]],Table2[#Headers],0),0)</f>
        <v>Null</v>
      </c>
      <c r="BB444" s="2" t="str">
        <f>VLOOKUP([jobnumber],OvalData[],MATCH(Table2[[#Headers],[Outer Spring Max Turns]],Table2[#Headers],0),0)</f>
        <v>Null</v>
      </c>
      <c r="BC444" s="2" t="str">
        <f>VLOOKUP([jobnumber],OvalData[],MATCH(Table2[[#Headers],[Outer Spring Weight]],Table2[#Headers],0),0)</f>
        <v>Null</v>
      </c>
      <c r="BD444" s="2" t="str">
        <f>VLOOKUP([jobnumber],OvalData[],MATCH(Table2[[#Headers],[Inner Spring Gage]],Table2[#Headers],0),0)</f>
        <v>Null</v>
      </c>
      <c r="BE444" s="2" t="str">
        <f>VLOOKUP([jobnumber],OvalData[],MATCH(Table2[[#Headers],[Inner Spring OD]],Table2[#Headers],0),0)</f>
        <v>Null</v>
      </c>
      <c r="BF444" s="2" t="str">
        <f>VLOOKUP([jobnumber],OvalData[],MATCH(Table2[[#Headers],[Inner Spring Length]],Table2[#Headers],0),0)</f>
        <v>Null</v>
      </c>
      <c r="BG444" s="2" t="str">
        <f>VLOOKUP([jobnumber],OvalData[],MATCH(Table2[[#Headers],[Inner Spring Stretch]],Table2[#Headers],0),0)</f>
        <v>Null</v>
      </c>
      <c r="BH444" s="2" t="str">
        <f>VLOOKUP([jobnumber],OvalData[],MATCH(Table2[[#Headers],[Inner Spring Torque]],Table2[#Headers],0),0)</f>
        <v>Null</v>
      </c>
      <c r="BI444" s="2" t="str">
        <f>VLOOKUP([jobnumber],OvalData[],MATCH(Table2[[#Headers],[Inner Spring Max Turns]],Table2[#Headers],0),0)</f>
        <v>Null</v>
      </c>
      <c r="BJ444" s="2" t="str">
        <f>VLOOKUP([jobnumber],OvalData[],MATCH(Table2[[#Headers],[Inner Spring Weight]],Table2[#Headers],0),0)</f>
        <v>Null</v>
      </c>
      <c r="BK444" s="2">
        <f>VLOOKUP([jobnumber],OvalData[],MATCH(Table2[[#Headers],[Cycles]],Table2[#Headers],0),0)</f>
        <v>0</v>
      </c>
      <c r="BL444" s="2">
        <f>VLOOKUP([jobnumber],OvalData[],MATCH(Table2[[#Headers],[Total Spring Torque]],Table2[#Headers],0),0)</f>
        <v>0</v>
      </c>
      <c r="BM444" s="2">
        <f>VLOOKUP([jobnumber],OvalData[],MATCH(Table2[[#Headers],[Total Spring Weight]],Table2[#Headers],0),0)</f>
        <v>0</v>
      </c>
      <c r="BN444" s="2">
        <f>VLOOKUP([jobnumber],OvalData[],MATCH(Table2[[#Headers],[Pipe Weight]],Table2[#Headers],0),0)</f>
        <v>688.24239999999998</v>
      </c>
      <c r="BO444" s="2">
        <f>VLOOKUP([jobnumber],OvalData[],MATCH(Table2[[#Headers],[Max Pipe Deflection]],Table2[#Headers],0),0)</f>
        <v>2309</v>
      </c>
      <c r="BP444" s="2">
        <f>VLOOKUP([jobnumber],OvalData[],MATCH(Table2[[#Headers],[Number Non-Insulated Wrap Slats]],Table2[#Headers],0),0)</f>
        <v>0</v>
      </c>
      <c r="BQ444" s="2">
        <f>VLOOKUP([jobnumber],OvalData[],MATCH(Table2[[#Headers],[Number of Insolated Top Slats]],Table2[#Headers],0),0)</f>
        <v>45</v>
      </c>
      <c r="BR444" s="2">
        <f>VLOOKUP([jobnumber],OvalData[],MATCH(Table2[[#Headers],[Insolated Total Slats]],Table2[#Headers],0),0)</f>
        <v>45</v>
      </c>
      <c r="BS444" s="2">
        <f>VLOOKUP([jobnumber],OvalData[],MATCH(Table2[[#Headers],[Number of Slats]],Table2[#Headers],0),0)</f>
        <v>44.69</v>
      </c>
      <c r="BT444" s="2">
        <f>VLOOKUP([jobnumber],OvalData[],MATCH(Table2[[#Headers],[Wrap]],Table2[#Headers],0),0)</f>
        <v>0</v>
      </c>
      <c r="BU444" s="2">
        <f>VLOOKUP([jobnumber],OvalData[],MATCH(Table2[[#Headers],[Wall Angle Thickness]],Table2[#Headers],0),0)</f>
        <v>0</v>
      </c>
      <c r="BV444" s="2">
        <f>VLOOKUP([jobnumber],OvalData[],MATCH(Table2[[#Headers],[windlocks]],Table2[#Headers],0),0)</f>
        <v>0</v>
      </c>
      <c r="BW444" s="2" t="str">
        <f>VLOOKUP([jobnumber],OvalData[],MATCH(Table2[[#Headers],[bottombartype]],Table2[#Headers],0),0)</f>
        <v>SPECIAL</v>
      </c>
      <c r="BX444" s="2">
        <f>VLOOKUP([jobnumber],OvalData[],MATCH(Table2[[#Headers],[endlockweight]],Table2[#Headers],0),0)</f>
        <v>0.17</v>
      </c>
      <c r="BY444" s="2">
        <f>VLOOKUP([jobnumber],OvalData[],MATCH(Table2[[#Headers],[Endlock Total Weight]],Table2[#Headers],0),0)</f>
        <v>7.5972999999999997</v>
      </c>
      <c r="BZ444" s="2">
        <f>VLOOKUP([jobnumber],OvalData[],MATCH(Table2[[#Headers],[Grille Weight]],Table2[#Headers],0),0)</f>
        <v>0</v>
      </c>
      <c r="CA444" s="2">
        <f>VLOOKUP([jobnumber],OvalData[],MATCH(Table2[[#Headers],[barrelrings]],Table2[#Headers],0),0)</f>
        <v>1</v>
      </c>
    </row>
    <row r="445" spans="2:79">
      <c r="B445" s="2" t="str">
        <f>VLOOKUP([jobnumber],OvalData[],MATCH(Table2[[#Headers],[Hand]],Table2[#Headers],0),0)</f>
        <v>RH</v>
      </c>
      <c r="C445" s="2" t="str">
        <f>VLOOKUP([jobnumber],OvalData[],MATCH(Table2[[#Headers],[Model]],Table2[#Headers],0),0)</f>
        <v>SFMPP</v>
      </c>
      <c r="D445" s="2" t="str">
        <f>VLOOKUP([jobnumber],OvalData[],MATCH(Table2[[#Headers],[width]],Table2[#Headers],0),0)</f>
        <v xml:space="preserve"> 18 ft.- 2"</v>
      </c>
      <c r="E445" s="2" t="str">
        <f>VLOOKUP([jobnumber],OvalData[],MATCH(Table2[[#Headers],[stopheight]],Table2[#Headers],0),0)</f>
        <v xml:space="preserve"> 10 ft.- 0"</v>
      </c>
      <c r="F445" s="2" t="str">
        <f>VLOOKUP([jobnumber],OvalData[],MATCH(Table2[[#Headers],[Between Brackets]],Table2[#Headers],0),0)</f>
        <v xml:space="preserve"> 18 ft.- 7 7/ 8"</v>
      </c>
      <c r="G445" s="2" t="str">
        <f>VLOOKUP([jobnumber],OvalData[],MATCH(Table2[[#Headers],[shell]],Table2[#Headers],0),0)</f>
        <v>6 INCH TUBE</v>
      </c>
      <c r="H445" s="2" t="str">
        <f>VLOOKUP([jobnumber],OvalData[],MATCH(Table2[[#Headers],[pipewidth]],Table2[#Headers],0),0)</f>
        <v xml:space="preserve"> 18 ft.- 1 3/ 8"</v>
      </c>
      <c r="I445" s="2">
        <f>VLOOKUP([jobnumber],OvalData[],MATCH(Table2[[#Headers],[Support Tubes]],Table2[#Headers],0),0)</f>
        <v>0</v>
      </c>
      <c r="J445" s="2">
        <f>VLOOKUP([jobnumber],OvalData[],MATCH(Table2[[#Headers],[Upset]],Table2[#Headers],0),0)</f>
        <v>2</v>
      </c>
      <c r="K445" s="2" t="str">
        <f>VLOOKUP([jobnumber],OvalData[],MATCH(Table2[[#Headers],[Guide Type]],Table2[#Headers],0),0)</f>
        <v>SN2-4 5/8-E</v>
      </c>
      <c r="L445" s="2" t="str">
        <f>VLOOKUP([jobnumber],OvalData[],MATCH(Table2[[#Headers],[Wall Angle]],Table2[#Headers],0),0)</f>
        <v xml:space="preserve"> 11 ft.- 8"</v>
      </c>
      <c r="M445" s="2" t="str">
        <f>VLOOKUP([jobnumber],OvalData[],MATCH(Table2[[#Headers],[Middle Angle]],Table2[#Headers],0),0)</f>
        <v xml:space="preserve"> 10 ft.- 4 1/ 2"</v>
      </c>
      <c r="N445" s="2" t="str">
        <f>VLOOKUP([jobnumber],OvalData[],MATCH(Table2[[#Headers],[Front Angle]],Table2[#Headers],0),0)</f>
        <v xml:space="preserve"> 10 ft.- 3"</v>
      </c>
      <c r="O445" s="2">
        <f>VLOOKUP([jobnumber],OvalData[],MATCH(Table2[[#Headers],[Pipe Center Line]],Table2[#Headers],0),0)</f>
        <v>131</v>
      </c>
      <c r="P445" s="2">
        <f>VLOOKUP([jobnumber],OvalData[],MATCH(Table2[[#Headers],[Heat Expansion Gap]],Table2[#Headers],0),0)</f>
        <v>0</v>
      </c>
      <c r="Q445" s="2">
        <f>VLOOKUP([jobnumber],OvalData[],MATCH(Table2[[#Headers],[Hanging Weight Closed]],Table2[#Headers],0),0)</f>
        <v>795</v>
      </c>
      <c r="R445" s="2">
        <f>VLOOKUP([jobnumber],OvalData[],MATCH(Table2[[#Headers],[Hanging Weight Open]],Table2[#Headers],0),0)</f>
        <v>140</v>
      </c>
      <c r="S445" s="2">
        <f>VLOOKUP([jobnumber],OvalData[],MATCH(Table2[[#Headers],[Initial Lever Arm]],Table2[#Headers],0),0)</f>
        <v>4.25</v>
      </c>
      <c r="T445" s="2">
        <f>VLOOKUP([jobnumber],OvalData[],MATCH(Table2[[#Headers],[Turns to Raise]],Table2[#Headers],0),0)</f>
        <v>3.5859999999999999</v>
      </c>
      <c r="U445" s="2">
        <f>VLOOKUP([jobnumber],OvalData[],MATCH(Table2[[#Headers],[Final Lever Arm]],Table2[#Headers],0),0)</f>
        <v>6.37</v>
      </c>
      <c r="V445" s="2">
        <f>VLOOKUP([jobnumber],OvalData[],MATCH(Table2[[#Headers],[Torque Required Closed]],Table2[#Headers],0),0)</f>
        <v>3377.9</v>
      </c>
      <c r="W445" s="2">
        <f>VLOOKUP([jobnumber],OvalData[],MATCH(Table2[[#Headers],[Torque Required Open]],Table2[#Headers],0),0)</f>
        <v>892</v>
      </c>
      <c r="X445" s="2">
        <f>VLOOKUP([jobnumber],OvalData[],MATCH(Table2[[#Headers],[Pre Turns]],Table2[#Headers],0),0)</f>
        <v>1.3332999999999999</v>
      </c>
      <c r="Y445" s="2">
        <f>VLOOKUP([jobnumber],OvalData[],MATCH(Table2[[#Headers],[Required Torque Per Turn]],Table2[#Headers],0),0)</f>
        <v>688</v>
      </c>
      <c r="Z445" s="2">
        <f>VLOOKUP([jobnumber],OvalData[],MATCH(Table2[[#Headers],[Total Turns]],Table2[#Headers],0),0)</f>
        <v>4.91</v>
      </c>
      <c r="AA445" s="2">
        <f>VLOOKUP([jobnumber],OvalData[],MATCH(Table2[[#Headers],[Grille Vision Section]],Table2[#Headers],0),0)</f>
        <v>0</v>
      </c>
      <c r="AB445" s="2">
        <f>VLOOKUP([jobnumber],OvalData[],MATCH(Table2[[#Headers],[Grille Amount]],Table2[#Headers],0),0)</f>
        <v>0</v>
      </c>
      <c r="AC445" s="2">
        <f>VLOOKUP([jobnumber],OvalData[],MATCH(Table2[[#Headers],[Grille Center]],Table2[#Headers],0),0)</f>
        <v>0</v>
      </c>
      <c r="AD445" s="2">
        <f>VLOOKUP([jobnumber],OvalData[],MATCH(Table2[[#Headers],[Grille Pattern]],Table2[#Headers],0),0)</f>
        <v>0</v>
      </c>
      <c r="AE445" s="2">
        <f>VLOOKUP([jobnumber],OvalData[],MATCH(Table2[[#Headers],[Grille First Tube]],Table2[#Headers],0),0)</f>
        <v>0</v>
      </c>
      <c r="AF445" s="2">
        <f>VLOOKUP([jobnumber],OvalData[],MATCH(Table2[[#Headers],[Grille Standard Tube]],Table2[#Headers],0),0)</f>
        <v>0</v>
      </c>
      <c r="AG445" s="2">
        <f>VLOOKUP([jobnumber],OvalData[],MATCH(Table2[[#Headers],[Grille Total Links]],Table2[#Headers],0),0)</f>
        <v>0</v>
      </c>
      <c r="AH445" s="2">
        <f>VLOOKUP([jobnumber],OvalData[],MATCH(Table2[[#Headers],[Grille Rods]],Table2[#Headers],0),0)</f>
        <v>0</v>
      </c>
      <c r="AI445" s="2">
        <f>VLOOKUP([jobnumber],OvalData[],MATCH(Table2[[#Headers],[Grille Rod Length]],Table2[#Headers],0),0)</f>
        <v>0</v>
      </c>
      <c r="AJ445" s="2">
        <f>VLOOKUP([jobnumber],OvalData[],MATCH(Table2[[#Headers],[slattype]],Table2[#Headers],0),0)</f>
        <v>2</v>
      </c>
      <c r="AK445" s="2">
        <f>VLOOKUP([jobnumber],OvalData[],MATCH(Table2[[#Headers],[slatgage]],Table2[#Headers],0),0)</f>
        <v>18</v>
      </c>
      <c r="AL445" s="2">
        <f>VLOOKUP([jobnumber],OvalData[],MATCH(Table2[[#Headers],[Numer of Top Slats]],Table2[#Headers],0),0)</f>
        <v>0</v>
      </c>
      <c r="AM445" s="2">
        <f>VLOOKUP([jobnumber],OvalData[],MATCH(Table2[[#Headers],[Number of Bottom Slats]],Table2[#Headers],0),0)</f>
        <v>0</v>
      </c>
      <c r="AN445" s="2">
        <f>VLOOKUP([jobnumber],OvalData[],MATCH(Table2[[#Headers],[Solid Bottom Height]],Table2[#Headers],0),0)</f>
        <v>0</v>
      </c>
      <c r="AO445" s="2" t="str">
        <f>VLOOKUP([jobnumber],OvalData[],MATCH(Table2[[#Headers],[slatlength]],Table2[#Headers],0),0)</f>
        <v xml:space="preserve"> 18 ft.- 5 7/ 8"</v>
      </c>
      <c r="AP445" s="2">
        <f>VLOOKUP([jobnumber],OvalData[],MATCH(Table2[[#Headers],[Bottom Slat Length]],Table2[#Headers],0),0)</f>
        <v>0</v>
      </c>
      <c r="AQ445" s="2">
        <f>VLOOKUP([jobnumber],OvalData[],MATCH(Table2[[#Headers],[Number of Perferated Slats]],Table2[#Headers],0),0)</f>
        <v>0</v>
      </c>
      <c r="AR445" s="2">
        <f>VLOOKUP([jobnumber],OvalData[],MATCH(Table2[[#Headers],[First Preferated Slat From End]],Table2[#Headers],0),0)</f>
        <v>0</v>
      </c>
      <c r="AS445" s="2">
        <f>VLOOKUP([jobnumber],OvalData[],MATCH(Table2[[#Headers],[First Preferated Slat From Bottom]],Table2[#Headers],0),0)</f>
        <v>0</v>
      </c>
      <c r="AT445" s="2">
        <f>VLOOKUP([jobnumber],OvalData[],MATCH(Table2[[#Headers],[Total Number of Slats]],Table2[#Headers],0),0)</f>
        <v>51</v>
      </c>
      <c r="AU445" s="2">
        <f>VLOOKUP([jobnumber],OvalData[],MATCH(Table2[[#Headers],[Bottom Bar Slope]],Table2[#Headers],0),0)</f>
        <v>0</v>
      </c>
      <c r="AV445" s="2">
        <f>VLOOKUP([jobnumber],OvalData[],MATCH(Table2[[#Headers],[Bottom Bar Weight]],Table2[#Headers],0),0)</f>
        <v>80.5</v>
      </c>
      <c r="AW445" s="2" t="str">
        <f>VLOOKUP([jobnumber],OvalData[],MATCH(Table2[[#Headers],[Outer Spring Gage]],Table2[#Headers],0),0)</f>
        <v>Null</v>
      </c>
      <c r="AX445" s="2" t="str">
        <f>VLOOKUP([jobnumber],OvalData[],MATCH(Table2[[#Headers],[Outer Spring OD]],Table2[#Headers],0),0)</f>
        <v>Null</v>
      </c>
      <c r="AY445" s="2" t="str">
        <f>VLOOKUP([jobnumber],OvalData[],MATCH(Table2[[#Headers],[Outer Spring Length]],Table2[#Headers],0),0)</f>
        <v>Null</v>
      </c>
      <c r="AZ445" s="2" t="str">
        <f>VLOOKUP([jobnumber],OvalData[],MATCH(Table2[[#Headers],[Outer Spring Stretch]],Table2[#Headers],0),0)</f>
        <v>Null</v>
      </c>
      <c r="BA445" s="2" t="str">
        <f>VLOOKUP([jobnumber],OvalData[],MATCH(Table2[[#Headers],[Outer Spring Torque]],Table2[#Headers],0),0)</f>
        <v>Null</v>
      </c>
      <c r="BB445" s="2" t="str">
        <f>VLOOKUP([jobnumber],OvalData[],MATCH(Table2[[#Headers],[Outer Spring Max Turns]],Table2[#Headers],0),0)</f>
        <v>Null</v>
      </c>
      <c r="BC445" s="2" t="str">
        <f>VLOOKUP([jobnumber],OvalData[],MATCH(Table2[[#Headers],[Outer Spring Weight]],Table2[#Headers],0),0)</f>
        <v>Null</v>
      </c>
      <c r="BD445" s="2" t="str">
        <f>VLOOKUP([jobnumber],OvalData[],MATCH(Table2[[#Headers],[Inner Spring Gage]],Table2[#Headers],0),0)</f>
        <v>Null</v>
      </c>
      <c r="BE445" s="2" t="str">
        <f>VLOOKUP([jobnumber],OvalData[],MATCH(Table2[[#Headers],[Inner Spring OD]],Table2[#Headers],0),0)</f>
        <v>Null</v>
      </c>
      <c r="BF445" s="2" t="str">
        <f>VLOOKUP([jobnumber],OvalData[],MATCH(Table2[[#Headers],[Inner Spring Length]],Table2[#Headers],0),0)</f>
        <v>Null</v>
      </c>
      <c r="BG445" s="2" t="str">
        <f>VLOOKUP([jobnumber],OvalData[],MATCH(Table2[[#Headers],[Inner Spring Stretch]],Table2[#Headers],0),0)</f>
        <v>Null</v>
      </c>
      <c r="BH445" s="2" t="str">
        <f>VLOOKUP([jobnumber],OvalData[],MATCH(Table2[[#Headers],[Inner Spring Torque]],Table2[#Headers],0),0)</f>
        <v>Null</v>
      </c>
      <c r="BI445" s="2" t="str">
        <f>VLOOKUP([jobnumber],OvalData[],MATCH(Table2[[#Headers],[Inner Spring Max Turns]],Table2[#Headers],0),0)</f>
        <v>Null</v>
      </c>
      <c r="BJ445" s="2" t="str">
        <f>VLOOKUP([jobnumber],OvalData[],MATCH(Table2[[#Headers],[Inner Spring Weight]],Table2[#Headers],0),0)</f>
        <v>Null</v>
      </c>
      <c r="BK445" s="2">
        <f>VLOOKUP([jobnumber],OvalData[],MATCH(Table2[[#Headers],[Cycles]],Table2[#Headers],0),0)</f>
        <v>0</v>
      </c>
      <c r="BL445" s="2">
        <f>VLOOKUP([jobnumber],OvalData[],MATCH(Table2[[#Headers],[Total Spring Torque]],Table2[#Headers],0),0)</f>
        <v>0</v>
      </c>
      <c r="BM445" s="2">
        <f>VLOOKUP([jobnumber],OvalData[],MATCH(Table2[[#Headers],[Total Spring Weight]],Table2[#Headers],0),0)</f>
        <v>0</v>
      </c>
      <c r="BN445" s="2">
        <f>VLOOKUP([jobnumber],OvalData[],MATCH(Table2[[#Headers],[Pipe Weight]],Table2[#Headers],0),0)</f>
        <v>688.24239999999998</v>
      </c>
      <c r="BO445" s="2">
        <f>VLOOKUP([jobnumber],OvalData[],MATCH(Table2[[#Headers],[Max Pipe Deflection]],Table2[#Headers],0),0)</f>
        <v>2309</v>
      </c>
      <c r="BP445" s="2">
        <f>VLOOKUP([jobnumber],OvalData[],MATCH(Table2[[#Headers],[Number Non-Insulated Wrap Slats]],Table2[#Headers],0),0)</f>
        <v>0</v>
      </c>
      <c r="BQ445" s="2">
        <f>VLOOKUP([jobnumber],OvalData[],MATCH(Table2[[#Headers],[Number of Insolated Top Slats]],Table2[#Headers],0),0)</f>
        <v>45</v>
      </c>
      <c r="BR445" s="2">
        <f>VLOOKUP([jobnumber],OvalData[],MATCH(Table2[[#Headers],[Insolated Total Slats]],Table2[#Headers],0),0)</f>
        <v>45</v>
      </c>
      <c r="BS445" s="2">
        <f>VLOOKUP([jobnumber],OvalData[],MATCH(Table2[[#Headers],[Number of Slats]],Table2[#Headers],0),0)</f>
        <v>44.69</v>
      </c>
      <c r="BT445" s="2">
        <f>VLOOKUP([jobnumber],OvalData[],MATCH(Table2[[#Headers],[Wrap]],Table2[#Headers],0),0)</f>
        <v>0</v>
      </c>
      <c r="BU445" s="2">
        <f>VLOOKUP([jobnumber],OvalData[],MATCH(Table2[[#Headers],[Wall Angle Thickness]],Table2[#Headers],0),0)</f>
        <v>0</v>
      </c>
      <c r="BV445" s="2">
        <f>VLOOKUP([jobnumber],OvalData[],MATCH(Table2[[#Headers],[windlocks]],Table2[#Headers],0),0)</f>
        <v>0</v>
      </c>
      <c r="BW445" s="2" t="str">
        <f>VLOOKUP([jobnumber],OvalData[],MATCH(Table2[[#Headers],[bottombartype]],Table2[#Headers],0),0)</f>
        <v>SPECIAL</v>
      </c>
      <c r="BX445" s="2">
        <f>VLOOKUP([jobnumber],OvalData[],MATCH(Table2[[#Headers],[endlockweight]],Table2[#Headers],0),0)</f>
        <v>0.17</v>
      </c>
      <c r="BY445" s="2">
        <f>VLOOKUP([jobnumber],OvalData[],MATCH(Table2[[#Headers],[Endlock Total Weight]],Table2[#Headers],0),0)</f>
        <v>7.5972999999999997</v>
      </c>
      <c r="BZ445" s="2">
        <f>VLOOKUP([jobnumber],OvalData[],MATCH(Table2[[#Headers],[Grille Weight]],Table2[#Headers],0),0)</f>
        <v>0</v>
      </c>
      <c r="CA445" s="2">
        <f>VLOOKUP([jobnumber],OvalData[],MATCH(Table2[[#Headers],[barrelrings]],Table2[#Headers],0),0)</f>
        <v>1</v>
      </c>
    </row>
    <row r="446" spans="2:79">
      <c r="B446" s="2" t="str">
        <f>VLOOKUP([jobnumber],OvalData[],MATCH(Table2[[#Headers],[Hand]],Table2[#Headers],0),0)</f>
        <v>RH</v>
      </c>
      <c r="C446" s="2" t="str">
        <f>VLOOKUP([jobnumber],OvalData[],MATCH(Table2[[#Headers],[Model]],Table2[#Headers],0),0)</f>
        <v>SFMPP</v>
      </c>
      <c r="D446" s="2" t="str">
        <f>VLOOKUP([jobnumber],OvalData[],MATCH(Table2[[#Headers],[width]],Table2[#Headers],0),0)</f>
        <v xml:space="preserve"> 18 ft.- 2"</v>
      </c>
      <c r="E446" s="2" t="str">
        <f>VLOOKUP([jobnumber],OvalData[],MATCH(Table2[[#Headers],[stopheight]],Table2[#Headers],0),0)</f>
        <v xml:space="preserve"> 10 ft.- 0"</v>
      </c>
      <c r="F446" s="2" t="str">
        <f>VLOOKUP([jobnumber],OvalData[],MATCH(Table2[[#Headers],[Between Brackets]],Table2[#Headers],0),0)</f>
        <v xml:space="preserve"> 18 ft.- 7 7/ 8"</v>
      </c>
      <c r="G446" s="2" t="str">
        <f>VLOOKUP([jobnumber],OvalData[],MATCH(Table2[[#Headers],[shell]],Table2[#Headers],0),0)</f>
        <v>6 INCH TUBE</v>
      </c>
      <c r="H446" s="2" t="str">
        <f>VLOOKUP([jobnumber],OvalData[],MATCH(Table2[[#Headers],[pipewidth]],Table2[#Headers],0),0)</f>
        <v xml:space="preserve"> 18 ft.- 1 3/ 8"</v>
      </c>
      <c r="I446" s="2">
        <f>VLOOKUP([jobnumber],OvalData[],MATCH(Table2[[#Headers],[Support Tubes]],Table2[#Headers],0),0)</f>
        <v>0</v>
      </c>
      <c r="J446" s="2">
        <f>VLOOKUP([jobnumber],OvalData[],MATCH(Table2[[#Headers],[Upset]],Table2[#Headers],0),0)</f>
        <v>2</v>
      </c>
      <c r="K446" s="2" t="str">
        <f>VLOOKUP([jobnumber],OvalData[],MATCH(Table2[[#Headers],[Guide Type]],Table2[#Headers],0),0)</f>
        <v>SN2-4 5/8-E</v>
      </c>
      <c r="L446" s="2" t="str">
        <f>VLOOKUP([jobnumber],OvalData[],MATCH(Table2[[#Headers],[Wall Angle]],Table2[#Headers],0),0)</f>
        <v xml:space="preserve"> 11 ft.- 8"</v>
      </c>
      <c r="M446" s="2" t="str">
        <f>VLOOKUP([jobnumber],OvalData[],MATCH(Table2[[#Headers],[Middle Angle]],Table2[#Headers],0),0)</f>
        <v xml:space="preserve"> 10 ft.- 4 1/ 2"</v>
      </c>
      <c r="N446" s="2" t="str">
        <f>VLOOKUP([jobnumber],OvalData[],MATCH(Table2[[#Headers],[Front Angle]],Table2[#Headers],0),0)</f>
        <v xml:space="preserve"> 10 ft.- 3"</v>
      </c>
      <c r="O446" s="2">
        <f>VLOOKUP([jobnumber],OvalData[],MATCH(Table2[[#Headers],[Pipe Center Line]],Table2[#Headers],0),0)</f>
        <v>131</v>
      </c>
      <c r="P446" s="2">
        <f>VLOOKUP([jobnumber],OvalData[],MATCH(Table2[[#Headers],[Heat Expansion Gap]],Table2[#Headers],0),0)</f>
        <v>0</v>
      </c>
      <c r="Q446" s="2">
        <f>VLOOKUP([jobnumber],OvalData[],MATCH(Table2[[#Headers],[Hanging Weight Closed]],Table2[#Headers],0),0)</f>
        <v>795</v>
      </c>
      <c r="R446" s="2">
        <f>VLOOKUP([jobnumber],OvalData[],MATCH(Table2[[#Headers],[Hanging Weight Open]],Table2[#Headers],0),0)</f>
        <v>140</v>
      </c>
      <c r="S446" s="2">
        <f>VLOOKUP([jobnumber],OvalData[],MATCH(Table2[[#Headers],[Initial Lever Arm]],Table2[#Headers],0),0)</f>
        <v>4.25</v>
      </c>
      <c r="T446" s="2">
        <f>VLOOKUP([jobnumber],OvalData[],MATCH(Table2[[#Headers],[Turns to Raise]],Table2[#Headers],0),0)</f>
        <v>3.5859999999999999</v>
      </c>
      <c r="U446" s="2">
        <f>VLOOKUP([jobnumber],OvalData[],MATCH(Table2[[#Headers],[Final Lever Arm]],Table2[#Headers],0),0)</f>
        <v>6.37</v>
      </c>
      <c r="V446" s="2">
        <f>VLOOKUP([jobnumber],OvalData[],MATCH(Table2[[#Headers],[Torque Required Closed]],Table2[#Headers],0),0)</f>
        <v>3377.9</v>
      </c>
      <c r="W446" s="2">
        <f>VLOOKUP([jobnumber],OvalData[],MATCH(Table2[[#Headers],[Torque Required Open]],Table2[#Headers],0),0)</f>
        <v>892</v>
      </c>
      <c r="X446" s="2">
        <f>VLOOKUP([jobnumber],OvalData[],MATCH(Table2[[#Headers],[Pre Turns]],Table2[#Headers],0),0)</f>
        <v>1.3332999999999999</v>
      </c>
      <c r="Y446" s="2">
        <f>VLOOKUP([jobnumber],OvalData[],MATCH(Table2[[#Headers],[Required Torque Per Turn]],Table2[#Headers],0),0)</f>
        <v>688</v>
      </c>
      <c r="Z446" s="2">
        <f>VLOOKUP([jobnumber],OvalData[],MATCH(Table2[[#Headers],[Total Turns]],Table2[#Headers],0),0)</f>
        <v>4.91</v>
      </c>
      <c r="AA446" s="2">
        <f>VLOOKUP([jobnumber],OvalData[],MATCH(Table2[[#Headers],[Grille Vision Section]],Table2[#Headers],0),0)</f>
        <v>0</v>
      </c>
      <c r="AB446" s="2">
        <f>VLOOKUP([jobnumber],OvalData[],MATCH(Table2[[#Headers],[Grille Amount]],Table2[#Headers],0),0)</f>
        <v>0</v>
      </c>
      <c r="AC446" s="2">
        <f>VLOOKUP([jobnumber],OvalData[],MATCH(Table2[[#Headers],[Grille Center]],Table2[#Headers],0),0)</f>
        <v>0</v>
      </c>
      <c r="AD446" s="2">
        <f>VLOOKUP([jobnumber],OvalData[],MATCH(Table2[[#Headers],[Grille Pattern]],Table2[#Headers],0),0)</f>
        <v>0</v>
      </c>
      <c r="AE446" s="2">
        <f>VLOOKUP([jobnumber],OvalData[],MATCH(Table2[[#Headers],[Grille First Tube]],Table2[#Headers],0),0)</f>
        <v>0</v>
      </c>
      <c r="AF446" s="2">
        <f>VLOOKUP([jobnumber],OvalData[],MATCH(Table2[[#Headers],[Grille Standard Tube]],Table2[#Headers],0),0)</f>
        <v>0</v>
      </c>
      <c r="AG446" s="2">
        <f>VLOOKUP([jobnumber],OvalData[],MATCH(Table2[[#Headers],[Grille Total Links]],Table2[#Headers],0),0)</f>
        <v>0</v>
      </c>
      <c r="AH446" s="2">
        <f>VLOOKUP([jobnumber],OvalData[],MATCH(Table2[[#Headers],[Grille Rods]],Table2[#Headers],0),0)</f>
        <v>0</v>
      </c>
      <c r="AI446" s="2">
        <f>VLOOKUP([jobnumber],OvalData[],MATCH(Table2[[#Headers],[Grille Rod Length]],Table2[#Headers],0),0)</f>
        <v>0</v>
      </c>
      <c r="AJ446" s="2">
        <f>VLOOKUP([jobnumber],OvalData[],MATCH(Table2[[#Headers],[slattype]],Table2[#Headers],0),0)</f>
        <v>2</v>
      </c>
      <c r="AK446" s="2">
        <f>VLOOKUP([jobnumber],OvalData[],MATCH(Table2[[#Headers],[slatgage]],Table2[#Headers],0),0)</f>
        <v>18</v>
      </c>
      <c r="AL446" s="2">
        <f>VLOOKUP([jobnumber],OvalData[],MATCH(Table2[[#Headers],[Numer of Top Slats]],Table2[#Headers],0),0)</f>
        <v>0</v>
      </c>
      <c r="AM446" s="2">
        <f>VLOOKUP([jobnumber],OvalData[],MATCH(Table2[[#Headers],[Number of Bottom Slats]],Table2[#Headers],0),0)</f>
        <v>0</v>
      </c>
      <c r="AN446" s="2">
        <f>VLOOKUP([jobnumber],OvalData[],MATCH(Table2[[#Headers],[Solid Bottom Height]],Table2[#Headers],0),0)</f>
        <v>0</v>
      </c>
      <c r="AO446" s="2" t="str">
        <f>VLOOKUP([jobnumber],OvalData[],MATCH(Table2[[#Headers],[slatlength]],Table2[#Headers],0),0)</f>
        <v xml:space="preserve"> 18 ft.- 5 7/ 8"</v>
      </c>
      <c r="AP446" s="2">
        <f>VLOOKUP([jobnumber],OvalData[],MATCH(Table2[[#Headers],[Bottom Slat Length]],Table2[#Headers],0),0)</f>
        <v>0</v>
      </c>
      <c r="AQ446" s="2">
        <f>VLOOKUP([jobnumber],OvalData[],MATCH(Table2[[#Headers],[Number of Perferated Slats]],Table2[#Headers],0),0)</f>
        <v>0</v>
      </c>
      <c r="AR446" s="2">
        <f>VLOOKUP([jobnumber],OvalData[],MATCH(Table2[[#Headers],[First Preferated Slat From End]],Table2[#Headers],0),0)</f>
        <v>0</v>
      </c>
      <c r="AS446" s="2">
        <f>VLOOKUP([jobnumber],OvalData[],MATCH(Table2[[#Headers],[First Preferated Slat From Bottom]],Table2[#Headers],0),0)</f>
        <v>0</v>
      </c>
      <c r="AT446" s="2">
        <f>VLOOKUP([jobnumber],OvalData[],MATCH(Table2[[#Headers],[Total Number of Slats]],Table2[#Headers],0),0)</f>
        <v>51</v>
      </c>
      <c r="AU446" s="2">
        <f>VLOOKUP([jobnumber],OvalData[],MATCH(Table2[[#Headers],[Bottom Bar Slope]],Table2[#Headers],0),0)</f>
        <v>0</v>
      </c>
      <c r="AV446" s="2">
        <f>VLOOKUP([jobnumber],OvalData[],MATCH(Table2[[#Headers],[Bottom Bar Weight]],Table2[#Headers],0),0)</f>
        <v>80.5</v>
      </c>
      <c r="AW446" s="2" t="str">
        <f>VLOOKUP([jobnumber],OvalData[],MATCH(Table2[[#Headers],[Outer Spring Gage]],Table2[#Headers],0),0)</f>
        <v>Null</v>
      </c>
      <c r="AX446" s="2" t="str">
        <f>VLOOKUP([jobnumber],OvalData[],MATCH(Table2[[#Headers],[Outer Spring OD]],Table2[#Headers],0),0)</f>
        <v>Null</v>
      </c>
      <c r="AY446" s="2" t="str">
        <f>VLOOKUP([jobnumber],OvalData[],MATCH(Table2[[#Headers],[Outer Spring Length]],Table2[#Headers],0),0)</f>
        <v>Null</v>
      </c>
      <c r="AZ446" s="2" t="str">
        <f>VLOOKUP([jobnumber],OvalData[],MATCH(Table2[[#Headers],[Outer Spring Stretch]],Table2[#Headers],0),0)</f>
        <v>Null</v>
      </c>
      <c r="BA446" s="2" t="str">
        <f>VLOOKUP([jobnumber],OvalData[],MATCH(Table2[[#Headers],[Outer Spring Torque]],Table2[#Headers],0),0)</f>
        <v>Null</v>
      </c>
      <c r="BB446" s="2" t="str">
        <f>VLOOKUP([jobnumber],OvalData[],MATCH(Table2[[#Headers],[Outer Spring Max Turns]],Table2[#Headers],0),0)</f>
        <v>Null</v>
      </c>
      <c r="BC446" s="2" t="str">
        <f>VLOOKUP([jobnumber],OvalData[],MATCH(Table2[[#Headers],[Outer Spring Weight]],Table2[#Headers],0),0)</f>
        <v>Null</v>
      </c>
      <c r="BD446" s="2" t="str">
        <f>VLOOKUP([jobnumber],OvalData[],MATCH(Table2[[#Headers],[Inner Spring Gage]],Table2[#Headers],0),0)</f>
        <v>Null</v>
      </c>
      <c r="BE446" s="2" t="str">
        <f>VLOOKUP([jobnumber],OvalData[],MATCH(Table2[[#Headers],[Inner Spring OD]],Table2[#Headers],0),0)</f>
        <v>Null</v>
      </c>
      <c r="BF446" s="2" t="str">
        <f>VLOOKUP([jobnumber],OvalData[],MATCH(Table2[[#Headers],[Inner Spring Length]],Table2[#Headers],0),0)</f>
        <v>Null</v>
      </c>
      <c r="BG446" s="2" t="str">
        <f>VLOOKUP([jobnumber],OvalData[],MATCH(Table2[[#Headers],[Inner Spring Stretch]],Table2[#Headers],0),0)</f>
        <v>Null</v>
      </c>
      <c r="BH446" s="2" t="str">
        <f>VLOOKUP([jobnumber],OvalData[],MATCH(Table2[[#Headers],[Inner Spring Torque]],Table2[#Headers],0),0)</f>
        <v>Null</v>
      </c>
      <c r="BI446" s="2" t="str">
        <f>VLOOKUP([jobnumber],OvalData[],MATCH(Table2[[#Headers],[Inner Spring Max Turns]],Table2[#Headers],0),0)</f>
        <v>Null</v>
      </c>
      <c r="BJ446" s="2" t="str">
        <f>VLOOKUP([jobnumber],OvalData[],MATCH(Table2[[#Headers],[Inner Spring Weight]],Table2[#Headers],0),0)</f>
        <v>Null</v>
      </c>
      <c r="BK446" s="2">
        <f>VLOOKUP([jobnumber],OvalData[],MATCH(Table2[[#Headers],[Cycles]],Table2[#Headers],0),0)</f>
        <v>0</v>
      </c>
      <c r="BL446" s="2">
        <f>VLOOKUP([jobnumber],OvalData[],MATCH(Table2[[#Headers],[Total Spring Torque]],Table2[#Headers],0),0)</f>
        <v>0</v>
      </c>
      <c r="BM446" s="2">
        <f>VLOOKUP([jobnumber],OvalData[],MATCH(Table2[[#Headers],[Total Spring Weight]],Table2[#Headers],0),0)</f>
        <v>0</v>
      </c>
      <c r="BN446" s="2">
        <f>VLOOKUP([jobnumber],OvalData[],MATCH(Table2[[#Headers],[Pipe Weight]],Table2[#Headers],0),0)</f>
        <v>688.24239999999998</v>
      </c>
      <c r="BO446" s="2">
        <f>VLOOKUP([jobnumber],OvalData[],MATCH(Table2[[#Headers],[Max Pipe Deflection]],Table2[#Headers],0),0)</f>
        <v>2309</v>
      </c>
      <c r="BP446" s="2">
        <f>VLOOKUP([jobnumber],OvalData[],MATCH(Table2[[#Headers],[Number Non-Insulated Wrap Slats]],Table2[#Headers],0),0)</f>
        <v>0</v>
      </c>
      <c r="BQ446" s="2">
        <f>VLOOKUP([jobnumber],OvalData[],MATCH(Table2[[#Headers],[Number of Insolated Top Slats]],Table2[#Headers],0),0)</f>
        <v>45</v>
      </c>
      <c r="BR446" s="2">
        <f>VLOOKUP([jobnumber],OvalData[],MATCH(Table2[[#Headers],[Insolated Total Slats]],Table2[#Headers],0),0)</f>
        <v>45</v>
      </c>
      <c r="BS446" s="2">
        <f>VLOOKUP([jobnumber],OvalData[],MATCH(Table2[[#Headers],[Number of Slats]],Table2[#Headers],0),0)</f>
        <v>44.69</v>
      </c>
      <c r="BT446" s="2">
        <f>VLOOKUP([jobnumber],OvalData[],MATCH(Table2[[#Headers],[Wrap]],Table2[#Headers],0),0)</f>
        <v>0</v>
      </c>
      <c r="BU446" s="2">
        <f>VLOOKUP([jobnumber],OvalData[],MATCH(Table2[[#Headers],[Wall Angle Thickness]],Table2[#Headers],0),0)</f>
        <v>0</v>
      </c>
      <c r="BV446" s="2">
        <f>VLOOKUP([jobnumber],OvalData[],MATCH(Table2[[#Headers],[windlocks]],Table2[#Headers],0),0)</f>
        <v>0</v>
      </c>
      <c r="BW446" s="2" t="str">
        <f>VLOOKUP([jobnumber],OvalData[],MATCH(Table2[[#Headers],[bottombartype]],Table2[#Headers],0),0)</f>
        <v>SPECIAL</v>
      </c>
      <c r="BX446" s="2">
        <f>VLOOKUP([jobnumber],OvalData[],MATCH(Table2[[#Headers],[endlockweight]],Table2[#Headers],0),0)</f>
        <v>0.17</v>
      </c>
      <c r="BY446" s="2">
        <f>VLOOKUP([jobnumber],OvalData[],MATCH(Table2[[#Headers],[Endlock Total Weight]],Table2[#Headers],0),0)</f>
        <v>7.5972999999999997</v>
      </c>
      <c r="BZ446" s="2">
        <f>VLOOKUP([jobnumber],OvalData[],MATCH(Table2[[#Headers],[Grille Weight]],Table2[#Headers],0),0)</f>
        <v>0</v>
      </c>
      <c r="CA446" s="2">
        <f>VLOOKUP([jobnumber],OvalData[],MATCH(Table2[[#Headers],[barrelrings]],Table2[#Headers],0),0)</f>
        <v>1</v>
      </c>
    </row>
    <row r="447" spans="2:79">
      <c r="B447" s="2" t="str">
        <f>VLOOKUP([jobnumber],OvalData[],MATCH(Table2[[#Headers],[Hand]],Table2[#Headers],0),0)</f>
        <v>RH</v>
      </c>
      <c r="C447" s="2" t="str">
        <f>VLOOKUP([jobnumber],OvalData[],MATCH(Table2[[#Headers],[Model]],Table2[#Headers],0),0)</f>
        <v>SFMPP</v>
      </c>
      <c r="D447" s="2" t="str">
        <f>VLOOKUP([jobnumber],OvalData[],MATCH(Table2[[#Headers],[width]],Table2[#Headers],0),0)</f>
        <v xml:space="preserve"> 18 ft.- 2"</v>
      </c>
      <c r="E447" s="2" t="str">
        <f>VLOOKUP([jobnumber],OvalData[],MATCH(Table2[[#Headers],[stopheight]],Table2[#Headers],0),0)</f>
        <v xml:space="preserve"> 10 ft.- 0"</v>
      </c>
      <c r="F447" s="2" t="str">
        <f>VLOOKUP([jobnumber],OvalData[],MATCH(Table2[[#Headers],[Between Brackets]],Table2[#Headers],0),0)</f>
        <v xml:space="preserve"> 18 ft.- 7 7/ 8"</v>
      </c>
      <c r="G447" s="2" t="str">
        <f>VLOOKUP([jobnumber],OvalData[],MATCH(Table2[[#Headers],[shell]],Table2[#Headers],0),0)</f>
        <v>6 INCH TUBE</v>
      </c>
      <c r="H447" s="2" t="str">
        <f>VLOOKUP([jobnumber],OvalData[],MATCH(Table2[[#Headers],[pipewidth]],Table2[#Headers],0),0)</f>
        <v xml:space="preserve"> 18 ft.- 1 3/ 8"</v>
      </c>
      <c r="I447" s="2">
        <f>VLOOKUP([jobnumber],OvalData[],MATCH(Table2[[#Headers],[Support Tubes]],Table2[#Headers],0),0)</f>
        <v>0</v>
      </c>
      <c r="J447" s="2">
        <f>VLOOKUP([jobnumber],OvalData[],MATCH(Table2[[#Headers],[Upset]],Table2[#Headers],0),0)</f>
        <v>2</v>
      </c>
      <c r="K447" s="2" t="str">
        <f>VLOOKUP([jobnumber],OvalData[],MATCH(Table2[[#Headers],[Guide Type]],Table2[#Headers],0),0)</f>
        <v>SN2-4 5/8-E</v>
      </c>
      <c r="L447" s="2" t="str">
        <f>VLOOKUP([jobnumber],OvalData[],MATCH(Table2[[#Headers],[Wall Angle]],Table2[#Headers],0),0)</f>
        <v xml:space="preserve"> 11 ft.- 8"</v>
      </c>
      <c r="M447" s="2" t="str">
        <f>VLOOKUP([jobnumber],OvalData[],MATCH(Table2[[#Headers],[Middle Angle]],Table2[#Headers],0),0)</f>
        <v xml:space="preserve"> 10 ft.- 4 1/ 2"</v>
      </c>
      <c r="N447" s="2" t="str">
        <f>VLOOKUP([jobnumber],OvalData[],MATCH(Table2[[#Headers],[Front Angle]],Table2[#Headers],0),0)</f>
        <v xml:space="preserve"> 10 ft.- 3"</v>
      </c>
      <c r="O447" s="2">
        <f>VLOOKUP([jobnumber],OvalData[],MATCH(Table2[[#Headers],[Pipe Center Line]],Table2[#Headers],0),0)</f>
        <v>131</v>
      </c>
      <c r="P447" s="2">
        <f>VLOOKUP([jobnumber],OvalData[],MATCH(Table2[[#Headers],[Heat Expansion Gap]],Table2[#Headers],0),0)</f>
        <v>0</v>
      </c>
      <c r="Q447" s="2">
        <f>VLOOKUP([jobnumber],OvalData[],MATCH(Table2[[#Headers],[Hanging Weight Closed]],Table2[#Headers],0),0)</f>
        <v>795</v>
      </c>
      <c r="R447" s="2">
        <f>VLOOKUP([jobnumber],OvalData[],MATCH(Table2[[#Headers],[Hanging Weight Open]],Table2[#Headers],0),0)</f>
        <v>140</v>
      </c>
      <c r="S447" s="2">
        <f>VLOOKUP([jobnumber],OvalData[],MATCH(Table2[[#Headers],[Initial Lever Arm]],Table2[#Headers],0),0)</f>
        <v>4.25</v>
      </c>
      <c r="T447" s="2">
        <f>VLOOKUP([jobnumber],OvalData[],MATCH(Table2[[#Headers],[Turns to Raise]],Table2[#Headers],0),0)</f>
        <v>3.5859999999999999</v>
      </c>
      <c r="U447" s="2">
        <f>VLOOKUP([jobnumber],OvalData[],MATCH(Table2[[#Headers],[Final Lever Arm]],Table2[#Headers],0),0)</f>
        <v>6.37</v>
      </c>
      <c r="V447" s="2">
        <f>VLOOKUP([jobnumber],OvalData[],MATCH(Table2[[#Headers],[Torque Required Closed]],Table2[#Headers],0),0)</f>
        <v>3377.9</v>
      </c>
      <c r="W447" s="2">
        <f>VLOOKUP([jobnumber],OvalData[],MATCH(Table2[[#Headers],[Torque Required Open]],Table2[#Headers],0),0)</f>
        <v>892</v>
      </c>
      <c r="X447" s="2">
        <f>VLOOKUP([jobnumber],OvalData[],MATCH(Table2[[#Headers],[Pre Turns]],Table2[#Headers],0),0)</f>
        <v>1.3332999999999999</v>
      </c>
      <c r="Y447" s="2">
        <f>VLOOKUP([jobnumber],OvalData[],MATCH(Table2[[#Headers],[Required Torque Per Turn]],Table2[#Headers],0),0)</f>
        <v>688</v>
      </c>
      <c r="Z447" s="2">
        <f>VLOOKUP([jobnumber],OvalData[],MATCH(Table2[[#Headers],[Total Turns]],Table2[#Headers],0),0)</f>
        <v>4.91</v>
      </c>
      <c r="AA447" s="2">
        <f>VLOOKUP([jobnumber],OvalData[],MATCH(Table2[[#Headers],[Grille Vision Section]],Table2[#Headers],0),0)</f>
        <v>0</v>
      </c>
      <c r="AB447" s="2">
        <f>VLOOKUP([jobnumber],OvalData[],MATCH(Table2[[#Headers],[Grille Amount]],Table2[#Headers],0),0)</f>
        <v>0</v>
      </c>
      <c r="AC447" s="2">
        <f>VLOOKUP([jobnumber],OvalData[],MATCH(Table2[[#Headers],[Grille Center]],Table2[#Headers],0),0)</f>
        <v>0</v>
      </c>
      <c r="AD447" s="2">
        <f>VLOOKUP([jobnumber],OvalData[],MATCH(Table2[[#Headers],[Grille Pattern]],Table2[#Headers],0),0)</f>
        <v>0</v>
      </c>
      <c r="AE447" s="2">
        <f>VLOOKUP([jobnumber],OvalData[],MATCH(Table2[[#Headers],[Grille First Tube]],Table2[#Headers],0),0)</f>
        <v>0</v>
      </c>
      <c r="AF447" s="2">
        <f>VLOOKUP([jobnumber],OvalData[],MATCH(Table2[[#Headers],[Grille Standard Tube]],Table2[#Headers],0),0)</f>
        <v>0</v>
      </c>
      <c r="AG447" s="2">
        <f>VLOOKUP([jobnumber],OvalData[],MATCH(Table2[[#Headers],[Grille Total Links]],Table2[#Headers],0),0)</f>
        <v>0</v>
      </c>
      <c r="AH447" s="2">
        <f>VLOOKUP([jobnumber],OvalData[],MATCH(Table2[[#Headers],[Grille Rods]],Table2[#Headers],0),0)</f>
        <v>0</v>
      </c>
      <c r="AI447" s="2">
        <f>VLOOKUP([jobnumber],OvalData[],MATCH(Table2[[#Headers],[Grille Rod Length]],Table2[#Headers],0),0)</f>
        <v>0</v>
      </c>
      <c r="AJ447" s="2">
        <f>VLOOKUP([jobnumber],OvalData[],MATCH(Table2[[#Headers],[slattype]],Table2[#Headers],0),0)</f>
        <v>2</v>
      </c>
      <c r="AK447" s="2">
        <f>VLOOKUP([jobnumber],OvalData[],MATCH(Table2[[#Headers],[slatgage]],Table2[#Headers],0),0)</f>
        <v>18</v>
      </c>
      <c r="AL447" s="2">
        <f>VLOOKUP([jobnumber],OvalData[],MATCH(Table2[[#Headers],[Numer of Top Slats]],Table2[#Headers],0),0)</f>
        <v>0</v>
      </c>
      <c r="AM447" s="2">
        <f>VLOOKUP([jobnumber],OvalData[],MATCH(Table2[[#Headers],[Number of Bottom Slats]],Table2[#Headers],0),0)</f>
        <v>0</v>
      </c>
      <c r="AN447" s="2">
        <f>VLOOKUP([jobnumber],OvalData[],MATCH(Table2[[#Headers],[Solid Bottom Height]],Table2[#Headers],0),0)</f>
        <v>0</v>
      </c>
      <c r="AO447" s="2" t="str">
        <f>VLOOKUP([jobnumber],OvalData[],MATCH(Table2[[#Headers],[slatlength]],Table2[#Headers],0),0)</f>
        <v xml:space="preserve"> 18 ft.- 5 7/ 8"</v>
      </c>
      <c r="AP447" s="2">
        <f>VLOOKUP([jobnumber],OvalData[],MATCH(Table2[[#Headers],[Bottom Slat Length]],Table2[#Headers],0),0)</f>
        <v>0</v>
      </c>
      <c r="AQ447" s="2">
        <f>VLOOKUP([jobnumber],OvalData[],MATCH(Table2[[#Headers],[Number of Perferated Slats]],Table2[#Headers],0),0)</f>
        <v>0</v>
      </c>
      <c r="AR447" s="2">
        <f>VLOOKUP([jobnumber],OvalData[],MATCH(Table2[[#Headers],[First Preferated Slat From End]],Table2[#Headers],0),0)</f>
        <v>0</v>
      </c>
      <c r="AS447" s="2">
        <f>VLOOKUP([jobnumber],OvalData[],MATCH(Table2[[#Headers],[First Preferated Slat From Bottom]],Table2[#Headers],0),0)</f>
        <v>0</v>
      </c>
      <c r="AT447" s="2">
        <f>VLOOKUP([jobnumber],OvalData[],MATCH(Table2[[#Headers],[Total Number of Slats]],Table2[#Headers],0),0)</f>
        <v>51</v>
      </c>
      <c r="AU447" s="2">
        <f>VLOOKUP([jobnumber],OvalData[],MATCH(Table2[[#Headers],[Bottom Bar Slope]],Table2[#Headers],0),0)</f>
        <v>0</v>
      </c>
      <c r="AV447" s="2">
        <f>VLOOKUP([jobnumber],OvalData[],MATCH(Table2[[#Headers],[Bottom Bar Weight]],Table2[#Headers],0),0)</f>
        <v>80.5</v>
      </c>
      <c r="AW447" s="2" t="str">
        <f>VLOOKUP([jobnumber],OvalData[],MATCH(Table2[[#Headers],[Outer Spring Gage]],Table2[#Headers],0),0)</f>
        <v>Null</v>
      </c>
      <c r="AX447" s="2" t="str">
        <f>VLOOKUP([jobnumber],OvalData[],MATCH(Table2[[#Headers],[Outer Spring OD]],Table2[#Headers],0),0)</f>
        <v>Null</v>
      </c>
      <c r="AY447" s="2" t="str">
        <f>VLOOKUP([jobnumber],OvalData[],MATCH(Table2[[#Headers],[Outer Spring Length]],Table2[#Headers],0),0)</f>
        <v>Null</v>
      </c>
      <c r="AZ447" s="2" t="str">
        <f>VLOOKUP([jobnumber],OvalData[],MATCH(Table2[[#Headers],[Outer Spring Stretch]],Table2[#Headers],0),0)</f>
        <v>Null</v>
      </c>
      <c r="BA447" s="2" t="str">
        <f>VLOOKUP([jobnumber],OvalData[],MATCH(Table2[[#Headers],[Outer Spring Torque]],Table2[#Headers],0),0)</f>
        <v>Null</v>
      </c>
      <c r="BB447" s="2" t="str">
        <f>VLOOKUP([jobnumber],OvalData[],MATCH(Table2[[#Headers],[Outer Spring Max Turns]],Table2[#Headers],0),0)</f>
        <v>Null</v>
      </c>
      <c r="BC447" s="2" t="str">
        <f>VLOOKUP([jobnumber],OvalData[],MATCH(Table2[[#Headers],[Outer Spring Weight]],Table2[#Headers],0),0)</f>
        <v>Null</v>
      </c>
      <c r="BD447" s="2" t="str">
        <f>VLOOKUP([jobnumber],OvalData[],MATCH(Table2[[#Headers],[Inner Spring Gage]],Table2[#Headers],0),0)</f>
        <v>Null</v>
      </c>
      <c r="BE447" s="2" t="str">
        <f>VLOOKUP([jobnumber],OvalData[],MATCH(Table2[[#Headers],[Inner Spring OD]],Table2[#Headers],0),0)</f>
        <v>Null</v>
      </c>
      <c r="BF447" s="2" t="str">
        <f>VLOOKUP([jobnumber],OvalData[],MATCH(Table2[[#Headers],[Inner Spring Length]],Table2[#Headers],0),0)</f>
        <v>Null</v>
      </c>
      <c r="BG447" s="2" t="str">
        <f>VLOOKUP([jobnumber],OvalData[],MATCH(Table2[[#Headers],[Inner Spring Stretch]],Table2[#Headers],0),0)</f>
        <v>Null</v>
      </c>
      <c r="BH447" s="2" t="str">
        <f>VLOOKUP([jobnumber],OvalData[],MATCH(Table2[[#Headers],[Inner Spring Torque]],Table2[#Headers],0),0)</f>
        <v>Null</v>
      </c>
      <c r="BI447" s="2" t="str">
        <f>VLOOKUP([jobnumber],OvalData[],MATCH(Table2[[#Headers],[Inner Spring Max Turns]],Table2[#Headers],0),0)</f>
        <v>Null</v>
      </c>
      <c r="BJ447" s="2" t="str">
        <f>VLOOKUP([jobnumber],OvalData[],MATCH(Table2[[#Headers],[Inner Spring Weight]],Table2[#Headers],0),0)</f>
        <v>Null</v>
      </c>
      <c r="BK447" s="2">
        <f>VLOOKUP([jobnumber],OvalData[],MATCH(Table2[[#Headers],[Cycles]],Table2[#Headers],0),0)</f>
        <v>0</v>
      </c>
      <c r="BL447" s="2">
        <f>VLOOKUP([jobnumber],OvalData[],MATCH(Table2[[#Headers],[Total Spring Torque]],Table2[#Headers],0),0)</f>
        <v>0</v>
      </c>
      <c r="BM447" s="2">
        <f>VLOOKUP([jobnumber],OvalData[],MATCH(Table2[[#Headers],[Total Spring Weight]],Table2[#Headers],0),0)</f>
        <v>0</v>
      </c>
      <c r="BN447" s="2">
        <f>VLOOKUP([jobnumber],OvalData[],MATCH(Table2[[#Headers],[Pipe Weight]],Table2[#Headers],0),0)</f>
        <v>688.24239999999998</v>
      </c>
      <c r="BO447" s="2">
        <f>VLOOKUP([jobnumber],OvalData[],MATCH(Table2[[#Headers],[Max Pipe Deflection]],Table2[#Headers],0),0)</f>
        <v>2309</v>
      </c>
      <c r="BP447" s="2">
        <f>VLOOKUP([jobnumber],OvalData[],MATCH(Table2[[#Headers],[Number Non-Insulated Wrap Slats]],Table2[#Headers],0),0)</f>
        <v>0</v>
      </c>
      <c r="BQ447" s="2">
        <f>VLOOKUP([jobnumber],OvalData[],MATCH(Table2[[#Headers],[Number of Insolated Top Slats]],Table2[#Headers],0),0)</f>
        <v>45</v>
      </c>
      <c r="BR447" s="2">
        <f>VLOOKUP([jobnumber],OvalData[],MATCH(Table2[[#Headers],[Insolated Total Slats]],Table2[#Headers],0),0)</f>
        <v>45</v>
      </c>
      <c r="BS447" s="2">
        <f>VLOOKUP([jobnumber],OvalData[],MATCH(Table2[[#Headers],[Number of Slats]],Table2[#Headers],0),0)</f>
        <v>44.69</v>
      </c>
      <c r="BT447" s="2">
        <f>VLOOKUP([jobnumber],OvalData[],MATCH(Table2[[#Headers],[Wrap]],Table2[#Headers],0),0)</f>
        <v>0</v>
      </c>
      <c r="BU447" s="2">
        <f>VLOOKUP([jobnumber],OvalData[],MATCH(Table2[[#Headers],[Wall Angle Thickness]],Table2[#Headers],0),0)</f>
        <v>0</v>
      </c>
      <c r="BV447" s="2">
        <f>VLOOKUP([jobnumber],OvalData[],MATCH(Table2[[#Headers],[windlocks]],Table2[#Headers],0),0)</f>
        <v>0</v>
      </c>
      <c r="BW447" s="2" t="str">
        <f>VLOOKUP([jobnumber],OvalData[],MATCH(Table2[[#Headers],[bottombartype]],Table2[#Headers],0),0)</f>
        <v>SPECIAL</v>
      </c>
      <c r="BX447" s="2">
        <f>VLOOKUP([jobnumber],OvalData[],MATCH(Table2[[#Headers],[endlockweight]],Table2[#Headers],0),0)</f>
        <v>0.17</v>
      </c>
      <c r="BY447" s="2">
        <f>VLOOKUP([jobnumber],OvalData[],MATCH(Table2[[#Headers],[Endlock Total Weight]],Table2[#Headers],0),0)</f>
        <v>7.5972999999999997</v>
      </c>
      <c r="BZ447" s="2">
        <f>VLOOKUP([jobnumber],OvalData[],MATCH(Table2[[#Headers],[Grille Weight]],Table2[#Headers],0),0)</f>
        <v>0</v>
      </c>
      <c r="CA447" s="2">
        <f>VLOOKUP([jobnumber],OvalData[],MATCH(Table2[[#Headers],[barrelrings]],Table2[#Headers],0),0)</f>
        <v>1</v>
      </c>
    </row>
    <row r="448" spans="2:79">
      <c r="B448" s="2" t="str">
        <f>VLOOKUP([jobnumber],OvalData[],MATCH(Table2[[#Headers],[Hand]],Table2[#Headers],0),0)</f>
        <v>RH</v>
      </c>
      <c r="C448" s="2" t="str">
        <f>VLOOKUP([jobnumber],OvalData[],MATCH(Table2[[#Headers],[Model]],Table2[#Headers],0),0)</f>
        <v>SFMPP</v>
      </c>
      <c r="D448" s="2" t="str">
        <f>VLOOKUP([jobnumber],OvalData[],MATCH(Table2[[#Headers],[width]],Table2[#Headers],0),0)</f>
        <v xml:space="preserve"> 18 ft.- 2"</v>
      </c>
      <c r="E448" s="2" t="str">
        <f>VLOOKUP([jobnumber],OvalData[],MATCH(Table2[[#Headers],[stopheight]],Table2[#Headers],0),0)</f>
        <v xml:space="preserve"> 10 ft.- 0"</v>
      </c>
      <c r="F448" s="2" t="str">
        <f>VLOOKUP([jobnumber],OvalData[],MATCH(Table2[[#Headers],[Between Brackets]],Table2[#Headers],0),0)</f>
        <v xml:space="preserve"> 18 ft.- 7 7/ 8"</v>
      </c>
      <c r="G448" s="2" t="str">
        <f>VLOOKUP([jobnumber],OvalData[],MATCH(Table2[[#Headers],[shell]],Table2[#Headers],0),0)</f>
        <v>6 INCH TUBE</v>
      </c>
      <c r="H448" s="2" t="str">
        <f>VLOOKUP([jobnumber],OvalData[],MATCH(Table2[[#Headers],[pipewidth]],Table2[#Headers],0),0)</f>
        <v xml:space="preserve"> 18 ft.- 1 3/ 8"</v>
      </c>
      <c r="I448" s="2">
        <f>VLOOKUP([jobnumber],OvalData[],MATCH(Table2[[#Headers],[Support Tubes]],Table2[#Headers],0),0)</f>
        <v>0</v>
      </c>
      <c r="J448" s="2">
        <f>VLOOKUP([jobnumber],OvalData[],MATCH(Table2[[#Headers],[Upset]],Table2[#Headers],0),0)</f>
        <v>2</v>
      </c>
      <c r="K448" s="2" t="str">
        <f>VLOOKUP([jobnumber],OvalData[],MATCH(Table2[[#Headers],[Guide Type]],Table2[#Headers],0),0)</f>
        <v>SN2-4 5/8-E</v>
      </c>
      <c r="L448" s="2" t="str">
        <f>VLOOKUP([jobnumber],OvalData[],MATCH(Table2[[#Headers],[Wall Angle]],Table2[#Headers],0),0)</f>
        <v xml:space="preserve"> 11 ft.- 8"</v>
      </c>
      <c r="M448" s="2" t="str">
        <f>VLOOKUP([jobnumber],OvalData[],MATCH(Table2[[#Headers],[Middle Angle]],Table2[#Headers],0),0)</f>
        <v xml:space="preserve"> 10 ft.- 4 1/ 2"</v>
      </c>
      <c r="N448" s="2" t="str">
        <f>VLOOKUP([jobnumber],OvalData[],MATCH(Table2[[#Headers],[Front Angle]],Table2[#Headers],0),0)</f>
        <v xml:space="preserve"> 10 ft.- 3"</v>
      </c>
      <c r="O448" s="2">
        <f>VLOOKUP([jobnumber],OvalData[],MATCH(Table2[[#Headers],[Pipe Center Line]],Table2[#Headers],0),0)</f>
        <v>131</v>
      </c>
      <c r="P448" s="2">
        <f>VLOOKUP([jobnumber],OvalData[],MATCH(Table2[[#Headers],[Heat Expansion Gap]],Table2[#Headers],0),0)</f>
        <v>0</v>
      </c>
      <c r="Q448" s="2">
        <f>VLOOKUP([jobnumber],OvalData[],MATCH(Table2[[#Headers],[Hanging Weight Closed]],Table2[#Headers],0),0)</f>
        <v>795</v>
      </c>
      <c r="R448" s="2">
        <f>VLOOKUP([jobnumber],OvalData[],MATCH(Table2[[#Headers],[Hanging Weight Open]],Table2[#Headers],0),0)</f>
        <v>140</v>
      </c>
      <c r="S448" s="2">
        <f>VLOOKUP([jobnumber],OvalData[],MATCH(Table2[[#Headers],[Initial Lever Arm]],Table2[#Headers],0),0)</f>
        <v>4.25</v>
      </c>
      <c r="T448" s="2">
        <f>VLOOKUP([jobnumber],OvalData[],MATCH(Table2[[#Headers],[Turns to Raise]],Table2[#Headers],0),0)</f>
        <v>3.5859999999999999</v>
      </c>
      <c r="U448" s="2">
        <f>VLOOKUP([jobnumber],OvalData[],MATCH(Table2[[#Headers],[Final Lever Arm]],Table2[#Headers],0),0)</f>
        <v>6.37</v>
      </c>
      <c r="V448" s="2">
        <f>VLOOKUP([jobnumber],OvalData[],MATCH(Table2[[#Headers],[Torque Required Closed]],Table2[#Headers],0),0)</f>
        <v>3377.9</v>
      </c>
      <c r="W448" s="2">
        <f>VLOOKUP([jobnumber],OvalData[],MATCH(Table2[[#Headers],[Torque Required Open]],Table2[#Headers],0),0)</f>
        <v>892</v>
      </c>
      <c r="X448" s="2">
        <f>VLOOKUP([jobnumber],OvalData[],MATCH(Table2[[#Headers],[Pre Turns]],Table2[#Headers],0),0)</f>
        <v>1.3332999999999999</v>
      </c>
      <c r="Y448" s="2">
        <f>VLOOKUP([jobnumber],OvalData[],MATCH(Table2[[#Headers],[Required Torque Per Turn]],Table2[#Headers],0),0)</f>
        <v>688</v>
      </c>
      <c r="Z448" s="2">
        <f>VLOOKUP([jobnumber],OvalData[],MATCH(Table2[[#Headers],[Total Turns]],Table2[#Headers],0),0)</f>
        <v>4.91</v>
      </c>
      <c r="AA448" s="2">
        <f>VLOOKUP([jobnumber],OvalData[],MATCH(Table2[[#Headers],[Grille Vision Section]],Table2[#Headers],0),0)</f>
        <v>0</v>
      </c>
      <c r="AB448" s="2">
        <f>VLOOKUP([jobnumber],OvalData[],MATCH(Table2[[#Headers],[Grille Amount]],Table2[#Headers],0),0)</f>
        <v>0</v>
      </c>
      <c r="AC448" s="2">
        <f>VLOOKUP([jobnumber],OvalData[],MATCH(Table2[[#Headers],[Grille Center]],Table2[#Headers],0),0)</f>
        <v>0</v>
      </c>
      <c r="AD448" s="2">
        <f>VLOOKUP([jobnumber],OvalData[],MATCH(Table2[[#Headers],[Grille Pattern]],Table2[#Headers],0),0)</f>
        <v>0</v>
      </c>
      <c r="AE448" s="2">
        <f>VLOOKUP([jobnumber],OvalData[],MATCH(Table2[[#Headers],[Grille First Tube]],Table2[#Headers],0),0)</f>
        <v>0</v>
      </c>
      <c r="AF448" s="2">
        <f>VLOOKUP([jobnumber],OvalData[],MATCH(Table2[[#Headers],[Grille Standard Tube]],Table2[#Headers],0),0)</f>
        <v>0</v>
      </c>
      <c r="AG448" s="2">
        <f>VLOOKUP([jobnumber],OvalData[],MATCH(Table2[[#Headers],[Grille Total Links]],Table2[#Headers],0),0)</f>
        <v>0</v>
      </c>
      <c r="AH448" s="2">
        <f>VLOOKUP([jobnumber],OvalData[],MATCH(Table2[[#Headers],[Grille Rods]],Table2[#Headers],0),0)</f>
        <v>0</v>
      </c>
      <c r="AI448" s="2">
        <f>VLOOKUP([jobnumber],OvalData[],MATCH(Table2[[#Headers],[Grille Rod Length]],Table2[#Headers],0),0)</f>
        <v>0</v>
      </c>
      <c r="AJ448" s="2">
        <f>VLOOKUP([jobnumber],OvalData[],MATCH(Table2[[#Headers],[slattype]],Table2[#Headers],0),0)</f>
        <v>2</v>
      </c>
      <c r="AK448" s="2">
        <f>VLOOKUP([jobnumber],OvalData[],MATCH(Table2[[#Headers],[slatgage]],Table2[#Headers],0),0)</f>
        <v>18</v>
      </c>
      <c r="AL448" s="2">
        <f>VLOOKUP([jobnumber],OvalData[],MATCH(Table2[[#Headers],[Numer of Top Slats]],Table2[#Headers],0),0)</f>
        <v>0</v>
      </c>
      <c r="AM448" s="2">
        <f>VLOOKUP([jobnumber],OvalData[],MATCH(Table2[[#Headers],[Number of Bottom Slats]],Table2[#Headers],0),0)</f>
        <v>0</v>
      </c>
      <c r="AN448" s="2">
        <f>VLOOKUP([jobnumber],OvalData[],MATCH(Table2[[#Headers],[Solid Bottom Height]],Table2[#Headers],0),0)</f>
        <v>0</v>
      </c>
      <c r="AO448" s="2" t="str">
        <f>VLOOKUP([jobnumber],OvalData[],MATCH(Table2[[#Headers],[slatlength]],Table2[#Headers],0),0)</f>
        <v xml:space="preserve"> 18 ft.- 5 7/ 8"</v>
      </c>
      <c r="AP448" s="2">
        <f>VLOOKUP([jobnumber],OvalData[],MATCH(Table2[[#Headers],[Bottom Slat Length]],Table2[#Headers],0),0)</f>
        <v>0</v>
      </c>
      <c r="AQ448" s="2">
        <f>VLOOKUP([jobnumber],OvalData[],MATCH(Table2[[#Headers],[Number of Perferated Slats]],Table2[#Headers],0),0)</f>
        <v>0</v>
      </c>
      <c r="AR448" s="2">
        <f>VLOOKUP([jobnumber],OvalData[],MATCH(Table2[[#Headers],[First Preferated Slat From End]],Table2[#Headers],0),0)</f>
        <v>0</v>
      </c>
      <c r="AS448" s="2">
        <f>VLOOKUP([jobnumber],OvalData[],MATCH(Table2[[#Headers],[First Preferated Slat From Bottom]],Table2[#Headers],0),0)</f>
        <v>0</v>
      </c>
      <c r="AT448" s="2">
        <f>VLOOKUP([jobnumber],OvalData[],MATCH(Table2[[#Headers],[Total Number of Slats]],Table2[#Headers],0),0)</f>
        <v>51</v>
      </c>
      <c r="AU448" s="2">
        <f>VLOOKUP([jobnumber],OvalData[],MATCH(Table2[[#Headers],[Bottom Bar Slope]],Table2[#Headers],0),0)</f>
        <v>0</v>
      </c>
      <c r="AV448" s="2">
        <f>VLOOKUP([jobnumber],OvalData[],MATCH(Table2[[#Headers],[Bottom Bar Weight]],Table2[#Headers],0),0)</f>
        <v>80.5</v>
      </c>
      <c r="AW448" s="2" t="str">
        <f>VLOOKUP([jobnumber],OvalData[],MATCH(Table2[[#Headers],[Outer Spring Gage]],Table2[#Headers],0),0)</f>
        <v>Null</v>
      </c>
      <c r="AX448" s="2" t="str">
        <f>VLOOKUP([jobnumber],OvalData[],MATCH(Table2[[#Headers],[Outer Spring OD]],Table2[#Headers],0),0)</f>
        <v>Null</v>
      </c>
      <c r="AY448" s="2" t="str">
        <f>VLOOKUP([jobnumber],OvalData[],MATCH(Table2[[#Headers],[Outer Spring Length]],Table2[#Headers],0),0)</f>
        <v>Null</v>
      </c>
      <c r="AZ448" s="2" t="str">
        <f>VLOOKUP([jobnumber],OvalData[],MATCH(Table2[[#Headers],[Outer Spring Stretch]],Table2[#Headers],0),0)</f>
        <v>Null</v>
      </c>
      <c r="BA448" s="2" t="str">
        <f>VLOOKUP([jobnumber],OvalData[],MATCH(Table2[[#Headers],[Outer Spring Torque]],Table2[#Headers],0),0)</f>
        <v>Null</v>
      </c>
      <c r="BB448" s="2" t="str">
        <f>VLOOKUP([jobnumber],OvalData[],MATCH(Table2[[#Headers],[Outer Spring Max Turns]],Table2[#Headers],0),0)</f>
        <v>Null</v>
      </c>
      <c r="BC448" s="2" t="str">
        <f>VLOOKUP([jobnumber],OvalData[],MATCH(Table2[[#Headers],[Outer Spring Weight]],Table2[#Headers],0),0)</f>
        <v>Null</v>
      </c>
      <c r="BD448" s="2" t="str">
        <f>VLOOKUP([jobnumber],OvalData[],MATCH(Table2[[#Headers],[Inner Spring Gage]],Table2[#Headers],0),0)</f>
        <v>Null</v>
      </c>
      <c r="BE448" s="2" t="str">
        <f>VLOOKUP([jobnumber],OvalData[],MATCH(Table2[[#Headers],[Inner Spring OD]],Table2[#Headers],0),0)</f>
        <v>Null</v>
      </c>
      <c r="BF448" s="2" t="str">
        <f>VLOOKUP([jobnumber],OvalData[],MATCH(Table2[[#Headers],[Inner Spring Length]],Table2[#Headers],0),0)</f>
        <v>Null</v>
      </c>
      <c r="BG448" s="2" t="str">
        <f>VLOOKUP([jobnumber],OvalData[],MATCH(Table2[[#Headers],[Inner Spring Stretch]],Table2[#Headers],0),0)</f>
        <v>Null</v>
      </c>
      <c r="BH448" s="2" t="str">
        <f>VLOOKUP([jobnumber],OvalData[],MATCH(Table2[[#Headers],[Inner Spring Torque]],Table2[#Headers],0),0)</f>
        <v>Null</v>
      </c>
      <c r="BI448" s="2" t="str">
        <f>VLOOKUP([jobnumber],OvalData[],MATCH(Table2[[#Headers],[Inner Spring Max Turns]],Table2[#Headers],0),0)</f>
        <v>Null</v>
      </c>
      <c r="BJ448" s="2" t="str">
        <f>VLOOKUP([jobnumber],OvalData[],MATCH(Table2[[#Headers],[Inner Spring Weight]],Table2[#Headers],0),0)</f>
        <v>Null</v>
      </c>
      <c r="BK448" s="2">
        <f>VLOOKUP([jobnumber],OvalData[],MATCH(Table2[[#Headers],[Cycles]],Table2[#Headers],0),0)</f>
        <v>0</v>
      </c>
      <c r="BL448" s="2">
        <f>VLOOKUP([jobnumber],OvalData[],MATCH(Table2[[#Headers],[Total Spring Torque]],Table2[#Headers],0),0)</f>
        <v>0</v>
      </c>
      <c r="BM448" s="2">
        <f>VLOOKUP([jobnumber],OvalData[],MATCH(Table2[[#Headers],[Total Spring Weight]],Table2[#Headers],0),0)</f>
        <v>0</v>
      </c>
      <c r="BN448" s="2">
        <f>VLOOKUP([jobnumber],OvalData[],MATCH(Table2[[#Headers],[Pipe Weight]],Table2[#Headers],0),0)</f>
        <v>688.24239999999998</v>
      </c>
      <c r="BO448" s="2">
        <f>VLOOKUP([jobnumber],OvalData[],MATCH(Table2[[#Headers],[Max Pipe Deflection]],Table2[#Headers],0),0)</f>
        <v>2309</v>
      </c>
      <c r="BP448" s="2">
        <f>VLOOKUP([jobnumber],OvalData[],MATCH(Table2[[#Headers],[Number Non-Insulated Wrap Slats]],Table2[#Headers],0),0)</f>
        <v>0</v>
      </c>
      <c r="BQ448" s="2">
        <f>VLOOKUP([jobnumber],OvalData[],MATCH(Table2[[#Headers],[Number of Insolated Top Slats]],Table2[#Headers],0),0)</f>
        <v>45</v>
      </c>
      <c r="BR448" s="2">
        <f>VLOOKUP([jobnumber],OvalData[],MATCH(Table2[[#Headers],[Insolated Total Slats]],Table2[#Headers],0),0)</f>
        <v>45</v>
      </c>
      <c r="BS448" s="2">
        <f>VLOOKUP([jobnumber],OvalData[],MATCH(Table2[[#Headers],[Number of Slats]],Table2[#Headers],0),0)</f>
        <v>44.69</v>
      </c>
      <c r="BT448" s="2">
        <f>VLOOKUP([jobnumber],OvalData[],MATCH(Table2[[#Headers],[Wrap]],Table2[#Headers],0),0)</f>
        <v>0</v>
      </c>
      <c r="BU448" s="2">
        <f>VLOOKUP([jobnumber],OvalData[],MATCH(Table2[[#Headers],[Wall Angle Thickness]],Table2[#Headers],0),0)</f>
        <v>0</v>
      </c>
      <c r="BV448" s="2">
        <f>VLOOKUP([jobnumber],OvalData[],MATCH(Table2[[#Headers],[windlocks]],Table2[#Headers],0),0)</f>
        <v>0</v>
      </c>
      <c r="BW448" s="2" t="str">
        <f>VLOOKUP([jobnumber],OvalData[],MATCH(Table2[[#Headers],[bottombartype]],Table2[#Headers],0),0)</f>
        <v>SPECIAL</v>
      </c>
      <c r="BX448" s="2">
        <f>VLOOKUP([jobnumber],OvalData[],MATCH(Table2[[#Headers],[endlockweight]],Table2[#Headers],0),0)</f>
        <v>0.17</v>
      </c>
      <c r="BY448" s="2">
        <f>VLOOKUP([jobnumber],OvalData[],MATCH(Table2[[#Headers],[Endlock Total Weight]],Table2[#Headers],0),0)</f>
        <v>7.5972999999999997</v>
      </c>
      <c r="BZ448" s="2">
        <f>VLOOKUP([jobnumber],OvalData[],MATCH(Table2[[#Headers],[Grille Weight]],Table2[#Headers],0),0)</f>
        <v>0</v>
      </c>
      <c r="CA448" s="2">
        <f>VLOOKUP([jobnumber],OvalData[],MATCH(Table2[[#Headers],[barrelrings]],Table2[#Headers],0),0)</f>
        <v>1</v>
      </c>
    </row>
    <row r="449" spans="2:79">
      <c r="B449" s="2" t="str">
        <f>VLOOKUP([jobnumber],OvalData[],MATCH(Table2[[#Headers],[Hand]],Table2[#Headers],0),0)</f>
        <v>RH</v>
      </c>
      <c r="C449" s="2" t="str">
        <f>VLOOKUP([jobnumber],OvalData[],MATCH(Table2[[#Headers],[Model]],Table2[#Headers],0),0)</f>
        <v>SFMPP</v>
      </c>
      <c r="D449" s="2" t="str">
        <f>VLOOKUP([jobnumber],OvalData[],MATCH(Table2[[#Headers],[width]],Table2[#Headers],0),0)</f>
        <v xml:space="preserve"> 18 ft.- 2"</v>
      </c>
      <c r="E449" s="2" t="str">
        <f>VLOOKUP([jobnumber],OvalData[],MATCH(Table2[[#Headers],[stopheight]],Table2[#Headers],0),0)</f>
        <v xml:space="preserve"> 10 ft.- 0"</v>
      </c>
      <c r="F449" s="2" t="str">
        <f>VLOOKUP([jobnumber],OvalData[],MATCH(Table2[[#Headers],[Between Brackets]],Table2[#Headers],0),0)</f>
        <v xml:space="preserve"> 18 ft.- 7 7/ 8"</v>
      </c>
      <c r="G449" s="2" t="str">
        <f>VLOOKUP([jobnumber],OvalData[],MATCH(Table2[[#Headers],[shell]],Table2[#Headers],0),0)</f>
        <v>6 INCH TUBE</v>
      </c>
      <c r="H449" s="2" t="str">
        <f>VLOOKUP([jobnumber],OvalData[],MATCH(Table2[[#Headers],[pipewidth]],Table2[#Headers],0),0)</f>
        <v xml:space="preserve"> 18 ft.- 1 3/ 8"</v>
      </c>
      <c r="I449" s="2">
        <f>VLOOKUP([jobnumber],OvalData[],MATCH(Table2[[#Headers],[Support Tubes]],Table2[#Headers],0),0)</f>
        <v>0</v>
      </c>
      <c r="J449" s="2">
        <f>VLOOKUP([jobnumber],OvalData[],MATCH(Table2[[#Headers],[Upset]],Table2[#Headers],0),0)</f>
        <v>2</v>
      </c>
      <c r="K449" s="2" t="str">
        <f>VLOOKUP([jobnumber],OvalData[],MATCH(Table2[[#Headers],[Guide Type]],Table2[#Headers],0),0)</f>
        <v>SN2-4 5/8-E</v>
      </c>
      <c r="L449" s="2" t="str">
        <f>VLOOKUP([jobnumber],OvalData[],MATCH(Table2[[#Headers],[Wall Angle]],Table2[#Headers],0),0)</f>
        <v xml:space="preserve"> 11 ft.- 8"</v>
      </c>
      <c r="M449" s="2" t="str">
        <f>VLOOKUP([jobnumber],OvalData[],MATCH(Table2[[#Headers],[Middle Angle]],Table2[#Headers],0),0)</f>
        <v xml:space="preserve"> 10 ft.- 4 1/ 2"</v>
      </c>
      <c r="N449" s="2" t="str">
        <f>VLOOKUP([jobnumber],OvalData[],MATCH(Table2[[#Headers],[Front Angle]],Table2[#Headers],0),0)</f>
        <v xml:space="preserve"> 10 ft.- 3"</v>
      </c>
      <c r="O449" s="2">
        <f>VLOOKUP([jobnumber],OvalData[],MATCH(Table2[[#Headers],[Pipe Center Line]],Table2[#Headers],0),0)</f>
        <v>131</v>
      </c>
      <c r="P449" s="2">
        <f>VLOOKUP([jobnumber],OvalData[],MATCH(Table2[[#Headers],[Heat Expansion Gap]],Table2[#Headers],0),0)</f>
        <v>0</v>
      </c>
      <c r="Q449" s="2">
        <f>VLOOKUP([jobnumber],OvalData[],MATCH(Table2[[#Headers],[Hanging Weight Closed]],Table2[#Headers],0),0)</f>
        <v>795</v>
      </c>
      <c r="R449" s="2">
        <f>VLOOKUP([jobnumber],OvalData[],MATCH(Table2[[#Headers],[Hanging Weight Open]],Table2[#Headers],0),0)</f>
        <v>140</v>
      </c>
      <c r="S449" s="2">
        <f>VLOOKUP([jobnumber],OvalData[],MATCH(Table2[[#Headers],[Initial Lever Arm]],Table2[#Headers],0),0)</f>
        <v>4.25</v>
      </c>
      <c r="T449" s="2">
        <f>VLOOKUP([jobnumber],OvalData[],MATCH(Table2[[#Headers],[Turns to Raise]],Table2[#Headers],0),0)</f>
        <v>3.5859999999999999</v>
      </c>
      <c r="U449" s="2">
        <f>VLOOKUP([jobnumber],OvalData[],MATCH(Table2[[#Headers],[Final Lever Arm]],Table2[#Headers],0),0)</f>
        <v>6.37</v>
      </c>
      <c r="V449" s="2">
        <f>VLOOKUP([jobnumber],OvalData[],MATCH(Table2[[#Headers],[Torque Required Closed]],Table2[#Headers],0),0)</f>
        <v>3377.9</v>
      </c>
      <c r="W449" s="2">
        <f>VLOOKUP([jobnumber],OvalData[],MATCH(Table2[[#Headers],[Torque Required Open]],Table2[#Headers],0),0)</f>
        <v>892</v>
      </c>
      <c r="X449" s="2">
        <f>VLOOKUP([jobnumber],OvalData[],MATCH(Table2[[#Headers],[Pre Turns]],Table2[#Headers],0),0)</f>
        <v>1.3332999999999999</v>
      </c>
      <c r="Y449" s="2">
        <f>VLOOKUP([jobnumber],OvalData[],MATCH(Table2[[#Headers],[Required Torque Per Turn]],Table2[#Headers],0),0)</f>
        <v>688</v>
      </c>
      <c r="Z449" s="2">
        <f>VLOOKUP([jobnumber],OvalData[],MATCH(Table2[[#Headers],[Total Turns]],Table2[#Headers],0),0)</f>
        <v>4.91</v>
      </c>
      <c r="AA449" s="2">
        <f>VLOOKUP([jobnumber],OvalData[],MATCH(Table2[[#Headers],[Grille Vision Section]],Table2[#Headers],0),0)</f>
        <v>0</v>
      </c>
      <c r="AB449" s="2">
        <f>VLOOKUP([jobnumber],OvalData[],MATCH(Table2[[#Headers],[Grille Amount]],Table2[#Headers],0),0)</f>
        <v>0</v>
      </c>
      <c r="AC449" s="2">
        <f>VLOOKUP([jobnumber],OvalData[],MATCH(Table2[[#Headers],[Grille Center]],Table2[#Headers],0),0)</f>
        <v>0</v>
      </c>
      <c r="AD449" s="2">
        <f>VLOOKUP([jobnumber],OvalData[],MATCH(Table2[[#Headers],[Grille Pattern]],Table2[#Headers],0),0)</f>
        <v>0</v>
      </c>
      <c r="AE449" s="2">
        <f>VLOOKUP([jobnumber],OvalData[],MATCH(Table2[[#Headers],[Grille First Tube]],Table2[#Headers],0),0)</f>
        <v>0</v>
      </c>
      <c r="AF449" s="2">
        <f>VLOOKUP([jobnumber],OvalData[],MATCH(Table2[[#Headers],[Grille Standard Tube]],Table2[#Headers],0),0)</f>
        <v>0</v>
      </c>
      <c r="AG449" s="2">
        <f>VLOOKUP([jobnumber],OvalData[],MATCH(Table2[[#Headers],[Grille Total Links]],Table2[#Headers],0),0)</f>
        <v>0</v>
      </c>
      <c r="AH449" s="2">
        <f>VLOOKUP([jobnumber],OvalData[],MATCH(Table2[[#Headers],[Grille Rods]],Table2[#Headers],0),0)</f>
        <v>0</v>
      </c>
      <c r="AI449" s="2">
        <f>VLOOKUP([jobnumber],OvalData[],MATCH(Table2[[#Headers],[Grille Rod Length]],Table2[#Headers],0),0)</f>
        <v>0</v>
      </c>
      <c r="AJ449" s="2">
        <f>VLOOKUP([jobnumber],OvalData[],MATCH(Table2[[#Headers],[slattype]],Table2[#Headers],0),0)</f>
        <v>2</v>
      </c>
      <c r="AK449" s="2">
        <f>VLOOKUP([jobnumber],OvalData[],MATCH(Table2[[#Headers],[slatgage]],Table2[#Headers],0),0)</f>
        <v>18</v>
      </c>
      <c r="AL449" s="2">
        <f>VLOOKUP([jobnumber],OvalData[],MATCH(Table2[[#Headers],[Numer of Top Slats]],Table2[#Headers],0),0)</f>
        <v>0</v>
      </c>
      <c r="AM449" s="2">
        <f>VLOOKUP([jobnumber],OvalData[],MATCH(Table2[[#Headers],[Number of Bottom Slats]],Table2[#Headers],0),0)</f>
        <v>0</v>
      </c>
      <c r="AN449" s="2">
        <f>VLOOKUP([jobnumber],OvalData[],MATCH(Table2[[#Headers],[Solid Bottom Height]],Table2[#Headers],0),0)</f>
        <v>0</v>
      </c>
      <c r="AO449" s="2" t="str">
        <f>VLOOKUP([jobnumber],OvalData[],MATCH(Table2[[#Headers],[slatlength]],Table2[#Headers],0),0)</f>
        <v xml:space="preserve"> 18 ft.- 5 7/ 8"</v>
      </c>
      <c r="AP449" s="2">
        <f>VLOOKUP([jobnumber],OvalData[],MATCH(Table2[[#Headers],[Bottom Slat Length]],Table2[#Headers],0),0)</f>
        <v>0</v>
      </c>
      <c r="AQ449" s="2">
        <f>VLOOKUP([jobnumber],OvalData[],MATCH(Table2[[#Headers],[Number of Perferated Slats]],Table2[#Headers],0),0)</f>
        <v>0</v>
      </c>
      <c r="AR449" s="2">
        <f>VLOOKUP([jobnumber],OvalData[],MATCH(Table2[[#Headers],[First Preferated Slat From End]],Table2[#Headers],0),0)</f>
        <v>0</v>
      </c>
      <c r="AS449" s="2">
        <f>VLOOKUP([jobnumber],OvalData[],MATCH(Table2[[#Headers],[First Preferated Slat From Bottom]],Table2[#Headers],0),0)</f>
        <v>0</v>
      </c>
      <c r="AT449" s="2">
        <f>VLOOKUP([jobnumber],OvalData[],MATCH(Table2[[#Headers],[Total Number of Slats]],Table2[#Headers],0),0)</f>
        <v>51</v>
      </c>
      <c r="AU449" s="2">
        <f>VLOOKUP([jobnumber],OvalData[],MATCH(Table2[[#Headers],[Bottom Bar Slope]],Table2[#Headers],0),0)</f>
        <v>0</v>
      </c>
      <c r="AV449" s="2">
        <f>VLOOKUP([jobnumber],OvalData[],MATCH(Table2[[#Headers],[Bottom Bar Weight]],Table2[#Headers],0),0)</f>
        <v>80.5</v>
      </c>
      <c r="AW449" s="2" t="str">
        <f>VLOOKUP([jobnumber],OvalData[],MATCH(Table2[[#Headers],[Outer Spring Gage]],Table2[#Headers],0),0)</f>
        <v>Null</v>
      </c>
      <c r="AX449" s="2" t="str">
        <f>VLOOKUP([jobnumber],OvalData[],MATCH(Table2[[#Headers],[Outer Spring OD]],Table2[#Headers],0),0)</f>
        <v>Null</v>
      </c>
      <c r="AY449" s="2" t="str">
        <f>VLOOKUP([jobnumber],OvalData[],MATCH(Table2[[#Headers],[Outer Spring Length]],Table2[#Headers],0),0)</f>
        <v>Null</v>
      </c>
      <c r="AZ449" s="2" t="str">
        <f>VLOOKUP([jobnumber],OvalData[],MATCH(Table2[[#Headers],[Outer Spring Stretch]],Table2[#Headers],0),0)</f>
        <v>Null</v>
      </c>
      <c r="BA449" s="2" t="str">
        <f>VLOOKUP([jobnumber],OvalData[],MATCH(Table2[[#Headers],[Outer Spring Torque]],Table2[#Headers],0),0)</f>
        <v>Null</v>
      </c>
      <c r="BB449" s="2" t="str">
        <f>VLOOKUP([jobnumber],OvalData[],MATCH(Table2[[#Headers],[Outer Spring Max Turns]],Table2[#Headers],0),0)</f>
        <v>Null</v>
      </c>
      <c r="BC449" s="2" t="str">
        <f>VLOOKUP([jobnumber],OvalData[],MATCH(Table2[[#Headers],[Outer Spring Weight]],Table2[#Headers],0),0)</f>
        <v>Null</v>
      </c>
      <c r="BD449" s="2" t="str">
        <f>VLOOKUP([jobnumber],OvalData[],MATCH(Table2[[#Headers],[Inner Spring Gage]],Table2[#Headers],0),0)</f>
        <v>Null</v>
      </c>
      <c r="BE449" s="2" t="str">
        <f>VLOOKUP([jobnumber],OvalData[],MATCH(Table2[[#Headers],[Inner Spring OD]],Table2[#Headers],0),0)</f>
        <v>Null</v>
      </c>
      <c r="BF449" s="2" t="str">
        <f>VLOOKUP([jobnumber],OvalData[],MATCH(Table2[[#Headers],[Inner Spring Length]],Table2[#Headers],0),0)</f>
        <v>Null</v>
      </c>
      <c r="BG449" s="2" t="str">
        <f>VLOOKUP([jobnumber],OvalData[],MATCH(Table2[[#Headers],[Inner Spring Stretch]],Table2[#Headers],0),0)</f>
        <v>Null</v>
      </c>
      <c r="BH449" s="2" t="str">
        <f>VLOOKUP([jobnumber],OvalData[],MATCH(Table2[[#Headers],[Inner Spring Torque]],Table2[#Headers],0),0)</f>
        <v>Null</v>
      </c>
      <c r="BI449" s="2" t="str">
        <f>VLOOKUP([jobnumber],OvalData[],MATCH(Table2[[#Headers],[Inner Spring Max Turns]],Table2[#Headers],0),0)</f>
        <v>Null</v>
      </c>
      <c r="BJ449" s="2" t="str">
        <f>VLOOKUP([jobnumber],OvalData[],MATCH(Table2[[#Headers],[Inner Spring Weight]],Table2[#Headers],0),0)</f>
        <v>Null</v>
      </c>
      <c r="BK449" s="2">
        <f>VLOOKUP([jobnumber],OvalData[],MATCH(Table2[[#Headers],[Cycles]],Table2[#Headers],0),0)</f>
        <v>0</v>
      </c>
      <c r="BL449" s="2">
        <f>VLOOKUP([jobnumber],OvalData[],MATCH(Table2[[#Headers],[Total Spring Torque]],Table2[#Headers],0),0)</f>
        <v>0</v>
      </c>
      <c r="BM449" s="2">
        <f>VLOOKUP([jobnumber],OvalData[],MATCH(Table2[[#Headers],[Total Spring Weight]],Table2[#Headers],0),0)</f>
        <v>0</v>
      </c>
      <c r="BN449" s="2">
        <f>VLOOKUP([jobnumber],OvalData[],MATCH(Table2[[#Headers],[Pipe Weight]],Table2[#Headers],0),0)</f>
        <v>688.24239999999998</v>
      </c>
      <c r="BO449" s="2">
        <f>VLOOKUP([jobnumber],OvalData[],MATCH(Table2[[#Headers],[Max Pipe Deflection]],Table2[#Headers],0),0)</f>
        <v>2309</v>
      </c>
      <c r="BP449" s="2">
        <f>VLOOKUP([jobnumber],OvalData[],MATCH(Table2[[#Headers],[Number Non-Insulated Wrap Slats]],Table2[#Headers],0),0)</f>
        <v>0</v>
      </c>
      <c r="BQ449" s="2">
        <f>VLOOKUP([jobnumber],OvalData[],MATCH(Table2[[#Headers],[Number of Insolated Top Slats]],Table2[#Headers],0),0)</f>
        <v>45</v>
      </c>
      <c r="BR449" s="2">
        <f>VLOOKUP([jobnumber],OvalData[],MATCH(Table2[[#Headers],[Insolated Total Slats]],Table2[#Headers],0),0)</f>
        <v>45</v>
      </c>
      <c r="BS449" s="2">
        <f>VLOOKUP([jobnumber],OvalData[],MATCH(Table2[[#Headers],[Number of Slats]],Table2[#Headers],0),0)</f>
        <v>44.69</v>
      </c>
      <c r="BT449" s="2">
        <f>VLOOKUP([jobnumber],OvalData[],MATCH(Table2[[#Headers],[Wrap]],Table2[#Headers],0),0)</f>
        <v>0</v>
      </c>
      <c r="BU449" s="2">
        <f>VLOOKUP([jobnumber],OvalData[],MATCH(Table2[[#Headers],[Wall Angle Thickness]],Table2[#Headers],0),0)</f>
        <v>0</v>
      </c>
      <c r="BV449" s="2">
        <f>VLOOKUP([jobnumber],OvalData[],MATCH(Table2[[#Headers],[windlocks]],Table2[#Headers],0),0)</f>
        <v>0</v>
      </c>
      <c r="BW449" s="2" t="str">
        <f>VLOOKUP([jobnumber],OvalData[],MATCH(Table2[[#Headers],[bottombartype]],Table2[#Headers],0),0)</f>
        <v>SPECIAL</v>
      </c>
      <c r="BX449" s="2">
        <f>VLOOKUP([jobnumber],OvalData[],MATCH(Table2[[#Headers],[endlockweight]],Table2[#Headers],0),0)</f>
        <v>0.17</v>
      </c>
      <c r="BY449" s="2">
        <f>VLOOKUP([jobnumber],OvalData[],MATCH(Table2[[#Headers],[Endlock Total Weight]],Table2[#Headers],0),0)</f>
        <v>7.5972999999999997</v>
      </c>
      <c r="BZ449" s="2">
        <f>VLOOKUP([jobnumber],OvalData[],MATCH(Table2[[#Headers],[Grille Weight]],Table2[#Headers],0),0)</f>
        <v>0</v>
      </c>
      <c r="CA449" s="2">
        <f>VLOOKUP([jobnumber],OvalData[],MATCH(Table2[[#Headers],[barrelrings]],Table2[#Headers],0),0)</f>
        <v>1</v>
      </c>
    </row>
    <row r="450" spans="2:79">
      <c r="B450" s="2" t="str">
        <f>VLOOKUP([jobnumber],OvalData[],MATCH(Table2[[#Headers],[Hand]],Table2[#Headers],0),0)</f>
        <v>RH</v>
      </c>
      <c r="C450" s="2" t="str">
        <f>VLOOKUP([jobnumber],OvalData[],MATCH(Table2[[#Headers],[Model]],Table2[#Headers],0),0)</f>
        <v>SFMPP</v>
      </c>
      <c r="D450" s="2" t="str">
        <f>VLOOKUP([jobnumber],OvalData[],MATCH(Table2[[#Headers],[width]],Table2[#Headers],0),0)</f>
        <v xml:space="preserve"> 18 ft.- 2"</v>
      </c>
      <c r="E450" s="2" t="str">
        <f>VLOOKUP([jobnumber],OvalData[],MATCH(Table2[[#Headers],[stopheight]],Table2[#Headers],0),0)</f>
        <v xml:space="preserve"> 10 ft.- 0"</v>
      </c>
      <c r="F450" s="2" t="str">
        <f>VLOOKUP([jobnumber],OvalData[],MATCH(Table2[[#Headers],[Between Brackets]],Table2[#Headers],0),0)</f>
        <v xml:space="preserve"> 18 ft.- 7 7/ 8"</v>
      </c>
      <c r="G450" s="2" t="str">
        <f>VLOOKUP([jobnumber],OvalData[],MATCH(Table2[[#Headers],[shell]],Table2[#Headers],0),0)</f>
        <v>6 INCH TUBE</v>
      </c>
      <c r="H450" s="2" t="str">
        <f>VLOOKUP([jobnumber],OvalData[],MATCH(Table2[[#Headers],[pipewidth]],Table2[#Headers],0),0)</f>
        <v xml:space="preserve"> 18 ft.- 1 3/ 8"</v>
      </c>
      <c r="I450" s="2">
        <f>VLOOKUP([jobnumber],OvalData[],MATCH(Table2[[#Headers],[Support Tubes]],Table2[#Headers],0),0)</f>
        <v>0</v>
      </c>
      <c r="J450" s="2">
        <f>VLOOKUP([jobnumber],OvalData[],MATCH(Table2[[#Headers],[Upset]],Table2[#Headers],0),0)</f>
        <v>2</v>
      </c>
      <c r="K450" s="2" t="str">
        <f>VLOOKUP([jobnumber],OvalData[],MATCH(Table2[[#Headers],[Guide Type]],Table2[#Headers],0),0)</f>
        <v>SN2-4 5/8-E</v>
      </c>
      <c r="L450" s="2" t="str">
        <f>VLOOKUP([jobnumber],OvalData[],MATCH(Table2[[#Headers],[Wall Angle]],Table2[#Headers],0),0)</f>
        <v xml:space="preserve"> 11 ft.- 8"</v>
      </c>
      <c r="M450" s="2" t="str">
        <f>VLOOKUP([jobnumber],OvalData[],MATCH(Table2[[#Headers],[Middle Angle]],Table2[#Headers],0),0)</f>
        <v xml:space="preserve"> 10 ft.- 4 1/ 2"</v>
      </c>
      <c r="N450" s="2" t="str">
        <f>VLOOKUP([jobnumber],OvalData[],MATCH(Table2[[#Headers],[Front Angle]],Table2[#Headers],0),0)</f>
        <v xml:space="preserve"> 10 ft.- 3"</v>
      </c>
      <c r="O450" s="2">
        <f>VLOOKUP([jobnumber],OvalData[],MATCH(Table2[[#Headers],[Pipe Center Line]],Table2[#Headers],0),0)</f>
        <v>131</v>
      </c>
      <c r="P450" s="2">
        <f>VLOOKUP([jobnumber],OvalData[],MATCH(Table2[[#Headers],[Heat Expansion Gap]],Table2[#Headers],0),0)</f>
        <v>0</v>
      </c>
      <c r="Q450" s="2">
        <f>VLOOKUP([jobnumber],OvalData[],MATCH(Table2[[#Headers],[Hanging Weight Closed]],Table2[#Headers],0),0)</f>
        <v>795</v>
      </c>
      <c r="R450" s="2">
        <f>VLOOKUP([jobnumber],OvalData[],MATCH(Table2[[#Headers],[Hanging Weight Open]],Table2[#Headers],0),0)</f>
        <v>140</v>
      </c>
      <c r="S450" s="2">
        <f>VLOOKUP([jobnumber],OvalData[],MATCH(Table2[[#Headers],[Initial Lever Arm]],Table2[#Headers],0),0)</f>
        <v>4.25</v>
      </c>
      <c r="T450" s="2">
        <f>VLOOKUP([jobnumber],OvalData[],MATCH(Table2[[#Headers],[Turns to Raise]],Table2[#Headers],0),0)</f>
        <v>3.5859999999999999</v>
      </c>
      <c r="U450" s="2">
        <f>VLOOKUP([jobnumber],OvalData[],MATCH(Table2[[#Headers],[Final Lever Arm]],Table2[#Headers],0),0)</f>
        <v>6.37</v>
      </c>
      <c r="V450" s="2">
        <f>VLOOKUP([jobnumber],OvalData[],MATCH(Table2[[#Headers],[Torque Required Closed]],Table2[#Headers],0),0)</f>
        <v>3377.9</v>
      </c>
      <c r="W450" s="2">
        <f>VLOOKUP([jobnumber],OvalData[],MATCH(Table2[[#Headers],[Torque Required Open]],Table2[#Headers],0),0)</f>
        <v>892</v>
      </c>
      <c r="X450" s="2">
        <f>VLOOKUP([jobnumber],OvalData[],MATCH(Table2[[#Headers],[Pre Turns]],Table2[#Headers],0),0)</f>
        <v>1.3332999999999999</v>
      </c>
      <c r="Y450" s="2">
        <f>VLOOKUP([jobnumber],OvalData[],MATCH(Table2[[#Headers],[Required Torque Per Turn]],Table2[#Headers],0),0)</f>
        <v>688</v>
      </c>
      <c r="Z450" s="2">
        <f>VLOOKUP([jobnumber],OvalData[],MATCH(Table2[[#Headers],[Total Turns]],Table2[#Headers],0),0)</f>
        <v>4.91</v>
      </c>
      <c r="AA450" s="2">
        <f>VLOOKUP([jobnumber],OvalData[],MATCH(Table2[[#Headers],[Grille Vision Section]],Table2[#Headers],0),0)</f>
        <v>0</v>
      </c>
      <c r="AB450" s="2">
        <f>VLOOKUP([jobnumber],OvalData[],MATCH(Table2[[#Headers],[Grille Amount]],Table2[#Headers],0),0)</f>
        <v>0</v>
      </c>
      <c r="AC450" s="2">
        <f>VLOOKUP([jobnumber],OvalData[],MATCH(Table2[[#Headers],[Grille Center]],Table2[#Headers],0),0)</f>
        <v>0</v>
      </c>
      <c r="AD450" s="2">
        <f>VLOOKUP([jobnumber],OvalData[],MATCH(Table2[[#Headers],[Grille Pattern]],Table2[#Headers],0),0)</f>
        <v>0</v>
      </c>
      <c r="AE450" s="2">
        <f>VLOOKUP([jobnumber],OvalData[],MATCH(Table2[[#Headers],[Grille First Tube]],Table2[#Headers],0),0)</f>
        <v>0</v>
      </c>
      <c r="AF450" s="2">
        <f>VLOOKUP([jobnumber],OvalData[],MATCH(Table2[[#Headers],[Grille Standard Tube]],Table2[#Headers],0),0)</f>
        <v>0</v>
      </c>
      <c r="AG450" s="2">
        <f>VLOOKUP([jobnumber],OvalData[],MATCH(Table2[[#Headers],[Grille Total Links]],Table2[#Headers],0),0)</f>
        <v>0</v>
      </c>
      <c r="AH450" s="2">
        <f>VLOOKUP([jobnumber],OvalData[],MATCH(Table2[[#Headers],[Grille Rods]],Table2[#Headers],0),0)</f>
        <v>0</v>
      </c>
      <c r="AI450" s="2">
        <f>VLOOKUP([jobnumber],OvalData[],MATCH(Table2[[#Headers],[Grille Rod Length]],Table2[#Headers],0),0)</f>
        <v>0</v>
      </c>
      <c r="AJ450" s="2">
        <f>VLOOKUP([jobnumber],OvalData[],MATCH(Table2[[#Headers],[slattype]],Table2[#Headers],0),0)</f>
        <v>2</v>
      </c>
      <c r="AK450" s="2">
        <f>VLOOKUP([jobnumber],OvalData[],MATCH(Table2[[#Headers],[slatgage]],Table2[#Headers],0),0)</f>
        <v>18</v>
      </c>
      <c r="AL450" s="2">
        <f>VLOOKUP([jobnumber],OvalData[],MATCH(Table2[[#Headers],[Numer of Top Slats]],Table2[#Headers],0),0)</f>
        <v>0</v>
      </c>
      <c r="AM450" s="2">
        <f>VLOOKUP([jobnumber],OvalData[],MATCH(Table2[[#Headers],[Number of Bottom Slats]],Table2[#Headers],0),0)</f>
        <v>0</v>
      </c>
      <c r="AN450" s="2">
        <f>VLOOKUP([jobnumber],OvalData[],MATCH(Table2[[#Headers],[Solid Bottom Height]],Table2[#Headers],0),0)</f>
        <v>0</v>
      </c>
      <c r="AO450" s="2" t="str">
        <f>VLOOKUP([jobnumber],OvalData[],MATCH(Table2[[#Headers],[slatlength]],Table2[#Headers],0),0)</f>
        <v xml:space="preserve"> 18 ft.- 5 7/ 8"</v>
      </c>
      <c r="AP450" s="2">
        <f>VLOOKUP([jobnumber],OvalData[],MATCH(Table2[[#Headers],[Bottom Slat Length]],Table2[#Headers],0),0)</f>
        <v>0</v>
      </c>
      <c r="AQ450" s="2">
        <f>VLOOKUP([jobnumber],OvalData[],MATCH(Table2[[#Headers],[Number of Perferated Slats]],Table2[#Headers],0),0)</f>
        <v>0</v>
      </c>
      <c r="AR450" s="2">
        <f>VLOOKUP([jobnumber],OvalData[],MATCH(Table2[[#Headers],[First Preferated Slat From End]],Table2[#Headers],0),0)</f>
        <v>0</v>
      </c>
      <c r="AS450" s="2">
        <f>VLOOKUP([jobnumber],OvalData[],MATCH(Table2[[#Headers],[First Preferated Slat From Bottom]],Table2[#Headers],0),0)</f>
        <v>0</v>
      </c>
      <c r="AT450" s="2">
        <f>VLOOKUP([jobnumber],OvalData[],MATCH(Table2[[#Headers],[Total Number of Slats]],Table2[#Headers],0),0)</f>
        <v>51</v>
      </c>
      <c r="AU450" s="2">
        <f>VLOOKUP([jobnumber],OvalData[],MATCH(Table2[[#Headers],[Bottom Bar Slope]],Table2[#Headers],0),0)</f>
        <v>0</v>
      </c>
      <c r="AV450" s="2">
        <f>VLOOKUP([jobnumber],OvalData[],MATCH(Table2[[#Headers],[Bottom Bar Weight]],Table2[#Headers],0),0)</f>
        <v>80.5</v>
      </c>
      <c r="AW450" s="2" t="str">
        <f>VLOOKUP([jobnumber],OvalData[],MATCH(Table2[[#Headers],[Outer Spring Gage]],Table2[#Headers],0),0)</f>
        <v>Null</v>
      </c>
      <c r="AX450" s="2" t="str">
        <f>VLOOKUP([jobnumber],OvalData[],MATCH(Table2[[#Headers],[Outer Spring OD]],Table2[#Headers],0),0)</f>
        <v>Null</v>
      </c>
      <c r="AY450" s="2" t="str">
        <f>VLOOKUP([jobnumber],OvalData[],MATCH(Table2[[#Headers],[Outer Spring Length]],Table2[#Headers],0),0)</f>
        <v>Null</v>
      </c>
      <c r="AZ450" s="2" t="str">
        <f>VLOOKUP([jobnumber],OvalData[],MATCH(Table2[[#Headers],[Outer Spring Stretch]],Table2[#Headers],0),0)</f>
        <v>Null</v>
      </c>
      <c r="BA450" s="2" t="str">
        <f>VLOOKUP([jobnumber],OvalData[],MATCH(Table2[[#Headers],[Outer Spring Torque]],Table2[#Headers],0),0)</f>
        <v>Null</v>
      </c>
      <c r="BB450" s="2" t="str">
        <f>VLOOKUP([jobnumber],OvalData[],MATCH(Table2[[#Headers],[Outer Spring Max Turns]],Table2[#Headers],0),0)</f>
        <v>Null</v>
      </c>
      <c r="BC450" s="2" t="str">
        <f>VLOOKUP([jobnumber],OvalData[],MATCH(Table2[[#Headers],[Outer Spring Weight]],Table2[#Headers],0),0)</f>
        <v>Null</v>
      </c>
      <c r="BD450" s="2" t="str">
        <f>VLOOKUP([jobnumber],OvalData[],MATCH(Table2[[#Headers],[Inner Spring Gage]],Table2[#Headers],0),0)</f>
        <v>Null</v>
      </c>
      <c r="BE450" s="2" t="str">
        <f>VLOOKUP([jobnumber],OvalData[],MATCH(Table2[[#Headers],[Inner Spring OD]],Table2[#Headers],0),0)</f>
        <v>Null</v>
      </c>
      <c r="BF450" s="2" t="str">
        <f>VLOOKUP([jobnumber],OvalData[],MATCH(Table2[[#Headers],[Inner Spring Length]],Table2[#Headers],0),0)</f>
        <v>Null</v>
      </c>
      <c r="BG450" s="2" t="str">
        <f>VLOOKUP([jobnumber],OvalData[],MATCH(Table2[[#Headers],[Inner Spring Stretch]],Table2[#Headers],0),0)</f>
        <v>Null</v>
      </c>
      <c r="BH450" s="2" t="str">
        <f>VLOOKUP([jobnumber],OvalData[],MATCH(Table2[[#Headers],[Inner Spring Torque]],Table2[#Headers],0),0)</f>
        <v>Null</v>
      </c>
      <c r="BI450" s="2" t="str">
        <f>VLOOKUP([jobnumber],OvalData[],MATCH(Table2[[#Headers],[Inner Spring Max Turns]],Table2[#Headers],0),0)</f>
        <v>Null</v>
      </c>
      <c r="BJ450" s="2" t="str">
        <f>VLOOKUP([jobnumber],OvalData[],MATCH(Table2[[#Headers],[Inner Spring Weight]],Table2[#Headers],0),0)</f>
        <v>Null</v>
      </c>
      <c r="BK450" s="2">
        <f>VLOOKUP([jobnumber],OvalData[],MATCH(Table2[[#Headers],[Cycles]],Table2[#Headers],0),0)</f>
        <v>0</v>
      </c>
      <c r="BL450" s="2">
        <f>VLOOKUP([jobnumber],OvalData[],MATCH(Table2[[#Headers],[Total Spring Torque]],Table2[#Headers],0),0)</f>
        <v>0</v>
      </c>
      <c r="BM450" s="2">
        <f>VLOOKUP([jobnumber],OvalData[],MATCH(Table2[[#Headers],[Total Spring Weight]],Table2[#Headers],0),0)</f>
        <v>0</v>
      </c>
      <c r="BN450" s="2">
        <f>VLOOKUP([jobnumber],OvalData[],MATCH(Table2[[#Headers],[Pipe Weight]],Table2[#Headers],0),0)</f>
        <v>688.24239999999998</v>
      </c>
      <c r="BO450" s="2">
        <f>VLOOKUP([jobnumber],OvalData[],MATCH(Table2[[#Headers],[Max Pipe Deflection]],Table2[#Headers],0),0)</f>
        <v>2309</v>
      </c>
      <c r="BP450" s="2">
        <f>VLOOKUP([jobnumber],OvalData[],MATCH(Table2[[#Headers],[Number Non-Insulated Wrap Slats]],Table2[#Headers],0),0)</f>
        <v>0</v>
      </c>
      <c r="BQ450" s="2">
        <f>VLOOKUP([jobnumber],OvalData[],MATCH(Table2[[#Headers],[Number of Insolated Top Slats]],Table2[#Headers],0),0)</f>
        <v>45</v>
      </c>
      <c r="BR450" s="2">
        <f>VLOOKUP([jobnumber],OvalData[],MATCH(Table2[[#Headers],[Insolated Total Slats]],Table2[#Headers],0),0)</f>
        <v>45</v>
      </c>
      <c r="BS450" s="2">
        <f>VLOOKUP([jobnumber],OvalData[],MATCH(Table2[[#Headers],[Number of Slats]],Table2[#Headers],0),0)</f>
        <v>44.69</v>
      </c>
      <c r="BT450" s="2">
        <f>VLOOKUP([jobnumber],OvalData[],MATCH(Table2[[#Headers],[Wrap]],Table2[#Headers],0),0)</f>
        <v>0</v>
      </c>
      <c r="BU450" s="2">
        <f>VLOOKUP([jobnumber],OvalData[],MATCH(Table2[[#Headers],[Wall Angle Thickness]],Table2[#Headers],0),0)</f>
        <v>0</v>
      </c>
      <c r="BV450" s="2">
        <f>VLOOKUP([jobnumber],OvalData[],MATCH(Table2[[#Headers],[windlocks]],Table2[#Headers],0),0)</f>
        <v>0</v>
      </c>
      <c r="BW450" s="2" t="str">
        <f>VLOOKUP([jobnumber],OvalData[],MATCH(Table2[[#Headers],[bottombartype]],Table2[#Headers],0),0)</f>
        <v>SPECIAL</v>
      </c>
      <c r="BX450" s="2">
        <f>VLOOKUP([jobnumber],OvalData[],MATCH(Table2[[#Headers],[endlockweight]],Table2[#Headers],0),0)</f>
        <v>0.17</v>
      </c>
      <c r="BY450" s="2">
        <f>VLOOKUP([jobnumber],OvalData[],MATCH(Table2[[#Headers],[Endlock Total Weight]],Table2[#Headers],0),0)</f>
        <v>7.5972999999999997</v>
      </c>
      <c r="BZ450" s="2">
        <f>VLOOKUP([jobnumber],OvalData[],MATCH(Table2[[#Headers],[Grille Weight]],Table2[#Headers],0),0)</f>
        <v>0</v>
      </c>
      <c r="CA450" s="2">
        <f>VLOOKUP([jobnumber],OvalData[],MATCH(Table2[[#Headers],[barrelrings]],Table2[#Headers],0),0)</f>
        <v>1</v>
      </c>
    </row>
    <row r="451" spans="2:79">
      <c r="B451" s="2" t="str">
        <f>VLOOKUP([jobnumber],OvalData[],MATCH(Table2[[#Headers],[Hand]],Table2[#Headers],0),0)</f>
        <v>RH</v>
      </c>
      <c r="C451" s="2" t="str">
        <f>VLOOKUP([jobnumber],OvalData[],MATCH(Table2[[#Headers],[Model]],Table2[#Headers],0),0)</f>
        <v>SFMPP</v>
      </c>
      <c r="D451" s="2" t="str">
        <f>VLOOKUP([jobnumber],OvalData[],MATCH(Table2[[#Headers],[width]],Table2[#Headers],0),0)</f>
        <v xml:space="preserve"> 18 ft.- 2"</v>
      </c>
      <c r="E451" s="2" t="str">
        <f>VLOOKUP([jobnumber],OvalData[],MATCH(Table2[[#Headers],[stopheight]],Table2[#Headers],0),0)</f>
        <v xml:space="preserve"> 10 ft.- 0"</v>
      </c>
      <c r="F451" s="2" t="str">
        <f>VLOOKUP([jobnumber],OvalData[],MATCH(Table2[[#Headers],[Between Brackets]],Table2[#Headers],0),0)</f>
        <v xml:space="preserve"> 18 ft.- 7 7/ 8"</v>
      </c>
      <c r="G451" s="2" t="str">
        <f>VLOOKUP([jobnumber],OvalData[],MATCH(Table2[[#Headers],[shell]],Table2[#Headers],0),0)</f>
        <v>6 INCH TUBE</v>
      </c>
      <c r="H451" s="2" t="str">
        <f>VLOOKUP([jobnumber],OvalData[],MATCH(Table2[[#Headers],[pipewidth]],Table2[#Headers],0),0)</f>
        <v xml:space="preserve"> 18 ft.- 1 3/ 8"</v>
      </c>
      <c r="I451" s="2">
        <f>VLOOKUP([jobnumber],OvalData[],MATCH(Table2[[#Headers],[Support Tubes]],Table2[#Headers],0),0)</f>
        <v>0</v>
      </c>
      <c r="J451" s="2">
        <f>VLOOKUP([jobnumber],OvalData[],MATCH(Table2[[#Headers],[Upset]],Table2[#Headers],0),0)</f>
        <v>2</v>
      </c>
      <c r="K451" s="2" t="str">
        <f>VLOOKUP([jobnumber],OvalData[],MATCH(Table2[[#Headers],[Guide Type]],Table2[#Headers],0),0)</f>
        <v>SN2-4 5/8-E</v>
      </c>
      <c r="L451" s="2" t="str">
        <f>VLOOKUP([jobnumber],OvalData[],MATCH(Table2[[#Headers],[Wall Angle]],Table2[#Headers],0),0)</f>
        <v xml:space="preserve"> 11 ft.- 8"</v>
      </c>
      <c r="M451" s="2" t="str">
        <f>VLOOKUP([jobnumber],OvalData[],MATCH(Table2[[#Headers],[Middle Angle]],Table2[#Headers],0),0)</f>
        <v xml:space="preserve"> 10 ft.- 4 1/ 2"</v>
      </c>
      <c r="N451" s="2" t="str">
        <f>VLOOKUP([jobnumber],OvalData[],MATCH(Table2[[#Headers],[Front Angle]],Table2[#Headers],0),0)</f>
        <v xml:space="preserve"> 10 ft.- 3"</v>
      </c>
      <c r="O451" s="2">
        <f>VLOOKUP([jobnumber],OvalData[],MATCH(Table2[[#Headers],[Pipe Center Line]],Table2[#Headers],0),0)</f>
        <v>131</v>
      </c>
      <c r="P451" s="2">
        <f>VLOOKUP([jobnumber],OvalData[],MATCH(Table2[[#Headers],[Heat Expansion Gap]],Table2[#Headers],0),0)</f>
        <v>0</v>
      </c>
      <c r="Q451" s="2">
        <f>VLOOKUP([jobnumber],OvalData[],MATCH(Table2[[#Headers],[Hanging Weight Closed]],Table2[#Headers],0),0)</f>
        <v>795</v>
      </c>
      <c r="R451" s="2">
        <f>VLOOKUP([jobnumber],OvalData[],MATCH(Table2[[#Headers],[Hanging Weight Open]],Table2[#Headers],0),0)</f>
        <v>140</v>
      </c>
      <c r="S451" s="2">
        <f>VLOOKUP([jobnumber],OvalData[],MATCH(Table2[[#Headers],[Initial Lever Arm]],Table2[#Headers],0),0)</f>
        <v>4.25</v>
      </c>
      <c r="T451" s="2">
        <f>VLOOKUP([jobnumber],OvalData[],MATCH(Table2[[#Headers],[Turns to Raise]],Table2[#Headers],0),0)</f>
        <v>3.5859999999999999</v>
      </c>
      <c r="U451" s="2">
        <f>VLOOKUP([jobnumber],OvalData[],MATCH(Table2[[#Headers],[Final Lever Arm]],Table2[#Headers],0),0)</f>
        <v>6.37</v>
      </c>
      <c r="V451" s="2">
        <f>VLOOKUP([jobnumber],OvalData[],MATCH(Table2[[#Headers],[Torque Required Closed]],Table2[#Headers],0),0)</f>
        <v>3377.9</v>
      </c>
      <c r="W451" s="2">
        <f>VLOOKUP([jobnumber],OvalData[],MATCH(Table2[[#Headers],[Torque Required Open]],Table2[#Headers],0),0)</f>
        <v>892</v>
      </c>
      <c r="X451" s="2">
        <f>VLOOKUP([jobnumber],OvalData[],MATCH(Table2[[#Headers],[Pre Turns]],Table2[#Headers],0),0)</f>
        <v>1.3332999999999999</v>
      </c>
      <c r="Y451" s="2">
        <f>VLOOKUP([jobnumber],OvalData[],MATCH(Table2[[#Headers],[Required Torque Per Turn]],Table2[#Headers],0),0)</f>
        <v>688</v>
      </c>
      <c r="Z451" s="2">
        <f>VLOOKUP([jobnumber],OvalData[],MATCH(Table2[[#Headers],[Total Turns]],Table2[#Headers],0),0)</f>
        <v>4.91</v>
      </c>
      <c r="AA451" s="2">
        <f>VLOOKUP([jobnumber],OvalData[],MATCH(Table2[[#Headers],[Grille Vision Section]],Table2[#Headers],0),0)</f>
        <v>0</v>
      </c>
      <c r="AB451" s="2">
        <f>VLOOKUP([jobnumber],OvalData[],MATCH(Table2[[#Headers],[Grille Amount]],Table2[#Headers],0),0)</f>
        <v>0</v>
      </c>
      <c r="AC451" s="2">
        <f>VLOOKUP([jobnumber],OvalData[],MATCH(Table2[[#Headers],[Grille Center]],Table2[#Headers],0),0)</f>
        <v>0</v>
      </c>
      <c r="AD451" s="2">
        <f>VLOOKUP([jobnumber],OvalData[],MATCH(Table2[[#Headers],[Grille Pattern]],Table2[#Headers],0),0)</f>
        <v>0</v>
      </c>
      <c r="AE451" s="2">
        <f>VLOOKUP([jobnumber],OvalData[],MATCH(Table2[[#Headers],[Grille First Tube]],Table2[#Headers],0),0)</f>
        <v>0</v>
      </c>
      <c r="AF451" s="2">
        <f>VLOOKUP([jobnumber],OvalData[],MATCH(Table2[[#Headers],[Grille Standard Tube]],Table2[#Headers],0),0)</f>
        <v>0</v>
      </c>
      <c r="AG451" s="2">
        <f>VLOOKUP([jobnumber],OvalData[],MATCH(Table2[[#Headers],[Grille Total Links]],Table2[#Headers],0),0)</f>
        <v>0</v>
      </c>
      <c r="AH451" s="2">
        <f>VLOOKUP([jobnumber],OvalData[],MATCH(Table2[[#Headers],[Grille Rods]],Table2[#Headers],0),0)</f>
        <v>0</v>
      </c>
      <c r="AI451" s="2">
        <f>VLOOKUP([jobnumber],OvalData[],MATCH(Table2[[#Headers],[Grille Rod Length]],Table2[#Headers],0),0)</f>
        <v>0</v>
      </c>
      <c r="AJ451" s="2">
        <f>VLOOKUP([jobnumber],OvalData[],MATCH(Table2[[#Headers],[slattype]],Table2[#Headers],0),0)</f>
        <v>2</v>
      </c>
      <c r="AK451" s="2">
        <f>VLOOKUP([jobnumber],OvalData[],MATCH(Table2[[#Headers],[slatgage]],Table2[#Headers],0),0)</f>
        <v>18</v>
      </c>
      <c r="AL451" s="2">
        <f>VLOOKUP([jobnumber],OvalData[],MATCH(Table2[[#Headers],[Numer of Top Slats]],Table2[#Headers],0),0)</f>
        <v>0</v>
      </c>
      <c r="AM451" s="2">
        <f>VLOOKUP([jobnumber],OvalData[],MATCH(Table2[[#Headers],[Number of Bottom Slats]],Table2[#Headers],0),0)</f>
        <v>0</v>
      </c>
      <c r="AN451" s="2">
        <f>VLOOKUP([jobnumber],OvalData[],MATCH(Table2[[#Headers],[Solid Bottom Height]],Table2[#Headers],0),0)</f>
        <v>0</v>
      </c>
      <c r="AO451" s="2" t="str">
        <f>VLOOKUP([jobnumber],OvalData[],MATCH(Table2[[#Headers],[slatlength]],Table2[#Headers],0),0)</f>
        <v xml:space="preserve"> 18 ft.- 5 7/ 8"</v>
      </c>
      <c r="AP451" s="2">
        <f>VLOOKUP([jobnumber],OvalData[],MATCH(Table2[[#Headers],[Bottom Slat Length]],Table2[#Headers],0),0)</f>
        <v>0</v>
      </c>
      <c r="AQ451" s="2">
        <f>VLOOKUP([jobnumber],OvalData[],MATCH(Table2[[#Headers],[Number of Perferated Slats]],Table2[#Headers],0),0)</f>
        <v>0</v>
      </c>
      <c r="AR451" s="2">
        <f>VLOOKUP([jobnumber],OvalData[],MATCH(Table2[[#Headers],[First Preferated Slat From End]],Table2[#Headers],0),0)</f>
        <v>0</v>
      </c>
      <c r="AS451" s="2">
        <f>VLOOKUP([jobnumber],OvalData[],MATCH(Table2[[#Headers],[First Preferated Slat From Bottom]],Table2[#Headers],0),0)</f>
        <v>0</v>
      </c>
      <c r="AT451" s="2">
        <f>VLOOKUP([jobnumber],OvalData[],MATCH(Table2[[#Headers],[Total Number of Slats]],Table2[#Headers],0),0)</f>
        <v>51</v>
      </c>
      <c r="AU451" s="2">
        <f>VLOOKUP([jobnumber],OvalData[],MATCH(Table2[[#Headers],[Bottom Bar Slope]],Table2[#Headers],0),0)</f>
        <v>0</v>
      </c>
      <c r="AV451" s="2">
        <f>VLOOKUP([jobnumber],OvalData[],MATCH(Table2[[#Headers],[Bottom Bar Weight]],Table2[#Headers],0),0)</f>
        <v>80.5</v>
      </c>
      <c r="AW451" s="2" t="str">
        <f>VLOOKUP([jobnumber],OvalData[],MATCH(Table2[[#Headers],[Outer Spring Gage]],Table2[#Headers],0),0)</f>
        <v>Null</v>
      </c>
      <c r="AX451" s="2" t="str">
        <f>VLOOKUP([jobnumber],OvalData[],MATCH(Table2[[#Headers],[Outer Spring OD]],Table2[#Headers],0),0)</f>
        <v>Null</v>
      </c>
      <c r="AY451" s="2" t="str">
        <f>VLOOKUP([jobnumber],OvalData[],MATCH(Table2[[#Headers],[Outer Spring Length]],Table2[#Headers],0),0)</f>
        <v>Null</v>
      </c>
      <c r="AZ451" s="2" t="str">
        <f>VLOOKUP([jobnumber],OvalData[],MATCH(Table2[[#Headers],[Outer Spring Stretch]],Table2[#Headers],0),0)</f>
        <v>Null</v>
      </c>
      <c r="BA451" s="2" t="str">
        <f>VLOOKUP([jobnumber],OvalData[],MATCH(Table2[[#Headers],[Outer Spring Torque]],Table2[#Headers],0),0)</f>
        <v>Null</v>
      </c>
      <c r="BB451" s="2" t="str">
        <f>VLOOKUP([jobnumber],OvalData[],MATCH(Table2[[#Headers],[Outer Spring Max Turns]],Table2[#Headers],0),0)</f>
        <v>Null</v>
      </c>
      <c r="BC451" s="2" t="str">
        <f>VLOOKUP([jobnumber],OvalData[],MATCH(Table2[[#Headers],[Outer Spring Weight]],Table2[#Headers],0),0)</f>
        <v>Null</v>
      </c>
      <c r="BD451" s="2" t="str">
        <f>VLOOKUP([jobnumber],OvalData[],MATCH(Table2[[#Headers],[Inner Spring Gage]],Table2[#Headers],0),0)</f>
        <v>Null</v>
      </c>
      <c r="BE451" s="2" t="str">
        <f>VLOOKUP([jobnumber],OvalData[],MATCH(Table2[[#Headers],[Inner Spring OD]],Table2[#Headers],0),0)</f>
        <v>Null</v>
      </c>
      <c r="BF451" s="2" t="str">
        <f>VLOOKUP([jobnumber],OvalData[],MATCH(Table2[[#Headers],[Inner Spring Length]],Table2[#Headers],0),0)</f>
        <v>Null</v>
      </c>
      <c r="BG451" s="2" t="str">
        <f>VLOOKUP([jobnumber],OvalData[],MATCH(Table2[[#Headers],[Inner Spring Stretch]],Table2[#Headers],0),0)</f>
        <v>Null</v>
      </c>
      <c r="BH451" s="2" t="str">
        <f>VLOOKUP([jobnumber],OvalData[],MATCH(Table2[[#Headers],[Inner Spring Torque]],Table2[#Headers],0),0)</f>
        <v>Null</v>
      </c>
      <c r="BI451" s="2" t="str">
        <f>VLOOKUP([jobnumber],OvalData[],MATCH(Table2[[#Headers],[Inner Spring Max Turns]],Table2[#Headers],0),0)</f>
        <v>Null</v>
      </c>
      <c r="BJ451" s="2" t="str">
        <f>VLOOKUP([jobnumber],OvalData[],MATCH(Table2[[#Headers],[Inner Spring Weight]],Table2[#Headers],0),0)</f>
        <v>Null</v>
      </c>
      <c r="BK451" s="2">
        <f>VLOOKUP([jobnumber],OvalData[],MATCH(Table2[[#Headers],[Cycles]],Table2[#Headers],0),0)</f>
        <v>0</v>
      </c>
      <c r="BL451" s="2">
        <f>VLOOKUP([jobnumber],OvalData[],MATCH(Table2[[#Headers],[Total Spring Torque]],Table2[#Headers],0),0)</f>
        <v>0</v>
      </c>
      <c r="BM451" s="2">
        <f>VLOOKUP([jobnumber],OvalData[],MATCH(Table2[[#Headers],[Total Spring Weight]],Table2[#Headers],0),0)</f>
        <v>0</v>
      </c>
      <c r="BN451" s="2">
        <f>VLOOKUP([jobnumber],OvalData[],MATCH(Table2[[#Headers],[Pipe Weight]],Table2[#Headers],0),0)</f>
        <v>688.24239999999998</v>
      </c>
      <c r="BO451" s="2">
        <f>VLOOKUP([jobnumber],OvalData[],MATCH(Table2[[#Headers],[Max Pipe Deflection]],Table2[#Headers],0),0)</f>
        <v>2309</v>
      </c>
      <c r="BP451" s="2">
        <f>VLOOKUP([jobnumber],OvalData[],MATCH(Table2[[#Headers],[Number Non-Insulated Wrap Slats]],Table2[#Headers],0),0)</f>
        <v>0</v>
      </c>
      <c r="BQ451" s="2">
        <f>VLOOKUP([jobnumber],OvalData[],MATCH(Table2[[#Headers],[Number of Insolated Top Slats]],Table2[#Headers],0),0)</f>
        <v>45</v>
      </c>
      <c r="BR451" s="2">
        <f>VLOOKUP([jobnumber],OvalData[],MATCH(Table2[[#Headers],[Insolated Total Slats]],Table2[#Headers],0),0)</f>
        <v>45</v>
      </c>
      <c r="BS451" s="2">
        <f>VLOOKUP([jobnumber],OvalData[],MATCH(Table2[[#Headers],[Number of Slats]],Table2[#Headers],0),0)</f>
        <v>44.69</v>
      </c>
      <c r="BT451" s="2">
        <f>VLOOKUP([jobnumber],OvalData[],MATCH(Table2[[#Headers],[Wrap]],Table2[#Headers],0),0)</f>
        <v>0</v>
      </c>
      <c r="BU451" s="2">
        <f>VLOOKUP([jobnumber],OvalData[],MATCH(Table2[[#Headers],[Wall Angle Thickness]],Table2[#Headers],0),0)</f>
        <v>0</v>
      </c>
      <c r="BV451" s="2">
        <f>VLOOKUP([jobnumber],OvalData[],MATCH(Table2[[#Headers],[windlocks]],Table2[#Headers],0),0)</f>
        <v>0</v>
      </c>
      <c r="BW451" s="2" t="str">
        <f>VLOOKUP([jobnumber],OvalData[],MATCH(Table2[[#Headers],[bottombartype]],Table2[#Headers],0),0)</f>
        <v>SPECIAL</v>
      </c>
      <c r="BX451" s="2">
        <f>VLOOKUP([jobnumber],OvalData[],MATCH(Table2[[#Headers],[endlockweight]],Table2[#Headers],0),0)</f>
        <v>0.17</v>
      </c>
      <c r="BY451" s="2">
        <f>VLOOKUP([jobnumber],OvalData[],MATCH(Table2[[#Headers],[Endlock Total Weight]],Table2[#Headers],0),0)</f>
        <v>7.5972999999999997</v>
      </c>
      <c r="BZ451" s="2">
        <f>VLOOKUP([jobnumber],OvalData[],MATCH(Table2[[#Headers],[Grille Weight]],Table2[#Headers],0),0)</f>
        <v>0</v>
      </c>
      <c r="CA451" s="2">
        <f>VLOOKUP([jobnumber],OvalData[],MATCH(Table2[[#Headers],[barrelrings]],Table2[#Headers],0),0)</f>
        <v>1</v>
      </c>
    </row>
    <row r="452" spans="2:79">
      <c r="B452" s="2" t="str">
        <f>VLOOKUP([jobnumber],OvalData[],MATCH(Table2[[#Headers],[Hand]],Table2[#Headers],0),0)</f>
        <v>RH</v>
      </c>
      <c r="C452" s="2" t="str">
        <f>VLOOKUP([jobnumber],OvalData[],MATCH(Table2[[#Headers],[Model]],Table2[#Headers],0),0)</f>
        <v>SFMPP</v>
      </c>
      <c r="D452" s="2" t="str">
        <f>VLOOKUP([jobnumber],OvalData[],MATCH(Table2[[#Headers],[width]],Table2[#Headers],0),0)</f>
        <v xml:space="preserve"> 18 ft.- 2"</v>
      </c>
      <c r="E452" s="2" t="str">
        <f>VLOOKUP([jobnumber],OvalData[],MATCH(Table2[[#Headers],[stopheight]],Table2[#Headers],0),0)</f>
        <v xml:space="preserve"> 10 ft.- 0"</v>
      </c>
      <c r="F452" s="2" t="str">
        <f>VLOOKUP([jobnumber],OvalData[],MATCH(Table2[[#Headers],[Between Brackets]],Table2[#Headers],0),0)</f>
        <v xml:space="preserve"> 18 ft.- 7 7/ 8"</v>
      </c>
      <c r="G452" s="2" t="str">
        <f>VLOOKUP([jobnumber],OvalData[],MATCH(Table2[[#Headers],[shell]],Table2[#Headers],0),0)</f>
        <v>6 INCH TUBE</v>
      </c>
      <c r="H452" s="2" t="str">
        <f>VLOOKUP([jobnumber],OvalData[],MATCH(Table2[[#Headers],[pipewidth]],Table2[#Headers],0),0)</f>
        <v xml:space="preserve"> 18 ft.- 1 3/ 8"</v>
      </c>
      <c r="I452" s="2">
        <f>VLOOKUP([jobnumber],OvalData[],MATCH(Table2[[#Headers],[Support Tubes]],Table2[#Headers],0),0)</f>
        <v>0</v>
      </c>
      <c r="J452" s="2">
        <f>VLOOKUP([jobnumber],OvalData[],MATCH(Table2[[#Headers],[Upset]],Table2[#Headers],0),0)</f>
        <v>2</v>
      </c>
      <c r="K452" s="2" t="str">
        <f>VLOOKUP([jobnumber],OvalData[],MATCH(Table2[[#Headers],[Guide Type]],Table2[#Headers],0),0)</f>
        <v>SN2-4 5/8-E</v>
      </c>
      <c r="L452" s="2" t="str">
        <f>VLOOKUP([jobnumber],OvalData[],MATCH(Table2[[#Headers],[Wall Angle]],Table2[#Headers],0),0)</f>
        <v xml:space="preserve"> 11 ft.- 8"</v>
      </c>
      <c r="M452" s="2" t="str">
        <f>VLOOKUP([jobnumber],OvalData[],MATCH(Table2[[#Headers],[Middle Angle]],Table2[#Headers],0),0)</f>
        <v xml:space="preserve"> 10 ft.- 4 1/ 2"</v>
      </c>
      <c r="N452" s="2" t="str">
        <f>VLOOKUP([jobnumber],OvalData[],MATCH(Table2[[#Headers],[Front Angle]],Table2[#Headers],0),0)</f>
        <v xml:space="preserve"> 10 ft.- 3"</v>
      </c>
      <c r="O452" s="2">
        <f>VLOOKUP([jobnumber],OvalData[],MATCH(Table2[[#Headers],[Pipe Center Line]],Table2[#Headers],0),0)</f>
        <v>131</v>
      </c>
      <c r="P452" s="2">
        <f>VLOOKUP([jobnumber],OvalData[],MATCH(Table2[[#Headers],[Heat Expansion Gap]],Table2[#Headers],0),0)</f>
        <v>0</v>
      </c>
      <c r="Q452" s="2">
        <f>VLOOKUP([jobnumber],OvalData[],MATCH(Table2[[#Headers],[Hanging Weight Closed]],Table2[#Headers],0),0)</f>
        <v>795</v>
      </c>
      <c r="R452" s="2">
        <f>VLOOKUP([jobnumber],OvalData[],MATCH(Table2[[#Headers],[Hanging Weight Open]],Table2[#Headers],0),0)</f>
        <v>140</v>
      </c>
      <c r="S452" s="2">
        <f>VLOOKUP([jobnumber],OvalData[],MATCH(Table2[[#Headers],[Initial Lever Arm]],Table2[#Headers],0),0)</f>
        <v>4.25</v>
      </c>
      <c r="T452" s="2">
        <f>VLOOKUP([jobnumber],OvalData[],MATCH(Table2[[#Headers],[Turns to Raise]],Table2[#Headers],0),0)</f>
        <v>3.5859999999999999</v>
      </c>
      <c r="U452" s="2">
        <f>VLOOKUP([jobnumber],OvalData[],MATCH(Table2[[#Headers],[Final Lever Arm]],Table2[#Headers],0),0)</f>
        <v>6.37</v>
      </c>
      <c r="V452" s="2">
        <f>VLOOKUP([jobnumber],OvalData[],MATCH(Table2[[#Headers],[Torque Required Closed]],Table2[#Headers],0),0)</f>
        <v>3377.9</v>
      </c>
      <c r="W452" s="2">
        <f>VLOOKUP([jobnumber],OvalData[],MATCH(Table2[[#Headers],[Torque Required Open]],Table2[#Headers],0),0)</f>
        <v>892</v>
      </c>
      <c r="X452" s="2">
        <f>VLOOKUP([jobnumber],OvalData[],MATCH(Table2[[#Headers],[Pre Turns]],Table2[#Headers],0),0)</f>
        <v>1.3332999999999999</v>
      </c>
      <c r="Y452" s="2">
        <f>VLOOKUP([jobnumber],OvalData[],MATCH(Table2[[#Headers],[Required Torque Per Turn]],Table2[#Headers],0),0)</f>
        <v>688</v>
      </c>
      <c r="Z452" s="2">
        <f>VLOOKUP([jobnumber],OvalData[],MATCH(Table2[[#Headers],[Total Turns]],Table2[#Headers],0),0)</f>
        <v>4.91</v>
      </c>
      <c r="AA452" s="2">
        <f>VLOOKUP([jobnumber],OvalData[],MATCH(Table2[[#Headers],[Grille Vision Section]],Table2[#Headers],0),0)</f>
        <v>0</v>
      </c>
      <c r="AB452" s="2">
        <f>VLOOKUP([jobnumber],OvalData[],MATCH(Table2[[#Headers],[Grille Amount]],Table2[#Headers],0),0)</f>
        <v>0</v>
      </c>
      <c r="AC452" s="2">
        <f>VLOOKUP([jobnumber],OvalData[],MATCH(Table2[[#Headers],[Grille Center]],Table2[#Headers],0),0)</f>
        <v>0</v>
      </c>
      <c r="AD452" s="2">
        <f>VLOOKUP([jobnumber],OvalData[],MATCH(Table2[[#Headers],[Grille Pattern]],Table2[#Headers],0),0)</f>
        <v>0</v>
      </c>
      <c r="AE452" s="2">
        <f>VLOOKUP([jobnumber],OvalData[],MATCH(Table2[[#Headers],[Grille First Tube]],Table2[#Headers],0),0)</f>
        <v>0</v>
      </c>
      <c r="AF452" s="2">
        <f>VLOOKUP([jobnumber],OvalData[],MATCH(Table2[[#Headers],[Grille Standard Tube]],Table2[#Headers],0),0)</f>
        <v>0</v>
      </c>
      <c r="AG452" s="2">
        <f>VLOOKUP([jobnumber],OvalData[],MATCH(Table2[[#Headers],[Grille Total Links]],Table2[#Headers],0),0)</f>
        <v>0</v>
      </c>
      <c r="AH452" s="2">
        <f>VLOOKUP([jobnumber],OvalData[],MATCH(Table2[[#Headers],[Grille Rods]],Table2[#Headers],0),0)</f>
        <v>0</v>
      </c>
      <c r="AI452" s="2">
        <f>VLOOKUP([jobnumber],OvalData[],MATCH(Table2[[#Headers],[Grille Rod Length]],Table2[#Headers],0),0)</f>
        <v>0</v>
      </c>
      <c r="AJ452" s="2">
        <f>VLOOKUP([jobnumber],OvalData[],MATCH(Table2[[#Headers],[slattype]],Table2[#Headers],0),0)</f>
        <v>2</v>
      </c>
      <c r="AK452" s="2">
        <f>VLOOKUP([jobnumber],OvalData[],MATCH(Table2[[#Headers],[slatgage]],Table2[#Headers],0),0)</f>
        <v>18</v>
      </c>
      <c r="AL452" s="2">
        <f>VLOOKUP([jobnumber],OvalData[],MATCH(Table2[[#Headers],[Numer of Top Slats]],Table2[#Headers],0),0)</f>
        <v>0</v>
      </c>
      <c r="AM452" s="2">
        <f>VLOOKUP([jobnumber],OvalData[],MATCH(Table2[[#Headers],[Number of Bottom Slats]],Table2[#Headers],0),0)</f>
        <v>0</v>
      </c>
      <c r="AN452" s="2">
        <f>VLOOKUP([jobnumber],OvalData[],MATCH(Table2[[#Headers],[Solid Bottom Height]],Table2[#Headers],0),0)</f>
        <v>0</v>
      </c>
      <c r="AO452" s="2" t="str">
        <f>VLOOKUP([jobnumber],OvalData[],MATCH(Table2[[#Headers],[slatlength]],Table2[#Headers],0),0)</f>
        <v xml:space="preserve"> 18 ft.- 5 7/ 8"</v>
      </c>
      <c r="AP452" s="2">
        <f>VLOOKUP([jobnumber],OvalData[],MATCH(Table2[[#Headers],[Bottom Slat Length]],Table2[#Headers],0),0)</f>
        <v>0</v>
      </c>
      <c r="AQ452" s="2">
        <f>VLOOKUP([jobnumber],OvalData[],MATCH(Table2[[#Headers],[Number of Perferated Slats]],Table2[#Headers],0),0)</f>
        <v>0</v>
      </c>
      <c r="AR452" s="2">
        <f>VLOOKUP([jobnumber],OvalData[],MATCH(Table2[[#Headers],[First Preferated Slat From End]],Table2[#Headers],0),0)</f>
        <v>0</v>
      </c>
      <c r="AS452" s="2">
        <f>VLOOKUP([jobnumber],OvalData[],MATCH(Table2[[#Headers],[First Preferated Slat From Bottom]],Table2[#Headers],0),0)</f>
        <v>0</v>
      </c>
      <c r="AT452" s="2">
        <f>VLOOKUP([jobnumber],OvalData[],MATCH(Table2[[#Headers],[Total Number of Slats]],Table2[#Headers],0),0)</f>
        <v>51</v>
      </c>
      <c r="AU452" s="2">
        <f>VLOOKUP([jobnumber],OvalData[],MATCH(Table2[[#Headers],[Bottom Bar Slope]],Table2[#Headers],0),0)</f>
        <v>0</v>
      </c>
      <c r="AV452" s="2">
        <f>VLOOKUP([jobnumber],OvalData[],MATCH(Table2[[#Headers],[Bottom Bar Weight]],Table2[#Headers],0),0)</f>
        <v>80.5</v>
      </c>
      <c r="AW452" s="2" t="str">
        <f>VLOOKUP([jobnumber],OvalData[],MATCH(Table2[[#Headers],[Outer Spring Gage]],Table2[#Headers],0),0)</f>
        <v>Null</v>
      </c>
      <c r="AX452" s="2" t="str">
        <f>VLOOKUP([jobnumber],OvalData[],MATCH(Table2[[#Headers],[Outer Spring OD]],Table2[#Headers],0),0)</f>
        <v>Null</v>
      </c>
      <c r="AY452" s="2" t="str">
        <f>VLOOKUP([jobnumber],OvalData[],MATCH(Table2[[#Headers],[Outer Spring Length]],Table2[#Headers],0),0)</f>
        <v>Null</v>
      </c>
      <c r="AZ452" s="2" t="str">
        <f>VLOOKUP([jobnumber],OvalData[],MATCH(Table2[[#Headers],[Outer Spring Stretch]],Table2[#Headers],0),0)</f>
        <v>Null</v>
      </c>
      <c r="BA452" s="2" t="str">
        <f>VLOOKUP([jobnumber],OvalData[],MATCH(Table2[[#Headers],[Outer Spring Torque]],Table2[#Headers],0),0)</f>
        <v>Null</v>
      </c>
      <c r="BB452" s="2" t="str">
        <f>VLOOKUP([jobnumber],OvalData[],MATCH(Table2[[#Headers],[Outer Spring Max Turns]],Table2[#Headers],0),0)</f>
        <v>Null</v>
      </c>
      <c r="BC452" s="2" t="str">
        <f>VLOOKUP([jobnumber],OvalData[],MATCH(Table2[[#Headers],[Outer Spring Weight]],Table2[#Headers],0),0)</f>
        <v>Null</v>
      </c>
      <c r="BD452" s="2" t="str">
        <f>VLOOKUP([jobnumber],OvalData[],MATCH(Table2[[#Headers],[Inner Spring Gage]],Table2[#Headers],0),0)</f>
        <v>Null</v>
      </c>
      <c r="BE452" s="2" t="str">
        <f>VLOOKUP([jobnumber],OvalData[],MATCH(Table2[[#Headers],[Inner Spring OD]],Table2[#Headers],0),0)</f>
        <v>Null</v>
      </c>
      <c r="BF452" s="2" t="str">
        <f>VLOOKUP([jobnumber],OvalData[],MATCH(Table2[[#Headers],[Inner Spring Length]],Table2[#Headers],0),0)</f>
        <v>Null</v>
      </c>
      <c r="BG452" s="2" t="str">
        <f>VLOOKUP([jobnumber],OvalData[],MATCH(Table2[[#Headers],[Inner Spring Stretch]],Table2[#Headers],0),0)</f>
        <v>Null</v>
      </c>
      <c r="BH452" s="2" t="str">
        <f>VLOOKUP([jobnumber],OvalData[],MATCH(Table2[[#Headers],[Inner Spring Torque]],Table2[#Headers],0),0)</f>
        <v>Null</v>
      </c>
      <c r="BI452" s="2" t="str">
        <f>VLOOKUP([jobnumber],OvalData[],MATCH(Table2[[#Headers],[Inner Spring Max Turns]],Table2[#Headers],0),0)</f>
        <v>Null</v>
      </c>
      <c r="BJ452" s="2" t="str">
        <f>VLOOKUP([jobnumber],OvalData[],MATCH(Table2[[#Headers],[Inner Spring Weight]],Table2[#Headers],0),0)</f>
        <v>Null</v>
      </c>
      <c r="BK452" s="2">
        <f>VLOOKUP([jobnumber],OvalData[],MATCH(Table2[[#Headers],[Cycles]],Table2[#Headers],0),0)</f>
        <v>0</v>
      </c>
      <c r="BL452" s="2">
        <f>VLOOKUP([jobnumber],OvalData[],MATCH(Table2[[#Headers],[Total Spring Torque]],Table2[#Headers],0),0)</f>
        <v>0</v>
      </c>
      <c r="BM452" s="2">
        <f>VLOOKUP([jobnumber],OvalData[],MATCH(Table2[[#Headers],[Total Spring Weight]],Table2[#Headers],0),0)</f>
        <v>0</v>
      </c>
      <c r="BN452" s="2">
        <f>VLOOKUP([jobnumber],OvalData[],MATCH(Table2[[#Headers],[Pipe Weight]],Table2[#Headers],0),0)</f>
        <v>688.24239999999998</v>
      </c>
      <c r="BO452" s="2">
        <f>VLOOKUP([jobnumber],OvalData[],MATCH(Table2[[#Headers],[Max Pipe Deflection]],Table2[#Headers],0),0)</f>
        <v>2309</v>
      </c>
      <c r="BP452" s="2">
        <f>VLOOKUP([jobnumber],OvalData[],MATCH(Table2[[#Headers],[Number Non-Insulated Wrap Slats]],Table2[#Headers],0),0)</f>
        <v>0</v>
      </c>
      <c r="BQ452" s="2">
        <f>VLOOKUP([jobnumber],OvalData[],MATCH(Table2[[#Headers],[Number of Insolated Top Slats]],Table2[#Headers],0),0)</f>
        <v>45</v>
      </c>
      <c r="BR452" s="2">
        <f>VLOOKUP([jobnumber],OvalData[],MATCH(Table2[[#Headers],[Insolated Total Slats]],Table2[#Headers],0),0)</f>
        <v>45</v>
      </c>
      <c r="BS452" s="2">
        <f>VLOOKUP([jobnumber],OvalData[],MATCH(Table2[[#Headers],[Number of Slats]],Table2[#Headers],0),0)</f>
        <v>44.69</v>
      </c>
      <c r="BT452" s="2">
        <f>VLOOKUP([jobnumber],OvalData[],MATCH(Table2[[#Headers],[Wrap]],Table2[#Headers],0),0)</f>
        <v>0</v>
      </c>
      <c r="BU452" s="2">
        <f>VLOOKUP([jobnumber],OvalData[],MATCH(Table2[[#Headers],[Wall Angle Thickness]],Table2[#Headers],0),0)</f>
        <v>0</v>
      </c>
      <c r="BV452" s="2">
        <f>VLOOKUP([jobnumber],OvalData[],MATCH(Table2[[#Headers],[windlocks]],Table2[#Headers],0),0)</f>
        <v>0</v>
      </c>
      <c r="BW452" s="2" t="str">
        <f>VLOOKUP([jobnumber],OvalData[],MATCH(Table2[[#Headers],[bottombartype]],Table2[#Headers],0),0)</f>
        <v>SPECIAL</v>
      </c>
      <c r="BX452" s="2">
        <f>VLOOKUP([jobnumber],OvalData[],MATCH(Table2[[#Headers],[endlockweight]],Table2[#Headers],0),0)</f>
        <v>0.17</v>
      </c>
      <c r="BY452" s="2">
        <f>VLOOKUP([jobnumber],OvalData[],MATCH(Table2[[#Headers],[Endlock Total Weight]],Table2[#Headers],0),0)</f>
        <v>7.5972999999999997</v>
      </c>
      <c r="BZ452" s="2">
        <f>VLOOKUP([jobnumber],OvalData[],MATCH(Table2[[#Headers],[Grille Weight]],Table2[#Headers],0),0)</f>
        <v>0</v>
      </c>
      <c r="CA452" s="2">
        <f>VLOOKUP([jobnumber],OvalData[],MATCH(Table2[[#Headers],[barrelrings]],Table2[#Headers],0),0)</f>
        <v>1</v>
      </c>
    </row>
    <row r="453" spans="2:79">
      <c r="B453" s="2" t="str">
        <f>VLOOKUP([jobnumber],OvalData[],MATCH(Table2[[#Headers],[Hand]],Table2[#Headers],0),0)</f>
        <v>RH</v>
      </c>
      <c r="C453" s="2" t="str">
        <f>VLOOKUP([jobnumber],OvalData[],MATCH(Table2[[#Headers],[Model]],Table2[#Headers],0),0)</f>
        <v>SFMPP</v>
      </c>
      <c r="D453" s="2" t="str">
        <f>VLOOKUP([jobnumber],OvalData[],MATCH(Table2[[#Headers],[width]],Table2[#Headers],0),0)</f>
        <v xml:space="preserve"> 18 ft.- 2"</v>
      </c>
      <c r="E453" s="2" t="str">
        <f>VLOOKUP([jobnumber],OvalData[],MATCH(Table2[[#Headers],[stopheight]],Table2[#Headers],0),0)</f>
        <v xml:space="preserve"> 10 ft.- 0"</v>
      </c>
      <c r="F453" s="2" t="str">
        <f>VLOOKUP([jobnumber],OvalData[],MATCH(Table2[[#Headers],[Between Brackets]],Table2[#Headers],0),0)</f>
        <v xml:space="preserve"> 18 ft.- 7 7/ 8"</v>
      </c>
      <c r="G453" s="2" t="str">
        <f>VLOOKUP([jobnumber],OvalData[],MATCH(Table2[[#Headers],[shell]],Table2[#Headers],0),0)</f>
        <v>6 INCH TUBE</v>
      </c>
      <c r="H453" s="2" t="str">
        <f>VLOOKUP([jobnumber],OvalData[],MATCH(Table2[[#Headers],[pipewidth]],Table2[#Headers],0),0)</f>
        <v xml:space="preserve"> 18 ft.- 1 3/ 8"</v>
      </c>
      <c r="I453" s="2">
        <f>VLOOKUP([jobnumber],OvalData[],MATCH(Table2[[#Headers],[Support Tubes]],Table2[#Headers],0),0)</f>
        <v>0</v>
      </c>
      <c r="J453" s="2">
        <f>VLOOKUP([jobnumber],OvalData[],MATCH(Table2[[#Headers],[Upset]],Table2[#Headers],0),0)</f>
        <v>2</v>
      </c>
      <c r="K453" s="2" t="str">
        <f>VLOOKUP([jobnumber],OvalData[],MATCH(Table2[[#Headers],[Guide Type]],Table2[#Headers],0),0)</f>
        <v>SN2-4 5/8-E</v>
      </c>
      <c r="L453" s="2" t="str">
        <f>VLOOKUP([jobnumber],OvalData[],MATCH(Table2[[#Headers],[Wall Angle]],Table2[#Headers],0),0)</f>
        <v xml:space="preserve"> 11 ft.- 8"</v>
      </c>
      <c r="M453" s="2" t="str">
        <f>VLOOKUP([jobnumber],OvalData[],MATCH(Table2[[#Headers],[Middle Angle]],Table2[#Headers],0),0)</f>
        <v xml:space="preserve"> 10 ft.- 4 1/ 2"</v>
      </c>
      <c r="N453" s="2" t="str">
        <f>VLOOKUP([jobnumber],OvalData[],MATCH(Table2[[#Headers],[Front Angle]],Table2[#Headers],0),0)</f>
        <v xml:space="preserve"> 10 ft.- 3"</v>
      </c>
      <c r="O453" s="2">
        <f>VLOOKUP([jobnumber],OvalData[],MATCH(Table2[[#Headers],[Pipe Center Line]],Table2[#Headers],0),0)</f>
        <v>131</v>
      </c>
      <c r="P453" s="2">
        <f>VLOOKUP([jobnumber],OvalData[],MATCH(Table2[[#Headers],[Heat Expansion Gap]],Table2[#Headers],0),0)</f>
        <v>0</v>
      </c>
      <c r="Q453" s="2">
        <f>VLOOKUP([jobnumber],OvalData[],MATCH(Table2[[#Headers],[Hanging Weight Closed]],Table2[#Headers],0),0)</f>
        <v>795</v>
      </c>
      <c r="R453" s="2">
        <f>VLOOKUP([jobnumber],OvalData[],MATCH(Table2[[#Headers],[Hanging Weight Open]],Table2[#Headers],0),0)</f>
        <v>140</v>
      </c>
      <c r="S453" s="2">
        <f>VLOOKUP([jobnumber],OvalData[],MATCH(Table2[[#Headers],[Initial Lever Arm]],Table2[#Headers],0),0)</f>
        <v>4.25</v>
      </c>
      <c r="T453" s="2">
        <f>VLOOKUP([jobnumber],OvalData[],MATCH(Table2[[#Headers],[Turns to Raise]],Table2[#Headers],0),0)</f>
        <v>3.5859999999999999</v>
      </c>
      <c r="U453" s="2">
        <f>VLOOKUP([jobnumber],OvalData[],MATCH(Table2[[#Headers],[Final Lever Arm]],Table2[#Headers],0),0)</f>
        <v>6.37</v>
      </c>
      <c r="V453" s="2">
        <f>VLOOKUP([jobnumber],OvalData[],MATCH(Table2[[#Headers],[Torque Required Closed]],Table2[#Headers],0),0)</f>
        <v>3377.9</v>
      </c>
      <c r="W453" s="2">
        <f>VLOOKUP([jobnumber],OvalData[],MATCH(Table2[[#Headers],[Torque Required Open]],Table2[#Headers],0),0)</f>
        <v>892</v>
      </c>
      <c r="X453" s="2">
        <f>VLOOKUP([jobnumber],OvalData[],MATCH(Table2[[#Headers],[Pre Turns]],Table2[#Headers],0),0)</f>
        <v>1.3332999999999999</v>
      </c>
      <c r="Y453" s="2">
        <f>VLOOKUP([jobnumber],OvalData[],MATCH(Table2[[#Headers],[Required Torque Per Turn]],Table2[#Headers],0),0)</f>
        <v>688</v>
      </c>
      <c r="Z453" s="2">
        <f>VLOOKUP([jobnumber],OvalData[],MATCH(Table2[[#Headers],[Total Turns]],Table2[#Headers],0),0)</f>
        <v>4.91</v>
      </c>
      <c r="AA453" s="2">
        <f>VLOOKUP([jobnumber],OvalData[],MATCH(Table2[[#Headers],[Grille Vision Section]],Table2[#Headers],0),0)</f>
        <v>0</v>
      </c>
      <c r="AB453" s="2">
        <f>VLOOKUP([jobnumber],OvalData[],MATCH(Table2[[#Headers],[Grille Amount]],Table2[#Headers],0),0)</f>
        <v>0</v>
      </c>
      <c r="AC453" s="2">
        <f>VLOOKUP([jobnumber],OvalData[],MATCH(Table2[[#Headers],[Grille Center]],Table2[#Headers],0),0)</f>
        <v>0</v>
      </c>
      <c r="AD453" s="2">
        <f>VLOOKUP([jobnumber],OvalData[],MATCH(Table2[[#Headers],[Grille Pattern]],Table2[#Headers],0),0)</f>
        <v>0</v>
      </c>
      <c r="AE453" s="2">
        <f>VLOOKUP([jobnumber],OvalData[],MATCH(Table2[[#Headers],[Grille First Tube]],Table2[#Headers],0),0)</f>
        <v>0</v>
      </c>
      <c r="AF453" s="2">
        <f>VLOOKUP([jobnumber],OvalData[],MATCH(Table2[[#Headers],[Grille Standard Tube]],Table2[#Headers],0),0)</f>
        <v>0</v>
      </c>
      <c r="AG453" s="2">
        <f>VLOOKUP([jobnumber],OvalData[],MATCH(Table2[[#Headers],[Grille Total Links]],Table2[#Headers],0),0)</f>
        <v>0</v>
      </c>
      <c r="AH453" s="2">
        <f>VLOOKUP([jobnumber],OvalData[],MATCH(Table2[[#Headers],[Grille Rods]],Table2[#Headers],0),0)</f>
        <v>0</v>
      </c>
      <c r="AI453" s="2">
        <f>VLOOKUP([jobnumber],OvalData[],MATCH(Table2[[#Headers],[Grille Rod Length]],Table2[#Headers],0),0)</f>
        <v>0</v>
      </c>
      <c r="AJ453" s="2">
        <f>VLOOKUP([jobnumber],OvalData[],MATCH(Table2[[#Headers],[slattype]],Table2[#Headers],0),0)</f>
        <v>2</v>
      </c>
      <c r="AK453" s="2">
        <f>VLOOKUP([jobnumber],OvalData[],MATCH(Table2[[#Headers],[slatgage]],Table2[#Headers],0),0)</f>
        <v>18</v>
      </c>
      <c r="AL453" s="2">
        <f>VLOOKUP([jobnumber],OvalData[],MATCH(Table2[[#Headers],[Numer of Top Slats]],Table2[#Headers],0),0)</f>
        <v>0</v>
      </c>
      <c r="AM453" s="2">
        <f>VLOOKUP([jobnumber],OvalData[],MATCH(Table2[[#Headers],[Number of Bottom Slats]],Table2[#Headers],0),0)</f>
        <v>0</v>
      </c>
      <c r="AN453" s="2">
        <f>VLOOKUP([jobnumber],OvalData[],MATCH(Table2[[#Headers],[Solid Bottom Height]],Table2[#Headers],0),0)</f>
        <v>0</v>
      </c>
      <c r="AO453" s="2" t="str">
        <f>VLOOKUP([jobnumber],OvalData[],MATCH(Table2[[#Headers],[slatlength]],Table2[#Headers],0),0)</f>
        <v xml:space="preserve"> 18 ft.- 5 7/ 8"</v>
      </c>
      <c r="AP453" s="2">
        <f>VLOOKUP([jobnumber],OvalData[],MATCH(Table2[[#Headers],[Bottom Slat Length]],Table2[#Headers],0),0)</f>
        <v>0</v>
      </c>
      <c r="AQ453" s="2">
        <f>VLOOKUP([jobnumber],OvalData[],MATCH(Table2[[#Headers],[Number of Perferated Slats]],Table2[#Headers],0),0)</f>
        <v>0</v>
      </c>
      <c r="AR453" s="2">
        <f>VLOOKUP([jobnumber],OvalData[],MATCH(Table2[[#Headers],[First Preferated Slat From End]],Table2[#Headers],0),0)</f>
        <v>0</v>
      </c>
      <c r="AS453" s="2">
        <f>VLOOKUP([jobnumber],OvalData[],MATCH(Table2[[#Headers],[First Preferated Slat From Bottom]],Table2[#Headers],0),0)</f>
        <v>0</v>
      </c>
      <c r="AT453" s="2">
        <f>VLOOKUP([jobnumber],OvalData[],MATCH(Table2[[#Headers],[Total Number of Slats]],Table2[#Headers],0),0)</f>
        <v>51</v>
      </c>
      <c r="AU453" s="2">
        <f>VLOOKUP([jobnumber],OvalData[],MATCH(Table2[[#Headers],[Bottom Bar Slope]],Table2[#Headers],0),0)</f>
        <v>0</v>
      </c>
      <c r="AV453" s="2">
        <f>VLOOKUP([jobnumber],OvalData[],MATCH(Table2[[#Headers],[Bottom Bar Weight]],Table2[#Headers],0),0)</f>
        <v>80.5</v>
      </c>
      <c r="AW453" s="2" t="str">
        <f>VLOOKUP([jobnumber],OvalData[],MATCH(Table2[[#Headers],[Outer Spring Gage]],Table2[#Headers],0),0)</f>
        <v>Null</v>
      </c>
      <c r="AX453" s="2" t="str">
        <f>VLOOKUP([jobnumber],OvalData[],MATCH(Table2[[#Headers],[Outer Spring OD]],Table2[#Headers],0),0)</f>
        <v>Null</v>
      </c>
      <c r="AY453" s="2" t="str">
        <f>VLOOKUP([jobnumber],OvalData[],MATCH(Table2[[#Headers],[Outer Spring Length]],Table2[#Headers],0),0)</f>
        <v>Null</v>
      </c>
      <c r="AZ453" s="2" t="str">
        <f>VLOOKUP([jobnumber],OvalData[],MATCH(Table2[[#Headers],[Outer Spring Stretch]],Table2[#Headers],0),0)</f>
        <v>Null</v>
      </c>
      <c r="BA453" s="2" t="str">
        <f>VLOOKUP([jobnumber],OvalData[],MATCH(Table2[[#Headers],[Outer Spring Torque]],Table2[#Headers],0),0)</f>
        <v>Null</v>
      </c>
      <c r="BB453" s="2" t="str">
        <f>VLOOKUP([jobnumber],OvalData[],MATCH(Table2[[#Headers],[Outer Spring Max Turns]],Table2[#Headers],0),0)</f>
        <v>Null</v>
      </c>
      <c r="BC453" s="2" t="str">
        <f>VLOOKUP([jobnumber],OvalData[],MATCH(Table2[[#Headers],[Outer Spring Weight]],Table2[#Headers],0),0)</f>
        <v>Null</v>
      </c>
      <c r="BD453" s="2" t="str">
        <f>VLOOKUP([jobnumber],OvalData[],MATCH(Table2[[#Headers],[Inner Spring Gage]],Table2[#Headers],0),0)</f>
        <v>Null</v>
      </c>
      <c r="BE453" s="2" t="str">
        <f>VLOOKUP([jobnumber],OvalData[],MATCH(Table2[[#Headers],[Inner Spring OD]],Table2[#Headers],0),0)</f>
        <v>Null</v>
      </c>
      <c r="BF453" s="2" t="str">
        <f>VLOOKUP([jobnumber],OvalData[],MATCH(Table2[[#Headers],[Inner Spring Length]],Table2[#Headers],0),0)</f>
        <v>Null</v>
      </c>
      <c r="BG453" s="2" t="str">
        <f>VLOOKUP([jobnumber],OvalData[],MATCH(Table2[[#Headers],[Inner Spring Stretch]],Table2[#Headers],0),0)</f>
        <v>Null</v>
      </c>
      <c r="BH453" s="2" t="str">
        <f>VLOOKUP([jobnumber],OvalData[],MATCH(Table2[[#Headers],[Inner Spring Torque]],Table2[#Headers],0),0)</f>
        <v>Null</v>
      </c>
      <c r="BI453" s="2" t="str">
        <f>VLOOKUP([jobnumber],OvalData[],MATCH(Table2[[#Headers],[Inner Spring Max Turns]],Table2[#Headers],0),0)</f>
        <v>Null</v>
      </c>
      <c r="BJ453" s="2" t="str">
        <f>VLOOKUP([jobnumber],OvalData[],MATCH(Table2[[#Headers],[Inner Spring Weight]],Table2[#Headers],0),0)</f>
        <v>Null</v>
      </c>
      <c r="BK453" s="2">
        <f>VLOOKUP([jobnumber],OvalData[],MATCH(Table2[[#Headers],[Cycles]],Table2[#Headers],0),0)</f>
        <v>0</v>
      </c>
      <c r="BL453" s="2">
        <f>VLOOKUP([jobnumber],OvalData[],MATCH(Table2[[#Headers],[Total Spring Torque]],Table2[#Headers],0),0)</f>
        <v>0</v>
      </c>
      <c r="BM453" s="2">
        <f>VLOOKUP([jobnumber],OvalData[],MATCH(Table2[[#Headers],[Total Spring Weight]],Table2[#Headers],0),0)</f>
        <v>0</v>
      </c>
      <c r="BN453" s="2">
        <f>VLOOKUP([jobnumber],OvalData[],MATCH(Table2[[#Headers],[Pipe Weight]],Table2[#Headers],0),0)</f>
        <v>688.24239999999998</v>
      </c>
      <c r="BO453" s="2">
        <f>VLOOKUP([jobnumber],OvalData[],MATCH(Table2[[#Headers],[Max Pipe Deflection]],Table2[#Headers],0),0)</f>
        <v>2309</v>
      </c>
      <c r="BP453" s="2">
        <f>VLOOKUP([jobnumber],OvalData[],MATCH(Table2[[#Headers],[Number Non-Insulated Wrap Slats]],Table2[#Headers],0),0)</f>
        <v>0</v>
      </c>
      <c r="BQ453" s="2">
        <f>VLOOKUP([jobnumber],OvalData[],MATCH(Table2[[#Headers],[Number of Insolated Top Slats]],Table2[#Headers],0),0)</f>
        <v>45</v>
      </c>
      <c r="BR453" s="2">
        <f>VLOOKUP([jobnumber],OvalData[],MATCH(Table2[[#Headers],[Insolated Total Slats]],Table2[#Headers],0),0)</f>
        <v>45</v>
      </c>
      <c r="BS453" s="2">
        <f>VLOOKUP([jobnumber],OvalData[],MATCH(Table2[[#Headers],[Number of Slats]],Table2[#Headers],0),0)</f>
        <v>44.69</v>
      </c>
      <c r="BT453" s="2">
        <f>VLOOKUP([jobnumber],OvalData[],MATCH(Table2[[#Headers],[Wrap]],Table2[#Headers],0),0)</f>
        <v>0</v>
      </c>
      <c r="BU453" s="2">
        <f>VLOOKUP([jobnumber],OvalData[],MATCH(Table2[[#Headers],[Wall Angle Thickness]],Table2[#Headers],0),0)</f>
        <v>0</v>
      </c>
      <c r="BV453" s="2">
        <f>VLOOKUP([jobnumber],OvalData[],MATCH(Table2[[#Headers],[windlocks]],Table2[#Headers],0),0)</f>
        <v>0</v>
      </c>
      <c r="BW453" s="2" t="str">
        <f>VLOOKUP([jobnumber],OvalData[],MATCH(Table2[[#Headers],[bottombartype]],Table2[#Headers],0),0)</f>
        <v>SPECIAL</v>
      </c>
      <c r="BX453" s="2">
        <f>VLOOKUP([jobnumber],OvalData[],MATCH(Table2[[#Headers],[endlockweight]],Table2[#Headers],0),0)</f>
        <v>0.17</v>
      </c>
      <c r="BY453" s="2">
        <f>VLOOKUP([jobnumber],OvalData[],MATCH(Table2[[#Headers],[Endlock Total Weight]],Table2[#Headers],0),0)</f>
        <v>7.5972999999999997</v>
      </c>
      <c r="BZ453" s="2">
        <f>VLOOKUP([jobnumber],OvalData[],MATCH(Table2[[#Headers],[Grille Weight]],Table2[#Headers],0),0)</f>
        <v>0</v>
      </c>
      <c r="CA453" s="2">
        <f>VLOOKUP([jobnumber],OvalData[],MATCH(Table2[[#Headers],[barrelrings]],Table2[#Headers],0),0)</f>
        <v>1</v>
      </c>
    </row>
    <row r="454" spans="2:79">
      <c r="B454" s="2" t="str">
        <f>VLOOKUP([jobnumber],OvalData[],MATCH(Table2[[#Headers],[Hand]],Table2[#Headers],0),0)</f>
        <v>RH</v>
      </c>
      <c r="C454" s="2" t="str">
        <f>VLOOKUP([jobnumber],OvalData[],MATCH(Table2[[#Headers],[Model]],Table2[#Headers],0),0)</f>
        <v>SFMPP</v>
      </c>
      <c r="D454" s="2" t="str">
        <f>VLOOKUP([jobnumber],OvalData[],MATCH(Table2[[#Headers],[width]],Table2[#Headers],0),0)</f>
        <v xml:space="preserve"> 18 ft.- 2"</v>
      </c>
      <c r="E454" s="2" t="str">
        <f>VLOOKUP([jobnumber],OvalData[],MATCH(Table2[[#Headers],[stopheight]],Table2[#Headers],0),0)</f>
        <v xml:space="preserve"> 10 ft.- 0"</v>
      </c>
      <c r="F454" s="2" t="str">
        <f>VLOOKUP([jobnumber],OvalData[],MATCH(Table2[[#Headers],[Between Brackets]],Table2[#Headers],0),0)</f>
        <v xml:space="preserve"> 18 ft.- 7 7/ 8"</v>
      </c>
      <c r="G454" s="2" t="str">
        <f>VLOOKUP([jobnumber],OvalData[],MATCH(Table2[[#Headers],[shell]],Table2[#Headers],0),0)</f>
        <v>6 INCH TUBE</v>
      </c>
      <c r="H454" s="2" t="str">
        <f>VLOOKUP([jobnumber],OvalData[],MATCH(Table2[[#Headers],[pipewidth]],Table2[#Headers],0),0)</f>
        <v xml:space="preserve"> 18 ft.- 1 3/ 8"</v>
      </c>
      <c r="I454" s="2">
        <f>VLOOKUP([jobnumber],OvalData[],MATCH(Table2[[#Headers],[Support Tubes]],Table2[#Headers],0),0)</f>
        <v>0</v>
      </c>
      <c r="J454" s="2">
        <f>VLOOKUP([jobnumber],OvalData[],MATCH(Table2[[#Headers],[Upset]],Table2[#Headers],0),0)</f>
        <v>2</v>
      </c>
      <c r="K454" s="2" t="str">
        <f>VLOOKUP([jobnumber],OvalData[],MATCH(Table2[[#Headers],[Guide Type]],Table2[#Headers],0),0)</f>
        <v>SN2-4 5/8-E</v>
      </c>
      <c r="L454" s="2" t="str">
        <f>VLOOKUP([jobnumber],OvalData[],MATCH(Table2[[#Headers],[Wall Angle]],Table2[#Headers],0),0)</f>
        <v xml:space="preserve"> 11 ft.- 8"</v>
      </c>
      <c r="M454" s="2" t="str">
        <f>VLOOKUP([jobnumber],OvalData[],MATCH(Table2[[#Headers],[Middle Angle]],Table2[#Headers],0),0)</f>
        <v xml:space="preserve"> 10 ft.- 4 1/ 2"</v>
      </c>
      <c r="N454" s="2" t="str">
        <f>VLOOKUP([jobnumber],OvalData[],MATCH(Table2[[#Headers],[Front Angle]],Table2[#Headers],0),0)</f>
        <v xml:space="preserve"> 10 ft.- 3"</v>
      </c>
      <c r="O454" s="2">
        <f>VLOOKUP([jobnumber],OvalData[],MATCH(Table2[[#Headers],[Pipe Center Line]],Table2[#Headers],0),0)</f>
        <v>131</v>
      </c>
      <c r="P454" s="2">
        <f>VLOOKUP([jobnumber],OvalData[],MATCH(Table2[[#Headers],[Heat Expansion Gap]],Table2[#Headers],0),0)</f>
        <v>0</v>
      </c>
      <c r="Q454" s="2">
        <f>VLOOKUP([jobnumber],OvalData[],MATCH(Table2[[#Headers],[Hanging Weight Closed]],Table2[#Headers],0),0)</f>
        <v>795</v>
      </c>
      <c r="R454" s="2">
        <f>VLOOKUP([jobnumber],OvalData[],MATCH(Table2[[#Headers],[Hanging Weight Open]],Table2[#Headers],0),0)</f>
        <v>140</v>
      </c>
      <c r="S454" s="2">
        <f>VLOOKUP([jobnumber],OvalData[],MATCH(Table2[[#Headers],[Initial Lever Arm]],Table2[#Headers],0),0)</f>
        <v>4.25</v>
      </c>
      <c r="T454" s="2">
        <f>VLOOKUP([jobnumber],OvalData[],MATCH(Table2[[#Headers],[Turns to Raise]],Table2[#Headers],0),0)</f>
        <v>3.5859999999999999</v>
      </c>
      <c r="U454" s="2">
        <f>VLOOKUP([jobnumber],OvalData[],MATCH(Table2[[#Headers],[Final Lever Arm]],Table2[#Headers],0),0)</f>
        <v>6.37</v>
      </c>
      <c r="V454" s="2">
        <f>VLOOKUP([jobnumber],OvalData[],MATCH(Table2[[#Headers],[Torque Required Closed]],Table2[#Headers],0),0)</f>
        <v>3377.9</v>
      </c>
      <c r="W454" s="2">
        <f>VLOOKUP([jobnumber],OvalData[],MATCH(Table2[[#Headers],[Torque Required Open]],Table2[#Headers],0),0)</f>
        <v>892</v>
      </c>
      <c r="X454" s="2">
        <f>VLOOKUP([jobnumber],OvalData[],MATCH(Table2[[#Headers],[Pre Turns]],Table2[#Headers],0),0)</f>
        <v>1.3332999999999999</v>
      </c>
      <c r="Y454" s="2">
        <f>VLOOKUP([jobnumber],OvalData[],MATCH(Table2[[#Headers],[Required Torque Per Turn]],Table2[#Headers],0),0)</f>
        <v>688</v>
      </c>
      <c r="Z454" s="2">
        <f>VLOOKUP([jobnumber],OvalData[],MATCH(Table2[[#Headers],[Total Turns]],Table2[#Headers],0),0)</f>
        <v>4.91</v>
      </c>
      <c r="AA454" s="2">
        <f>VLOOKUP([jobnumber],OvalData[],MATCH(Table2[[#Headers],[Grille Vision Section]],Table2[#Headers],0),0)</f>
        <v>0</v>
      </c>
      <c r="AB454" s="2">
        <f>VLOOKUP([jobnumber],OvalData[],MATCH(Table2[[#Headers],[Grille Amount]],Table2[#Headers],0),0)</f>
        <v>0</v>
      </c>
      <c r="AC454" s="2">
        <f>VLOOKUP([jobnumber],OvalData[],MATCH(Table2[[#Headers],[Grille Center]],Table2[#Headers],0),0)</f>
        <v>0</v>
      </c>
      <c r="AD454" s="2">
        <f>VLOOKUP([jobnumber],OvalData[],MATCH(Table2[[#Headers],[Grille Pattern]],Table2[#Headers],0),0)</f>
        <v>0</v>
      </c>
      <c r="AE454" s="2">
        <f>VLOOKUP([jobnumber],OvalData[],MATCH(Table2[[#Headers],[Grille First Tube]],Table2[#Headers],0),0)</f>
        <v>0</v>
      </c>
      <c r="AF454" s="2">
        <f>VLOOKUP([jobnumber],OvalData[],MATCH(Table2[[#Headers],[Grille Standard Tube]],Table2[#Headers],0),0)</f>
        <v>0</v>
      </c>
      <c r="AG454" s="2">
        <f>VLOOKUP([jobnumber],OvalData[],MATCH(Table2[[#Headers],[Grille Total Links]],Table2[#Headers],0),0)</f>
        <v>0</v>
      </c>
      <c r="AH454" s="2">
        <f>VLOOKUP([jobnumber],OvalData[],MATCH(Table2[[#Headers],[Grille Rods]],Table2[#Headers],0),0)</f>
        <v>0</v>
      </c>
      <c r="AI454" s="2">
        <f>VLOOKUP([jobnumber],OvalData[],MATCH(Table2[[#Headers],[Grille Rod Length]],Table2[#Headers],0),0)</f>
        <v>0</v>
      </c>
      <c r="AJ454" s="2">
        <f>VLOOKUP([jobnumber],OvalData[],MATCH(Table2[[#Headers],[slattype]],Table2[#Headers],0),0)</f>
        <v>2</v>
      </c>
      <c r="AK454" s="2">
        <f>VLOOKUP([jobnumber],OvalData[],MATCH(Table2[[#Headers],[slatgage]],Table2[#Headers],0),0)</f>
        <v>18</v>
      </c>
      <c r="AL454" s="2">
        <f>VLOOKUP([jobnumber],OvalData[],MATCH(Table2[[#Headers],[Numer of Top Slats]],Table2[#Headers],0),0)</f>
        <v>0</v>
      </c>
      <c r="AM454" s="2">
        <f>VLOOKUP([jobnumber],OvalData[],MATCH(Table2[[#Headers],[Number of Bottom Slats]],Table2[#Headers],0),0)</f>
        <v>0</v>
      </c>
      <c r="AN454" s="2">
        <f>VLOOKUP([jobnumber],OvalData[],MATCH(Table2[[#Headers],[Solid Bottom Height]],Table2[#Headers],0),0)</f>
        <v>0</v>
      </c>
      <c r="AO454" s="2" t="str">
        <f>VLOOKUP([jobnumber],OvalData[],MATCH(Table2[[#Headers],[slatlength]],Table2[#Headers],0),0)</f>
        <v xml:space="preserve"> 18 ft.- 5 7/ 8"</v>
      </c>
      <c r="AP454" s="2">
        <f>VLOOKUP([jobnumber],OvalData[],MATCH(Table2[[#Headers],[Bottom Slat Length]],Table2[#Headers],0),0)</f>
        <v>0</v>
      </c>
      <c r="AQ454" s="2">
        <f>VLOOKUP([jobnumber],OvalData[],MATCH(Table2[[#Headers],[Number of Perferated Slats]],Table2[#Headers],0),0)</f>
        <v>0</v>
      </c>
      <c r="AR454" s="2">
        <f>VLOOKUP([jobnumber],OvalData[],MATCH(Table2[[#Headers],[First Preferated Slat From End]],Table2[#Headers],0),0)</f>
        <v>0</v>
      </c>
      <c r="AS454" s="2">
        <f>VLOOKUP([jobnumber],OvalData[],MATCH(Table2[[#Headers],[First Preferated Slat From Bottom]],Table2[#Headers],0),0)</f>
        <v>0</v>
      </c>
      <c r="AT454" s="2">
        <f>VLOOKUP([jobnumber],OvalData[],MATCH(Table2[[#Headers],[Total Number of Slats]],Table2[#Headers],0),0)</f>
        <v>51</v>
      </c>
      <c r="AU454" s="2">
        <f>VLOOKUP([jobnumber],OvalData[],MATCH(Table2[[#Headers],[Bottom Bar Slope]],Table2[#Headers],0),0)</f>
        <v>0</v>
      </c>
      <c r="AV454" s="2">
        <f>VLOOKUP([jobnumber],OvalData[],MATCH(Table2[[#Headers],[Bottom Bar Weight]],Table2[#Headers],0),0)</f>
        <v>80.5</v>
      </c>
      <c r="AW454" s="2" t="str">
        <f>VLOOKUP([jobnumber],OvalData[],MATCH(Table2[[#Headers],[Outer Spring Gage]],Table2[#Headers],0),0)</f>
        <v>Null</v>
      </c>
      <c r="AX454" s="2" t="str">
        <f>VLOOKUP([jobnumber],OvalData[],MATCH(Table2[[#Headers],[Outer Spring OD]],Table2[#Headers],0),0)</f>
        <v>Null</v>
      </c>
      <c r="AY454" s="2" t="str">
        <f>VLOOKUP([jobnumber],OvalData[],MATCH(Table2[[#Headers],[Outer Spring Length]],Table2[#Headers],0),0)</f>
        <v>Null</v>
      </c>
      <c r="AZ454" s="2" t="str">
        <f>VLOOKUP([jobnumber],OvalData[],MATCH(Table2[[#Headers],[Outer Spring Stretch]],Table2[#Headers],0),0)</f>
        <v>Null</v>
      </c>
      <c r="BA454" s="2" t="str">
        <f>VLOOKUP([jobnumber],OvalData[],MATCH(Table2[[#Headers],[Outer Spring Torque]],Table2[#Headers],0),0)</f>
        <v>Null</v>
      </c>
      <c r="BB454" s="2" t="str">
        <f>VLOOKUP([jobnumber],OvalData[],MATCH(Table2[[#Headers],[Outer Spring Max Turns]],Table2[#Headers],0),0)</f>
        <v>Null</v>
      </c>
      <c r="BC454" s="2" t="str">
        <f>VLOOKUP([jobnumber],OvalData[],MATCH(Table2[[#Headers],[Outer Spring Weight]],Table2[#Headers],0),0)</f>
        <v>Null</v>
      </c>
      <c r="BD454" s="2" t="str">
        <f>VLOOKUP([jobnumber],OvalData[],MATCH(Table2[[#Headers],[Inner Spring Gage]],Table2[#Headers],0),0)</f>
        <v>Null</v>
      </c>
      <c r="BE454" s="2" t="str">
        <f>VLOOKUP([jobnumber],OvalData[],MATCH(Table2[[#Headers],[Inner Spring OD]],Table2[#Headers],0),0)</f>
        <v>Null</v>
      </c>
      <c r="BF454" s="2" t="str">
        <f>VLOOKUP([jobnumber],OvalData[],MATCH(Table2[[#Headers],[Inner Spring Length]],Table2[#Headers],0),0)</f>
        <v>Null</v>
      </c>
      <c r="BG454" s="2" t="str">
        <f>VLOOKUP([jobnumber],OvalData[],MATCH(Table2[[#Headers],[Inner Spring Stretch]],Table2[#Headers],0),0)</f>
        <v>Null</v>
      </c>
      <c r="BH454" s="2" t="str">
        <f>VLOOKUP([jobnumber],OvalData[],MATCH(Table2[[#Headers],[Inner Spring Torque]],Table2[#Headers],0),0)</f>
        <v>Null</v>
      </c>
      <c r="BI454" s="2" t="str">
        <f>VLOOKUP([jobnumber],OvalData[],MATCH(Table2[[#Headers],[Inner Spring Max Turns]],Table2[#Headers],0),0)</f>
        <v>Null</v>
      </c>
      <c r="BJ454" s="2" t="str">
        <f>VLOOKUP([jobnumber],OvalData[],MATCH(Table2[[#Headers],[Inner Spring Weight]],Table2[#Headers],0),0)</f>
        <v>Null</v>
      </c>
      <c r="BK454" s="2">
        <f>VLOOKUP([jobnumber],OvalData[],MATCH(Table2[[#Headers],[Cycles]],Table2[#Headers],0),0)</f>
        <v>0</v>
      </c>
      <c r="BL454" s="2">
        <f>VLOOKUP([jobnumber],OvalData[],MATCH(Table2[[#Headers],[Total Spring Torque]],Table2[#Headers],0),0)</f>
        <v>0</v>
      </c>
      <c r="BM454" s="2">
        <f>VLOOKUP([jobnumber],OvalData[],MATCH(Table2[[#Headers],[Total Spring Weight]],Table2[#Headers],0),0)</f>
        <v>0</v>
      </c>
      <c r="BN454" s="2">
        <f>VLOOKUP([jobnumber],OvalData[],MATCH(Table2[[#Headers],[Pipe Weight]],Table2[#Headers],0),0)</f>
        <v>688.24239999999998</v>
      </c>
      <c r="BO454" s="2">
        <f>VLOOKUP([jobnumber],OvalData[],MATCH(Table2[[#Headers],[Max Pipe Deflection]],Table2[#Headers],0),0)</f>
        <v>2309</v>
      </c>
      <c r="BP454" s="2">
        <f>VLOOKUP([jobnumber],OvalData[],MATCH(Table2[[#Headers],[Number Non-Insulated Wrap Slats]],Table2[#Headers],0),0)</f>
        <v>0</v>
      </c>
      <c r="BQ454" s="2">
        <f>VLOOKUP([jobnumber],OvalData[],MATCH(Table2[[#Headers],[Number of Insolated Top Slats]],Table2[#Headers],0),0)</f>
        <v>45</v>
      </c>
      <c r="BR454" s="2">
        <f>VLOOKUP([jobnumber],OvalData[],MATCH(Table2[[#Headers],[Insolated Total Slats]],Table2[#Headers],0),0)</f>
        <v>45</v>
      </c>
      <c r="BS454" s="2">
        <f>VLOOKUP([jobnumber],OvalData[],MATCH(Table2[[#Headers],[Number of Slats]],Table2[#Headers],0),0)</f>
        <v>44.69</v>
      </c>
      <c r="BT454" s="2">
        <f>VLOOKUP([jobnumber],OvalData[],MATCH(Table2[[#Headers],[Wrap]],Table2[#Headers],0),0)</f>
        <v>0</v>
      </c>
      <c r="BU454" s="2">
        <f>VLOOKUP([jobnumber],OvalData[],MATCH(Table2[[#Headers],[Wall Angle Thickness]],Table2[#Headers],0),0)</f>
        <v>0</v>
      </c>
      <c r="BV454" s="2">
        <f>VLOOKUP([jobnumber],OvalData[],MATCH(Table2[[#Headers],[windlocks]],Table2[#Headers],0),0)</f>
        <v>0</v>
      </c>
      <c r="BW454" s="2" t="str">
        <f>VLOOKUP([jobnumber],OvalData[],MATCH(Table2[[#Headers],[bottombartype]],Table2[#Headers],0),0)</f>
        <v>SPECIAL</v>
      </c>
      <c r="BX454" s="2">
        <f>VLOOKUP([jobnumber],OvalData[],MATCH(Table2[[#Headers],[endlockweight]],Table2[#Headers],0),0)</f>
        <v>0.17</v>
      </c>
      <c r="BY454" s="2">
        <f>VLOOKUP([jobnumber],OvalData[],MATCH(Table2[[#Headers],[Endlock Total Weight]],Table2[#Headers],0),0)</f>
        <v>7.5972999999999997</v>
      </c>
      <c r="BZ454" s="2">
        <f>VLOOKUP([jobnumber],OvalData[],MATCH(Table2[[#Headers],[Grille Weight]],Table2[#Headers],0),0)</f>
        <v>0</v>
      </c>
      <c r="CA454" s="2">
        <f>VLOOKUP([jobnumber],OvalData[],MATCH(Table2[[#Headers],[barrelrings]],Table2[#Headers],0),0)</f>
        <v>1</v>
      </c>
    </row>
    <row r="455" spans="2:79">
      <c r="B455" s="2" t="str">
        <f>VLOOKUP([jobnumber],OvalData[],MATCH(Table2[[#Headers],[Hand]],Table2[#Headers],0),0)</f>
        <v>RH</v>
      </c>
      <c r="C455" s="2" t="str">
        <f>VLOOKUP([jobnumber],OvalData[],MATCH(Table2[[#Headers],[Model]],Table2[#Headers],0),0)</f>
        <v>SFMPP</v>
      </c>
      <c r="D455" s="2" t="str">
        <f>VLOOKUP([jobnumber],OvalData[],MATCH(Table2[[#Headers],[width]],Table2[#Headers],0),0)</f>
        <v xml:space="preserve"> 18 ft.- 2"</v>
      </c>
      <c r="E455" s="2" t="str">
        <f>VLOOKUP([jobnumber],OvalData[],MATCH(Table2[[#Headers],[stopheight]],Table2[#Headers],0),0)</f>
        <v xml:space="preserve"> 10 ft.- 0"</v>
      </c>
      <c r="F455" s="2" t="str">
        <f>VLOOKUP([jobnumber],OvalData[],MATCH(Table2[[#Headers],[Between Brackets]],Table2[#Headers],0),0)</f>
        <v xml:space="preserve"> 18 ft.- 7 7/ 8"</v>
      </c>
      <c r="G455" s="2" t="str">
        <f>VLOOKUP([jobnumber],OvalData[],MATCH(Table2[[#Headers],[shell]],Table2[#Headers],0),0)</f>
        <v>6 INCH TUBE</v>
      </c>
      <c r="H455" s="2" t="str">
        <f>VLOOKUP([jobnumber],OvalData[],MATCH(Table2[[#Headers],[pipewidth]],Table2[#Headers],0),0)</f>
        <v xml:space="preserve"> 18 ft.- 1 3/ 8"</v>
      </c>
      <c r="I455" s="2">
        <f>VLOOKUP([jobnumber],OvalData[],MATCH(Table2[[#Headers],[Support Tubes]],Table2[#Headers],0),0)</f>
        <v>0</v>
      </c>
      <c r="J455" s="2">
        <f>VLOOKUP([jobnumber],OvalData[],MATCH(Table2[[#Headers],[Upset]],Table2[#Headers],0),0)</f>
        <v>2</v>
      </c>
      <c r="K455" s="2" t="str">
        <f>VLOOKUP([jobnumber],OvalData[],MATCH(Table2[[#Headers],[Guide Type]],Table2[#Headers],0),0)</f>
        <v>SN2-4 5/8-E</v>
      </c>
      <c r="L455" s="2" t="str">
        <f>VLOOKUP([jobnumber],OvalData[],MATCH(Table2[[#Headers],[Wall Angle]],Table2[#Headers],0),0)</f>
        <v xml:space="preserve"> 11 ft.- 8"</v>
      </c>
      <c r="M455" s="2" t="str">
        <f>VLOOKUP([jobnumber],OvalData[],MATCH(Table2[[#Headers],[Middle Angle]],Table2[#Headers],0),0)</f>
        <v xml:space="preserve"> 10 ft.- 4 1/ 2"</v>
      </c>
      <c r="N455" s="2" t="str">
        <f>VLOOKUP([jobnumber],OvalData[],MATCH(Table2[[#Headers],[Front Angle]],Table2[#Headers],0),0)</f>
        <v xml:space="preserve"> 10 ft.- 3"</v>
      </c>
      <c r="O455" s="2">
        <f>VLOOKUP([jobnumber],OvalData[],MATCH(Table2[[#Headers],[Pipe Center Line]],Table2[#Headers],0),0)</f>
        <v>131</v>
      </c>
      <c r="P455" s="2">
        <f>VLOOKUP([jobnumber],OvalData[],MATCH(Table2[[#Headers],[Heat Expansion Gap]],Table2[#Headers],0),0)</f>
        <v>0</v>
      </c>
      <c r="Q455" s="2">
        <f>VLOOKUP([jobnumber],OvalData[],MATCH(Table2[[#Headers],[Hanging Weight Closed]],Table2[#Headers],0),0)</f>
        <v>795</v>
      </c>
      <c r="R455" s="2">
        <f>VLOOKUP([jobnumber],OvalData[],MATCH(Table2[[#Headers],[Hanging Weight Open]],Table2[#Headers],0),0)</f>
        <v>140</v>
      </c>
      <c r="S455" s="2">
        <f>VLOOKUP([jobnumber],OvalData[],MATCH(Table2[[#Headers],[Initial Lever Arm]],Table2[#Headers],0),0)</f>
        <v>4.25</v>
      </c>
      <c r="T455" s="2">
        <f>VLOOKUP([jobnumber],OvalData[],MATCH(Table2[[#Headers],[Turns to Raise]],Table2[#Headers],0),0)</f>
        <v>3.5859999999999999</v>
      </c>
      <c r="U455" s="2">
        <f>VLOOKUP([jobnumber],OvalData[],MATCH(Table2[[#Headers],[Final Lever Arm]],Table2[#Headers],0),0)</f>
        <v>6.37</v>
      </c>
      <c r="V455" s="2">
        <f>VLOOKUP([jobnumber],OvalData[],MATCH(Table2[[#Headers],[Torque Required Closed]],Table2[#Headers],0),0)</f>
        <v>3377.9</v>
      </c>
      <c r="W455" s="2">
        <f>VLOOKUP([jobnumber],OvalData[],MATCH(Table2[[#Headers],[Torque Required Open]],Table2[#Headers],0),0)</f>
        <v>892</v>
      </c>
      <c r="X455" s="2">
        <f>VLOOKUP([jobnumber],OvalData[],MATCH(Table2[[#Headers],[Pre Turns]],Table2[#Headers],0),0)</f>
        <v>1.3332999999999999</v>
      </c>
      <c r="Y455" s="2">
        <f>VLOOKUP([jobnumber],OvalData[],MATCH(Table2[[#Headers],[Required Torque Per Turn]],Table2[#Headers],0),0)</f>
        <v>688</v>
      </c>
      <c r="Z455" s="2">
        <f>VLOOKUP([jobnumber],OvalData[],MATCH(Table2[[#Headers],[Total Turns]],Table2[#Headers],0),0)</f>
        <v>4.91</v>
      </c>
      <c r="AA455" s="2">
        <f>VLOOKUP([jobnumber],OvalData[],MATCH(Table2[[#Headers],[Grille Vision Section]],Table2[#Headers],0),0)</f>
        <v>0</v>
      </c>
      <c r="AB455" s="2">
        <f>VLOOKUP([jobnumber],OvalData[],MATCH(Table2[[#Headers],[Grille Amount]],Table2[#Headers],0),0)</f>
        <v>0</v>
      </c>
      <c r="AC455" s="2">
        <f>VLOOKUP([jobnumber],OvalData[],MATCH(Table2[[#Headers],[Grille Center]],Table2[#Headers],0),0)</f>
        <v>0</v>
      </c>
      <c r="AD455" s="2">
        <f>VLOOKUP([jobnumber],OvalData[],MATCH(Table2[[#Headers],[Grille Pattern]],Table2[#Headers],0),0)</f>
        <v>0</v>
      </c>
      <c r="AE455" s="2">
        <f>VLOOKUP([jobnumber],OvalData[],MATCH(Table2[[#Headers],[Grille First Tube]],Table2[#Headers],0),0)</f>
        <v>0</v>
      </c>
      <c r="AF455" s="2">
        <f>VLOOKUP([jobnumber],OvalData[],MATCH(Table2[[#Headers],[Grille Standard Tube]],Table2[#Headers],0),0)</f>
        <v>0</v>
      </c>
      <c r="AG455" s="2">
        <f>VLOOKUP([jobnumber],OvalData[],MATCH(Table2[[#Headers],[Grille Total Links]],Table2[#Headers],0),0)</f>
        <v>0</v>
      </c>
      <c r="AH455" s="2">
        <f>VLOOKUP([jobnumber],OvalData[],MATCH(Table2[[#Headers],[Grille Rods]],Table2[#Headers],0),0)</f>
        <v>0</v>
      </c>
      <c r="AI455" s="2">
        <f>VLOOKUP([jobnumber],OvalData[],MATCH(Table2[[#Headers],[Grille Rod Length]],Table2[#Headers],0),0)</f>
        <v>0</v>
      </c>
      <c r="AJ455" s="2">
        <f>VLOOKUP([jobnumber],OvalData[],MATCH(Table2[[#Headers],[slattype]],Table2[#Headers],0),0)</f>
        <v>2</v>
      </c>
      <c r="AK455" s="2">
        <f>VLOOKUP([jobnumber],OvalData[],MATCH(Table2[[#Headers],[slatgage]],Table2[#Headers],0),0)</f>
        <v>18</v>
      </c>
      <c r="AL455" s="2">
        <f>VLOOKUP([jobnumber],OvalData[],MATCH(Table2[[#Headers],[Numer of Top Slats]],Table2[#Headers],0),0)</f>
        <v>0</v>
      </c>
      <c r="AM455" s="2">
        <f>VLOOKUP([jobnumber],OvalData[],MATCH(Table2[[#Headers],[Number of Bottom Slats]],Table2[#Headers],0),0)</f>
        <v>0</v>
      </c>
      <c r="AN455" s="2">
        <f>VLOOKUP([jobnumber],OvalData[],MATCH(Table2[[#Headers],[Solid Bottom Height]],Table2[#Headers],0),0)</f>
        <v>0</v>
      </c>
      <c r="AO455" s="2" t="str">
        <f>VLOOKUP([jobnumber],OvalData[],MATCH(Table2[[#Headers],[slatlength]],Table2[#Headers],0),0)</f>
        <v xml:space="preserve"> 18 ft.- 5 7/ 8"</v>
      </c>
      <c r="AP455" s="2">
        <f>VLOOKUP([jobnumber],OvalData[],MATCH(Table2[[#Headers],[Bottom Slat Length]],Table2[#Headers],0),0)</f>
        <v>0</v>
      </c>
      <c r="AQ455" s="2">
        <f>VLOOKUP([jobnumber],OvalData[],MATCH(Table2[[#Headers],[Number of Perferated Slats]],Table2[#Headers],0),0)</f>
        <v>0</v>
      </c>
      <c r="AR455" s="2">
        <f>VLOOKUP([jobnumber],OvalData[],MATCH(Table2[[#Headers],[First Preferated Slat From End]],Table2[#Headers],0),0)</f>
        <v>0</v>
      </c>
      <c r="AS455" s="2">
        <f>VLOOKUP([jobnumber],OvalData[],MATCH(Table2[[#Headers],[First Preferated Slat From Bottom]],Table2[#Headers],0),0)</f>
        <v>0</v>
      </c>
      <c r="AT455" s="2">
        <f>VLOOKUP([jobnumber],OvalData[],MATCH(Table2[[#Headers],[Total Number of Slats]],Table2[#Headers],0),0)</f>
        <v>51</v>
      </c>
      <c r="AU455" s="2">
        <f>VLOOKUP([jobnumber],OvalData[],MATCH(Table2[[#Headers],[Bottom Bar Slope]],Table2[#Headers],0),0)</f>
        <v>0</v>
      </c>
      <c r="AV455" s="2">
        <f>VLOOKUP([jobnumber],OvalData[],MATCH(Table2[[#Headers],[Bottom Bar Weight]],Table2[#Headers],0),0)</f>
        <v>80.5</v>
      </c>
      <c r="AW455" s="2" t="str">
        <f>VLOOKUP([jobnumber],OvalData[],MATCH(Table2[[#Headers],[Outer Spring Gage]],Table2[#Headers],0),0)</f>
        <v>Null</v>
      </c>
      <c r="AX455" s="2" t="str">
        <f>VLOOKUP([jobnumber],OvalData[],MATCH(Table2[[#Headers],[Outer Spring OD]],Table2[#Headers],0),0)</f>
        <v>Null</v>
      </c>
      <c r="AY455" s="2" t="str">
        <f>VLOOKUP([jobnumber],OvalData[],MATCH(Table2[[#Headers],[Outer Spring Length]],Table2[#Headers],0),0)</f>
        <v>Null</v>
      </c>
      <c r="AZ455" s="2" t="str">
        <f>VLOOKUP([jobnumber],OvalData[],MATCH(Table2[[#Headers],[Outer Spring Stretch]],Table2[#Headers],0),0)</f>
        <v>Null</v>
      </c>
      <c r="BA455" s="2" t="str">
        <f>VLOOKUP([jobnumber],OvalData[],MATCH(Table2[[#Headers],[Outer Spring Torque]],Table2[#Headers],0),0)</f>
        <v>Null</v>
      </c>
      <c r="BB455" s="2" t="str">
        <f>VLOOKUP([jobnumber],OvalData[],MATCH(Table2[[#Headers],[Outer Spring Max Turns]],Table2[#Headers],0),0)</f>
        <v>Null</v>
      </c>
      <c r="BC455" s="2" t="str">
        <f>VLOOKUP([jobnumber],OvalData[],MATCH(Table2[[#Headers],[Outer Spring Weight]],Table2[#Headers],0),0)</f>
        <v>Null</v>
      </c>
      <c r="BD455" s="2" t="str">
        <f>VLOOKUP([jobnumber],OvalData[],MATCH(Table2[[#Headers],[Inner Spring Gage]],Table2[#Headers],0),0)</f>
        <v>Null</v>
      </c>
      <c r="BE455" s="2" t="str">
        <f>VLOOKUP([jobnumber],OvalData[],MATCH(Table2[[#Headers],[Inner Spring OD]],Table2[#Headers],0),0)</f>
        <v>Null</v>
      </c>
      <c r="BF455" s="2" t="str">
        <f>VLOOKUP([jobnumber],OvalData[],MATCH(Table2[[#Headers],[Inner Spring Length]],Table2[#Headers],0),0)</f>
        <v>Null</v>
      </c>
      <c r="BG455" s="2" t="str">
        <f>VLOOKUP([jobnumber],OvalData[],MATCH(Table2[[#Headers],[Inner Spring Stretch]],Table2[#Headers],0),0)</f>
        <v>Null</v>
      </c>
      <c r="BH455" s="2" t="str">
        <f>VLOOKUP([jobnumber],OvalData[],MATCH(Table2[[#Headers],[Inner Spring Torque]],Table2[#Headers],0),0)</f>
        <v>Null</v>
      </c>
      <c r="BI455" s="2" t="str">
        <f>VLOOKUP([jobnumber],OvalData[],MATCH(Table2[[#Headers],[Inner Spring Max Turns]],Table2[#Headers],0),0)</f>
        <v>Null</v>
      </c>
      <c r="BJ455" s="2" t="str">
        <f>VLOOKUP([jobnumber],OvalData[],MATCH(Table2[[#Headers],[Inner Spring Weight]],Table2[#Headers],0),0)</f>
        <v>Null</v>
      </c>
      <c r="BK455" s="2">
        <f>VLOOKUP([jobnumber],OvalData[],MATCH(Table2[[#Headers],[Cycles]],Table2[#Headers],0),0)</f>
        <v>0</v>
      </c>
      <c r="BL455" s="2">
        <f>VLOOKUP([jobnumber],OvalData[],MATCH(Table2[[#Headers],[Total Spring Torque]],Table2[#Headers],0),0)</f>
        <v>0</v>
      </c>
      <c r="BM455" s="2">
        <f>VLOOKUP([jobnumber],OvalData[],MATCH(Table2[[#Headers],[Total Spring Weight]],Table2[#Headers],0),0)</f>
        <v>0</v>
      </c>
      <c r="BN455" s="2">
        <f>VLOOKUP([jobnumber],OvalData[],MATCH(Table2[[#Headers],[Pipe Weight]],Table2[#Headers],0),0)</f>
        <v>688.24239999999998</v>
      </c>
      <c r="BO455" s="2">
        <f>VLOOKUP([jobnumber],OvalData[],MATCH(Table2[[#Headers],[Max Pipe Deflection]],Table2[#Headers],0),0)</f>
        <v>2309</v>
      </c>
      <c r="BP455" s="2">
        <f>VLOOKUP([jobnumber],OvalData[],MATCH(Table2[[#Headers],[Number Non-Insulated Wrap Slats]],Table2[#Headers],0),0)</f>
        <v>0</v>
      </c>
      <c r="BQ455" s="2">
        <f>VLOOKUP([jobnumber],OvalData[],MATCH(Table2[[#Headers],[Number of Insolated Top Slats]],Table2[#Headers],0),0)</f>
        <v>45</v>
      </c>
      <c r="BR455" s="2">
        <f>VLOOKUP([jobnumber],OvalData[],MATCH(Table2[[#Headers],[Insolated Total Slats]],Table2[#Headers],0),0)</f>
        <v>45</v>
      </c>
      <c r="BS455" s="2">
        <f>VLOOKUP([jobnumber],OvalData[],MATCH(Table2[[#Headers],[Number of Slats]],Table2[#Headers],0),0)</f>
        <v>44.69</v>
      </c>
      <c r="BT455" s="2">
        <f>VLOOKUP([jobnumber],OvalData[],MATCH(Table2[[#Headers],[Wrap]],Table2[#Headers],0),0)</f>
        <v>0</v>
      </c>
      <c r="BU455" s="2">
        <f>VLOOKUP([jobnumber],OvalData[],MATCH(Table2[[#Headers],[Wall Angle Thickness]],Table2[#Headers],0),0)</f>
        <v>0</v>
      </c>
      <c r="BV455" s="2">
        <f>VLOOKUP([jobnumber],OvalData[],MATCH(Table2[[#Headers],[windlocks]],Table2[#Headers],0),0)</f>
        <v>0</v>
      </c>
      <c r="BW455" s="2" t="str">
        <f>VLOOKUP([jobnumber],OvalData[],MATCH(Table2[[#Headers],[bottombartype]],Table2[#Headers],0),0)</f>
        <v>SPECIAL</v>
      </c>
      <c r="BX455" s="2">
        <f>VLOOKUP([jobnumber],OvalData[],MATCH(Table2[[#Headers],[endlockweight]],Table2[#Headers],0),0)</f>
        <v>0.17</v>
      </c>
      <c r="BY455" s="2">
        <f>VLOOKUP([jobnumber],OvalData[],MATCH(Table2[[#Headers],[Endlock Total Weight]],Table2[#Headers],0),0)</f>
        <v>7.5972999999999997</v>
      </c>
      <c r="BZ455" s="2">
        <f>VLOOKUP([jobnumber],OvalData[],MATCH(Table2[[#Headers],[Grille Weight]],Table2[#Headers],0),0)</f>
        <v>0</v>
      </c>
      <c r="CA455" s="2">
        <f>VLOOKUP([jobnumber],OvalData[],MATCH(Table2[[#Headers],[barrelrings]],Table2[#Headers],0),0)</f>
        <v>1</v>
      </c>
    </row>
    <row r="456" spans="2:79">
      <c r="B456" s="2" t="str">
        <f>VLOOKUP([jobnumber],OvalData[],MATCH(Table2[[#Headers],[Hand]],Table2[#Headers],0),0)</f>
        <v>RH</v>
      </c>
      <c r="C456" s="2" t="str">
        <f>VLOOKUP([jobnumber],OvalData[],MATCH(Table2[[#Headers],[Model]],Table2[#Headers],0),0)</f>
        <v>SFMPP</v>
      </c>
      <c r="D456" s="2" t="str">
        <f>VLOOKUP([jobnumber],OvalData[],MATCH(Table2[[#Headers],[width]],Table2[#Headers],0),0)</f>
        <v xml:space="preserve"> 18 ft.- 2"</v>
      </c>
      <c r="E456" s="2" t="str">
        <f>VLOOKUP([jobnumber],OvalData[],MATCH(Table2[[#Headers],[stopheight]],Table2[#Headers],0),0)</f>
        <v xml:space="preserve"> 10 ft.- 0"</v>
      </c>
      <c r="F456" s="2" t="str">
        <f>VLOOKUP([jobnumber],OvalData[],MATCH(Table2[[#Headers],[Between Brackets]],Table2[#Headers],0),0)</f>
        <v xml:space="preserve"> 18 ft.- 7 7/ 8"</v>
      </c>
      <c r="G456" s="2" t="str">
        <f>VLOOKUP([jobnumber],OvalData[],MATCH(Table2[[#Headers],[shell]],Table2[#Headers],0),0)</f>
        <v>6 INCH TUBE</v>
      </c>
      <c r="H456" s="2" t="str">
        <f>VLOOKUP([jobnumber],OvalData[],MATCH(Table2[[#Headers],[pipewidth]],Table2[#Headers],0),0)</f>
        <v xml:space="preserve"> 18 ft.- 1 3/ 8"</v>
      </c>
      <c r="I456" s="2">
        <f>VLOOKUP([jobnumber],OvalData[],MATCH(Table2[[#Headers],[Support Tubes]],Table2[#Headers],0),0)</f>
        <v>0</v>
      </c>
      <c r="J456" s="2">
        <f>VLOOKUP([jobnumber],OvalData[],MATCH(Table2[[#Headers],[Upset]],Table2[#Headers],0),0)</f>
        <v>2</v>
      </c>
      <c r="K456" s="2" t="str">
        <f>VLOOKUP([jobnumber],OvalData[],MATCH(Table2[[#Headers],[Guide Type]],Table2[#Headers],0),0)</f>
        <v>SN2-4 5/8-E</v>
      </c>
      <c r="L456" s="2" t="str">
        <f>VLOOKUP([jobnumber],OvalData[],MATCH(Table2[[#Headers],[Wall Angle]],Table2[#Headers],0),0)</f>
        <v xml:space="preserve"> 11 ft.- 8"</v>
      </c>
      <c r="M456" s="2" t="str">
        <f>VLOOKUP([jobnumber],OvalData[],MATCH(Table2[[#Headers],[Middle Angle]],Table2[#Headers],0),0)</f>
        <v xml:space="preserve"> 10 ft.- 4 1/ 2"</v>
      </c>
      <c r="N456" s="2" t="str">
        <f>VLOOKUP([jobnumber],OvalData[],MATCH(Table2[[#Headers],[Front Angle]],Table2[#Headers],0),0)</f>
        <v xml:space="preserve"> 10 ft.- 3"</v>
      </c>
      <c r="O456" s="2">
        <f>VLOOKUP([jobnumber],OvalData[],MATCH(Table2[[#Headers],[Pipe Center Line]],Table2[#Headers],0),0)</f>
        <v>131</v>
      </c>
      <c r="P456" s="2">
        <f>VLOOKUP([jobnumber],OvalData[],MATCH(Table2[[#Headers],[Heat Expansion Gap]],Table2[#Headers],0),0)</f>
        <v>0</v>
      </c>
      <c r="Q456" s="2">
        <f>VLOOKUP([jobnumber],OvalData[],MATCH(Table2[[#Headers],[Hanging Weight Closed]],Table2[#Headers],0),0)</f>
        <v>795</v>
      </c>
      <c r="R456" s="2">
        <f>VLOOKUP([jobnumber],OvalData[],MATCH(Table2[[#Headers],[Hanging Weight Open]],Table2[#Headers],0),0)</f>
        <v>140</v>
      </c>
      <c r="S456" s="2">
        <f>VLOOKUP([jobnumber],OvalData[],MATCH(Table2[[#Headers],[Initial Lever Arm]],Table2[#Headers],0),0)</f>
        <v>4.25</v>
      </c>
      <c r="T456" s="2">
        <f>VLOOKUP([jobnumber],OvalData[],MATCH(Table2[[#Headers],[Turns to Raise]],Table2[#Headers],0),0)</f>
        <v>3.5859999999999999</v>
      </c>
      <c r="U456" s="2">
        <f>VLOOKUP([jobnumber],OvalData[],MATCH(Table2[[#Headers],[Final Lever Arm]],Table2[#Headers],0),0)</f>
        <v>6.37</v>
      </c>
      <c r="V456" s="2">
        <f>VLOOKUP([jobnumber],OvalData[],MATCH(Table2[[#Headers],[Torque Required Closed]],Table2[#Headers],0),0)</f>
        <v>3377.9</v>
      </c>
      <c r="W456" s="2">
        <f>VLOOKUP([jobnumber],OvalData[],MATCH(Table2[[#Headers],[Torque Required Open]],Table2[#Headers],0),0)</f>
        <v>892</v>
      </c>
      <c r="X456" s="2">
        <f>VLOOKUP([jobnumber],OvalData[],MATCH(Table2[[#Headers],[Pre Turns]],Table2[#Headers],0),0)</f>
        <v>1.3332999999999999</v>
      </c>
      <c r="Y456" s="2">
        <f>VLOOKUP([jobnumber],OvalData[],MATCH(Table2[[#Headers],[Required Torque Per Turn]],Table2[#Headers],0),0)</f>
        <v>688</v>
      </c>
      <c r="Z456" s="2">
        <f>VLOOKUP([jobnumber],OvalData[],MATCH(Table2[[#Headers],[Total Turns]],Table2[#Headers],0),0)</f>
        <v>4.91</v>
      </c>
      <c r="AA456" s="2">
        <f>VLOOKUP([jobnumber],OvalData[],MATCH(Table2[[#Headers],[Grille Vision Section]],Table2[#Headers],0),0)</f>
        <v>0</v>
      </c>
      <c r="AB456" s="2">
        <f>VLOOKUP([jobnumber],OvalData[],MATCH(Table2[[#Headers],[Grille Amount]],Table2[#Headers],0),0)</f>
        <v>0</v>
      </c>
      <c r="AC456" s="2">
        <f>VLOOKUP([jobnumber],OvalData[],MATCH(Table2[[#Headers],[Grille Center]],Table2[#Headers],0),0)</f>
        <v>0</v>
      </c>
      <c r="AD456" s="2">
        <f>VLOOKUP([jobnumber],OvalData[],MATCH(Table2[[#Headers],[Grille Pattern]],Table2[#Headers],0),0)</f>
        <v>0</v>
      </c>
      <c r="AE456" s="2">
        <f>VLOOKUP([jobnumber],OvalData[],MATCH(Table2[[#Headers],[Grille First Tube]],Table2[#Headers],0),0)</f>
        <v>0</v>
      </c>
      <c r="AF456" s="2">
        <f>VLOOKUP([jobnumber],OvalData[],MATCH(Table2[[#Headers],[Grille Standard Tube]],Table2[#Headers],0),0)</f>
        <v>0</v>
      </c>
      <c r="AG456" s="2">
        <f>VLOOKUP([jobnumber],OvalData[],MATCH(Table2[[#Headers],[Grille Total Links]],Table2[#Headers],0),0)</f>
        <v>0</v>
      </c>
      <c r="AH456" s="2">
        <f>VLOOKUP([jobnumber],OvalData[],MATCH(Table2[[#Headers],[Grille Rods]],Table2[#Headers],0),0)</f>
        <v>0</v>
      </c>
      <c r="AI456" s="2">
        <f>VLOOKUP([jobnumber],OvalData[],MATCH(Table2[[#Headers],[Grille Rod Length]],Table2[#Headers],0),0)</f>
        <v>0</v>
      </c>
      <c r="AJ456" s="2">
        <f>VLOOKUP([jobnumber],OvalData[],MATCH(Table2[[#Headers],[slattype]],Table2[#Headers],0),0)</f>
        <v>2</v>
      </c>
      <c r="AK456" s="2">
        <f>VLOOKUP([jobnumber],OvalData[],MATCH(Table2[[#Headers],[slatgage]],Table2[#Headers],0),0)</f>
        <v>18</v>
      </c>
      <c r="AL456" s="2">
        <f>VLOOKUP([jobnumber],OvalData[],MATCH(Table2[[#Headers],[Numer of Top Slats]],Table2[#Headers],0),0)</f>
        <v>0</v>
      </c>
      <c r="AM456" s="2">
        <f>VLOOKUP([jobnumber],OvalData[],MATCH(Table2[[#Headers],[Number of Bottom Slats]],Table2[#Headers],0),0)</f>
        <v>0</v>
      </c>
      <c r="AN456" s="2">
        <f>VLOOKUP([jobnumber],OvalData[],MATCH(Table2[[#Headers],[Solid Bottom Height]],Table2[#Headers],0),0)</f>
        <v>0</v>
      </c>
      <c r="AO456" s="2" t="str">
        <f>VLOOKUP([jobnumber],OvalData[],MATCH(Table2[[#Headers],[slatlength]],Table2[#Headers],0),0)</f>
        <v xml:space="preserve"> 18 ft.- 5 7/ 8"</v>
      </c>
      <c r="AP456" s="2">
        <f>VLOOKUP([jobnumber],OvalData[],MATCH(Table2[[#Headers],[Bottom Slat Length]],Table2[#Headers],0),0)</f>
        <v>0</v>
      </c>
      <c r="AQ456" s="2">
        <f>VLOOKUP([jobnumber],OvalData[],MATCH(Table2[[#Headers],[Number of Perferated Slats]],Table2[#Headers],0),0)</f>
        <v>0</v>
      </c>
      <c r="AR456" s="2">
        <f>VLOOKUP([jobnumber],OvalData[],MATCH(Table2[[#Headers],[First Preferated Slat From End]],Table2[#Headers],0),0)</f>
        <v>0</v>
      </c>
      <c r="AS456" s="2">
        <f>VLOOKUP([jobnumber],OvalData[],MATCH(Table2[[#Headers],[First Preferated Slat From Bottom]],Table2[#Headers],0),0)</f>
        <v>0</v>
      </c>
      <c r="AT456" s="2">
        <f>VLOOKUP([jobnumber],OvalData[],MATCH(Table2[[#Headers],[Total Number of Slats]],Table2[#Headers],0),0)</f>
        <v>51</v>
      </c>
      <c r="AU456" s="2">
        <f>VLOOKUP([jobnumber],OvalData[],MATCH(Table2[[#Headers],[Bottom Bar Slope]],Table2[#Headers],0),0)</f>
        <v>0</v>
      </c>
      <c r="AV456" s="2">
        <f>VLOOKUP([jobnumber],OvalData[],MATCH(Table2[[#Headers],[Bottom Bar Weight]],Table2[#Headers],0),0)</f>
        <v>80.5</v>
      </c>
      <c r="AW456" s="2" t="str">
        <f>VLOOKUP([jobnumber],OvalData[],MATCH(Table2[[#Headers],[Outer Spring Gage]],Table2[#Headers],0),0)</f>
        <v>Null</v>
      </c>
      <c r="AX456" s="2" t="str">
        <f>VLOOKUP([jobnumber],OvalData[],MATCH(Table2[[#Headers],[Outer Spring OD]],Table2[#Headers],0),0)</f>
        <v>Null</v>
      </c>
      <c r="AY456" s="2" t="str">
        <f>VLOOKUP([jobnumber],OvalData[],MATCH(Table2[[#Headers],[Outer Spring Length]],Table2[#Headers],0),0)</f>
        <v>Null</v>
      </c>
      <c r="AZ456" s="2" t="str">
        <f>VLOOKUP([jobnumber],OvalData[],MATCH(Table2[[#Headers],[Outer Spring Stretch]],Table2[#Headers],0),0)</f>
        <v>Null</v>
      </c>
      <c r="BA456" s="2" t="str">
        <f>VLOOKUP([jobnumber],OvalData[],MATCH(Table2[[#Headers],[Outer Spring Torque]],Table2[#Headers],0),0)</f>
        <v>Null</v>
      </c>
      <c r="BB456" s="2" t="str">
        <f>VLOOKUP([jobnumber],OvalData[],MATCH(Table2[[#Headers],[Outer Spring Max Turns]],Table2[#Headers],0),0)</f>
        <v>Null</v>
      </c>
      <c r="BC456" s="2" t="str">
        <f>VLOOKUP([jobnumber],OvalData[],MATCH(Table2[[#Headers],[Outer Spring Weight]],Table2[#Headers],0),0)</f>
        <v>Null</v>
      </c>
      <c r="BD456" s="2" t="str">
        <f>VLOOKUP([jobnumber],OvalData[],MATCH(Table2[[#Headers],[Inner Spring Gage]],Table2[#Headers],0),0)</f>
        <v>Null</v>
      </c>
      <c r="BE456" s="2" t="str">
        <f>VLOOKUP([jobnumber],OvalData[],MATCH(Table2[[#Headers],[Inner Spring OD]],Table2[#Headers],0),0)</f>
        <v>Null</v>
      </c>
      <c r="BF456" s="2" t="str">
        <f>VLOOKUP([jobnumber],OvalData[],MATCH(Table2[[#Headers],[Inner Spring Length]],Table2[#Headers],0),0)</f>
        <v>Null</v>
      </c>
      <c r="BG456" s="2" t="str">
        <f>VLOOKUP([jobnumber],OvalData[],MATCH(Table2[[#Headers],[Inner Spring Stretch]],Table2[#Headers],0),0)</f>
        <v>Null</v>
      </c>
      <c r="BH456" s="2" t="str">
        <f>VLOOKUP([jobnumber],OvalData[],MATCH(Table2[[#Headers],[Inner Spring Torque]],Table2[#Headers],0),0)</f>
        <v>Null</v>
      </c>
      <c r="BI456" s="2" t="str">
        <f>VLOOKUP([jobnumber],OvalData[],MATCH(Table2[[#Headers],[Inner Spring Max Turns]],Table2[#Headers],0),0)</f>
        <v>Null</v>
      </c>
      <c r="BJ456" s="2" t="str">
        <f>VLOOKUP([jobnumber],OvalData[],MATCH(Table2[[#Headers],[Inner Spring Weight]],Table2[#Headers],0),0)</f>
        <v>Null</v>
      </c>
      <c r="BK456" s="2">
        <f>VLOOKUP([jobnumber],OvalData[],MATCH(Table2[[#Headers],[Cycles]],Table2[#Headers],0),0)</f>
        <v>0</v>
      </c>
      <c r="BL456" s="2">
        <f>VLOOKUP([jobnumber],OvalData[],MATCH(Table2[[#Headers],[Total Spring Torque]],Table2[#Headers],0),0)</f>
        <v>0</v>
      </c>
      <c r="BM456" s="2">
        <f>VLOOKUP([jobnumber],OvalData[],MATCH(Table2[[#Headers],[Total Spring Weight]],Table2[#Headers],0),0)</f>
        <v>0</v>
      </c>
      <c r="BN456" s="2">
        <f>VLOOKUP([jobnumber],OvalData[],MATCH(Table2[[#Headers],[Pipe Weight]],Table2[#Headers],0),0)</f>
        <v>688.24239999999998</v>
      </c>
      <c r="BO456" s="2">
        <f>VLOOKUP([jobnumber],OvalData[],MATCH(Table2[[#Headers],[Max Pipe Deflection]],Table2[#Headers],0),0)</f>
        <v>2309</v>
      </c>
      <c r="BP456" s="2">
        <f>VLOOKUP([jobnumber],OvalData[],MATCH(Table2[[#Headers],[Number Non-Insulated Wrap Slats]],Table2[#Headers],0),0)</f>
        <v>0</v>
      </c>
      <c r="BQ456" s="2">
        <f>VLOOKUP([jobnumber],OvalData[],MATCH(Table2[[#Headers],[Number of Insolated Top Slats]],Table2[#Headers],0),0)</f>
        <v>45</v>
      </c>
      <c r="BR456" s="2">
        <f>VLOOKUP([jobnumber],OvalData[],MATCH(Table2[[#Headers],[Insolated Total Slats]],Table2[#Headers],0),0)</f>
        <v>45</v>
      </c>
      <c r="BS456" s="2">
        <f>VLOOKUP([jobnumber],OvalData[],MATCH(Table2[[#Headers],[Number of Slats]],Table2[#Headers],0),0)</f>
        <v>44.69</v>
      </c>
      <c r="BT456" s="2">
        <f>VLOOKUP([jobnumber],OvalData[],MATCH(Table2[[#Headers],[Wrap]],Table2[#Headers],0),0)</f>
        <v>0</v>
      </c>
      <c r="BU456" s="2">
        <f>VLOOKUP([jobnumber],OvalData[],MATCH(Table2[[#Headers],[Wall Angle Thickness]],Table2[#Headers],0),0)</f>
        <v>0</v>
      </c>
      <c r="BV456" s="2">
        <f>VLOOKUP([jobnumber],OvalData[],MATCH(Table2[[#Headers],[windlocks]],Table2[#Headers],0),0)</f>
        <v>0</v>
      </c>
      <c r="BW456" s="2" t="str">
        <f>VLOOKUP([jobnumber],OvalData[],MATCH(Table2[[#Headers],[bottombartype]],Table2[#Headers],0),0)</f>
        <v>SPECIAL</v>
      </c>
      <c r="BX456" s="2">
        <f>VLOOKUP([jobnumber],OvalData[],MATCH(Table2[[#Headers],[endlockweight]],Table2[#Headers],0),0)</f>
        <v>0.17</v>
      </c>
      <c r="BY456" s="2">
        <f>VLOOKUP([jobnumber],OvalData[],MATCH(Table2[[#Headers],[Endlock Total Weight]],Table2[#Headers],0),0)</f>
        <v>7.5972999999999997</v>
      </c>
      <c r="BZ456" s="2">
        <f>VLOOKUP([jobnumber],OvalData[],MATCH(Table2[[#Headers],[Grille Weight]],Table2[#Headers],0),0)</f>
        <v>0</v>
      </c>
      <c r="CA456" s="2">
        <f>VLOOKUP([jobnumber],OvalData[],MATCH(Table2[[#Headers],[barrelrings]],Table2[#Headers],0),0)</f>
        <v>1</v>
      </c>
    </row>
    <row r="457" spans="2:79">
      <c r="B457" s="2" t="str">
        <f>VLOOKUP([jobnumber],OvalData[],MATCH(Table2[[#Headers],[Hand]],Table2[#Headers],0),0)</f>
        <v>RH</v>
      </c>
      <c r="C457" s="2" t="str">
        <f>VLOOKUP([jobnumber],OvalData[],MATCH(Table2[[#Headers],[Model]],Table2[#Headers],0),0)</f>
        <v>SFMPP</v>
      </c>
      <c r="D457" s="2" t="str">
        <f>VLOOKUP([jobnumber],OvalData[],MATCH(Table2[[#Headers],[width]],Table2[#Headers],0),0)</f>
        <v xml:space="preserve"> 18 ft.- 2"</v>
      </c>
      <c r="E457" s="2" t="str">
        <f>VLOOKUP([jobnumber],OvalData[],MATCH(Table2[[#Headers],[stopheight]],Table2[#Headers],0),0)</f>
        <v xml:space="preserve"> 10 ft.- 0"</v>
      </c>
      <c r="F457" s="2" t="str">
        <f>VLOOKUP([jobnumber],OvalData[],MATCH(Table2[[#Headers],[Between Brackets]],Table2[#Headers],0),0)</f>
        <v xml:space="preserve"> 18 ft.- 7 7/ 8"</v>
      </c>
      <c r="G457" s="2" t="str">
        <f>VLOOKUP([jobnumber],OvalData[],MATCH(Table2[[#Headers],[shell]],Table2[#Headers],0),0)</f>
        <v>6 INCH TUBE</v>
      </c>
      <c r="H457" s="2" t="str">
        <f>VLOOKUP([jobnumber],OvalData[],MATCH(Table2[[#Headers],[pipewidth]],Table2[#Headers],0),0)</f>
        <v xml:space="preserve"> 18 ft.- 1 3/ 8"</v>
      </c>
      <c r="I457" s="2">
        <f>VLOOKUP([jobnumber],OvalData[],MATCH(Table2[[#Headers],[Support Tubes]],Table2[#Headers],0),0)</f>
        <v>0</v>
      </c>
      <c r="J457" s="2">
        <f>VLOOKUP([jobnumber],OvalData[],MATCH(Table2[[#Headers],[Upset]],Table2[#Headers],0),0)</f>
        <v>2</v>
      </c>
      <c r="K457" s="2" t="str">
        <f>VLOOKUP([jobnumber],OvalData[],MATCH(Table2[[#Headers],[Guide Type]],Table2[#Headers],0),0)</f>
        <v>SN2-4 5/8-E</v>
      </c>
      <c r="L457" s="2" t="str">
        <f>VLOOKUP([jobnumber],OvalData[],MATCH(Table2[[#Headers],[Wall Angle]],Table2[#Headers],0),0)</f>
        <v xml:space="preserve"> 11 ft.- 8"</v>
      </c>
      <c r="M457" s="2" t="str">
        <f>VLOOKUP([jobnumber],OvalData[],MATCH(Table2[[#Headers],[Middle Angle]],Table2[#Headers],0),0)</f>
        <v xml:space="preserve"> 10 ft.- 4 1/ 2"</v>
      </c>
      <c r="N457" s="2" t="str">
        <f>VLOOKUP([jobnumber],OvalData[],MATCH(Table2[[#Headers],[Front Angle]],Table2[#Headers],0),0)</f>
        <v xml:space="preserve"> 10 ft.- 3"</v>
      </c>
      <c r="O457" s="2">
        <f>VLOOKUP([jobnumber],OvalData[],MATCH(Table2[[#Headers],[Pipe Center Line]],Table2[#Headers],0),0)</f>
        <v>131</v>
      </c>
      <c r="P457" s="2">
        <f>VLOOKUP([jobnumber],OvalData[],MATCH(Table2[[#Headers],[Heat Expansion Gap]],Table2[#Headers],0),0)</f>
        <v>0</v>
      </c>
      <c r="Q457" s="2">
        <f>VLOOKUP([jobnumber],OvalData[],MATCH(Table2[[#Headers],[Hanging Weight Closed]],Table2[#Headers],0),0)</f>
        <v>795</v>
      </c>
      <c r="R457" s="2">
        <f>VLOOKUP([jobnumber],OvalData[],MATCH(Table2[[#Headers],[Hanging Weight Open]],Table2[#Headers],0),0)</f>
        <v>140</v>
      </c>
      <c r="S457" s="2">
        <f>VLOOKUP([jobnumber],OvalData[],MATCH(Table2[[#Headers],[Initial Lever Arm]],Table2[#Headers],0),0)</f>
        <v>4.25</v>
      </c>
      <c r="T457" s="2">
        <f>VLOOKUP([jobnumber],OvalData[],MATCH(Table2[[#Headers],[Turns to Raise]],Table2[#Headers],0),0)</f>
        <v>3.5859999999999999</v>
      </c>
      <c r="U457" s="2">
        <f>VLOOKUP([jobnumber],OvalData[],MATCH(Table2[[#Headers],[Final Lever Arm]],Table2[#Headers],0),0)</f>
        <v>6.37</v>
      </c>
      <c r="V457" s="2">
        <f>VLOOKUP([jobnumber],OvalData[],MATCH(Table2[[#Headers],[Torque Required Closed]],Table2[#Headers],0),0)</f>
        <v>3377.9</v>
      </c>
      <c r="W457" s="2">
        <f>VLOOKUP([jobnumber],OvalData[],MATCH(Table2[[#Headers],[Torque Required Open]],Table2[#Headers],0),0)</f>
        <v>892</v>
      </c>
      <c r="X457" s="2">
        <f>VLOOKUP([jobnumber],OvalData[],MATCH(Table2[[#Headers],[Pre Turns]],Table2[#Headers],0),0)</f>
        <v>1.3332999999999999</v>
      </c>
      <c r="Y457" s="2">
        <f>VLOOKUP([jobnumber],OvalData[],MATCH(Table2[[#Headers],[Required Torque Per Turn]],Table2[#Headers],0),0)</f>
        <v>688</v>
      </c>
      <c r="Z457" s="2">
        <f>VLOOKUP([jobnumber],OvalData[],MATCH(Table2[[#Headers],[Total Turns]],Table2[#Headers],0),0)</f>
        <v>4.91</v>
      </c>
      <c r="AA457" s="2">
        <f>VLOOKUP([jobnumber],OvalData[],MATCH(Table2[[#Headers],[Grille Vision Section]],Table2[#Headers],0),0)</f>
        <v>0</v>
      </c>
      <c r="AB457" s="2">
        <f>VLOOKUP([jobnumber],OvalData[],MATCH(Table2[[#Headers],[Grille Amount]],Table2[#Headers],0),0)</f>
        <v>0</v>
      </c>
      <c r="AC457" s="2">
        <f>VLOOKUP([jobnumber],OvalData[],MATCH(Table2[[#Headers],[Grille Center]],Table2[#Headers],0),0)</f>
        <v>0</v>
      </c>
      <c r="AD457" s="2">
        <f>VLOOKUP([jobnumber],OvalData[],MATCH(Table2[[#Headers],[Grille Pattern]],Table2[#Headers],0),0)</f>
        <v>0</v>
      </c>
      <c r="AE457" s="2">
        <f>VLOOKUP([jobnumber],OvalData[],MATCH(Table2[[#Headers],[Grille First Tube]],Table2[#Headers],0),0)</f>
        <v>0</v>
      </c>
      <c r="AF457" s="2">
        <f>VLOOKUP([jobnumber],OvalData[],MATCH(Table2[[#Headers],[Grille Standard Tube]],Table2[#Headers],0),0)</f>
        <v>0</v>
      </c>
      <c r="AG457" s="2">
        <f>VLOOKUP([jobnumber],OvalData[],MATCH(Table2[[#Headers],[Grille Total Links]],Table2[#Headers],0),0)</f>
        <v>0</v>
      </c>
      <c r="AH457" s="2">
        <f>VLOOKUP([jobnumber],OvalData[],MATCH(Table2[[#Headers],[Grille Rods]],Table2[#Headers],0),0)</f>
        <v>0</v>
      </c>
      <c r="AI457" s="2">
        <f>VLOOKUP([jobnumber],OvalData[],MATCH(Table2[[#Headers],[Grille Rod Length]],Table2[#Headers],0),0)</f>
        <v>0</v>
      </c>
      <c r="AJ457" s="2">
        <f>VLOOKUP([jobnumber],OvalData[],MATCH(Table2[[#Headers],[slattype]],Table2[#Headers],0),0)</f>
        <v>2</v>
      </c>
      <c r="AK457" s="2">
        <f>VLOOKUP([jobnumber],OvalData[],MATCH(Table2[[#Headers],[slatgage]],Table2[#Headers],0),0)</f>
        <v>18</v>
      </c>
      <c r="AL457" s="2">
        <f>VLOOKUP([jobnumber],OvalData[],MATCH(Table2[[#Headers],[Numer of Top Slats]],Table2[#Headers],0),0)</f>
        <v>0</v>
      </c>
      <c r="AM457" s="2">
        <f>VLOOKUP([jobnumber],OvalData[],MATCH(Table2[[#Headers],[Number of Bottom Slats]],Table2[#Headers],0),0)</f>
        <v>0</v>
      </c>
      <c r="AN457" s="2">
        <f>VLOOKUP([jobnumber],OvalData[],MATCH(Table2[[#Headers],[Solid Bottom Height]],Table2[#Headers],0),0)</f>
        <v>0</v>
      </c>
      <c r="AO457" s="2" t="str">
        <f>VLOOKUP([jobnumber],OvalData[],MATCH(Table2[[#Headers],[slatlength]],Table2[#Headers],0),0)</f>
        <v xml:space="preserve"> 18 ft.- 5 7/ 8"</v>
      </c>
      <c r="AP457" s="2">
        <f>VLOOKUP([jobnumber],OvalData[],MATCH(Table2[[#Headers],[Bottom Slat Length]],Table2[#Headers],0),0)</f>
        <v>0</v>
      </c>
      <c r="AQ457" s="2">
        <f>VLOOKUP([jobnumber],OvalData[],MATCH(Table2[[#Headers],[Number of Perferated Slats]],Table2[#Headers],0),0)</f>
        <v>0</v>
      </c>
      <c r="AR457" s="2">
        <f>VLOOKUP([jobnumber],OvalData[],MATCH(Table2[[#Headers],[First Preferated Slat From End]],Table2[#Headers],0),0)</f>
        <v>0</v>
      </c>
      <c r="AS457" s="2">
        <f>VLOOKUP([jobnumber],OvalData[],MATCH(Table2[[#Headers],[First Preferated Slat From Bottom]],Table2[#Headers],0),0)</f>
        <v>0</v>
      </c>
      <c r="AT457" s="2">
        <f>VLOOKUP([jobnumber],OvalData[],MATCH(Table2[[#Headers],[Total Number of Slats]],Table2[#Headers],0),0)</f>
        <v>51</v>
      </c>
      <c r="AU457" s="2">
        <f>VLOOKUP([jobnumber],OvalData[],MATCH(Table2[[#Headers],[Bottom Bar Slope]],Table2[#Headers],0),0)</f>
        <v>0</v>
      </c>
      <c r="AV457" s="2">
        <f>VLOOKUP([jobnumber],OvalData[],MATCH(Table2[[#Headers],[Bottom Bar Weight]],Table2[#Headers],0),0)</f>
        <v>80.5</v>
      </c>
      <c r="AW457" s="2" t="str">
        <f>VLOOKUP([jobnumber],OvalData[],MATCH(Table2[[#Headers],[Outer Spring Gage]],Table2[#Headers],0),0)</f>
        <v>Null</v>
      </c>
      <c r="AX457" s="2" t="str">
        <f>VLOOKUP([jobnumber],OvalData[],MATCH(Table2[[#Headers],[Outer Spring OD]],Table2[#Headers],0),0)</f>
        <v>Null</v>
      </c>
      <c r="AY457" s="2" t="str">
        <f>VLOOKUP([jobnumber],OvalData[],MATCH(Table2[[#Headers],[Outer Spring Length]],Table2[#Headers],0),0)</f>
        <v>Null</v>
      </c>
      <c r="AZ457" s="2" t="str">
        <f>VLOOKUP([jobnumber],OvalData[],MATCH(Table2[[#Headers],[Outer Spring Stretch]],Table2[#Headers],0),0)</f>
        <v>Null</v>
      </c>
      <c r="BA457" s="2" t="str">
        <f>VLOOKUP([jobnumber],OvalData[],MATCH(Table2[[#Headers],[Outer Spring Torque]],Table2[#Headers],0),0)</f>
        <v>Null</v>
      </c>
      <c r="BB457" s="2" t="str">
        <f>VLOOKUP([jobnumber],OvalData[],MATCH(Table2[[#Headers],[Outer Spring Max Turns]],Table2[#Headers],0),0)</f>
        <v>Null</v>
      </c>
      <c r="BC457" s="2" t="str">
        <f>VLOOKUP([jobnumber],OvalData[],MATCH(Table2[[#Headers],[Outer Spring Weight]],Table2[#Headers],0),0)</f>
        <v>Null</v>
      </c>
      <c r="BD457" s="2" t="str">
        <f>VLOOKUP([jobnumber],OvalData[],MATCH(Table2[[#Headers],[Inner Spring Gage]],Table2[#Headers],0),0)</f>
        <v>Null</v>
      </c>
      <c r="BE457" s="2" t="str">
        <f>VLOOKUP([jobnumber],OvalData[],MATCH(Table2[[#Headers],[Inner Spring OD]],Table2[#Headers],0),0)</f>
        <v>Null</v>
      </c>
      <c r="BF457" s="2" t="str">
        <f>VLOOKUP([jobnumber],OvalData[],MATCH(Table2[[#Headers],[Inner Spring Length]],Table2[#Headers],0),0)</f>
        <v>Null</v>
      </c>
      <c r="BG457" s="2" t="str">
        <f>VLOOKUP([jobnumber],OvalData[],MATCH(Table2[[#Headers],[Inner Spring Stretch]],Table2[#Headers],0),0)</f>
        <v>Null</v>
      </c>
      <c r="BH457" s="2" t="str">
        <f>VLOOKUP([jobnumber],OvalData[],MATCH(Table2[[#Headers],[Inner Spring Torque]],Table2[#Headers],0),0)</f>
        <v>Null</v>
      </c>
      <c r="BI457" s="2" t="str">
        <f>VLOOKUP([jobnumber],OvalData[],MATCH(Table2[[#Headers],[Inner Spring Max Turns]],Table2[#Headers],0),0)</f>
        <v>Null</v>
      </c>
      <c r="BJ457" s="2" t="str">
        <f>VLOOKUP([jobnumber],OvalData[],MATCH(Table2[[#Headers],[Inner Spring Weight]],Table2[#Headers],0),0)</f>
        <v>Null</v>
      </c>
      <c r="BK457" s="2">
        <f>VLOOKUP([jobnumber],OvalData[],MATCH(Table2[[#Headers],[Cycles]],Table2[#Headers],0),0)</f>
        <v>0</v>
      </c>
      <c r="BL457" s="2">
        <f>VLOOKUP([jobnumber],OvalData[],MATCH(Table2[[#Headers],[Total Spring Torque]],Table2[#Headers],0),0)</f>
        <v>0</v>
      </c>
      <c r="BM457" s="2">
        <f>VLOOKUP([jobnumber],OvalData[],MATCH(Table2[[#Headers],[Total Spring Weight]],Table2[#Headers],0),0)</f>
        <v>0</v>
      </c>
      <c r="BN457" s="2">
        <f>VLOOKUP([jobnumber],OvalData[],MATCH(Table2[[#Headers],[Pipe Weight]],Table2[#Headers],0),0)</f>
        <v>688.24239999999998</v>
      </c>
      <c r="BO457" s="2">
        <f>VLOOKUP([jobnumber],OvalData[],MATCH(Table2[[#Headers],[Max Pipe Deflection]],Table2[#Headers],0),0)</f>
        <v>2309</v>
      </c>
      <c r="BP457" s="2">
        <f>VLOOKUP([jobnumber],OvalData[],MATCH(Table2[[#Headers],[Number Non-Insulated Wrap Slats]],Table2[#Headers],0),0)</f>
        <v>0</v>
      </c>
      <c r="BQ457" s="2">
        <f>VLOOKUP([jobnumber],OvalData[],MATCH(Table2[[#Headers],[Number of Insolated Top Slats]],Table2[#Headers],0),0)</f>
        <v>45</v>
      </c>
      <c r="BR457" s="2">
        <f>VLOOKUP([jobnumber],OvalData[],MATCH(Table2[[#Headers],[Insolated Total Slats]],Table2[#Headers],0),0)</f>
        <v>45</v>
      </c>
      <c r="BS457" s="2">
        <f>VLOOKUP([jobnumber],OvalData[],MATCH(Table2[[#Headers],[Number of Slats]],Table2[#Headers],0),0)</f>
        <v>44.69</v>
      </c>
      <c r="BT457" s="2">
        <f>VLOOKUP([jobnumber],OvalData[],MATCH(Table2[[#Headers],[Wrap]],Table2[#Headers],0),0)</f>
        <v>0</v>
      </c>
      <c r="BU457" s="2">
        <f>VLOOKUP([jobnumber],OvalData[],MATCH(Table2[[#Headers],[Wall Angle Thickness]],Table2[#Headers],0),0)</f>
        <v>0</v>
      </c>
      <c r="BV457" s="2">
        <f>VLOOKUP([jobnumber],OvalData[],MATCH(Table2[[#Headers],[windlocks]],Table2[#Headers],0),0)</f>
        <v>0</v>
      </c>
      <c r="BW457" s="2" t="str">
        <f>VLOOKUP([jobnumber],OvalData[],MATCH(Table2[[#Headers],[bottombartype]],Table2[#Headers],0),0)</f>
        <v>SPECIAL</v>
      </c>
      <c r="BX457" s="2">
        <f>VLOOKUP([jobnumber],OvalData[],MATCH(Table2[[#Headers],[endlockweight]],Table2[#Headers],0),0)</f>
        <v>0.17</v>
      </c>
      <c r="BY457" s="2">
        <f>VLOOKUP([jobnumber],OvalData[],MATCH(Table2[[#Headers],[Endlock Total Weight]],Table2[#Headers],0),0)</f>
        <v>7.5972999999999997</v>
      </c>
      <c r="BZ457" s="2">
        <f>VLOOKUP([jobnumber],OvalData[],MATCH(Table2[[#Headers],[Grille Weight]],Table2[#Headers],0),0)</f>
        <v>0</v>
      </c>
      <c r="CA457" s="2">
        <f>VLOOKUP([jobnumber],OvalData[],MATCH(Table2[[#Headers],[barrelrings]],Table2[#Headers],0),0)</f>
        <v>1</v>
      </c>
    </row>
    <row r="458" spans="2:79">
      <c r="B458" s="2" t="str">
        <f>VLOOKUP([jobnumber],OvalData[],MATCH(Table2[[#Headers],[Hand]],Table2[#Headers],0),0)</f>
        <v>RH</v>
      </c>
      <c r="C458" s="2" t="str">
        <f>VLOOKUP([jobnumber],OvalData[],MATCH(Table2[[#Headers],[Model]],Table2[#Headers],0),0)</f>
        <v>SFMPP</v>
      </c>
      <c r="D458" s="2" t="str">
        <f>VLOOKUP([jobnumber],OvalData[],MATCH(Table2[[#Headers],[width]],Table2[#Headers],0),0)</f>
        <v xml:space="preserve"> 18 ft.- 2"</v>
      </c>
      <c r="E458" s="2" t="str">
        <f>VLOOKUP([jobnumber],OvalData[],MATCH(Table2[[#Headers],[stopheight]],Table2[#Headers],0),0)</f>
        <v xml:space="preserve"> 10 ft.- 0"</v>
      </c>
      <c r="F458" s="2" t="str">
        <f>VLOOKUP([jobnumber],OvalData[],MATCH(Table2[[#Headers],[Between Brackets]],Table2[#Headers],0),0)</f>
        <v xml:space="preserve"> 18 ft.- 7 7/ 8"</v>
      </c>
      <c r="G458" s="2" t="str">
        <f>VLOOKUP([jobnumber],OvalData[],MATCH(Table2[[#Headers],[shell]],Table2[#Headers],0),0)</f>
        <v>6 INCH TUBE</v>
      </c>
      <c r="H458" s="2" t="str">
        <f>VLOOKUP([jobnumber],OvalData[],MATCH(Table2[[#Headers],[pipewidth]],Table2[#Headers],0),0)</f>
        <v xml:space="preserve"> 18 ft.- 1 3/ 8"</v>
      </c>
      <c r="I458" s="2">
        <f>VLOOKUP([jobnumber],OvalData[],MATCH(Table2[[#Headers],[Support Tubes]],Table2[#Headers],0),0)</f>
        <v>0</v>
      </c>
      <c r="J458" s="2">
        <f>VLOOKUP([jobnumber],OvalData[],MATCH(Table2[[#Headers],[Upset]],Table2[#Headers],0),0)</f>
        <v>2</v>
      </c>
      <c r="K458" s="2" t="str">
        <f>VLOOKUP([jobnumber],OvalData[],MATCH(Table2[[#Headers],[Guide Type]],Table2[#Headers],0),0)</f>
        <v>SN2-4 5/8-E</v>
      </c>
      <c r="L458" s="2" t="str">
        <f>VLOOKUP([jobnumber],OvalData[],MATCH(Table2[[#Headers],[Wall Angle]],Table2[#Headers],0),0)</f>
        <v xml:space="preserve"> 11 ft.- 8"</v>
      </c>
      <c r="M458" s="2" t="str">
        <f>VLOOKUP([jobnumber],OvalData[],MATCH(Table2[[#Headers],[Middle Angle]],Table2[#Headers],0),0)</f>
        <v xml:space="preserve"> 10 ft.- 4 1/ 2"</v>
      </c>
      <c r="N458" s="2" t="str">
        <f>VLOOKUP([jobnumber],OvalData[],MATCH(Table2[[#Headers],[Front Angle]],Table2[#Headers],0),0)</f>
        <v xml:space="preserve"> 10 ft.- 3"</v>
      </c>
      <c r="O458" s="2">
        <f>VLOOKUP([jobnumber],OvalData[],MATCH(Table2[[#Headers],[Pipe Center Line]],Table2[#Headers],0),0)</f>
        <v>131</v>
      </c>
      <c r="P458" s="2">
        <f>VLOOKUP([jobnumber],OvalData[],MATCH(Table2[[#Headers],[Heat Expansion Gap]],Table2[#Headers],0),0)</f>
        <v>0</v>
      </c>
      <c r="Q458" s="2">
        <f>VLOOKUP([jobnumber],OvalData[],MATCH(Table2[[#Headers],[Hanging Weight Closed]],Table2[#Headers],0),0)</f>
        <v>795</v>
      </c>
      <c r="R458" s="2">
        <f>VLOOKUP([jobnumber],OvalData[],MATCH(Table2[[#Headers],[Hanging Weight Open]],Table2[#Headers],0),0)</f>
        <v>140</v>
      </c>
      <c r="S458" s="2">
        <f>VLOOKUP([jobnumber],OvalData[],MATCH(Table2[[#Headers],[Initial Lever Arm]],Table2[#Headers],0),0)</f>
        <v>4.25</v>
      </c>
      <c r="T458" s="2">
        <f>VLOOKUP([jobnumber],OvalData[],MATCH(Table2[[#Headers],[Turns to Raise]],Table2[#Headers],0),0)</f>
        <v>3.5859999999999999</v>
      </c>
      <c r="U458" s="2">
        <f>VLOOKUP([jobnumber],OvalData[],MATCH(Table2[[#Headers],[Final Lever Arm]],Table2[#Headers],0),0)</f>
        <v>6.37</v>
      </c>
      <c r="V458" s="2">
        <f>VLOOKUP([jobnumber],OvalData[],MATCH(Table2[[#Headers],[Torque Required Closed]],Table2[#Headers],0),0)</f>
        <v>3377.9</v>
      </c>
      <c r="W458" s="2">
        <f>VLOOKUP([jobnumber],OvalData[],MATCH(Table2[[#Headers],[Torque Required Open]],Table2[#Headers],0),0)</f>
        <v>892</v>
      </c>
      <c r="X458" s="2">
        <f>VLOOKUP([jobnumber],OvalData[],MATCH(Table2[[#Headers],[Pre Turns]],Table2[#Headers],0),0)</f>
        <v>1.3332999999999999</v>
      </c>
      <c r="Y458" s="2">
        <f>VLOOKUP([jobnumber],OvalData[],MATCH(Table2[[#Headers],[Required Torque Per Turn]],Table2[#Headers],0),0)</f>
        <v>688</v>
      </c>
      <c r="Z458" s="2">
        <f>VLOOKUP([jobnumber],OvalData[],MATCH(Table2[[#Headers],[Total Turns]],Table2[#Headers],0),0)</f>
        <v>4.91</v>
      </c>
      <c r="AA458" s="2">
        <f>VLOOKUP([jobnumber],OvalData[],MATCH(Table2[[#Headers],[Grille Vision Section]],Table2[#Headers],0),0)</f>
        <v>0</v>
      </c>
      <c r="AB458" s="2">
        <f>VLOOKUP([jobnumber],OvalData[],MATCH(Table2[[#Headers],[Grille Amount]],Table2[#Headers],0),0)</f>
        <v>0</v>
      </c>
      <c r="AC458" s="2">
        <f>VLOOKUP([jobnumber],OvalData[],MATCH(Table2[[#Headers],[Grille Center]],Table2[#Headers],0),0)</f>
        <v>0</v>
      </c>
      <c r="AD458" s="2">
        <f>VLOOKUP([jobnumber],OvalData[],MATCH(Table2[[#Headers],[Grille Pattern]],Table2[#Headers],0),0)</f>
        <v>0</v>
      </c>
      <c r="AE458" s="2">
        <f>VLOOKUP([jobnumber],OvalData[],MATCH(Table2[[#Headers],[Grille First Tube]],Table2[#Headers],0),0)</f>
        <v>0</v>
      </c>
      <c r="AF458" s="2">
        <f>VLOOKUP([jobnumber],OvalData[],MATCH(Table2[[#Headers],[Grille Standard Tube]],Table2[#Headers],0),0)</f>
        <v>0</v>
      </c>
      <c r="AG458" s="2">
        <f>VLOOKUP([jobnumber],OvalData[],MATCH(Table2[[#Headers],[Grille Total Links]],Table2[#Headers],0),0)</f>
        <v>0</v>
      </c>
      <c r="AH458" s="2">
        <f>VLOOKUP([jobnumber],OvalData[],MATCH(Table2[[#Headers],[Grille Rods]],Table2[#Headers],0),0)</f>
        <v>0</v>
      </c>
      <c r="AI458" s="2">
        <f>VLOOKUP([jobnumber],OvalData[],MATCH(Table2[[#Headers],[Grille Rod Length]],Table2[#Headers],0),0)</f>
        <v>0</v>
      </c>
      <c r="AJ458" s="2">
        <f>VLOOKUP([jobnumber],OvalData[],MATCH(Table2[[#Headers],[slattype]],Table2[#Headers],0),0)</f>
        <v>2</v>
      </c>
      <c r="AK458" s="2">
        <f>VLOOKUP([jobnumber],OvalData[],MATCH(Table2[[#Headers],[slatgage]],Table2[#Headers],0),0)</f>
        <v>18</v>
      </c>
      <c r="AL458" s="2">
        <f>VLOOKUP([jobnumber],OvalData[],MATCH(Table2[[#Headers],[Numer of Top Slats]],Table2[#Headers],0),0)</f>
        <v>0</v>
      </c>
      <c r="AM458" s="2">
        <f>VLOOKUP([jobnumber],OvalData[],MATCH(Table2[[#Headers],[Number of Bottom Slats]],Table2[#Headers],0),0)</f>
        <v>0</v>
      </c>
      <c r="AN458" s="2">
        <f>VLOOKUP([jobnumber],OvalData[],MATCH(Table2[[#Headers],[Solid Bottom Height]],Table2[#Headers],0),0)</f>
        <v>0</v>
      </c>
      <c r="AO458" s="2" t="str">
        <f>VLOOKUP([jobnumber],OvalData[],MATCH(Table2[[#Headers],[slatlength]],Table2[#Headers],0),0)</f>
        <v xml:space="preserve"> 18 ft.- 5 7/ 8"</v>
      </c>
      <c r="AP458" s="2">
        <f>VLOOKUP([jobnumber],OvalData[],MATCH(Table2[[#Headers],[Bottom Slat Length]],Table2[#Headers],0),0)</f>
        <v>0</v>
      </c>
      <c r="AQ458" s="2">
        <f>VLOOKUP([jobnumber],OvalData[],MATCH(Table2[[#Headers],[Number of Perferated Slats]],Table2[#Headers],0),0)</f>
        <v>0</v>
      </c>
      <c r="AR458" s="2">
        <f>VLOOKUP([jobnumber],OvalData[],MATCH(Table2[[#Headers],[First Preferated Slat From End]],Table2[#Headers],0),0)</f>
        <v>0</v>
      </c>
      <c r="AS458" s="2">
        <f>VLOOKUP([jobnumber],OvalData[],MATCH(Table2[[#Headers],[First Preferated Slat From Bottom]],Table2[#Headers],0),0)</f>
        <v>0</v>
      </c>
      <c r="AT458" s="2">
        <f>VLOOKUP([jobnumber],OvalData[],MATCH(Table2[[#Headers],[Total Number of Slats]],Table2[#Headers],0),0)</f>
        <v>51</v>
      </c>
      <c r="AU458" s="2">
        <f>VLOOKUP([jobnumber],OvalData[],MATCH(Table2[[#Headers],[Bottom Bar Slope]],Table2[#Headers],0),0)</f>
        <v>0</v>
      </c>
      <c r="AV458" s="2">
        <f>VLOOKUP([jobnumber],OvalData[],MATCH(Table2[[#Headers],[Bottom Bar Weight]],Table2[#Headers],0),0)</f>
        <v>80.5</v>
      </c>
      <c r="AW458" s="2" t="str">
        <f>VLOOKUP([jobnumber],OvalData[],MATCH(Table2[[#Headers],[Outer Spring Gage]],Table2[#Headers],0),0)</f>
        <v>Null</v>
      </c>
      <c r="AX458" s="2" t="str">
        <f>VLOOKUP([jobnumber],OvalData[],MATCH(Table2[[#Headers],[Outer Spring OD]],Table2[#Headers],0),0)</f>
        <v>Null</v>
      </c>
      <c r="AY458" s="2" t="str">
        <f>VLOOKUP([jobnumber],OvalData[],MATCH(Table2[[#Headers],[Outer Spring Length]],Table2[#Headers],0),0)</f>
        <v>Null</v>
      </c>
      <c r="AZ458" s="2" t="str">
        <f>VLOOKUP([jobnumber],OvalData[],MATCH(Table2[[#Headers],[Outer Spring Stretch]],Table2[#Headers],0),0)</f>
        <v>Null</v>
      </c>
      <c r="BA458" s="2" t="str">
        <f>VLOOKUP([jobnumber],OvalData[],MATCH(Table2[[#Headers],[Outer Spring Torque]],Table2[#Headers],0),0)</f>
        <v>Null</v>
      </c>
      <c r="BB458" s="2" t="str">
        <f>VLOOKUP([jobnumber],OvalData[],MATCH(Table2[[#Headers],[Outer Spring Max Turns]],Table2[#Headers],0),0)</f>
        <v>Null</v>
      </c>
      <c r="BC458" s="2" t="str">
        <f>VLOOKUP([jobnumber],OvalData[],MATCH(Table2[[#Headers],[Outer Spring Weight]],Table2[#Headers],0),0)</f>
        <v>Null</v>
      </c>
      <c r="BD458" s="2" t="str">
        <f>VLOOKUP([jobnumber],OvalData[],MATCH(Table2[[#Headers],[Inner Spring Gage]],Table2[#Headers],0),0)</f>
        <v>Null</v>
      </c>
      <c r="BE458" s="2" t="str">
        <f>VLOOKUP([jobnumber],OvalData[],MATCH(Table2[[#Headers],[Inner Spring OD]],Table2[#Headers],0),0)</f>
        <v>Null</v>
      </c>
      <c r="BF458" s="2" t="str">
        <f>VLOOKUP([jobnumber],OvalData[],MATCH(Table2[[#Headers],[Inner Spring Length]],Table2[#Headers],0),0)</f>
        <v>Null</v>
      </c>
      <c r="BG458" s="2" t="str">
        <f>VLOOKUP([jobnumber],OvalData[],MATCH(Table2[[#Headers],[Inner Spring Stretch]],Table2[#Headers],0),0)</f>
        <v>Null</v>
      </c>
      <c r="BH458" s="2" t="str">
        <f>VLOOKUP([jobnumber],OvalData[],MATCH(Table2[[#Headers],[Inner Spring Torque]],Table2[#Headers],0),0)</f>
        <v>Null</v>
      </c>
      <c r="BI458" s="2" t="str">
        <f>VLOOKUP([jobnumber],OvalData[],MATCH(Table2[[#Headers],[Inner Spring Max Turns]],Table2[#Headers],0),0)</f>
        <v>Null</v>
      </c>
      <c r="BJ458" s="2" t="str">
        <f>VLOOKUP([jobnumber],OvalData[],MATCH(Table2[[#Headers],[Inner Spring Weight]],Table2[#Headers],0),0)</f>
        <v>Null</v>
      </c>
      <c r="BK458" s="2">
        <f>VLOOKUP([jobnumber],OvalData[],MATCH(Table2[[#Headers],[Cycles]],Table2[#Headers],0),0)</f>
        <v>0</v>
      </c>
      <c r="BL458" s="2">
        <f>VLOOKUP([jobnumber],OvalData[],MATCH(Table2[[#Headers],[Total Spring Torque]],Table2[#Headers],0),0)</f>
        <v>0</v>
      </c>
      <c r="BM458" s="2">
        <f>VLOOKUP([jobnumber],OvalData[],MATCH(Table2[[#Headers],[Total Spring Weight]],Table2[#Headers],0),0)</f>
        <v>0</v>
      </c>
      <c r="BN458" s="2">
        <f>VLOOKUP([jobnumber],OvalData[],MATCH(Table2[[#Headers],[Pipe Weight]],Table2[#Headers],0),0)</f>
        <v>688.24239999999998</v>
      </c>
      <c r="BO458" s="2">
        <f>VLOOKUP([jobnumber],OvalData[],MATCH(Table2[[#Headers],[Max Pipe Deflection]],Table2[#Headers],0),0)</f>
        <v>2309</v>
      </c>
      <c r="BP458" s="2">
        <f>VLOOKUP([jobnumber],OvalData[],MATCH(Table2[[#Headers],[Number Non-Insulated Wrap Slats]],Table2[#Headers],0),0)</f>
        <v>0</v>
      </c>
      <c r="BQ458" s="2">
        <f>VLOOKUP([jobnumber],OvalData[],MATCH(Table2[[#Headers],[Number of Insolated Top Slats]],Table2[#Headers],0),0)</f>
        <v>45</v>
      </c>
      <c r="BR458" s="2">
        <f>VLOOKUP([jobnumber],OvalData[],MATCH(Table2[[#Headers],[Insolated Total Slats]],Table2[#Headers],0),0)</f>
        <v>45</v>
      </c>
      <c r="BS458" s="2">
        <f>VLOOKUP([jobnumber],OvalData[],MATCH(Table2[[#Headers],[Number of Slats]],Table2[#Headers],0),0)</f>
        <v>44.69</v>
      </c>
      <c r="BT458" s="2">
        <f>VLOOKUP([jobnumber],OvalData[],MATCH(Table2[[#Headers],[Wrap]],Table2[#Headers],0),0)</f>
        <v>0</v>
      </c>
      <c r="BU458" s="2">
        <f>VLOOKUP([jobnumber],OvalData[],MATCH(Table2[[#Headers],[Wall Angle Thickness]],Table2[#Headers],0),0)</f>
        <v>0</v>
      </c>
      <c r="BV458" s="2">
        <f>VLOOKUP([jobnumber],OvalData[],MATCH(Table2[[#Headers],[windlocks]],Table2[#Headers],0),0)</f>
        <v>0</v>
      </c>
      <c r="BW458" s="2" t="str">
        <f>VLOOKUP([jobnumber],OvalData[],MATCH(Table2[[#Headers],[bottombartype]],Table2[#Headers],0),0)</f>
        <v>SPECIAL</v>
      </c>
      <c r="BX458" s="2">
        <f>VLOOKUP([jobnumber],OvalData[],MATCH(Table2[[#Headers],[endlockweight]],Table2[#Headers],0),0)</f>
        <v>0.17</v>
      </c>
      <c r="BY458" s="2">
        <f>VLOOKUP([jobnumber],OvalData[],MATCH(Table2[[#Headers],[Endlock Total Weight]],Table2[#Headers],0),0)</f>
        <v>7.5972999999999997</v>
      </c>
      <c r="BZ458" s="2">
        <f>VLOOKUP([jobnumber],OvalData[],MATCH(Table2[[#Headers],[Grille Weight]],Table2[#Headers],0),0)</f>
        <v>0</v>
      </c>
      <c r="CA458" s="2">
        <f>VLOOKUP([jobnumber],OvalData[],MATCH(Table2[[#Headers],[barrelrings]],Table2[#Headers],0),0)</f>
        <v>1</v>
      </c>
    </row>
    <row r="459" spans="2:79">
      <c r="B459" s="2" t="str">
        <f>VLOOKUP([jobnumber],OvalData[],MATCH(Table2[[#Headers],[Hand]],Table2[#Headers],0),0)</f>
        <v>RH</v>
      </c>
      <c r="C459" s="2" t="str">
        <f>VLOOKUP([jobnumber],OvalData[],MATCH(Table2[[#Headers],[Model]],Table2[#Headers],0),0)</f>
        <v>SFMPP</v>
      </c>
      <c r="D459" s="2" t="str">
        <f>VLOOKUP([jobnumber],OvalData[],MATCH(Table2[[#Headers],[width]],Table2[#Headers],0),0)</f>
        <v xml:space="preserve"> 18 ft.- 2"</v>
      </c>
      <c r="E459" s="2" t="str">
        <f>VLOOKUP([jobnumber],OvalData[],MATCH(Table2[[#Headers],[stopheight]],Table2[#Headers],0),0)</f>
        <v xml:space="preserve"> 10 ft.- 0"</v>
      </c>
      <c r="F459" s="2" t="str">
        <f>VLOOKUP([jobnumber],OvalData[],MATCH(Table2[[#Headers],[Between Brackets]],Table2[#Headers],0),0)</f>
        <v xml:space="preserve"> 18 ft.- 7 7/ 8"</v>
      </c>
      <c r="G459" s="2" t="str">
        <f>VLOOKUP([jobnumber],OvalData[],MATCH(Table2[[#Headers],[shell]],Table2[#Headers],0),0)</f>
        <v>6 INCH TUBE</v>
      </c>
      <c r="H459" s="2" t="str">
        <f>VLOOKUP([jobnumber],OvalData[],MATCH(Table2[[#Headers],[pipewidth]],Table2[#Headers],0),0)</f>
        <v xml:space="preserve"> 18 ft.- 1 3/ 8"</v>
      </c>
      <c r="I459" s="2">
        <f>VLOOKUP([jobnumber],OvalData[],MATCH(Table2[[#Headers],[Support Tubes]],Table2[#Headers],0),0)</f>
        <v>0</v>
      </c>
      <c r="J459" s="2">
        <f>VLOOKUP([jobnumber],OvalData[],MATCH(Table2[[#Headers],[Upset]],Table2[#Headers],0),0)</f>
        <v>2</v>
      </c>
      <c r="K459" s="2" t="str">
        <f>VLOOKUP([jobnumber],OvalData[],MATCH(Table2[[#Headers],[Guide Type]],Table2[#Headers],0),0)</f>
        <v>SN2-4 5/8-E</v>
      </c>
      <c r="L459" s="2" t="str">
        <f>VLOOKUP([jobnumber],OvalData[],MATCH(Table2[[#Headers],[Wall Angle]],Table2[#Headers],0),0)</f>
        <v xml:space="preserve"> 11 ft.- 8"</v>
      </c>
      <c r="M459" s="2" t="str">
        <f>VLOOKUP([jobnumber],OvalData[],MATCH(Table2[[#Headers],[Middle Angle]],Table2[#Headers],0),0)</f>
        <v xml:space="preserve"> 10 ft.- 4 1/ 2"</v>
      </c>
      <c r="N459" s="2" t="str">
        <f>VLOOKUP([jobnumber],OvalData[],MATCH(Table2[[#Headers],[Front Angle]],Table2[#Headers],0),0)</f>
        <v xml:space="preserve"> 10 ft.- 3"</v>
      </c>
      <c r="O459" s="2">
        <f>VLOOKUP([jobnumber],OvalData[],MATCH(Table2[[#Headers],[Pipe Center Line]],Table2[#Headers],0),0)</f>
        <v>131</v>
      </c>
      <c r="P459" s="2">
        <f>VLOOKUP([jobnumber],OvalData[],MATCH(Table2[[#Headers],[Heat Expansion Gap]],Table2[#Headers],0),0)</f>
        <v>0</v>
      </c>
      <c r="Q459" s="2">
        <f>VLOOKUP([jobnumber],OvalData[],MATCH(Table2[[#Headers],[Hanging Weight Closed]],Table2[#Headers],0),0)</f>
        <v>795</v>
      </c>
      <c r="R459" s="2">
        <f>VLOOKUP([jobnumber],OvalData[],MATCH(Table2[[#Headers],[Hanging Weight Open]],Table2[#Headers],0),0)</f>
        <v>140</v>
      </c>
      <c r="S459" s="2">
        <f>VLOOKUP([jobnumber],OvalData[],MATCH(Table2[[#Headers],[Initial Lever Arm]],Table2[#Headers],0),0)</f>
        <v>4.25</v>
      </c>
      <c r="T459" s="2">
        <f>VLOOKUP([jobnumber],OvalData[],MATCH(Table2[[#Headers],[Turns to Raise]],Table2[#Headers],0),0)</f>
        <v>3.5859999999999999</v>
      </c>
      <c r="U459" s="2">
        <f>VLOOKUP([jobnumber],OvalData[],MATCH(Table2[[#Headers],[Final Lever Arm]],Table2[#Headers],0),0)</f>
        <v>6.37</v>
      </c>
      <c r="V459" s="2">
        <f>VLOOKUP([jobnumber],OvalData[],MATCH(Table2[[#Headers],[Torque Required Closed]],Table2[#Headers],0),0)</f>
        <v>3377.9</v>
      </c>
      <c r="W459" s="2">
        <f>VLOOKUP([jobnumber],OvalData[],MATCH(Table2[[#Headers],[Torque Required Open]],Table2[#Headers],0),0)</f>
        <v>892</v>
      </c>
      <c r="X459" s="2">
        <f>VLOOKUP([jobnumber],OvalData[],MATCH(Table2[[#Headers],[Pre Turns]],Table2[#Headers],0),0)</f>
        <v>1.3332999999999999</v>
      </c>
      <c r="Y459" s="2">
        <f>VLOOKUP([jobnumber],OvalData[],MATCH(Table2[[#Headers],[Required Torque Per Turn]],Table2[#Headers],0),0)</f>
        <v>688</v>
      </c>
      <c r="Z459" s="2">
        <f>VLOOKUP([jobnumber],OvalData[],MATCH(Table2[[#Headers],[Total Turns]],Table2[#Headers],0),0)</f>
        <v>4.91</v>
      </c>
      <c r="AA459" s="2">
        <f>VLOOKUP([jobnumber],OvalData[],MATCH(Table2[[#Headers],[Grille Vision Section]],Table2[#Headers],0),0)</f>
        <v>0</v>
      </c>
      <c r="AB459" s="2">
        <f>VLOOKUP([jobnumber],OvalData[],MATCH(Table2[[#Headers],[Grille Amount]],Table2[#Headers],0),0)</f>
        <v>0</v>
      </c>
      <c r="AC459" s="2">
        <f>VLOOKUP([jobnumber],OvalData[],MATCH(Table2[[#Headers],[Grille Center]],Table2[#Headers],0),0)</f>
        <v>0</v>
      </c>
      <c r="AD459" s="2">
        <f>VLOOKUP([jobnumber],OvalData[],MATCH(Table2[[#Headers],[Grille Pattern]],Table2[#Headers],0),0)</f>
        <v>0</v>
      </c>
      <c r="AE459" s="2">
        <f>VLOOKUP([jobnumber],OvalData[],MATCH(Table2[[#Headers],[Grille First Tube]],Table2[#Headers],0),0)</f>
        <v>0</v>
      </c>
      <c r="AF459" s="2">
        <f>VLOOKUP([jobnumber],OvalData[],MATCH(Table2[[#Headers],[Grille Standard Tube]],Table2[#Headers],0),0)</f>
        <v>0</v>
      </c>
      <c r="AG459" s="2">
        <f>VLOOKUP([jobnumber],OvalData[],MATCH(Table2[[#Headers],[Grille Total Links]],Table2[#Headers],0),0)</f>
        <v>0</v>
      </c>
      <c r="AH459" s="2">
        <f>VLOOKUP([jobnumber],OvalData[],MATCH(Table2[[#Headers],[Grille Rods]],Table2[#Headers],0),0)</f>
        <v>0</v>
      </c>
      <c r="AI459" s="2">
        <f>VLOOKUP([jobnumber],OvalData[],MATCH(Table2[[#Headers],[Grille Rod Length]],Table2[#Headers],0),0)</f>
        <v>0</v>
      </c>
      <c r="AJ459" s="2">
        <f>VLOOKUP([jobnumber],OvalData[],MATCH(Table2[[#Headers],[slattype]],Table2[#Headers],0),0)</f>
        <v>2</v>
      </c>
      <c r="AK459" s="2">
        <f>VLOOKUP([jobnumber],OvalData[],MATCH(Table2[[#Headers],[slatgage]],Table2[#Headers],0),0)</f>
        <v>18</v>
      </c>
      <c r="AL459" s="2">
        <f>VLOOKUP([jobnumber],OvalData[],MATCH(Table2[[#Headers],[Numer of Top Slats]],Table2[#Headers],0),0)</f>
        <v>0</v>
      </c>
      <c r="AM459" s="2">
        <f>VLOOKUP([jobnumber],OvalData[],MATCH(Table2[[#Headers],[Number of Bottom Slats]],Table2[#Headers],0),0)</f>
        <v>0</v>
      </c>
      <c r="AN459" s="2">
        <f>VLOOKUP([jobnumber],OvalData[],MATCH(Table2[[#Headers],[Solid Bottom Height]],Table2[#Headers],0),0)</f>
        <v>0</v>
      </c>
      <c r="AO459" s="2" t="str">
        <f>VLOOKUP([jobnumber],OvalData[],MATCH(Table2[[#Headers],[slatlength]],Table2[#Headers],0),0)</f>
        <v xml:space="preserve"> 18 ft.- 5 7/ 8"</v>
      </c>
      <c r="AP459" s="2">
        <f>VLOOKUP([jobnumber],OvalData[],MATCH(Table2[[#Headers],[Bottom Slat Length]],Table2[#Headers],0),0)</f>
        <v>0</v>
      </c>
      <c r="AQ459" s="2">
        <f>VLOOKUP([jobnumber],OvalData[],MATCH(Table2[[#Headers],[Number of Perferated Slats]],Table2[#Headers],0),0)</f>
        <v>0</v>
      </c>
      <c r="AR459" s="2">
        <f>VLOOKUP([jobnumber],OvalData[],MATCH(Table2[[#Headers],[First Preferated Slat From End]],Table2[#Headers],0),0)</f>
        <v>0</v>
      </c>
      <c r="AS459" s="2">
        <f>VLOOKUP([jobnumber],OvalData[],MATCH(Table2[[#Headers],[First Preferated Slat From Bottom]],Table2[#Headers],0),0)</f>
        <v>0</v>
      </c>
      <c r="AT459" s="2">
        <f>VLOOKUP([jobnumber],OvalData[],MATCH(Table2[[#Headers],[Total Number of Slats]],Table2[#Headers],0),0)</f>
        <v>51</v>
      </c>
      <c r="AU459" s="2">
        <f>VLOOKUP([jobnumber],OvalData[],MATCH(Table2[[#Headers],[Bottom Bar Slope]],Table2[#Headers],0),0)</f>
        <v>0</v>
      </c>
      <c r="AV459" s="2">
        <f>VLOOKUP([jobnumber],OvalData[],MATCH(Table2[[#Headers],[Bottom Bar Weight]],Table2[#Headers],0),0)</f>
        <v>80.5</v>
      </c>
      <c r="AW459" s="2" t="str">
        <f>VLOOKUP([jobnumber],OvalData[],MATCH(Table2[[#Headers],[Outer Spring Gage]],Table2[#Headers],0),0)</f>
        <v>Null</v>
      </c>
      <c r="AX459" s="2" t="str">
        <f>VLOOKUP([jobnumber],OvalData[],MATCH(Table2[[#Headers],[Outer Spring OD]],Table2[#Headers],0),0)</f>
        <v>Null</v>
      </c>
      <c r="AY459" s="2" t="str">
        <f>VLOOKUP([jobnumber],OvalData[],MATCH(Table2[[#Headers],[Outer Spring Length]],Table2[#Headers],0),0)</f>
        <v>Null</v>
      </c>
      <c r="AZ459" s="2" t="str">
        <f>VLOOKUP([jobnumber],OvalData[],MATCH(Table2[[#Headers],[Outer Spring Stretch]],Table2[#Headers],0),0)</f>
        <v>Null</v>
      </c>
      <c r="BA459" s="2" t="str">
        <f>VLOOKUP([jobnumber],OvalData[],MATCH(Table2[[#Headers],[Outer Spring Torque]],Table2[#Headers],0),0)</f>
        <v>Null</v>
      </c>
      <c r="BB459" s="2" t="str">
        <f>VLOOKUP([jobnumber],OvalData[],MATCH(Table2[[#Headers],[Outer Spring Max Turns]],Table2[#Headers],0),0)</f>
        <v>Null</v>
      </c>
      <c r="BC459" s="2" t="str">
        <f>VLOOKUP([jobnumber],OvalData[],MATCH(Table2[[#Headers],[Outer Spring Weight]],Table2[#Headers],0),0)</f>
        <v>Null</v>
      </c>
      <c r="BD459" s="2" t="str">
        <f>VLOOKUP([jobnumber],OvalData[],MATCH(Table2[[#Headers],[Inner Spring Gage]],Table2[#Headers],0),0)</f>
        <v>Null</v>
      </c>
      <c r="BE459" s="2" t="str">
        <f>VLOOKUP([jobnumber],OvalData[],MATCH(Table2[[#Headers],[Inner Spring OD]],Table2[#Headers],0),0)</f>
        <v>Null</v>
      </c>
      <c r="BF459" s="2" t="str">
        <f>VLOOKUP([jobnumber],OvalData[],MATCH(Table2[[#Headers],[Inner Spring Length]],Table2[#Headers],0),0)</f>
        <v>Null</v>
      </c>
      <c r="BG459" s="2" t="str">
        <f>VLOOKUP([jobnumber],OvalData[],MATCH(Table2[[#Headers],[Inner Spring Stretch]],Table2[#Headers],0),0)</f>
        <v>Null</v>
      </c>
      <c r="BH459" s="2" t="str">
        <f>VLOOKUP([jobnumber],OvalData[],MATCH(Table2[[#Headers],[Inner Spring Torque]],Table2[#Headers],0),0)</f>
        <v>Null</v>
      </c>
      <c r="BI459" s="2" t="str">
        <f>VLOOKUP([jobnumber],OvalData[],MATCH(Table2[[#Headers],[Inner Spring Max Turns]],Table2[#Headers],0),0)</f>
        <v>Null</v>
      </c>
      <c r="BJ459" s="2" t="str">
        <f>VLOOKUP([jobnumber],OvalData[],MATCH(Table2[[#Headers],[Inner Spring Weight]],Table2[#Headers],0),0)</f>
        <v>Null</v>
      </c>
      <c r="BK459" s="2">
        <f>VLOOKUP([jobnumber],OvalData[],MATCH(Table2[[#Headers],[Cycles]],Table2[#Headers],0),0)</f>
        <v>0</v>
      </c>
      <c r="BL459" s="2">
        <f>VLOOKUP([jobnumber],OvalData[],MATCH(Table2[[#Headers],[Total Spring Torque]],Table2[#Headers],0),0)</f>
        <v>0</v>
      </c>
      <c r="BM459" s="2">
        <f>VLOOKUP([jobnumber],OvalData[],MATCH(Table2[[#Headers],[Total Spring Weight]],Table2[#Headers],0),0)</f>
        <v>0</v>
      </c>
      <c r="BN459" s="2">
        <f>VLOOKUP([jobnumber],OvalData[],MATCH(Table2[[#Headers],[Pipe Weight]],Table2[#Headers],0),0)</f>
        <v>688.24239999999998</v>
      </c>
      <c r="BO459" s="2">
        <f>VLOOKUP([jobnumber],OvalData[],MATCH(Table2[[#Headers],[Max Pipe Deflection]],Table2[#Headers],0),0)</f>
        <v>2309</v>
      </c>
      <c r="BP459" s="2">
        <f>VLOOKUP([jobnumber],OvalData[],MATCH(Table2[[#Headers],[Number Non-Insulated Wrap Slats]],Table2[#Headers],0),0)</f>
        <v>0</v>
      </c>
      <c r="BQ459" s="2">
        <f>VLOOKUP([jobnumber],OvalData[],MATCH(Table2[[#Headers],[Number of Insolated Top Slats]],Table2[#Headers],0),0)</f>
        <v>45</v>
      </c>
      <c r="BR459" s="2">
        <f>VLOOKUP([jobnumber],OvalData[],MATCH(Table2[[#Headers],[Insolated Total Slats]],Table2[#Headers],0),0)</f>
        <v>45</v>
      </c>
      <c r="BS459" s="2">
        <f>VLOOKUP([jobnumber],OvalData[],MATCH(Table2[[#Headers],[Number of Slats]],Table2[#Headers],0),0)</f>
        <v>44.69</v>
      </c>
      <c r="BT459" s="2">
        <f>VLOOKUP([jobnumber],OvalData[],MATCH(Table2[[#Headers],[Wrap]],Table2[#Headers],0),0)</f>
        <v>0</v>
      </c>
      <c r="BU459" s="2">
        <f>VLOOKUP([jobnumber],OvalData[],MATCH(Table2[[#Headers],[Wall Angle Thickness]],Table2[#Headers],0),0)</f>
        <v>0</v>
      </c>
      <c r="BV459" s="2">
        <f>VLOOKUP([jobnumber],OvalData[],MATCH(Table2[[#Headers],[windlocks]],Table2[#Headers],0),0)</f>
        <v>0</v>
      </c>
      <c r="BW459" s="2" t="str">
        <f>VLOOKUP([jobnumber],OvalData[],MATCH(Table2[[#Headers],[bottombartype]],Table2[#Headers],0),0)</f>
        <v>SPECIAL</v>
      </c>
      <c r="BX459" s="2">
        <f>VLOOKUP([jobnumber],OvalData[],MATCH(Table2[[#Headers],[endlockweight]],Table2[#Headers],0),0)</f>
        <v>0.17</v>
      </c>
      <c r="BY459" s="2">
        <f>VLOOKUP([jobnumber],OvalData[],MATCH(Table2[[#Headers],[Endlock Total Weight]],Table2[#Headers],0),0)</f>
        <v>7.5972999999999997</v>
      </c>
      <c r="BZ459" s="2">
        <f>VLOOKUP([jobnumber],OvalData[],MATCH(Table2[[#Headers],[Grille Weight]],Table2[#Headers],0),0)</f>
        <v>0</v>
      </c>
      <c r="CA459" s="2">
        <f>VLOOKUP([jobnumber],OvalData[],MATCH(Table2[[#Headers],[barrelrings]],Table2[#Headers],0),0)</f>
        <v>1</v>
      </c>
    </row>
    <row r="460" spans="2:79">
      <c r="B460" s="2" t="str">
        <f>VLOOKUP([jobnumber],OvalData[],MATCH(Table2[[#Headers],[Hand]],Table2[#Headers],0),0)</f>
        <v>RH</v>
      </c>
      <c r="C460" s="2" t="str">
        <f>VLOOKUP([jobnumber],OvalData[],MATCH(Table2[[#Headers],[Model]],Table2[#Headers],0),0)</f>
        <v>SFMPP</v>
      </c>
      <c r="D460" s="2" t="str">
        <f>VLOOKUP([jobnumber],OvalData[],MATCH(Table2[[#Headers],[width]],Table2[#Headers],0),0)</f>
        <v xml:space="preserve"> 18 ft.- 2"</v>
      </c>
      <c r="E460" s="2" t="str">
        <f>VLOOKUP([jobnumber],OvalData[],MATCH(Table2[[#Headers],[stopheight]],Table2[#Headers],0),0)</f>
        <v xml:space="preserve"> 10 ft.- 0"</v>
      </c>
      <c r="F460" s="2" t="str">
        <f>VLOOKUP([jobnumber],OvalData[],MATCH(Table2[[#Headers],[Between Brackets]],Table2[#Headers],0),0)</f>
        <v xml:space="preserve"> 18 ft.- 7 7/ 8"</v>
      </c>
      <c r="G460" s="2" t="str">
        <f>VLOOKUP([jobnumber],OvalData[],MATCH(Table2[[#Headers],[shell]],Table2[#Headers],0),0)</f>
        <v>6 INCH TUBE</v>
      </c>
      <c r="H460" s="2" t="str">
        <f>VLOOKUP([jobnumber],OvalData[],MATCH(Table2[[#Headers],[pipewidth]],Table2[#Headers],0),0)</f>
        <v xml:space="preserve"> 18 ft.- 1 3/ 8"</v>
      </c>
      <c r="I460" s="2">
        <f>VLOOKUP([jobnumber],OvalData[],MATCH(Table2[[#Headers],[Support Tubes]],Table2[#Headers],0),0)</f>
        <v>0</v>
      </c>
      <c r="J460" s="2">
        <f>VLOOKUP([jobnumber],OvalData[],MATCH(Table2[[#Headers],[Upset]],Table2[#Headers],0),0)</f>
        <v>2</v>
      </c>
      <c r="K460" s="2" t="str">
        <f>VLOOKUP([jobnumber],OvalData[],MATCH(Table2[[#Headers],[Guide Type]],Table2[#Headers],0),0)</f>
        <v>SN2-4 5/8-E</v>
      </c>
      <c r="L460" s="2" t="str">
        <f>VLOOKUP([jobnumber],OvalData[],MATCH(Table2[[#Headers],[Wall Angle]],Table2[#Headers],0),0)</f>
        <v xml:space="preserve"> 11 ft.- 8"</v>
      </c>
      <c r="M460" s="2" t="str">
        <f>VLOOKUP([jobnumber],OvalData[],MATCH(Table2[[#Headers],[Middle Angle]],Table2[#Headers],0),0)</f>
        <v xml:space="preserve"> 10 ft.- 4 1/ 2"</v>
      </c>
      <c r="N460" s="2" t="str">
        <f>VLOOKUP([jobnumber],OvalData[],MATCH(Table2[[#Headers],[Front Angle]],Table2[#Headers],0),0)</f>
        <v xml:space="preserve"> 10 ft.- 3"</v>
      </c>
      <c r="O460" s="2">
        <f>VLOOKUP([jobnumber],OvalData[],MATCH(Table2[[#Headers],[Pipe Center Line]],Table2[#Headers],0),0)</f>
        <v>131</v>
      </c>
      <c r="P460" s="2">
        <f>VLOOKUP([jobnumber],OvalData[],MATCH(Table2[[#Headers],[Heat Expansion Gap]],Table2[#Headers],0),0)</f>
        <v>0</v>
      </c>
      <c r="Q460" s="2">
        <f>VLOOKUP([jobnumber],OvalData[],MATCH(Table2[[#Headers],[Hanging Weight Closed]],Table2[#Headers],0),0)</f>
        <v>795</v>
      </c>
      <c r="R460" s="2">
        <f>VLOOKUP([jobnumber],OvalData[],MATCH(Table2[[#Headers],[Hanging Weight Open]],Table2[#Headers],0),0)</f>
        <v>140</v>
      </c>
      <c r="S460" s="2">
        <f>VLOOKUP([jobnumber],OvalData[],MATCH(Table2[[#Headers],[Initial Lever Arm]],Table2[#Headers],0),0)</f>
        <v>4.25</v>
      </c>
      <c r="T460" s="2">
        <f>VLOOKUP([jobnumber],OvalData[],MATCH(Table2[[#Headers],[Turns to Raise]],Table2[#Headers],0),0)</f>
        <v>3.5859999999999999</v>
      </c>
      <c r="U460" s="2">
        <f>VLOOKUP([jobnumber],OvalData[],MATCH(Table2[[#Headers],[Final Lever Arm]],Table2[#Headers],0),0)</f>
        <v>6.37</v>
      </c>
      <c r="V460" s="2">
        <f>VLOOKUP([jobnumber],OvalData[],MATCH(Table2[[#Headers],[Torque Required Closed]],Table2[#Headers],0),0)</f>
        <v>3377.9</v>
      </c>
      <c r="W460" s="2">
        <f>VLOOKUP([jobnumber],OvalData[],MATCH(Table2[[#Headers],[Torque Required Open]],Table2[#Headers],0),0)</f>
        <v>892</v>
      </c>
      <c r="X460" s="2">
        <f>VLOOKUP([jobnumber],OvalData[],MATCH(Table2[[#Headers],[Pre Turns]],Table2[#Headers],0),0)</f>
        <v>1.3332999999999999</v>
      </c>
      <c r="Y460" s="2">
        <f>VLOOKUP([jobnumber],OvalData[],MATCH(Table2[[#Headers],[Required Torque Per Turn]],Table2[#Headers],0),0)</f>
        <v>688</v>
      </c>
      <c r="Z460" s="2">
        <f>VLOOKUP([jobnumber],OvalData[],MATCH(Table2[[#Headers],[Total Turns]],Table2[#Headers],0),0)</f>
        <v>4.91</v>
      </c>
      <c r="AA460" s="2">
        <f>VLOOKUP([jobnumber],OvalData[],MATCH(Table2[[#Headers],[Grille Vision Section]],Table2[#Headers],0),0)</f>
        <v>0</v>
      </c>
      <c r="AB460" s="2">
        <f>VLOOKUP([jobnumber],OvalData[],MATCH(Table2[[#Headers],[Grille Amount]],Table2[#Headers],0),0)</f>
        <v>0</v>
      </c>
      <c r="AC460" s="2">
        <f>VLOOKUP([jobnumber],OvalData[],MATCH(Table2[[#Headers],[Grille Center]],Table2[#Headers],0),0)</f>
        <v>0</v>
      </c>
      <c r="AD460" s="2">
        <f>VLOOKUP([jobnumber],OvalData[],MATCH(Table2[[#Headers],[Grille Pattern]],Table2[#Headers],0),0)</f>
        <v>0</v>
      </c>
      <c r="AE460" s="2">
        <f>VLOOKUP([jobnumber],OvalData[],MATCH(Table2[[#Headers],[Grille First Tube]],Table2[#Headers],0),0)</f>
        <v>0</v>
      </c>
      <c r="AF460" s="2">
        <f>VLOOKUP([jobnumber],OvalData[],MATCH(Table2[[#Headers],[Grille Standard Tube]],Table2[#Headers],0),0)</f>
        <v>0</v>
      </c>
      <c r="AG460" s="2">
        <f>VLOOKUP([jobnumber],OvalData[],MATCH(Table2[[#Headers],[Grille Total Links]],Table2[#Headers],0),0)</f>
        <v>0</v>
      </c>
      <c r="AH460" s="2">
        <f>VLOOKUP([jobnumber],OvalData[],MATCH(Table2[[#Headers],[Grille Rods]],Table2[#Headers],0),0)</f>
        <v>0</v>
      </c>
      <c r="AI460" s="2">
        <f>VLOOKUP([jobnumber],OvalData[],MATCH(Table2[[#Headers],[Grille Rod Length]],Table2[#Headers],0),0)</f>
        <v>0</v>
      </c>
      <c r="AJ460" s="2">
        <f>VLOOKUP([jobnumber],OvalData[],MATCH(Table2[[#Headers],[slattype]],Table2[#Headers],0),0)</f>
        <v>2</v>
      </c>
      <c r="AK460" s="2">
        <f>VLOOKUP([jobnumber],OvalData[],MATCH(Table2[[#Headers],[slatgage]],Table2[#Headers],0),0)</f>
        <v>18</v>
      </c>
      <c r="AL460" s="2">
        <f>VLOOKUP([jobnumber],OvalData[],MATCH(Table2[[#Headers],[Numer of Top Slats]],Table2[#Headers],0),0)</f>
        <v>0</v>
      </c>
      <c r="AM460" s="2">
        <f>VLOOKUP([jobnumber],OvalData[],MATCH(Table2[[#Headers],[Number of Bottom Slats]],Table2[#Headers],0),0)</f>
        <v>0</v>
      </c>
      <c r="AN460" s="2">
        <f>VLOOKUP([jobnumber],OvalData[],MATCH(Table2[[#Headers],[Solid Bottom Height]],Table2[#Headers],0),0)</f>
        <v>0</v>
      </c>
      <c r="AO460" s="2" t="str">
        <f>VLOOKUP([jobnumber],OvalData[],MATCH(Table2[[#Headers],[slatlength]],Table2[#Headers],0),0)</f>
        <v xml:space="preserve"> 18 ft.- 5 7/ 8"</v>
      </c>
      <c r="AP460" s="2">
        <f>VLOOKUP([jobnumber],OvalData[],MATCH(Table2[[#Headers],[Bottom Slat Length]],Table2[#Headers],0),0)</f>
        <v>0</v>
      </c>
      <c r="AQ460" s="2">
        <f>VLOOKUP([jobnumber],OvalData[],MATCH(Table2[[#Headers],[Number of Perferated Slats]],Table2[#Headers],0),0)</f>
        <v>0</v>
      </c>
      <c r="AR460" s="2">
        <f>VLOOKUP([jobnumber],OvalData[],MATCH(Table2[[#Headers],[First Preferated Slat From End]],Table2[#Headers],0),0)</f>
        <v>0</v>
      </c>
      <c r="AS460" s="2">
        <f>VLOOKUP([jobnumber],OvalData[],MATCH(Table2[[#Headers],[First Preferated Slat From Bottom]],Table2[#Headers],0),0)</f>
        <v>0</v>
      </c>
      <c r="AT460" s="2">
        <f>VLOOKUP([jobnumber],OvalData[],MATCH(Table2[[#Headers],[Total Number of Slats]],Table2[#Headers],0),0)</f>
        <v>51</v>
      </c>
      <c r="AU460" s="2">
        <f>VLOOKUP([jobnumber],OvalData[],MATCH(Table2[[#Headers],[Bottom Bar Slope]],Table2[#Headers],0),0)</f>
        <v>0</v>
      </c>
      <c r="AV460" s="2">
        <f>VLOOKUP([jobnumber],OvalData[],MATCH(Table2[[#Headers],[Bottom Bar Weight]],Table2[#Headers],0),0)</f>
        <v>80.5</v>
      </c>
      <c r="AW460" s="2" t="str">
        <f>VLOOKUP([jobnumber],OvalData[],MATCH(Table2[[#Headers],[Outer Spring Gage]],Table2[#Headers],0),0)</f>
        <v>Null</v>
      </c>
      <c r="AX460" s="2" t="str">
        <f>VLOOKUP([jobnumber],OvalData[],MATCH(Table2[[#Headers],[Outer Spring OD]],Table2[#Headers],0),0)</f>
        <v>Null</v>
      </c>
      <c r="AY460" s="2" t="str">
        <f>VLOOKUP([jobnumber],OvalData[],MATCH(Table2[[#Headers],[Outer Spring Length]],Table2[#Headers],0),0)</f>
        <v>Null</v>
      </c>
      <c r="AZ460" s="2" t="str">
        <f>VLOOKUP([jobnumber],OvalData[],MATCH(Table2[[#Headers],[Outer Spring Stretch]],Table2[#Headers],0),0)</f>
        <v>Null</v>
      </c>
      <c r="BA460" s="2" t="str">
        <f>VLOOKUP([jobnumber],OvalData[],MATCH(Table2[[#Headers],[Outer Spring Torque]],Table2[#Headers],0),0)</f>
        <v>Null</v>
      </c>
      <c r="BB460" s="2" t="str">
        <f>VLOOKUP([jobnumber],OvalData[],MATCH(Table2[[#Headers],[Outer Spring Max Turns]],Table2[#Headers],0),0)</f>
        <v>Null</v>
      </c>
      <c r="BC460" s="2" t="str">
        <f>VLOOKUP([jobnumber],OvalData[],MATCH(Table2[[#Headers],[Outer Spring Weight]],Table2[#Headers],0),0)</f>
        <v>Null</v>
      </c>
      <c r="BD460" s="2" t="str">
        <f>VLOOKUP([jobnumber],OvalData[],MATCH(Table2[[#Headers],[Inner Spring Gage]],Table2[#Headers],0),0)</f>
        <v>Null</v>
      </c>
      <c r="BE460" s="2" t="str">
        <f>VLOOKUP([jobnumber],OvalData[],MATCH(Table2[[#Headers],[Inner Spring OD]],Table2[#Headers],0),0)</f>
        <v>Null</v>
      </c>
      <c r="BF460" s="2" t="str">
        <f>VLOOKUP([jobnumber],OvalData[],MATCH(Table2[[#Headers],[Inner Spring Length]],Table2[#Headers],0),0)</f>
        <v>Null</v>
      </c>
      <c r="BG460" s="2" t="str">
        <f>VLOOKUP([jobnumber],OvalData[],MATCH(Table2[[#Headers],[Inner Spring Stretch]],Table2[#Headers],0),0)</f>
        <v>Null</v>
      </c>
      <c r="BH460" s="2" t="str">
        <f>VLOOKUP([jobnumber],OvalData[],MATCH(Table2[[#Headers],[Inner Spring Torque]],Table2[#Headers],0),0)</f>
        <v>Null</v>
      </c>
      <c r="BI460" s="2" t="str">
        <f>VLOOKUP([jobnumber],OvalData[],MATCH(Table2[[#Headers],[Inner Spring Max Turns]],Table2[#Headers],0),0)</f>
        <v>Null</v>
      </c>
      <c r="BJ460" s="2" t="str">
        <f>VLOOKUP([jobnumber],OvalData[],MATCH(Table2[[#Headers],[Inner Spring Weight]],Table2[#Headers],0),0)</f>
        <v>Null</v>
      </c>
      <c r="BK460" s="2">
        <f>VLOOKUP([jobnumber],OvalData[],MATCH(Table2[[#Headers],[Cycles]],Table2[#Headers],0),0)</f>
        <v>0</v>
      </c>
      <c r="BL460" s="2">
        <f>VLOOKUP([jobnumber],OvalData[],MATCH(Table2[[#Headers],[Total Spring Torque]],Table2[#Headers],0),0)</f>
        <v>0</v>
      </c>
      <c r="BM460" s="2">
        <f>VLOOKUP([jobnumber],OvalData[],MATCH(Table2[[#Headers],[Total Spring Weight]],Table2[#Headers],0),0)</f>
        <v>0</v>
      </c>
      <c r="BN460" s="2">
        <f>VLOOKUP([jobnumber],OvalData[],MATCH(Table2[[#Headers],[Pipe Weight]],Table2[#Headers],0),0)</f>
        <v>688.24239999999998</v>
      </c>
      <c r="BO460" s="2">
        <f>VLOOKUP([jobnumber],OvalData[],MATCH(Table2[[#Headers],[Max Pipe Deflection]],Table2[#Headers],0),0)</f>
        <v>2309</v>
      </c>
      <c r="BP460" s="2">
        <f>VLOOKUP([jobnumber],OvalData[],MATCH(Table2[[#Headers],[Number Non-Insulated Wrap Slats]],Table2[#Headers],0),0)</f>
        <v>0</v>
      </c>
      <c r="BQ460" s="2">
        <f>VLOOKUP([jobnumber],OvalData[],MATCH(Table2[[#Headers],[Number of Insolated Top Slats]],Table2[#Headers],0),0)</f>
        <v>45</v>
      </c>
      <c r="BR460" s="2">
        <f>VLOOKUP([jobnumber],OvalData[],MATCH(Table2[[#Headers],[Insolated Total Slats]],Table2[#Headers],0),0)</f>
        <v>45</v>
      </c>
      <c r="BS460" s="2">
        <f>VLOOKUP([jobnumber],OvalData[],MATCH(Table2[[#Headers],[Number of Slats]],Table2[#Headers],0),0)</f>
        <v>44.69</v>
      </c>
      <c r="BT460" s="2">
        <f>VLOOKUP([jobnumber],OvalData[],MATCH(Table2[[#Headers],[Wrap]],Table2[#Headers],0),0)</f>
        <v>0</v>
      </c>
      <c r="BU460" s="2">
        <f>VLOOKUP([jobnumber],OvalData[],MATCH(Table2[[#Headers],[Wall Angle Thickness]],Table2[#Headers],0),0)</f>
        <v>0</v>
      </c>
      <c r="BV460" s="2">
        <f>VLOOKUP([jobnumber],OvalData[],MATCH(Table2[[#Headers],[windlocks]],Table2[#Headers],0),0)</f>
        <v>0</v>
      </c>
      <c r="BW460" s="2" t="str">
        <f>VLOOKUP([jobnumber],OvalData[],MATCH(Table2[[#Headers],[bottombartype]],Table2[#Headers],0),0)</f>
        <v>SPECIAL</v>
      </c>
      <c r="BX460" s="2">
        <f>VLOOKUP([jobnumber],OvalData[],MATCH(Table2[[#Headers],[endlockweight]],Table2[#Headers],0),0)</f>
        <v>0.17</v>
      </c>
      <c r="BY460" s="2">
        <f>VLOOKUP([jobnumber],OvalData[],MATCH(Table2[[#Headers],[Endlock Total Weight]],Table2[#Headers],0),0)</f>
        <v>7.5972999999999997</v>
      </c>
      <c r="BZ460" s="2">
        <f>VLOOKUP([jobnumber],OvalData[],MATCH(Table2[[#Headers],[Grille Weight]],Table2[#Headers],0),0)</f>
        <v>0</v>
      </c>
      <c r="CA460" s="2">
        <f>VLOOKUP([jobnumber],OvalData[],MATCH(Table2[[#Headers],[barrelrings]],Table2[#Headers],0),0)</f>
        <v>1</v>
      </c>
    </row>
    <row r="461" spans="2:79">
      <c r="B461" s="2" t="str">
        <f>VLOOKUP([jobnumber],OvalData[],MATCH(Table2[[#Headers],[Hand]],Table2[#Headers],0),0)</f>
        <v>RH</v>
      </c>
      <c r="C461" s="2" t="str">
        <f>VLOOKUP([jobnumber],OvalData[],MATCH(Table2[[#Headers],[Model]],Table2[#Headers],0),0)</f>
        <v>SFMPP</v>
      </c>
      <c r="D461" s="2" t="str">
        <f>VLOOKUP([jobnumber],OvalData[],MATCH(Table2[[#Headers],[width]],Table2[#Headers],0),0)</f>
        <v xml:space="preserve"> 18 ft.- 2"</v>
      </c>
      <c r="E461" s="2" t="str">
        <f>VLOOKUP([jobnumber],OvalData[],MATCH(Table2[[#Headers],[stopheight]],Table2[#Headers],0),0)</f>
        <v xml:space="preserve"> 10 ft.- 0"</v>
      </c>
      <c r="F461" s="2" t="str">
        <f>VLOOKUP([jobnumber],OvalData[],MATCH(Table2[[#Headers],[Between Brackets]],Table2[#Headers],0),0)</f>
        <v xml:space="preserve"> 18 ft.- 7 7/ 8"</v>
      </c>
      <c r="G461" s="2" t="str">
        <f>VLOOKUP([jobnumber],OvalData[],MATCH(Table2[[#Headers],[shell]],Table2[#Headers],0),0)</f>
        <v>6 INCH TUBE</v>
      </c>
      <c r="H461" s="2" t="str">
        <f>VLOOKUP([jobnumber],OvalData[],MATCH(Table2[[#Headers],[pipewidth]],Table2[#Headers],0),0)</f>
        <v xml:space="preserve"> 18 ft.- 1 3/ 8"</v>
      </c>
      <c r="I461" s="2">
        <f>VLOOKUP([jobnumber],OvalData[],MATCH(Table2[[#Headers],[Support Tubes]],Table2[#Headers],0),0)</f>
        <v>0</v>
      </c>
      <c r="J461" s="2">
        <f>VLOOKUP([jobnumber],OvalData[],MATCH(Table2[[#Headers],[Upset]],Table2[#Headers],0),0)</f>
        <v>2</v>
      </c>
      <c r="K461" s="2" t="str">
        <f>VLOOKUP([jobnumber],OvalData[],MATCH(Table2[[#Headers],[Guide Type]],Table2[#Headers],0),0)</f>
        <v>SN2-4 5/8-E</v>
      </c>
      <c r="L461" s="2" t="str">
        <f>VLOOKUP([jobnumber],OvalData[],MATCH(Table2[[#Headers],[Wall Angle]],Table2[#Headers],0),0)</f>
        <v xml:space="preserve"> 11 ft.- 8"</v>
      </c>
      <c r="M461" s="2" t="str">
        <f>VLOOKUP([jobnumber],OvalData[],MATCH(Table2[[#Headers],[Middle Angle]],Table2[#Headers],0),0)</f>
        <v xml:space="preserve"> 10 ft.- 4 1/ 2"</v>
      </c>
      <c r="N461" s="2" t="str">
        <f>VLOOKUP([jobnumber],OvalData[],MATCH(Table2[[#Headers],[Front Angle]],Table2[#Headers],0),0)</f>
        <v xml:space="preserve"> 10 ft.- 3"</v>
      </c>
      <c r="O461" s="2">
        <f>VLOOKUP([jobnumber],OvalData[],MATCH(Table2[[#Headers],[Pipe Center Line]],Table2[#Headers],0),0)</f>
        <v>131</v>
      </c>
      <c r="P461" s="2">
        <f>VLOOKUP([jobnumber],OvalData[],MATCH(Table2[[#Headers],[Heat Expansion Gap]],Table2[#Headers],0),0)</f>
        <v>0</v>
      </c>
      <c r="Q461" s="2">
        <f>VLOOKUP([jobnumber],OvalData[],MATCH(Table2[[#Headers],[Hanging Weight Closed]],Table2[#Headers],0),0)</f>
        <v>795</v>
      </c>
      <c r="R461" s="2">
        <f>VLOOKUP([jobnumber],OvalData[],MATCH(Table2[[#Headers],[Hanging Weight Open]],Table2[#Headers],0),0)</f>
        <v>140</v>
      </c>
      <c r="S461" s="2">
        <f>VLOOKUP([jobnumber],OvalData[],MATCH(Table2[[#Headers],[Initial Lever Arm]],Table2[#Headers],0),0)</f>
        <v>4.25</v>
      </c>
      <c r="T461" s="2">
        <f>VLOOKUP([jobnumber],OvalData[],MATCH(Table2[[#Headers],[Turns to Raise]],Table2[#Headers],0),0)</f>
        <v>3.5859999999999999</v>
      </c>
      <c r="U461" s="2">
        <f>VLOOKUP([jobnumber],OvalData[],MATCH(Table2[[#Headers],[Final Lever Arm]],Table2[#Headers],0),0)</f>
        <v>6.37</v>
      </c>
      <c r="V461" s="2">
        <f>VLOOKUP([jobnumber],OvalData[],MATCH(Table2[[#Headers],[Torque Required Closed]],Table2[#Headers],0),0)</f>
        <v>3377.9</v>
      </c>
      <c r="W461" s="2">
        <f>VLOOKUP([jobnumber],OvalData[],MATCH(Table2[[#Headers],[Torque Required Open]],Table2[#Headers],0),0)</f>
        <v>892</v>
      </c>
      <c r="X461" s="2">
        <f>VLOOKUP([jobnumber],OvalData[],MATCH(Table2[[#Headers],[Pre Turns]],Table2[#Headers],0),0)</f>
        <v>1.3332999999999999</v>
      </c>
      <c r="Y461" s="2">
        <f>VLOOKUP([jobnumber],OvalData[],MATCH(Table2[[#Headers],[Required Torque Per Turn]],Table2[#Headers],0),0)</f>
        <v>688</v>
      </c>
      <c r="Z461" s="2">
        <f>VLOOKUP([jobnumber],OvalData[],MATCH(Table2[[#Headers],[Total Turns]],Table2[#Headers],0),0)</f>
        <v>4.91</v>
      </c>
      <c r="AA461" s="2">
        <f>VLOOKUP([jobnumber],OvalData[],MATCH(Table2[[#Headers],[Grille Vision Section]],Table2[#Headers],0),0)</f>
        <v>0</v>
      </c>
      <c r="AB461" s="2">
        <f>VLOOKUP([jobnumber],OvalData[],MATCH(Table2[[#Headers],[Grille Amount]],Table2[#Headers],0),0)</f>
        <v>0</v>
      </c>
      <c r="AC461" s="2">
        <f>VLOOKUP([jobnumber],OvalData[],MATCH(Table2[[#Headers],[Grille Center]],Table2[#Headers],0),0)</f>
        <v>0</v>
      </c>
      <c r="AD461" s="2">
        <f>VLOOKUP([jobnumber],OvalData[],MATCH(Table2[[#Headers],[Grille Pattern]],Table2[#Headers],0),0)</f>
        <v>0</v>
      </c>
      <c r="AE461" s="2">
        <f>VLOOKUP([jobnumber],OvalData[],MATCH(Table2[[#Headers],[Grille First Tube]],Table2[#Headers],0),0)</f>
        <v>0</v>
      </c>
      <c r="AF461" s="2">
        <f>VLOOKUP([jobnumber],OvalData[],MATCH(Table2[[#Headers],[Grille Standard Tube]],Table2[#Headers],0),0)</f>
        <v>0</v>
      </c>
      <c r="AG461" s="2">
        <f>VLOOKUP([jobnumber],OvalData[],MATCH(Table2[[#Headers],[Grille Total Links]],Table2[#Headers],0),0)</f>
        <v>0</v>
      </c>
      <c r="AH461" s="2">
        <f>VLOOKUP([jobnumber],OvalData[],MATCH(Table2[[#Headers],[Grille Rods]],Table2[#Headers],0),0)</f>
        <v>0</v>
      </c>
      <c r="AI461" s="2">
        <f>VLOOKUP([jobnumber],OvalData[],MATCH(Table2[[#Headers],[Grille Rod Length]],Table2[#Headers],0),0)</f>
        <v>0</v>
      </c>
      <c r="AJ461" s="2">
        <f>VLOOKUP([jobnumber],OvalData[],MATCH(Table2[[#Headers],[slattype]],Table2[#Headers],0),0)</f>
        <v>2</v>
      </c>
      <c r="AK461" s="2">
        <f>VLOOKUP([jobnumber],OvalData[],MATCH(Table2[[#Headers],[slatgage]],Table2[#Headers],0),0)</f>
        <v>18</v>
      </c>
      <c r="AL461" s="2">
        <f>VLOOKUP([jobnumber],OvalData[],MATCH(Table2[[#Headers],[Numer of Top Slats]],Table2[#Headers],0),0)</f>
        <v>0</v>
      </c>
      <c r="AM461" s="2">
        <f>VLOOKUP([jobnumber],OvalData[],MATCH(Table2[[#Headers],[Number of Bottom Slats]],Table2[#Headers],0),0)</f>
        <v>0</v>
      </c>
      <c r="AN461" s="2">
        <f>VLOOKUP([jobnumber],OvalData[],MATCH(Table2[[#Headers],[Solid Bottom Height]],Table2[#Headers],0),0)</f>
        <v>0</v>
      </c>
      <c r="AO461" s="2" t="str">
        <f>VLOOKUP([jobnumber],OvalData[],MATCH(Table2[[#Headers],[slatlength]],Table2[#Headers],0),0)</f>
        <v xml:space="preserve"> 18 ft.- 5 7/ 8"</v>
      </c>
      <c r="AP461" s="2">
        <f>VLOOKUP([jobnumber],OvalData[],MATCH(Table2[[#Headers],[Bottom Slat Length]],Table2[#Headers],0),0)</f>
        <v>0</v>
      </c>
      <c r="AQ461" s="2">
        <f>VLOOKUP([jobnumber],OvalData[],MATCH(Table2[[#Headers],[Number of Perferated Slats]],Table2[#Headers],0),0)</f>
        <v>0</v>
      </c>
      <c r="AR461" s="2">
        <f>VLOOKUP([jobnumber],OvalData[],MATCH(Table2[[#Headers],[First Preferated Slat From End]],Table2[#Headers],0),0)</f>
        <v>0</v>
      </c>
      <c r="AS461" s="2">
        <f>VLOOKUP([jobnumber],OvalData[],MATCH(Table2[[#Headers],[First Preferated Slat From Bottom]],Table2[#Headers],0),0)</f>
        <v>0</v>
      </c>
      <c r="AT461" s="2">
        <f>VLOOKUP([jobnumber],OvalData[],MATCH(Table2[[#Headers],[Total Number of Slats]],Table2[#Headers],0),0)</f>
        <v>51</v>
      </c>
      <c r="AU461" s="2">
        <f>VLOOKUP([jobnumber],OvalData[],MATCH(Table2[[#Headers],[Bottom Bar Slope]],Table2[#Headers],0),0)</f>
        <v>0</v>
      </c>
      <c r="AV461" s="2">
        <f>VLOOKUP([jobnumber],OvalData[],MATCH(Table2[[#Headers],[Bottom Bar Weight]],Table2[#Headers],0),0)</f>
        <v>80.5</v>
      </c>
      <c r="AW461" s="2" t="str">
        <f>VLOOKUP([jobnumber],OvalData[],MATCH(Table2[[#Headers],[Outer Spring Gage]],Table2[#Headers],0),0)</f>
        <v>Null</v>
      </c>
      <c r="AX461" s="2" t="str">
        <f>VLOOKUP([jobnumber],OvalData[],MATCH(Table2[[#Headers],[Outer Spring OD]],Table2[#Headers],0),0)</f>
        <v>Null</v>
      </c>
      <c r="AY461" s="2" t="str">
        <f>VLOOKUP([jobnumber],OvalData[],MATCH(Table2[[#Headers],[Outer Spring Length]],Table2[#Headers],0),0)</f>
        <v>Null</v>
      </c>
      <c r="AZ461" s="2" t="str">
        <f>VLOOKUP([jobnumber],OvalData[],MATCH(Table2[[#Headers],[Outer Spring Stretch]],Table2[#Headers],0),0)</f>
        <v>Null</v>
      </c>
      <c r="BA461" s="2" t="str">
        <f>VLOOKUP([jobnumber],OvalData[],MATCH(Table2[[#Headers],[Outer Spring Torque]],Table2[#Headers],0),0)</f>
        <v>Null</v>
      </c>
      <c r="BB461" s="2" t="str">
        <f>VLOOKUP([jobnumber],OvalData[],MATCH(Table2[[#Headers],[Outer Spring Max Turns]],Table2[#Headers],0),0)</f>
        <v>Null</v>
      </c>
      <c r="BC461" s="2" t="str">
        <f>VLOOKUP([jobnumber],OvalData[],MATCH(Table2[[#Headers],[Outer Spring Weight]],Table2[#Headers],0),0)</f>
        <v>Null</v>
      </c>
      <c r="BD461" s="2" t="str">
        <f>VLOOKUP([jobnumber],OvalData[],MATCH(Table2[[#Headers],[Inner Spring Gage]],Table2[#Headers],0),0)</f>
        <v>Null</v>
      </c>
      <c r="BE461" s="2" t="str">
        <f>VLOOKUP([jobnumber],OvalData[],MATCH(Table2[[#Headers],[Inner Spring OD]],Table2[#Headers],0),0)</f>
        <v>Null</v>
      </c>
      <c r="BF461" s="2" t="str">
        <f>VLOOKUP([jobnumber],OvalData[],MATCH(Table2[[#Headers],[Inner Spring Length]],Table2[#Headers],0),0)</f>
        <v>Null</v>
      </c>
      <c r="BG461" s="2" t="str">
        <f>VLOOKUP([jobnumber],OvalData[],MATCH(Table2[[#Headers],[Inner Spring Stretch]],Table2[#Headers],0),0)</f>
        <v>Null</v>
      </c>
      <c r="BH461" s="2" t="str">
        <f>VLOOKUP([jobnumber],OvalData[],MATCH(Table2[[#Headers],[Inner Spring Torque]],Table2[#Headers],0),0)</f>
        <v>Null</v>
      </c>
      <c r="BI461" s="2" t="str">
        <f>VLOOKUP([jobnumber],OvalData[],MATCH(Table2[[#Headers],[Inner Spring Max Turns]],Table2[#Headers],0),0)</f>
        <v>Null</v>
      </c>
      <c r="BJ461" s="2" t="str">
        <f>VLOOKUP([jobnumber],OvalData[],MATCH(Table2[[#Headers],[Inner Spring Weight]],Table2[#Headers],0),0)</f>
        <v>Null</v>
      </c>
      <c r="BK461" s="2">
        <f>VLOOKUP([jobnumber],OvalData[],MATCH(Table2[[#Headers],[Cycles]],Table2[#Headers],0),0)</f>
        <v>0</v>
      </c>
      <c r="BL461" s="2">
        <f>VLOOKUP([jobnumber],OvalData[],MATCH(Table2[[#Headers],[Total Spring Torque]],Table2[#Headers],0),0)</f>
        <v>0</v>
      </c>
      <c r="BM461" s="2">
        <f>VLOOKUP([jobnumber],OvalData[],MATCH(Table2[[#Headers],[Total Spring Weight]],Table2[#Headers],0),0)</f>
        <v>0</v>
      </c>
      <c r="BN461" s="2">
        <f>VLOOKUP([jobnumber],OvalData[],MATCH(Table2[[#Headers],[Pipe Weight]],Table2[#Headers],0),0)</f>
        <v>688.24239999999998</v>
      </c>
      <c r="BO461" s="2">
        <f>VLOOKUP([jobnumber],OvalData[],MATCH(Table2[[#Headers],[Max Pipe Deflection]],Table2[#Headers],0),0)</f>
        <v>2309</v>
      </c>
      <c r="BP461" s="2">
        <f>VLOOKUP([jobnumber],OvalData[],MATCH(Table2[[#Headers],[Number Non-Insulated Wrap Slats]],Table2[#Headers],0),0)</f>
        <v>0</v>
      </c>
      <c r="BQ461" s="2">
        <f>VLOOKUP([jobnumber],OvalData[],MATCH(Table2[[#Headers],[Number of Insolated Top Slats]],Table2[#Headers],0),0)</f>
        <v>45</v>
      </c>
      <c r="BR461" s="2">
        <f>VLOOKUP([jobnumber],OvalData[],MATCH(Table2[[#Headers],[Insolated Total Slats]],Table2[#Headers],0),0)</f>
        <v>45</v>
      </c>
      <c r="BS461" s="2">
        <f>VLOOKUP([jobnumber],OvalData[],MATCH(Table2[[#Headers],[Number of Slats]],Table2[#Headers],0),0)</f>
        <v>44.69</v>
      </c>
      <c r="BT461" s="2">
        <f>VLOOKUP([jobnumber],OvalData[],MATCH(Table2[[#Headers],[Wrap]],Table2[#Headers],0),0)</f>
        <v>0</v>
      </c>
      <c r="BU461" s="2">
        <f>VLOOKUP([jobnumber],OvalData[],MATCH(Table2[[#Headers],[Wall Angle Thickness]],Table2[#Headers],0),0)</f>
        <v>0</v>
      </c>
      <c r="BV461" s="2">
        <f>VLOOKUP([jobnumber],OvalData[],MATCH(Table2[[#Headers],[windlocks]],Table2[#Headers],0),0)</f>
        <v>0</v>
      </c>
      <c r="BW461" s="2" t="str">
        <f>VLOOKUP([jobnumber],OvalData[],MATCH(Table2[[#Headers],[bottombartype]],Table2[#Headers],0),0)</f>
        <v>SPECIAL</v>
      </c>
      <c r="BX461" s="2">
        <f>VLOOKUP([jobnumber],OvalData[],MATCH(Table2[[#Headers],[endlockweight]],Table2[#Headers],0),0)</f>
        <v>0.17</v>
      </c>
      <c r="BY461" s="2">
        <f>VLOOKUP([jobnumber],OvalData[],MATCH(Table2[[#Headers],[Endlock Total Weight]],Table2[#Headers],0),0)</f>
        <v>7.5972999999999997</v>
      </c>
      <c r="BZ461" s="2">
        <f>VLOOKUP([jobnumber],OvalData[],MATCH(Table2[[#Headers],[Grille Weight]],Table2[#Headers],0),0)</f>
        <v>0</v>
      </c>
      <c r="CA461" s="2">
        <f>VLOOKUP([jobnumber],OvalData[],MATCH(Table2[[#Headers],[barrelrings]],Table2[#Headers],0),0)</f>
        <v>1</v>
      </c>
    </row>
    <row r="462" spans="2:79">
      <c r="B462" s="2" t="str">
        <f>VLOOKUP([jobnumber],OvalData[],MATCH(Table2[[#Headers],[Hand]],Table2[#Headers],0),0)</f>
        <v>RH</v>
      </c>
      <c r="C462" s="2" t="str">
        <f>VLOOKUP([jobnumber],OvalData[],MATCH(Table2[[#Headers],[Model]],Table2[#Headers],0),0)</f>
        <v>SFMPP</v>
      </c>
      <c r="D462" s="2" t="str">
        <f>VLOOKUP([jobnumber],OvalData[],MATCH(Table2[[#Headers],[width]],Table2[#Headers],0),0)</f>
        <v xml:space="preserve"> 18 ft.- 2"</v>
      </c>
      <c r="E462" s="2" t="str">
        <f>VLOOKUP([jobnumber],OvalData[],MATCH(Table2[[#Headers],[stopheight]],Table2[#Headers],0),0)</f>
        <v xml:space="preserve"> 10 ft.- 0"</v>
      </c>
      <c r="F462" s="2" t="str">
        <f>VLOOKUP([jobnumber],OvalData[],MATCH(Table2[[#Headers],[Between Brackets]],Table2[#Headers],0),0)</f>
        <v xml:space="preserve"> 18 ft.- 7 7/ 8"</v>
      </c>
      <c r="G462" s="2" t="str">
        <f>VLOOKUP([jobnumber],OvalData[],MATCH(Table2[[#Headers],[shell]],Table2[#Headers],0),0)</f>
        <v>6 INCH TUBE</v>
      </c>
      <c r="H462" s="2" t="str">
        <f>VLOOKUP([jobnumber],OvalData[],MATCH(Table2[[#Headers],[pipewidth]],Table2[#Headers],0),0)</f>
        <v xml:space="preserve"> 18 ft.- 1 3/ 8"</v>
      </c>
      <c r="I462" s="2">
        <f>VLOOKUP([jobnumber],OvalData[],MATCH(Table2[[#Headers],[Support Tubes]],Table2[#Headers],0),0)</f>
        <v>0</v>
      </c>
      <c r="J462" s="2">
        <f>VLOOKUP([jobnumber],OvalData[],MATCH(Table2[[#Headers],[Upset]],Table2[#Headers],0),0)</f>
        <v>2</v>
      </c>
      <c r="K462" s="2" t="str">
        <f>VLOOKUP([jobnumber],OvalData[],MATCH(Table2[[#Headers],[Guide Type]],Table2[#Headers],0),0)</f>
        <v>SN2-4 5/8-E</v>
      </c>
      <c r="L462" s="2" t="str">
        <f>VLOOKUP([jobnumber],OvalData[],MATCH(Table2[[#Headers],[Wall Angle]],Table2[#Headers],0),0)</f>
        <v xml:space="preserve"> 11 ft.- 8"</v>
      </c>
      <c r="M462" s="2" t="str">
        <f>VLOOKUP([jobnumber],OvalData[],MATCH(Table2[[#Headers],[Middle Angle]],Table2[#Headers],0),0)</f>
        <v xml:space="preserve"> 10 ft.- 4 1/ 2"</v>
      </c>
      <c r="N462" s="2" t="str">
        <f>VLOOKUP([jobnumber],OvalData[],MATCH(Table2[[#Headers],[Front Angle]],Table2[#Headers],0),0)</f>
        <v xml:space="preserve"> 10 ft.- 3"</v>
      </c>
      <c r="O462" s="2">
        <f>VLOOKUP([jobnumber],OvalData[],MATCH(Table2[[#Headers],[Pipe Center Line]],Table2[#Headers],0),0)</f>
        <v>131</v>
      </c>
      <c r="P462" s="2">
        <f>VLOOKUP([jobnumber],OvalData[],MATCH(Table2[[#Headers],[Heat Expansion Gap]],Table2[#Headers],0),0)</f>
        <v>0</v>
      </c>
      <c r="Q462" s="2">
        <f>VLOOKUP([jobnumber],OvalData[],MATCH(Table2[[#Headers],[Hanging Weight Closed]],Table2[#Headers],0),0)</f>
        <v>795</v>
      </c>
      <c r="R462" s="2">
        <f>VLOOKUP([jobnumber],OvalData[],MATCH(Table2[[#Headers],[Hanging Weight Open]],Table2[#Headers],0),0)</f>
        <v>140</v>
      </c>
      <c r="S462" s="2">
        <f>VLOOKUP([jobnumber],OvalData[],MATCH(Table2[[#Headers],[Initial Lever Arm]],Table2[#Headers],0),0)</f>
        <v>4.25</v>
      </c>
      <c r="T462" s="2">
        <f>VLOOKUP([jobnumber],OvalData[],MATCH(Table2[[#Headers],[Turns to Raise]],Table2[#Headers],0),0)</f>
        <v>3.5859999999999999</v>
      </c>
      <c r="U462" s="2">
        <f>VLOOKUP([jobnumber],OvalData[],MATCH(Table2[[#Headers],[Final Lever Arm]],Table2[#Headers],0),0)</f>
        <v>6.37</v>
      </c>
      <c r="V462" s="2">
        <f>VLOOKUP([jobnumber],OvalData[],MATCH(Table2[[#Headers],[Torque Required Closed]],Table2[#Headers],0),0)</f>
        <v>3377.9</v>
      </c>
      <c r="W462" s="2">
        <f>VLOOKUP([jobnumber],OvalData[],MATCH(Table2[[#Headers],[Torque Required Open]],Table2[#Headers],0),0)</f>
        <v>892</v>
      </c>
      <c r="X462" s="2">
        <f>VLOOKUP([jobnumber],OvalData[],MATCH(Table2[[#Headers],[Pre Turns]],Table2[#Headers],0),0)</f>
        <v>1.3332999999999999</v>
      </c>
      <c r="Y462" s="2">
        <f>VLOOKUP([jobnumber],OvalData[],MATCH(Table2[[#Headers],[Required Torque Per Turn]],Table2[#Headers],0),0)</f>
        <v>688</v>
      </c>
      <c r="Z462" s="2">
        <f>VLOOKUP([jobnumber],OvalData[],MATCH(Table2[[#Headers],[Total Turns]],Table2[#Headers],0),0)</f>
        <v>4.91</v>
      </c>
      <c r="AA462" s="2">
        <f>VLOOKUP([jobnumber],OvalData[],MATCH(Table2[[#Headers],[Grille Vision Section]],Table2[#Headers],0),0)</f>
        <v>0</v>
      </c>
      <c r="AB462" s="2">
        <f>VLOOKUP([jobnumber],OvalData[],MATCH(Table2[[#Headers],[Grille Amount]],Table2[#Headers],0),0)</f>
        <v>0</v>
      </c>
      <c r="AC462" s="2">
        <f>VLOOKUP([jobnumber],OvalData[],MATCH(Table2[[#Headers],[Grille Center]],Table2[#Headers],0),0)</f>
        <v>0</v>
      </c>
      <c r="AD462" s="2">
        <f>VLOOKUP([jobnumber],OvalData[],MATCH(Table2[[#Headers],[Grille Pattern]],Table2[#Headers],0),0)</f>
        <v>0</v>
      </c>
      <c r="AE462" s="2">
        <f>VLOOKUP([jobnumber],OvalData[],MATCH(Table2[[#Headers],[Grille First Tube]],Table2[#Headers],0),0)</f>
        <v>0</v>
      </c>
      <c r="AF462" s="2">
        <f>VLOOKUP([jobnumber],OvalData[],MATCH(Table2[[#Headers],[Grille Standard Tube]],Table2[#Headers],0),0)</f>
        <v>0</v>
      </c>
      <c r="AG462" s="2">
        <f>VLOOKUP([jobnumber],OvalData[],MATCH(Table2[[#Headers],[Grille Total Links]],Table2[#Headers],0),0)</f>
        <v>0</v>
      </c>
      <c r="AH462" s="2">
        <f>VLOOKUP([jobnumber],OvalData[],MATCH(Table2[[#Headers],[Grille Rods]],Table2[#Headers],0),0)</f>
        <v>0</v>
      </c>
      <c r="AI462" s="2">
        <f>VLOOKUP([jobnumber],OvalData[],MATCH(Table2[[#Headers],[Grille Rod Length]],Table2[#Headers],0),0)</f>
        <v>0</v>
      </c>
      <c r="AJ462" s="2">
        <f>VLOOKUP([jobnumber],OvalData[],MATCH(Table2[[#Headers],[slattype]],Table2[#Headers],0),0)</f>
        <v>2</v>
      </c>
      <c r="AK462" s="2">
        <f>VLOOKUP([jobnumber],OvalData[],MATCH(Table2[[#Headers],[slatgage]],Table2[#Headers],0),0)</f>
        <v>18</v>
      </c>
      <c r="AL462" s="2">
        <f>VLOOKUP([jobnumber],OvalData[],MATCH(Table2[[#Headers],[Numer of Top Slats]],Table2[#Headers],0),0)</f>
        <v>0</v>
      </c>
      <c r="AM462" s="2">
        <f>VLOOKUP([jobnumber],OvalData[],MATCH(Table2[[#Headers],[Number of Bottom Slats]],Table2[#Headers],0),0)</f>
        <v>0</v>
      </c>
      <c r="AN462" s="2">
        <f>VLOOKUP([jobnumber],OvalData[],MATCH(Table2[[#Headers],[Solid Bottom Height]],Table2[#Headers],0),0)</f>
        <v>0</v>
      </c>
      <c r="AO462" s="2" t="str">
        <f>VLOOKUP([jobnumber],OvalData[],MATCH(Table2[[#Headers],[slatlength]],Table2[#Headers],0),0)</f>
        <v xml:space="preserve"> 18 ft.- 5 7/ 8"</v>
      </c>
      <c r="AP462" s="2">
        <f>VLOOKUP([jobnumber],OvalData[],MATCH(Table2[[#Headers],[Bottom Slat Length]],Table2[#Headers],0),0)</f>
        <v>0</v>
      </c>
      <c r="AQ462" s="2">
        <f>VLOOKUP([jobnumber],OvalData[],MATCH(Table2[[#Headers],[Number of Perferated Slats]],Table2[#Headers],0),0)</f>
        <v>0</v>
      </c>
      <c r="AR462" s="2">
        <f>VLOOKUP([jobnumber],OvalData[],MATCH(Table2[[#Headers],[First Preferated Slat From End]],Table2[#Headers],0),0)</f>
        <v>0</v>
      </c>
      <c r="AS462" s="2">
        <f>VLOOKUP([jobnumber],OvalData[],MATCH(Table2[[#Headers],[First Preferated Slat From Bottom]],Table2[#Headers],0),0)</f>
        <v>0</v>
      </c>
      <c r="AT462" s="2">
        <f>VLOOKUP([jobnumber],OvalData[],MATCH(Table2[[#Headers],[Total Number of Slats]],Table2[#Headers],0),0)</f>
        <v>51</v>
      </c>
      <c r="AU462" s="2">
        <f>VLOOKUP([jobnumber],OvalData[],MATCH(Table2[[#Headers],[Bottom Bar Slope]],Table2[#Headers],0),0)</f>
        <v>0</v>
      </c>
      <c r="AV462" s="2">
        <f>VLOOKUP([jobnumber],OvalData[],MATCH(Table2[[#Headers],[Bottom Bar Weight]],Table2[#Headers],0),0)</f>
        <v>80.5</v>
      </c>
      <c r="AW462" s="2" t="str">
        <f>VLOOKUP([jobnumber],OvalData[],MATCH(Table2[[#Headers],[Outer Spring Gage]],Table2[#Headers],0),0)</f>
        <v>Null</v>
      </c>
      <c r="AX462" s="2" t="str">
        <f>VLOOKUP([jobnumber],OvalData[],MATCH(Table2[[#Headers],[Outer Spring OD]],Table2[#Headers],0),0)</f>
        <v>Null</v>
      </c>
      <c r="AY462" s="2" t="str">
        <f>VLOOKUP([jobnumber],OvalData[],MATCH(Table2[[#Headers],[Outer Spring Length]],Table2[#Headers],0),0)</f>
        <v>Null</v>
      </c>
      <c r="AZ462" s="2" t="str">
        <f>VLOOKUP([jobnumber],OvalData[],MATCH(Table2[[#Headers],[Outer Spring Stretch]],Table2[#Headers],0),0)</f>
        <v>Null</v>
      </c>
      <c r="BA462" s="2" t="str">
        <f>VLOOKUP([jobnumber],OvalData[],MATCH(Table2[[#Headers],[Outer Spring Torque]],Table2[#Headers],0),0)</f>
        <v>Null</v>
      </c>
      <c r="BB462" s="2" t="str">
        <f>VLOOKUP([jobnumber],OvalData[],MATCH(Table2[[#Headers],[Outer Spring Max Turns]],Table2[#Headers],0),0)</f>
        <v>Null</v>
      </c>
      <c r="BC462" s="2" t="str">
        <f>VLOOKUP([jobnumber],OvalData[],MATCH(Table2[[#Headers],[Outer Spring Weight]],Table2[#Headers],0),0)</f>
        <v>Null</v>
      </c>
      <c r="BD462" s="2" t="str">
        <f>VLOOKUP([jobnumber],OvalData[],MATCH(Table2[[#Headers],[Inner Spring Gage]],Table2[#Headers],0),0)</f>
        <v>Null</v>
      </c>
      <c r="BE462" s="2" t="str">
        <f>VLOOKUP([jobnumber],OvalData[],MATCH(Table2[[#Headers],[Inner Spring OD]],Table2[#Headers],0),0)</f>
        <v>Null</v>
      </c>
      <c r="BF462" s="2" t="str">
        <f>VLOOKUP([jobnumber],OvalData[],MATCH(Table2[[#Headers],[Inner Spring Length]],Table2[#Headers],0),0)</f>
        <v>Null</v>
      </c>
      <c r="BG462" s="2" t="str">
        <f>VLOOKUP([jobnumber],OvalData[],MATCH(Table2[[#Headers],[Inner Spring Stretch]],Table2[#Headers],0),0)</f>
        <v>Null</v>
      </c>
      <c r="BH462" s="2" t="str">
        <f>VLOOKUP([jobnumber],OvalData[],MATCH(Table2[[#Headers],[Inner Spring Torque]],Table2[#Headers],0),0)</f>
        <v>Null</v>
      </c>
      <c r="BI462" s="2" t="str">
        <f>VLOOKUP([jobnumber],OvalData[],MATCH(Table2[[#Headers],[Inner Spring Max Turns]],Table2[#Headers],0),0)</f>
        <v>Null</v>
      </c>
      <c r="BJ462" s="2" t="str">
        <f>VLOOKUP([jobnumber],OvalData[],MATCH(Table2[[#Headers],[Inner Spring Weight]],Table2[#Headers],0),0)</f>
        <v>Null</v>
      </c>
      <c r="BK462" s="2">
        <f>VLOOKUP([jobnumber],OvalData[],MATCH(Table2[[#Headers],[Cycles]],Table2[#Headers],0),0)</f>
        <v>0</v>
      </c>
      <c r="BL462" s="2">
        <f>VLOOKUP([jobnumber],OvalData[],MATCH(Table2[[#Headers],[Total Spring Torque]],Table2[#Headers],0),0)</f>
        <v>0</v>
      </c>
      <c r="BM462" s="2">
        <f>VLOOKUP([jobnumber],OvalData[],MATCH(Table2[[#Headers],[Total Spring Weight]],Table2[#Headers],0),0)</f>
        <v>0</v>
      </c>
      <c r="BN462" s="2">
        <f>VLOOKUP([jobnumber],OvalData[],MATCH(Table2[[#Headers],[Pipe Weight]],Table2[#Headers],0),0)</f>
        <v>688.24239999999998</v>
      </c>
      <c r="BO462" s="2">
        <f>VLOOKUP([jobnumber],OvalData[],MATCH(Table2[[#Headers],[Max Pipe Deflection]],Table2[#Headers],0),0)</f>
        <v>2309</v>
      </c>
      <c r="BP462" s="2">
        <f>VLOOKUP([jobnumber],OvalData[],MATCH(Table2[[#Headers],[Number Non-Insulated Wrap Slats]],Table2[#Headers],0),0)</f>
        <v>0</v>
      </c>
      <c r="BQ462" s="2">
        <f>VLOOKUP([jobnumber],OvalData[],MATCH(Table2[[#Headers],[Number of Insolated Top Slats]],Table2[#Headers],0),0)</f>
        <v>45</v>
      </c>
      <c r="BR462" s="2">
        <f>VLOOKUP([jobnumber],OvalData[],MATCH(Table2[[#Headers],[Insolated Total Slats]],Table2[#Headers],0),0)</f>
        <v>45</v>
      </c>
      <c r="BS462" s="2">
        <f>VLOOKUP([jobnumber],OvalData[],MATCH(Table2[[#Headers],[Number of Slats]],Table2[#Headers],0),0)</f>
        <v>44.69</v>
      </c>
      <c r="BT462" s="2">
        <f>VLOOKUP([jobnumber],OvalData[],MATCH(Table2[[#Headers],[Wrap]],Table2[#Headers],0),0)</f>
        <v>0</v>
      </c>
      <c r="BU462" s="2">
        <f>VLOOKUP([jobnumber],OvalData[],MATCH(Table2[[#Headers],[Wall Angle Thickness]],Table2[#Headers],0),0)</f>
        <v>0</v>
      </c>
      <c r="BV462" s="2">
        <f>VLOOKUP([jobnumber],OvalData[],MATCH(Table2[[#Headers],[windlocks]],Table2[#Headers],0),0)</f>
        <v>0</v>
      </c>
      <c r="BW462" s="2" t="str">
        <f>VLOOKUP([jobnumber],OvalData[],MATCH(Table2[[#Headers],[bottombartype]],Table2[#Headers],0),0)</f>
        <v>SPECIAL</v>
      </c>
      <c r="BX462" s="2">
        <f>VLOOKUP([jobnumber],OvalData[],MATCH(Table2[[#Headers],[endlockweight]],Table2[#Headers],0),0)</f>
        <v>0.17</v>
      </c>
      <c r="BY462" s="2">
        <f>VLOOKUP([jobnumber],OvalData[],MATCH(Table2[[#Headers],[Endlock Total Weight]],Table2[#Headers],0),0)</f>
        <v>7.5972999999999997</v>
      </c>
      <c r="BZ462" s="2">
        <f>VLOOKUP([jobnumber],OvalData[],MATCH(Table2[[#Headers],[Grille Weight]],Table2[#Headers],0),0)</f>
        <v>0</v>
      </c>
      <c r="CA462" s="2">
        <f>VLOOKUP([jobnumber],OvalData[],MATCH(Table2[[#Headers],[barrelrings]],Table2[#Headers],0),0)</f>
        <v>1</v>
      </c>
    </row>
    <row r="463" spans="2:79">
      <c r="B463" s="2" t="str">
        <f>VLOOKUP([jobnumber],OvalData[],MATCH(Table2[[#Headers],[Hand]],Table2[#Headers],0),0)</f>
        <v>RH</v>
      </c>
      <c r="C463" s="2" t="str">
        <f>VLOOKUP([jobnumber],OvalData[],MATCH(Table2[[#Headers],[Model]],Table2[#Headers],0),0)</f>
        <v>SFMPP</v>
      </c>
      <c r="D463" s="2" t="str">
        <f>VLOOKUP([jobnumber],OvalData[],MATCH(Table2[[#Headers],[width]],Table2[#Headers],0),0)</f>
        <v xml:space="preserve"> 18 ft.- 2"</v>
      </c>
      <c r="E463" s="2" t="str">
        <f>VLOOKUP([jobnumber],OvalData[],MATCH(Table2[[#Headers],[stopheight]],Table2[#Headers],0),0)</f>
        <v xml:space="preserve"> 10 ft.- 0"</v>
      </c>
      <c r="F463" s="2" t="str">
        <f>VLOOKUP([jobnumber],OvalData[],MATCH(Table2[[#Headers],[Between Brackets]],Table2[#Headers],0),0)</f>
        <v xml:space="preserve"> 18 ft.- 7 7/ 8"</v>
      </c>
      <c r="G463" s="2" t="str">
        <f>VLOOKUP([jobnumber],OvalData[],MATCH(Table2[[#Headers],[shell]],Table2[#Headers],0),0)</f>
        <v>6 INCH TUBE</v>
      </c>
      <c r="H463" s="2" t="str">
        <f>VLOOKUP([jobnumber],OvalData[],MATCH(Table2[[#Headers],[pipewidth]],Table2[#Headers],0),0)</f>
        <v xml:space="preserve"> 18 ft.- 1 3/ 8"</v>
      </c>
      <c r="I463" s="2">
        <f>VLOOKUP([jobnumber],OvalData[],MATCH(Table2[[#Headers],[Support Tubes]],Table2[#Headers],0),0)</f>
        <v>0</v>
      </c>
      <c r="J463" s="2">
        <f>VLOOKUP([jobnumber],OvalData[],MATCH(Table2[[#Headers],[Upset]],Table2[#Headers],0),0)</f>
        <v>2</v>
      </c>
      <c r="K463" s="2" t="str">
        <f>VLOOKUP([jobnumber],OvalData[],MATCH(Table2[[#Headers],[Guide Type]],Table2[#Headers],0),0)</f>
        <v>SN2-4 5/8-E</v>
      </c>
      <c r="L463" s="2" t="str">
        <f>VLOOKUP([jobnumber],OvalData[],MATCH(Table2[[#Headers],[Wall Angle]],Table2[#Headers],0),0)</f>
        <v xml:space="preserve"> 11 ft.- 8"</v>
      </c>
      <c r="M463" s="2" t="str">
        <f>VLOOKUP([jobnumber],OvalData[],MATCH(Table2[[#Headers],[Middle Angle]],Table2[#Headers],0),0)</f>
        <v xml:space="preserve"> 10 ft.- 4 1/ 2"</v>
      </c>
      <c r="N463" s="2" t="str">
        <f>VLOOKUP([jobnumber],OvalData[],MATCH(Table2[[#Headers],[Front Angle]],Table2[#Headers],0),0)</f>
        <v xml:space="preserve"> 10 ft.- 3"</v>
      </c>
      <c r="O463" s="2">
        <f>VLOOKUP([jobnumber],OvalData[],MATCH(Table2[[#Headers],[Pipe Center Line]],Table2[#Headers],0),0)</f>
        <v>131</v>
      </c>
      <c r="P463" s="2">
        <f>VLOOKUP([jobnumber],OvalData[],MATCH(Table2[[#Headers],[Heat Expansion Gap]],Table2[#Headers],0),0)</f>
        <v>0</v>
      </c>
      <c r="Q463" s="2">
        <f>VLOOKUP([jobnumber],OvalData[],MATCH(Table2[[#Headers],[Hanging Weight Closed]],Table2[#Headers],0),0)</f>
        <v>795</v>
      </c>
      <c r="R463" s="2">
        <f>VLOOKUP([jobnumber],OvalData[],MATCH(Table2[[#Headers],[Hanging Weight Open]],Table2[#Headers],0),0)</f>
        <v>140</v>
      </c>
      <c r="S463" s="2">
        <f>VLOOKUP([jobnumber],OvalData[],MATCH(Table2[[#Headers],[Initial Lever Arm]],Table2[#Headers],0),0)</f>
        <v>4.25</v>
      </c>
      <c r="T463" s="2">
        <f>VLOOKUP([jobnumber],OvalData[],MATCH(Table2[[#Headers],[Turns to Raise]],Table2[#Headers],0),0)</f>
        <v>3.5859999999999999</v>
      </c>
      <c r="U463" s="2">
        <f>VLOOKUP([jobnumber],OvalData[],MATCH(Table2[[#Headers],[Final Lever Arm]],Table2[#Headers],0),0)</f>
        <v>6.37</v>
      </c>
      <c r="V463" s="2">
        <f>VLOOKUP([jobnumber],OvalData[],MATCH(Table2[[#Headers],[Torque Required Closed]],Table2[#Headers],0),0)</f>
        <v>3377.9</v>
      </c>
      <c r="W463" s="2">
        <f>VLOOKUP([jobnumber],OvalData[],MATCH(Table2[[#Headers],[Torque Required Open]],Table2[#Headers],0),0)</f>
        <v>892</v>
      </c>
      <c r="X463" s="2">
        <f>VLOOKUP([jobnumber],OvalData[],MATCH(Table2[[#Headers],[Pre Turns]],Table2[#Headers],0),0)</f>
        <v>1.3332999999999999</v>
      </c>
      <c r="Y463" s="2">
        <f>VLOOKUP([jobnumber],OvalData[],MATCH(Table2[[#Headers],[Required Torque Per Turn]],Table2[#Headers],0),0)</f>
        <v>688</v>
      </c>
      <c r="Z463" s="2">
        <f>VLOOKUP([jobnumber],OvalData[],MATCH(Table2[[#Headers],[Total Turns]],Table2[#Headers],0),0)</f>
        <v>4.91</v>
      </c>
      <c r="AA463" s="2">
        <f>VLOOKUP([jobnumber],OvalData[],MATCH(Table2[[#Headers],[Grille Vision Section]],Table2[#Headers],0),0)</f>
        <v>0</v>
      </c>
      <c r="AB463" s="2">
        <f>VLOOKUP([jobnumber],OvalData[],MATCH(Table2[[#Headers],[Grille Amount]],Table2[#Headers],0),0)</f>
        <v>0</v>
      </c>
      <c r="AC463" s="2">
        <f>VLOOKUP([jobnumber],OvalData[],MATCH(Table2[[#Headers],[Grille Center]],Table2[#Headers],0),0)</f>
        <v>0</v>
      </c>
      <c r="AD463" s="2">
        <f>VLOOKUP([jobnumber],OvalData[],MATCH(Table2[[#Headers],[Grille Pattern]],Table2[#Headers],0),0)</f>
        <v>0</v>
      </c>
      <c r="AE463" s="2">
        <f>VLOOKUP([jobnumber],OvalData[],MATCH(Table2[[#Headers],[Grille First Tube]],Table2[#Headers],0),0)</f>
        <v>0</v>
      </c>
      <c r="AF463" s="2">
        <f>VLOOKUP([jobnumber],OvalData[],MATCH(Table2[[#Headers],[Grille Standard Tube]],Table2[#Headers],0),0)</f>
        <v>0</v>
      </c>
      <c r="AG463" s="2">
        <f>VLOOKUP([jobnumber],OvalData[],MATCH(Table2[[#Headers],[Grille Total Links]],Table2[#Headers],0),0)</f>
        <v>0</v>
      </c>
      <c r="AH463" s="2">
        <f>VLOOKUP([jobnumber],OvalData[],MATCH(Table2[[#Headers],[Grille Rods]],Table2[#Headers],0),0)</f>
        <v>0</v>
      </c>
      <c r="AI463" s="2">
        <f>VLOOKUP([jobnumber],OvalData[],MATCH(Table2[[#Headers],[Grille Rod Length]],Table2[#Headers],0),0)</f>
        <v>0</v>
      </c>
      <c r="AJ463" s="2">
        <f>VLOOKUP([jobnumber],OvalData[],MATCH(Table2[[#Headers],[slattype]],Table2[#Headers],0),0)</f>
        <v>2</v>
      </c>
      <c r="AK463" s="2">
        <f>VLOOKUP([jobnumber],OvalData[],MATCH(Table2[[#Headers],[slatgage]],Table2[#Headers],0),0)</f>
        <v>18</v>
      </c>
      <c r="AL463" s="2">
        <f>VLOOKUP([jobnumber],OvalData[],MATCH(Table2[[#Headers],[Numer of Top Slats]],Table2[#Headers],0),0)</f>
        <v>0</v>
      </c>
      <c r="AM463" s="2">
        <f>VLOOKUP([jobnumber],OvalData[],MATCH(Table2[[#Headers],[Number of Bottom Slats]],Table2[#Headers],0),0)</f>
        <v>0</v>
      </c>
      <c r="AN463" s="2">
        <f>VLOOKUP([jobnumber],OvalData[],MATCH(Table2[[#Headers],[Solid Bottom Height]],Table2[#Headers],0),0)</f>
        <v>0</v>
      </c>
      <c r="AO463" s="2" t="str">
        <f>VLOOKUP([jobnumber],OvalData[],MATCH(Table2[[#Headers],[slatlength]],Table2[#Headers],0),0)</f>
        <v xml:space="preserve"> 18 ft.- 5 7/ 8"</v>
      </c>
      <c r="AP463" s="2">
        <f>VLOOKUP([jobnumber],OvalData[],MATCH(Table2[[#Headers],[Bottom Slat Length]],Table2[#Headers],0),0)</f>
        <v>0</v>
      </c>
      <c r="AQ463" s="2">
        <f>VLOOKUP([jobnumber],OvalData[],MATCH(Table2[[#Headers],[Number of Perferated Slats]],Table2[#Headers],0),0)</f>
        <v>0</v>
      </c>
      <c r="AR463" s="2">
        <f>VLOOKUP([jobnumber],OvalData[],MATCH(Table2[[#Headers],[First Preferated Slat From End]],Table2[#Headers],0),0)</f>
        <v>0</v>
      </c>
      <c r="AS463" s="2">
        <f>VLOOKUP([jobnumber],OvalData[],MATCH(Table2[[#Headers],[First Preferated Slat From Bottom]],Table2[#Headers],0),0)</f>
        <v>0</v>
      </c>
      <c r="AT463" s="2">
        <f>VLOOKUP([jobnumber],OvalData[],MATCH(Table2[[#Headers],[Total Number of Slats]],Table2[#Headers],0),0)</f>
        <v>51</v>
      </c>
      <c r="AU463" s="2">
        <f>VLOOKUP([jobnumber],OvalData[],MATCH(Table2[[#Headers],[Bottom Bar Slope]],Table2[#Headers],0),0)</f>
        <v>0</v>
      </c>
      <c r="AV463" s="2">
        <f>VLOOKUP([jobnumber],OvalData[],MATCH(Table2[[#Headers],[Bottom Bar Weight]],Table2[#Headers],0),0)</f>
        <v>80.5</v>
      </c>
      <c r="AW463" s="2" t="str">
        <f>VLOOKUP([jobnumber],OvalData[],MATCH(Table2[[#Headers],[Outer Spring Gage]],Table2[#Headers],0),0)</f>
        <v>Null</v>
      </c>
      <c r="AX463" s="2" t="str">
        <f>VLOOKUP([jobnumber],OvalData[],MATCH(Table2[[#Headers],[Outer Spring OD]],Table2[#Headers],0),0)</f>
        <v>Null</v>
      </c>
      <c r="AY463" s="2" t="str">
        <f>VLOOKUP([jobnumber],OvalData[],MATCH(Table2[[#Headers],[Outer Spring Length]],Table2[#Headers],0),0)</f>
        <v>Null</v>
      </c>
      <c r="AZ463" s="2" t="str">
        <f>VLOOKUP([jobnumber],OvalData[],MATCH(Table2[[#Headers],[Outer Spring Stretch]],Table2[#Headers],0),0)</f>
        <v>Null</v>
      </c>
      <c r="BA463" s="2" t="str">
        <f>VLOOKUP([jobnumber],OvalData[],MATCH(Table2[[#Headers],[Outer Spring Torque]],Table2[#Headers],0),0)</f>
        <v>Null</v>
      </c>
      <c r="BB463" s="2" t="str">
        <f>VLOOKUP([jobnumber],OvalData[],MATCH(Table2[[#Headers],[Outer Spring Max Turns]],Table2[#Headers],0),0)</f>
        <v>Null</v>
      </c>
      <c r="BC463" s="2" t="str">
        <f>VLOOKUP([jobnumber],OvalData[],MATCH(Table2[[#Headers],[Outer Spring Weight]],Table2[#Headers],0),0)</f>
        <v>Null</v>
      </c>
      <c r="BD463" s="2" t="str">
        <f>VLOOKUP([jobnumber],OvalData[],MATCH(Table2[[#Headers],[Inner Spring Gage]],Table2[#Headers],0),0)</f>
        <v>Null</v>
      </c>
      <c r="BE463" s="2" t="str">
        <f>VLOOKUP([jobnumber],OvalData[],MATCH(Table2[[#Headers],[Inner Spring OD]],Table2[#Headers],0),0)</f>
        <v>Null</v>
      </c>
      <c r="BF463" s="2" t="str">
        <f>VLOOKUP([jobnumber],OvalData[],MATCH(Table2[[#Headers],[Inner Spring Length]],Table2[#Headers],0),0)</f>
        <v>Null</v>
      </c>
      <c r="BG463" s="2" t="str">
        <f>VLOOKUP([jobnumber],OvalData[],MATCH(Table2[[#Headers],[Inner Spring Stretch]],Table2[#Headers],0),0)</f>
        <v>Null</v>
      </c>
      <c r="BH463" s="2" t="str">
        <f>VLOOKUP([jobnumber],OvalData[],MATCH(Table2[[#Headers],[Inner Spring Torque]],Table2[#Headers],0),0)</f>
        <v>Null</v>
      </c>
      <c r="BI463" s="2" t="str">
        <f>VLOOKUP([jobnumber],OvalData[],MATCH(Table2[[#Headers],[Inner Spring Max Turns]],Table2[#Headers],0),0)</f>
        <v>Null</v>
      </c>
      <c r="BJ463" s="2" t="str">
        <f>VLOOKUP([jobnumber],OvalData[],MATCH(Table2[[#Headers],[Inner Spring Weight]],Table2[#Headers],0),0)</f>
        <v>Null</v>
      </c>
      <c r="BK463" s="2">
        <f>VLOOKUP([jobnumber],OvalData[],MATCH(Table2[[#Headers],[Cycles]],Table2[#Headers],0),0)</f>
        <v>0</v>
      </c>
      <c r="BL463" s="2">
        <f>VLOOKUP([jobnumber],OvalData[],MATCH(Table2[[#Headers],[Total Spring Torque]],Table2[#Headers],0),0)</f>
        <v>0</v>
      </c>
      <c r="BM463" s="2">
        <f>VLOOKUP([jobnumber],OvalData[],MATCH(Table2[[#Headers],[Total Spring Weight]],Table2[#Headers],0),0)</f>
        <v>0</v>
      </c>
      <c r="BN463" s="2">
        <f>VLOOKUP([jobnumber],OvalData[],MATCH(Table2[[#Headers],[Pipe Weight]],Table2[#Headers],0),0)</f>
        <v>688.24239999999998</v>
      </c>
      <c r="BO463" s="2">
        <f>VLOOKUP([jobnumber],OvalData[],MATCH(Table2[[#Headers],[Max Pipe Deflection]],Table2[#Headers],0),0)</f>
        <v>2309</v>
      </c>
      <c r="BP463" s="2">
        <f>VLOOKUP([jobnumber],OvalData[],MATCH(Table2[[#Headers],[Number Non-Insulated Wrap Slats]],Table2[#Headers],0),0)</f>
        <v>0</v>
      </c>
      <c r="BQ463" s="2">
        <f>VLOOKUP([jobnumber],OvalData[],MATCH(Table2[[#Headers],[Number of Insolated Top Slats]],Table2[#Headers],0),0)</f>
        <v>45</v>
      </c>
      <c r="BR463" s="2">
        <f>VLOOKUP([jobnumber],OvalData[],MATCH(Table2[[#Headers],[Insolated Total Slats]],Table2[#Headers],0),0)</f>
        <v>45</v>
      </c>
      <c r="BS463" s="2">
        <f>VLOOKUP([jobnumber],OvalData[],MATCH(Table2[[#Headers],[Number of Slats]],Table2[#Headers],0),0)</f>
        <v>44.69</v>
      </c>
      <c r="BT463" s="2">
        <f>VLOOKUP([jobnumber],OvalData[],MATCH(Table2[[#Headers],[Wrap]],Table2[#Headers],0),0)</f>
        <v>0</v>
      </c>
      <c r="BU463" s="2">
        <f>VLOOKUP([jobnumber],OvalData[],MATCH(Table2[[#Headers],[Wall Angle Thickness]],Table2[#Headers],0),0)</f>
        <v>0</v>
      </c>
      <c r="BV463" s="2">
        <f>VLOOKUP([jobnumber],OvalData[],MATCH(Table2[[#Headers],[windlocks]],Table2[#Headers],0),0)</f>
        <v>0</v>
      </c>
      <c r="BW463" s="2" t="str">
        <f>VLOOKUP([jobnumber],OvalData[],MATCH(Table2[[#Headers],[bottombartype]],Table2[#Headers],0),0)</f>
        <v>SPECIAL</v>
      </c>
      <c r="BX463" s="2">
        <f>VLOOKUP([jobnumber],OvalData[],MATCH(Table2[[#Headers],[endlockweight]],Table2[#Headers],0),0)</f>
        <v>0.17</v>
      </c>
      <c r="BY463" s="2">
        <f>VLOOKUP([jobnumber],OvalData[],MATCH(Table2[[#Headers],[Endlock Total Weight]],Table2[#Headers],0),0)</f>
        <v>7.5972999999999997</v>
      </c>
      <c r="BZ463" s="2">
        <f>VLOOKUP([jobnumber],OvalData[],MATCH(Table2[[#Headers],[Grille Weight]],Table2[#Headers],0),0)</f>
        <v>0</v>
      </c>
      <c r="CA463" s="2">
        <f>VLOOKUP([jobnumber],OvalData[],MATCH(Table2[[#Headers],[barrelrings]],Table2[#Headers],0),0)</f>
        <v>1</v>
      </c>
    </row>
    <row r="464" spans="2:79">
      <c r="B464" s="2" t="str">
        <f>VLOOKUP([jobnumber],OvalData[],MATCH(Table2[[#Headers],[Hand]],Table2[#Headers],0),0)</f>
        <v>RH</v>
      </c>
      <c r="C464" s="2" t="str">
        <f>VLOOKUP([jobnumber],OvalData[],MATCH(Table2[[#Headers],[Model]],Table2[#Headers],0),0)</f>
        <v>SFMPP</v>
      </c>
      <c r="D464" s="2" t="str">
        <f>VLOOKUP([jobnumber],OvalData[],MATCH(Table2[[#Headers],[width]],Table2[#Headers],0),0)</f>
        <v xml:space="preserve"> 18 ft.- 2"</v>
      </c>
      <c r="E464" s="2" t="str">
        <f>VLOOKUP([jobnumber],OvalData[],MATCH(Table2[[#Headers],[stopheight]],Table2[#Headers],0),0)</f>
        <v xml:space="preserve"> 10 ft.- 0"</v>
      </c>
      <c r="F464" s="2" t="str">
        <f>VLOOKUP([jobnumber],OvalData[],MATCH(Table2[[#Headers],[Between Brackets]],Table2[#Headers],0),0)</f>
        <v xml:space="preserve"> 18 ft.- 7 7/ 8"</v>
      </c>
      <c r="G464" s="2" t="str">
        <f>VLOOKUP([jobnumber],OvalData[],MATCH(Table2[[#Headers],[shell]],Table2[#Headers],0),0)</f>
        <v>6 INCH TUBE</v>
      </c>
      <c r="H464" s="2" t="str">
        <f>VLOOKUP([jobnumber],OvalData[],MATCH(Table2[[#Headers],[pipewidth]],Table2[#Headers],0),0)</f>
        <v xml:space="preserve"> 18 ft.- 1 3/ 8"</v>
      </c>
      <c r="I464" s="2">
        <f>VLOOKUP([jobnumber],OvalData[],MATCH(Table2[[#Headers],[Support Tubes]],Table2[#Headers],0),0)</f>
        <v>0</v>
      </c>
      <c r="J464" s="2">
        <f>VLOOKUP([jobnumber],OvalData[],MATCH(Table2[[#Headers],[Upset]],Table2[#Headers],0),0)</f>
        <v>2</v>
      </c>
      <c r="K464" s="2" t="str">
        <f>VLOOKUP([jobnumber],OvalData[],MATCH(Table2[[#Headers],[Guide Type]],Table2[#Headers],0),0)</f>
        <v>SN2-4 5/8-E</v>
      </c>
      <c r="L464" s="2" t="str">
        <f>VLOOKUP([jobnumber],OvalData[],MATCH(Table2[[#Headers],[Wall Angle]],Table2[#Headers],0),0)</f>
        <v xml:space="preserve"> 11 ft.- 8"</v>
      </c>
      <c r="M464" s="2" t="str">
        <f>VLOOKUP([jobnumber],OvalData[],MATCH(Table2[[#Headers],[Middle Angle]],Table2[#Headers],0),0)</f>
        <v xml:space="preserve"> 10 ft.- 4 1/ 2"</v>
      </c>
      <c r="N464" s="2" t="str">
        <f>VLOOKUP([jobnumber],OvalData[],MATCH(Table2[[#Headers],[Front Angle]],Table2[#Headers],0),0)</f>
        <v xml:space="preserve"> 10 ft.- 3"</v>
      </c>
      <c r="O464" s="2">
        <f>VLOOKUP([jobnumber],OvalData[],MATCH(Table2[[#Headers],[Pipe Center Line]],Table2[#Headers],0),0)</f>
        <v>131</v>
      </c>
      <c r="P464" s="2">
        <f>VLOOKUP([jobnumber],OvalData[],MATCH(Table2[[#Headers],[Heat Expansion Gap]],Table2[#Headers],0),0)</f>
        <v>0</v>
      </c>
      <c r="Q464" s="2">
        <f>VLOOKUP([jobnumber],OvalData[],MATCH(Table2[[#Headers],[Hanging Weight Closed]],Table2[#Headers],0),0)</f>
        <v>795</v>
      </c>
      <c r="R464" s="2">
        <f>VLOOKUP([jobnumber],OvalData[],MATCH(Table2[[#Headers],[Hanging Weight Open]],Table2[#Headers],0),0)</f>
        <v>140</v>
      </c>
      <c r="S464" s="2">
        <f>VLOOKUP([jobnumber],OvalData[],MATCH(Table2[[#Headers],[Initial Lever Arm]],Table2[#Headers],0),0)</f>
        <v>4.25</v>
      </c>
      <c r="T464" s="2">
        <f>VLOOKUP([jobnumber],OvalData[],MATCH(Table2[[#Headers],[Turns to Raise]],Table2[#Headers],0),0)</f>
        <v>3.5859999999999999</v>
      </c>
      <c r="U464" s="2">
        <f>VLOOKUP([jobnumber],OvalData[],MATCH(Table2[[#Headers],[Final Lever Arm]],Table2[#Headers],0),0)</f>
        <v>6.37</v>
      </c>
      <c r="V464" s="2">
        <f>VLOOKUP([jobnumber],OvalData[],MATCH(Table2[[#Headers],[Torque Required Closed]],Table2[#Headers],0),0)</f>
        <v>3377.9</v>
      </c>
      <c r="W464" s="2">
        <f>VLOOKUP([jobnumber],OvalData[],MATCH(Table2[[#Headers],[Torque Required Open]],Table2[#Headers],0),0)</f>
        <v>892</v>
      </c>
      <c r="X464" s="2">
        <f>VLOOKUP([jobnumber],OvalData[],MATCH(Table2[[#Headers],[Pre Turns]],Table2[#Headers],0),0)</f>
        <v>1.3332999999999999</v>
      </c>
      <c r="Y464" s="2">
        <f>VLOOKUP([jobnumber],OvalData[],MATCH(Table2[[#Headers],[Required Torque Per Turn]],Table2[#Headers],0),0)</f>
        <v>688</v>
      </c>
      <c r="Z464" s="2">
        <f>VLOOKUP([jobnumber],OvalData[],MATCH(Table2[[#Headers],[Total Turns]],Table2[#Headers],0),0)</f>
        <v>4.91</v>
      </c>
      <c r="AA464" s="2">
        <f>VLOOKUP([jobnumber],OvalData[],MATCH(Table2[[#Headers],[Grille Vision Section]],Table2[#Headers],0),0)</f>
        <v>0</v>
      </c>
      <c r="AB464" s="2">
        <f>VLOOKUP([jobnumber],OvalData[],MATCH(Table2[[#Headers],[Grille Amount]],Table2[#Headers],0),0)</f>
        <v>0</v>
      </c>
      <c r="AC464" s="2">
        <f>VLOOKUP([jobnumber],OvalData[],MATCH(Table2[[#Headers],[Grille Center]],Table2[#Headers],0),0)</f>
        <v>0</v>
      </c>
      <c r="AD464" s="2">
        <f>VLOOKUP([jobnumber],OvalData[],MATCH(Table2[[#Headers],[Grille Pattern]],Table2[#Headers],0),0)</f>
        <v>0</v>
      </c>
      <c r="AE464" s="2">
        <f>VLOOKUP([jobnumber],OvalData[],MATCH(Table2[[#Headers],[Grille First Tube]],Table2[#Headers],0),0)</f>
        <v>0</v>
      </c>
      <c r="AF464" s="2">
        <f>VLOOKUP([jobnumber],OvalData[],MATCH(Table2[[#Headers],[Grille Standard Tube]],Table2[#Headers],0),0)</f>
        <v>0</v>
      </c>
      <c r="AG464" s="2">
        <f>VLOOKUP([jobnumber],OvalData[],MATCH(Table2[[#Headers],[Grille Total Links]],Table2[#Headers],0),0)</f>
        <v>0</v>
      </c>
      <c r="AH464" s="2">
        <f>VLOOKUP([jobnumber],OvalData[],MATCH(Table2[[#Headers],[Grille Rods]],Table2[#Headers],0),0)</f>
        <v>0</v>
      </c>
      <c r="AI464" s="2">
        <f>VLOOKUP([jobnumber],OvalData[],MATCH(Table2[[#Headers],[Grille Rod Length]],Table2[#Headers],0),0)</f>
        <v>0</v>
      </c>
      <c r="AJ464" s="2">
        <f>VLOOKUP([jobnumber],OvalData[],MATCH(Table2[[#Headers],[slattype]],Table2[#Headers],0),0)</f>
        <v>2</v>
      </c>
      <c r="AK464" s="2">
        <f>VLOOKUP([jobnumber],OvalData[],MATCH(Table2[[#Headers],[slatgage]],Table2[#Headers],0),0)</f>
        <v>18</v>
      </c>
      <c r="AL464" s="2">
        <f>VLOOKUP([jobnumber],OvalData[],MATCH(Table2[[#Headers],[Numer of Top Slats]],Table2[#Headers],0),0)</f>
        <v>0</v>
      </c>
      <c r="AM464" s="2">
        <f>VLOOKUP([jobnumber],OvalData[],MATCH(Table2[[#Headers],[Number of Bottom Slats]],Table2[#Headers],0),0)</f>
        <v>0</v>
      </c>
      <c r="AN464" s="2">
        <f>VLOOKUP([jobnumber],OvalData[],MATCH(Table2[[#Headers],[Solid Bottom Height]],Table2[#Headers],0),0)</f>
        <v>0</v>
      </c>
      <c r="AO464" s="2" t="str">
        <f>VLOOKUP([jobnumber],OvalData[],MATCH(Table2[[#Headers],[slatlength]],Table2[#Headers],0),0)</f>
        <v xml:space="preserve"> 18 ft.- 5 7/ 8"</v>
      </c>
      <c r="AP464" s="2">
        <f>VLOOKUP([jobnumber],OvalData[],MATCH(Table2[[#Headers],[Bottom Slat Length]],Table2[#Headers],0),0)</f>
        <v>0</v>
      </c>
      <c r="AQ464" s="2">
        <f>VLOOKUP([jobnumber],OvalData[],MATCH(Table2[[#Headers],[Number of Perferated Slats]],Table2[#Headers],0),0)</f>
        <v>0</v>
      </c>
      <c r="AR464" s="2">
        <f>VLOOKUP([jobnumber],OvalData[],MATCH(Table2[[#Headers],[First Preferated Slat From End]],Table2[#Headers],0),0)</f>
        <v>0</v>
      </c>
      <c r="AS464" s="2">
        <f>VLOOKUP([jobnumber],OvalData[],MATCH(Table2[[#Headers],[First Preferated Slat From Bottom]],Table2[#Headers],0),0)</f>
        <v>0</v>
      </c>
      <c r="AT464" s="2">
        <f>VLOOKUP([jobnumber],OvalData[],MATCH(Table2[[#Headers],[Total Number of Slats]],Table2[#Headers],0),0)</f>
        <v>51</v>
      </c>
      <c r="AU464" s="2">
        <f>VLOOKUP([jobnumber],OvalData[],MATCH(Table2[[#Headers],[Bottom Bar Slope]],Table2[#Headers],0),0)</f>
        <v>0</v>
      </c>
      <c r="AV464" s="2">
        <f>VLOOKUP([jobnumber],OvalData[],MATCH(Table2[[#Headers],[Bottom Bar Weight]],Table2[#Headers],0),0)</f>
        <v>80.5</v>
      </c>
      <c r="AW464" s="2" t="str">
        <f>VLOOKUP([jobnumber],OvalData[],MATCH(Table2[[#Headers],[Outer Spring Gage]],Table2[#Headers],0),0)</f>
        <v>Null</v>
      </c>
      <c r="AX464" s="2" t="str">
        <f>VLOOKUP([jobnumber],OvalData[],MATCH(Table2[[#Headers],[Outer Spring OD]],Table2[#Headers],0),0)</f>
        <v>Null</v>
      </c>
      <c r="AY464" s="2" t="str">
        <f>VLOOKUP([jobnumber],OvalData[],MATCH(Table2[[#Headers],[Outer Spring Length]],Table2[#Headers],0),0)</f>
        <v>Null</v>
      </c>
      <c r="AZ464" s="2" t="str">
        <f>VLOOKUP([jobnumber],OvalData[],MATCH(Table2[[#Headers],[Outer Spring Stretch]],Table2[#Headers],0),0)</f>
        <v>Null</v>
      </c>
      <c r="BA464" s="2" t="str">
        <f>VLOOKUP([jobnumber],OvalData[],MATCH(Table2[[#Headers],[Outer Spring Torque]],Table2[#Headers],0),0)</f>
        <v>Null</v>
      </c>
      <c r="BB464" s="2" t="str">
        <f>VLOOKUP([jobnumber],OvalData[],MATCH(Table2[[#Headers],[Outer Spring Max Turns]],Table2[#Headers],0),0)</f>
        <v>Null</v>
      </c>
      <c r="BC464" s="2" t="str">
        <f>VLOOKUP([jobnumber],OvalData[],MATCH(Table2[[#Headers],[Outer Spring Weight]],Table2[#Headers],0),0)</f>
        <v>Null</v>
      </c>
      <c r="BD464" s="2" t="str">
        <f>VLOOKUP([jobnumber],OvalData[],MATCH(Table2[[#Headers],[Inner Spring Gage]],Table2[#Headers],0),0)</f>
        <v>Null</v>
      </c>
      <c r="BE464" s="2" t="str">
        <f>VLOOKUP([jobnumber],OvalData[],MATCH(Table2[[#Headers],[Inner Spring OD]],Table2[#Headers],0),0)</f>
        <v>Null</v>
      </c>
      <c r="BF464" s="2" t="str">
        <f>VLOOKUP([jobnumber],OvalData[],MATCH(Table2[[#Headers],[Inner Spring Length]],Table2[#Headers],0),0)</f>
        <v>Null</v>
      </c>
      <c r="BG464" s="2" t="str">
        <f>VLOOKUP([jobnumber],OvalData[],MATCH(Table2[[#Headers],[Inner Spring Stretch]],Table2[#Headers],0),0)</f>
        <v>Null</v>
      </c>
      <c r="BH464" s="2" t="str">
        <f>VLOOKUP([jobnumber],OvalData[],MATCH(Table2[[#Headers],[Inner Spring Torque]],Table2[#Headers],0),0)</f>
        <v>Null</v>
      </c>
      <c r="BI464" s="2" t="str">
        <f>VLOOKUP([jobnumber],OvalData[],MATCH(Table2[[#Headers],[Inner Spring Max Turns]],Table2[#Headers],0),0)</f>
        <v>Null</v>
      </c>
      <c r="BJ464" s="2" t="str">
        <f>VLOOKUP([jobnumber],OvalData[],MATCH(Table2[[#Headers],[Inner Spring Weight]],Table2[#Headers],0),0)</f>
        <v>Null</v>
      </c>
      <c r="BK464" s="2">
        <f>VLOOKUP([jobnumber],OvalData[],MATCH(Table2[[#Headers],[Cycles]],Table2[#Headers],0),0)</f>
        <v>0</v>
      </c>
      <c r="BL464" s="2">
        <f>VLOOKUP([jobnumber],OvalData[],MATCH(Table2[[#Headers],[Total Spring Torque]],Table2[#Headers],0),0)</f>
        <v>0</v>
      </c>
      <c r="BM464" s="2">
        <f>VLOOKUP([jobnumber],OvalData[],MATCH(Table2[[#Headers],[Total Spring Weight]],Table2[#Headers],0),0)</f>
        <v>0</v>
      </c>
      <c r="BN464" s="2">
        <f>VLOOKUP([jobnumber],OvalData[],MATCH(Table2[[#Headers],[Pipe Weight]],Table2[#Headers],0),0)</f>
        <v>688.24239999999998</v>
      </c>
      <c r="BO464" s="2">
        <f>VLOOKUP([jobnumber],OvalData[],MATCH(Table2[[#Headers],[Max Pipe Deflection]],Table2[#Headers],0),0)</f>
        <v>2309</v>
      </c>
      <c r="BP464" s="2">
        <f>VLOOKUP([jobnumber],OvalData[],MATCH(Table2[[#Headers],[Number Non-Insulated Wrap Slats]],Table2[#Headers],0),0)</f>
        <v>0</v>
      </c>
      <c r="BQ464" s="2">
        <f>VLOOKUP([jobnumber],OvalData[],MATCH(Table2[[#Headers],[Number of Insolated Top Slats]],Table2[#Headers],0),0)</f>
        <v>45</v>
      </c>
      <c r="BR464" s="2">
        <f>VLOOKUP([jobnumber],OvalData[],MATCH(Table2[[#Headers],[Insolated Total Slats]],Table2[#Headers],0),0)</f>
        <v>45</v>
      </c>
      <c r="BS464" s="2">
        <f>VLOOKUP([jobnumber],OvalData[],MATCH(Table2[[#Headers],[Number of Slats]],Table2[#Headers],0),0)</f>
        <v>44.69</v>
      </c>
      <c r="BT464" s="2">
        <f>VLOOKUP([jobnumber],OvalData[],MATCH(Table2[[#Headers],[Wrap]],Table2[#Headers],0),0)</f>
        <v>0</v>
      </c>
      <c r="BU464" s="2">
        <f>VLOOKUP([jobnumber],OvalData[],MATCH(Table2[[#Headers],[Wall Angle Thickness]],Table2[#Headers],0),0)</f>
        <v>0</v>
      </c>
      <c r="BV464" s="2">
        <f>VLOOKUP([jobnumber],OvalData[],MATCH(Table2[[#Headers],[windlocks]],Table2[#Headers],0),0)</f>
        <v>0</v>
      </c>
      <c r="BW464" s="2" t="str">
        <f>VLOOKUP([jobnumber],OvalData[],MATCH(Table2[[#Headers],[bottombartype]],Table2[#Headers],0),0)</f>
        <v>SPECIAL</v>
      </c>
      <c r="BX464" s="2">
        <f>VLOOKUP([jobnumber],OvalData[],MATCH(Table2[[#Headers],[endlockweight]],Table2[#Headers],0),0)</f>
        <v>0.17</v>
      </c>
      <c r="BY464" s="2">
        <f>VLOOKUP([jobnumber],OvalData[],MATCH(Table2[[#Headers],[Endlock Total Weight]],Table2[#Headers],0),0)</f>
        <v>7.5972999999999997</v>
      </c>
      <c r="BZ464" s="2">
        <f>VLOOKUP([jobnumber],OvalData[],MATCH(Table2[[#Headers],[Grille Weight]],Table2[#Headers],0),0)</f>
        <v>0</v>
      </c>
      <c r="CA464" s="2">
        <f>VLOOKUP([jobnumber],OvalData[],MATCH(Table2[[#Headers],[barrelrings]],Table2[#Headers],0),0)</f>
        <v>1</v>
      </c>
    </row>
    <row r="465" spans="2:79">
      <c r="B465" s="2" t="str">
        <f>VLOOKUP([jobnumber],OvalData[],MATCH(Table2[[#Headers],[Hand]],Table2[#Headers],0),0)</f>
        <v>RH</v>
      </c>
      <c r="C465" s="2" t="str">
        <f>VLOOKUP([jobnumber],OvalData[],MATCH(Table2[[#Headers],[Model]],Table2[#Headers],0),0)</f>
        <v>SFMPP</v>
      </c>
      <c r="D465" s="2" t="str">
        <f>VLOOKUP([jobnumber],OvalData[],MATCH(Table2[[#Headers],[width]],Table2[#Headers],0),0)</f>
        <v xml:space="preserve"> 18 ft.- 2"</v>
      </c>
      <c r="E465" s="2" t="str">
        <f>VLOOKUP([jobnumber],OvalData[],MATCH(Table2[[#Headers],[stopheight]],Table2[#Headers],0),0)</f>
        <v xml:space="preserve"> 10 ft.- 0"</v>
      </c>
      <c r="F465" s="2" t="str">
        <f>VLOOKUP([jobnumber],OvalData[],MATCH(Table2[[#Headers],[Between Brackets]],Table2[#Headers],0),0)</f>
        <v xml:space="preserve"> 18 ft.- 7 7/ 8"</v>
      </c>
      <c r="G465" s="2" t="str">
        <f>VLOOKUP([jobnumber],OvalData[],MATCH(Table2[[#Headers],[shell]],Table2[#Headers],0),0)</f>
        <v>6 INCH TUBE</v>
      </c>
      <c r="H465" s="2" t="str">
        <f>VLOOKUP([jobnumber],OvalData[],MATCH(Table2[[#Headers],[pipewidth]],Table2[#Headers],0),0)</f>
        <v xml:space="preserve"> 18 ft.- 1 3/ 8"</v>
      </c>
      <c r="I465" s="2">
        <f>VLOOKUP([jobnumber],OvalData[],MATCH(Table2[[#Headers],[Support Tubes]],Table2[#Headers],0),0)</f>
        <v>0</v>
      </c>
      <c r="J465" s="2">
        <f>VLOOKUP([jobnumber],OvalData[],MATCH(Table2[[#Headers],[Upset]],Table2[#Headers],0),0)</f>
        <v>2</v>
      </c>
      <c r="K465" s="2" t="str">
        <f>VLOOKUP([jobnumber],OvalData[],MATCH(Table2[[#Headers],[Guide Type]],Table2[#Headers],0),0)</f>
        <v>SN2-4 5/8-E</v>
      </c>
      <c r="L465" s="2" t="str">
        <f>VLOOKUP([jobnumber],OvalData[],MATCH(Table2[[#Headers],[Wall Angle]],Table2[#Headers],0),0)</f>
        <v xml:space="preserve"> 11 ft.- 8"</v>
      </c>
      <c r="M465" s="2" t="str">
        <f>VLOOKUP([jobnumber],OvalData[],MATCH(Table2[[#Headers],[Middle Angle]],Table2[#Headers],0),0)</f>
        <v xml:space="preserve"> 10 ft.- 4 1/ 2"</v>
      </c>
      <c r="N465" s="2" t="str">
        <f>VLOOKUP([jobnumber],OvalData[],MATCH(Table2[[#Headers],[Front Angle]],Table2[#Headers],0),0)</f>
        <v xml:space="preserve"> 10 ft.- 3"</v>
      </c>
      <c r="O465" s="2">
        <f>VLOOKUP([jobnumber],OvalData[],MATCH(Table2[[#Headers],[Pipe Center Line]],Table2[#Headers],0),0)</f>
        <v>131</v>
      </c>
      <c r="P465" s="2">
        <f>VLOOKUP([jobnumber],OvalData[],MATCH(Table2[[#Headers],[Heat Expansion Gap]],Table2[#Headers],0),0)</f>
        <v>0</v>
      </c>
      <c r="Q465" s="2">
        <f>VLOOKUP([jobnumber],OvalData[],MATCH(Table2[[#Headers],[Hanging Weight Closed]],Table2[#Headers],0),0)</f>
        <v>795</v>
      </c>
      <c r="R465" s="2">
        <f>VLOOKUP([jobnumber],OvalData[],MATCH(Table2[[#Headers],[Hanging Weight Open]],Table2[#Headers],0),0)</f>
        <v>140</v>
      </c>
      <c r="S465" s="2">
        <f>VLOOKUP([jobnumber],OvalData[],MATCH(Table2[[#Headers],[Initial Lever Arm]],Table2[#Headers],0),0)</f>
        <v>4.25</v>
      </c>
      <c r="T465" s="2">
        <f>VLOOKUP([jobnumber],OvalData[],MATCH(Table2[[#Headers],[Turns to Raise]],Table2[#Headers],0),0)</f>
        <v>3.5859999999999999</v>
      </c>
      <c r="U465" s="2">
        <f>VLOOKUP([jobnumber],OvalData[],MATCH(Table2[[#Headers],[Final Lever Arm]],Table2[#Headers],0),0)</f>
        <v>6.37</v>
      </c>
      <c r="V465" s="2">
        <f>VLOOKUP([jobnumber],OvalData[],MATCH(Table2[[#Headers],[Torque Required Closed]],Table2[#Headers],0),0)</f>
        <v>3377.9</v>
      </c>
      <c r="W465" s="2">
        <f>VLOOKUP([jobnumber],OvalData[],MATCH(Table2[[#Headers],[Torque Required Open]],Table2[#Headers],0),0)</f>
        <v>892</v>
      </c>
      <c r="X465" s="2">
        <f>VLOOKUP([jobnumber],OvalData[],MATCH(Table2[[#Headers],[Pre Turns]],Table2[#Headers],0),0)</f>
        <v>1.3332999999999999</v>
      </c>
      <c r="Y465" s="2">
        <f>VLOOKUP([jobnumber],OvalData[],MATCH(Table2[[#Headers],[Required Torque Per Turn]],Table2[#Headers],0),0)</f>
        <v>688</v>
      </c>
      <c r="Z465" s="2">
        <f>VLOOKUP([jobnumber],OvalData[],MATCH(Table2[[#Headers],[Total Turns]],Table2[#Headers],0),0)</f>
        <v>4.91</v>
      </c>
      <c r="AA465" s="2">
        <f>VLOOKUP([jobnumber],OvalData[],MATCH(Table2[[#Headers],[Grille Vision Section]],Table2[#Headers],0),0)</f>
        <v>0</v>
      </c>
      <c r="AB465" s="2">
        <f>VLOOKUP([jobnumber],OvalData[],MATCH(Table2[[#Headers],[Grille Amount]],Table2[#Headers],0),0)</f>
        <v>0</v>
      </c>
      <c r="AC465" s="2">
        <f>VLOOKUP([jobnumber],OvalData[],MATCH(Table2[[#Headers],[Grille Center]],Table2[#Headers],0),0)</f>
        <v>0</v>
      </c>
      <c r="AD465" s="2">
        <f>VLOOKUP([jobnumber],OvalData[],MATCH(Table2[[#Headers],[Grille Pattern]],Table2[#Headers],0),0)</f>
        <v>0</v>
      </c>
      <c r="AE465" s="2">
        <f>VLOOKUP([jobnumber],OvalData[],MATCH(Table2[[#Headers],[Grille First Tube]],Table2[#Headers],0),0)</f>
        <v>0</v>
      </c>
      <c r="AF465" s="2">
        <f>VLOOKUP([jobnumber],OvalData[],MATCH(Table2[[#Headers],[Grille Standard Tube]],Table2[#Headers],0),0)</f>
        <v>0</v>
      </c>
      <c r="AG465" s="2">
        <f>VLOOKUP([jobnumber],OvalData[],MATCH(Table2[[#Headers],[Grille Total Links]],Table2[#Headers],0),0)</f>
        <v>0</v>
      </c>
      <c r="AH465" s="2">
        <f>VLOOKUP([jobnumber],OvalData[],MATCH(Table2[[#Headers],[Grille Rods]],Table2[#Headers],0),0)</f>
        <v>0</v>
      </c>
      <c r="AI465" s="2">
        <f>VLOOKUP([jobnumber],OvalData[],MATCH(Table2[[#Headers],[Grille Rod Length]],Table2[#Headers],0),0)</f>
        <v>0</v>
      </c>
      <c r="AJ465" s="2">
        <f>VLOOKUP([jobnumber],OvalData[],MATCH(Table2[[#Headers],[slattype]],Table2[#Headers],0),0)</f>
        <v>2</v>
      </c>
      <c r="AK465" s="2">
        <f>VLOOKUP([jobnumber],OvalData[],MATCH(Table2[[#Headers],[slatgage]],Table2[#Headers],0),0)</f>
        <v>18</v>
      </c>
      <c r="AL465" s="2">
        <f>VLOOKUP([jobnumber],OvalData[],MATCH(Table2[[#Headers],[Numer of Top Slats]],Table2[#Headers],0),0)</f>
        <v>0</v>
      </c>
      <c r="AM465" s="2">
        <f>VLOOKUP([jobnumber],OvalData[],MATCH(Table2[[#Headers],[Number of Bottom Slats]],Table2[#Headers],0),0)</f>
        <v>0</v>
      </c>
      <c r="AN465" s="2">
        <f>VLOOKUP([jobnumber],OvalData[],MATCH(Table2[[#Headers],[Solid Bottom Height]],Table2[#Headers],0),0)</f>
        <v>0</v>
      </c>
      <c r="AO465" s="2" t="str">
        <f>VLOOKUP([jobnumber],OvalData[],MATCH(Table2[[#Headers],[slatlength]],Table2[#Headers],0),0)</f>
        <v xml:space="preserve"> 18 ft.- 5 7/ 8"</v>
      </c>
      <c r="AP465" s="2">
        <f>VLOOKUP([jobnumber],OvalData[],MATCH(Table2[[#Headers],[Bottom Slat Length]],Table2[#Headers],0),0)</f>
        <v>0</v>
      </c>
      <c r="AQ465" s="2">
        <f>VLOOKUP([jobnumber],OvalData[],MATCH(Table2[[#Headers],[Number of Perferated Slats]],Table2[#Headers],0),0)</f>
        <v>0</v>
      </c>
      <c r="AR465" s="2">
        <f>VLOOKUP([jobnumber],OvalData[],MATCH(Table2[[#Headers],[First Preferated Slat From End]],Table2[#Headers],0),0)</f>
        <v>0</v>
      </c>
      <c r="AS465" s="2">
        <f>VLOOKUP([jobnumber],OvalData[],MATCH(Table2[[#Headers],[First Preferated Slat From Bottom]],Table2[#Headers],0),0)</f>
        <v>0</v>
      </c>
      <c r="AT465" s="2">
        <f>VLOOKUP([jobnumber],OvalData[],MATCH(Table2[[#Headers],[Total Number of Slats]],Table2[#Headers],0),0)</f>
        <v>51</v>
      </c>
      <c r="AU465" s="2">
        <f>VLOOKUP([jobnumber],OvalData[],MATCH(Table2[[#Headers],[Bottom Bar Slope]],Table2[#Headers],0),0)</f>
        <v>0</v>
      </c>
      <c r="AV465" s="2">
        <f>VLOOKUP([jobnumber],OvalData[],MATCH(Table2[[#Headers],[Bottom Bar Weight]],Table2[#Headers],0),0)</f>
        <v>80.5</v>
      </c>
      <c r="AW465" s="2" t="str">
        <f>VLOOKUP([jobnumber],OvalData[],MATCH(Table2[[#Headers],[Outer Spring Gage]],Table2[#Headers],0),0)</f>
        <v>Null</v>
      </c>
      <c r="AX465" s="2" t="str">
        <f>VLOOKUP([jobnumber],OvalData[],MATCH(Table2[[#Headers],[Outer Spring OD]],Table2[#Headers],0),0)</f>
        <v>Null</v>
      </c>
      <c r="AY465" s="2" t="str">
        <f>VLOOKUP([jobnumber],OvalData[],MATCH(Table2[[#Headers],[Outer Spring Length]],Table2[#Headers],0),0)</f>
        <v>Null</v>
      </c>
      <c r="AZ465" s="2" t="str">
        <f>VLOOKUP([jobnumber],OvalData[],MATCH(Table2[[#Headers],[Outer Spring Stretch]],Table2[#Headers],0),0)</f>
        <v>Null</v>
      </c>
      <c r="BA465" s="2" t="str">
        <f>VLOOKUP([jobnumber],OvalData[],MATCH(Table2[[#Headers],[Outer Spring Torque]],Table2[#Headers],0),0)</f>
        <v>Null</v>
      </c>
      <c r="BB465" s="2" t="str">
        <f>VLOOKUP([jobnumber],OvalData[],MATCH(Table2[[#Headers],[Outer Spring Max Turns]],Table2[#Headers],0),0)</f>
        <v>Null</v>
      </c>
      <c r="BC465" s="2" t="str">
        <f>VLOOKUP([jobnumber],OvalData[],MATCH(Table2[[#Headers],[Outer Spring Weight]],Table2[#Headers],0),0)</f>
        <v>Null</v>
      </c>
      <c r="BD465" s="2" t="str">
        <f>VLOOKUP([jobnumber],OvalData[],MATCH(Table2[[#Headers],[Inner Spring Gage]],Table2[#Headers],0),0)</f>
        <v>Null</v>
      </c>
      <c r="BE465" s="2" t="str">
        <f>VLOOKUP([jobnumber],OvalData[],MATCH(Table2[[#Headers],[Inner Spring OD]],Table2[#Headers],0),0)</f>
        <v>Null</v>
      </c>
      <c r="BF465" s="2" t="str">
        <f>VLOOKUP([jobnumber],OvalData[],MATCH(Table2[[#Headers],[Inner Spring Length]],Table2[#Headers],0),0)</f>
        <v>Null</v>
      </c>
      <c r="BG465" s="2" t="str">
        <f>VLOOKUP([jobnumber],OvalData[],MATCH(Table2[[#Headers],[Inner Spring Stretch]],Table2[#Headers],0),0)</f>
        <v>Null</v>
      </c>
      <c r="BH465" s="2" t="str">
        <f>VLOOKUP([jobnumber],OvalData[],MATCH(Table2[[#Headers],[Inner Spring Torque]],Table2[#Headers],0),0)</f>
        <v>Null</v>
      </c>
      <c r="BI465" s="2" t="str">
        <f>VLOOKUP([jobnumber],OvalData[],MATCH(Table2[[#Headers],[Inner Spring Max Turns]],Table2[#Headers],0),0)</f>
        <v>Null</v>
      </c>
      <c r="BJ465" s="2" t="str">
        <f>VLOOKUP([jobnumber],OvalData[],MATCH(Table2[[#Headers],[Inner Spring Weight]],Table2[#Headers],0),0)</f>
        <v>Null</v>
      </c>
      <c r="BK465" s="2">
        <f>VLOOKUP([jobnumber],OvalData[],MATCH(Table2[[#Headers],[Cycles]],Table2[#Headers],0),0)</f>
        <v>0</v>
      </c>
      <c r="BL465" s="2">
        <f>VLOOKUP([jobnumber],OvalData[],MATCH(Table2[[#Headers],[Total Spring Torque]],Table2[#Headers],0),0)</f>
        <v>0</v>
      </c>
      <c r="BM465" s="2">
        <f>VLOOKUP([jobnumber],OvalData[],MATCH(Table2[[#Headers],[Total Spring Weight]],Table2[#Headers],0),0)</f>
        <v>0</v>
      </c>
      <c r="BN465" s="2">
        <f>VLOOKUP([jobnumber],OvalData[],MATCH(Table2[[#Headers],[Pipe Weight]],Table2[#Headers],0),0)</f>
        <v>688.24239999999998</v>
      </c>
      <c r="BO465" s="2">
        <f>VLOOKUP([jobnumber],OvalData[],MATCH(Table2[[#Headers],[Max Pipe Deflection]],Table2[#Headers],0),0)</f>
        <v>2309</v>
      </c>
      <c r="BP465" s="2">
        <f>VLOOKUP([jobnumber],OvalData[],MATCH(Table2[[#Headers],[Number Non-Insulated Wrap Slats]],Table2[#Headers],0),0)</f>
        <v>0</v>
      </c>
      <c r="BQ465" s="2">
        <f>VLOOKUP([jobnumber],OvalData[],MATCH(Table2[[#Headers],[Number of Insolated Top Slats]],Table2[#Headers],0),0)</f>
        <v>45</v>
      </c>
      <c r="BR465" s="2">
        <f>VLOOKUP([jobnumber],OvalData[],MATCH(Table2[[#Headers],[Insolated Total Slats]],Table2[#Headers],0),0)</f>
        <v>45</v>
      </c>
      <c r="BS465" s="2">
        <f>VLOOKUP([jobnumber],OvalData[],MATCH(Table2[[#Headers],[Number of Slats]],Table2[#Headers],0),0)</f>
        <v>44.69</v>
      </c>
      <c r="BT465" s="2">
        <f>VLOOKUP([jobnumber],OvalData[],MATCH(Table2[[#Headers],[Wrap]],Table2[#Headers],0),0)</f>
        <v>0</v>
      </c>
      <c r="BU465" s="2">
        <f>VLOOKUP([jobnumber],OvalData[],MATCH(Table2[[#Headers],[Wall Angle Thickness]],Table2[#Headers],0),0)</f>
        <v>0</v>
      </c>
      <c r="BV465" s="2">
        <f>VLOOKUP([jobnumber],OvalData[],MATCH(Table2[[#Headers],[windlocks]],Table2[#Headers],0),0)</f>
        <v>0</v>
      </c>
      <c r="BW465" s="2" t="str">
        <f>VLOOKUP([jobnumber],OvalData[],MATCH(Table2[[#Headers],[bottombartype]],Table2[#Headers],0),0)</f>
        <v>SPECIAL</v>
      </c>
      <c r="BX465" s="2">
        <f>VLOOKUP([jobnumber],OvalData[],MATCH(Table2[[#Headers],[endlockweight]],Table2[#Headers],0),0)</f>
        <v>0.17</v>
      </c>
      <c r="BY465" s="2">
        <f>VLOOKUP([jobnumber],OvalData[],MATCH(Table2[[#Headers],[Endlock Total Weight]],Table2[#Headers],0),0)</f>
        <v>7.5972999999999997</v>
      </c>
      <c r="BZ465" s="2">
        <f>VLOOKUP([jobnumber],OvalData[],MATCH(Table2[[#Headers],[Grille Weight]],Table2[#Headers],0),0)</f>
        <v>0</v>
      </c>
      <c r="CA465" s="2">
        <f>VLOOKUP([jobnumber],OvalData[],MATCH(Table2[[#Headers],[barrelrings]],Table2[#Headers],0),0)</f>
        <v>1</v>
      </c>
    </row>
    <row r="466" spans="2:79">
      <c r="B466" s="2" t="str">
        <f>VLOOKUP([jobnumber],OvalData[],MATCH(Table2[[#Headers],[Hand]],Table2[#Headers],0),0)</f>
        <v>RH</v>
      </c>
      <c r="C466" s="2" t="str">
        <f>VLOOKUP([jobnumber],OvalData[],MATCH(Table2[[#Headers],[Model]],Table2[#Headers],0),0)</f>
        <v>SFMPP</v>
      </c>
      <c r="D466" s="2" t="str">
        <f>VLOOKUP([jobnumber],OvalData[],MATCH(Table2[[#Headers],[width]],Table2[#Headers],0),0)</f>
        <v xml:space="preserve"> 18 ft.- 2"</v>
      </c>
      <c r="E466" s="2" t="str">
        <f>VLOOKUP([jobnumber],OvalData[],MATCH(Table2[[#Headers],[stopheight]],Table2[#Headers],0),0)</f>
        <v xml:space="preserve"> 10 ft.- 0"</v>
      </c>
      <c r="F466" s="2" t="str">
        <f>VLOOKUP([jobnumber],OvalData[],MATCH(Table2[[#Headers],[Between Brackets]],Table2[#Headers],0),0)</f>
        <v xml:space="preserve"> 18 ft.- 7 7/ 8"</v>
      </c>
      <c r="G466" s="2" t="str">
        <f>VLOOKUP([jobnumber],OvalData[],MATCH(Table2[[#Headers],[shell]],Table2[#Headers],0),0)</f>
        <v>6 INCH TUBE</v>
      </c>
      <c r="H466" s="2" t="str">
        <f>VLOOKUP([jobnumber],OvalData[],MATCH(Table2[[#Headers],[pipewidth]],Table2[#Headers],0),0)</f>
        <v xml:space="preserve"> 18 ft.- 1 3/ 8"</v>
      </c>
      <c r="I466" s="2">
        <f>VLOOKUP([jobnumber],OvalData[],MATCH(Table2[[#Headers],[Support Tubes]],Table2[#Headers],0),0)</f>
        <v>0</v>
      </c>
      <c r="J466" s="2">
        <f>VLOOKUP([jobnumber],OvalData[],MATCH(Table2[[#Headers],[Upset]],Table2[#Headers],0),0)</f>
        <v>2</v>
      </c>
      <c r="K466" s="2" t="str">
        <f>VLOOKUP([jobnumber],OvalData[],MATCH(Table2[[#Headers],[Guide Type]],Table2[#Headers],0),0)</f>
        <v>SN2-4 5/8-E</v>
      </c>
      <c r="L466" s="2" t="str">
        <f>VLOOKUP([jobnumber],OvalData[],MATCH(Table2[[#Headers],[Wall Angle]],Table2[#Headers],0),0)</f>
        <v xml:space="preserve"> 11 ft.- 8"</v>
      </c>
      <c r="M466" s="2" t="str">
        <f>VLOOKUP([jobnumber],OvalData[],MATCH(Table2[[#Headers],[Middle Angle]],Table2[#Headers],0),0)</f>
        <v xml:space="preserve"> 10 ft.- 4 1/ 2"</v>
      </c>
      <c r="N466" s="2" t="str">
        <f>VLOOKUP([jobnumber],OvalData[],MATCH(Table2[[#Headers],[Front Angle]],Table2[#Headers],0),0)</f>
        <v xml:space="preserve"> 10 ft.- 3"</v>
      </c>
      <c r="O466" s="2">
        <f>VLOOKUP([jobnumber],OvalData[],MATCH(Table2[[#Headers],[Pipe Center Line]],Table2[#Headers],0),0)</f>
        <v>131</v>
      </c>
      <c r="P466" s="2">
        <f>VLOOKUP([jobnumber],OvalData[],MATCH(Table2[[#Headers],[Heat Expansion Gap]],Table2[#Headers],0),0)</f>
        <v>0</v>
      </c>
      <c r="Q466" s="2">
        <f>VLOOKUP([jobnumber],OvalData[],MATCH(Table2[[#Headers],[Hanging Weight Closed]],Table2[#Headers],0),0)</f>
        <v>795</v>
      </c>
      <c r="R466" s="2">
        <f>VLOOKUP([jobnumber],OvalData[],MATCH(Table2[[#Headers],[Hanging Weight Open]],Table2[#Headers],0),0)</f>
        <v>140</v>
      </c>
      <c r="S466" s="2">
        <f>VLOOKUP([jobnumber],OvalData[],MATCH(Table2[[#Headers],[Initial Lever Arm]],Table2[#Headers],0),0)</f>
        <v>4.25</v>
      </c>
      <c r="T466" s="2">
        <f>VLOOKUP([jobnumber],OvalData[],MATCH(Table2[[#Headers],[Turns to Raise]],Table2[#Headers],0),0)</f>
        <v>3.5859999999999999</v>
      </c>
      <c r="U466" s="2">
        <f>VLOOKUP([jobnumber],OvalData[],MATCH(Table2[[#Headers],[Final Lever Arm]],Table2[#Headers],0),0)</f>
        <v>6.37</v>
      </c>
      <c r="V466" s="2">
        <f>VLOOKUP([jobnumber],OvalData[],MATCH(Table2[[#Headers],[Torque Required Closed]],Table2[#Headers],0),0)</f>
        <v>3377.9</v>
      </c>
      <c r="W466" s="2">
        <f>VLOOKUP([jobnumber],OvalData[],MATCH(Table2[[#Headers],[Torque Required Open]],Table2[#Headers],0),0)</f>
        <v>892</v>
      </c>
      <c r="X466" s="2">
        <f>VLOOKUP([jobnumber],OvalData[],MATCH(Table2[[#Headers],[Pre Turns]],Table2[#Headers],0),0)</f>
        <v>1.3332999999999999</v>
      </c>
      <c r="Y466" s="2">
        <f>VLOOKUP([jobnumber],OvalData[],MATCH(Table2[[#Headers],[Required Torque Per Turn]],Table2[#Headers],0),0)</f>
        <v>688</v>
      </c>
      <c r="Z466" s="2">
        <f>VLOOKUP([jobnumber],OvalData[],MATCH(Table2[[#Headers],[Total Turns]],Table2[#Headers],0),0)</f>
        <v>4.91</v>
      </c>
      <c r="AA466" s="2">
        <f>VLOOKUP([jobnumber],OvalData[],MATCH(Table2[[#Headers],[Grille Vision Section]],Table2[#Headers],0),0)</f>
        <v>0</v>
      </c>
      <c r="AB466" s="2">
        <f>VLOOKUP([jobnumber],OvalData[],MATCH(Table2[[#Headers],[Grille Amount]],Table2[#Headers],0),0)</f>
        <v>0</v>
      </c>
      <c r="AC466" s="2">
        <f>VLOOKUP([jobnumber],OvalData[],MATCH(Table2[[#Headers],[Grille Center]],Table2[#Headers],0),0)</f>
        <v>0</v>
      </c>
      <c r="AD466" s="2">
        <f>VLOOKUP([jobnumber],OvalData[],MATCH(Table2[[#Headers],[Grille Pattern]],Table2[#Headers],0),0)</f>
        <v>0</v>
      </c>
      <c r="AE466" s="2">
        <f>VLOOKUP([jobnumber],OvalData[],MATCH(Table2[[#Headers],[Grille First Tube]],Table2[#Headers],0),0)</f>
        <v>0</v>
      </c>
      <c r="AF466" s="2">
        <f>VLOOKUP([jobnumber],OvalData[],MATCH(Table2[[#Headers],[Grille Standard Tube]],Table2[#Headers],0),0)</f>
        <v>0</v>
      </c>
      <c r="AG466" s="2">
        <f>VLOOKUP([jobnumber],OvalData[],MATCH(Table2[[#Headers],[Grille Total Links]],Table2[#Headers],0),0)</f>
        <v>0</v>
      </c>
      <c r="AH466" s="2">
        <f>VLOOKUP([jobnumber],OvalData[],MATCH(Table2[[#Headers],[Grille Rods]],Table2[#Headers],0),0)</f>
        <v>0</v>
      </c>
      <c r="AI466" s="2">
        <f>VLOOKUP([jobnumber],OvalData[],MATCH(Table2[[#Headers],[Grille Rod Length]],Table2[#Headers],0),0)</f>
        <v>0</v>
      </c>
      <c r="AJ466" s="2">
        <f>VLOOKUP([jobnumber],OvalData[],MATCH(Table2[[#Headers],[slattype]],Table2[#Headers],0),0)</f>
        <v>2</v>
      </c>
      <c r="AK466" s="2">
        <f>VLOOKUP([jobnumber],OvalData[],MATCH(Table2[[#Headers],[slatgage]],Table2[#Headers],0),0)</f>
        <v>18</v>
      </c>
      <c r="AL466" s="2">
        <f>VLOOKUP([jobnumber],OvalData[],MATCH(Table2[[#Headers],[Numer of Top Slats]],Table2[#Headers],0),0)</f>
        <v>0</v>
      </c>
      <c r="AM466" s="2">
        <f>VLOOKUP([jobnumber],OvalData[],MATCH(Table2[[#Headers],[Number of Bottom Slats]],Table2[#Headers],0),0)</f>
        <v>0</v>
      </c>
      <c r="AN466" s="2">
        <f>VLOOKUP([jobnumber],OvalData[],MATCH(Table2[[#Headers],[Solid Bottom Height]],Table2[#Headers],0),0)</f>
        <v>0</v>
      </c>
      <c r="AO466" s="2" t="str">
        <f>VLOOKUP([jobnumber],OvalData[],MATCH(Table2[[#Headers],[slatlength]],Table2[#Headers],0),0)</f>
        <v xml:space="preserve"> 18 ft.- 5 7/ 8"</v>
      </c>
      <c r="AP466" s="2">
        <f>VLOOKUP([jobnumber],OvalData[],MATCH(Table2[[#Headers],[Bottom Slat Length]],Table2[#Headers],0),0)</f>
        <v>0</v>
      </c>
      <c r="AQ466" s="2">
        <f>VLOOKUP([jobnumber],OvalData[],MATCH(Table2[[#Headers],[Number of Perferated Slats]],Table2[#Headers],0),0)</f>
        <v>0</v>
      </c>
      <c r="AR466" s="2">
        <f>VLOOKUP([jobnumber],OvalData[],MATCH(Table2[[#Headers],[First Preferated Slat From End]],Table2[#Headers],0),0)</f>
        <v>0</v>
      </c>
      <c r="AS466" s="2">
        <f>VLOOKUP([jobnumber],OvalData[],MATCH(Table2[[#Headers],[First Preferated Slat From Bottom]],Table2[#Headers],0),0)</f>
        <v>0</v>
      </c>
      <c r="AT466" s="2">
        <f>VLOOKUP([jobnumber],OvalData[],MATCH(Table2[[#Headers],[Total Number of Slats]],Table2[#Headers],0),0)</f>
        <v>51</v>
      </c>
      <c r="AU466" s="2">
        <f>VLOOKUP([jobnumber],OvalData[],MATCH(Table2[[#Headers],[Bottom Bar Slope]],Table2[#Headers],0),0)</f>
        <v>0</v>
      </c>
      <c r="AV466" s="2">
        <f>VLOOKUP([jobnumber],OvalData[],MATCH(Table2[[#Headers],[Bottom Bar Weight]],Table2[#Headers],0),0)</f>
        <v>80.5</v>
      </c>
      <c r="AW466" s="2" t="str">
        <f>VLOOKUP([jobnumber],OvalData[],MATCH(Table2[[#Headers],[Outer Spring Gage]],Table2[#Headers],0),0)</f>
        <v>Null</v>
      </c>
      <c r="AX466" s="2" t="str">
        <f>VLOOKUP([jobnumber],OvalData[],MATCH(Table2[[#Headers],[Outer Spring OD]],Table2[#Headers],0),0)</f>
        <v>Null</v>
      </c>
      <c r="AY466" s="2" t="str">
        <f>VLOOKUP([jobnumber],OvalData[],MATCH(Table2[[#Headers],[Outer Spring Length]],Table2[#Headers],0),0)</f>
        <v>Null</v>
      </c>
      <c r="AZ466" s="2" t="str">
        <f>VLOOKUP([jobnumber],OvalData[],MATCH(Table2[[#Headers],[Outer Spring Stretch]],Table2[#Headers],0),0)</f>
        <v>Null</v>
      </c>
      <c r="BA466" s="2" t="str">
        <f>VLOOKUP([jobnumber],OvalData[],MATCH(Table2[[#Headers],[Outer Spring Torque]],Table2[#Headers],0),0)</f>
        <v>Null</v>
      </c>
      <c r="BB466" s="2" t="str">
        <f>VLOOKUP([jobnumber],OvalData[],MATCH(Table2[[#Headers],[Outer Spring Max Turns]],Table2[#Headers],0),0)</f>
        <v>Null</v>
      </c>
      <c r="BC466" s="2" t="str">
        <f>VLOOKUP([jobnumber],OvalData[],MATCH(Table2[[#Headers],[Outer Spring Weight]],Table2[#Headers],0),0)</f>
        <v>Null</v>
      </c>
      <c r="BD466" s="2" t="str">
        <f>VLOOKUP([jobnumber],OvalData[],MATCH(Table2[[#Headers],[Inner Spring Gage]],Table2[#Headers],0),0)</f>
        <v>Null</v>
      </c>
      <c r="BE466" s="2" t="str">
        <f>VLOOKUP([jobnumber],OvalData[],MATCH(Table2[[#Headers],[Inner Spring OD]],Table2[#Headers],0),0)</f>
        <v>Null</v>
      </c>
      <c r="BF466" s="2" t="str">
        <f>VLOOKUP([jobnumber],OvalData[],MATCH(Table2[[#Headers],[Inner Spring Length]],Table2[#Headers],0),0)</f>
        <v>Null</v>
      </c>
      <c r="BG466" s="2" t="str">
        <f>VLOOKUP([jobnumber],OvalData[],MATCH(Table2[[#Headers],[Inner Spring Stretch]],Table2[#Headers],0),0)</f>
        <v>Null</v>
      </c>
      <c r="BH466" s="2" t="str">
        <f>VLOOKUP([jobnumber],OvalData[],MATCH(Table2[[#Headers],[Inner Spring Torque]],Table2[#Headers],0),0)</f>
        <v>Null</v>
      </c>
      <c r="BI466" s="2" t="str">
        <f>VLOOKUP([jobnumber],OvalData[],MATCH(Table2[[#Headers],[Inner Spring Max Turns]],Table2[#Headers],0),0)</f>
        <v>Null</v>
      </c>
      <c r="BJ466" s="2" t="str">
        <f>VLOOKUP([jobnumber],OvalData[],MATCH(Table2[[#Headers],[Inner Spring Weight]],Table2[#Headers],0),0)</f>
        <v>Null</v>
      </c>
      <c r="BK466" s="2">
        <f>VLOOKUP([jobnumber],OvalData[],MATCH(Table2[[#Headers],[Cycles]],Table2[#Headers],0),0)</f>
        <v>0</v>
      </c>
      <c r="BL466" s="2">
        <f>VLOOKUP([jobnumber],OvalData[],MATCH(Table2[[#Headers],[Total Spring Torque]],Table2[#Headers],0),0)</f>
        <v>0</v>
      </c>
      <c r="BM466" s="2">
        <f>VLOOKUP([jobnumber],OvalData[],MATCH(Table2[[#Headers],[Total Spring Weight]],Table2[#Headers],0),0)</f>
        <v>0</v>
      </c>
      <c r="BN466" s="2">
        <f>VLOOKUP([jobnumber],OvalData[],MATCH(Table2[[#Headers],[Pipe Weight]],Table2[#Headers],0),0)</f>
        <v>688.24239999999998</v>
      </c>
      <c r="BO466" s="2">
        <f>VLOOKUP([jobnumber],OvalData[],MATCH(Table2[[#Headers],[Max Pipe Deflection]],Table2[#Headers],0),0)</f>
        <v>2309</v>
      </c>
      <c r="BP466" s="2">
        <f>VLOOKUP([jobnumber],OvalData[],MATCH(Table2[[#Headers],[Number Non-Insulated Wrap Slats]],Table2[#Headers],0),0)</f>
        <v>0</v>
      </c>
      <c r="BQ466" s="2">
        <f>VLOOKUP([jobnumber],OvalData[],MATCH(Table2[[#Headers],[Number of Insolated Top Slats]],Table2[#Headers],0),0)</f>
        <v>45</v>
      </c>
      <c r="BR466" s="2">
        <f>VLOOKUP([jobnumber],OvalData[],MATCH(Table2[[#Headers],[Insolated Total Slats]],Table2[#Headers],0),0)</f>
        <v>45</v>
      </c>
      <c r="BS466" s="2">
        <f>VLOOKUP([jobnumber],OvalData[],MATCH(Table2[[#Headers],[Number of Slats]],Table2[#Headers],0),0)</f>
        <v>44.69</v>
      </c>
      <c r="BT466" s="2">
        <f>VLOOKUP([jobnumber],OvalData[],MATCH(Table2[[#Headers],[Wrap]],Table2[#Headers],0),0)</f>
        <v>0</v>
      </c>
      <c r="BU466" s="2">
        <f>VLOOKUP([jobnumber],OvalData[],MATCH(Table2[[#Headers],[Wall Angle Thickness]],Table2[#Headers],0),0)</f>
        <v>0</v>
      </c>
      <c r="BV466" s="2">
        <f>VLOOKUP([jobnumber],OvalData[],MATCH(Table2[[#Headers],[windlocks]],Table2[#Headers],0),0)</f>
        <v>0</v>
      </c>
      <c r="BW466" s="2" t="str">
        <f>VLOOKUP([jobnumber],OvalData[],MATCH(Table2[[#Headers],[bottombartype]],Table2[#Headers],0),0)</f>
        <v>SPECIAL</v>
      </c>
      <c r="BX466" s="2">
        <f>VLOOKUP([jobnumber],OvalData[],MATCH(Table2[[#Headers],[endlockweight]],Table2[#Headers],0),0)</f>
        <v>0.17</v>
      </c>
      <c r="BY466" s="2">
        <f>VLOOKUP([jobnumber],OvalData[],MATCH(Table2[[#Headers],[Endlock Total Weight]],Table2[#Headers],0),0)</f>
        <v>7.5972999999999997</v>
      </c>
      <c r="BZ466" s="2">
        <f>VLOOKUP([jobnumber],OvalData[],MATCH(Table2[[#Headers],[Grille Weight]],Table2[#Headers],0),0)</f>
        <v>0</v>
      </c>
      <c r="CA466" s="2">
        <f>VLOOKUP([jobnumber],OvalData[],MATCH(Table2[[#Headers],[barrelrings]],Table2[#Headers],0),0)</f>
        <v>1</v>
      </c>
    </row>
    <row r="467" spans="2:79">
      <c r="B467" s="2" t="str">
        <f>VLOOKUP([jobnumber],OvalData[],MATCH(Table2[[#Headers],[Hand]],Table2[#Headers],0),0)</f>
        <v>RH</v>
      </c>
      <c r="C467" s="2" t="str">
        <f>VLOOKUP([jobnumber],OvalData[],MATCH(Table2[[#Headers],[Model]],Table2[#Headers],0),0)</f>
        <v>SFMPP</v>
      </c>
      <c r="D467" s="2" t="str">
        <f>VLOOKUP([jobnumber],OvalData[],MATCH(Table2[[#Headers],[width]],Table2[#Headers],0),0)</f>
        <v xml:space="preserve"> 18 ft.- 2"</v>
      </c>
      <c r="E467" s="2" t="str">
        <f>VLOOKUP([jobnumber],OvalData[],MATCH(Table2[[#Headers],[stopheight]],Table2[#Headers],0),0)</f>
        <v xml:space="preserve"> 10 ft.- 0"</v>
      </c>
      <c r="F467" s="2" t="str">
        <f>VLOOKUP([jobnumber],OvalData[],MATCH(Table2[[#Headers],[Between Brackets]],Table2[#Headers],0),0)</f>
        <v xml:space="preserve"> 18 ft.- 7 7/ 8"</v>
      </c>
      <c r="G467" s="2" t="str">
        <f>VLOOKUP([jobnumber],OvalData[],MATCH(Table2[[#Headers],[shell]],Table2[#Headers],0),0)</f>
        <v>6 INCH TUBE</v>
      </c>
      <c r="H467" s="2" t="str">
        <f>VLOOKUP([jobnumber],OvalData[],MATCH(Table2[[#Headers],[pipewidth]],Table2[#Headers],0),0)</f>
        <v xml:space="preserve"> 18 ft.- 1 3/ 8"</v>
      </c>
      <c r="I467" s="2">
        <f>VLOOKUP([jobnumber],OvalData[],MATCH(Table2[[#Headers],[Support Tubes]],Table2[#Headers],0),0)</f>
        <v>0</v>
      </c>
      <c r="J467" s="2">
        <f>VLOOKUP([jobnumber],OvalData[],MATCH(Table2[[#Headers],[Upset]],Table2[#Headers],0),0)</f>
        <v>2</v>
      </c>
      <c r="K467" s="2" t="str">
        <f>VLOOKUP([jobnumber],OvalData[],MATCH(Table2[[#Headers],[Guide Type]],Table2[#Headers],0),0)</f>
        <v>SN2-4 5/8-E</v>
      </c>
      <c r="L467" s="2" t="str">
        <f>VLOOKUP([jobnumber],OvalData[],MATCH(Table2[[#Headers],[Wall Angle]],Table2[#Headers],0),0)</f>
        <v xml:space="preserve"> 11 ft.- 8"</v>
      </c>
      <c r="M467" s="2" t="str">
        <f>VLOOKUP([jobnumber],OvalData[],MATCH(Table2[[#Headers],[Middle Angle]],Table2[#Headers],0),0)</f>
        <v xml:space="preserve"> 10 ft.- 4 1/ 2"</v>
      </c>
      <c r="N467" s="2" t="str">
        <f>VLOOKUP([jobnumber],OvalData[],MATCH(Table2[[#Headers],[Front Angle]],Table2[#Headers],0),0)</f>
        <v xml:space="preserve"> 10 ft.- 3"</v>
      </c>
      <c r="O467" s="2">
        <f>VLOOKUP([jobnumber],OvalData[],MATCH(Table2[[#Headers],[Pipe Center Line]],Table2[#Headers],0),0)</f>
        <v>131</v>
      </c>
      <c r="P467" s="2">
        <f>VLOOKUP([jobnumber],OvalData[],MATCH(Table2[[#Headers],[Heat Expansion Gap]],Table2[#Headers],0),0)</f>
        <v>0</v>
      </c>
      <c r="Q467" s="2">
        <f>VLOOKUP([jobnumber],OvalData[],MATCH(Table2[[#Headers],[Hanging Weight Closed]],Table2[#Headers],0),0)</f>
        <v>795</v>
      </c>
      <c r="R467" s="2">
        <f>VLOOKUP([jobnumber],OvalData[],MATCH(Table2[[#Headers],[Hanging Weight Open]],Table2[#Headers],0),0)</f>
        <v>140</v>
      </c>
      <c r="S467" s="2">
        <f>VLOOKUP([jobnumber],OvalData[],MATCH(Table2[[#Headers],[Initial Lever Arm]],Table2[#Headers],0),0)</f>
        <v>4.25</v>
      </c>
      <c r="T467" s="2">
        <f>VLOOKUP([jobnumber],OvalData[],MATCH(Table2[[#Headers],[Turns to Raise]],Table2[#Headers],0),0)</f>
        <v>3.5859999999999999</v>
      </c>
      <c r="U467" s="2">
        <f>VLOOKUP([jobnumber],OvalData[],MATCH(Table2[[#Headers],[Final Lever Arm]],Table2[#Headers],0),0)</f>
        <v>6.37</v>
      </c>
      <c r="V467" s="2">
        <f>VLOOKUP([jobnumber],OvalData[],MATCH(Table2[[#Headers],[Torque Required Closed]],Table2[#Headers],0),0)</f>
        <v>3377.9</v>
      </c>
      <c r="W467" s="2">
        <f>VLOOKUP([jobnumber],OvalData[],MATCH(Table2[[#Headers],[Torque Required Open]],Table2[#Headers],0),0)</f>
        <v>892</v>
      </c>
      <c r="X467" s="2">
        <f>VLOOKUP([jobnumber],OvalData[],MATCH(Table2[[#Headers],[Pre Turns]],Table2[#Headers],0),0)</f>
        <v>1.3332999999999999</v>
      </c>
      <c r="Y467" s="2">
        <f>VLOOKUP([jobnumber],OvalData[],MATCH(Table2[[#Headers],[Required Torque Per Turn]],Table2[#Headers],0),0)</f>
        <v>688</v>
      </c>
      <c r="Z467" s="2">
        <f>VLOOKUP([jobnumber],OvalData[],MATCH(Table2[[#Headers],[Total Turns]],Table2[#Headers],0),0)</f>
        <v>4.91</v>
      </c>
      <c r="AA467" s="2">
        <f>VLOOKUP([jobnumber],OvalData[],MATCH(Table2[[#Headers],[Grille Vision Section]],Table2[#Headers],0),0)</f>
        <v>0</v>
      </c>
      <c r="AB467" s="2">
        <f>VLOOKUP([jobnumber],OvalData[],MATCH(Table2[[#Headers],[Grille Amount]],Table2[#Headers],0),0)</f>
        <v>0</v>
      </c>
      <c r="AC467" s="2">
        <f>VLOOKUP([jobnumber],OvalData[],MATCH(Table2[[#Headers],[Grille Center]],Table2[#Headers],0),0)</f>
        <v>0</v>
      </c>
      <c r="AD467" s="2">
        <f>VLOOKUP([jobnumber],OvalData[],MATCH(Table2[[#Headers],[Grille Pattern]],Table2[#Headers],0),0)</f>
        <v>0</v>
      </c>
      <c r="AE467" s="2">
        <f>VLOOKUP([jobnumber],OvalData[],MATCH(Table2[[#Headers],[Grille First Tube]],Table2[#Headers],0),0)</f>
        <v>0</v>
      </c>
      <c r="AF467" s="2">
        <f>VLOOKUP([jobnumber],OvalData[],MATCH(Table2[[#Headers],[Grille Standard Tube]],Table2[#Headers],0),0)</f>
        <v>0</v>
      </c>
      <c r="AG467" s="2">
        <f>VLOOKUP([jobnumber],OvalData[],MATCH(Table2[[#Headers],[Grille Total Links]],Table2[#Headers],0),0)</f>
        <v>0</v>
      </c>
      <c r="AH467" s="2">
        <f>VLOOKUP([jobnumber],OvalData[],MATCH(Table2[[#Headers],[Grille Rods]],Table2[#Headers],0),0)</f>
        <v>0</v>
      </c>
      <c r="AI467" s="2">
        <f>VLOOKUP([jobnumber],OvalData[],MATCH(Table2[[#Headers],[Grille Rod Length]],Table2[#Headers],0),0)</f>
        <v>0</v>
      </c>
      <c r="AJ467" s="2">
        <f>VLOOKUP([jobnumber],OvalData[],MATCH(Table2[[#Headers],[slattype]],Table2[#Headers],0),0)</f>
        <v>2</v>
      </c>
      <c r="AK467" s="2">
        <f>VLOOKUP([jobnumber],OvalData[],MATCH(Table2[[#Headers],[slatgage]],Table2[#Headers],0),0)</f>
        <v>18</v>
      </c>
      <c r="AL467" s="2">
        <f>VLOOKUP([jobnumber],OvalData[],MATCH(Table2[[#Headers],[Numer of Top Slats]],Table2[#Headers],0),0)</f>
        <v>0</v>
      </c>
      <c r="AM467" s="2">
        <f>VLOOKUP([jobnumber],OvalData[],MATCH(Table2[[#Headers],[Number of Bottom Slats]],Table2[#Headers],0),0)</f>
        <v>0</v>
      </c>
      <c r="AN467" s="2">
        <f>VLOOKUP([jobnumber],OvalData[],MATCH(Table2[[#Headers],[Solid Bottom Height]],Table2[#Headers],0),0)</f>
        <v>0</v>
      </c>
      <c r="AO467" s="2" t="str">
        <f>VLOOKUP([jobnumber],OvalData[],MATCH(Table2[[#Headers],[slatlength]],Table2[#Headers],0),0)</f>
        <v xml:space="preserve"> 18 ft.- 5 7/ 8"</v>
      </c>
      <c r="AP467" s="2">
        <f>VLOOKUP([jobnumber],OvalData[],MATCH(Table2[[#Headers],[Bottom Slat Length]],Table2[#Headers],0),0)</f>
        <v>0</v>
      </c>
      <c r="AQ467" s="2">
        <f>VLOOKUP([jobnumber],OvalData[],MATCH(Table2[[#Headers],[Number of Perferated Slats]],Table2[#Headers],0),0)</f>
        <v>0</v>
      </c>
      <c r="AR467" s="2">
        <f>VLOOKUP([jobnumber],OvalData[],MATCH(Table2[[#Headers],[First Preferated Slat From End]],Table2[#Headers],0),0)</f>
        <v>0</v>
      </c>
      <c r="AS467" s="2">
        <f>VLOOKUP([jobnumber],OvalData[],MATCH(Table2[[#Headers],[First Preferated Slat From Bottom]],Table2[#Headers],0),0)</f>
        <v>0</v>
      </c>
      <c r="AT467" s="2">
        <f>VLOOKUP([jobnumber],OvalData[],MATCH(Table2[[#Headers],[Total Number of Slats]],Table2[#Headers],0),0)</f>
        <v>51</v>
      </c>
      <c r="AU467" s="2">
        <f>VLOOKUP([jobnumber],OvalData[],MATCH(Table2[[#Headers],[Bottom Bar Slope]],Table2[#Headers],0),0)</f>
        <v>0</v>
      </c>
      <c r="AV467" s="2">
        <f>VLOOKUP([jobnumber],OvalData[],MATCH(Table2[[#Headers],[Bottom Bar Weight]],Table2[#Headers],0),0)</f>
        <v>80.5</v>
      </c>
      <c r="AW467" s="2" t="str">
        <f>VLOOKUP([jobnumber],OvalData[],MATCH(Table2[[#Headers],[Outer Spring Gage]],Table2[#Headers],0),0)</f>
        <v>Null</v>
      </c>
      <c r="AX467" s="2" t="str">
        <f>VLOOKUP([jobnumber],OvalData[],MATCH(Table2[[#Headers],[Outer Spring OD]],Table2[#Headers],0),0)</f>
        <v>Null</v>
      </c>
      <c r="AY467" s="2" t="str">
        <f>VLOOKUP([jobnumber],OvalData[],MATCH(Table2[[#Headers],[Outer Spring Length]],Table2[#Headers],0),0)</f>
        <v>Null</v>
      </c>
      <c r="AZ467" s="2" t="str">
        <f>VLOOKUP([jobnumber],OvalData[],MATCH(Table2[[#Headers],[Outer Spring Stretch]],Table2[#Headers],0),0)</f>
        <v>Null</v>
      </c>
      <c r="BA467" s="2" t="str">
        <f>VLOOKUP([jobnumber],OvalData[],MATCH(Table2[[#Headers],[Outer Spring Torque]],Table2[#Headers],0),0)</f>
        <v>Null</v>
      </c>
      <c r="BB467" s="2" t="str">
        <f>VLOOKUP([jobnumber],OvalData[],MATCH(Table2[[#Headers],[Outer Spring Max Turns]],Table2[#Headers],0),0)</f>
        <v>Null</v>
      </c>
      <c r="BC467" s="2" t="str">
        <f>VLOOKUP([jobnumber],OvalData[],MATCH(Table2[[#Headers],[Outer Spring Weight]],Table2[#Headers],0),0)</f>
        <v>Null</v>
      </c>
      <c r="BD467" s="2" t="str">
        <f>VLOOKUP([jobnumber],OvalData[],MATCH(Table2[[#Headers],[Inner Spring Gage]],Table2[#Headers],0),0)</f>
        <v>Null</v>
      </c>
      <c r="BE467" s="2" t="str">
        <f>VLOOKUP([jobnumber],OvalData[],MATCH(Table2[[#Headers],[Inner Spring OD]],Table2[#Headers],0),0)</f>
        <v>Null</v>
      </c>
      <c r="BF467" s="2" t="str">
        <f>VLOOKUP([jobnumber],OvalData[],MATCH(Table2[[#Headers],[Inner Spring Length]],Table2[#Headers],0),0)</f>
        <v>Null</v>
      </c>
      <c r="BG467" s="2" t="str">
        <f>VLOOKUP([jobnumber],OvalData[],MATCH(Table2[[#Headers],[Inner Spring Stretch]],Table2[#Headers],0),0)</f>
        <v>Null</v>
      </c>
      <c r="BH467" s="2" t="str">
        <f>VLOOKUP([jobnumber],OvalData[],MATCH(Table2[[#Headers],[Inner Spring Torque]],Table2[#Headers],0),0)</f>
        <v>Null</v>
      </c>
      <c r="BI467" s="2" t="str">
        <f>VLOOKUP([jobnumber],OvalData[],MATCH(Table2[[#Headers],[Inner Spring Max Turns]],Table2[#Headers],0),0)</f>
        <v>Null</v>
      </c>
      <c r="BJ467" s="2" t="str">
        <f>VLOOKUP([jobnumber],OvalData[],MATCH(Table2[[#Headers],[Inner Spring Weight]],Table2[#Headers],0),0)</f>
        <v>Null</v>
      </c>
      <c r="BK467" s="2">
        <f>VLOOKUP([jobnumber],OvalData[],MATCH(Table2[[#Headers],[Cycles]],Table2[#Headers],0),0)</f>
        <v>0</v>
      </c>
      <c r="BL467" s="2">
        <f>VLOOKUP([jobnumber],OvalData[],MATCH(Table2[[#Headers],[Total Spring Torque]],Table2[#Headers],0),0)</f>
        <v>0</v>
      </c>
      <c r="BM467" s="2">
        <f>VLOOKUP([jobnumber],OvalData[],MATCH(Table2[[#Headers],[Total Spring Weight]],Table2[#Headers],0),0)</f>
        <v>0</v>
      </c>
      <c r="BN467" s="2">
        <f>VLOOKUP([jobnumber],OvalData[],MATCH(Table2[[#Headers],[Pipe Weight]],Table2[#Headers],0),0)</f>
        <v>688.24239999999998</v>
      </c>
      <c r="BO467" s="2">
        <f>VLOOKUP([jobnumber],OvalData[],MATCH(Table2[[#Headers],[Max Pipe Deflection]],Table2[#Headers],0),0)</f>
        <v>2309</v>
      </c>
      <c r="BP467" s="2">
        <f>VLOOKUP([jobnumber],OvalData[],MATCH(Table2[[#Headers],[Number Non-Insulated Wrap Slats]],Table2[#Headers],0),0)</f>
        <v>0</v>
      </c>
      <c r="BQ467" s="2">
        <f>VLOOKUP([jobnumber],OvalData[],MATCH(Table2[[#Headers],[Number of Insolated Top Slats]],Table2[#Headers],0),0)</f>
        <v>45</v>
      </c>
      <c r="BR467" s="2">
        <f>VLOOKUP([jobnumber],OvalData[],MATCH(Table2[[#Headers],[Insolated Total Slats]],Table2[#Headers],0),0)</f>
        <v>45</v>
      </c>
      <c r="BS467" s="2">
        <f>VLOOKUP([jobnumber],OvalData[],MATCH(Table2[[#Headers],[Number of Slats]],Table2[#Headers],0),0)</f>
        <v>44.69</v>
      </c>
      <c r="BT467" s="2">
        <f>VLOOKUP([jobnumber],OvalData[],MATCH(Table2[[#Headers],[Wrap]],Table2[#Headers],0),0)</f>
        <v>0</v>
      </c>
      <c r="BU467" s="2">
        <f>VLOOKUP([jobnumber],OvalData[],MATCH(Table2[[#Headers],[Wall Angle Thickness]],Table2[#Headers],0),0)</f>
        <v>0</v>
      </c>
      <c r="BV467" s="2">
        <f>VLOOKUP([jobnumber],OvalData[],MATCH(Table2[[#Headers],[windlocks]],Table2[#Headers],0),0)</f>
        <v>0</v>
      </c>
      <c r="BW467" s="2" t="str">
        <f>VLOOKUP([jobnumber],OvalData[],MATCH(Table2[[#Headers],[bottombartype]],Table2[#Headers],0),0)</f>
        <v>SPECIAL</v>
      </c>
      <c r="BX467" s="2">
        <f>VLOOKUP([jobnumber],OvalData[],MATCH(Table2[[#Headers],[endlockweight]],Table2[#Headers],0),0)</f>
        <v>0.17</v>
      </c>
      <c r="BY467" s="2">
        <f>VLOOKUP([jobnumber],OvalData[],MATCH(Table2[[#Headers],[Endlock Total Weight]],Table2[#Headers],0),0)</f>
        <v>7.5972999999999997</v>
      </c>
      <c r="BZ467" s="2">
        <f>VLOOKUP([jobnumber],OvalData[],MATCH(Table2[[#Headers],[Grille Weight]],Table2[#Headers],0),0)</f>
        <v>0</v>
      </c>
      <c r="CA467" s="2">
        <f>VLOOKUP([jobnumber],OvalData[],MATCH(Table2[[#Headers],[barrelrings]],Table2[#Headers],0),0)</f>
        <v>1</v>
      </c>
    </row>
    <row r="468" spans="2:79">
      <c r="B468" s="2" t="str">
        <f>VLOOKUP([jobnumber],OvalData[],MATCH(Table2[[#Headers],[Hand]],Table2[#Headers],0),0)</f>
        <v>RH</v>
      </c>
      <c r="C468" s="2" t="str">
        <f>VLOOKUP([jobnumber],OvalData[],MATCH(Table2[[#Headers],[Model]],Table2[#Headers],0),0)</f>
        <v>SFMPP</v>
      </c>
      <c r="D468" s="2" t="str">
        <f>VLOOKUP([jobnumber],OvalData[],MATCH(Table2[[#Headers],[width]],Table2[#Headers],0),0)</f>
        <v xml:space="preserve"> 18 ft.- 2"</v>
      </c>
      <c r="E468" s="2" t="str">
        <f>VLOOKUP([jobnumber],OvalData[],MATCH(Table2[[#Headers],[stopheight]],Table2[#Headers],0),0)</f>
        <v xml:space="preserve"> 10 ft.- 0"</v>
      </c>
      <c r="F468" s="2" t="str">
        <f>VLOOKUP([jobnumber],OvalData[],MATCH(Table2[[#Headers],[Between Brackets]],Table2[#Headers],0),0)</f>
        <v xml:space="preserve"> 18 ft.- 7 7/ 8"</v>
      </c>
      <c r="G468" s="2" t="str">
        <f>VLOOKUP([jobnumber],OvalData[],MATCH(Table2[[#Headers],[shell]],Table2[#Headers],0),0)</f>
        <v>6 INCH TUBE</v>
      </c>
      <c r="H468" s="2" t="str">
        <f>VLOOKUP([jobnumber],OvalData[],MATCH(Table2[[#Headers],[pipewidth]],Table2[#Headers],0),0)</f>
        <v xml:space="preserve"> 18 ft.- 1 3/ 8"</v>
      </c>
      <c r="I468" s="2">
        <f>VLOOKUP([jobnumber],OvalData[],MATCH(Table2[[#Headers],[Support Tubes]],Table2[#Headers],0),0)</f>
        <v>0</v>
      </c>
      <c r="J468" s="2">
        <f>VLOOKUP([jobnumber],OvalData[],MATCH(Table2[[#Headers],[Upset]],Table2[#Headers],0),0)</f>
        <v>2</v>
      </c>
      <c r="K468" s="2" t="str">
        <f>VLOOKUP([jobnumber],OvalData[],MATCH(Table2[[#Headers],[Guide Type]],Table2[#Headers],0),0)</f>
        <v>SN2-4 5/8-E</v>
      </c>
      <c r="L468" s="2" t="str">
        <f>VLOOKUP([jobnumber],OvalData[],MATCH(Table2[[#Headers],[Wall Angle]],Table2[#Headers],0),0)</f>
        <v xml:space="preserve"> 11 ft.- 8"</v>
      </c>
      <c r="M468" s="2" t="str">
        <f>VLOOKUP([jobnumber],OvalData[],MATCH(Table2[[#Headers],[Middle Angle]],Table2[#Headers],0),0)</f>
        <v xml:space="preserve"> 10 ft.- 4 1/ 2"</v>
      </c>
      <c r="N468" s="2" t="str">
        <f>VLOOKUP([jobnumber],OvalData[],MATCH(Table2[[#Headers],[Front Angle]],Table2[#Headers],0),0)</f>
        <v xml:space="preserve"> 10 ft.- 3"</v>
      </c>
      <c r="O468" s="2">
        <f>VLOOKUP([jobnumber],OvalData[],MATCH(Table2[[#Headers],[Pipe Center Line]],Table2[#Headers],0),0)</f>
        <v>131</v>
      </c>
      <c r="P468" s="2">
        <f>VLOOKUP([jobnumber],OvalData[],MATCH(Table2[[#Headers],[Heat Expansion Gap]],Table2[#Headers],0),0)</f>
        <v>0</v>
      </c>
      <c r="Q468" s="2">
        <f>VLOOKUP([jobnumber],OvalData[],MATCH(Table2[[#Headers],[Hanging Weight Closed]],Table2[#Headers],0),0)</f>
        <v>795</v>
      </c>
      <c r="R468" s="2">
        <f>VLOOKUP([jobnumber],OvalData[],MATCH(Table2[[#Headers],[Hanging Weight Open]],Table2[#Headers],0),0)</f>
        <v>140</v>
      </c>
      <c r="S468" s="2">
        <f>VLOOKUP([jobnumber],OvalData[],MATCH(Table2[[#Headers],[Initial Lever Arm]],Table2[#Headers],0),0)</f>
        <v>4.25</v>
      </c>
      <c r="T468" s="2">
        <f>VLOOKUP([jobnumber],OvalData[],MATCH(Table2[[#Headers],[Turns to Raise]],Table2[#Headers],0),0)</f>
        <v>3.5859999999999999</v>
      </c>
      <c r="U468" s="2">
        <f>VLOOKUP([jobnumber],OvalData[],MATCH(Table2[[#Headers],[Final Lever Arm]],Table2[#Headers],0),0)</f>
        <v>6.37</v>
      </c>
      <c r="V468" s="2">
        <f>VLOOKUP([jobnumber],OvalData[],MATCH(Table2[[#Headers],[Torque Required Closed]],Table2[#Headers],0),0)</f>
        <v>3377.9</v>
      </c>
      <c r="W468" s="2">
        <f>VLOOKUP([jobnumber],OvalData[],MATCH(Table2[[#Headers],[Torque Required Open]],Table2[#Headers],0),0)</f>
        <v>892</v>
      </c>
      <c r="X468" s="2">
        <f>VLOOKUP([jobnumber],OvalData[],MATCH(Table2[[#Headers],[Pre Turns]],Table2[#Headers],0),0)</f>
        <v>1.3332999999999999</v>
      </c>
      <c r="Y468" s="2">
        <f>VLOOKUP([jobnumber],OvalData[],MATCH(Table2[[#Headers],[Required Torque Per Turn]],Table2[#Headers],0),0)</f>
        <v>688</v>
      </c>
      <c r="Z468" s="2">
        <f>VLOOKUP([jobnumber],OvalData[],MATCH(Table2[[#Headers],[Total Turns]],Table2[#Headers],0),0)</f>
        <v>4.91</v>
      </c>
      <c r="AA468" s="2">
        <f>VLOOKUP([jobnumber],OvalData[],MATCH(Table2[[#Headers],[Grille Vision Section]],Table2[#Headers],0),0)</f>
        <v>0</v>
      </c>
      <c r="AB468" s="2">
        <f>VLOOKUP([jobnumber],OvalData[],MATCH(Table2[[#Headers],[Grille Amount]],Table2[#Headers],0),0)</f>
        <v>0</v>
      </c>
      <c r="AC468" s="2">
        <f>VLOOKUP([jobnumber],OvalData[],MATCH(Table2[[#Headers],[Grille Center]],Table2[#Headers],0),0)</f>
        <v>0</v>
      </c>
      <c r="AD468" s="2">
        <f>VLOOKUP([jobnumber],OvalData[],MATCH(Table2[[#Headers],[Grille Pattern]],Table2[#Headers],0),0)</f>
        <v>0</v>
      </c>
      <c r="AE468" s="2">
        <f>VLOOKUP([jobnumber],OvalData[],MATCH(Table2[[#Headers],[Grille First Tube]],Table2[#Headers],0),0)</f>
        <v>0</v>
      </c>
      <c r="AF468" s="2">
        <f>VLOOKUP([jobnumber],OvalData[],MATCH(Table2[[#Headers],[Grille Standard Tube]],Table2[#Headers],0),0)</f>
        <v>0</v>
      </c>
      <c r="AG468" s="2">
        <f>VLOOKUP([jobnumber],OvalData[],MATCH(Table2[[#Headers],[Grille Total Links]],Table2[#Headers],0),0)</f>
        <v>0</v>
      </c>
      <c r="AH468" s="2">
        <f>VLOOKUP([jobnumber],OvalData[],MATCH(Table2[[#Headers],[Grille Rods]],Table2[#Headers],0),0)</f>
        <v>0</v>
      </c>
      <c r="AI468" s="2">
        <f>VLOOKUP([jobnumber],OvalData[],MATCH(Table2[[#Headers],[Grille Rod Length]],Table2[#Headers],0),0)</f>
        <v>0</v>
      </c>
      <c r="AJ468" s="2">
        <f>VLOOKUP([jobnumber],OvalData[],MATCH(Table2[[#Headers],[slattype]],Table2[#Headers],0),0)</f>
        <v>2</v>
      </c>
      <c r="AK468" s="2">
        <f>VLOOKUP([jobnumber],OvalData[],MATCH(Table2[[#Headers],[slatgage]],Table2[#Headers],0),0)</f>
        <v>18</v>
      </c>
      <c r="AL468" s="2">
        <f>VLOOKUP([jobnumber],OvalData[],MATCH(Table2[[#Headers],[Numer of Top Slats]],Table2[#Headers],0),0)</f>
        <v>0</v>
      </c>
      <c r="AM468" s="2">
        <f>VLOOKUP([jobnumber],OvalData[],MATCH(Table2[[#Headers],[Number of Bottom Slats]],Table2[#Headers],0),0)</f>
        <v>0</v>
      </c>
      <c r="AN468" s="2">
        <f>VLOOKUP([jobnumber],OvalData[],MATCH(Table2[[#Headers],[Solid Bottom Height]],Table2[#Headers],0),0)</f>
        <v>0</v>
      </c>
      <c r="AO468" s="2" t="str">
        <f>VLOOKUP([jobnumber],OvalData[],MATCH(Table2[[#Headers],[slatlength]],Table2[#Headers],0),0)</f>
        <v xml:space="preserve"> 18 ft.- 5 7/ 8"</v>
      </c>
      <c r="AP468" s="2">
        <f>VLOOKUP([jobnumber],OvalData[],MATCH(Table2[[#Headers],[Bottom Slat Length]],Table2[#Headers],0),0)</f>
        <v>0</v>
      </c>
      <c r="AQ468" s="2">
        <f>VLOOKUP([jobnumber],OvalData[],MATCH(Table2[[#Headers],[Number of Perferated Slats]],Table2[#Headers],0),0)</f>
        <v>0</v>
      </c>
      <c r="AR468" s="2">
        <f>VLOOKUP([jobnumber],OvalData[],MATCH(Table2[[#Headers],[First Preferated Slat From End]],Table2[#Headers],0),0)</f>
        <v>0</v>
      </c>
      <c r="AS468" s="2">
        <f>VLOOKUP([jobnumber],OvalData[],MATCH(Table2[[#Headers],[First Preferated Slat From Bottom]],Table2[#Headers],0),0)</f>
        <v>0</v>
      </c>
      <c r="AT468" s="2">
        <f>VLOOKUP([jobnumber],OvalData[],MATCH(Table2[[#Headers],[Total Number of Slats]],Table2[#Headers],0),0)</f>
        <v>51</v>
      </c>
      <c r="AU468" s="2">
        <f>VLOOKUP([jobnumber],OvalData[],MATCH(Table2[[#Headers],[Bottom Bar Slope]],Table2[#Headers],0),0)</f>
        <v>0</v>
      </c>
      <c r="AV468" s="2">
        <f>VLOOKUP([jobnumber],OvalData[],MATCH(Table2[[#Headers],[Bottom Bar Weight]],Table2[#Headers],0),0)</f>
        <v>80.5</v>
      </c>
      <c r="AW468" s="2" t="str">
        <f>VLOOKUP([jobnumber],OvalData[],MATCH(Table2[[#Headers],[Outer Spring Gage]],Table2[#Headers],0),0)</f>
        <v>Null</v>
      </c>
      <c r="AX468" s="2" t="str">
        <f>VLOOKUP([jobnumber],OvalData[],MATCH(Table2[[#Headers],[Outer Spring OD]],Table2[#Headers],0),0)</f>
        <v>Null</v>
      </c>
      <c r="AY468" s="2" t="str">
        <f>VLOOKUP([jobnumber],OvalData[],MATCH(Table2[[#Headers],[Outer Spring Length]],Table2[#Headers],0),0)</f>
        <v>Null</v>
      </c>
      <c r="AZ468" s="2" t="str">
        <f>VLOOKUP([jobnumber],OvalData[],MATCH(Table2[[#Headers],[Outer Spring Stretch]],Table2[#Headers],0),0)</f>
        <v>Null</v>
      </c>
      <c r="BA468" s="2" t="str">
        <f>VLOOKUP([jobnumber],OvalData[],MATCH(Table2[[#Headers],[Outer Spring Torque]],Table2[#Headers],0),0)</f>
        <v>Null</v>
      </c>
      <c r="BB468" s="2" t="str">
        <f>VLOOKUP([jobnumber],OvalData[],MATCH(Table2[[#Headers],[Outer Spring Max Turns]],Table2[#Headers],0),0)</f>
        <v>Null</v>
      </c>
      <c r="BC468" s="2" t="str">
        <f>VLOOKUP([jobnumber],OvalData[],MATCH(Table2[[#Headers],[Outer Spring Weight]],Table2[#Headers],0),0)</f>
        <v>Null</v>
      </c>
      <c r="BD468" s="2" t="str">
        <f>VLOOKUP([jobnumber],OvalData[],MATCH(Table2[[#Headers],[Inner Spring Gage]],Table2[#Headers],0),0)</f>
        <v>Null</v>
      </c>
      <c r="BE468" s="2" t="str">
        <f>VLOOKUP([jobnumber],OvalData[],MATCH(Table2[[#Headers],[Inner Spring OD]],Table2[#Headers],0),0)</f>
        <v>Null</v>
      </c>
      <c r="BF468" s="2" t="str">
        <f>VLOOKUP([jobnumber],OvalData[],MATCH(Table2[[#Headers],[Inner Spring Length]],Table2[#Headers],0),0)</f>
        <v>Null</v>
      </c>
      <c r="BG468" s="2" t="str">
        <f>VLOOKUP([jobnumber],OvalData[],MATCH(Table2[[#Headers],[Inner Spring Stretch]],Table2[#Headers],0),0)</f>
        <v>Null</v>
      </c>
      <c r="BH468" s="2" t="str">
        <f>VLOOKUP([jobnumber],OvalData[],MATCH(Table2[[#Headers],[Inner Spring Torque]],Table2[#Headers],0),0)</f>
        <v>Null</v>
      </c>
      <c r="BI468" s="2" t="str">
        <f>VLOOKUP([jobnumber],OvalData[],MATCH(Table2[[#Headers],[Inner Spring Max Turns]],Table2[#Headers],0),0)</f>
        <v>Null</v>
      </c>
      <c r="BJ468" s="2" t="str">
        <f>VLOOKUP([jobnumber],OvalData[],MATCH(Table2[[#Headers],[Inner Spring Weight]],Table2[#Headers],0),0)</f>
        <v>Null</v>
      </c>
      <c r="BK468" s="2">
        <f>VLOOKUP([jobnumber],OvalData[],MATCH(Table2[[#Headers],[Cycles]],Table2[#Headers],0),0)</f>
        <v>0</v>
      </c>
      <c r="BL468" s="2">
        <f>VLOOKUP([jobnumber],OvalData[],MATCH(Table2[[#Headers],[Total Spring Torque]],Table2[#Headers],0),0)</f>
        <v>0</v>
      </c>
      <c r="BM468" s="2">
        <f>VLOOKUP([jobnumber],OvalData[],MATCH(Table2[[#Headers],[Total Spring Weight]],Table2[#Headers],0),0)</f>
        <v>0</v>
      </c>
      <c r="BN468" s="2">
        <f>VLOOKUP([jobnumber],OvalData[],MATCH(Table2[[#Headers],[Pipe Weight]],Table2[#Headers],0),0)</f>
        <v>688.24239999999998</v>
      </c>
      <c r="BO468" s="2">
        <f>VLOOKUP([jobnumber],OvalData[],MATCH(Table2[[#Headers],[Max Pipe Deflection]],Table2[#Headers],0),0)</f>
        <v>2309</v>
      </c>
      <c r="BP468" s="2">
        <f>VLOOKUP([jobnumber],OvalData[],MATCH(Table2[[#Headers],[Number Non-Insulated Wrap Slats]],Table2[#Headers],0),0)</f>
        <v>0</v>
      </c>
      <c r="BQ468" s="2">
        <f>VLOOKUP([jobnumber],OvalData[],MATCH(Table2[[#Headers],[Number of Insolated Top Slats]],Table2[#Headers],0),0)</f>
        <v>45</v>
      </c>
      <c r="BR468" s="2">
        <f>VLOOKUP([jobnumber],OvalData[],MATCH(Table2[[#Headers],[Insolated Total Slats]],Table2[#Headers],0),0)</f>
        <v>45</v>
      </c>
      <c r="BS468" s="2">
        <f>VLOOKUP([jobnumber],OvalData[],MATCH(Table2[[#Headers],[Number of Slats]],Table2[#Headers],0),0)</f>
        <v>44.69</v>
      </c>
      <c r="BT468" s="2">
        <f>VLOOKUP([jobnumber],OvalData[],MATCH(Table2[[#Headers],[Wrap]],Table2[#Headers],0),0)</f>
        <v>0</v>
      </c>
      <c r="BU468" s="2">
        <f>VLOOKUP([jobnumber],OvalData[],MATCH(Table2[[#Headers],[Wall Angle Thickness]],Table2[#Headers],0),0)</f>
        <v>0</v>
      </c>
      <c r="BV468" s="2">
        <f>VLOOKUP([jobnumber],OvalData[],MATCH(Table2[[#Headers],[windlocks]],Table2[#Headers],0),0)</f>
        <v>0</v>
      </c>
      <c r="BW468" s="2" t="str">
        <f>VLOOKUP([jobnumber],OvalData[],MATCH(Table2[[#Headers],[bottombartype]],Table2[#Headers],0),0)</f>
        <v>SPECIAL</v>
      </c>
      <c r="BX468" s="2">
        <f>VLOOKUP([jobnumber],OvalData[],MATCH(Table2[[#Headers],[endlockweight]],Table2[#Headers],0),0)</f>
        <v>0.17</v>
      </c>
      <c r="BY468" s="2">
        <f>VLOOKUP([jobnumber],OvalData[],MATCH(Table2[[#Headers],[Endlock Total Weight]],Table2[#Headers],0),0)</f>
        <v>7.5972999999999997</v>
      </c>
      <c r="BZ468" s="2">
        <f>VLOOKUP([jobnumber],OvalData[],MATCH(Table2[[#Headers],[Grille Weight]],Table2[#Headers],0),0)</f>
        <v>0</v>
      </c>
      <c r="CA468" s="2">
        <f>VLOOKUP([jobnumber],OvalData[],MATCH(Table2[[#Headers],[barrelrings]],Table2[#Headers],0),0)</f>
        <v>1</v>
      </c>
    </row>
    <row r="469" spans="2:79">
      <c r="B469" s="2" t="str">
        <f>VLOOKUP([jobnumber],OvalData[],MATCH(Table2[[#Headers],[Hand]],Table2[#Headers],0),0)</f>
        <v>RH</v>
      </c>
      <c r="C469" s="2" t="str">
        <f>VLOOKUP([jobnumber],OvalData[],MATCH(Table2[[#Headers],[Model]],Table2[#Headers],0),0)</f>
        <v>SFMPP</v>
      </c>
      <c r="D469" s="2" t="str">
        <f>VLOOKUP([jobnumber],OvalData[],MATCH(Table2[[#Headers],[width]],Table2[#Headers],0),0)</f>
        <v xml:space="preserve"> 18 ft.- 2"</v>
      </c>
      <c r="E469" s="2" t="str">
        <f>VLOOKUP([jobnumber],OvalData[],MATCH(Table2[[#Headers],[stopheight]],Table2[#Headers],0),0)</f>
        <v xml:space="preserve"> 10 ft.- 0"</v>
      </c>
      <c r="F469" s="2" t="str">
        <f>VLOOKUP([jobnumber],OvalData[],MATCH(Table2[[#Headers],[Between Brackets]],Table2[#Headers],0),0)</f>
        <v xml:space="preserve"> 18 ft.- 7 7/ 8"</v>
      </c>
      <c r="G469" s="2" t="str">
        <f>VLOOKUP([jobnumber],OvalData[],MATCH(Table2[[#Headers],[shell]],Table2[#Headers],0),0)</f>
        <v>6 INCH TUBE</v>
      </c>
      <c r="H469" s="2" t="str">
        <f>VLOOKUP([jobnumber],OvalData[],MATCH(Table2[[#Headers],[pipewidth]],Table2[#Headers],0),0)</f>
        <v xml:space="preserve"> 18 ft.- 1 3/ 8"</v>
      </c>
      <c r="I469" s="2">
        <f>VLOOKUP([jobnumber],OvalData[],MATCH(Table2[[#Headers],[Support Tubes]],Table2[#Headers],0),0)</f>
        <v>0</v>
      </c>
      <c r="J469" s="2">
        <f>VLOOKUP([jobnumber],OvalData[],MATCH(Table2[[#Headers],[Upset]],Table2[#Headers],0),0)</f>
        <v>2</v>
      </c>
      <c r="K469" s="2" t="str">
        <f>VLOOKUP([jobnumber],OvalData[],MATCH(Table2[[#Headers],[Guide Type]],Table2[#Headers],0),0)</f>
        <v>SN2-4 5/8-E</v>
      </c>
      <c r="L469" s="2" t="str">
        <f>VLOOKUP([jobnumber],OvalData[],MATCH(Table2[[#Headers],[Wall Angle]],Table2[#Headers],0),0)</f>
        <v xml:space="preserve"> 11 ft.- 8"</v>
      </c>
      <c r="M469" s="2" t="str">
        <f>VLOOKUP([jobnumber],OvalData[],MATCH(Table2[[#Headers],[Middle Angle]],Table2[#Headers],0),0)</f>
        <v xml:space="preserve"> 10 ft.- 4 1/ 2"</v>
      </c>
      <c r="N469" s="2" t="str">
        <f>VLOOKUP([jobnumber],OvalData[],MATCH(Table2[[#Headers],[Front Angle]],Table2[#Headers],0),0)</f>
        <v xml:space="preserve"> 10 ft.- 3"</v>
      </c>
      <c r="O469" s="2">
        <f>VLOOKUP([jobnumber],OvalData[],MATCH(Table2[[#Headers],[Pipe Center Line]],Table2[#Headers],0),0)</f>
        <v>131</v>
      </c>
      <c r="P469" s="2">
        <f>VLOOKUP([jobnumber],OvalData[],MATCH(Table2[[#Headers],[Heat Expansion Gap]],Table2[#Headers],0),0)</f>
        <v>0</v>
      </c>
      <c r="Q469" s="2">
        <f>VLOOKUP([jobnumber],OvalData[],MATCH(Table2[[#Headers],[Hanging Weight Closed]],Table2[#Headers],0),0)</f>
        <v>795</v>
      </c>
      <c r="R469" s="2">
        <f>VLOOKUP([jobnumber],OvalData[],MATCH(Table2[[#Headers],[Hanging Weight Open]],Table2[#Headers],0),0)</f>
        <v>140</v>
      </c>
      <c r="S469" s="2">
        <f>VLOOKUP([jobnumber],OvalData[],MATCH(Table2[[#Headers],[Initial Lever Arm]],Table2[#Headers],0),0)</f>
        <v>4.25</v>
      </c>
      <c r="T469" s="2">
        <f>VLOOKUP([jobnumber],OvalData[],MATCH(Table2[[#Headers],[Turns to Raise]],Table2[#Headers],0),0)</f>
        <v>3.5859999999999999</v>
      </c>
      <c r="U469" s="2">
        <f>VLOOKUP([jobnumber],OvalData[],MATCH(Table2[[#Headers],[Final Lever Arm]],Table2[#Headers],0),0)</f>
        <v>6.37</v>
      </c>
      <c r="V469" s="2">
        <f>VLOOKUP([jobnumber],OvalData[],MATCH(Table2[[#Headers],[Torque Required Closed]],Table2[#Headers],0),0)</f>
        <v>3377.9</v>
      </c>
      <c r="W469" s="2">
        <f>VLOOKUP([jobnumber],OvalData[],MATCH(Table2[[#Headers],[Torque Required Open]],Table2[#Headers],0),0)</f>
        <v>892</v>
      </c>
      <c r="X469" s="2">
        <f>VLOOKUP([jobnumber],OvalData[],MATCH(Table2[[#Headers],[Pre Turns]],Table2[#Headers],0),0)</f>
        <v>1.3332999999999999</v>
      </c>
      <c r="Y469" s="2">
        <f>VLOOKUP([jobnumber],OvalData[],MATCH(Table2[[#Headers],[Required Torque Per Turn]],Table2[#Headers],0),0)</f>
        <v>688</v>
      </c>
      <c r="Z469" s="2">
        <f>VLOOKUP([jobnumber],OvalData[],MATCH(Table2[[#Headers],[Total Turns]],Table2[#Headers],0),0)</f>
        <v>4.91</v>
      </c>
      <c r="AA469" s="2">
        <f>VLOOKUP([jobnumber],OvalData[],MATCH(Table2[[#Headers],[Grille Vision Section]],Table2[#Headers],0),0)</f>
        <v>0</v>
      </c>
      <c r="AB469" s="2">
        <f>VLOOKUP([jobnumber],OvalData[],MATCH(Table2[[#Headers],[Grille Amount]],Table2[#Headers],0),0)</f>
        <v>0</v>
      </c>
      <c r="AC469" s="2">
        <f>VLOOKUP([jobnumber],OvalData[],MATCH(Table2[[#Headers],[Grille Center]],Table2[#Headers],0),0)</f>
        <v>0</v>
      </c>
      <c r="AD469" s="2">
        <f>VLOOKUP([jobnumber],OvalData[],MATCH(Table2[[#Headers],[Grille Pattern]],Table2[#Headers],0),0)</f>
        <v>0</v>
      </c>
      <c r="AE469" s="2">
        <f>VLOOKUP([jobnumber],OvalData[],MATCH(Table2[[#Headers],[Grille First Tube]],Table2[#Headers],0),0)</f>
        <v>0</v>
      </c>
      <c r="AF469" s="2">
        <f>VLOOKUP([jobnumber],OvalData[],MATCH(Table2[[#Headers],[Grille Standard Tube]],Table2[#Headers],0),0)</f>
        <v>0</v>
      </c>
      <c r="AG469" s="2">
        <f>VLOOKUP([jobnumber],OvalData[],MATCH(Table2[[#Headers],[Grille Total Links]],Table2[#Headers],0),0)</f>
        <v>0</v>
      </c>
      <c r="AH469" s="2">
        <f>VLOOKUP([jobnumber],OvalData[],MATCH(Table2[[#Headers],[Grille Rods]],Table2[#Headers],0),0)</f>
        <v>0</v>
      </c>
      <c r="AI469" s="2">
        <f>VLOOKUP([jobnumber],OvalData[],MATCH(Table2[[#Headers],[Grille Rod Length]],Table2[#Headers],0),0)</f>
        <v>0</v>
      </c>
      <c r="AJ469" s="2">
        <f>VLOOKUP([jobnumber],OvalData[],MATCH(Table2[[#Headers],[slattype]],Table2[#Headers],0),0)</f>
        <v>2</v>
      </c>
      <c r="AK469" s="2">
        <f>VLOOKUP([jobnumber],OvalData[],MATCH(Table2[[#Headers],[slatgage]],Table2[#Headers],0),0)</f>
        <v>18</v>
      </c>
      <c r="AL469" s="2">
        <f>VLOOKUP([jobnumber],OvalData[],MATCH(Table2[[#Headers],[Numer of Top Slats]],Table2[#Headers],0),0)</f>
        <v>0</v>
      </c>
      <c r="AM469" s="2">
        <f>VLOOKUP([jobnumber],OvalData[],MATCH(Table2[[#Headers],[Number of Bottom Slats]],Table2[#Headers],0),0)</f>
        <v>0</v>
      </c>
      <c r="AN469" s="2">
        <f>VLOOKUP([jobnumber],OvalData[],MATCH(Table2[[#Headers],[Solid Bottom Height]],Table2[#Headers],0),0)</f>
        <v>0</v>
      </c>
      <c r="AO469" s="2" t="str">
        <f>VLOOKUP([jobnumber],OvalData[],MATCH(Table2[[#Headers],[slatlength]],Table2[#Headers],0),0)</f>
        <v xml:space="preserve"> 18 ft.- 5 7/ 8"</v>
      </c>
      <c r="AP469" s="2">
        <f>VLOOKUP([jobnumber],OvalData[],MATCH(Table2[[#Headers],[Bottom Slat Length]],Table2[#Headers],0),0)</f>
        <v>0</v>
      </c>
      <c r="AQ469" s="2">
        <f>VLOOKUP([jobnumber],OvalData[],MATCH(Table2[[#Headers],[Number of Perferated Slats]],Table2[#Headers],0),0)</f>
        <v>0</v>
      </c>
      <c r="AR469" s="2">
        <f>VLOOKUP([jobnumber],OvalData[],MATCH(Table2[[#Headers],[First Preferated Slat From End]],Table2[#Headers],0),0)</f>
        <v>0</v>
      </c>
      <c r="AS469" s="2">
        <f>VLOOKUP([jobnumber],OvalData[],MATCH(Table2[[#Headers],[First Preferated Slat From Bottom]],Table2[#Headers],0),0)</f>
        <v>0</v>
      </c>
      <c r="AT469" s="2">
        <f>VLOOKUP([jobnumber],OvalData[],MATCH(Table2[[#Headers],[Total Number of Slats]],Table2[#Headers],0),0)</f>
        <v>51</v>
      </c>
      <c r="AU469" s="2">
        <f>VLOOKUP([jobnumber],OvalData[],MATCH(Table2[[#Headers],[Bottom Bar Slope]],Table2[#Headers],0),0)</f>
        <v>0</v>
      </c>
      <c r="AV469" s="2">
        <f>VLOOKUP([jobnumber],OvalData[],MATCH(Table2[[#Headers],[Bottom Bar Weight]],Table2[#Headers],0),0)</f>
        <v>80.5</v>
      </c>
      <c r="AW469" s="2" t="str">
        <f>VLOOKUP([jobnumber],OvalData[],MATCH(Table2[[#Headers],[Outer Spring Gage]],Table2[#Headers],0),0)</f>
        <v>Null</v>
      </c>
      <c r="AX469" s="2" t="str">
        <f>VLOOKUP([jobnumber],OvalData[],MATCH(Table2[[#Headers],[Outer Spring OD]],Table2[#Headers],0),0)</f>
        <v>Null</v>
      </c>
      <c r="AY469" s="2" t="str">
        <f>VLOOKUP([jobnumber],OvalData[],MATCH(Table2[[#Headers],[Outer Spring Length]],Table2[#Headers],0),0)</f>
        <v>Null</v>
      </c>
      <c r="AZ469" s="2" t="str">
        <f>VLOOKUP([jobnumber],OvalData[],MATCH(Table2[[#Headers],[Outer Spring Stretch]],Table2[#Headers],0),0)</f>
        <v>Null</v>
      </c>
      <c r="BA469" s="2" t="str">
        <f>VLOOKUP([jobnumber],OvalData[],MATCH(Table2[[#Headers],[Outer Spring Torque]],Table2[#Headers],0),0)</f>
        <v>Null</v>
      </c>
      <c r="BB469" s="2" t="str">
        <f>VLOOKUP([jobnumber],OvalData[],MATCH(Table2[[#Headers],[Outer Spring Max Turns]],Table2[#Headers],0),0)</f>
        <v>Null</v>
      </c>
      <c r="BC469" s="2" t="str">
        <f>VLOOKUP([jobnumber],OvalData[],MATCH(Table2[[#Headers],[Outer Spring Weight]],Table2[#Headers],0),0)</f>
        <v>Null</v>
      </c>
      <c r="BD469" s="2" t="str">
        <f>VLOOKUP([jobnumber],OvalData[],MATCH(Table2[[#Headers],[Inner Spring Gage]],Table2[#Headers],0),0)</f>
        <v>Null</v>
      </c>
      <c r="BE469" s="2" t="str">
        <f>VLOOKUP([jobnumber],OvalData[],MATCH(Table2[[#Headers],[Inner Spring OD]],Table2[#Headers],0),0)</f>
        <v>Null</v>
      </c>
      <c r="BF469" s="2" t="str">
        <f>VLOOKUP([jobnumber],OvalData[],MATCH(Table2[[#Headers],[Inner Spring Length]],Table2[#Headers],0),0)</f>
        <v>Null</v>
      </c>
      <c r="BG469" s="2" t="str">
        <f>VLOOKUP([jobnumber],OvalData[],MATCH(Table2[[#Headers],[Inner Spring Stretch]],Table2[#Headers],0),0)</f>
        <v>Null</v>
      </c>
      <c r="BH469" s="2" t="str">
        <f>VLOOKUP([jobnumber],OvalData[],MATCH(Table2[[#Headers],[Inner Spring Torque]],Table2[#Headers],0),0)</f>
        <v>Null</v>
      </c>
      <c r="BI469" s="2" t="str">
        <f>VLOOKUP([jobnumber],OvalData[],MATCH(Table2[[#Headers],[Inner Spring Max Turns]],Table2[#Headers],0),0)</f>
        <v>Null</v>
      </c>
      <c r="BJ469" s="2" t="str">
        <f>VLOOKUP([jobnumber],OvalData[],MATCH(Table2[[#Headers],[Inner Spring Weight]],Table2[#Headers],0),0)</f>
        <v>Null</v>
      </c>
      <c r="BK469" s="2">
        <f>VLOOKUP([jobnumber],OvalData[],MATCH(Table2[[#Headers],[Cycles]],Table2[#Headers],0),0)</f>
        <v>0</v>
      </c>
      <c r="BL469" s="2">
        <f>VLOOKUP([jobnumber],OvalData[],MATCH(Table2[[#Headers],[Total Spring Torque]],Table2[#Headers],0),0)</f>
        <v>0</v>
      </c>
      <c r="BM469" s="2">
        <f>VLOOKUP([jobnumber],OvalData[],MATCH(Table2[[#Headers],[Total Spring Weight]],Table2[#Headers],0),0)</f>
        <v>0</v>
      </c>
      <c r="BN469" s="2">
        <f>VLOOKUP([jobnumber],OvalData[],MATCH(Table2[[#Headers],[Pipe Weight]],Table2[#Headers],0),0)</f>
        <v>688.24239999999998</v>
      </c>
      <c r="BO469" s="2">
        <f>VLOOKUP([jobnumber],OvalData[],MATCH(Table2[[#Headers],[Max Pipe Deflection]],Table2[#Headers],0),0)</f>
        <v>2309</v>
      </c>
      <c r="BP469" s="2">
        <f>VLOOKUP([jobnumber],OvalData[],MATCH(Table2[[#Headers],[Number Non-Insulated Wrap Slats]],Table2[#Headers],0),0)</f>
        <v>0</v>
      </c>
      <c r="BQ469" s="2">
        <f>VLOOKUP([jobnumber],OvalData[],MATCH(Table2[[#Headers],[Number of Insolated Top Slats]],Table2[#Headers],0),0)</f>
        <v>45</v>
      </c>
      <c r="BR469" s="2">
        <f>VLOOKUP([jobnumber],OvalData[],MATCH(Table2[[#Headers],[Insolated Total Slats]],Table2[#Headers],0),0)</f>
        <v>45</v>
      </c>
      <c r="BS469" s="2">
        <f>VLOOKUP([jobnumber],OvalData[],MATCH(Table2[[#Headers],[Number of Slats]],Table2[#Headers],0),0)</f>
        <v>44.69</v>
      </c>
      <c r="BT469" s="2">
        <f>VLOOKUP([jobnumber],OvalData[],MATCH(Table2[[#Headers],[Wrap]],Table2[#Headers],0),0)</f>
        <v>0</v>
      </c>
      <c r="BU469" s="2">
        <f>VLOOKUP([jobnumber],OvalData[],MATCH(Table2[[#Headers],[Wall Angle Thickness]],Table2[#Headers],0),0)</f>
        <v>0</v>
      </c>
      <c r="BV469" s="2">
        <f>VLOOKUP([jobnumber],OvalData[],MATCH(Table2[[#Headers],[windlocks]],Table2[#Headers],0),0)</f>
        <v>0</v>
      </c>
      <c r="BW469" s="2" t="str">
        <f>VLOOKUP([jobnumber],OvalData[],MATCH(Table2[[#Headers],[bottombartype]],Table2[#Headers],0),0)</f>
        <v>SPECIAL</v>
      </c>
      <c r="BX469" s="2">
        <f>VLOOKUP([jobnumber],OvalData[],MATCH(Table2[[#Headers],[endlockweight]],Table2[#Headers],0),0)</f>
        <v>0.17</v>
      </c>
      <c r="BY469" s="2">
        <f>VLOOKUP([jobnumber],OvalData[],MATCH(Table2[[#Headers],[Endlock Total Weight]],Table2[#Headers],0),0)</f>
        <v>7.5972999999999997</v>
      </c>
      <c r="BZ469" s="2">
        <f>VLOOKUP([jobnumber],OvalData[],MATCH(Table2[[#Headers],[Grille Weight]],Table2[#Headers],0),0)</f>
        <v>0</v>
      </c>
      <c r="CA469" s="2">
        <f>VLOOKUP([jobnumber],OvalData[],MATCH(Table2[[#Headers],[barrelrings]],Table2[#Headers],0),0)</f>
        <v>1</v>
      </c>
    </row>
    <row r="470" spans="2:79">
      <c r="B470" s="2" t="str">
        <f>VLOOKUP([jobnumber],OvalData[],MATCH(Table2[[#Headers],[Hand]],Table2[#Headers],0),0)</f>
        <v>RH</v>
      </c>
      <c r="C470" s="2" t="str">
        <f>VLOOKUP([jobnumber],OvalData[],MATCH(Table2[[#Headers],[Model]],Table2[#Headers],0),0)</f>
        <v>SFMPP</v>
      </c>
      <c r="D470" s="2" t="str">
        <f>VLOOKUP([jobnumber],OvalData[],MATCH(Table2[[#Headers],[width]],Table2[#Headers],0),0)</f>
        <v xml:space="preserve"> 18 ft.- 2"</v>
      </c>
      <c r="E470" s="2" t="str">
        <f>VLOOKUP([jobnumber],OvalData[],MATCH(Table2[[#Headers],[stopheight]],Table2[#Headers],0),0)</f>
        <v xml:space="preserve"> 10 ft.- 0"</v>
      </c>
      <c r="F470" s="2" t="str">
        <f>VLOOKUP([jobnumber],OvalData[],MATCH(Table2[[#Headers],[Between Brackets]],Table2[#Headers],0),0)</f>
        <v xml:space="preserve"> 18 ft.- 7 7/ 8"</v>
      </c>
      <c r="G470" s="2" t="str">
        <f>VLOOKUP([jobnumber],OvalData[],MATCH(Table2[[#Headers],[shell]],Table2[#Headers],0),0)</f>
        <v>6 INCH TUBE</v>
      </c>
      <c r="H470" s="2" t="str">
        <f>VLOOKUP([jobnumber],OvalData[],MATCH(Table2[[#Headers],[pipewidth]],Table2[#Headers],0),0)</f>
        <v xml:space="preserve"> 18 ft.- 1 3/ 8"</v>
      </c>
      <c r="I470" s="2">
        <f>VLOOKUP([jobnumber],OvalData[],MATCH(Table2[[#Headers],[Support Tubes]],Table2[#Headers],0),0)</f>
        <v>0</v>
      </c>
      <c r="J470" s="2">
        <f>VLOOKUP([jobnumber],OvalData[],MATCH(Table2[[#Headers],[Upset]],Table2[#Headers],0),0)</f>
        <v>2</v>
      </c>
      <c r="K470" s="2" t="str">
        <f>VLOOKUP([jobnumber],OvalData[],MATCH(Table2[[#Headers],[Guide Type]],Table2[#Headers],0),0)</f>
        <v>SN2-4 5/8-E</v>
      </c>
      <c r="L470" s="2" t="str">
        <f>VLOOKUP([jobnumber],OvalData[],MATCH(Table2[[#Headers],[Wall Angle]],Table2[#Headers],0),0)</f>
        <v xml:space="preserve"> 11 ft.- 8"</v>
      </c>
      <c r="M470" s="2" t="str">
        <f>VLOOKUP([jobnumber],OvalData[],MATCH(Table2[[#Headers],[Middle Angle]],Table2[#Headers],0),0)</f>
        <v xml:space="preserve"> 10 ft.- 4 1/ 2"</v>
      </c>
      <c r="N470" s="2" t="str">
        <f>VLOOKUP([jobnumber],OvalData[],MATCH(Table2[[#Headers],[Front Angle]],Table2[#Headers],0),0)</f>
        <v xml:space="preserve"> 10 ft.- 3"</v>
      </c>
      <c r="O470" s="2">
        <f>VLOOKUP([jobnumber],OvalData[],MATCH(Table2[[#Headers],[Pipe Center Line]],Table2[#Headers],0),0)</f>
        <v>131</v>
      </c>
      <c r="P470" s="2">
        <f>VLOOKUP([jobnumber],OvalData[],MATCH(Table2[[#Headers],[Heat Expansion Gap]],Table2[#Headers],0),0)</f>
        <v>0</v>
      </c>
      <c r="Q470" s="2">
        <f>VLOOKUP([jobnumber],OvalData[],MATCH(Table2[[#Headers],[Hanging Weight Closed]],Table2[#Headers],0),0)</f>
        <v>795</v>
      </c>
      <c r="R470" s="2">
        <f>VLOOKUP([jobnumber],OvalData[],MATCH(Table2[[#Headers],[Hanging Weight Open]],Table2[#Headers],0),0)</f>
        <v>140</v>
      </c>
      <c r="S470" s="2">
        <f>VLOOKUP([jobnumber],OvalData[],MATCH(Table2[[#Headers],[Initial Lever Arm]],Table2[#Headers],0),0)</f>
        <v>4.25</v>
      </c>
      <c r="T470" s="2">
        <f>VLOOKUP([jobnumber],OvalData[],MATCH(Table2[[#Headers],[Turns to Raise]],Table2[#Headers],0),0)</f>
        <v>3.5859999999999999</v>
      </c>
      <c r="U470" s="2">
        <f>VLOOKUP([jobnumber],OvalData[],MATCH(Table2[[#Headers],[Final Lever Arm]],Table2[#Headers],0),0)</f>
        <v>6.37</v>
      </c>
      <c r="V470" s="2">
        <f>VLOOKUP([jobnumber],OvalData[],MATCH(Table2[[#Headers],[Torque Required Closed]],Table2[#Headers],0),0)</f>
        <v>3377.9</v>
      </c>
      <c r="W470" s="2">
        <f>VLOOKUP([jobnumber],OvalData[],MATCH(Table2[[#Headers],[Torque Required Open]],Table2[#Headers],0),0)</f>
        <v>892</v>
      </c>
      <c r="X470" s="2">
        <f>VLOOKUP([jobnumber],OvalData[],MATCH(Table2[[#Headers],[Pre Turns]],Table2[#Headers],0),0)</f>
        <v>1.3332999999999999</v>
      </c>
      <c r="Y470" s="2">
        <f>VLOOKUP([jobnumber],OvalData[],MATCH(Table2[[#Headers],[Required Torque Per Turn]],Table2[#Headers],0),0)</f>
        <v>688</v>
      </c>
      <c r="Z470" s="2">
        <f>VLOOKUP([jobnumber],OvalData[],MATCH(Table2[[#Headers],[Total Turns]],Table2[#Headers],0),0)</f>
        <v>4.91</v>
      </c>
      <c r="AA470" s="2">
        <f>VLOOKUP([jobnumber],OvalData[],MATCH(Table2[[#Headers],[Grille Vision Section]],Table2[#Headers],0),0)</f>
        <v>0</v>
      </c>
      <c r="AB470" s="2">
        <f>VLOOKUP([jobnumber],OvalData[],MATCH(Table2[[#Headers],[Grille Amount]],Table2[#Headers],0),0)</f>
        <v>0</v>
      </c>
      <c r="AC470" s="2">
        <f>VLOOKUP([jobnumber],OvalData[],MATCH(Table2[[#Headers],[Grille Center]],Table2[#Headers],0),0)</f>
        <v>0</v>
      </c>
      <c r="AD470" s="2">
        <f>VLOOKUP([jobnumber],OvalData[],MATCH(Table2[[#Headers],[Grille Pattern]],Table2[#Headers],0),0)</f>
        <v>0</v>
      </c>
      <c r="AE470" s="2">
        <f>VLOOKUP([jobnumber],OvalData[],MATCH(Table2[[#Headers],[Grille First Tube]],Table2[#Headers],0),0)</f>
        <v>0</v>
      </c>
      <c r="AF470" s="2">
        <f>VLOOKUP([jobnumber],OvalData[],MATCH(Table2[[#Headers],[Grille Standard Tube]],Table2[#Headers],0),0)</f>
        <v>0</v>
      </c>
      <c r="AG470" s="2">
        <f>VLOOKUP([jobnumber],OvalData[],MATCH(Table2[[#Headers],[Grille Total Links]],Table2[#Headers],0),0)</f>
        <v>0</v>
      </c>
      <c r="AH470" s="2">
        <f>VLOOKUP([jobnumber],OvalData[],MATCH(Table2[[#Headers],[Grille Rods]],Table2[#Headers],0),0)</f>
        <v>0</v>
      </c>
      <c r="AI470" s="2">
        <f>VLOOKUP([jobnumber],OvalData[],MATCH(Table2[[#Headers],[Grille Rod Length]],Table2[#Headers],0),0)</f>
        <v>0</v>
      </c>
      <c r="AJ470" s="2">
        <f>VLOOKUP([jobnumber],OvalData[],MATCH(Table2[[#Headers],[slattype]],Table2[#Headers],0),0)</f>
        <v>2</v>
      </c>
      <c r="AK470" s="2">
        <f>VLOOKUP([jobnumber],OvalData[],MATCH(Table2[[#Headers],[slatgage]],Table2[#Headers],0),0)</f>
        <v>18</v>
      </c>
      <c r="AL470" s="2">
        <f>VLOOKUP([jobnumber],OvalData[],MATCH(Table2[[#Headers],[Numer of Top Slats]],Table2[#Headers],0),0)</f>
        <v>0</v>
      </c>
      <c r="AM470" s="2">
        <f>VLOOKUP([jobnumber],OvalData[],MATCH(Table2[[#Headers],[Number of Bottom Slats]],Table2[#Headers],0),0)</f>
        <v>0</v>
      </c>
      <c r="AN470" s="2">
        <f>VLOOKUP([jobnumber],OvalData[],MATCH(Table2[[#Headers],[Solid Bottom Height]],Table2[#Headers],0),0)</f>
        <v>0</v>
      </c>
      <c r="AO470" s="2" t="str">
        <f>VLOOKUP([jobnumber],OvalData[],MATCH(Table2[[#Headers],[slatlength]],Table2[#Headers],0),0)</f>
        <v xml:space="preserve"> 18 ft.- 5 7/ 8"</v>
      </c>
      <c r="AP470" s="2">
        <f>VLOOKUP([jobnumber],OvalData[],MATCH(Table2[[#Headers],[Bottom Slat Length]],Table2[#Headers],0),0)</f>
        <v>0</v>
      </c>
      <c r="AQ470" s="2">
        <f>VLOOKUP([jobnumber],OvalData[],MATCH(Table2[[#Headers],[Number of Perferated Slats]],Table2[#Headers],0),0)</f>
        <v>0</v>
      </c>
      <c r="AR470" s="2">
        <f>VLOOKUP([jobnumber],OvalData[],MATCH(Table2[[#Headers],[First Preferated Slat From End]],Table2[#Headers],0),0)</f>
        <v>0</v>
      </c>
      <c r="AS470" s="2">
        <f>VLOOKUP([jobnumber],OvalData[],MATCH(Table2[[#Headers],[First Preferated Slat From Bottom]],Table2[#Headers],0),0)</f>
        <v>0</v>
      </c>
      <c r="AT470" s="2">
        <f>VLOOKUP([jobnumber],OvalData[],MATCH(Table2[[#Headers],[Total Number of Slats]],Table2[#Headers],0),0)</f>
        <v>51</v>
      </c>
      <c r="AU470" s="2">
        <f>VLOOKUP([jobnumber],OvalData[],MATCH(Table2[[#Headers],[Bottom Bar Slope]],Table2[#Headers],0),0)</f>
        <v>0</v>
      </c>
      <c r="AV470" s="2">
        <f>VLOOKUP([jobnumber],OvalData[],MATCH(Table2[[#Headers],[Bottom Bar Weight]],Table2[#Headers],0),0)</f>
        <v>80.5</v>
      </c>
      <c r="AW470" s="2" t="str">
        <f>VLOOKUP([jobnumber],OvalData[],MATCH(Table2[[#Headers],[Outer Spring Gage]],Table2[#Headers],0),0)</f>
        <v>Null</v>
      </c>
      <c r="AX470" s="2" t="str">
        <f>VLOOKUP([jobnumber],OvalData[],MATCH(Table2[[#Headers],[Outer Spring OD]],Table2[#Headers],0),0)</f>
        <v>Null</v>
      </c>
      <c r="AY470" s="2" t="str">
        <f>VLOOKUP([jobnumber],OvalData[],MATCH(Table2[[#Headers],[Outer Spring Length]],Table2[#Headers],0),0)</f>
        <v>Null</v>
      </c>
      <c r="AZ470" s="2" t="str">
        <f>VLOOKUP([jobnumber],OvalData[],MATCH(Table2[[#Headers],[Outer Spring Stretch]],Table2[#Headers],0),0)</f>
        <v>Null</v>
      </c>
      <c r="BA470" s="2" t="str">
        <f>VLOOKUP([jobnumber],OvalData[],MATCH(Table2[[#Headers],[Outer Spring Torque]],Table2[#Headers],0),0)</f>
        <v>Null</v>
      </c>
      <c r="BB470" s="2" t="str">
        <f>VLOOKUP([jobnumber],OvalData[],MATCH(Table2[[#Headers],[Outer Spring Max Turns]],Table2[#Headers],0),0)</f>
        <v>Null</v>
      </c>
      <c r="BC470" s="2" t="str">
        <f>VLOOKUP([jobnumber],OvalData[],MATCH(Table2[[#Headers],[Outer Spring Weight]],Table2[#Headers],0),0)</f>
        <v>Null</v>
      </c>
      <c r="BD470" s="2" t="str">
        <f>VLOOKUP([jobnumber],OvalData[],MATCH(Table2[[#Headers],[Inner Spring Gage]],Table2[#Headers],0),0)</f>
        <v>Null</v>
      </c>
      <c r="BE470" s="2" t="str">
        <f>VLOOKUP([jobnumber],OvalData[],MATCH(Table2[[#Headers],[Inner Spring OD]],Table2[#Headers],0),0)</f>
        <v>Null</v>
      </c>
      <c r="BF470" s="2" t="str">
        <f>VLOOKUP([jobnumber],OvalData[],MATCH(Table2[[#Headers],[Inner Spring Length]],Table2[#Headers],0),0)</f>
        <v>Null</v>
      </c>
      <c r="BG470" s="2" t="str">
        <f>VLOOKUP([jobnumber],OvalData[],MATCH(Table2[[#Headers],[Inner Spring Stretch]],Table2[#Headers],0),0)</f>
        <v>Null</v>
      </c>
      <c r="BH470" s="2" t="str">
        <f>VLOOKUP([jobnumber],OvalData[],MATCH(Table2[[#Headers],[Inner Spring Torque]],Table2[#Headers],0),0)</f>
        <v>Null</v>
      </c>
      <c r="BI470" s="2" t="str">
        <f>VLOOKUP([jobnumber],OvalData[],MATCH(Table2[[#Headers],[Inner Spring Max Turns]],Table2[#Headers],0),0)</f>
        <v>Null</v>
      </c>
      <c r="BJ470" s="2" t="str">
        <f>VLOOKUP([jobnumber],OvalData[],MATCH(Table2[[#Headers],[Inner Spring Weight]],Table2[#Headers],0),0)</f>
        <v>Null</v>
      </c>
      <c r="BK470" s="2">
        <f>VLOOKUP([jobnumber],OvalData[],MATCH(Table2[[#Headers],[Cycles]],Table2[#Headers],0),0)</f>
        <v>0</v>
      </c>
      <c r="BL470" s="2">
        <f>VLOOKUP([jobnumber],OvalData[],MATCH(Table2[[#Headers],[Total Spring Torque]],Table2[#Headers],0),0)</f>
        <v>0</v>
      </c>
      <c r="BM470" s="2">
        <f>VLOOKUP([jobnumber],OvalData[],MATCH(Table2[[#Headers],[Total Spring Weight]],Table2[#Headers],0),0)</f>
        <v>0</v>
      </c>
      <c r="BN470" s="2">
        <f>VLOOKUP([jobnumber],OvalData[],MATCH(Table2[[#Headers],[Pipe Weight]],Table2[#Headers],0),0)</f>
        <v>688.24239999999998</v>
      </c>
      <c r="BO470" s="2">
        <f>VLOOKUP([jobnumber],OvalData[],MATCH(Table2[[#Headers],[Max Pipe Deflection]],Table2[#Headers],0),0)</f>
        <v>2309</v>
      </c>
      <c r="BP470" s="2">
        <f>VLOOKUP([jobnumber],OvalData[],MATCH(Table2[[#Headers],[Number Non-Insulated Wrap Slats]],Table2[#Headers],0),0)</f>
        <v>0</v>
      </c>
      <c r="BQ470" s="2">
        <f>VLOOKUP([jobnumber],OvalData[],MATCH(Table2[[#Headers],[Number of Insolated Top Slats]],Table2[#Headers],0),0)</f>
        <v>45</v>
      </c>
      <c r="BR470" s="2">
        <f>VLOOKUP([jobnumber],OvalData[],MATCH(Table2[[#Headers],[Insolated Total Slats]],Table2[#Headers],0),0)</f>
        <v>45</v>
      </c>
      <c r="BS470" s="2">
        <f>VLOOKUP([jobnumber],OvalData[],MATCH(Table2[[#Headers],[Number of Slats]],Table2[#Headers],0),0)</f>
        <v>44.69</v>
      </c>
      <c r="BT470" s="2">
        <f>VLOOKUP([jobnumber],OvalData[],MATCH(Table2[[#Headers],[Wrap]],Table2[#Headers],0),0)</f>
        <v>0</v>
      </c>
      <c r="BU470" s="2">
        <f>VLOOKUP([jobnumber],OvalData[],MATCH(Table2[[#Headers],[Wall Angle Thickness]],Table2[#Headers],0),0)</f>
        <v>0</v>
      </c>
      <c r="BV470" s="2">
        <f>VLOOKUP([jobnumber],OvalData[],MATCH(Table2[[#Headers],[windlocks]],Table2[#Headers],0),0)</f>
        <v>0</v>
      </c>
      <c r="BW470" s="2" t="str">
        <f>VLOOKUP([jobnumber],OvalData[],MATCH(Table2[[#Headers],[bottombartype]],Table2[#Headers],0),0)</f>
        <v>SPECIAL</v>
      </c>
      <c r="BX470" s="2">
        <f>VLOOKUP([jobnumber],OvalData[],MATCH(Table2[[#Headers],[endlockweight]],Table2[#Headers],0),0)</f>
        <v>0.17</v>
      </c>
      <c r="BY470" s="2">
        <f>VLOOKUP([jobnumber],OvalData[],MATCH(Table2[[#Headers],[Endlock Total Weight]],Table2[#Headers],0),0)</f>
        <v>7.5972999999999997</v>
      </c>
      <c r="BZ470" s="2">
        <f>VLOOKUP([jobnumber],OvalData[],MATCH(Table2[[#Headers],[Grille Weight]],Table2[#Headers],0),0)</f>
        <v>0</v>
      </c>
      <c r="CA470" s="2">
        <f>VLOOKUP([jobnumber],OvalData[],MATCH(Table2[[#Headers],[barrelrings]],Table2[#Headers],0),0)</f>
        <v>1</v>
      </c>
    </row>
    <row r="471" spans="2:79">
      <c r="B471" s="2" t="str">
        <f>VLOOKUP([jobnumber],OvalData[],MATCH(Table2[[#Headers],[Hand]],Table2[#Headers],0),0)</f>
        <v>RH</v>
      </c>
      <c r="C471" s="2" t="str">
        <f>VLOOKUP([jobnumber],OvalData[],MATCH(Table2[[#Headers],[Model]],Table2[#Headers],0),0)</f>
        <v>SFMPP</v>
      </c>
      <c r="D471" s="2" t="str">
        <f>VLOOKUP([jobnumber],OvalData[],MATCH(Table2[[#Headers],[width]],Table2[#Headers],0),0)</f>
        <v xml:space="preserve"> 18 ft.- 2"</v>
      </c>
      <c r="E471" s="2" t="str">
        <f>VLOOKUP([jobnumber],OvalData[],MATCH(Table2[[#Headers],[stopheight]],Table2[#Headers],0),0)</f>
        <v xml:space="preserve"> 10 ft.- 0"</v>
      </c>
      <c r="F471" s="2" t="str">
        <f>VLOOKUP([jobnumber],OvalData[],MATCH(Table2[[#Headers],[Between Brackets]],Table2[#Headers],0),0)</f>
        <v xml:space="preserve"> 18 ft.- 7 7/ 8"</v>
      </c>
      <c r="G471" s="2" t="str">
        <f>VLOOKUP([jobnumber],OvalData[],MATCH(Table2[[#Headers],[shell]],Table2[#Headers],0),0)</f>
        <v>6 INCH TUBE</v>
      </c>
      <c r="H471" s="2" t="str">
        <f>VLOOKUP([jobnumber],OvalData[],MATCH(Table2[[#Headers],[pipewidth]],Table2[#Headers],0),0)</f>
        <v xml:space="preserve"> 18 ft.- 1 3/ 8"</v>
      </c>
      <c r="I471" s="2">
        <f>VLOOKUP([jobnumber],OvalData[],MATCH(Table2[[#Headers],[Support Tubes]],Table2[#Headers],0),0)</f>
        <v>0</v>
      </c>
      <c r="J471" s="2">
        <f>VLOOKUP([jobnumber],OvalData[],MATCH(Table2[[#Headers],[Upset]],Table2[#Headers],0),0)</f>
        <v>2</v>
      </c>
      <c r="K471" s="2" t="str">
        <f>VLOOKUP([jobnumber],OvalData[],MATCH(Table2[[#Headers],[Guide Type]],Table2[#Headers],0),0)</f>
        <v>SN2-4 5/8-E</v>
      </c>
      <c r="L471" s="2" t="str">
        <f>VLOOKUP([jobnumber],OvalData[],MATCH(Table2[[#Headers],[Wall Angle]],Table2[#Headers],0),0)</f>
        <v xml:space="preserve"> 11 ft.- 8"</v>
      </c>
      <c r="M471" s="2" t="str">
        <f>VLOOKUP([jobnumber],OvalData[],MATCH(Table2[[#Headers],[Middle Angle]],Table2[#Headers],0),0)</f>
        <v xml:space="preserve"> 10 ft.- 4 1/ 2"</v>
      </c>
      <c r="N471" s="2" t="str">
        <f>VLOOKUP([jobnumber],OvalData[],MATCH(Table2[[#Headers],[Front Angle]],Table2[#Headers],0),0)</f>
        <v xml:space="preserve"> 10 ft.- 3"</v>
      </c>
      <c r="O471" s="2">
        <f>VLOOKUP([jobnumber],OvalData[],MATCH(Table2[[#Headers],[Pipe Center Line]],Table2[#Headers],0),0)</f>
        <v>131</v>
      </c>
      <c r="P471" s="2">
        <f>VLOOKUP([jobnumber],OvalData[],MATCH(Table2[[#Headers],[Heat Expansion Gap]],Table2[#Headers],0),0)</f>
        <v>0</v>
      </c>
      <c r="Q471" s="2">
        <f>VLOOKUP([jobnumber],OvalData[],MATCH(Table2[[#Headers],[Hanging Weight Closed]],Table2[#Headers],0),0)</f>
        <v>795</v>
      </c>
      <c r="R471" s="2">
        <f>VLOOKUP([jobnumber],OvalData[],MATCH(Table2[[#Headers],[Hanging Weight Open]],Table2[#Headers],0),0)</f>
        <v>140</v>
      </c>
      <c r="S471" s="2">
        <f>VLOOKUP([jobnumber],OvalData[],MATCH(Table2[[#Headers],[Initial Lever Arm]],Table2[#Headers],0),0)</f>
        <v>4.25</v>
      </c>
      <c r="T471" s="2">
        <f>VLOOKUP([jobnumber],OvalData[],MATCH(Table2[[#Headers],[Turns to Raise]],Table2[#Headers],0),0)</f>
        <v>3.5859999999999999</v>
      </c>
      <c r="U471" s="2">
        <f>VLOOKUP([jobnumber],OvalData[],MATCH(Table2[[#Headers],[Final Lever Arm]],Table2[#Headers],0),0)</f>
        <v>6.37</v>
      </c>
      <c r="V471" s="2">
        <f>VLOOKUP([jobnumber],OvalData[],MATCH(Table2[[#Headers],[Torque Required Closed]],Table2[#Headers],0),0)</f>
        <v>3377.9</v>
      </c>
      <c r="W471" s="2">
        <f>VLOOKUP([jobnumber],OvalData[],MATCH(Table2[[#Headers],[Torque Required Open]],Table2[#Headers],0),0)</f>
        <v>892</v>
      </c>
      <c r="X471" s="2">
        <f>VLOOKUP([jobnumber],OvalData[],MATCH(Table2[[#Headers],[Pre Turns]],Table2[#Headers],0),0)</f>
        <v>1.3332999999999999</v>
      </c>
      <c r="Y471" s="2">
        <f>VLOOKUP([jobnumber],OvalData[],MATCH(Table2[[#Headers],[Required Torque Per Turn]],Table2[#Headers],0),0)</f>
        <v>688</v>
      </c>
      <c r="Z471" s="2">
        <f>VLOOKUP([jobnumber],OvalData[],MATCH(Table2[[#Headers],[Total Turns]],Table2[#Headers],0),0)</f>
        <v>4.91</v>
      </c>
      <c r="AA471" s="2">
        <f>VLOOKUP([jobnumber],OvalData[],MATCH(Table2[[#Headers],[Grille Vision Section]],Table2[#Headers],0),0)</f>
        <v>0</v>
      </c>
      <c r="AB471" s="2">
        <f>VLOOKUP([jobnumber],OvalData[],MATCH(Table2[[#Headers],[Grille Amount]],Table2[#Headers],0),0)</f>
        <v>0</v>
      </c>
      <c r="AC471" s="2">
        <f>VLOOKUP([jobnumber],OvalData[],MATCH(Table2[[#Headers],[Grille Center]],Table2[#Headers],0),0)</f>
        <v>0</v>
      </c>
      <c r="AD471" s="2">
        <f>VLOOKUP([jobnumber],OvalData[],MATCH(Table2[[#Headers],[Grille Pattern]],Table2[#Headers],0),0)</f>
        <v>0</v>
      </c>
      <c r="AE471" s="2">
        <f>VLOOKUP([jobnumber],OvalData[],MATCH(Table2[[#Headers],[Grille First Tube]],Table2[#Headers],0),0)</f>
        <v>0</v>
      </c>
      <c r="AF471" s="2">
        <f>VLOOKUP([jobnumber],OvalData[],MATCH(Table2[[#Headers],[Grille Standard Tube]],Table2[#Headers],0),0)</f>
        <v>0</v>
      </c>
      <c r="AG471" s="2">
        <f>VLOOKUP([jobnumber],OvalData[],MATCH(Table2[[#Headers],[Grille Total Links]],Table2[#Headers],0),0)</f>
        <v>0</v>
      </c>
      <c r="AH471" s="2">
        <f>VLOOKUP([jobnumber],OvalData[],MATCH(Table2[[#Headers],[Grille Rods]],Table2[#Headers],0),0)</f>
        <v>0</v>
      </c>
      <c r="AI471" s="2">
        <f>VLOOKUP([jobnumber],OvalData[],MATCH(Table2[[#Headers],[Grille Rod Length]],Table2[#Headers],0),0)</f>
        <v>0</v>
      </c>
      <c r="AJ471" s="2">
        <f>VLOOKUP([jobnumber],OvalData[],MATCH(Table2[[#Headers],[slattype]],Table2[#Headers],0),0)</f>
        <v>2</v>
      </c>
      <c r="AK471" s="2">
        <f>VLOOKUP([jobnumber],OvalData[],MATCH(Table2[[#Headers],[slatgage]],Table2[#Headers],0),0)</f>
        <v>18</v>
      </c>
      <c r="AL471" s="2">
        <f>VLOOKUP([jobnumber],OvalData[],MATCH(Table2[[#Headers],[Numer of Top Slats]],Table2[#Headers],0),0)</f>
        <v>0</v>
      </c>
      <c r="AM471" s="2">
        <f>VLOOKUP([jobnumber],OvalData[],MATCH(Table2[[#Headers],[Number of Bottom Slats]],Table2[#Headers],0),0)</f>
        <v>0</v>
      </c>
      <c r="AN471" s="2">
        <f>VLOOKUP([jobnumber],OvalData[],MATCH(Table2[[#Headers],[Solid Bottom Height]],Table2[#Headers],0),0)</f>
        <v>0</v>
      </c>
      <c r="AO471" s="2" t="str">
        <f>VLOOKUP([jobnumber],OvalData[],MATCH(Table2[[#Headers],[slatlength]],Table2[#Headers],0),0)</f>
        <v xml:space="preserve"> 18 ft.- 5 7/ 8"</v>
      </c>
      <c r="AP471" s="2">
        <f>VLOOKUP([jobnumber],OvalData[],MATCH(Table2[[#Headers],[Bottom Slat Length]],Table2[#Headers],0),0)</f>
        <v>0</v>
      </c>
      <c r="AQ471" s="2">
        <f>VLOOKUP([jobnumber],OvalData[],MATCH(Table2[[#Headers],[Number of Perferated Slats]],Table2[#Headers],0),0)</f>
        <v>0</v>
      </c>
      <c r="AR471" s="2">
        <f>VLOOKUP([jobnumber],OvalData[],MATCH(Table2[[#Headers],[First Preferated Slat From End]],Table2[#Headers],0),0)</f>
        <v>0</v>
      </c>
      <c r="AS471" s="2">
        <f>VLOOKUP([jobnumber],OvalData[],MATCH(Table2[[#Headers],[First Preferated Slat From Bottom]],Table2[#Headers],0),0)</f>
        <v>0</v>
      </c>
      <c r="AT471" s="2">
        <f>VLOOKUP([jobnumber],OvalData[],MATCH(Table2[[#Headers],[Total Number of Slats]],Table2[#Headers],0),0)</f>
        <v>51</v>
      </c>
      <c r="AU471" s="2">
        <f>VLOOKUP([jobnumber],OvalData[],MATCH(Table2[[#Headers],[Bottom Bar Slope]],Table2[#Headers],0),0)</f>
        <v>0</v>
      </c>
      <c r="AV471" s="2">
        <f>VLOOKUP([jobnumber],OvalData[],MATCH(Table2[[#Headers],[Bottom Bar Weight]],Table2[#Headers],0),0)</f>
        <v>80.5</v>
      </c>
      <c r="AW471" s="2" t="str">
        <f>VLOOKUP([jobnumber],OvalData[],MATCH(Table2[[#Headers],[Outer Spring Gage]],Table2[#Headers],0),0)</f>
        <v>Null</v>
      </c>
      <c r="AX471" s="2" t="str">
        <f>VLOOKUP([jobnumber],OvalData[],MATCH(Table2[[#Headers],[Outer Spring OD]],Table2[#Headers],0),0)</f>
        <v>Null</v>
      </c>
      <c r="AY471" s="2" t="str">
        <f>VLOOKUP([jobnumber],OvalData[],MATCH(Table2[[#Headers],[Outer Spring Length]],Table2[#Headers],0),0)</f>
        <v>Null</v>
      </c>
      <c r="AZ471" s="2" t="str">
        <f>VLOOKUP([jobnumber],OvalData[],MATCH(Table2[[#Headers],[Outer Spring Stretch]],Table2[#Headers],0),0)</f>
        <v>Null</v>
      </c>
      <c r="BA471" s="2" t="str">
        <f>VLOOKUP([jobnumber],OvalData[],MATCH(Table2[[#Headers],[Outer Spring Torque]],Table2[#Headers],0),0)</f>
        <v>Null</v>
      </c>
      <c r="BB471" s="2" t="str">
        <f>VLOOKUP([jobnumber],OvalData[],MATCH(Table2[[#Headers],[Outer Spring Max Turns]],Table2[#Headers],0),0)</f>
        <v>Null</v>
      </c>
      <c r="BC471" s="2" t="str">
        <f>VLOOKUP([jobnumber],OvalData[],MATCH(Table2[[#Headers],[Outer Spring Weight]],Table2[#Headers],0),0)</f>
        <v>Null</v>
      </c>
      <c r="BD471" s="2" t="str">
        <f>VLOOKUP([jobnumber],OvalData[],MATCH(Table2[[#Headers],[Inner Spring Gage]],Table2[#Headers],0),0)</f>
        <v>Null</v>
      </c>
      <c r="BE471" s="2" t="str">
        <f>VLOOKUP([jobnumber],OvalData[],MATCH(Table2[[#Headers],[Inner Spring OD]],Table2[#Headers],0),0)</f>
        <v>Null</v>
      </c>
      <c r="BF471" s="2" t="str">
        <f>VLOOKUP([jobnumber],OvalData[],MATCH(Table2[[#Headers],[Inner Spring Length]],Table2[#Headers],0),0)</f>
        <v>Null</v>
      </c>
      <c r="BG471" s="2" t="str">
        <f>VLOOKUP([jobnumber],OvalData[],MATCH(Table2[[#Headers],[Inner Spring Stretch]],Table2[#Headers],0),0)</f>
        <v>Null</v>
      </c>
      <c r="BH471" s="2" t="str">
        <f>VLOOKUP([jobnumber],OvalData[],MATCH(Table2[[#Headers],[Inner Spring Torque]],Table2[#Headers],0),0)</f>
        <v>Null</v>
      </c>
      <c r="BI471" s="2" t="str">
        <f>VLOOKUP([jobnumber],OvalData[],MATCH(Table2[[#Headers],[Inner Spring Max Turns]],Table2[#Headers],0),0)</f>
        <v>Null</v>
      </c>
      <c r="BJ471" s="2" t="str">
        <f>VLOOKUP([jobnumber],OvalData[],MATCH(Table2[[#Headers],[Inner Spring Weight]],Table2[#Headers],0),0)</f>
        <v>Null</v>
      </c>
      <c r="BK471" s="2">
        <f>VLOOKUP([jobnumber],OvalData[],MATCH(Table2[[#Headers],[Cycles]],Table2[#Headers],0),0)</f>
        <v>0</v>
      </c>
      <c r="BL471" s="2">
        <f>VLOOKUP([jobnumber],OvalData[],MATCH(Table2[[#Headers],[Total Spring Torque]],Table2[#Headers],0),0)</f>
        <v>0</v>
      </c>
      <c r="BM471" s="2">
        <f>VLOOKUP([jobnumber],OvalData[],MATCH(Table2[[#Headers],[Total Spring Weight]],Table2[#Headers],0),0)</f>
        <v>0</v>
      </c>
      <c r="BN471" s="2">
        <f>VLOOKUP([jobnumber],OvalData[],MATCH(Table2[[#Headers],[Pipe Weight]],Table2[#Headers],0),0)</f>
        <v>688.24239999999998</v>
      </c>
      <c r="BO471" s="2">
        <f>VLOOKUP([jobnumber],OvalData[],MATCH(Table2[[#Headers],[Max Pipe Deflection]],Table2[#Headers],0),0)</f>
        <v>2309</v>
      </c>
      <c r="BP471" s="2">
        <f>VLOOKUP([jobnumber],OvalData[],MATCH(Table2[[#Headers],[Number Non-Insulated Wrap Slats]],Table2[#Headers],0),0)</f>
        <v>0</v>
      </c>
      <c r="BQ471" s="2">
        <f>VLOOKUP([jobnumber],OvalData[],MATCH(Table2[[#Headers],[Number of Insolated Top Slats]],Table2[#Headers],0),0)</f>
        <v>45</v>
      </c>
      <c r="BR471" s="2">
        <f>VLOOKUP([jobnumber],OvalData[],MATCH(Table2[[#Headers],[Insolated Total Slats]],Table2[#Headers],0),0)</f>
        <v>45</v>
      </c>
      <c r="BS471" s="2">
        <f>VLOOKUP([jobnumber],OvalData[],MATCH(Table2[[#Headers],[Number of Slats]],Table2[#Headers],0),0)</f>
        <v>44.69</v>
      </c>
      <c r="BT471" s="2">
        <f>VLOOKUP([jobnumber],OvalData[],MATCH(Table2[[#Headers],[Wrap]],Table2[#Headers],0),0)</f>
        <v>0</v>
      </c>
      <c r="BU471" s="2">
        <f>VLOOKUP([jobnumber],OvalData[],MATCH(Table2[[#Headers],[Wall Angle Thickness]],Table2[#Headers],0),0)</f>
        <v>0</v>
      </c>
      <c r="BV471" s="2">
        <f>VLOOKUP([jobnumber],OvalData[],MATCH(Table2[[#Headers],[windlocks]],Table2[#Headers],0),0)</f>
        <v>0</v>
      </c>
      <c r="BW471" s="2" t="str">
        <f>VLOOKUP([jobnumber],OvalData[],MATCH(Table2[[#Headers],[bottombartype]],Table2[#Headers],0),0)</f>
        <v>SPECIAL</v>
      </c>
      <c r="BX471" s="2">
        <f>VLOOKUP([jobnumber],OvalData[],MATCH(Table2[[#Headers],[endlockweight]],Table2[#Headers],0),0)</f>
        <v>0.17</v>
      </c>
      <c r="BY471" s="2">
        <f>VLOOKUP([jobnumber],OvalData[],MATCH(Table2[[#Headers],[Endlock Total Weight]],Table2[#Headers],0),0)</f>
        <v>7.5972999999999997</v>
      </c>
      <c r="BZ471" s="2">
        <f>VLOOKUP([jobnumber],OvalData[],MATCH(Table2[[#Headers],[Grille Weight]],Table2[#Headers],0),0)</f>
        <v>0</v>
      </c>
      <c r="CA471" s="2">
        <f>VLOOKUP([jobnumber],OvalData[],MATCH(Table2[[#Headers],[barrelrings]],Table2[#Headers],0),0)</f>
        <v>1</v>
      </c>
    </row>
    <row r="472" spans="2:79">
      <c r="B472" s="2" t="str">
        <f>VLOOKUP([jobnumber],OvalData[],MATCH(Table2[[#Headers],[Hand]],Table2[#Headers],0),0)</f>
        <v>RH</v>
      </c>
      <c r="C472" s="2" t="str">
        <f>VLOOKUP([jobnumber],OvalData[],MATCH(Table2[[#Headers],[Model]],Table2[#Headers],0),0)</f>
        <v>SFMPP</v>
      </c>
      <c r="D472" s="2" t="str">
        <f>VLOOKUP([jobnumber],OvalData[],MATCH(Table2[[#Headers],[width]],Table2[#Headers],0),0)</f>
        <v xml:space="preserve"> 18 ft.- 2"</v>
      </c>
      <c r="E472" s="2" t="str">
        <f>VLOOKUP([jobnumber],OvalData[],MATCH(Table2[[#Headers],[stopheight]],Table2[#Headers],0),0)</f>
        <v xml:space="preserve"> 10 ft.- 0"</v>
      </c>
      <c r="F472" s="2" t="str">
        <f>VLOOKUP([jobnumber],OvalData[],MATCH(Table2[[#Headers],[Between Brackets]],Table2[#Headers],0),0)</f>
        <v xml:space="preserve"> 18 ft.- 7 7/ 8"</v>
      </c>
      <c r="G472" s="2" t="str">
        <f>VLOOKUP([jobnumber],OvalData[],MATCH(Table2[[#Headers],[shell]],Table2[#Headers],0),0)</f>
        <v>6 INCH TUBE</v>
      </c>
      <c r="H472" s="2" t="str">
        <f>VLOOKUP([jobnumber],OvalData[],MATCH(Table2[[#Headers],[pipewidth]],Table2[#Headers],0),0)</f>
        <v xml:space="preserve"> 18 ft.- 1 3/ 8"</v>
      </c>
      <c r="I472" s="2">
        <f>VLOOKUP([jobnumber],OvalData[],MATCH(Table2[[#Headers],[Support Tubes]],Table2[#Headers],0),0)</f>
        <v>0</v>
      </c>
      <c r="J472" s="2">
        <f>VLOOKUP([jobnumber],OvalData[],MATCH(Table2[[#Headers],[Upset]],Table2[#Headers],0),0)</f>
        <v>2</v>
      </c>
      <c r="K472" s="2" t="str">
        <f>VLOOKUP([jobnumber],OvalData[],MATCH(Table2[[#Headers],[Guide Type]],Table2[#Headers],0),0)</f>
        <v>SN2-4 5/8-E</v>
      </c>
      <c r="L472" s="2" t="str">
        <f>VLOOKUP([jobnumber],OvalData[],MATCH(Table2[[#Headers],[Wall Angle]],Table2[#Headers],0),0)</f>
        <v xml:space="preserve"> 11 ft.- 8"</v>
      </c>
      <c r="M472" s="2" t="str">
        <f>VLOOKUP([jobnumber],OvalData[],MATCH(Table2[[#Headers],[Middle Angle]],Table2[#Headers],0),0)</f>
        <v xml:space="preserve"> 10 ft.- 4 1/ 2"</v>
      </c>
      <c r="N472" s="2" t="str">
        <f>VLOOKUP([jobnumber],OvalData[],MATCH(Table2[[#Headers],[Front Angle]],Table2[#Headers],0),0)</f>
        <v xml:space="preserve"> 10 ft.- 3"</v>
      </c>
      <c r="O472" s="2">
        <f>VLOOKUP([jobnumber],OvalData[],MATCH(Table2[[#Headers],[Pipe Center Line]],Table2[#Headers],0),0)</f>
        <v>131</v>
      </c>
      <c r="P472" s="2">
        <f>VLOOKUP([jobnumber],OvalData[],MATCH(Table2[[#Headers],[Heat Expansion Gap]],Table2[#Headers],0),0)</f>
        <v>0</v>
      </c>
      <c r="Q472" s="2">
        <f>VLOOKUP([jobnumber],OvalData[],MATCH(Table2[[#Headers],[Hanging Weight Closed]],Table2[#Headers],0),0)</f>
        <v>795</v>
      </c>
      <c r="R472" s="2">
        <f>VLOOKUP([jobnumber],OvalData[],MATCH(Table2[[#Headers],[Hanging Weight Open]],Table2[#Headers],0),0)</f>
        <v>140</v>
      </c>
      <c r="S472" s="2">
        <f>VLOOKUP([jobnumber],OvalData[],MATCH(Table2[[#Headers],[Initial Lever Arm]],Table2[#Headers],0),0)</f>
        <v>4.25</v>
      </c>
      <c r="T472" s="2">
        <f>VLOOKUP([jobnumber],OvalData[],MATCH(Table2[[#Headers],[Turns to Raise]],Table2[#Headers],0),0)</f>
        <v>3.5859999999999999</v>
      </c>
      <c r="U472" s="2">
        <f>VLOOKUP([jobnumber],OvalData[],MATCH(Table2[[#Headers],[Final Lever Arm]],Table2[#Headers],0),0)</f>
        <v>6.37</v>
      </c>
      <c r="V472" s="2">
        <f>VLOOKUP([jobnumber],OvalData[],MATCH(Table2[[#Headers],[Torque Required Closed]],Table2[#Headers],0),0)</f>
        <v>3377.9</v>
      </c>
      <c r="W472" s="2">
        <f>VLOOKUP([jobnumber],OvalData[],MATCH(Table2[[#Headers],[Torque Required Open]],Table2[#Headers],0),0)</f>
        <v>892</v>
      </c>
      <c r="X472" s="2">
        <f>VLOOKUP([jobnumber],OvalData[],MATCH(Table2[[#Headers],[Pre Turns]],Table2[#Headers],0),0)</f>
        <v>1.3332999999999999</v>
      </c>
      <c r="Y472" s="2">
        <f>VLOOKUP([jobnumber],OvalData[],MATCH(Table2[[#Headers],[Required Torque Per Turn]],Table2[#Headers],0),0)</f>
        <v>688</v>
      </c>
      <c r="Z472" s="2">
        <f>VLOOKUP([jobnumber],OvalData[],MATCH(Table2[[#Headers],[Total Turns]],Table2[#Headers],0),0)</f>
        <v>4.91</v>
      </c>
      <c r="AA472" s="2">
        <f>VLOOKUP([jobnumber],OvalData[],MATCH(Table2[[#Headers],[Grille Vision Section]],Table2[#Headers],0),0)</f>
        <v>0</v>
      </c>
      <c r="AB472" s="2">
        <f>VLOOKUP([jobnumber],OvalData[],MATCH(Table2[[#Headers],[Grille Amount]],Table2[#Headers],0),0)</f>
        <v>0</v>
      </c>
      <c r="AC472" s="2">
        <f>VLOOKUP([jobnumber],OvalData[],MATCH(Table2[[#Headers],[Grille Center]],Table2[#Headers],0),0)</f>
        <v>0</v>
      </c>
      <c r="AD472" s="2">
        <f>VLOOKUP([jobnumber],OvalData[],MATCH(Table2[[#Headers],[Grille Pattern]],Table2[#Headers],0),0)</f>
        <v>0</v>
      </c>
      <c r="AE472" s="2">
        <f>VLOOKUP([jobnumber],OvalData[],MATCH(Table2[[#Headers],[Grille First Tube]],Table2[#Headers],0),0)</f>
        <v>0</v>
      </c>
      <c r="AF472" s="2">
        <f>VLOOKUP([jobnumber],OvalData[],MATCH(Table2[[#Headers],[Grille Standard Tube]],Table2[#Headers],0),0)</f>
        <v>0</v>
      </c>
      <c r="AG472" s="2">
        <f>VLOOKUP([jobnumber],OvalData[],MATCH(Table2[[#Headers],[Grille Total Links]],Table2[#Headers],0),0)</f>
        <v>0</v>
      </c>
      <c r="AH472" s="2">
        <f>VLOOKUP([jobnumber],OvalData[],MATCH(Table2[[#Headers],[Grille Rods]],Table2[#Headers],0),0)</f>
        <v>0</v>
      </c>
      <c r="AI472" s="2">
        <f>VLOOKUP([jobnumber],OvalData[],MATCH(Table2[[#Headers],[Grille Rod Length]],Table2[#Headers],0),0)</f>
        <v>0</v>
      </c>
      <c r="AJ472" s="2">
        <f>VLOOKUP([jobnumber],OvalData[],MATCH(Table2[[#Headers],[slattype]],Table2[#Headers],0),0)</f>
        <v>2</v>
      </c>
      <c r="AK472" s="2">
        <f>VLOOKUP([jobnumber],OvalData[],MATCH(Table2[[#Headers],[slatgage]],Table2[#Headers],0),0)</f>
        <v>18</v>
      </c>
      <c r="AL472" s="2">
        <f>VLOOKUP([jobnumber],OvalData[],MATCH(Table2[[#Headers],[Numer of Top Slats]],Table2[#Headers],0),0)</f>
        <v>0</v>
      </c>
      <c r="AM472" s="2">
        <f>VLOOKUP([jobnumber],OvalData[],MATCH(Table2[[#Headers],[Number of Bottom Slats]],Table2[#Headers],0),0)</f>
        <v>0</v>
      </c>
      <c r="AN472" s="2">
        <f>VLOOKUP([jobnumber],OvalData[],MATCH(Table2[[#Headers],[Solid Bottom Height]],Table2[#Headers],0),0)</f>
        <v>0</v>
      </c>
      <c r="AO472" s="2" t="str">
        <f>VLOOKUP([jobnumber],OvalData[],MATCH(Table2[[#Headers],[slatlength]],Table2[#Headers],0),0)</f>
        <v xml:space="preserve"> 18 ft.- 5 7/ 8"</v>
      </c>
      <c r="AP472" s="2">
        <f>VLOOKUP([jobnumber],OvalData[],MATCH(Table2[[#Headers],[Bottom Slat Length]],Table2[#Headers],0),0)</f>
        <v>0</v>
      </c>
      <c r="AQ472" s="2">
        <f>VLOOKUP([jobnumber],OvalData[],MATCH(Table2[[#Headers],[Number of Perferated Slats]],Table2[#Headers],0),0)</f>
        <v>0</v>
      </c>
      <c r="AR472" s="2">
        <f>VLOOKUP([jobnumber],OvalData[],MATCH(Table2[[#Headers],[First Preferated Slat From End]],Table2[#Headers],0),0)</f>
        <v>0</v>
      </c>
      <c r="AS472" s="2">
        <f>VLOOKUP([jobnumber],OvalData[],MATCH(Table2[[#Headers],[First Preferated Slat From Bottom]],Table2[#Headers],0),0)</f>
        <v>0</v>
      </c>
      <c r="AT472" s="2">
        <f>VLOOKUP([jobnumber],OvalData[],MATCH(Table2[[#Headers],[Total Number of Slats]],Table2[#Headers],0),0)</f>
        <v>51</v>
      </c>
      <c r="AU472" s="2">
        <f>VLOOKUP([jobnumber],OvalData[],MATCH(Table2[[#Headers],[Bottom Bar Slope]],Table2[#Headers],0),0)</f>
        <v>0</v>
      </c>
      <c r="AV472" s="2">
        <f>VLOOKUP([jobnumber],OvalData[],MATCH(Table2[[#Headers],[Bottom Bar Weight]],Table2[#Headers],0),0)</f>
        <v>80.5</v>
      </c>
      <c r="AW472" s="2" t="str">
        <f>VLOOKUP([jobnumber],OvalData[],MATCH(Table2[[#Headers],[Outer Spring Gage]],Table2[#Headers],0),0)</f>
        <v>Null</v>
      </c>
      <c r="AX472" s="2" t="str">
        <f>VLOOKUP([jobnumber],OvalData[],MATCH(Table2[[#Headers],[Outer Spring OD]],Table2[#Headers],0),0)</f>
        <v>Null</v>
      </c>
      <c r="AY472" s="2" t="str">
        <f>VLOOKUP([jobnumber],OvalData[],MATCH(Table2[[#Headers],[Outer Spring Length]],Table2[#Headers],0),0)</f>
        <v>Null</v>
      </c>
      <c r="AZ472" s="2" t="str">
        <f>VLOOKUP([jobnumber],OvalData[],MATCH(Table2[[#Headers],[Outer Spring Stretch]],Table2[#Headers],0),0)</f>
        <v>Null</v>
      </c>
      <c r="BA472" s="2" t="str">
        <f>VLOOKUP([jobnumber],OvalData[],MATCH(Table2[[#Headers],[Outer Spring Torque]],Table2[#Headers],0),0)</f>
        <v>Null</v>
      </c>
      <c r="BB472" s="2" t="str">
        <f>VLOOKUP([jobnumber],OvalData[],MATCH(Table2[[#Headers],[Outer Spring Max Turns]],Table2[#Headers],0),0)</f>
        <v>Null</v>
      </c>
      <c r="BC472" s="2" t="str">
        <f>VLOOKUP([jobnumber],OvalData[],MATCH(Table2[[#Headers],[Outer Spring Weight]],Table2[#Headers],0),0)</f>
        <v>Null</v>
      </c>
      <c r="BD472" s="2" t="str">
        <f>VLOOKUP([jobnumber],OvalData[],MATCH(Table2[[#Headers],[Inner Spring Gage]],Table2[#Headers],0),0)</f>
        <v>Null</v>
      </c>
      <c r="BE472" s="2" t="str">
        <f>VLOOKUP([jobnumber],OvalData[],MATCH(Table2[[#Headers],[Inner Spring OD]],Table2[#Headers],0),0)</f>
        <v>Null</v>
      </c>
      <c r="BF472" s="2" t="str">
        <f>VLOOKUP([jobnumber],OvalData[],MATCH(Table2[[#Headers],[Inner Spring Length]],Table2[#Headers],0),0)</f>
        <v>Null</v>
      </c>
      <c r="BG472" s="2" t="str">
        <f>VLOOKUP([jobnumber],OvalData[],MATCH(Table2[[#Headers],[Inner Spring Stretch]],Table2[#Headers],0),0)</f>
        <v>Null</v>
      </c>
      <c r="BH472" s="2" t="str">
        <f>VLOOKUP([jobnumber],OvalData[],MATCH(Table2[[#Headers],[Inner Spring Torque]],Table2[#Headers],0),0)</f>
        <v>Null</v>
      </c>
      <c r="BI472" s="2" t="str">
        <f>VLOOKUP([jobnumber],OvalData[],MATCH(Table2[[#Headers],[Inner Spring Max Turns]],Table2[#Headers],0),0)</f>
        <v>Null</v>
      </c>
      <c r="BJ472" s="2" t="str">
        <f>VLOOKUP([jobnumber],OvalData[],MATCH(Table2[[#Headers],[Inner Spring Weight]],Table2[#Headers],0),0)</f>
        <v>Null</v>
      </c>
      <c r="BK472" s="2">
        <f>VLOOKUP([jobnumber],OvalData[],MATCH(Table2[[#Headers],[Cycles]],Table2[#Headers],0),0)</f>
        <v>0</v>
      </c>
      <c r="BL472" s="2">
        <f>VLOOKUP([jobnumber],OvalData[],MATCH(Table2[[#Headers],[Total Spring Torque]],Table2[#Headers],0),0)</f>
        <v>0</v>
      </c>
      <c r="BM472" s="2">
        <f>VLOOKUP([jobnumber],OvalData[],MATCH(Table2[[#Headers],[Total Spring Weight]],Table2[#Headers],0),0)</f>
        <v>0</v>
      </c>
      <c r="BN472" s="2">
        <f>VLOOKUP([jobnumber],OvalData[],MATCH(Table2[[#Headers],[Pipe Weight]],Table2[#Headers],0),0)</f>
        <v>688.24239999999998</v>
      </c>
      <c r="BO472" s="2">
        <f>VLOOKUP([jobnumber],OvalData[],MATCH(Table2[[#Headers],[Max Pipe Deflection]],Table2[#Headers],0),0)</f>
        <v>2309</v>
      </c>
      <c r="BP472" s="2">
        <f>VLOOKUP([jobnumber],OvalData[],MATCH(Table2[[#Headers],[Number Non-Insulated Wrap Slats]],Table2[#Headers],0),0)</f>
        <v>0</v>
      </c>
      <c r="BQ472" s="2">
        <f>VLOOKUP([jobnumber],OvalData[],MATCH(Table2[[#Headers],[Number of Insolated Top Slats]],Table2[#Headers],0),0)</f>
        <v>45</v>
      </c>
      <c r="BR472" s="2">
        <f>VLOOKUP([jobnumber],OvalData[],MATCH(Table2[[#Headers],[Insolated Total Slats]],Table2[#Headers],0),0)</f>
        <v>45</v>
      </c>
      <c r="BS472" s="2">
        <f>VLOOKUP([jobnumber],OvalData[],MATCH(Table2[[#Headers],[Number of Slats]],Table2[#Headers],0),0)</f>
        <v>44.69</v>
      </c>
      <c r="BT472" s="2">
        <f>VLOOKUP([jobnumber],OvalData[],MATCH(Table2[[#Headers],[Wrap]],Table2[#Headers],0),0)</f>
        <v>0</v>
      </c>
      <c r="BU472" s="2">
        <f>VLOOKUP([jobnumber],OvalData[],MATCH(Table2[[#Headers],[Wall Angle Thickness]],Table2[#Headers],0),0)</f>
        <v>0</v>
      </c>
      <c r="BV472" s="2">
        <f>VLOOKUP([jobnumber],OvalData[],MATCH(Table2[[#Headers],[windlocks]],Table2[#Headers],0),0)</f>
        <v>0</v>
      </c>
      <c r="BW472" s="2" t="str">
        <f>VLOOKUP([jobnumber],OvalData[],MATCH(Table2[[#Headers],[bottombartype]],Table2[#Headers],0),0)</f>
        <v>SPECIAL</v>
      </c>
      <c r="BX472" s="2">
        <f>VLOOKUP([jobnumber],OvalData[],MATCH(Table2[[#Headers],[endlockweight]],Table2[#Headers],0),0)</f>
        <v>0.17</v>
      </c>
      <c r="BY472" s="2">
        <f>VLOOKUP([jobnumber],OvalData[],MATCH(Table2[[#Headers],[Endlock Total Weight]],Table2[#Headers],0),0)</f>
        <v>7.5972999999999997</v>
      </c>
      <c r="BZ472" s="2">
        <f>VLOOKUP([jobnumber],OvalData[],MATCH(Table2[[#Headers],[Grille Weight]],Table2[#Headers],0),0)</f>
        <v>0</v>
      </c>
      <c r="CA472" s="2">
        <f>VLOOKUP([jobnumber],OvalData[],MATCH(Table2[[#Headers],[barrelrings]],Table2[#Headers],0),0)</f>
        <v>1</v>
      </c>
    </row>
    <row r="473" spans="2:79">
      <c r="B473" s="2" t="str">
        <f>VLOOKUP([jobnumber],OvalData[],MATCH(Table2[[#Headers],[Hand]],Table2[#Headers],0),0)</f>
        <v>RH</v>
      </c>
      <c r="C473" s="2" t="str">
        <f>VLOOKUP([jobnumber],OvalData[],MATCH(Table2[[#Headers],[Model]],Table2[#Headers],0),0)</f>
        <v>SFMPP</v>
      </c>
      <c r="D473" s="2" t="str">
        <f>VLOOKUP([jobnumber],OvalData[],MATCH(Table2[[#Headers],[width]],Table2[#Headers],0),0)</f>
        <v xml:space="preserve"> 18 ft.- 2"</v>
      </c>
      <c r="E473" s="2" t="str">
        <f>VLOOKUP([jobnumber],OvalData[],MATCH(Table2[[#Headers],[stopheight]],Table2[#Headers],0),0)</f>
        <v xml:space="preserve"> 10 ft.- 0"</v>
      </c>
      <c r="F473" s="2" t="str">
        <f>VLOOKUP([jobnumber],OvalData[],MATCH(Table2[[#Headers],[Between Brackets]],Table2[#Headers],0),0)</f>
        <v xml:space="preserve"> 18 ft.- 7 7/ 8"</v>
      </c>
      <c r="G473" s="2" t="str">
        <f>VLOOKUP([jobnumber],OvalData[],MATCH(Table2[[#Headers],[shell]],Table2[#Headers],0),0)</f>
        <v>6 INCH TUBE</v>
      </c>
      <c r="H473" s="2" t="str">
        <f>VLOOKUP([jobnumber],OvalData[],MATCH(Table2[[#Headers],[pipewidth]],Table2[#Headers],0),0)</f>
        <v xml:space="preserve"> 18 ft.- 1 3/ 8"</v>
      </c>
      <c r="I473" s="2">
        <f>VLOOKUP([jobnumber],OvalData[],MATCH(Table2[[#Headers],[Support Tubes]],Table2[#Headers],0),0)</f>
        <v>0</v>
      </c>
      <c r="J473" s="2">
        <f>VLOOKUP([jobnumber],OvalData[],MATCH(Table2[[#Headers],[Upset]],Table2[#Headers],0),0)</f>
        <v>2</v>
      </c>
      <c r="K473" s="2" t="str">
        <f>VLOOKUP([jobnumber],OvalData[],MATCH(Table2[[#Headers],[Guide Type]],Table2[#Headers],0),0)</f>
        <v>SN2-4 5/8-E</v>
      </c>
      <c r="L473" s="2" t="str">
        <f>VLOOKUP([jobnumber],OvalData[],MATCH(Table2[[#Headers],[Wall Angle]],Table2[#Headers],0),0)</f>
        <v xml:space="preserve"> 11 ft.- 8"</v>
      </c>
      <c r="M473" s="2" t="str">
        <f>VLOOKUP([jobnumber],OvalData[],MATCH(Table2[[#Headers],[Middle Angle]],Table2[#Headers],0),0)</f>
        <v xml:space="preserve"> 10 ft.- 4 1/ 2"</v>
      </c>
      <c r="N473" s="2" t="str">
        <f>VLOOKUP([jobnumber],OvalData[],MATCH(Table2[[#Headers],[Front Angle]],Table2[#Headers],0),0)</f>
        <v xml:space="preserve"> 10 ft.- 3"</v>
      </c>
      <c r="O473" s="2">
        <f>VLOOKUP([jobnumber],OvalData[],MATCH(Table2[[#Headers],[Pipe Center Line]],Table2[#Headers],0),0)</f>
        <v>131</v>
      </c>
      <c r="P473" s="2">
        <f>VLOOKUP([jobnumber],OvalData[],MATCH(Table2[[#Headers],[Heat Expansion Gap]],Table2[#Headers],0),0)</f>
        <v>0</v>
      </c>
      <c r="Q473" s="2">
        <f>VLOOKUP([jobnumber],OvalData[],MATCH(Table2[[#Headers],[Hanging Weight Closed]],Table2[#Headers],0),0)</f>
        <v>795</v>
      </c>
      <c r="R473" s="2">
        <f>VLOOKUP([jobnumber],OvalData[],MATCH(Table2[[#Headers],[Hanging Weight Open]],Table2[#Headers],0),0)</f>
        <v>140</v>
      </c>
      <c r="S473" s="2">
        <f>VLOOKUP([jobnumber],OvalData[],MATCH(Table2[[#Headers],[Initial Lever Arm]],Table2[#Headers],0),0)</f>
        <v>4.25</v>
      </c>
      <c r="T473" s="2">
        <f>VLOOKUP([jobnumber],OvalData[],MATCH(Table2[[#Headers],[Turns to Raise]],Table2[#Headers],0),0)</f>
        <v>3.5859999999999999</v>
      </c>
      <c r="U473" s="2">
        <f>VLOOKUP([jobnumber],OvalData[],MATCH(Table2[[#Headers],[Final Lever Arm]],Table2[#Headers],0),0)</f>
        <v>6.37</v>
      </c>
      <c r="V473" s="2">
        <f>VLOOKUP([jobnumber],OvalData[],MATCH(Table2[[#Headers],[Torque Required Closed]],Table2[#Headers],0),0)</f>
        <v>3377.9</v>
      </c>
      <c r="W473" s="2">
        <f>VLOOKUP([jobnumber],OvalData[],MATCH(Table2[[#Headers],[Torque Required Open]],Table2[#Headers],0),0)</f>
        <v>892</v>
      </c>
      <c r="X473" s="2">
        <f>VLOOKUP([jobnumber],OvalData[],MATCH(Table2[[#Headers],[Pre Turns]],Table2[#Headers],0),0)</f>
        <v>1.3332999999999999</v>
      </c>
      <c r="Y473" s="2">
        <f>VLOOKUP([jobnumber],OvalData[],MATCH(Table2[[#Headers],[Required Torque Per Turn]],Table2[#Headers],0),0)</f>
        <v>688</v>
      </c>
      <c r="Z473" s="2">
        <f>VLOOKUP([jobnumber],OvalData[],MATCH(Table2[[#Headers],[Total Turns]],Table2[#Headers],0),0)</f>
        <v>4.91</v>
      </c>
      <c r="AA473" s="2">
        <f>VLOOKUP([jobnumber],OvalData[],MATCH(Table2[[#Headers],[Grille Vision Section]],Table2[#Headers],0),0)</f>
        <v>0</v>
      </c>
      <c r="AB473" s="2">
        <f>VLOOKUP([jobnumber],OvalData[],MATCH(Table2[[#Headers],[Grille Amount]],Table2[#Headers],0),0)</f>
        <v>0</v>
      </c>
      <c r="AC473" s="2">
        <f>VLOOKUP([jobnumber],OvalData[],MATCH(Table2[[#Headers],[Grille Center]],Table2[#Headers],0),0)</f>
        <v>0</v>
      </c>
      <c r="AD473" s="2">
        <f>VLOOKUP([jobnumber],OvalData[],MATCH(Table2[[#Headers],[Grille Pattern]],Table2[#Headers],0),0)</f>
        <v>0</v>
      </c>
      <c r="AE473" s="2">
        <f>VLOOKUP([jobnumber],OvalData[],MATCH(Table2[[#Headers],[Grille First Tube]],Table2[#Headers],0),0)</f>
        <v>0</v>
      </c>
      <c r="AF473" s="2">
        <f>VLOOKUP([jobnumber],OvalData[],MATCH(Table2[[#Headers],[Grille Standard Tube]],Table2[#Headers],0),0)</f>
        <v>0</v>
      </c>
      <c r="AG473" s="2">
        <f>VLOOKUP([jobnumber],OvalData[],MATCH(Table2[[#Headers],[Grille Total Links]],Table2[#Headers],0),0)</f>
        <v>0</v>
      </c>
      <c r="AH473" s="2">
        <f>VLOOKUP([jobnumber],OvalData[],MATCH(Table2[[#Headers],[Grille Rods]],Table2[#Headers],0),0)</f>
        <v>0</v>
      </c>
      <c r="AI473" s="2">
        <f>VLOOKUP([jobnumber],OvalData[],MATCH(Table2[[#Headers],[Grille Rod Length]],Table2[#Headers],0),0)</f>
        <v>0</v>
      </c>
      <c r="AJ473" s="2">
        <f>VLOOKUP([jobnumber],OvalData[],MATCH(Table2[[#Headers],[slattype]],Table2[#Headers],0),0)</f>
        <v>2</v>
      </c>
      <c r="AK473" s="2">
        <f>VLOOKUP([jobnumber],OvalData[],MATCH(Table2[[#Headers],[slatgage]],Table2[#Headers],0),0)</f>
        <v>18</v>
      </c>
      <c r="AL473" s="2">
        <f>VLOOKUP([jobnumber],OvalData[],MATCH(Table2[[#Headers],[Numer of Top Slats]],Table2[#Headers],0),0)</f>
        <v>0</v>
      </c>
      <c r="AM473" s="2">
        <f>VLOOKUP([jobnumber],OvalData[],MATCH(Table2[[#Headers],[Number of Bottom Slats]],Table2[#Headers],0),0)</f>
        <v>0</v>
      </c>
      <c r="AN473" s="2">
        <f>VLOOKUP([jobnumber],OvalData[],MATCH(Table2[[#Headers],[Solid Bottom Height]],Table2[#Headers],0),0)</f>
        <v>0</v>
      </c>
      <c r="AO473" s="2" t="str">
        <f>VLOOKUP([jobnumber],OvalData[],MATCH(Table2[[#Headers],[slatlength]],Table2[#Headers],0),0)</f>
        <v xml:space="preserve"> 18 ft.- 5 7/ 8"</v>
      </c>
      <c r="AP473" s="2">
        <f>VLOOKUP([jobnumber],OvalData[],MATCH(Table2[[#Headers],[Bottom Slat Length]],Table2[#Headers],0),0)</f>
        <v>0</v>
      </c>
      <c r="AQ473" s="2">
        <f>VLOOKUP([jobnumber],OvalData[],MATCH(Table2[[#Headers],[Number of Perferated Slats]],Table2[#Headers],0),0)</f>
        <v>0</v>
      </c>
      <c r="AR473" s="2">
        <f>VLOOKUP([jobnumber],OvalData[],MATCH(Table2[[#Headers],[First Preferated Slat From End]],Table2[#Headers],0),0)</f>
        <v>0</v>
      </c>
      <c r="AS473" s="2">
        <f>VLOOKUP([jobnumber],OvalData[],MATCH(Table2[[#Headers],[First Preferated Slat From Bottom]],Table2[#Headers],0),0)</f>
        <v>0</v>
      </c>
      <c r="AT473" s="2">
        <f>VLOOKUP([jobnumber],OvalData[],MATCH(Table2[[#Headers],[Total Number of Slats]],Table2[#Headers],0),0)</f>
        <v>51</v>
      </c>
      <c r="AU473" s="2">
        <f>VLOOKUP([jobnumber],OvalData[],MATCH(Table2[[#Headers],[Bottom Bar Slope]],Table2[#Headers],0),0)</f>
        <v>0</v>
      </c>
      <c r="AV473" s="2">
        <f>VLOOKUP([jobnumber],OvalData[],MATCH(Table2[[#Headers],[Bottom Bar Weight]],Table2[#Headers],0),0)</f>
        <v>80.5</v>
      </c>
      <c r="AW473" s="2" t="str">
        <f>VLOOKUP([jobnumber],OvalData[],MATCH(Table2[[#Headers],[Outer Spring Gage]],Table2[#Headers],0),0)</f>
        <v>Null</v>
      </c>
      <c r="AX473" s="2" t="str">
        <f>VLOOKUP([jobnumber],OvalData[],MATCH(Table2[[#Headers],[Outer Spring OD]],Table2[#Headers],0),0)</f>
        <v>Null</v>
      </c>
      <c r="AY473" s="2" t="str">
        <f>VLOOKUP([jobnumber],OvalData[],MATCH(Table2[[#Headers],[Outer Spring Length]],Table2[#Headers],0),0)</f>
        <v>Null</v>
      </c>
      <c r="AZ473" s="2" t="str">
        <f>VLOOKUP([jobnumber],OvalData[],MATCH(Table2[[#Headers],[Outer Spring Stretch]],Table2[#Headers],0),0)</f>
        <v>Null</v>
      </c>
      <c r="BA473" s="2" t="str">
        <f>VLOOKUP([jobnumber],OvalData[],MATCH(Table2[[#Headers],[Outer Spring Torque]],Table2[#Headers],0),0)</f>
        <v>Null</v>
      </c>
      <c r="BB473" s="2" t="str">
        <f>VLOOKUP([jobnumber],OvalData[],MATCH(Table2[[#Headers],[Outer Spring Max Turns]],Table2[#Headers],0),0)</f>
        <v>Null</v>
      </c>
      <c r="BC473" s="2" t="str">
        <f>VLOOKUP([jobnumber],OvalData[],MATCH(Table2[[#Headers],[Outer Spring Weight]],Table2[#Headers],0),0)</f>
        <v>Null</v>
      </c>
      <c r="BD473" s="2" t="str">
        <f>VLOOKUP([jobnumber],OvalData[],MATCH(Table2[[#Headers],[Inner Spring Gage]],Table2[#Headers],0),0)</f>
        <v>Null</v>
      </c>
      <c r="BE473" s="2" t="str">
        <f>VLOOKUP([jobnumber],OvalData[],MATCH(Table2[[#Headers],[Inner Spring OD]],Table2[#Headers],0),0)</f>
        <v>Null</v>
      </c>
      <c r="BF473" s="2" t="str">
        <f>VLOOKUP([jobnumber],OvalData[],MATCH(Table2[[#Headers],[Inner Spring Length]],Table2[#Headers],0),0)</f>
        <v>Null</v>
      </c>
      <c r="BG473" s="2" t="str">
        <f>VLOOKUP([jobnumber],OvalData[],MATCH(Table2[[#Headers],[Inner Spring Stretch]],Table2[#Headers],0),0)</f>
        <v>Null</v>
      </c>
      <c r="BH473" s="2" t="str">
        <f>VLOOKUP([jobnumber],OvalData[],MATCH(Table2[[#Headers],[Inner Spring Torque]],Table2[#Headers],0),0)</f>
        <v>Null</v>
      </c>
      <c r="BI473" s="2" t="str">
        <f>VLOOKUP([jobnumber],OvalData[],MATCH(Table2[[#Headers],[Inner Spring Max Turns]],Table2[#Headers],0),0)</f>
        <v>Null</v>
      </c>
      <c r="BJ473" s="2" t="str">
        <f>VLOOKUP([jobnumber],OvalData[],MATCH(Table2[[#Headers],[Inner Spring Weight]],Table2[#Headers],0),0)</f>
        <v>Null</v>
      </c>
      <c r="BK473" s="2">
        <f>VLOOKUP([jobnumber],OvalData[],MATCH(Table2[[#Headers],[Cycles]],Table2[#Headers],0),0)</f>
        <v>0</v>
      </c>
      <c r="BL473" s="2">
        <f>VLOOKUP([jobnumber],OvalData[],MATCH(Table2[[#Headers],[Total Spring Torque]],Table2[#Headers],0),0)</f>
        <v>0</v>
      </c>
      <c r="BM473" s="2">
        <f>VLOOKUP([jobnumber],OvalData[],MATCH(Table2[[#Headers],[Total Spring Weight]],Table2[#Headers],0),0)</f>
        <v>0</v>
      </c>
      <c r="BN473" s="2">
        <f>VLOOKUP([jobnumber],OvalData[],MATCH(Table2[[#Headers],[Pipe Weight]],Table2[#Headers],0),0)</f>
        <v>688.24239999999998</v>
      </c>
      <c r="BO473" s="2">
        <f>VLOOKUP([jobnumber],OvalData[],MATCH(Table2[[#Headers],[Max Pipe Deflection]],Table2[#Headers],0),0)</f>
        <v>2309</v>
      </c>
      <c r="BP473" s="2">
        <f>VLOOKUP([jobnumber],OvalData[],MATCH(Table2[[#Headers],[Number Non-Insulated Wrap Slats]],Table2[#Headers],0),0)</f>
        <v>0</v>
      </c>
      <c r="BQ473" s="2">
        <f>VLOOKUP([jobnumber],OvalData[],MATCH(Table2[[#Headers],[Number of Insolated Top Slats]],Table2[#Headers],0),0)</f>
        <v>45</v>
      </c>
      <c r="BR473" s="2">
        <f>VLOOKUP([jobnumber],OvalData[],MATCH(Table2[[#Headers],[Insolated Total Slats]],Table2[#Headers],0),0)</f>
        <v>45</v>
      </c>
      <c r="BS473" s="2">
        <f>VLOOKUP([jobnumber],OvalData[],MATCH(Table2[[#Headers],[Number of Slats]],Table2[#Headers],0),0)</f>
        <v>44.69</v>
      </c>
      <c r="BT473" s="2">
        <f>VLOOKUP([jobnumber],OvalData[],MATCH(Table2[[#Headers],[Wrap]],Table2[#Headers],0),0)</f>
        <v>0</v>
      </c>
      <c r="BU473" s="2">
        <f>VLOOKUP([jobnumber],OvalData[],MATCH(Table2[[#Headers],[Wall Angle Thickness]],Table2[#Headers],0),0)</f>
        <v>0</v>
      </c>
      <c r="BV473" s="2">
        <f>VLOOKUP([jobnumber],OvalData[],MATCH(Table2[[#Headers],[windlocks]],Table2[#Headers],0),0)</f>
        <v>0</v>
      </c>
      <c r="BW473" s="2" t="str">
        <f>VLOOKUP([jobnumber],OvalData[],MATCH(Table2[[#Headers],[bottombartype]],Table2[#Headers],0),0)</f>
        <v>SPECIAL</v>
      </c>
      <c r="BX473" s="2">
        <f>VLOOKUP([jobnumber],OvalData[],MATCH(Table2[[#Headers],[endlockweight]],Table2[#Headers],0),0)</f>
        <v>0.17</v>
      </c>
      <c r="BY473" s="2">
        <f>VLOOKUP([jobnumber],OvalData[],MATCH(Table2[[#Headers],[Endlock Total Weight]],Table2[#Headers],0),0)</f>
        <v>7.5972999999999997</v>
      </c>
      <c r="BZ473" s="2">
        <f>VLOOKUP([jobnumber],OvalData[],MATCH(Table2[[#Headers],[Grille Weight]],Table2[#Headers],0),0)</f>
        <v>0</v>
      </c>
      <c r="CA473" s="2">
        <f>VLOOKUP([jobnumber],OvalData[],MATCH(Table2[[#Headers],[barrelrings]],Table2[#Headers],0),0)</f>
        <v>1</v>
      </c>
    </row>
    <row r="474" spans="2:79">
      <c r="B474" s="2" t="str">
        <f>VLOOKUP([jobnumber],OvalData[],MATCH(Table2[[#Headers],[Hand]],Table2[#Headers],0),0)</f>
        <v>RH</v>
      </c>
      <c r="C474" s="2" t="str">
        <f>VLOOKUP([jobnumber],OvalData[],MATCH(Table2[[#Headers],[Model]],Table2[#Headers],0),0)</f>
        <v>SFMPP</v>
      </c>
      <c r="D474" s="2" t="str">
        <f>VLOOKUP([jobnumber],OvalData[],MATCH(Table2[[#Headers],[width]],Table2[#Headers],0),0)</f>
        <v xml:space="preserve"> 18 ft.- 2"</v>
      </c>
      <c r="E474" s="2" t="str">
        <f>VLOOKUP([jobnumber],OvalData[],MATCH(Table2[[#Headers],[stopheight]],Table2[#Headers],0),0)</f>
        <v xml:space="preserve"> 10 ft.- 0"</v>
      </c>
      <c r="F474" s="2" t="str">
        <f>VLOOKUP([jobnumber],OvalData[],MATCH(Table2[[#Headers],[Between Brackets]],Table2[#Headers],0),0)</f>
        <v xml:space="preserve"> 18 ft.- 7 7/ 8"</v>
      </c>
      <c r="G474" s="2" t="str">
        <f>VLOOKUP([jobnumber],OvalData[],MATCH(Table2[[#Headers],[shell]],Table2[#Headers],0),0)</f>
        <v>6 INCH TUBE</v>
      </c>
      <c r="H474" s="2" t="str">
        <f>VLOOKUP([jobnumber],OvalData[],MATCH(Table2[[#Headers],[pipewidth]],Table2[#Headers],0),0)</f>
        <v xml:space="preserve"> 18 ft.- 1 3/ 8"</v>
      </c>
      <c r="I474" s="2">
        <f>VLOOKUP([jobnumber],OvalData[],MATCH(Table2[[#Headers],[Support Tubes]],Table2[#Headers],0),0)</f>
        <v>0</v>
      </c>
      <c r="J474" s="2">
        <f>VLOOKUP([jobnumber],OvalData[],MATCH(Table2[[#Headers],[Upset]],Table2[#Headers],0),0)</f>
        <v>2</v>
      </c>
      <c r="K474" s="2" t="str">
        <f>VLOOKUP([jobnumber],OvalData[],MATCH(Table2[[#Headers],[Guide Type]],Table2[#Headers],0),0)</f>
        <v>SN2-4 5/8-E</v>
      </c>
      <c r="L474" s="2" t="str">
        <f>VLOOKUP([jobnumber],OvalData[],MATCH(Table2[[#Headers],[Wall Angle]],Table2[#Headers],0),0)</f>
        <v xml:space="preserve"> 11 ft.- 8"</v>
      </c>
      <c r="M474" s="2" t="str">
        <f>VLOOKUP([jobnumber],OvalData[],MATCH(Table2[[#Headers],[Middle Angle]],Table2[#Headers],0),0)</f>
        <v xml:space="preserve"> 10 ft.- 4 1/ 2"</v>
      </c>
      <c r="N474" s="2" t="str">
        <f>VLOOKUP([jobnumber],OvalData[],MATCH(Table2[[#Headers],[Front Angle]],Table2[#Headers],0),0)</f>
        <v xml:space="preserve"> 10 ft.- 3"</v>
      </c>
      <c r="O474" s="2">
        <f>VLOOKUP([jobnumber],OvalData[],MATCH(Table2[[#Headers],[Pipe Center Line]],Table2[#Headers],0),0)</f>
        <v>131</v>
      </c>
      <c r="P474" s="2">
        <f>VLOOKUP([jobnumber],OvalData[],MATCH(Table2[[#Headers],[Heat Expansion Gap]],Table2[#Headers],0),0)</f>
        <v>0</v>
      </c>
      <c r="Q474" s="2">
        <f>VLOOKUP([jobnumber],OvalData[],MATCH(Table2[[#Headers],[Hanging Weight Closed]],Table2[#Headers],0),0)</f>
        <v>795</v>
      </c>
      <c r="R474" s="2">
        <f>VLOOKUP([jobnumber],OvalData[],MATCH(Table2[[#Headers],[Hanging Weight Open]],Table2[#Headers],0),0)</f>
        <v>140</v>
      </c>
      <c r="S474" s="2">
        <f>VLOOKUP([jobnumber],OvalData[],MATCH(Table2[[#Headers],[Initial Lever Arm]],Table2[#Headers],0),0)</f>
        <v>4.25</v>
      </c>
      <c r="T474" s="2">
        <f>VLOOKUP([jobnumber],OvalData[],MATCH(Table2[[#Headers],[Turns to Raise]],Table2[#Headers],0),0)</f>
        <v>3.5859999999999999</v>
      </c>
      <c r="U474" s="2">
        <f>VLOOKUP([jobnumber],OvalData[],MATCH(Table2[[#Headers],[Final Lever Arm]],Table2[#Headers],0),0)</f>
        <v>6.37</v>
      </c>
      <c r="V474" s="2">
        <f>VLOOKUP([jobnumber],OvalData[],MATCH(Table2[[#Headers],[Torque Required Closed]],Table2[#Headers],0),0)</f>
        <v>3377.9</v>
      </c>
      <c r="W474" s="2">
        <f>VLOOKUP([jobnumber],OvalData[],MATCH(Table2[[#Headers],[Torque Required Open]],Table2[#Headers],0),0)</f>
        <v>892</v>
      </c>
      <c r="X474" s="2">
        <f>VLOOKUP([jobnumber],OvalData[],MATCH(Table2[[#Headers],[Pre Turns]],Table2[#Headers],0),0)</f>
        <v>1.3332999999999999</v>
      </c>
      <c r="Y474" s="2">
        <f>VLOOKUP([jobnumber],OvalData[],MATCH(Table2[[#Headers],[Required Torque Per Turn]],Table2[#Headers],0),0)</f>
        <v>688</v>
      </c>
      <c r="Z474" s="2">
        <f>VLOOKUP([jobnumber],OvalData[],MATCH(Table2[[#Headers],[Total Turns]],Table2[#Headers],0),0)</f>
        <v>4.91</v>
      </c>
      <c r="AA474" s="2">
        <f>VLOOKUP([jobnumber],OvalData[],MATCH(Table2[[#Headers],[Grille Vision Section]],Table2[#Headers],0),0)</f>
        <v>0</v>
      </c>
      <c r="AB474" s="2">
        <f>VLOOKUP([jobnumber],OvalData[],MATCH(Table2[[#Headers],[Grille Amount]],Table2[#Headers],0),0)</f>
        <v>0</v>
      </c>
      <c r="AC474" s="2">
        <f>VLOOKUP([jobnumber],OvalData[],MATCH(Table2[[#Headers],[Grille Center]],Table2[#Headers],0),0)</f>
        <v>0</v>
      </c>
      <c r="AD474" s="2">
        <f>VLOOKUP([jobnumber],OvalData[],MATCH(Table2[[#Headers],[Grille Pattern]],Table2[#Headers],0),0)</f>
        <v>0</v>
      </c>
      <c r="AE474" s="2">
        <f>VLOOKUP([jobnumber],OvalData[],MATCH(Table2[[#Headers],[Grille First Tube]],Table2[#Headers],0),0)</f>
        <v>0</v>
      </c>
      <c r="AF474" s="2">
        <f>VLOOKUP([jobnumber],OvalData[],MATCH(Table2[[#Headers],[Grille Standard Tube]],Table2[#Headers],0),0)</f>
        <v>0</v>
      </c>
      <c r="AG474" s="2">
        <f>VLOOKUP([jobnumber],OvalData[],MATCH(Table2[[#Headers],[Grille Total Links]],Table2[#Headers],0),0)</f>
        <v>0</v>
      </c>
      <c r="AH474" s="2">
        <f>VLOOKUP([jobnumber],OvalData[],MATCH(Table2[[#Headers],[Grille Rods]],Table2[#Headers],0),0)</f>
        <v>0</v>
      </c>
      <c r="AI474" s="2">
        <f>VLOOKUP([jobnumber],OvalData[],MATCH(Table2[[#Headers],[Grille Rod Length]],Table2[#Headers],0),0)</f>
        <v>0</v>
      </c>
      <c r="AJ474" s="2">
        <f>VLOOKUP([jobnumber],OvalData[],MATCH(Table2[[#Headers],[slattype]],Table2[#Headers],0),0)</f>
        <v>2</v>
      </c>
      <c r="AK474" s="2">
        <f>VLOOKUP([jobnumber],OvalData[],MATCH(Table2[[#Headers],[slatgage]],Table2[#Headers],0),0)</f>
        <v>18</v>
      </c>
      <c r="AL474" s="2">
        <f>VLOOKUP([jobnumber],OvalData[],MATCH(Table2[[#Headers],[Numer of Top Slats]],Table2[#Headers],0),0)</f>
        <v>0</v>
      </c>
      <c r="AM474" s="2">
        <f>VLOOKUP([jobnumber],OvalData[],MATCH(Table2[[#Headers],[Number of Bottom Slats]],Table2[#Headers],0),0)</f>
        <v>0</v>
      </c>
      <c r="AN474" s="2">
        <f>VLOOKUP([jobnumber],OvalData[],MATCH(Table2[[#Headers],[Solid Bottom Height]],Table2[#Headers],0),0)</f>
        <v>0</v>
      </c>
      <c r="AO474" s="2" t="str">
        <f>VLOOKUP([jobnumber],OvalData[],MATCH(Table2[[#Headers],[slatlength]],Table2[#Headers],0),0)</f>
        <v xml:space="preserve"> 18 ft.- 5 7/ 8"</v>
      </c>
      <c r="AP474" s="2">
        <f>VLOOKUP([jobnumber],OvalData[],MATCH(Table2[[#Headers],[Bottom Slat Length]],Table2[#Headers],0),0)</f>
        <v>0</v>
      </c>
      <c r="AQ474" s="2">
        <f>VLOOKUP([jobnumber],OvalData[],MATCH(Table2[[#Headers],[Number of Perferated Slats]],Table2[#Headers],0),0)</f>
        <v>0</v>
      </c>
      <c r="AR474" s="2">
        <f>VLOOKUP([jobnumber],OvalData[],MATCH(Table2[[#Headers],[First Preferated Slat From End]],Table2[#Headers],0),0)</f>
        <v>0</v>
      </c>
      <c r="AS474" s="2">
        <f>VLOOKUP([jobnumber],OvalData[],MATCH(Table2[[#Headers],[First Preferated Slat From Bottom]],Table2[#Headers],0),0)</f>
        <v>0</v>
      </c>
      <c r="AT474" s="2">
        <f>VLOOKUP([jobnumber],OvalData[],MATCH(Table2[[#Headers],[Total Number of Slats]],Table2[#Headers],0),0)</f>
        <v>51</v>
      </c>
      <c r="AU474" s="2">
        <f>VLOOKUP([jobnumber],OvalData[],MATCH(Table2[[#Headers],[Bottom Bar Slope]],Table2[#Headers],0),0)</f>
        <v>0</v>
      </c>
      <c r="AV474" s="2">
        <f>VLOOKUP([jobnumber],OvalData[],MATCH(Table2[[#Headers],[Bottom Bar Weight]],Table2[#Headers],0),0)</f>
        <v>80.5</v>
      </c>
      <c r="AW474" s="2" t="str">
        <f>VLOOKUP([jobnumber],OvalData[],MATCH(Table2[[#Headers],[Outer Spring Gage]],Table2[#Headers],0),0)</f>
        <v>Null</v>
      </c>
      <c r="AX474" s="2" t="str">
        <f>VLOOKUP([jobnumber],OvalData[],MATCH(Table2[[#Headers],[Outer Spring OD]],Table2[#Headers],0),0)</f>
        <v>Null</v>
      </c>
      <c r="AY474" s="2" t="str">
        <f>VLOOKUP([jobnumber],OvalData[],MATCH(Table2[[#Headers],[Outer Spring Length]],Table2[#Headers],0),0)</f>
        <v>Null</v>
      </c>
      <c r="AZ474" s="2" t="str">
        <f>VLOOKUP([jobnumber],OvalData[],MATCH(Table2[[#Headers],[Outer Spring Stretch]],Table2[#Headers],0),0)</f>
        <v>Null</v>
      </c>
      <c r="BA474" s="2" t="str">
        <f>VLOOKUP([jobnumber],OvalData[],MATCH(Table2[[#Headers],[Outer Spring Torque]],Table2[#Headers],0),0)</f>
        <v>Null</v>
      </c>
      <c r="BB474" s="2" t="str">
        <f>VLOOKUP([jobnumber],OvalData[],MATCH(Table2[[#Headers],[Outer Spring Max Turns]],Table2[#Headers],0),0)</f>
        <v>Null</v>
      </c>
      <c r="BC474" s="2" t="str">
        <f>VLOOKUP([jobnumber],OvalData[],MATCH(Table2[[#Headers],[Outer Spring Weight]],Table2[#Headers],0),0)</f>
        <v>Null</v>
      </c>
      <c r="BD474" s="2" t="str">
        <f>VLOOKUP([jobnumber],OvalData[],MATCH(Table2[[#Headers],[Inner Spring Gage]],Table2[#Headers],0),0)</f>
        <v>Null</v>
      </c>
      <c r="BE474" s="2" t="str">
        <f>VLOOKUP([jobnumber],OvalData[],MATCH(Table2[[#Headers],[Inner Spring OD]],Table2[#Headers],0),0)</f>
        <v>Null</v>
      </c>
      <c r="BF474" s="2" t="str">
        <f>VLOOKUP([jobnumber],OvalData[],MATCH(Table2[[#Headers],[Inner Spring Length]],Table2[#Headers],0),0)</f>
        <v>Null</v>
      </c>
      <c r="BG474" s="2" t="str">
        <f>VLOOKUP([jobnumber],OvalData[],MATCH(Table2[[#Headers],[Inner Spring Stretch]],Table2[#Headers],0),0)</f>
        <v>Null</v>
      </c>
      <c r="BH474" s="2" t="str">
        <f>VLOOKUP([jobnumber],OvalData[],MATCH(Table2[[#Headers],[Inner Spring Torque]],Table2[#Headers],0),0)</f>
        <v>Null</v>
      </c>
      <c r="BI474" s="2" t="str">
        <f>VLOOKUP([jobnumber],OvalData[],MATCH(Table2[[#Headers],[Inner Spring Max Turns]],Table2[#Headers],0),0)</f>
        <v>Null</v>
      </c>
      <c r="BJ474" s="2" t="str">
        <f>VLOOKUP([jobnumber],OvalData[],MATCH(Table2[[#Headers],[Inner Spring Weight]],Table2[#Headers],0),0)</f>
        <v>Null</v>
      </c>
      <c r="BK474" s="2">
        <f>VLOOKUP([jobnumber],OvalData[],MATCH(Table2[[#Headers],[Cycles]],Table2[#Headers],0),0)</f>
        <v>0</v>
      </c>
      <c r="BL474" s="2">
        <f>VLOOKUP([jobnumber],OvalData[],MATCH(Table2[[#Headers],[Total Spring Torque]],Table2[#Headers],0),0)</f>
        <v>0</v>
      </c>
      <c r="BM474" s="2">
        <f>VLOOKUP([jobnumber],OvalData[],MATCH(Table2[[#Headers],[Total Spring Weight]],Table2[#Headers],0),0)</f>
        <v>0</v>
      </c>
      <c r="BN474" s="2">
        <f>VLOOKUP([jobnumber],OvalData[],MATCH(Table2[[#Headers],[Pipe Weight]],Table2[#Headers],0),0)</f>
        <v>688.24239999999998</v>
      </c>
      <c r="BO474" s="2">
        <f>VLOOKUP([jobnumber],OvalData[],MATCH(Table2[[#Headers],[Max Pipe Deflection]],Table2[#Headers],0),0)</f>
        <v>2309</v>
      </c>
      <c r="BP474" s="2">
        <f>VLOOKUP([jobnumber],OvalData[],MATCH(Table2[[#Headers],[Number Non-Insulated Wrap Slats]],Table2[#Headers],0),0)</f>
        <v>0</v>
      </c>
      <c r="BQ474" s="2">
        <f>VLOOKUP([jobnumber],OvalData[],MATCH(Table2[[#Headers],[Number of Insolated Top Slats]],Table2[#Headers],0),0)</f>
        <v>45</v>
      </c>
      <c r="BR474" s="2">
        <f>VLOOKUP([jobnumber],OvalData[],MATCH(Table2[[#Headers],[Insolated Total Slats]],Table2[#Headers],0),0)</f>
        <v>45</v>
      </c>
      <c r="BS474" s="2">
        <f>VLOOKUP([jobnumber],OvalData[],MATCH(Table2[[#Headers],[Number of Slats]],Table2[#Headers],0),0)</f>
        <v>44.69</v>
      </c>
      <c r="BT474" s="2">
        <f>VLOOKUP([jobnumber],OvalData[],MATCH(Table2[[#Headers],[Wrap]],Table2[#Headers],0),0)</f>
        <v>0</v>
      </c>
      <c r="BU474" s="2">
        <f>VLOOKUP([jobnumber],OvalData[],MATCH(Table2[[#Headers],[Wall Angle Thickness]],Table2[#Headers],0),0)</f>
        <v>0</v>
      </c>
      <c r="BV474" s="2">
        <f>VLOOKUP([jobnumber],OvalData[],MATCH(Table2[[#Headers],[windlocks]],Table2[#Headers],0),0)</f>
        <v>0</v>
      </c>
      <c r="BW474" s="2" t="str">
        <f>VLOOKUP([jobnumber],OvalData[],MATCH(Table2[[#Headers],[bottombartype]],Table2[#Headers],0),0)</f>
        <v>SPECIAL</v>
      </c>
      <c r="BX474" s="2">
        <f>VLOOKUP([jobnumber],OvalData[],MATCH(Table2[[#Headers],[endlockweight]],Table2[#Headers],0),0)</f>
        <v>0.17</v>
      </c>
      <c r="BY474" s="2">
        <f>VLOOKUP([jobnumber],OvalData[],MATCH(Table2[[#Headers],[Endlock Total Weight]],Table2[#Headers],0),0)</f>
        <v>7.5972999999999997</v>
      </c>
      <c r="BZ474" s="2">
        <f>VLOOKUP([jobnumber],OvalData[],MATCH(Table2[[#Headers],[Grille Weight]],Table2[#Headers],0),0)</f>
        <v>0</v>
      </c>
      <c r="CA474" s="2">
        <f>VLOOKUP([jobnumber],OvalData[],MATCH(Table2[[#Headers],[barrelrings]],Table2[#Headers],0),0)</f>
        <v>1</v>
      </c>
    </row>
    <row r="475" spans="2:79">
      <c r="B475" s="2" t="str">
        <f>VLOOKUP([jobnumber],OvalData[],MATCH(Table2[[#Headers],[Hand]],Table2[#Headers],0),0)</f>
        <v>RH</v>
      </c>
      <c r="C475" s="2" t="str">
        <f>VLOOKUP([jobnumber],OvalData[],MATCH(Table2[[#Headers],[Model]],Table2[#Headers],0),0)</f>
        <v>SFMPP</v>
      </c>
      <c r="D475" s="2" t="str">
        <f>VLOOKUP([jobnumber],OvalData[],MATCH(Table2[[#Headers],[width]],Table2[#Headers],0),0)</f>
        <v xml:space="preserve"> 18 ft.- 2"</v>
      </c>
      <c r="E475" s="2" t="str">
        <f>VLOOKUP([jobnumber],OvalData[],MATCH(Table2[[#Headers],[stopheight]],Table2[#Headers],0),0)</f>
        <v xml:space="preserve"> 10 ft.- 0"</v>
      </c>
      <c r="F475" s="2" t="str">
        <f>VLOOKUP([jobnumber],OvalData[],MATCH(Table2[[#Headers],[Between Brackets]],Table2[#Headers],0),0)</f>
        <v xml:space="preserve"> 18 ft.- 7 7/ 8"</v>
      </c>
      <c r="G475" s="2" t="str">
        <f>VLOOKUP([jobnumber],OvalData[],MATCH(Table2[[#Headers],[shell]],Table2[#Headers],0),0)</f>
        <v>6 INCH TUBE</v>
      </c>
      <c r="H475" s="2" t="str">
        <f>VLOOKUP([jobnumber],OvalData[],MATCH(Table2[[#Headers],[pipewidth]],Table2[#Headers],0),0)</f>
        <v xml:space="preserve"> 18 ft.- 1 3/ 8"</v>
      </c>
      <c r="I475" s="2">
        <f>VLOOKUP([jobnumber],OvalData[],MATCH(Table2[[#Headers],[Support Tubes]],Table2[#Headers],0),0)</f>
        <v>0</v>
      </c>
      <c r="J475" s="2">
        <f>VLOOKUP([jobnumber],OvalData[],MATCH(Table2[[#Headers],[Upset]],Table2[#Headers],0),0)</f>
        <v>2</v>
      </c>
      <c r="K475" s="2" t="str">
        <f>VLOOKUP([jobnumber],OvalData[],MATCH(Table2[[#Headers],[Guide Type]],Table2[#Headers],0),0)</f>
        <v>SN2-4 5/8-E</v>
      </c>
      <c r="L475" s="2" t="str">
        <f>VLOOKUP([jobnumber],OvalData[],MATCH(Table2[[#Headers],[Wall Angle]],Table2[#Headers],0),0)</f>
        <v xml:space="preserve"> 11 ft.- 8"</v>
      </c>
      <c r="M475" s="2" t="str">
        <f>VLOOKUP([jobnumber],OvalData[],MATCH(Table2[[#Headers],[Middle Angle]],Table2[#Headers],0),0)</f>
        <v xml:space="preserve"> 10 ft.- 4 1/ 2"</v>
      </c>
      <c r="N475" s="2" t="str">
        <f>VLOOKUP([jobnumber],OvalData[],MATCH(Table2[[#Headers],[Front Angle]],Table2[#Headers],0),0)</f>
        <v xml:space="preserve"> 10 ft.- 3"</v>
      </c>
      <c r="O475" s="2">
        <f>VLOOKUP([jobnumber],OvalData[],MATCH(Table2[[#Headers],[Pipe Center Line]],Table2[#Headers],0),0)</f>
        <v>131</v>
      </c>
      <c r="P475" s="2">
        <f>VLOOKUP([jobnumber],OvalData[],MATCH(Table2[[#Headers],[Heat Expansion Gap]],Table2[#Headers],0),0)</f>
        <v>0</v>
      </c>
      <c r="Q475" s="2">
        <f>VLOOKUP([jobnumber],OvalData[],MATCH(Table2[[#Headers],[Hanging Weight Closed]],Table2[#Headers],0),0)</f>
        <v>795</v>
      </c>
      <c r="R475" s="2">
        <f>VLOOKUP([jobnumber],OvalData[],MATCH(Table2[[#Headers],[Hanging Weight Open]],Table2[#Headers],0),0)</f>
        <v>140</v>
      </c>
      <c r="S475" s="2">
        <f>VLOOKUP([jobnumber],OvalData[],MATCH(Table2[[#Headers],[Initial Lever Arm]],Table2[#Headers],0),0)</f>
        <v>4.25</v>
      </c>
      <c r="T475" s="2">
        <f>VLOOKUP([jobnumber],OvalData[],MATCH(Table2[[#Headers],[Turns to Raise]],Table2[#Headers],0),0)</f>
        <v>3.5859999999999999</v>
      </c>
      <c r="U475" s="2">
        <f>VLOOKUP([jobnumber],OvalData[],MATCH(Table2[[#Headers],[Final Lever Arm]],Table2[#Headers],0),0)</f>
        <v>6.37</v>
      </c>
      <c r="V475" s="2">
        <f>VLOOKUP([jobnumber],OvalData[],MATCH(Table2[[#Headers],[Torque Required Closed]],Table2[#Headers],0),0)</f>
        <v>3377.9</v>
      </c>
      <c r="W475" s="2">
        <f>VLOOKUP([jobnumber],OvalData[],MATCH(Table2[[#Headers],[Torque Required Open]],Table2[#Headers],0),0)</f>
        <v>892</v>
      </c>
      <c r="X475" s="2">
        <f>VLOOKUP([jobnumber],OvalData[],MATCH(Table2[[#Headers],[Pre Turns]],Table2[#Headers],0),0)</f>
        <v>1.3332999999999999</v>
      </c>
      <c r="Y475" s="2">
        <f>VLOOKUP([jobnumber],OvalData[],MATCH(Table2[[#Headers],[Required Torque Per Turn]],Table2[#Headers],0),0)</f>
        <v>688</v>
      </c>
      <c r="Z475" s="2">
        <f>VLOOKUP([jobnumber],OvalData[],MATCH(Table2[[#Headers],[Total Turns]],Table2[#Headers],0),0)</f>
        <v>4.91</v>
      </c>
      <c r="AA475" s="2">
        <f>VLOOKUP([jobnumber],OvalData[],MATCH(Table2[[#Headers],[Grille Vision Section]],Table2[#Headers],0),0)</f>
        <v>0</v>
      </c>
      <c r="AB475" s="2">
        <f>VLOOKUP([jobnumber],OvalData[],MATCH(Table2[[#Headers],[Grille Amount]],Table2[#Headers],0),0)</f>
        <v>0</v>
      </c>
      <c r="AC475" s="2">
        <f>VLOOKUP([jobnumber],OvalData[],MATCH(Table2[[#Headers],[Grille Center]],Table2[#Headers],0),0)</f>
        <v>0</v>
      </c>
      <c r="AD475" s="2">
        <f>VLOOKUP([jobnumber],OvalData[],MATCH(Table2[[#Headers],[Grille Pattern]],Table2[#Headers],0),0)</f>
        <v>0</v>
      </c>
      <c r="AE475" s="2">
        <f>VLOOKUP([jobnumber],OvalData[],MATCH(Table2[[#Headers],[Grille First Tube]],Table2[#Headers],0),0)</f>
        <v>0</v>
      </c>
      <c r="AF475" s="2">
        <f>VLOOKUP([jobnumber],OvalData[],MATCH(Table2[[#Headers],[Grille Standard Tube]],Table2[#Headers],0),0)</f>
        <v>0</v>
      </c>
      <c r="AG475" s="2">
        <f>VLOOKUP([jobnumber],OvalData[],MATCH(Table2[[#Headers],[Grille Total Links]],Table2[#Headers],0),0)</f>
        <v>0</v>
      </c>
      <c r="AH475" s="2">
        <f>VLOOKUP([jobnumber],OvalData[],MATCH(Table2[[#Headers],[Grille Rods]],Table2[#Headers],0),0)</f>
        <v>0</v>
      </c>
      <c r="AI475" s="2">
        <f>VLOOKUP([jobnumber],OvalData[],MATCH(Table2[[#Headers],[Grille Rod Length]],Table2[#Headers],0),0)</f>
        <v>0</v>
      </c>
      <c r="AJ475" s="2">
        <f>VLOOKUP([jobnumber],OvalData[],MATCH(Table2[[#Headers],[slattype]],Table2[#Headers],0),0)</f>
        <v>2</v>
      </c>
      <c r="AK475" s="2">
        <f>VLOOKUP([jobnumber],OvalData[],MATCH(Table2[[#Headers],[slatgage]],Table2[#Headers],0),0)</f>
        <v>18</v>
      </c>
      <c r="AL475" s="2">
        <f>VLOOKUP([jobnumber],OvalData[],MATCH(Table2[[#Headers],[Numer of Top Slats]],Table2[#Headers],0),0)</f>
        <v>0</v>
      </c>
      <c r="AM475" s="2">
        <f>VLOOKUP([jobnumber],OvalData[],MATCH(Table2[[#Headers],[Number of Bottom Slats]],Table2[#Headers],0),0)</f>
        <v>0</v>
      </c>
      <c r="AN475" s="2">
        <f>VLOOKUP([jobnumber],OvalData[],MATCH(Table2[[#Headers],[Solid Bottom Height]],Table2[#Headers],0),0)</f>
        <v>0</v>
      </c>
      <c r="AO475" s="2" t="str">
        <f>VLOOKUP([jobnumber],OvalData[],MATCH(Table2[[#Headers],[slatlength]],Table2[#Headers],0),0)</f>
        <v xml:space="preserve"> 18 ft.- 5 7/ 8"</v>
      </c>
      <c r="AP475" s="2">
        <f>VLOOKUP([jobnumber],OvalData[],MATCH(Table2[[#Headers],[Bottom Slat Length]],Table2[#Headers],0),0)</f>
        <v>0</v>
      </c>
      <c r="AQ475" s="2">
        <f>VLOOKUP([jobnumber],OvalData[],MATCH(Table2[[#Headers],[Number of Perferated Slats]],Table2[#Headers],0),0)</f>
        <v>0</v>
      </c>
      <c r="AR475" s="2">
        <f>VLOOKUP([jobnumber],OvalData[],MATCH(Table2[[#Headers],[First Preferated Slat From End]],Table2[#Headers],0),0)</f>
        <v>0</v>
      </c>
      <c r="AS475" s="2">
        <f>VLOOKUP([jobnumber],OvalData[],MATCH(Table2[[#Headers],[First Preferated Slat From Bottom]],Table2[#Headers],0),0)</f>
        <v>0</v>
      </c>
      <c r="AT475" s="2">
        <f>VLOOKUP([jobnumber],OvalData[],MATCH(Table2[[#Headers],[Total Number of Slats]],Table2[#Headers],0),0)</f>
        <v>51</v>
      </c>
      <c r="AU475" s="2">
        <f>VLOOKUP([jobnumber],OvalData[],MATCH(Table2[[#Headers],[Bottom Bar Slope]],Table2[#Headers],0),0)</f>
        <v>0</v>
      </c>
      <c r="AV475" s="2">
        <f>VLOOKUP([jobnumber],OvalData[],MATCH(Table2[[#Headers],[Bottom Bar Weight]],Table2[#Headers],0),0)</f>
        <v>80.5</v>
      </c>
      <c r="AW475" s="2" t="str">
        <f>VLOOKUP([jobnumber],OvalData[],MATCH(Table2[[#Headers],[Outer Spring Gage]],Table2[#Headers],0),0)</f>
        <v>Null</v>
      </c>
      <c r="AX475" s="2" t="str">
        <f>VLOOKUP([jobnumber],OvalData[],MATCH(Table2[[#Headers],[Outer Spring OD]],Table2[#Headers],0),0)</f>
        <v>Null</v>
      </c>
      <c r="AY475" s="2" t="str">
        <f>VLOOKUP([jobnumber],OvalData[],MATCH(Table2[[#Headers],[Outer Spring Length]],Table2[#Headers],0),0)</f>
        <v>Null</v>
      </c>
      <c r="AZ475" s="2" t="str">
        <f>VLOOKUP([jobnumber],OvalData[],MATCH(Table2[[#Headers],[Outer Spring Stretch]],Table2[#Headers],0),0)</f>
        <v>Null</v>
      </c>
      <c r="BA475" s="2" t="str">
        <f>VLOOKUP([jobnumber],OvalData[],MATCH(Table2[[#Headers],[Outer Spring Torque]],Table2[#Headers],0),0)</f>
        <v>Null</v>
      </c>
      <c r="BB475" s="2" t="str">
        <f>VLOOKUP([jobnumber],OvalData[],MATCH(Table2[[#Headers],[Outer Spring Max Turns]],Table2[#Headers],0),0)</f>
        <v>Null</v>
      </c>
      <c r="BC475" s="2" t="str">
        <f>VLOOKUP([jobnumber],OvalData[],MATCH(Table2[[#Headers],[Outer Spring Weight]],Table2[#Headers],0),0)</f>
        <v>Null</v>
      </c>
      <c r="BD475" s="2" t="str">
        <f>VLOOKUP([jobnumber],OvalData[],MATCH(Table2[[#Headers],[Inner Spring Gage]],Table2[#Headers],0),0)</f>
        <v>Null</v>
      </c>
      <c r="BE475" s="2" t="str">
        <f>VLOOKUP([jobnumber],OvalData[],MATCH(Table2[[#Headers],[Inner Spring OD]],Table2[#Headers],0),0)</f>
        <v>Null</v>
      </c>
      <c r="BF475" s="2" t="str">
        <f>VLOOKUP([jobnumber],OvalData[],MATCH(Table2[[#Headers],[Inner Spring Length]],Table2[#Headers],0),0)</f>
        <v>Null</v>
      </c>
      <c r="BG475" s="2" t="str">
        <f>VLOOKUP([jobnumber],OvalData[],MATCH(Table2[[#Headers],[Inner Spring Stretch]],Table2[#Headers],0),0)</f>
        <v>Null</v>
      </c>
      <c r="BH475" s="2" t="str">
        <f>VLOOKUP([jobnumber],OvalData[],MATCH(Table2[[#Headers],[Inner Spring Torque]],Table2[#Headers],0),0)</f>
        <v>Null</v>
      </c>
      <c r="BI475" s="2" t="str">
        <f>VLOOKUP([jobnumber],OvalData[],MATCH(Table2[[#Headers],[Inner Spring Max Turns]],Table2[#Headers],0),0)</f>
        <v>Null</v>
      </c>
      <c r="BJ475" s="2" t="str">
        <f>VLOOKUP([jobnumber],OvalData[],MATCH(Table2[[#Headers],[Inner Spring Weight]],Table2[#Headers],0),0)</f>
        <v>Null</v>
      </c>
      <c r="BK475" s="2">
        <f>VLOOKUP([jobnumber],OvalData[],MATCH(Table2[[#Headers],[Cycles]],Table2[#Headers],0),0)</f>
        <v>0</v>
      </c>
      <c r="BL475" s="2">
        <f>VLOOKUP([jobnumber],OvalData[],MATCH(Table2[[#Headers],[Total Spring Torque]],Table2[#Headers],0),0)</f>
        <v>0</v>
      </c>
      <c r="BM475" s="2">
        <f>VLOOKUP([jobnumber],OvalData[],MATCH(Table2[[#Headers],[Total Spring Weight]],Table2[#Headers],0),0)</f>
        <v>0</v>
      </c>
      <c r="BN475" s="2">
        <f>VLOOKUP([jobnumber],OvalData[],MATCH(Table2[[#Headers],[Pipe Weight]],Table2[#Headers],0),0)</f>
        <v>688.24239999999998</v>
      </c>
      <c r="BO475" s="2">
        <f>VLOOKUP([jobnumber],OvalData[],MATCH(Table2[[#Headers],[Max Pipe Deflection]],Table2[#Headers],0),0)</f>
        <v>2309</v>
      </c>
      <c r="BP475" s="2">
        <f>VLOOKUP([jobnumber],OvalData[],MATCH(Table2[[#Headers],[Number Non-Insulated Wrap Slats]],Table2[#Headers],0),0)</f>
        <v>0</v>
      </c>
      <c r="BQ475" s="2">
        <f>VLOOKUP([jobnumber],OvalData[],MATCH(Table2[[#Headers],[Number of Insolated Top Slats]],Table2[#Headers],0),0)</f>
        <v>45</v>
      </c>
      <c r="BR475" s="2">
        <f>VLOOKUP([jobnumber],OvalData[],MATCH(Table2[[#Headers],[Insolated Total Slats]],Table2[#Headers],0),0)</f>
        <v>45</v>
      </c>
      <c r="BS475" s="2">
        <f>VLOOKUP([jobnumber],OvalData[],MATCH(Table2[[#Headers],[Number of Slats]],Table2[#Headers],0),0)</f>
        <v>44.69</v>
      </c>
      <c r="BT475" s="2">
        <f>VLOOKUP([jobnumber],OvalData[],MATCH(Table2[[#Headers],[Wrap]],Table2[#Headers],0),0)</f>
        <v>0</v>
      </c>
      <c r="BU475" s="2">
        <f>VLOOKUP([jobnumber],OvalData[],MATCH(Table2[[#Headers],[Wall Angle Thickness]],Table2[#Headers],0),0)</f>
        <v>0</v>
      </c>
      <c r="BV475" s="2">
        <f>VLOOKUP([jobnumber],OvalData[],MATCH(Table2[[#Headers],[windlocks]],Table2[#Headers],0),0)</f>
        <v>0</v>
      </c>
      <c r="BW475" s="2" t="str">
        <f>VLOOKUP([jobnumber],OvalData[],MATCH(Table2[[#Headers],[bottombartype]],Table2[#Headers],0),0)</f>
        <v>SPECIAL</v>
      </c>
      <c r="BX475" s="2">
        <f>VLOOKUP([jobnumber],OvalData[],MATCH(Table2[[#Headers],[endlockweight]],Table2[#Headers],0),0)</f>
        <v>0.17</v>
      </c>
      <c r="BY475" s="2">
        <f>VLOOKUP([jobnumber],OvalData[],MATCH(Table2[[#Headers],[Endlock Total Weight]],Table2[#Headers],0),0)</f>
        <v>7.5972999999999997</v>
      </c>
      <c r="BZ475" s="2">
        <f>VLOOKUP([jobnumber],OvalData[],MATCH(Table2[[#Headers],[Grille Weight]],Table2[#Headers],0),0)</f>
        <v>0</v>
      </c>
      <c r="CA475" s="2">
        <f>VLOOKUP([jobnumber],OvalData[],MATCH(Table2[[#Headers],[barrelrings]],Table2[#Headers],0),0)</f>
        <v>1</v>
      </c>
    </row>
    <row r="476" spans="2:79">
      <c r="B476" s="2" t="str">
        <f>VLOOKUP([jobnumber],OvalData[],MATCH(Table2[[#Headers],[Hand]],Table2[#Headers],0),0)</f>
        <v>RH</v>
      </c>
      <c r="C476" s="2" t="str">
        <f>VLOOKUP([jobnumber],OvalData[],MATCH(Table2[[#Headers],[Model]],Table2[#Headers],0),0)</f>
        <v>SFMPP</v>
      </c>
      <c r="D476" s="2" t="str">
        <f>VLOOKUP([jobnumber],OvalData[],MATCH(Table2[[#Headers],[width]],Table2[#Headers],0),0)</f>
        <v xml:space="preserve"> 18 ft.- 2"</v>
      </c>
      <c r="E476" s="2" t="str">
        <f>VLOOKUP([jobnumber],OvalData[],MATCH(Table2[[#Headers],[stopheight]],Table2[#Headers],0),0)</f>
        <v xml:space="preserve"> 10 ft.- 0"</v>
      </c>
      <c r="F476" s="2" t="str">
        <f>VLOOKUP([jobnumber],OvalData[],MATCH(Table2[[#Headers],[Between Brackets]],Table2[#Headers],0),0)</f>
        <v xml:space="preserve"> 18 ft.- 7 7/ 8"</v>
      </c>
      <c r="G476" s="2" t="str">
        <f>VLOOKUP([jobnumber],OvalData[],MATCH(Table2[[#Headers],[shell]],Table2[#Headers],0),0)</f>
        <v>6 INCH TUBE</v>
      </c>
      <c r="H476" s="2" t="str">
        <f>VLOOKUP([jobnumber],OvalData[],MATCH(Table2[[#Headers],[pipewidth]],Table2[#Headers],0),0)</f>
        <v xml:space="preserve"> 18 ft.- 1 3/ 8"</v>
      </c>
      <c r="I476" s="2">
        <f>VLOOKUP([jobnumber],OvalData[],MATCH(Table2[[#Headers],[Support Tubes]],Table2[#Headers],0),0)</f>
        <v>0</v>
      </c>
      <c r="J476" s="2">
        <f>VLOOKUP([jobnumber],OvalData[],MATCH(Table2[[#Headers],[Upset]],Table2[#Headers],0),0)</f>
        <v>2</v>
      </c>
      <c r="K476" s="2" t="str">
        <f>VLOOKUP([jobnumber],OvalData[],MATCH(Table2[[#Headers],[Guide Type]],Table2[#Headers],0),0)</f>
        <v>SN2-4 5/8-E</v>
      </c>
      <c r="L476" s="2" t="str">
        <f>VLOOKUP([jobnumber],OvalData[],MATCH(Table2[[#Headers],[Wall Angle]],Table2[#Headers],0),0)</f>
        <v xml:space="preserve"> 11 ft.- 8"</v>
      </c>
      <c r="M476" s="2" t="str">
        <f>VLOOKUP([jobnumber],OvalData[],MATCH(Table2[[#Headers],[Middle Angle]],Table2[#Headers],0),0)</f>
        <v xml:space="preserve"> 10 ft.- 4 1/ 2"</v>
      </c>
      <c r="N476" s="2" t="str">
        <f>VLOOKUP([jobnumber],OvalData[],MATCH(Table2[[#Headers],[Front Angle]],Table2[#Headers],0),0)</f>
        <v xml:space="preserve"> 10 ft.- 3"</v>
      </c>
      <c r="O476" s="2">
        <f>VLOOKUP([jobnumber],OvalData[],MATCH(Table2[[#Headers],[Pipe Center Line]],Table2[#Headers],0),0)</f>
        <v>131</v>
      </c>
      <c r="P476" s="2">
        <f>VLOOKUP([jobnumber],OvalData[],MATCH(Table2[[#Headers],[Heat Expansion Gap]],Table2[#Headers],0),0)</f>
        <v>0</v>
      </c>
      <c r="Q476" s="2">
        <f>VLOOKUP([jobnumber],OvalData[],MATCH(Table2[[#Headers],[Hanging Weight Closed]],Table2[#Headers],0),0)</f>
        <v>795</v>
      </c>
      <c r="R476" s="2">
        <f>VLOOKUP([jobnumber],OvalData[],MATCH(Table2[[#Headers],[Hanging Weight Open]],Table2[#Headers],0),0)</f>
        <v>140</v>
      </c>
      <c r="S476" s="2">
        <f>VLOOKUP([jobnumber],OvalData[],MATCH(Table2[[#Headers],[Initial Lever Arm]],Table2[#Headers],0),0)</f>
        <v>4.25</v>
      </c>
      <c r="T476" s="2">
        <f>VLOOKUP([jobnumber],OvalData[],MATCH(Table2[[#Headers],[Turns to Raise]],Table2[#Headers],0),0)</f>
        <v>3.5859999999999999</v>
      </c>
      <c r="U476" s="2">
        <f>VLOOKUP([jobnumber],OvalData[],MATCH(Table2[[#Headers],[Final Lever Arm]],Table2[#Headers],0),0)</f>
        <v>6.37</v>
      </c>
      <c r="V476" s="2">
        <f>VLOOKUP([jobnumber],OvalData[],MATCH(Table2[[#Headers],[Torque Required Closed]],Table2[#Headers],0),0)</f>
        <v>3377.9</v>
      </c>
      <c r="W476" s="2">
        <f>VLOOKUP([jobnumber],OvalData[],MATCH(Table2[[#Headers],[Torque Required Open]],Table2[#Headers],0),0)</f>
        <v>892</v>
      </c>
      <c r="X476" s="2">
        <f>VLOOKUP([jobnumber],OvalData[],MATCH(Table2[[#Headers],[Pre Turns]],Table2[#Headers],0),0)</f>
        <v>1.3332999999999999</v>
      </c>
      <c r="Y476" s="2">
        <f>VLOOKUP([jobnumber],OvalData[],MATCH(Table2[[#Headers],[Required Torque Per Turn]],Table2[#Headers],0),0)</f>
        <v>688</v>
      </c>
      <c r="Z476" s="2">
        <f>VLOOKUP([jobnumber],OvalData[],MATCH(Table2[[#Headers],[Total Turns]],Table2[#Headers],0),0)</f>
        <v>4.91</v>
      </c>
      <c r="AA476" s="2">
        <f>VLOOKUP([jobnumber],OvalData[],MATCH(Table2[[#Headers],[Grille Vision Section]],Table2[#Headers],0),0)</f>
        <v>0</v>
      </c>
      <c r="AB476" s="2">
        <f>VLOOKUP([jobnumber],OvalData[],MATCH(Table2[[#Headers],[Grille Amount]],Table2[#Headers],0),0)</f>
        <v>0</v>
      </c>
      <c r="AC476" s="2">
        <f>VLOOKUP([jobnumber],OvalData[],MATCH(Table2[[#Headers],[Grille Center]],Table2[#Headers],0),0)</f>
        <v>0</v>
      </c>
      <c r="AD476" s="2">
        <f>VLOOKUP([jobnumber],OvalData[],MATCH(Table2[[#Headers],[Grille Pattern]],Table2[#Headers],0),0)</f>
        <v>0</v>
      </c>
      <c r="AE476" s="2">
        <f>VLOOKUP([jobnumber],OvalData[],MATCH(Table2[[#Headers],[Grille First Tube]],Table2[#Headers],0),0)</f>
        <v>0</v>
      </c>
      <c r="AF476" s="2">
        <f>VLOOKUP([jobnumber],OvalData[],MATCH(Table2[[#Headers],[Grille Standard Tube]],Table2[#Headers],0),0)</f>
        <v>0</v>
      </c>
      <c r="AG476" s="2">
        <f>VLOOKUP([jobnumber],OvalData[],MATCH(Table2[[#Headers],[Grille Total Links]],Table2[#Headers],0),0)</f>
        <v>0</v>
      </c>
      <c r="AH476" s="2">
        <f>VLOOKUP([jobnumber],OvalData[],MATCH(Table2[[#Headers],[Grille Rods]],Table2[#Headers],0),0)</f>
        <v>0</v>
      </c>
      <c r="AI476" s="2">
        <f>VLOOKUP([jobnumber],OvalData[],MATCH(Table2[[#Headers],[Grille Rod Length]],Table2[#Headers],0),0)</f>
        <v>0</v>
      </c>
      <c r="AJ476" s="2">
        <f>VLOOKUP([jobnumber],OvalData[],MATCH(Table2[[#Headers],[slattype]],Table2[#Headers],0),0)</f>
        <v>2</v>
      </c>
      <c r="AK476" s="2">
        <f>VLOOKUP([jobnumber],OvalData[],MATCH(Table2[[#Headers],[slatgage]],Table2[#Headers],0),0)</f>
        <v>18</v>
      </c>
      <c r="AL476" s="2">
        <f>VLOOKUP([jobnumber],OvalData[],MATCH(Table2[[#Headers],[Numer of Top Slats]],Table2[#Headers],0),0)</f>
        <v>0</v>
      </c>
      <c r="AM476" s="2">
        <f>VLOOKUP([jobnumber],OvalData[],MATCH(Table2[[#Headers],[Number of Bottom Slats]],Table2[#Headers],0),0)</f>
        <v>0</v>
      </c>
      <c r="AN476" s="2">
        <f>VLOOKUP([jobnumber],OvalData[],MATCH(Table2[[#Headers],[Solid Bottom Height]],Table2[#Headers],0),0)</f>
        <v>0</v>
      </c>
      <c r="AO476" s="2" t="str">
        <f>VLOOKUP([jobnumber],OvalData[],MATCH(Table2[[#Headers],[slatlength]],Table2[#Headers],0),0)</f>
        <v xml:space="preserve"> 18 ft.- 5 7/ 8"</v>
      </c>
      <c r="AP476" s="2">
        <f>VLOOKUP([jobnumber],OvalData[],MATCH(Table2[[#Headers],[Bottom Slat Length]],Table2[#Headers],0),0)</f>
        <v>0</v>
      </c>
      <c r="AQ476" s="2">
        <f>VLOOKUP([jobnumber],OvalData[],MATCH(Table2[[#Headers],[Number of Perferated Slats]],Table2[#Headers],0),0)</f>
        <v>0</v>
      </c>
      <c r="AR476" s="2">
        <f>VLOOKUP([jobnumber],OvalData[],MATCH(Table2[[#Headers],[First Preferated Slat From End]],Table2[#Headers],0),0)</f>
        <v>0</v>
      </c>
      <c r="AS476" s="2">
        <f>VLOOKUP([jobnumber],OvalData[],MATCH(Table2[[#Headers],[First Preferated Slat From Bottom]],Table2[#Headers],0),0)</f>
        <v>0</v>
      </c>
      <c r="AT476" s="2">
        <f>VLOOKUP([jobnumber],OvalData[],MATCH(Table2[[#Headers],[Total Number of Slats]],Table2[#Headers],0),0)</f>
        <v>51</v>
      </c>
      <c r="AU476" s="2">
        <f>VLOOKUP([jobnumber],OvalData[],MATCH(Table2[[#Headers],[Bottom Bar Slope]],Table2[#Headers],0),0)</f>
        <v>0</v>
      </c>
      <c r="AV476" s="2">
        <f>VLOOKUP([jobnumber],OvalData[],MATCH(Table2[[#Headers],[Bottom Bar Weight]],Table2[#Headers],0),0)</f>
        <v>80.5</v>
      </c>
      <c r="AW476" s="2" t="str">
        <f>VLOOKUP([jobnumber],OvalData[],MATCH(Table2[[#Headers],[Outer Spring Gage]],Table2[#Headers],0),0)</f>
        <v>Null</v>
      </c>
      <c r="AX476" s="2" t="str">
        <f>VLOOKUP([jobnumber],OvalData[],MATCH(Table2[[#Headers],[Outer Spring OD]],Table2[#Headers],0),0)</f>
        <v>Null</v>
      </c>
      <c r="AY476" s="2" t="str">
        <f>VLOOKUP([jobnumber],OvalData[],MATCH(Table2[[#Headers],[Outer Spring Length]],Table2[#Headers],0),0)</f>
        <v>Null</v>
      </c>
      <c r="AZ476" s="2" t="str">
        <f>VLOOKUP([jobnumber],OvalData[],MATCH(Table2[[#Headers],[Outer Spring Stretch]],Table2[#Headers],0),0)</f>
        <v>Null</v>
      </c>
      <c r="BA476" s="2" t="str">
        <f>VLOOKUP([jobnumber],OvalData[],MATCH(Table2[[#Headers],[Outer Spring Torque]],Table2[#Headers],0),0)</f>
        <v>Null</v>
      </c>
      <c r="BB476" s="2" t="str">
        <f>VLOOKUP([jobnumber],OvalData[],MATCH(Table2[[#Headers],[Outer Spring Max Turns]],Table2[#Headers],0),0)</f>
        <v>Null</v>
      </c>
      <c r="BC476" s="2" t="str">
        <f>VLOOKUP([jobnumber],OvalData[],MATCH(Table2[[#Headers],[Outer Spring Weight]],Table2[#Headers],0),0)</f>
        <v>Null</v>
      </c>
      <c r="BD476" s="2" t="str">
        <f>VLOOKUP([jobnumber],OvalData[],MATCH(Table2[[#Headers],[Inner Spring Gage]],Table2[#Headers],0),0)</f>
        <v>Null</v>
      </c>
      <c r="BE476" s="2" t="str">
        <f>VLOOKUP([jobnumber],OvalData[],MATCH(Table2[[#Headers],[Inner Spring OD]],Table2[#Headers],0),0)</f>
        <v>Null</v>
      </c>
      <c r="BF476" s="2" t="str">
        <f>VLOOKUP([jobnumber],OvalData[],MATCH(Table2[[#Headers],[Inner Spring Length]],Table2[#Headers],0),0)</f>
        <v>Null</v>
      </c>
      <c r="BG476" s="2" t="str">
        <f>VLOOKUP([jobnumber],OvalData[],MATCH(Table2[[#Headers],[Inner Spring Stretch]],Table2[#Headers],0),0)</f>
        <v>Null</v>
      </c>
      <c r="BH476" s="2" t="str">
        <f>VLOOKUP([jobnumber],OvalData[],MATCH(Table2[[#Headers],[Inner Spring Torque]],Table2[#Headers],0),0)</f>
        <v>Null</v>
      </c>
      <c r="BI476" s="2" t="str">
        <f>VLOOKUP([jobnumber],OvalData[],MATCH(Table2[[#Headers],[Inner Spring Max Turns]],Table2[#Headers],0),0)</f>
        <v>Null</v>
      </c>
      <c r="BJ476" s="2" t="str">
        <f>VLOOKUP([jobnumber],OvalData[],MATCH(Table2[[#Headers],[Inner Spring Weight]],Table2[#Headers],0),0)</f>
        <v>Null</v>
      </c>
      <c r="BK476" s="2">
        <f>VLOOKUP([jobnumber],OvalData[],MATCH(Table2[[#Headers],[Cycles]],Table2[#Headers],0),0)</f>
        <v>0</v>
      </c>
      <c r="BL476" s="2">
        <f>VLOOKUP([jobnumber],OvalData[],MATCH(Table2[[#Headers],[Total Spring Torque]],Table2[#Headers],0),0)</f>
        <v>0</v>
      </c>
      <c r="BM476" s="2">
        <f>VLOOKUP([jobnumber],OvalData[],MATCH(Table2[[#Headers],[Total Spring Weight]],Table2[#Headers],0),0)</f>
        <v>0</v>
      </c>
      <c r="BN476" s="2">
        <f>VLOOKUP([jobnumber],OvalData[],MATCH(Table2[[#Headers],[Pipe Weight]],Table2[#Headers],0),0)</f>
        <v>688.24239999999998</v>
      </c>
      <c r="BO476" s="2">
        <f>VLOOKUP([jobnumber],OvalData[],MATCH(Table2[[#Headers],[Max Pipe Deflection]],Table2[#Headers],0),0)</f>
        <v>2309</v>
      </c>
      <c r="BP476" s="2">
        <f>VLOOKUP([jobnumber],OvalData[],MATCH(Table2[[#Headers],[Number Non-Insulated Wrap Slats]],Table2[#Headers],0),0)</f>
        <v>0</v>
      </c>
      <c r="BQ476" s="2">
        <f>VLOOKUP([jobnumber],OvalData[],MATCH(Table2[[#Headers],[Number of Insolated Top Slats]],Table2[#Headers],0),0)</f>
        <v>45</v>
      </c>
      <c r="BR476" s="2">
        <f>VLOOKUP([jobnumber],OvalData[],MATCH(Table2[[#Headers],[Insolated Total Slats]],Table2[#Headers],0),0)</f>
        <v>45</v>
      </c>
      <c r="BS476" s="2">
        <f>VLOOKUP([jobnumber],OvalData[],MATCH(Table2[[#Headers],[Number of Slats]],Table2[#Headers],0),0)</f>
        <v>44.69</v>
      </c>
      <c r="BT476" s="2">
        <f>VLOOKUP([jobnumber],OvalData[],MATCH(Table2[[#Headers],[Wrap]],Table2[#Headers],0),0)</f>
        <v>0</v>
      </c>
      <c r="BU476" s="2">
        <f>VLOOKUP([jobnumber],OvalData[],MATCH(Table2[[#Headers],[Wall Angle Thickness]],Table2[#Headers],0),0)</f>
        <v>0</v>
      </c>
      <c r="BV476" s="2">
        <f>VLOOKUP([jobnumber],OvalData[],MATCH(Table2[[#Headers],[windlocks]],Table2[#Headers],0),0)</f>
        <v>0</v>
      </c>
      <c r="BW476" s="2" t="str">
        <f>VLOOKUP([jobnumber],OvalData[],MATCH(Table2[[#Headers],[bottombartype]],Table2[#Headers],0),0)</f>
        <v>SPECIAL</v>
      </c>
      <c r="BX476" s="2">
        <f>VLOOKUP([jobnumber],OvalData[],MATCH(Table2[[#Headers],[endlockweight]],Table2[#Headers],0),0)</f>
        <v>0.17</v>
      </c>
      <c r="BY476" s="2">
        <f>VLOOKUP([jobnumber],OvalData[],MATCH(Table2[[#Headers],[Endlock Total Weight]],Table2[#Headers],0),0)</f>
        <v>7.5972999999999997</v>
      </c>
      <c r="BZ476" s="2">
        <f>VLOOKUP([jobnumber],OvalData[],MATCH(Table2[[#Headers],[Grille Weight]],Table2[#Headers],0),0)</f>
        <v>0</v>
      </c>
      <c r="CA476" s="2">
        <f>VLOOKUP([jobnumber],OvalData[],MATCH(Table2[[#Headers],[barrelrings]],Table2[#Headers],0),0)</f>
        <v>1</v>
      </c>
    </row>
    <row r="477" spans="2:79">
      <c r="B477" s="2" t="str">
        <f>VLOOKUP([jobnumber],OvalData[],MATCH(Table2[[#Headers],[Hand]],Table2[#Headers],0),0)</f>
        <v>RH</v>
      </c>
      <c r="C477" s="2" t="str">
        <f>VLOOKUP([jobnumber],OvalData[],MATCH(Table2[[#Headers],[Model]],Table2[#Headers],0),0)</f>
        <v>SFMPP</v>
      </c>
      <c r="D477" s="2" t="str">
        <f>VLOOKUP([jobnumber],OvalData[],MATCH(Table2[[#Headers],[width]],Table2[#Headers],0),0)</f>
        <v xml:space="preserve"> 18 ft.- 2"</v>
      </c>
      <c r="E477" s="2" t="str">
        <f>VLOOKUP([jobnumber],OvalData[],MATCH(Table2[[#Headers],[stopheight]],Table2[#Headers],0),0)</f>
        <v xml:space="preserve"> 10 ft.- 0"</v>
      </c>
      <c r="F477" s="2" t="str">
        <f>VLOOKUP([jobnumber],OvalData[],MATCH(Table2[[#Headers],[Between Brackets]],Table2[#Headers],0),0)</f>
        <v xml:space="preserve"> 18 ft.- 7 7/ 8"</v>
      </c>
      <c r="G477" s="2" t="str">
        <f>VLOOKUP([jobnumber],OvalData[],MATCH(Table2[[#Headers],[shell]],Table2[#Headers],0),0)</f>
        <v>6 INCH TUBE</v>
      </c>
      <c r="H477" s="2" t="str">
        <f>VLOOKUP([jobnumber],OvalData[],MATCH(Table2[[#Headers],[pipewidth]],Table2[#Headers],0),0)</f>
        <v xml:space="preserve"> 18 ft.- 1 3/ 8"</v>
      </c>
      <c r="I477" s="2">
        <f>VLOOKUP([jobnumber],OvalData[],MATCH(Table2[[#Headers],[Support Tubes]],Table2[#Headers],0),0)</f>
        <v>0</v>
      </c>
      <c r="J477" s="2">
        <f>VLOOKUP([jobnumber],OvalData[],MATCH(Table2[[#Headers],[Upset]],Table2[#Headers],0),0)</f>
        <v>2</v>
      </c>
      <c r="K477" s="2" t="str">
        <f>VLOOKUP([jobnumber],OvalData[],MATCH(Table2[[#Headers],[Guide Type]],Table2[#Headers],0),0)</f>
        <v>SN2-4 5/8-E</v>
      </c>
      <c r="L477" s="2" t="str">
        <f>VLOOKUP([jobnumber],OvalData[],MATCH(Table2[[#Headers],[Wall Angle]],Table2[#Headers],0),0)</f>
        <v xml:space="preserve"> 11 ft.- 8"</v>
      </c>
      <c r="M477" s="2" t="str">
        <f>VLOOKUP([jobnumber],OvalData[],MATCH(Table2[[#Headers],[Middle Angle]],Table2[#Headers],0),0)</f>
        <v xml:space="preserve"> 10 ft.- 4 1/ 2"</v>
      </c>
      <c r="N477" s="2" t="str">
        <f>VLOOKUP([jobnumber],OvalData[],MATCH(Table2[[#Headers],[Front Angle]],Table2[#Headers],0),0)</f>
        <v xml:space="preserve"> 10 ft.- 3"</v>
      </c>
      <c r="O477" s="2">
        <f>VLOOKUP([jobnumber],OvalData[],MATCH(Table2[[#Headers],[Pipe Center Line]],Table2[#Headers],0),0)</f>
        <v>131</v>
      </c>
      <c r="P477" s="2">
        <f>VLOOKUP([jobnumber],OvalData[],MATCH(Table2[[#Headers],[Heat Expansion Gap]],Table2[#Headers],0),0)</f>
        <v>0</v>
      </c>
      <c r="Q477" s="2">
        <f>VLOOKUP([jobnumber],OvalData[],MATCH(Table2[[#Headers],[Hanging Weight Closed]],Table2[#Headers],0),0)</f>
        <v>795</v>
      </c>
      <c r="R477" s="2">
        <f>VLOOKUP([jobnumber],OvalData[],MATCH(Table2[[#Headers],[Hanging Weight Open]],Table2[#Headers],0),0)</f>
        <v>140</v>
      </c>
      <c r="S477" s="2">
        <f>VLOOKUP([jobnumber],OvalData[],MATCH(Table2[[#Headers],[Initial Lever Arm]],Table2[#Headers],0),0)</f>
        <v>4.25</v>
      </c>
      <c r="T477" s="2">
        <f>VLOOKUP([jobnumber],OvalData[],MATCH(Table2[[#Headers],[Turns to Raise]],Table2[#Headers],0),0)</f>
        <v>3.5859999999999999</v>
      </c>
      <c r="U477" s="2">
        <f>VLOOKUP([jobnumber],OvalData[],MATCH(Table2[[#Headers],[Final Lever Arm]],Table2[#Headers],0),0)</f>
        <v>6.37</v>
      </c>
      <c r="V477" s="2">
        <f>VLOOKUP([jobnumber],OvalData[],MATCH(Table2[[#Headers],[Torque Required Closed]],Table2[#Headers],0),0)</f>
        <v>3377.9</v>
      </c>
      <c r="W477" s="2">
        <f>VLOOKUP([jobnumber],OvalData[],MATCH(Table2[[#Headers],[Torque Required Open]],Table2[#Headers],0),0)</f>
        <v>892</v>
      </c>
      <c r="X477" s="2">
        <f>VLOOKUP([jobnumber],OvalData[],MATCH(Table2[[#Headers],[Pre Turns]],Table2[#Headers],0),0)</f>
        <v>1.3332999999999999</v>
      </c>
      <c r="Y477" s="2">
        <f>VLOOKUP([jobnumber],OvalData[],MATCH(Table2[[#Headers],[Required Torque Per Turn]],Table2[#Headers],0),0)</f>
        <v>688</v>
      </c>
      <c r="Z477" s="2">
        <f>VLOOKUP([jobnumber],OvalData[],MATCH(Table2[[#Headers],[Total Turns]],Table2[#Headers],0),0)</f>
        <v>4.91</v>
      </c>
      <c r="AA477" s="2">
        <f>VLOOKUP([jobnumber],OvalData[],MATCH(Table2[[#Headers],[Grille Vision Section]],Table2[#Headers],0),0)</f>
        <v>0</v>
      </c>
      <c r="AB477" s="2">
        <f>VLOOKUP([jobnumber],OvalData[],MATCH(Table2[[#Headers],[Grille Amount]],Table2[#Headers],0),0)</f>
        <v>0</v>
      </c>
      <c r="AC477" s="2">
        <f>VLOOKUP([jobnumber],OvalData[],MATCH(Table2[[#Headers],[Grille Center]],Table2[#Headers],0),0)</f>
        <v>0</v>
      </c>
      <c r="AD477" s="2">
        <f>VLOOKUP([jobnumber],OvalData[],MATCH(Table2[[#Headers],[Grille Pattern]],Table2[#Headers],0),0)</f>
        <v>0</v>
      </c>
      <c r="AE477" s="2">
        <f>VLOOKUP([jobnumber],OvalData[],MATCH(Table2[[#Headers],[Grille First Tube]],Table2[#Headers],0),0)</f>
        <v>0</v>
      </c>
      <c r="AF477" s="2">
        <f>VLOOKUP([jobnumber],OvalData[],MATCH(Table2[[#Headers],[Grille Standard Tube]],Table2[#Headers],0),0)</f>
        <v>0</v>
      </c>
      <c r="AG477" s="2">
        <f>VLOOKUP([jobnumber],OvalData[],MATCH(Table2[[#Headers],[Grille Total Links]],Table2[#Headers],0),0)</f>
        <v>0</v>
      </c>
      <c r="AH477" s="2">
        <f>VLOOKUP([jobnumber],OvalData[],MATCH(Table2[[#Headers],[Grille Rods]],Table2[#Headers],0),0)</f>
        <v>0</v>
      </c>
      <c r="AI477" s="2">
        <f>VLOOKUP([jobnumber],OvalData[],MATCH(Table2[[#Headers],[Grille Rod Length]],Table2[#Headers],0),0)</f>
        <v>0</v>
      </c>
      <c r="AJ477" s="2">
        <f>VLOOKUP([jobnumber],OvalData[],MATCH(Table2[[#Headers],[slattype]],Table2[#Headers],0),0)</f>
        <v>2</v>
      </c>
      <c r="AK477" s="2">
        <f>VLOOKUP([jobnumber],OvalData[],MATCH(Table2[[#Headers],[slatgage]],Table2[#Headers],0),0)</f>
        <v>18</v>
      </c>
      <c r="AL477" s="2">
        <f>VLOOKUP([jobnumber],OvalData[],MATCH(Table2[[#Headers],[Numer of Top Slats]],Table2[#Headers],0),0)</f>
        <v>0</v>
      </c>
      <c r="AM477" s="2">
        <f>VLOOKUP([jobnumber],OvalData[],MATCH(Table2[[#Headers],[Number of Bottom Slats]],Table2[#Headers],0),0)</f>
        <v>0</v>
      </c>
      <c r="AN477" s="2">
        <f>VLOOKUP([jobnumber],OvalData[],MATCH(Table2[[#Headers],[Solid Bottom Height]],Table2[#Headers],0),0)</f>
        <v>0</v>
      </c>
      <c r="AO477" s="2" t="str">
        <f>VLOOKUP([jobnumber],OvalData[],MATCH(Table2[[#Headers],[slatlength]],Table2[#Headers],0),0)</f>
        <v xml:space="preserve"> 18 ft.- 5 7/ 8"</v>
      </c>
      <c r="AP477" s="2">
        <f>VLOOKUP([jobnumber],OvalData[],MATCH(Table2[[#Headers],[Bottom Slat Length]],Table2[#Headers],0),0)</f>
        <v>0</v>
      </c>
      <c r="AQ477" s="2">
        <f>VLOOKUP([jobnumber],OvalData[],MATCH(Table2[[#Headers],[Number of Perferated Slats]],Table2[#Headers],0),0)</f>
        <v>0</v>
      </c>
      <c r="AR477" s="2">
        <f>VLOOKUP([jobnumber],OvalData[],MATCH(Table2[[#Headers],[First Preferated Slat From End]],Table2[#Headers],0),0)</f>
        <v>0</v>
      </c>
      <c r="AS477" s="2">
        <f>VLOOKUP([jobnumber],OvalData[],MATCH(Table2[[#Headers],[First Preferated Slat From Bottom]],Table2[#Headers],0),0)</f>
        <v>0</v>
      </c>
      <c r="AT477" s="2">
        <f>VLOOKUP([jobnumber],OvalData[],MATCH(Table2[[#Headers],[Total Number of Slats]],Table2[#Headers],0),0)</f>
        <v>51</v>
      </c>
      <c r="AU477" s="2">
        <f>VLOOKUP([jobnumber],OvalData[],MATCH(Table2[[#Headers],[Bottom Bar Slope]],Table2[#Headers],0),0)</f>
        <v>0</v>
      </c>
      <c r="AV477" s="2">
        <f>VLOOKUP([jobnumber],OvalData[],MATCH(Table2[[#Headers],[Bottom Bar Weight]],Table2[#Headers],0),0)</f>
        <v>80.5</v>
      </c>
      <c r="AW477" s="2" t="str">
        <f>VLOOKUP([jobnumber],OvalData[],MATCH(Table2[[#Headers],[Outer Spring Gage]],Table2[#Headers],0),0)</f>
        <v>Null</v>
      </c>
      <c r="AX477" s="2" t="str">
        <f>VLOOKUP([jobnumber],OvalData[],MATCH(Table2[[#Headers],[Outer Spring OD]],Table2[#Headers],0),0)</f>
        <v>Null</v>
      </c>
      <c r="AY477" s="2" t="str">
        <f>VLOOKUP([jobnumber],OvalData[],MATCH(Table2[[#Headers],[Outer Spring Length]],Table2[#Headers],0),0)</f>
        <v>Null</v>
      </c>
      <c r="AZ477" s="2" t="str">
        <f>VLOOKUP([jobnumber],OvalData[],MATCH(Table2[[#Headers],[Outer Spring Stretch]],Table2[#Headers],0),0)</f>
        <v>Null</v>
      </c>
      <c r="BA477" s="2" t="str">
        <f>VLOOKUP([jobnumber],OvalData[],MATCH(Table2[[#Headers],[Outer Spring Torque]],Table2[#Headers],0),0)</f>
        <v>Null</v>
      </c>
      <c r="BB477" s="2" t="str">
        <f>VLOOKUP([jobnumber],OvalData[],MATCH(Table2[[#Headers],[Outer Spring Max Turns]],Table2[#Headers],0),0)</f>
        <v>Null</v>
      </c>
      <c r="BC477" s="2" t="str">
        <f>VLOOKUP([jobnumber],OvalData[],MATCH(Table2[[#Headers],[Outer Spring Weight]],Table2[#Headers],0),0)</f>
        <v>Null</v>
      </c>
      <c r="BD477" s="2" t="str">
        <f>VLOOKUP([jobnumber],OvalData[],MATCH(Table2[[#Headers],[Inner Spring Gage]],Table2[#Headers],0),0)</f>
        <v>Null</v>
      </c>
      <c r="BE477" s="2" t="str">
        <f>VLOOKUP([jobnumber],OvalData[],MATCH(Table2[[#Headers],[Inner Spring OD]],Table2[#Headers],0),0)</f>
        <v>Null</v>
      </c>
      <c r="BF477" s="2" t="str">
        <f>VLOOKUP([jobnumber],OvalData[],MATCH(Table2[[#Headers],[Inner Spring Length]],Table2[#Headers],0),0)</f>
        <v>Null</v>
      </c>
      <c r="BG477" s="2" t="str">
        <f>VLOOKUP([jobnumber],OvalData[],MATCH(Table2[[#Headers],[Inner Spring Stretch]],Table2[#Headers],0),0)</f>
        <v>Null</v>
      </c>
      <c r="BH477" s="2" t="str">
        <f>VLOOKUP([jobnumber],OvalData[],MATCH(Table2[[#Headers],[Inner Spring Torque]],Table2[#Headers],0),0)</f>
        <v>Null</v>
      </c>
      <c r="BI477" s="2" t="str">
        <f>VLOOKUP([jobnumber],OvalData[],MATCH(Table2[[#Headers],[Inner Spring Max Turns]],Table2[#Headers],0),0)</f>
        <v>Null</v>
      </c>
      <c r="BJ477" s="2" t="str">
        <f>VLOOKUP([jobnumber],OvalData[],MATCH(Table2[[#Headers],[Inner Spring Weight]],Table2[#Headers],0),0)</f>
        <v>Null</v>
      </c>
      <c r="BK477" s="2">
        <f>VLOOKUP([jobnumber],OvalData[],MATCH(Table2[[#Headers],[Cycles]],Table2[#Headers],0),0)</f>
        <v>0</v>
      </c>
      <c r="BL477" s="2">
        <f>VLOOKUP([jobnumber],OvalData[],MATCH(Table2[[#Headers],[Total Spring Torque]],Table2[#Headers],0),0)</f>
        <v>0</v>
      </c>
      <c r="BM477" s="2">
        <f>VLOOKUP([jobnumber],OvalData[],MATCH(Table2[[#Headers],[Total Spring Weight]],Table2[#Headers],0),0)</f>
        <v>0</v>
      </c>
      <c r="BN477" s="2">
        <f>VLOOKUP([jobnumber],OvalData[],MATCH(Table2[[#Headers],[Pipe Weight]],Table2[#Headers],0),0)</f>
        <v>688.24239999999998</v>
      </c>
      <c r="BO477" s="2">
        <f>VLOOKUP([jobnumber],OvalData[],MATCH(Table2[[#Headers],[Max Pipe Deflection]],Table2[#Headers],0),0)</f>
        <v>2309</v>
      </c>
      <c r="BP477" s="2">
        <f>VLOOKUP([jobnumber],OvalData[],MATCH(Table2[[#Headers],[Number Non-Insulated Wrap Slats]],Table2[#Headers],0),0)</f>
        <v>0</v>
      </c>
      <c r="BQ477" s="2">
        <f>VLOOKUP([jobnumber],OvalData[],MATCH(Table2[[#Headers],[Number of Insolated Top Slats]],Table2[#Headers],0),0)</f>
        <v>45</v>
      </c>
      <c r="BR477" s="2">
        <f>VLOOKUP([jobnumber],OvalData[],MATCH(Table2[[#Headers],[Insolated Total Slats]],Table2[#Headers],0),0)</f>
        <v>45</v>
      </c>
      <c r="BS477" s="2">
        <f>VLOOKUP([jobnumber],OvalData[],MATCH(Table2[[#Headers],[Number of Slats]],Table2[#Headers],0),0)</f>
        <v>44.69</v>
      </c>
      <c r="BT477" s="2">
        <f>VLOOKUP([jobnumber],OvalData[],MATCH(Table2[[#Headers],[Wrap]],Table2[#Headers],0),0)</f>
        <v>0</v>
      </c>
      <c r="BU477" s="2">
        <f>VLOOKUP([jobnumber],OvalData[],MATCH(Table2[[#Headers],[Wall Angle Thickness]],Table2[#Headers],0),0)</f>
        <v>0</v>
      </c>
      <c r="BV477" s="2">
        <f>VLOOKUP([jobnumber],OvalData[],MATCH(Table2[[#Headers],[windlocks]],Table2[#Headers],0),0)</f>
        <v>0</v>
      </c>
      <c r="BW477" s="2" t="str">
        <f>VLOOKUP([jobnumber],OvalData[],MATCH(Table2[[#Headers],[bottombartype]],Table2[#Headers],0),0)</f>
        <v>SPECIAL</v>
      </c>
      <c r="BX477" s="2">
        <f>VLOOKUP([jobnumber],OvalData[],MATCH(Table2[[#Headers],[endlockweight]],Table2[#Headers],0),0)</f>
        <v>0.17</v>
      </c>
      <c r="BY477" s="2">
        <f>VLOOKUP([jobnumber],OvalData[],MATCH(Table2[[#Headers],[Endlock Total Weight]],Table2[#Headers],0),0)</f>
        <v>7.5972999999999997</v>
      </c>
      <c r="BZ477" s="2">
        <f>VLOOKUP([jobnumber],OvalData[],MATCH(Table2[[#Headers],[Grille Weight]],Table2[#Headers],0),0)</f>
        <v>0</v>
      </c>
      <c r="CA477" s="2">
        <f>VLOOKUP([jobnumber],OvalData[],MATCH(Table2[[#Headers],[barrelrings]],Table2[#Headers],0),0)</f>
        <v>1</v>
      </c>
    </row>
    <row r="478" spans="2:79">
      <c r="B478" s="2" t="str">
        <f>VLOOKUP([jobnumber],OvalData[],MATCH(Table2[[#Headers],[Hand]],Table2[#Headers],0),0)</f>
        <v>RH</v>
      </c>
      <c r="C478" s="2" t="str">
        <f>VLOOKUP([jobnumber],OvalData[],MATCH(Table2[[#Headers],[Model]],Table2[#Headers],0),0)</f>
        <v>SFMPP</v>
      </c>
      <c r="D478" s="2" t="str">
        <f>VLOOKUP([jobnumber],OvalData[],MATCH(Table2[[#Headers],[width]],Table2[#Headers],0),0)</f>
        <v xml:space="preserve"> 18 ft.- 2"</v>
      </c>
      <c r="E478" s="2" t="str">
        <f>VLOOKUP([jobnumber],OvalData[],MATCH(Table2[[#Headers],[stopheight]],Table2[#Headers],0),0)</f>
        <v xml:space="preserve"> 10 ft.- 0"</v>
      </c>
      <c r="F478" s="2" t="str">
        <f>VLOOKUP([jobnumber],OvalData[],MATCH(Table2[[#Headers],[Between Brackets]],Table2[#Headers],0),0)</f>
        <v xml:space="preserve"> 18 ft.- 7 7/ 8"</v>
      </c>
      <c r="G478" s="2" t="str">
        <f>VLOOKUP([jobnumber],OvalData[],MATCH(Table2[[#Headers],[shell]],Table2[#Headers],0),0)</f>
        <v>6 INCH TUBE</v>
      </c>
      <c r="H478" s="2" t="str">
        <f>VLOOKUP([jobnumber],OvalData[],MATCH(Table2[[#Headers],[pipewidth]],Table2[#Headers],0),0)</f>
        <v xml:space="preserve"> 18 ft.- 1 3/ 8"</v>
      </c>
      <c r="I478" s="2">
        <f>VLOOKUP([jobnumber],OvalData[],MATCH(Table2[[#Headers],[Support Tubes]],Table2[#Headers],0),0)</f>
        <v>0</v>
      </c>
      <c r="J478" s="2">
        <f>VLOOKUP([jobnumber],OvalData[],MATCH(Table2[[#Headers],[Upset]],Table2[#Headers],0),0)</f>
        <v>2</v>
      </c>
      <c r="K478" s="2" t="str">
        <f>VLOOKUP([jobnumber],OvalData[],MATCH(Table2[[#Headers],[Guide Type]],Table2[#Headers],0),0)</f>
        <v>SN2-4 5/8-E</v>
      </c>
      <c r="L478" s="2" t="str">
        <f>VLOOKUP([jobnumber],OvalData[],MATCH(Table2[[#Headers],[Wall Angle]],Table2[#Headers],0),0)</f>
        <v xml:space="preserve"> 11 ft.- 8"</v>
      </c>
      <c r="M478" s="2" t="str">
        <f>VLOOKUP([jobnumber],OvalData[],MATCH(Table2[[#Headers],[Middle Angle]],Table2[#Headers],0),0)</f>
        <v xml:space="preserve"> 10 ft.- 4 1/ 2"</v>
      </c>
      <c r="N478" s="2" t="str">
        <f>VLOOKUP([jobnumber],OvalData[],MATCH(Table2[[#Headers],[Front Angle]],Table2[#Headers],0),0)</f>
        <v xml:space="preserve"> 10 ft.- 3"</v>
      </c>
      <c r="O478" s="2">
        <f>VLOOKUP([jobnumber],OvalData[],MATCH(Table2[[#Headers],[Pipe Center Line]],Table2[#Headers],0),0)</f>
        <v>131</v>
      </c>
      <c r="P478" s="2">
        <f>VLOOKUP([jobnumber],OvalData[],MATCH(Table2[[#Headers],[Heat Expansion Gap]],Table2[#Headers],0),0)</f>
        <v>0</v>
      </c>
      <c r="Q478" s="2">
        <f>VLOOKUP([jobnumber],OvalData[],MATCH(Table2[[#Headers],[Hanging Weight Closed]],Table2[#Headers],0),0)</f>
        <v>795</v>
      </c>
      <c r="R478" s="2">
        <f>VLOOKUP([jobnumber],OvalData[],MATCH(Table2[[#Headers],[Hanging Weight Open]],Table2[#Headers],0),0)</f>
        <v>140</v>
      </c>
      <c r="S478" s="2">
        <f>VLOOKUP([jobnumber],OvalData[],MATCH(Table2[[#Headers],[Initial Lever Arm]],Table2[#Headers],0),0)</f>
        <v>4.25</v>
      </c>
      <c r="T478" s="2">
        <f>VLOOKUP([jobnumber],OvalData[],MATCH(Table2[[#Headers],[Turns to Raise]],Table2[#Headers],0),0)</f>
        <v>3.5859999999999999</v>
      </c>
      <c r="U478" s="2">
        <f>VLOOKUP([jobnumber],OvalData[],MATCH(Table2[[#Headers],[Final Lever Arm]],Table2[#Headers],0),0)</f>
        <v>6.37</v>
      </c>
      <c r="V478" s="2">
        <f>VLOOKUP([jobnumber],OvalData[],MATCH(Table2[[#Headers],[Torque Required Closed]],Table2[#Headers],0),0)</f>
        <v>3377.9</v>
      </c>
      <c r="W478" s="2">
        <f>VLOOKUP([jobnumber],OvalData[],MATCH(Table2[[#Headers],[Torque Required Open]],Table2[#Headers],0),0)</f>
        <v>892</v>
      </c>
      <c r="X478" s="2">
        <f>VLOOKUP([jobnumber],OvalData[],MATCH(Table2[[#Headers],[Pre Turns]],Table2[#Headers],0),0)</f>
        <v>1.3332999999999999</v>
      </c>
      <c r="Y478" s="2">
        <f>VLOOKUP([jobnumber],OvalData[],MATCH(Table2[[#Headers],[Required Torque Per Turn]],Table2[#Headers],0),0)</f>
        <v>688</v>
      </c>
      <c r="Z478" s="2">
        <f>VLOOKUP([jobnumber],OvalData[],MATCH(Table2[[#Headers],[Total Turns]],Table2[#Headers],0),0)</f>
        <v>4.91</v>
      </c>
      <c r="AA478" s="2">
        <f>VLOOKUP([jobnumber],OvalData[],MATCH(Table2[[#Headers],[Grille Vision Section]],Table2[#Headers],0),0)</f>
        <v>0</v>
      </c>
      <c r="AB478" s="2">
        <f>VLOOKUP([jobnumber],OvalData[],MATCH(Table2[[#Headers],[Grille Amount]],Table2[#Headers],0),0)</f>
        <v>0</v>
      </c>
      <c r="AC478" s="2">
        <f>VLOOKUP([jobnumber],OvalData[],MATCH(Table2[[#Headers],[Grille Center]],Table2[#Headers],0),0)</f>
        <v>0</v>
      </c>
      <c r="AD478" s="2">
        <f>VLOOKUP([jobnumber],OvalData[],MATCH(Table2[[#Headers],[Grille Pattern]],Table2[#Headers],0),0)</f>
        <v>0</v>
      </c>
      <c r="AE478" s="2">
        <f>VLOOKUP([jobnumber],OvalData[],MATCH(Table2[[#Headers],[Grille First Tube]],Table2[#Headers],0),0)</f>
        <v>0</v>
      </c>
      <c r="AF478" s="2">
        <f>VLOOKUP([jobnumber],OvalData[],MATCH(Table2[[#Headers],[Grille Standard Tube]],Table2[#Headers],0),0)</f>
        <v>0</v>
      </c>
      <c r="AG478" s="2">
        <f>VLOOKUP([jobnumber],OvalData[],MATCH(Table2[[#Headers],[Grille Total Links]],Table2[#Headers],0),0)</f>
        <v>0</v>
      </c>
      <c r="AH478" s="2">
        <f>VLOOKUP([jobnumber],OvalData[],MATCH(Table2[[#Headers],[Grille Rods]],Table2[#Headers],0),0)</f>
        <v>0</v>
      </c>
      <c r="AI478" s="2">
        <f>VLOOKUP([jobnumber],OvalData[],MATCH(Table2[[#Headers],[Grille Rod Length]],Table2[#Headers],0),0)</f>
        <v>0</v>
      </c>
      <c r="AJ478" s="2">
        <f>VLOOKUP([jobnumber],OvalData[],MATCH(Table2[[#Headers],[slattype]],Table2[#Headers],0),0)</f>
        <v>2</v>
      </c>
      <c r="AK478" s="2">
        <f>VLOOKUP([jobnumber],OvalData[],MATCH(Table2[[#Headers],[slatgage]],Table2[#Headers],0),0)</f>
        <v>18</v>
      </c>
      <c r="AL478" s="2">
        <f>VLOOKUP([jobnumber],OvalData[],MATCH(Table2[[#Headers],[Numer of Top Slats]],Table2[#Headers],0),0)</f>
        <v>0</v>
      </c>
      <c r="AM478" s="2">
        <f>VLOOKUP([jobnumber],OvalData[],MATCH(Table2[[#Headers],[Number of Bottom Slats]],Table2[#Headers],0),0)</f>
        <v>0</v>
      </c>
      <c r="AN478" s="2">
        <f>VLOOKUP([jobnumber],OvalData[],MATCH(Table2[[#Headers],[Solid Bottom Height]],Table2[#Headers],0),0)</f>
        <v>0</v>
      </c>
      <c r="AO478" s="2" t="str">
        <f>VLOOKUP([jobnumber],OvalData[],MATCH(Table2[[#Headers],[slatlength]],Table2[#Headers],0),0)</f>
        <v xml:space="preserve"> 18 ft.- 5 7/ 8"</v>
      </c>
      <c r="AP478" s="2">
        <f>VLOOKUP([jobnumber],OvalData[],MATCH(Table2[[#Headers],[Bottom Slat Length]],Table2[#Headers],0),0)</f>
        <v>0</v>
      </c>
      <c r="AQ478" s="2">
        <f>VLOOKUP([jobnumber],OvalData[],MATCH(Table2[[#Headers],[Number of Perferated Slats]],Table2[#Headers],0),0)</f>
        <v>0</v>
      </c>
      <c r="AR478" s="2">
        <f>VLOOKUP([jobnumber],OvalData[],MATCH(Table2[[#Headers],[First Preferated Slat From End]],Table2[#Headers],0),0)</f>
        <v>0</v>
      </c>
      <c r="AS478" s="2">
        <f>VLOOKUP([jobnumber],OvalData[],MATCH(Table2[[#Headers],[First Preferated Slat From Bottom]],Table2[#Headers],0),0)</f>
        <v>0</v>
      </c>
      <c r="AT478" s="2">
        <f>VLOOKUP([jobnumber],OvalData[],MATCH(Table2[[#Headers],[Total Number of Slats]],Table2[#Headers],0),0)</f>
        <v>51</v>
      </c>
      <c r="AU478" s="2">
        <f>VLOOKUP([jobnumber],OvalData[],MATCH(Table2[[#Headers],[Bottom Bar Slope]],Table2[#Headers],0),0)</f>
        <v>0</v>
      </c>
      <c r="AV478" s="2">
        <f>VLOOKUP([jobnumber],OvalData[],MATCH(Table2[[#Headers],[Bottom Bar Weight]],Table2[#Headers],0),0)</f>
        <v>80.5</v>
      </c>
      <c r="AW478" s="2" t="str">
        <f>VLOOKUP([jobnumber],OvalData[],MATCH(Table2[[#Headers],[Outer Spring Gage]],Table2[#Headers],0),0)</f>
        <v>Null</v>
      </c>
      <c r="AX478" s="2" t="str">
        <f>VLOOKUP([jobnumber],OvalData[],MATCH(Table2[[#Headers],[Outer Spring OD]],Table2[#Headers],0),0)</f>
        <v>Null</v>
      </c>
      <c r="AY478" s="2" t="str">
        <f>VLOOKUP([jobnumber],OvalData[],MATCH(Table2[[#Headers],[Outer Spring Length]],Table2[#Headers],0),0)</f>
        <v>Null</v>
      </c>
      <c r="AZ478" s="2" t="str">
        <f>VLOOKUP([jobnumber],OvalData[],MATCH(Table2[[#Headers],[Outer Spring Stretch]],Table2[#Headers],0),0)</f>
        <v>Null</v>
      </c>
      <c r="BA478" s="2" t="str">
        <f>VLOOKUP([jobnumber],OvalData[],MATCH(Table2[[#Headers],[Outer Spring Torque]],Table2[#Headers],0),0)</f>
        <v>Null</v>
      </c>
      <c r="BB478" s="2" t="str">
        <f>VLOOKUP([jobnumber],OvalData[],MATCH(Table2[[#Headers],[Outer Spring Max Turns]],Table2[#Headers],0),0)</f>
        <v>Null</v>
      </c>
      <c r="BC478" s="2" t="str">
        <f>VLOOKUP([jobnumber],OvalData[],MATCH(Table2[[#Headers],[Outer Spring Weight]],Table2[#Headers],0),0)</f>
        <v>Null</v>
      </c>
      <c r="BD478" s="2" t="str">
        <f>VLOOKUP([jobnumber],OvalData[],MATCH(Table2[[#Headers],[Inner Spring Gage]],Table2[#Headers],0),0)</f>
        <v>Null</v>
      </c>
      <c r="BE478" s="2" t="str">
        <f>VLOOKUP([jobnumber],OvalData[],MATCH(Table2[[#Headers],[Inner Spring OD]],Table2[#Headers],0),0)</f>
        <v>Null</v>
      </c>
      <c r="BF478" s="2" t="str">
        <f>VLOOKUP([jobnumber],OvalData[],MATCH(Table2[[#Headers],[Inner Spring Length]],Table2[#Headers],0),0)</f>
        <v>Null</v>
      </c>
      <c r="BG478" s="2" t="str">
        <f>VLOOKUP([jobnumber],OvalData[],MATCH(Table2[[#Headers],[Inner Spring Stretch]],Table2[#Headers],0),0)</f>
        <v>Null</v>
      </c>
      <c r="BH478" s="2" t="str">
        <f>VLOOKUP([jobnumber],OvalData[],MATCH(Table2[[#Headers],[Inner Spring Torque]],Table2[#Headers],0),0)</f>
        <v>Null</v>
      </c>
      <c r="BI478" s="2" t="str">
        <f>VLOOKUP([jobnumber],OvalData[],MATCH(Table2[[#Headers],[Inner Spring Max Turns]],Table2[#Headers],0),0)</f>
        <v>Null</v>
      </c>
      <c r="BJ478" s="2" t="str">
        <f>VLOOKUP([jobnumber],OvalData[],MATCH(Table2[[#Headers],[Inner Spring Weight]],Table2[#Headers],0),0)</f>
        <v>Null</v>
      </c>
      <c r="BK478" s="2">
        <f>VLOOKUP([jobnumber],OvalData[],MATCH(Table2[[#Headers],[Cycles]],Table2[#Headers],0),0)</f>
        <v>0</v>
      </c>
      <c r="BL478" s="2">
        <f>VLOOKUP([jobnumber],OvalData[],MATCH(Table2[[#Headers],[Total Spring Torque]],Table2[#Headers],0),0)</f>
        <v>0</v>
      </c>
      <c r="BM478" s="2">
        <f>VLOOKUP([jobnumber],OvalData[],MATCH(Table2[[#Headers],[Total Spring Weight]],Table2[#Headers],0),0)</f>
        <v>0</v>
      </c>
      <c r="BN478" s="2">
        <f>VLOOKUP([jobnumber],OvalData[],MATCH(Table2[[#Headers],[Pipe Weight]],Table2[#Headers],0),0)</f>
        <v>688.24239999999998</v>
      </c>
      <c r="BO478" s="2">
        <f>VLOOKUP([jobnumber],OvalData[],MATCH(Table2[[#Headers],[Max Pipe Deflection]],Table2[#Headers],0),0)</f>
        <v>2309</v>
      </c>
      <c r="BP478" s="2">
        <f>VLOOKUP([jobnumber],OvalData[],MATCH(Table2[[#Headers],[Number Non-Insulated Wrap Slats]],Table2[#Headers],0),0)</f>
        <v>0</v>
      </c>
      <c r="BQ478" s="2">
        <f>VLOOKUP([jobnumber],OvalData[],MATCH(Table2[[#Headers],[Number of Insolated Top Slats]],Table2[#Headers],0),0)</f>
        <v>45</v>
      </c>
      <c r="BR478" s="2">
        <f>VLOOKUP([jobnumber],OvalData[],MATCH(Table2[[#Headers],[Insolated Total Slats]],Table2[#Headers],0),0)</f>
        <v>45</v>
      </c>
      <c r="BS478" s="2">
        <f>VLOOKUP([jobnumber],OvalData[],MATCH(Table2[[#Headers],[Number of Slats]],Table2[#Headers],0),0)</f>
        <v>44.69</v>
      </c>
      <c r="BT478" s="2">
        <f>VLOOKUP([jobnumber],OvalData[],MATCH(Table2[[#Headers],[Wrap]],Table2[#Headers],0),0)</f>
        <v>0</v>
      </c>
      <c r="BU478" s="2">
        <f>VLOOKUP([jobnumber],OvalData[],MATCH(Table2[[#Headers],[Wall Angle Thickness]],Table2[#Headers],0),0)</f>
        <v>0</v>
      </c>
      <c r="BV478" s="2">
        <f>VLOOKUP([jobnumber],OvalData[],MATCH(Table2[[#Headers],[windlocks]],Table2[#Headers],0),0)</f>
        <v>0</v>
      </c>
      <c r="BW478" s="2" t="str">
        <f>VLOOKUP([jobnumber],OvalData[],MATCH(Table2[[#Headers],[bottombartype]],Table2[#Headers],0),0)</f>
        <v>SPECIAL</v>
      </c>
      <c r="BX478" s="2">
        <f>VLOOKUP([jobnumber],OvalData[],MATCH(Table2[[#Headers],[endlockweight]],Table2[#Headers],0),0)</f>
        <v>0.17</v>
      </c>
      <c r="BY478" s="2">
        <f>VLOOKUP([jobnumber],OvalData[],MATCH(Table2[[#Headers],[Endlock Total Weight]],Table2[#Headers],0),0)</f>
        <v>7.5972999999999997</v>
      </c>
      <c r="BZ478" s="2">
        <f>VLOOKUP([jobnumber],OvalData[],MATCH(Table2[[#Headers],[Grille Weight]],Table2[#Headers],0),0)</f>
        <v>0</v>
      </c>
      <c r="CA478" s="2">
        <f>VLOOKUP([jobnumber],OvalData[],MATCH(Table2[[#Headers],[barrelrings]],Table2[#Headers],0),0)</f>
        <v>1</v>
      </c>
    </row>
    <row r="479" spans="2:79">
      <c r="B479" s="2" t="str">
        <f>VLOOKUP([jobnumber],OvalData[],MATCH(Table2[[#Headers],[Hand]],Table2[#Headers],0),0)</f>
        <v>RH</v>
      </c>
      <c r="C479" s="2" t="str">
        <f>VLOOKUP([jobnumber],OvalData[],MATCH(Table2[[#Headers],[Model]],Table2[#Headers],0),0)</f>
        <v>SFMPP</v>
      </c>
      <c r="D479" s="2" t="str">
        <f>VLOOKUP([jobnumber],OvalData[],MATCH(Table2[[#Headers],[width]],Table2[#Headers],0),0)</f>
        <v xml:space="preserve"> 18 ft.- 2"</v>
      </c>
      <c r="E479" s="2" t="str">
        <f>VLOOKUP([jobnumber],OvalData[],MATCH(Table2[[#Headers],[stopheight]],Table2[#Headers],0),0)</f>
        <v xml:space="preserve"> 10 ft.- 0"</v>
      </c>
      <c r="F479" s="2" t="str">
        <f>VLOOKUP([jobnumber],OvalData[],MATCH(Table2[[#Headers],[Between Brackets]],Table2[#Headers],0),0)</f>
        <v xml:space="preserve"> 18 ft.- 7 7/ 8"</v>
      </c>
      <c r="G479" s="2" t="str">
        <f>VLOOKUP([jobnumber],OvalData[],MATCH(Table2[[#Headers],[shell]],Table2[#Headers],0),0)</f>
        <v>6 INCH TUBE</v>
      </c>
      <c r="H479" s="2" t="str">
        <f>VLOOKUP([jobnumber],OvalData[],MATCH(Table2[[#Headers],[pipewidth]],Table2[#Headers],0),0)</f>
        <v xml:space="preserve"> 18 ft.- 1 3/ 8"</v>
      </c>
      <c r="I479" s="2">
        <f>VLOOKUP([jobnumber],OvalData[],MATCH(Table2[[#Headers],[Support Tubes]],Table2[#Headers],0),0)</f>
        <v>0</v>
      </c>
      <c r="J479" s="2">
        <f>VLOOKUP([jobnumber],OvalData[],MATCH(Table2[[#Headers],[Upset]],Table2[#Headers],0),0)</f>
        <v>2</v>
      </c>
      <c r="K479" s="2" t="str">
        <f>VLOOKUP([jobnumber],OvalData[],MATCH(Table2[[#Headers],[Guide Type]],Table2[#Headers],0),0)</f>
        <v>SN2-4 5/8-E</v>
      </c>
      <c r="L479" s="2" t="str">
        <f>VLOOKUP([jobnumber],OvalData[],MATCH(Table2[[#Headers],[Wall Angle]],Table2[#Headers],0),0)</f>
        <v xml:space="preserve"> 11 ft.- 8"</v>
      </c>
      <c r="M479" s="2" t="str">
        <f>VLOOKUP([jobnumber],OvalData[],MATCH(Table2[[#Headers],[Middle Angle]],Table2[#Headers],0),0)</f>
        <v xml:space="preserve"> 10 ft.- 4 1/ 2"</v>
      </c>
      <c r="N479" s="2" t="str">
        <f>VLOOKUP([jobnumber],OvalData[],MATCH(Table2[[#Headers],[Front Angle]],Table2[#Headers],0),0)</f>
        <v xml:space="preserve"> 10 ft.- 3"</v>
      </c>
      <c r="O479" s="2">
        <f>VLOOKUP([jobnumber],OvalData[],MATCH(Table2[[#Headers],[Pipe Center Line]],Table2[#Headers],0),0)</f>
        <v>131</v>
      </c>
      <c r="P479" s="2">
        <f>VLOOKUP([jobnumber],OvalData[],MATCH(Table2[[#Headers],[Heat Expansion Gap]],Table2[#Headers],0),0)</f>
        <v>0</v>
      </c>
      <c r="Q479" s="2">
        <f>VLOOKUP([jobnumber],OvalData[],MATCH(Table2[[#Headers],[Hanging Weight Closed]],Table2[#Headers],0),0)</f>
        <v>795</v>
      </c>
      <c r="R479" s="2">
        <f>VLOOKUP([jobnumber],OvalData[],MATCH(Table2[[#Headers],[Hanging Weight Open]],Table2[#Headers],0),0)</f>
        <v>140</v>
      </c>
      <c r="S479" s="2">
        <f>VLOOKUP([jobnumber],OvalData[],MATCH(Table2[[#Headers],[Initial Lever Arm]],Table2[#Headers],0),0)</f>
        <v>4.25</v>
      </c>
      <c r="T479" s="2">
        <f>VLOOKUP([jobnumber],OvalData[],MATCH(Table2[[#Headers],[Turns to Raise]],Table2[#Headers],0),0)</f>
        <v>3.5859999999999999</v>
      </c>
      <c r="U479" s="2">
        <f>VLOOKUP([jobnumber],OvalData[],MATCH(Table2[[#Headers],[Final Lever Arm]],Table2[#Headers],0),0)</f>
        <v>6.37</v>
      </c>
      <c r="V479" s="2">
        <f>VLOOKUP([jobnumber],OvalData[],MATCH(Table2[[#Headers],[Torque Required Closed]],Table2[#Headers],0),0)</f>
        <v>3377.9</v>
      </c>
      <c r="W479" s="2">
        <f>VLOOKUP([jobnumber],OvalData[],MATCH(Table2[[#Headers],[Torque Required Open]],Table2[#Headers],0),0)</f>
        <v>892</v>
      </c>
      <c r="X479" s="2">
        <f>VLOOKUP([jobnumber],OvalData[],MATCH(Table2[[#Headers],[Pre Turns]],Table2[#Headers],0),0)</f>
        <v>1.3332999999999999</v>
      </c>
      <c r="Y479" s="2">
        <f>VLOOKUP([jobnumber],OvalData[],MATCH(Table2[[#Headers],[Required Torque Per Turn]],Table2[#Headers],0),0)</f>
        <v>688</v>
      </c>
      <c r="Z479" s="2">
        <f>VLOOKUP([jobnumber],OvalData[],MATCH(Table2[[#Headers],[Total Turns]],Table2[#Headers],0),0)</f>
        <v>4.91</v>
      </c>
      <c r="AA479" s="2">
        <f>VLOOKUP([jobnumber],OvalData[],MATCH(Table2[[#Headers],[Grille Vision Section]],Table2[#Headers],0),0)</f>
        <v>0</v>
      </c>
      <c r="AB479" s="2">
        <f>VLOOKUP([jobnumber],OvalData[],MATCH(Table2[[#Headers],[Grille Amount]],Table2[#Headers],0),0)</f>
        <v>0</v>
      </c>
      <c r="AC479" s="2">
        <f>VLOOKUP([jobnumber],OvalData[],MATCH(Table2[[#Headers],[Grille Center]],Table2[#Headers],0),0)</f>
        <v>0</v>
      </c>
      <c r="AD479" s="2">
        <f>VLOOKUP([jobnumber],OvalData[],MATCH(Table2[[#Headers],[Grille Pattern]],Table2[#Headers],0),0)</f>
        <v>0</v>
      </c>
      <c r="AE479" s="2">
        <f>VLOOKUP([jobnumber],OvalData[],MATCH(Table2[[#Headers],[Grille First Tube]],Table2[#Headers],0),0)</f>
        <v>0</v>
      </c>
      <c r="AF479" s="2">
        <f>VLOOKUP([jobnumber],OvalData[],MATCH(Table2[[#Headers],[Grille Standard Tube]],Table2[#Headers],0),0)</f>
        <v>0</v>
      </c>
      <c r="AG479" s="2">
        <f>VLOOKUP([jobnumber],OvalData[],MATCH(Table2[[#Headers],[Grille Total Links]],Table2[#Headers],0),0)</f>
        <v>0</v>
      </c>
      <c r="AH479" s="2">
        <f>VLOOKUP([jobnumber],OvalData[],MATCH(Table2[[#Headers],[Grille Rods]],Table2[#Headers],0),0)</f>
        <v>0</v>
      </c>
      <c r="AI479" s="2">
        <f>VLOOKUP([jobnumber],OvalData[],MATCH(Table2[[#Headers],[Grille Rod Length]],Table2[#Headers],0),0)</f>
        <v>0</v>
      </c>
      <c r="AJ479" s="2">
        <f>VLOOKUP([jobnumber],OvalData[],MATCH(Table2[[#Headers],[slattype]],Table2[#Headers],0),0)</f>
        <v>2</v>
      </c>
      <c r="AK479" s="2">
        <f>VLOOKUP([jobnumber],OvalData[],MATCH(Table2[[#Headers],[slatgage]],Table2[#Headers],0),0)</f>
        <v>18</v>
      </c>
      <c r="AL479" s="2">
        <f>VLOOKUP([jobnumber],OvalData[],MATCH(Table2[[#Headers],[Numer of Top Slats]],Table2[#Headers],0),0)</f>
        <v>0</v>
      </c>
      <c r="AM479" s="2">
        <f>VLOOKUP([jobnumber],OvalData[],MATCH(Table2[[#Headers],[Number of Bottom Slats]],Table2[#Headers],0),0)</f>
        <v>0</v>
      </c>
      <c r="AN479" s="2">
        <f>VLOOKUP([jobnumber],OvalData[],MATCH(Table2[[#Headers],[Solid Bottom Height]],Table2[#Headers],0),0)</f>
        <v>0</v>
      </c>
      <c r="AO479" s="2" t="str">
        <f>VLOOKUP([jobnumber],OvalData[],MATCH(Table2[[#Headers],[slatlength]],Table2[#Headers],0),0)</f>
        <v xml:space="preserve"> 18 ft.- 5 7/ 8"</v>
      </c>
      <c r="AP479" s="2">
        <f>VLOOKUP([jobnumber],OvalData[],MATCH(Table2[[#Headers],[Bottom Slat Length]],Table2[#Headers],0),0)</f>
        <v>0</v>
      </c>
      <c r="AQ479" s="2">
        <f>VLOOKUP([jobnumber],OvalData[],MATCH(Table2[[#Headers],[Number of Perferated Slats]],Table2[#Headers],0),0)</f>
        <v>0</v>
      </c>
      <c r="AR479" s="2">
        <f>VLOOKUP([jobnumber],OvalData[],MATCH(Table2[[#Headers],[First Preferated Slat From End]],Table2[#Headers],0),0)</f>
        <v>0</v>
      </c>
      <c r="AS479" s="2">
        <f>VLOOKUP([jobnumber],OvalData[],MATCH(Table2[[#Headers],[First Preferated Slat From Bottom]],Table2[#Headers],0),0)</f>
        <v>0</v>
      </c>
      <c r="AT479" s="2">
        <f>VLOOKUP([jobnumber],OvalData[],MATCH(Table2[[#Headers],[Total Number of Slats]],Table2[#Headers],0),0)</f>
        <v>51</v>
      </c>
      <c r="AU479" s="2">
        <f>VLOOKUP([jobnumber],OvalData[],MATCH(Table2[[#Headers],[Bottom Bar Slope]],Table2[#Headers],0),0)</f>
        <v>0</v>
      </c>
      <c r="AV479" s="2">
        <f>VLOOKUP([jobnumber],OvalData[],MATCH(Table2[[#Headers],[Bottom Bar Weight]],Table2[#Headers],0),0)</f>
        <v>80.5</v>
      </c>
      <c r="AW479" s="2" t="str">
        <f>VLOOKUP([jobnumber],OvalData[],MATCH(Table2[[#Headers],[Outer Spring Gage]],Table2[#Headers],0),0)</f>
        <v>Null</v>
      </c>
      <c r="AX479" s="2" t="str">
        <f>VLOOKUP([jobnumber],OvalData[],MATCH(Table2[[#Headers],[Outer Spring OD]],Table2[#Headers],0),0)</f>
        <v>Null</v>
      </c>
      <c r="AY479" s="2" t="str">
        <f>VLOOKUP([jobnumber],OvalData[],MATCH(Table2[[#Headers],[Outer Spring Length]],Table2[#Headers],0),0)</f>
        <v>Null</v>
      </c>
      <c r="AZ479" s="2" t="str">
        <f>VLOOKUP([jobnumber],OvalData[],MATCH(Table2[[#Headers],[Outer Spring Stretch]],Table2[#Headers],0),0)</f>
        <v>Null</v>
      </c>
      <c r="BA479" s="2" t="str">
        <f>VLOOKUP([jobnumber],OvalData[],MATCH(Table2[[#Headers],[Outer Spring Torque]],Table2[#Headers],0),0)</f>
        <v>Null</v>
      </c>
      <c r="BB479" s="2" t="str">
        <f>VLOOKUP([jobnumber],OvalData[],MATCH(Table2[[#Headers],[Outer Spring Max Turns]],Table2[#Headers],0),0)</f>
        <v>Null</v>
      </c>
      <c r="BC479" s="2" t="str">
        <f>VLOOKUP([jobnumber],OvalData[],MATCH(Table2[[#Headers],[Outer Spring Weight]],Table2[#Headers],0),0)</f>
        <v>Null</v>
      </c>
      <c r="BD479" s="2" t="str">
        <f>VLOOKUP([jobnumber],OvalData[],MATCH(Table2[[#Headers],[Inner Spring Gage]],Table2[#Headers],0),0)</f>
        <v>Null</v>
      </c>
      <c r="BE479" s="2" t="str">
        <f>VLOOKUP([jobnumber],OvalData[],MATCH(Table2[[#Headers],[Inner Spring OD]],Table2[#Headers],0),0)</f>
        <v>Null</v>
      </c>
      <c r="BF479" s="2" t="str">
        <f>VLOOKUP([jobnumber],OvalData[],MATCH(Table2[[#Headers],[Inner Spring Length]],Table2[#Headers],0),0)</f>
        <v>Null</v>
      </c>
      <c r="BG479" s="2" t="str">
        <f>VLOOKUP([jobnumber],OvalData[],MATCH(Table2[[#Headers],[Inner Spring Stretch]],Table2[#Headers],0),0)</f>
        <v>Null</v>
      </c>
      <c r="BH479" s="2" t="str">
        <f>VLOOKUP([jobnumber],OvalData[],MATCH(Table2[[#Headers],[Inner Spring Torque]],Table2[#Headers],0),0)</f>
        <v>Null</v>
      </c>
      <c r="BI479" s="2" t="str">
        <f>VLOOKUP([jobnumber],OvalData[],MATCH(Table2[[#Headers],[Inner Spring Max Turns]],Table2[#Headers],0),0)</f>
        <v>Null</v>
      </c>
      <c r="BJ479" s="2" t="str">
        <f>VLOOKUP([jobnumber],OvalData[],MATCH(Table2[[#Headers],[Inner Spring Weight]],Table2[#Headers],0),0)</f>
        <v>Null</v>
      </c>
      <c r="BK479" s="2">
        <f>VLOOKUP([jobnumber],OvalData[],MATCH(Table2[[#Headers],[Cycles]],Table2[#Headers],0),0)</f>
        <v>0</v>
      </c>
      <c r="BL479" s="2">
        <f>VLOOKUP([jobnumber],OvalData[],MATCH(Table2[[#Headers],[Total Spring Torque]],Table2[#Headers],0),0)</f>
        <v>0</v>
      </c>
      <c r="BM479" s="2">
        <f>VLOOKUP([jobnumber],OvalData[],MATCH(Table2[[#Headers],[Total Spring Weight]],Table2[#Headers],0),0)</f>
        <v>0</v>
      </c>
      <c r="BN479" s="2">
        <f>VLOOKUP([jobnumber],OvalData[],MATCH(Table2[[#Headers],[Pipe Weight]],Table2[#Headers],0),0)</f>
        <v>688.24239999999998</v>
      </c>
      <c r="BO479" s="2">
        <f>VLOOKUP([jobnumber],OvalData[],MATCH(Table2[[#Headers],[Max Pipe Deflection]],Table2[#Headers],0),0)</f>
        <v>2309</v>
      </c>
      <c r="BP479" s="2">
        <f>VLOOKUP([jobnumber],OvalData[],MATCH(Table2[[#Headers],[Number Non-Insulated Wrap Slats]],Table2[#Headers],0),0)</f>
        <v>0</v>
      </c>
      <c r="BQ479" s="2">
        <f>VLOOKUP([jobnumber],OvalData[],MATCH(Table2[[#Headers],[Number of Insolated Top Slats]],Table2[#Headers],0),0)</f>
        <v>45</v>
      </c>
      <c r="BR479" s="2">
        <f>VLOOKUP([jobnumber],OvalData[],MATCH(Table2[[#Headers],[Insolated Total Slats]],Table2[#Headers],0),0)</f>
        <v>45</v>
      </c>
      <c r="BS479" s="2">
        <f>VLOOKUP([jobnumber],OvalData[],MATCH(Table2[[#Headers],[Number of Slats]],Table2[#Headers],0),0)</f>
        <v>44.69</v>
      </c>
      <c r="BT479" s="2">
        <f>VLOOKUP([jobnumber],OvalData[],MATCH(Table2[[#Headers],[Wrap]],Table2[#Headers],0),0)</f>
        <v>0</v>
      </c>
      <c r="BU479" s="2">
        <f>VLOOKUP([jobnumber],OvalData[],MATCH(Table2[[#Headers],[Wall Angle Thickness]],Table2[#Headers],0),0)</f>
        <v>0</v>
      </c>
      <c r="BV479" s="2">
        <f>VLOOKUP([jobnumber],OvalData[],MATCH(Table2[[#Headers],[windlocks]],Table2[#Headers],0),0)</f>
        <v>0</v>
      </c>
      <c r="BW479" s="2" t="str">
        <f>VLOOKUP([jobnumber],OvalData[],MATCH(Table2[[#Headers],[bottombartype]],Table2[#Headers],0),0)</f>
        <v>SPECIAL</v>
      </c>
      <c r="BX479" s="2">
        <f>VLOOKUP([jobnumber],OvalData[],MATCH(Table2[[#Headers],[endlockweight]],Table2[#Headers],0),0)</f>
        <v>0.17</v>
      </c>
      <c r="BY479" s="2">
        <f>VLOOKUP([jobnumber],OvalData[],MATCH(Table2[[#Headers],[Endlock Total Weight]],Table2[#Headers],0),0)</f>
        <v>7.5972999999999997</v>
      </c>
      <c r="BZ479" s="2">
        <f>VLOOKUP([jobnumber],OvalData[],MATCH(Table2[[#Headers],[Grille Weight]],Table2[#Headers],0),0)</f>
        <v>0</v>
      </c>
      <c r="CA479" s="2">
        <f>VLOOKUP([jobnumber],OvalData[],MATCH(Table2[[#Headers],[barrelrings]],Table2[#Headers],0),0)</f>
        <v>1</v>
      </c>
    </row>
    <row r="480" spans="2:79">
      <c r="B480" s="2" t="str">
        <f>VLOOKUP([jobnumber],OvalData[],MATCH(Table2[[#Headers],[Hand]],Table2[#Headers],0),0)</f>
        <v>RH</v>
      </c>
      <c r="C480" s="2" t="str">
        <f>VLOOKUP([jobnumber],OvalData[],MATCH(Table2[[#Headers],[Model]],Table2[#Headers],0),0)</f>
        <v>SFMPP</v>
      </c>
      <c r="D480" s="2" t="str">
        <f>VLOOKUP([jobnumber],OvalData[],MATCH(Table2[[#Headers],[width]],Table2[#Headers],0),0)</f>
        <v xml:space="preserve"> 18 ft.- 2"</v>
      </c>
      <c r="E480" s="2" t="str">
        <f>VLOOKUP([jobnumber],OvalData[],MATCH(Table2[[#Headers],[stopheight]],Table2[#Headers],0),0)</f>
        <v xml:space="preserve"> 10 ft.- 0"</v>
      </c>
      <c r="F480" s="2" t="str">
        <f>VLOOKUP([jobnumber],OvalData[],MATCH(Table2[[#Headers],[Between Brackets]],Table2[#Headers],0),0)</f>
        <v xml:space="preserve"> 18 ft.- 7 7/ 8"</v>
      </c>
      <c r="G480" s="2" t="str">
        <f>VLOOKUP([jobnumber],OvalData[],MATCH(Table2[[#Headers],[shell]],Table2[#Headers],0),0)</f>
        <v>6 INCH TUBE</v>
      </c>
      <c r="H480" s="2" t="str">
        <f>VLOOKUP([jobnumber],OvalData[],MATCH(Table2[[#Headers],[pipewidth]],Table2[#Headers],0),0)</f>
        <v xml:space="preserve"> 18 ft.- 1 3/ 8"</v>
      </c>
      <c r="I480" s="2">
        <f>VLOOKUP([jobnumber],OvalData[],MATCH(Table2[[#Headers],[Support Tubes]],Table2[#Headers],0),0)</f>
        <v>0</v>
      </c>
      <c r="J480" s="2">
        <f>VLOOKUP([jobnumber],OvalData[],MATCH(Table2[[#Headers],[Upset]],Table2[#Headers],0),0)</f>
        <v>2</v>
      </c>
      <c r="K480" s="2" t="str">
        <f>VLOOKUP([jobnumber],OvalData[],MATCH(Table2[[#Headers],[Guide Type]],Table2[#Headers],0),0)</f>
        <v>SN2-4 5/8-E</v>
      </c>
      <c r="L480" s="2" t="str">
        <f>VLOOKUP([jobnumber],OvalData[],MATCH(Table2[[#Headers],[Wall Angle]],Table2[#Headers],0),0)</f>
        <v xml:space="preserve"> 11 ft.- 8"</v>
      </c>
      <c r="M480" s="2" t="str">
        <f>VLOOKUP([jobnumber],OvalData[],MATCH(Table2[[#Headers],[Middle Angle]],Table2[#Headers],0),0)</f>
        <v xml:space="preserve"> 10 ft.- 4 1/ 2"</v>
      </c>
      <c r="N480" s="2" t="str">
        <f>VLOOKUP([jobnumber],OvalData[],MATCH(Table2[[#Headers],[Front Angle]],Table2[#Headers],0),0)</f>
        <v xml:space="preserve"> 10 ft.- 3"</v>
      </c>
      <c r="O480" s="2">
        <f>VLOOKUP([jobnumber],OvalData[],MATCH(Table2[[#Headers],[Pipe Center Line]],Table2[#Headers],0),0)</f>
        <v>131</v>
      </c>
      <c r="P480" s="2">
        <f>VLOOKUP([jobnumber],OvalData[],MATCH(Table2[[#Headers],[Heat Expansion Gap]],Table2[#Headers],0),0)</f>
        <v>0</v>
      </c>
      <c r="Q480" s="2">
        <f>VLOOKUP([jobnumber],OvalData[],MATCH(Table2[[#Headers],[Hanging Weight Closed]],Table2[#Headers],0),0)</f>
        <v>795</v>
      </c>
      <c r="R480" s="2">
        <f>VLOOKUP([jobnumber],OvalData[],MATCH(Table2[[#Headers],[Hanging Weight Open]],Table2[#Headers],0),0)</f>
        <v>140</v>
      </c>
      <c r="S480" s="2">
        <f>VLOOKUP([jobnumber],OvalData[],MATCH(Table2[[#Headers],[Initial Lever Arm]],Table2[#Headers],0),0)</f>
        <v>4.25</v>
      </c>
      <c r="T480" s="2">
        <f>VLOOKUP([jobnumber],OvalData[],MATCH(Table2[[#Headers],[Turns to Raise]],Table2[#Headers],0),0)</f>
        <v>3.5859999999999999</v>
      </c>
      <c r="U480" s="2">
        <f>VLOOKUP([jobnumber],OvalData[],MATCH(Table2[[#Headers],[Final Lever Arm]],Table2[#Headers],0),0)</f>
        <v>6.37</v>
      </c>
      <c r="V480" s="2">
        <f>VLOOKUP([jobnumber],OvalData[],MATCH(Table2[[#Headers],[Torque Required Closed]],Table2[#Headers],0),0)</f>
        <v>3377.9</v>
      </c>
      <c r="W480" s="2">
        <f>VLOOKUP([jobnumber],OvalData[],MATCH(Table2[[#Headers],[Torque Required Open]],Table2[#Headers],0),0)</f>
        <v>892</v>
      </c>
      <c r="X480" s="2">
        <f>VLOOKUP([jobnumber],OvalData[],MATCH(Table2[[#Headers],[Pre Turns]],Table2[#Headers],0),0)</f>
        <v>1.3332999999999999</v>
      </c>
      <c r="Y480" s="2">
        <f>VLOOKUP([jobnumber],OvalData[],MATCH(Table2[[#Headers],[Required Torque Per Turn]],Table2[#Headers],0),0)</f>
        <v>688</v>
      </c>
      <c r="Z480" s="2">
        <f>VLOOKUP([jobnumber],OvalData[],MATCH(Table2[[#Headers],[Total Turns]],Table2[#Headers],0),0)</f>
        <v>4.91</v>
      </c>
      <c r="AA480" s="2">
        <f>VLOOKUP([jobnumber],OvalData[],MATCH(Table2[[#Headers],[Grille Vision Section]],Table2[#Headers],0),0)</f>
        <v>0</v>
      </c>
      <c r="AB480" s="2">
        <f>VLOOKUP([jobnumber],OvalData[],MATCH(Table2[[#Headers],[Grille Amount]],Table2[#Headers],0),0)</f>
        <v>0</v>
      </c>
      <c r="AC480" s="2">
        <f>VLOOKUP([jobnumber],OvalData[],MATCH(Table2[[#Headers],[Grille Center]],Table2[#Headers],0),0)</f>
        <v>0</v>
      </c>
      <c r="AD480" s="2">
        <f>VLOOKUP([jobnumber],OvalData[],MATCH(Table2[[#Headers],[Grille Pattern]],Table2[#Headers],0),0)</f>
        <v>0</v>
      </c>
      <c r="AE480" s="2">
        <f>VLOOKUP([jobnumber],OvalData[],MATCH(Table2[[#Headers],[Grille First Tube]],Table2[#Headers],0),0)</f>
        <v>0</v>
      </c>
      <c r="AF480" s="2">
        <f>VLOOKUP([jobnumber],OvalData[],MATCH(Table2[[#Headers],[Grille Standard Tube]],Table2[#Headers],0),0)</f>
        <v>0</v>
      </c>
      <c r="AG480" s="2">
        <f>VLOOKUP([jobnumber],OvalData[],MATCH(Table2[[#Headers],[Grille Total Links]],Table2[#Headers],0),0)</f>
        <v>0</v>
      </c>
      <c r="AH480" s="2">
        <f>VLOOKUP([jobnumber],OvalData[],MATCH(Table2[[#Headers],[Grille Rods]],Table2[#Headers],0),0)</f>
        <v>0</v>
      </c>
      <c r="AI480" s="2">
        <f>VLOOKUP([jobnumber],OvalData[],MATCH(Table2[[#Headers],[Grille Rod Length]],Table2[#Headers],0),0)</f>
        <v>0</v>
      </c>
      <c r="AJ480" s="2">
        <f>VLOOKUP([jobnumber],OvalData[],MATCH(Table2[[#Headers],[slattype]],Table2[#Headers],0),0)</f>
        <v>2</v>
      </c>
      <c r="AK480" s="2">
        <f>VLOOKUP([jobnumber],OvalData[],MATCH(Table2[[#Headers],[slatgage]],Table2[#Headers],0),0)</f>
        <v>18</v>
      </c>
      <c r="AL480" s="2">
        <f>VLOOKUP([jobnumber],OvalData[],MATCH(Table2[[#Headers],[Numer of Top Slats]],Table2[#Headers],0),0)</f>
        <v>0</v>
      </c>
      <c r="AM480" s="2">
        <f>VLOOKUP([jobnumber],OvalData[],MATCH(Table2[[#Headers],[Number of Bottom Slats]],Table2[#Headers],0),0)</f>
        <v>0</v>
      </c>
      <c r="AN480" s="2">
        <f>VLOOKUP([jobnumber],OvalData[],MATCH(Table2[[#Headers],[Solid Bottom Height]],Table2[#Headers],0),0)</f>
        <v>0</v>
      </c>
      <c r="AO480" s="2" t="str">
        <f>VLOOKUP([jobnumber],OvalData[],MATCH(Table2[[#Headers],[slatlength]],Table2[#Headers],0),0)</f>
        <v xml:space="preserve"> 18 ft.- 5 7/ 8"</v>
      </c>
      <c r="AP480" s="2">
        <f>VLOOKUP([jobnumber],OvalData[],MATCH(Table2[[#Headers],[Bottom Slat Length]],Table2[#Headers],0),0)</f>
        <v>0</v>
      </c>
      <c r="AQ480" s="2">
        <f>VLOOKUP([jobnumber],OvalData[],MATCH(Table2[[#Headers],[Number of Perferated Slats]],Table2[#Headers],0),0)</f>
        <v>0</v>
      </c>
      <c r="AR480" s="2">
        <f>VLOOKUP([jobnumber],OvalData[],MATCH(Table2[[#Headers],[First Preferated Slat From End]],Table2[#Headers],0),0)</f>
        <v>0</v>
      </c>
      <c r="AS480" s="2">
        <f>VLOOKUP([jobnumber],OvalData[],MATCH(Table2[[#Headers],[First Preferated Slat From Bottom]],Table2[#Headers],0),0)</f>
        <v>0</v>
      </c>
      <c r="AT480" s="2">
        <f>VLOOKUP([jobnumber],OvalData[],MATCH(Table2[[#Headers],[Total Number of Slats]],Table2[#Headers],0),0)</f>
        <v>51</v>
      </c>
      <c r="AU480" s="2">
        <f>VLOOKUP([jobnumber],OvalData[],MATCH(Table2[[#Headers],[Bottom Bar Slope]],Table2[#Headers],0),0)</f>
        <v>0</v>
      </c>
      <c r="AV480" s="2">
        <f>VLOOKUP([jobnumber],OvalData[],MATCH(Table2[[#Headers],[Bottom Bar Weight]],Table2[#Headers],0),0)</f>
        <v>80.5</v>
      </c>
      <c r="AW480" s="2" t="str">
        <f>VLOOKUP([jobnumber],OvalData[],MATCH(Table2[[#Headers],[Outer Spring Gage]],Table2[#Headers],0),0)</f>
        <v>Null</v>
      </c>
      <c r="AX480" s="2" t="str">
        <f>VLOOKUP([jobnumber],OvalData[],MATCH(Table2[[#Headers],[Outer Spring OD]],Table2[#Headers],0),0)</f>
        <v>Null</v>
      </c>
      <c r="AY480" s="2" t="str">
        <f>VLOOKUP([jobnumber],OvalData[],MATCH(Table2[[#Headers],[Outer Spring Length]],Table2[#Headers],0),0)</f>
        <v>Null</v>
      </c>
      <c r="AZ480" s="2" t="str">
        <f>VLOOKUP([jobnumber],OvalData[],MATCH(Table2[[#Headers],[Outer Spring Stretch]],Table2[#Headers],0),0)</f>
        <v>Null</v>
      </c>
      <c r="BA480" s="2" t="str">
        <f>VLOOKUP([jobnumber],OvalData[],MATCH(Table2[[#Headers],[Outer Spring Torque]],Table2[#Headers],0),0)</f>
        <v>Null</v>
      </c>
      <c r="BB480" s="2" t="str">
        <f>VLOOKUP([jobnumber],OvalData[],MATCH(Table2[[#Headers],[Outer Spring Max Turns]],Table2[#Headers],0),0)</f>
        <v>Null</v>
      </c>
      <c r="BC480" s="2" t="str">
        <f>VLOOKUP([jobnumber],OvalData[],MATCH(Table2[[#Headers],[Outer Spring Weight]],Table2[#Headers],0),0)</f>
        <v>Null</v>
      </c>
      <c r="BD480" s="2" t="str">
        <f>VLOOKUP([jobnumber],OvalData[],MATCH(Table2[[#Headers],[Inner Spring Gage]],Table2[#Headers],0),0)</f>
        <v>Null</v>
      </c>
      <c r="BE480" s="2" t="str">
        <f>VLOOKUP([jobnumber],OvalData[],MATCH(Table2[[#Headers],[Inner Spring OD]],Table2[#Headers],0),0)</f>
        <v>Null</v>
      </c>
      <c r="BF480" s="2" t="str">
        <f>VLOOKUP([jobnumber],OvalData[],MATCH(Table2[[#Headers],[Inner Spring Length]],Table2[#Headers],0),0)</f>
        <v>Null</v>
      </c>
      <c r="BG480" s="2" t="str">
        <f>VLOOKUP([jobnumber],OvalData[],MATCH(Table2[[#Headers],[Inner Spring Stretch]],Table2[#Headers],0),0)</f>
        <v>Null</v>
      </c>
      <c r="BH480" s="2" t="str">
        <f>VLOOKUP([jobnumber],OvalData[],MATCH(Table2[[#Headers],[Inner Spring Torque]],Table2[#Headers],0),0)</f>
        <v>Null</v>
      </c>
      <c r="BI480" s="2" t="str">
        <f>VLOOKUP([jobnumber],OvalData[],MATCH(Table2[[#Headers],[Inner Spring Max Turns]],Table2[#Headers],0),0)</f>
        <v>Null</v>
      </c>
      <c r="BJ480" s="2" t="str">
        <f>VLOOKUP([jobnumber],OvalData[],MATCH(Table2[[#Headers],[Inner Spring Weight]],Table2[#Headers],0),0)</f>
        <v>Null</v>
      </c>
      <c r="BK480" s="2">
        <f>VLOOKUP([jobnumber],OvalData[],MATCH(Table2[[#Headers],[Cycles]],Table2[#Headers],0),0)</f>
        <v>0</v>
      </c>
      <c r="BL480" s="2">
        <f>VLOOKUP([jobnumber],OvalData[],MATCH(Table2[[#Headers],[Total Spring Torque]],Table2[#Headers],0),0)</f>
        <v>0</v>
      </c>
      <c r="BM480" s="2">
        <f>VLOOKUP([jobnumber],OvalData[],MATCH(Table2[[#Headers],[Total Spring Weight]],Table2[#Headers],0),0)</f>
        <v>0</v>
      </c>
      <c r="BN480" s="2">
        <f>VLOOKUP([jobnumber],OvalData[],MATCH(Table2[[#Headers],[Pipe Weight]],Table2[#Headers],0),0)</f>
        <v>688.24239999999998</v>
      </c>
      <c r="BO480" s="2">
        <f>VLOOKUP([jobnumber],OvalData[],MATCH(Table2[[#Headers],[Max Pipe Deflection]],Table2[#Headers],0),0)</f>
        <v>2309</v>
      </c>
      <c r="BP480" s="2">
        <f>VLOOKUP([jobnumber],OvalData[],MATCH(Table2[[#Headers],[Number Non-Insulated Wrap Slats]],Table2[#Headers],0),0)</f>
        <v>0</v>
      </c>
      <c r="BQ480" s="2">
        <f>VLOOKUP([jobnumber],OvalData[],MATCH(Table2[[#Headers],[Number of Insolated Top Slats]],Table2[#Headers],0),0)</f>
        <v>45</v>
      </c>
      <c r="BR480" s="2">
        <f>VLOOKUP([jobnumber],OvalData[],MATCH(Table2[[#Headers],[Insolated Total Slats]],Table2[#Headers],0),0)</f>
        <v>45</v>
      </c>
      <c r="BS480" s="2">
        <f>VLOOKUP([jobnumber],OvalData[],MATCH(Table2[[#Headers],[Number of Slats]],Table2[#Headers],0),0)</f>
        <v>44.69</v>
      </c>
      <c r="BT480" s="2">
        <f>VLOOKUP([jobnumber],OvalData[],MATCH(Table2[[#Headers],[Wrap]],Table2[#Headers],0),0)</f>
        <v>0</v>
      </c>
      <c r="BU480" s="2">
        <f>VLOOKUP([jobnumber],OvalData[],MATCH(Table2[[#Headers],[Wall Angle Thickness]],Table2[#Headers],0),0)</f>
        <v>0</v>
      </c>
      <c r="BV480" s="2">
        <f>VLOOKUP([jobnumber],OvalData[],MATCH(Table2[[#Headers],[windlocks]],Table2[#Headers],0),0)</f>
        <v>0</v>
      </c>
      <c r="BW480" s="2" t="str">
        <f>VLOOKUP([jobnumber],OvalData[],MATCH(Table2[[#Headers],[bottombartype]],Table2[#Headers],0),0)</f>
        <v>SPECIAL</v>
      </c>
      <c r="BX480" s="2">
        <f>VLOOKUP([jobnumber],OvalData[],MATCH(Table2[[#Headers],[endlockweight]],Table2[#Headers],0),0)</f>
        <v>0.17</v>
      </c>
      <c r="BY480" s="2">
        <f>VLOOKUP([jobnumber],OvalData[],MATCH(Table2[[#Headers],[Endlock Total Weight]],Table2[#Headers],0),0)</f>
        <v>7.5972999999999997</v>
      </c>
      <c r="BZ480" s="2">
        <f>VLOOKUP([jobnumber],OvalData[],MATCH(Table2[[#Headers],[Grille Weight]],Table2[#Headers],0),0)</f>
        <v>0</v>
      </c>
      <c r="CA480" s="2">
        <f>VLOOKUP([jobnumber],OvalData[],MATCH(Table2[[#Headers],[barrelrings]],Table2[#Headers],0),0)</f>
        <v>1</v>
      </c>
    </row>
    <row r="481" spans="2:79">
      <c r="B481" s="2" t="str">
        <f>VLOOKUP([jobnumber],OvalData[],MATCH(Table2[[#Headers],[Hand]],Table2[#Headers],0),0)</f>
        <v>RH</v>
      </c>
      <c r="C481" s="2" t="str">
        <f>VLOOKUP([jobnumber],OvalData[],MATCH(Table2[[#Headers],[Model]],Table2[#Headers],0),0)</f>
        <v>SFMPP</v>
      </c>
      <c r="D481" s="2" t="str">
        <f>VLOOKUP([jobnumber],OvalData[],MATCH(Table2[[#Headers],[width]],Table2[#Headers],0),0)</f>
        <v xml:space="preserve"> 18 ft.- 2"</v>
      </c>
      <c r="E481" s="2" t="str">
        <f>VLOOKUP([jobnumber],OvalData[],MATCH(Table2[[#Headers],[stopheight]],Table2[#Headers],0),0)</f>
        <v xml:space="preserve"> 10 ft.- 0"</v>
      </c>
      <c r="F481" s="2" t="str">
        <f>VLOOKUP([jobnumber],OvalData[],MATCH(Table2[[#Headers],[Between Brackets]],Table2[#Headers],0),0)</f>
        <v xml:space="preserve"> 18 ft.- 7 7/ 8"</v>
      </c>
      <c r="G481" s="2" t="str">
        <f>VLOOKUP([jobnumber],OvalData[],MATCH(Table2[[#Headers],[shell]],Table2[#Headers],0),0)</f>
        <v>6 INCH TUBE</v>
      </c>
      <c r="H481" s="2" t="str">
        <f>VLOOKUP([jobnumber],OvalData[],MATCH(Table2[[#Headers],[pipewidth]],Table2[#Headers],0),0)</f>
        <v xml:space="preserve"> 18 ft.- 1 3/ 8"</v>
      </c>
      <c r="I481" s="2">
        <f>VLOOKUP([jobnumber],OvalData[],MATCH(Table2[[#Headers],[Support Tubes]],Table2[#Headers],0),0)</f>
        <v>0</v>
      </c>
      <c r="J481" s="2">
        <f>VLOOKUP([jobnumber],OvalData[],MATCH(Table2[[#Headers],[Upset]],Table2[#Headers],0),0)</f>
        <v>2</v>
      </c>
      <c r="K481" s="2" t="str">
        <f>VLOOKUP([jobnumber],OvalData[],MATCH(Table2[[#Headers],[Guide Type]],Table2[#Headers],0),0)</f>
        <v>SN2-4 5/8-E</v>
      </c>
      <c r="L481" s="2" t="str">
        <f>VLOOKUP([jobnumber],OvalData[],MATCH(Table2[[#Headers],[Wall Angle]],Table2[#Headers],0),0)</f>
        <v xml:space="preserve"> 11 ft.- 8"</v>
      </c>
      <c r="M481" s="2" t="str">
        <f>VLOOKUP([jobnumber],OvalData[],MATCH(Table2[[#Headers],[Middle Angle]],Table2[#Headers],0),0)</f>
        <v xml:space="preserve"> 10 ft.- 4 1/ 2"</v>
      </c>
      <c r="N481" s="2" t="str">
        <f>VLOOKUP([jobnumber],OvalData[],MATCH(Table2[[#Headers],[Front Angle]],Table2[#Headers],0),0)</f>
        <v xml:space="preserve"> 10 ft.- 3"</v>
      </c>
      <c r="O481" s="2">
        <f>VLOOKUP([jobnumber],OvalData[],MATCH(Table2[[#Headers],[Pipe Center Line]],Table2[#Headers],0),0)</f>
        <v>131</v>
      </c>
      <c r="P481" s="2">
        <f>VLOOKUP([jobnumber],OvalData[],MATCH(Table2[[#Headers],[Heat Expansion Gap]],Table2[#Headers],0),0)</f>
        <v>0</v>
      </c>
      <c r="Q481" s="2">
        <f>VLOOKUP([jobnumber],OvalData[],MATCH(Table2[[#Headers],[Hanging Weight Closed]],Table2[#Headers],0),0)</f>
        <v>795</v>
      </c>
      <c r="R481" s="2">
        <f>VLOOKUP([jobnumber],OvalData[],MATCH(Table2[[#Headers],[Hanging Weight Open]],Table2[#Headers],0),0)</f>
        <v>140</v>
      </c>
      <c r="S481" s="2">
        <f>VLOOKUP([jobnumber],OvalData[],MATCH(Table2[[#Headers],[Initial Lever Arm]],Table2[#Headers],0),0)</f>
        <v>4.25</v>
      </c>
      <c r="T481" s="2">
        <f>VLOOKUP([jobnumber],OvalData[],MATCH(Table2[[#Headers],[Turns to Raise]],Table2[#Headers],0),0)</f>
        <v>3.5859999999999999</v>
      </c>
      <c r="U481" s="2">
        <f>VLOOKUP([jobnumber],OvalData[],MATCH(Table2[[#Headers],[Final Lever Arm]],Table2[#Headers],0),0)</f>
        <v>6.37</v>
      </c>
      <c r="V481" s="2">
        <f>VLOOKUP([jobnumber],OvalData[],MATCH(Table2[[#Headers],[Torque Required Closed]],Table2[#Headers],0),0)</f>
        <v>3377.9</v>
      </c>
      <c r="W481" s="2">
        <f>VLOOKUP([jobnumber],OvalData[],MATCH(Table2[[#Headers],[Torque Required Open]],Table2[#Headers],0),0)</f>
        <v>892</v>
      </c>
      <c r="X481" s="2">
        <f>VLOOKUP([jobnumber],OvalData[],MATCH(Table2[[#Headers],[Pre Turns]],Table2[#Headers],0),0)</f>
        <v>1.3332999999999999</v>
      </c>
      <c r="Y481" s="2">
        <f>VLOOKUP([jobnumber],OvalData[],MATCH(Table2[[#Headers],[Required Torque Per Turn]],Table2[#Headers],0),0)</f>
        <v>688</v>
      </c>
      <c r="Z481" s="2">
        <f>VLOOKUP([jobnumber],OvalData[],MATCH(Table2[[#Headers],[Total Turns]],Table2[#Headers],0),0)</f>
        <v>4.91</v>
      </c>
      <c r="AA481" s="2">
        <f>VLOOKUP([jobnumber],OvalData[],MATCH(Table2[[#Headers],[Grille Vision Section]],Table2[#Headers],0),0)</f>
        <v>0</v>
      </c>
      <c r="AB481" s="2">
        <f>VLOOKUP([jobnumber],OvalData[],MATCH(Table2[[#Headers],[Grille Amount]],Table2[#Headers],0),0)</f>
        <v>0</v>
      </c>
      <c r="AC481" s="2">
        <f>VLOOKUP([jobnumber],OvalData[],MATCH(Table2[[#Headers],[Grille Center]],Table2[#Headers],0),0)</f>
        <v>0</v>
      </c>
      <c r="AD481" s="2">
        <f>VLOOKUP([jobnumber],OvalData[],MATCH(Table2[[#Headers],[Grille Pattern]],Table2[#Headers],0),0)</f>
        <v>0</v>
      </c>
      <c r="AE481" s="2">
        <f>VLOOKUP([jobnumber],OvalData[],MATCH(Table2[[#Headers],[Grille First Tube]],Table2[#Headers],0),0)</f>
        <v>0</v>
      </c>
      <c r="AF481" s="2">
        <f>VLOOKUP([jobnumber],OvalData[],MATCH(Table2[[#Headers],[Grille Standard Tube]],Table2[#Headers],0),0)</f>
        <v>0</v>
      </c>
      <c r="AG481" s="2">
        <f>VLOOKUP([jobnumber],OvalData[],MATCH(Table2[[#Headers],[Grille Total Links]],Table2[#Headers],0),0)</f>
        <v>0</v>
      </c>
      <c r="AH481" s="2">
        <f>VLOOKUP([jobnumber],OvalData[],MATCH(Table2[[#Headers],[Grille Rods]],Table2[#Headers],0),0)</f>
        <v>0</v>
      </c>
      <c r="AI481" s="2">
        <f>VLOOKUP([jobnumber],OvalData[],MATCH(Table2[[#Headers],[Grille Rod Length]],Table2[#Headers],0),0)</f>
        <v>0</v>
      </c>
      <c r="AJ481" s="2">
        <f>VLOOKUP([jobnumber],OvalData[],MATCH(Table2[[#Headers],[slattype]],Table2[#Headers],0),0)</f>
        <v>2</v>
      </c>
      <c r="AK481" s="2">
        <f>VLOOKUP([jobnumber],OvalData[],MATCH(Table2[[#Headers],[slatgage]],Table2[#Headers],0),0)</f>
        <v>18</v>
      </c>
      <c r="AL481" s="2">
        <f>VLOOKUP([jobnumber],OvalData[],MATCH(Table2[[#Headers],[Numer of Top Slats]],Table2[#Headers],0),0)</f>
        <v>0</v>
      </c>
      <c r="AM481" s="2">
        <f>VLOOKUP([jobnumber],OvalData[],MATCH(Table2[[#Headers],[Number of Bottom Slats]],Table2[#Headers],0),0)</f>
        <v>0</v>
      </c>
      <c r="AN481" s="2">
        <f>VLOOKUP([jobnumber],OvalData[],MATCH(Table2[[#Headers],[Solid Bottom Height]],Table2[#Headers],0),0)</f>
        <v>0</v>
      </c>
      <c r="AO481" s="2" t="str">
        <f>VLOOKUP([jobnumber],OvalData[],MATCH(Table2[[#Headers],[slatlength]],Table2[#Headers],0),0)</f>
        <v xml:space="preserve"> 18 ft.- 5 7/ 8"</v>
      </c>
      <c r="AP481" s="2">
        <f>VLOOKUP([jobnumber],OvalData[],MATCH(Table2[[#Headers],[Bottom Slat Length]],Table2[#Headers],0),0)</f>
        <v>0</v>
      </c>
      <c r="AQ481" s="2">
        <f>VLOOKUP([jobnumber],OvalData[],MATCH(Table2[[#Headers],[Number of Perferated Slats]],Table2[#Headers],0),0)</f>
        <v>0</v>
      </c>
      <c r="AR481" s="2">
        <f>VLOOKUP([jobnumber],OvalData[],MATCH(Table2[[#Headers],[First Preferated Slat From End]],Table2[#Headers],0),0)</f>
        <v>0</v>
      </c>
      <c r="AS481" s="2">
        <f>VLOOKUP([jobnumber],OvalData[],MATCH(Table2[[#Headers],[First Preferated Slat From Bottom]],Table2[#Headers],0),0)</f>
        <v>0</v>
      </c>
      <c r="AT481" s="2">
        <f>VLOOKUP([jobnumber],OvalData[],MATCH(Table2[[#Headers],[Total Number of Slats]],Table2[#Headers],0),0)</f>
        <v>51</v>
      </c>
      <c r="AU481" s="2">
        <f>VLOOKUP([jobnumber],OvalData[],MATCH(Table2[[#Headers],[Bottom Bar Slope]],Table2[#Headers],0),0)</f>
        <v>0</v>
      </c>
      <c r="AV481" s="2">
        <f>VLOOKUP([jobnumber],OvalData[],MATCH(Table2[[#Headers],[Bottom Bar Weight]],Table2[#Headers],0),0)</f>
        <v>80.5</v>
      </c>
      <c r="AW481" s="2" t="str">
        <f>VLOOKUP([jobnumber],OvalData[],MATCH(Table2[[#Headers],[Outer Spring Gage]],Table2[#Headers],0),0)</f>
        <v>Null</v>
      </c>
      <c r="AX481" s="2" t="str">
        <f>VLOOKUP([jobnumber],OvalData[],MATCH(Table2[[#Headers],[Outer Spring OD]],Table2[#Headers],0),0)</f>
        <v>Null</v>
      </c>
      <c r="AY481" s="2" t="str">
        <f>VLOOKUP([jobnumber],OvalData[],MATCH(Table2[[#Headers],[Outer Spring Length]],Table2[#Headers],0),0)</f>
        <v>Null</v>
      </c>
      <c r="AZ481" s="2" t="str">
        <f>VLOOKUP([jobnumber],OvalData[],MATCH(Table2[[#Headers],[Outer Spring Stretch]],Table2[#Headers],0),0)</f>
        <v>Null</v>
      </c>
      <c r="BA481" s="2" t="str">
        <f>VLOOKUP([jobnumber],OvalData[],MATCH(Table2[[#Headers],[Outer Spring Torque]],Table2[#Headers],0),0)</f>
        <v>Null</v>
      </c>
      <c r="BB481" s="2" t="str">
        <f>VLOOKUP([jobnumber],OvalData[],MATCH(Table2[[#Headers],[Outer Spring Max Turns]],Table2[#Headers],0),0)</f>
        <v>Null</v>
      </c>
      <c r="BC481" s="2" t="str">
        <f>VLOOKUP([jobnumber],OvalData[],MATCH(Table2[[#Headers],[Outer Spring Weight]],Table2[#Headers],0),0)</f>
        <v>Null</v>
      </c>
      <c r="BD481" s="2" t="str">
        <f>VLOOKUP([jobnumber],OvalData[],MATCH(Table2[[#Headers],[Inner Spring Gage]],Table2[#Headers],0),0)</f>
        <v>Null</v>
      </c>
      <c r="BE481" s="2" t="str">
        <f>VLOOKUP([jobnumber],OvalData[],MATCH(Table2[[#Headers],[Inner Spring OD]],Table2[#Headers],0),0)</f>
        <v>Null</v>
      </c>
      <c r="BF481" s="2" t="str">
        <f>VLOOKUP([jobnumber],OvalData[],MATCH(Table2[[#Headers],[Inner Spring Length]],Table2[#Headers],0),0)</f>
        <v>Null</v>
      </c>
      <c r="BG481" s="2" t="str">
        <f>VLOOKUP([jobnumber],OvalData[],MATCH(Table2[[#Headers],[Inner Spring Stretch]],Table2[#Headers],0),0)</f>
        <v>Null</v>
      </c>
      <c r="BH481" s="2" t="str">
        <f>VLOOKUP([jobnumber],OvalData[],MATCH(Table2[[#Headers],[Inner Spring Torque]],Table2[#Headers],0),0)</f>
        <v>Null</v>
      </c>
      <c r="BI481" s="2" t="str">
        <f>VLOOKUP([jobnumber],OvalData[],MATCH(Table2[[#Headers],[Inner Spring Max Turns]],Table2[#Headers],0),0)</f>
        <v>Null</v>
      </c>
      <c r="BJ481" s="2" t="str">
        <f>VLOOKUP([jobnumber],OvalData[],MATCH(Table2[[#Headers],[Inner Spring Weight]],Table2[#Headers],0),0)</f>
        <v>Null</v>
      </c>
      <c r="BK481" s="2">
        <f>VLOOKUP([jobnumber],OvalData[],MATCH(Table2[[#Headers],[Cycles]],Table2[#Headers],0),0)</f>
        <v>0</v>
      </c>
      <c r="BL481" s="2">
        <f>VLOOKUP([jobnumber],OvalData[],MATCH(Table2[[#Headers],[Total Spring Torque]],Table2[#Headers],0),0)</f>
        <v>0</v>
      </c>
      <c r="BM481" s="2">
        <f>VLOOKUP([jobnumber],OvalData[],MATCH(Table2[[#Headers],[Total Spring Weight]],Table2[#Headers],0),0)</f>
        <v>0</v>
      </c>
      <c r="BN481" s="2">
        <f>VLOOKUP([jobnumber],OvalData[],MATCH(Table2[[#Headers],[Pipe Weight]],Table2[#Headers],0),0)</f>
        <v>688.24239999999998</v>
      </c>
      <c r="BO481" s="2">
        <f>VLOOKUP([jobnumber],OvalData[],MATCH(Table2[[#Headers],[Max Pipe Deflection]],Table2[#Headers],0),0)</f>
        <v>2309</v>
      </c>
      <c r="BP481" s="2">
        <f>VLOOKUP([jobnumber],OvalData[],MATCH(Table2[[#Headers],[Number Non-Insulated Wrap Slats]],Table2[#Headers],0),0)</f>
        <v>0</v>
      </c>
      <c r="BQ481" s="2">
        <f>VLOOKUP([jobnumber],OvalData[],MATCH(Table2[[#Headers],[Number of Insolated Top Slats]],Table2[#Headers],0),0)</f>
        <v>45</v>
      </c>
      <c r="BR481" s="2">
        <f>VLOOKUP([jobnumber],OvalData[],MATCH(Table2[[#Headers],[Insolated Total Slats]],Table2[#Headers],0),0)</f>
        <v>45</v>
      </c>
      <c r="BS481" s="2">
        <f>VLOOKUP([jobnumber],OvalData[],MATCH(Table2[[#Headers],[Number of Slats]],Table2[#Headers],0),0)</f>
        <v>44.69</v>
      </c>
      <c r="BT481" s="2">
        <f>VLOOKUP([jobnumber],OvalData[],MATCH(Table2[[#Headers],[Wrap]],Table2[#Headers],0),0)</f>
        <v>0</v>
      </c>
      <c r="BU481" s="2">
        <f>VLOOKUP([jobnumber],OvalData[],MATCH(Table2[[#Headers],[Wall Angle Thickness]],Table2[#Headers],0),0)</f>
        <v>0</v>
      </c>
      <c r="BV481" s="2">
        <f>VLOOKUP([jobnumber],OvalData[],MATCH(Table2[[#Headers],[windlocks]],Table2[#Headers],0),0)</f>
        <v>0</v>
      </c>
      <c r="BW481" s="2" t="str">
        <f>VLOOKUP([jobnumber],OvalData[],MATCH(Table2[[#Headers],[bottombartype]],Table2[#Headers],0),0)</f>
        <v>SPECIAL</v>
      </c>
      <c r="BX481" s="2">
        <f>VLOOKUP([jobnumber],OvalData[],MATCH(Table2[[#Headers],[endlockweight]],Table2[#Headers],0),0)</f>
        <v>0.17</v>
      </c>
      <c r="BY481" s="2">
        <f>VLOOKUP([jobnumber],OvalData[],MATCH(Table2[[#Headers],[Endlock Total Weight]],Table2[#Headers],0),0)</f>
        <v>7.5972999999999997</v>
      </c>
      <c r="BZ481" s="2">
        <f>VLOOKUP([jobnumber],OvalData[],MATCH(Table2[[#Headers],[Grille Weight]],Table2[#Headers],0),0)</f>
        <v>0</v>
      </c>
      <c r="CA481" s="2">
        <f>VLOOKUP([jobnumber],OvalData[],MATCH(Table2[[#Headers],[barrelrings]],Table2[#Headers],0),0)</f>
        <v>1</v>
      </c>
    </row>
    <row r="482" spans="2:79">
      <c r="B482" s="2" t="str">
        <f>VLOOKUP([jobnumber],OvalData[],MATCH(Table2[[#Headers],[Hand]],Table2[#Headers],0),0)</f>
        <v>RH</v>
      </c>
      <c r="C482" s="2" t="str">
        <f>VLOOKUP([jobnumber],OvalData[],MATCH(Table2[[#Headers],[Model]],Table2[#Headers],0),0)</f>
        <v>SFMPP</v>
      </c>
      <c r="D482" s="2" t="str">
        <f>VLOOKUP([jobnumber],OvalData[],MATCH(Table2[[#Headers],[width]],Table2[#Headers],0),0)</f>
        <v xml:space="preserve"> 18 ft.- 2"</v>
      </c>
      <c r="E482" s="2" t="str">
        <f>VLOOKUP([jobnumber],OvalData[],MATCH(Table2[[#Headers],[stopheight]],Table2[#Headers],0),0)</f>
        <v xml:space="preserve"> 10 ft.- 0"</v>
      </c>
      <c r="F482" s="2" t="str">
        <f>VLOOKUP([jobnumber],OvalData[],MATCH(Table2[[#Headers],[Between Brackets]],Table2[#Headers],0),0)</f>
        <v xml:space="preserve"> 18 ft.- 7 7/ 8"</v>
      </c>
      <c r="G482" s="2" t="str">
        <f>VLOOKUP([jobnumber],OvalData[],MATCH(Table2[[#Headers],[shell]],Table2[#Headers],0),0)</f>
        <v>6 INCH TUBE</v>
      </c>
      <c r="H482" s="2" t="str">
        <f>VLOOKUP([jobnumber],OvalData[],MATCH(Table2[[#Headers],[pipewidth]],Table2[#Headers],0),0)</f>
        <v xml:space="preserve"> 18 ft.- 1 3/ 8"</v>
      </c>
      <c r="I482" s="2">
        <f>VLOOKUP([jobnumber],OvalData[],MATCH(Table2[[#Headers],[Support Tubes]],Table2[#Headers],0),0)</f>
        <v>0</v>
      </c>
      <c r="J482" s="2">
        <f>VLOOKUP([jobnumber],OvalData[],MATCH(Table2[[#Headers],[Upset]],Table2[#Headers],0),0)</f>
        <v>2</v>
      </c>
      <c r="K482" s="2" t="str">
        <f>VLOOKUP([jobnumber],OvalData[],MATCH(Table2[[#Headers],[Guide Type]],Table2[#Headers],0),0)</f>
        <v>SN2-4 5/8-E</v>
      </c>
      <c r="L482" s="2" t="str">
        <f>VLOOKUP([jobnumber],OvalData[],MATCH(Table2[[#Headers],[Wall Angle]],Table2[#Headers],0),0)</f>
        <v xml:space="preserve"> 11 ft.- 8"</v>
      </c>
      <c r="M482" s="2" t="str">
        <f>VLOOKUP([jobnumber],OvalData[],MATCH(Table2[[#Headers],[Middle Angle]],Table2[#Headers],0),0)</f>
        <v xml:space="preserve"> 10 ft.- 4 1/ 2"</v>
      </c>
      <c r="N482" s="2" t="str">
        <f>VLOOKUP([jobnumber],OvalData[],MATCH(Table2[[#Headers],[Front Angle]],Table2[#Headers],0),0)</f>
        <v xml:space="preserve"> 10 ft.- 3"</v>
      </c>
      <c r="O482" s="2">
        <f>VLOOKUP([jobnumber],OvalData[],MATCH(Table2[[#Headers],[Pipe Center Line]],Table2[#Headers],0),0)</f>
        <v>131</v>
      </c>
      <c r="P482" s="2">
        <f>VLOOKUP([jobnumber],OvalData[],MATCH(Table2[[#Headers],[Heat Expansion Gap]],Table2[#Headers],0),0)</f>
        <v>0</v>
      </c>
      <c r="Q482" s="2">
        <f>VLOOKUP([jobnumber],OvalData[],MATCH(Table2[[#Headers],[Hanging Weight Closed]],Table2[#Headers],0),0)</f>
        <v>795</v>
      </c>
      <c r="R482" s="2">
        <f>VLOOKUP([jobnumber],OvalData[],MATCH(Table2[[#Headers],[Hanging Weight Open]],Table2[#Headers],0),0)</f>
        <v>140</v>
      </c>
      <c r="S482" s="2">
        <f>VLOOKUP([jobnumber],OvalData[],MATCH(Table2[[#Headers],[Initial Lever Arm]],Table2[#Headers],0),0)</f>
        <v>4.25</v>
      </c>
      <c r="T482" s="2">
        <f>VLOOKUP([jobnumber],OvalData[],MATCH(Table2[[#Headers],[Turns to Raise]],Table2[#Headers],0),0)</f>
        <v>3.5859999999999999</v>
      </c>
      <c r="U482" s="2">
        <f>VLOOKUP([jobnumber],OvalData[],MATCH(Table2[[#Headers],[Final Lever Arm]],Table2[#Headers],0),0)</f>
        <v>6.37</v>
      </c>
      <c r="V482" s="2">
        <f>VLOOKUP([jobnumber],OvalData[],MATCH(Table2[[#Headers],[Torque Required Closed]],Table2[#Headers],0),0)</f>
        <v>3377.9</v>
      </c>
      <c r="W482" s="2">
        <f>VLOOKUP([jobnumber],OvalData[],MATCH(Table2[[#Headers],[Torque Required Open]],Table2[#Headers],0),0)</f>
        <v>892</v>
      </c>
      <c r="X482" s="2">
        <f>VLOOKUP([jobnumber],OvalData[],MATCH(Table2[[#Headers],[Pre Turns]],Table2[#Headers],0),0)</f>
        <v>1.3332999999999999</v>
      </c>
      <c r="Y482" s="2">
        <f>VLOOKUP([jobnumber],OvalData[],MATCH(Table2[[#Headers],[Required Torque Per Turn]],Table2[#Headers],0),0)</f>
        <v>688</v>
      </c>
      <c r="Z482" s="2">
        <f>VLOOKUP([jobnumber],OvalData[],MATCH(Table2[[#Headers],[Total Turns]],Table2[#Headers],0),0)</f>
        <v>4.91</v>
      </c>
      <c r="AA482" s="2">
        <f>VLOOKUP([jobnumber],OvalData[],MATCH(Table2[[#Headers],[Grille Vision Section]],Table2[#Headers],0),0)</f>
        <v>0</v>
      </c>
      <c r="AB482" s="2">
        <f>VLOOKUP([jobnumber],OvalData[],MATCH(Table2[[#Headers],[Grille Amount]],Table2[#Headers],0),0)</f>
        <v>0</v>
      </c>
      <c r="AC482" s="2">
        <f>VLOOKUP([jobnumber],OvalData[],MATCH(Table2[[#Headers],[Grille Center]],Table2[#Headers],0),0)</f>
        <v>0</v>
      </c>
      <c r="AD482" s="2">
        <f>VLOOKUP([jobnumber],OvalData[],MATCH(Table2[[#Headers],[Grille Pattern]],Table2[#Headers],0),0)</f>
        <v>0</v>
      </c>
      <c r="AE482" s="2">
        <f>VLOOKUP([jobnumber],OvalData[],MATCH(Table2[[#Headers],[Grille First Tube]],Table2[#Headers],0),0)</f>
        <v>0</v>
      </c>
      <c r="AF482" s="2">
        <f>VLOOKUP([jobnumber],OvalData[],MATCH(Table2[[#Headers],[Grille Standard Tube]],Table2[#Headers],0),0)</f>
        <v>0</v>
      </c>
      <c r="AG482" s="2">
        <f>VLOOKUP([jobnumber],OvalData[],MATCH(Table2[[#Headers],[Grille Total Links]],Table2[#Headers],0),0)</f>
        <v>0</v>
      </c>
      <c r="AH482" s="2">
        <f>VLOOKUP([jobnumber],OvalData[],MATCH(Table2[[#Headers],[Grille Rods]],Table2[#Headers],0),0)</f>
        <v>0</v>
      </c>
      <c r="AI482" s="2">
        <f>VLOOKUP([jobnumber],OvalData[],MATCH(Table2[[#Headers],[Grille Rod Length]],Table2[#Headers],0),0)</f>
        <v>0</v>
      </c>
      <c r="AJ482" s="2">
        <f>VLOOKUP([jobnumber],OvalData[],MATCH(Table2[[#Headers],[slattype]],Table2[#Headers],0),0)</f>
        <v>2</v>
      </c>
      <c r="AK482" s="2">
        <f>VLOOKUP([jobnumber],OvalData[],MATCH(Table2[[#Headers],[slatgage]],Table2[#Headers],0),0)</f>
        <v>18</v>
      </c>
      <c r="AL482" s="2">
        <f>VLOOKUP([jobnumber],OvalData[],MATCH(Table2[[#Headers],[Numer of Top Slats]],Table2[#Headers],0),0)</f>
        <v>0</v>
      </c>
      <c r="AM482" s="2">
        <f>VLOOKUP([jobnumber],OvalData[],MATCH(Table2[[#Headers],[Number of Bottom Slats]],Table2[#Headers],0),0)</f>
        <v>0</v>
      </c>
      <c r="AN482" s="2">
        <f>VLOOKUP([jobnumber],OvalData[],MATCH(Table2[[#Headers],[Solid Bottom Height]],Table2[#Headers],0),0)</f>
        <v>0</v>
      </c>
      <c r="AO482" s="2" t="str">
        <f>VLOOKUP([jobnumber],OvalData[],MATCH(Table2[[#Headers],[slatlength]],Table2[#Headers],0),0)</f>
        <v xml:space="preserve"> 18 ft.- 5 7/ 8"</v>
      </c>
      <c r="AP482" s="2">
        <f>VLOOKUP([jobnumber],OvalData[],MATCH(Table2[[#Headers],[Bottom Slat Length]],Table2[#Headers],0),0)</f>
        <v>0</v>
      </c>
      <c r="AQ482" s="2">
        <f>VLOOKUP([jobnumber],OvalData[],MATCH(Table2[[#Headers],[Number of Perferated Slats]],Table2[#Headers],0),0)</f>
        <v>0</v>
      </c>
      <c r="AR482" s="2">
        <f>VLOOKUP([jobnumber],OvalData[],MATCH(Table2[[#Headers],[First Preferated Slat From End]],Table2[#Headers],0),0)</f>
        <v>0</v>
      </c>
      <c r="AS482" s="2">
        <f>VLOOKUP([jobnumber],OvalData[],MATCH(Table2[[#Headers],[First Preferated Slat From Bottom]],Table2[#Headers],0),0)</f>
        <v>0</v>
      </c>
      <c r="AT482" s="2">
        <f>VLOOKUP([jobnumber],OvalData[],MATCH(Table2[[#Headers],[Total Number of Slats]],Table2[#Headers],0),0)</f>
        <v>51</v>
      </c>
      <c r="AU482" s="2">
        <f>VLOOKUP([jobnumber],OvalData[],MATCH(Table2[[#Headers],[Bottom Bar Slope]],Table2[#Headers],0),0)</f>
        <v>0</v>
      </c>
      <c r="AV482" s="2">
        <f>VLOOKUP([jobnumber],OvalData[],MATCH(Table2[[#Headers],[Bottom Bar Weight]],Table2[#Headers],0),0)</f>
        <v>80.5</v>
      </c>
      <c r="AW482" s="2" t="str">
        <f>VLOOKUP([jobnumber],OvalData[],MATCH(Table2[[#Headers],[Outer Spring Gage]],Table2[#Headers],0),0)</f>
        <v>Null</v>
      </c>
      <c r="AX482" s="2" t="str">
        <f>VLOOKUP([jobnumber],OvalData[],MATCH(Table2[[#Headers],[Outer Spring OD]],Table2[#Headers],0),0)</f>
        <v>Null</v>
      </c>
      <c r="AY482" s="2" t="str">
        <f>VLOOKUP([jobnumber],OvalData[],MATCH(Table2[[#Headers],[Outer Spring Length]],Table2[#Headers],0),0)</f>
        <v>Null</v>
      </c>
      <c r="AZ482" s="2" t="str">
        <f>VLOOKUP([jobnumber],OvalData[],MATCH(Table2[[#Headers],[Outer Spring Stretch]],Table2[#Headers],0),0)</f>
        <v>Null</v>
      </c>
      <c r="BA482" s="2" t="str">
        <f>VLOOKUP([jobnumber],OvalData[],MATCH(Table2[[#Headers],[Outer Spring Torque]],Table2[#Headers],0),0)</f>
        <v>Null</v>
      </c>
      <c r="BB482" s="2" t="str">
        <f>VLOOKUP([jobnumber],OvalData[],MATCH(Table2[[#Headers],[Outer Spring Max Turns]],Table2[#Headers],0),0)</f>
        <v>Null</v>
      </c>
      <c r="BC482" s="2" t="str">
        <f>VLOOKUP([jobnumber],OvalData[],MATCH(Table2[[#Headers],[Outer Spring Weight]],Table2[#Headers],0),0)</f>
        <v>Null</v>
      </c>
      <c r="BD482" s="2" t="str">
        <f>VLOOKUP([jobnumber],OvalData[],MATCH(Table2[[#Headers],[Inner Spring Gage]],Table2[#Headers],0),0)</f>
        <v>Null</v>
      </c>
      <c r="BE482" s="2" t="str">
        <f>VLOOKUP([jobnumber],OvalData[],MATCH(Table2[[#Headers],[Inner Spring OD]],Table2[#Headers],0),0)</f>
        <v>Null</v>
      </c>
      <c r="BF482" s="2" t="str">
        <f>VLOOKUP([jobnumber],OvalData[],MATCH(Table2[[#Headers],[Inner Spring Length]],Table2[#Headers],0),0)</f>
        <v>Null</v>
      </c>
      <c r="BG482" s="2" t="str">
        <f>VLOOKUP([jobnumber],OvalData[],MATCH(Table2[[#Headers],[Inner Spring Stretch]],Table2[#Headers],0),0)</f>
        <v>Null</v>
      </c>
      <c r="BH482" s="2" t="str">
        <f>VLOOKUP([jobnumber],OvalData[],MATCH(Table2[[#Headers],[Inner Spring Torque]],Table2[#Headers],0),0)</f>
        <v>Null</v>
      </c>
      <c r="BI482" s="2" t="str">
        <f>VLOOKUP([jobnumber],OvalData[],MATCH(Table2[[#Headers],[Inner Spring Max Turns]],Table2[#Headers],0),0)</f>
        <v>Null</v>
      </c>
      <c r="BJ482" s="2" t="str">
        <f>VLOOKUP([jobnumber],OvalData[],MATCH(Table2[[#Headers],[Inner Spring Weight]],Table2[#Headers],0),0)</f>
        <v>Null</v>
      </c>
      <c r="BK482" s="2">
        <f>VLOOKUP([jobnumber],OvalData[],MATCH(Table2[[#Headers],[Cycles]],Table2[#Headers],0),0)</f>
        <v>0</v>
      </c>
      <c r="BL482" s="2">
        <f>VLOOKUP([jobnumber],OvalData[],MATCH(Table2[[#Headers],[Total Spring Torque]],Table2[#Headers],0),0)</f>
        <v>0</v>
      </c>
      <c r="BM482" s="2">
        <f>VLOOKUP([jobnumber],OvalData[],MATCH(Table2[[#Headers],[Total Spring Weight]],Table2[#Headers],0),0)</f>
        <v>0</v>
      </c>
      <c r="BN482" s="2">
        <f>VLOOKUP([jobnumber],OvalData[],MATCH(Table2[[#Headers],[Pipe Weight]],Table2[#Headers],0),0)</f>
        <v>688.24239999999998</v>
      </c>
      <c r="BO482" s="2">
        <f>VLOOKUP([jobnumber],OvalData[],MATCH(Table2[[#Headers],[Max Pipe Deflection]],Table2[#Headers],0),0)</f>
        <v>2309</v>
      </c>
      <c r="BP482" s="2">
        <f>VLOOKUP([jobnumber],OvalData[],MATCH(Table2[[#Headers],[Number Non-Insulated Wrap Slats]],Table2[#Headers],0),0)</f>
        <v>0</v>
      </c>
      <c r="BQ482" s="2">
        <f>VLOOKUP([jobnumber],OvalData[],MATCH(Table2[[#Headers],[Number of Insolated Top Slats]],Table2[#Headers],0),0)</f>
        <v>45</v>
      </c>
      <c r="BR482" s="2">
        <f>VLOOKUP([jobnumber],OvalData[],MATCH(Table2[[#Headers],[Insolated Total Slats]],Table2[#Headers],0),0)</f>
        <v>45</v>
      </c>
      <c r="BS482" s="2">
        <f>VLOOKUP([jobnumber],OvalData[],MATCH(Table2[[#Headers],[Number of Slats]],Table2[#Headers],0),0)</f>
        <v>44.69</v>
      </c>
      <c r="BT482" s="2">
        <f>VLOOKUP([jobnumber],OvalData[],MATCH(Table2[[#Headers],[Wrap]],Table2[#Headers],0),0)</f>
        <v>0</v>
      </c>
      <c r="BU482" s="2">
        <f>VLOOKUP([jobnumber],OvalData[],MATCH(Table2[[#Headers],[Wall Angle Thickness]],Table2[#Headers],0),0)</f>
        <v>0</v>
      </c>
      <c r="BV482" s="2">
        <f>VLOOKUP([jobnumber],OvalData[],MATCH(Table2[[#Headers],[windlocks]],Table2[#Headers],0),0)</f>
        <v>0</v>
      </c>
      <c r="BW482" s="2" t="str">
        <f>VLOOKUP([jobnumber],OvalData[],MATCH(Table2[[#Headers],[bottombartype]],Table2[#Headers],0),0)</f>
        <v>SPECIAL</v>
      </c>
      <c r="BX482" s="2">
        <f>VLOOKUP([jobnumber],OvalData[],MATCH(Table2[[#Headers],[endlockweight]],Table2[#Headers],0),0)</f>
        <v>0.17</v>
      </c>
      <c r="BY482" s="2">
        <f>VLOOKUP([jobnumber],OvalData[],MATCH(Table2[[#Headers],[Endlock Total Weight]],Table2[#Headers],0),0)</f>
        <v>7.5972999999999997</v>
      </c>
      <c r="BZ482" s="2">
        <f>VLOOKUP([jobnumber],OvalData[],MATCH(Table2[[#Headers],[Grille Weight]],Table2[#Headers],0),0)</f>
        <v>0</v>
      </c>
      <c r="CA482" s="2">
        <f>VLOOKUP([jobnumber],OvalData[],MATCH(Table2[[#Headers],[barrelrings]],Table2[#Headers],0),0)</f>
        <v>1</v>
      </c>
    </row>
    <row r="483" spans="2:79">
      <c r="B483" s="2" t="str">
        <f>VLOOKUP([jobnumber],OvalData[],MATCH(Table2[[#Headers],[Hand]],Table2[#Headers],0),0)</f>
        <v>RH</v>
      </c>
      <c r="C483" s="2" t="str">
        <f>VLOOKUP([jobnumber],OvalData[],MATCH(Table2[[#Headers],[Model]],Table2[#Headers],0),0)</f>
        <v>SFMPP</v>
      </c>
      <c r="D483" s="2" t="str">
        <f>VLOOKUP([jobnumber],OvalData[],MATCH(Table2[[#Headers],[width]],Table2[#Headers],0),0)</f>
        <v xml:space="preserve"> 18 ft.- 2"</v>
      </c>
      <c r="E483" s="2" t="str">
        <f>VLOOKUP([jobnumber],OvalData[],MATCH(Table2[[#Headers],[stopheight]],Table2[#Headers],0),0)</f>
        <v xml:space="preserve"> 10 ft.- 0"</v>
      </c>
      <c r="F483" s="2" t="str">
        <f>VLOOKUP([jobnumber],OvalData[],MATCH(Table2[[#Headers],[Between Brackets]],Table2[#Headers],0),0)</f>
        <v xml:space="preserve"> 18 ft.- 7 7/ 8"</v>
      </c>
      <c r="G483" s="2" t="str">
        <f>VLOOKUP([jobnumber],OvalData[],MATCH(Table2[[#Headers],[shell]],Table2[#Headers],0),0)</f>
        <v>6 INCH TUBE</v>
      </c>
      <c r="H483" s="2" t="str">
        <f>VLOOKUP([jobnumber],OvalData[],MATCH(Table2[[#Headers],[pipewidth]],Table2[#Headers],0),0)</f>
        <v xml:space="preserve"> 18 ft.- 1 3/ 8"</v>
      </c>
      <c r="I483" s="2">
        <f>VLOOKUP([jobnumber],OvalData[],MATCH(Table2[[#Headers],[Support Tubes]],Table2[#Headers],0),0)</f>
        <v>0</v>
      </c>
      <c r="J483" s="2">
        <f>VLOOKUP([jobnumber],OvalData[],MATCH(Table2[[#Headers],[Upset]],Table2[#Headers],0),0)</f>
        <v>2</v>
      </c>
      <c r="K483" s="2" t="str">
        <f>VLOOKUP([jobnumber],OvalData[],MATCH(Table2[[#Headers],[Guide Type]],Table2[#Headers],0),0)</f>
        <v>SN2-4 5/8-E</v>
      </c>
      <c r="L483" s="2" t="str">
        <f>VLOOKUP([jobnumber],OvalData[],MATCH(Table2[[#Headers],[Wall Angle]],Table2[#Headers],0),0)</f>
        <v xml:space="preserve"> 11 ft.- 8"</v>
      </c>
      <c r="M483" s="2" t="str">
        <f>VLOOKUP([jobnumber],OvalData[],MATCH(Table2[[#Headers],[Middle Angle]],Table2[#Headers],0),0)</f>
        <v xml:space="preserve"> 10 ft.- 4 1/ 2"</v>
      </c>
      <c r="N483" s="2" t="str">
        <f>VLOOKUP([jobnumber],OvalData[],MATCH(Table2[[#Headers],[Front Angle]],Table2[#Headers],0),0)</f>
        <v xml:space="preserve"> 10 ft.- 3"</v>
      </c>
      <c r="O483" s="2">
        <f>VLOOKUP([jobnumber],OvalData[],MATCH(Table2[[#Headers],[Pipe Center Line]],Table2[#Headers],0),0)</f>
        <v>131</v>
      </c>
      <c r="P483" s="2">
        <f>VLOOKUP([jobnumber],OvalData[],MATCH(Table2[[#Headers],[Heat Expansion Gap]],Table2[#Headers],0),0)</f>
        <v>0</v>
      </c>
      <c r="Q483" s="2">
        <f>VLOOKUP([jobnumber],OvalData[],MATCH(Table2[[#Headers],[Hanging Weight Closed]],Table2[#Headers],0),0)</f>
        <v>795</v>
      </c>
      <c r="R483" s="2">
        <f>VLOOKUP([jobnumber],OvalData[],MATCH(Table2[[#Headers],[Hanging Weight Open]],Table2[#Headers],0),0)</f>
        <v>140</v>
      </c>
      <c r="S483" s="2">
        <f>VLOOKUP([jobnumber],OvalData[],MATCH(Table2[[#Headers],[Initial Lever Arm]],Table2[#Headers],0),0)</f>
        <v>4.25</v>
      </c>
      <c r="T483" s="2">
        <f>VLOOKUP([jobnumber],OvalData[],MATCH(Table2[[#Headers],[Turns to Raise]],Table2[#Headers],0),0)</f>
        <v>3.5859999999999999</v>
      </c>
      <c r="U483" s="2">
        <f>VLOOKUP([jobnumber],OvalData[],MATCH(Table2[[#Headers],[Final Lever Arm]],Table2[#Headers],0),0)</f>
        <v>6.37</v>
      </c>
      <c r="V483" s="2">
        <f>VLOOKUP([jobnumber],OvalData[],MATCH(Table2[[#Headers],[Torque Required Closed]],Table2[#Headers],0),0)</f>
        <v>3377.9</v>
      </c>
      <c r="W483" s="2">
        <f>VLOOKUP([jobnumber],OvalData[],MATCH(Table2[[#Headers],[Torque Required Open]],Table2[#Headers],0),0)</f>
        <v>892</v>
      </c>
      <c r="X483" s="2">
        <f>VLOOKUP([jobnumber],OvalData[],MATCH(Table2[[#Headers],[Pre Turns]],Table2[#Headers],0),0)</f>
        <v>1.3332999999999999</v>
      </c>
      <c r="Y483" s="2">
        <f>VLOOKUP([jobnumber],OvalData[],MATCH(Table2[[#Headers],[Required Torque Per Turn]],Table2[#Headers],0),0)</f>
        <v>688</v>
      </c>
      <c r="Z483" s="2">
        <f>VLOOKUP([jobnumber],OvalData[],MATCH(Table2[[#Headers],[Total Turns]],Table2[#Headers],0),0)</f>
        <v>4.91</v>
      </c>
      <c r="AA483" s="2">
        <f>VLOOKUP([jobnumber],OvalData[],MATCH(Table2[[#Headers],[Grille Vision Section]],Table2[#Headers],0),0)</f>
        <v>0</v>
      </c>
      <c r="AB483" s="2">
        <f>VLOOKUP([jobnumber],OvalData[],MATCH(Table2[[#Headers],[Grille Amount]],Table2[#Headers],0),0)</f>
        <v>0</v>
      </c>
      <c r="AC483" s="2">
        <f>VLOOKUP([jobnumber],OvalData[],MATCH(Table2[[#Headers],[Grille Center]],Table2[#Headers],0),0)</f>
        <v>0</v>
      </c>
      <c r="AD483" s="2">
        <f>VLOOKUP([jobnumber],OvalData[],MATCH(Table2[[#Headers],[Grille Pattern]],Table2[#Headers],0),0)</f>
        <v>0</v>
      </c>
      <c r="AE483" s="2">
        <f>VLOOKUP([jobnumber],OvalData[],MATCH(Table2[[#Headers],[Grille First Tube]],Table2[#Headers],0),0)</f>
        <v>0</v>
      </c>
      <c r="AF483" s="2">
        <f>VLOOKUP([jobnumber],OvalData[],MATCH(Table2[[#Headers],[Grille Standard Tube]],Table2[#Headers],0),0)</f>
        <v>0</v>
      </c>
      <c r="AG483" s="2">
        <f>VLOOKUP([jobnumber],OvalData[],MATCH(Table2[[#Headers],[Grille Total Links]],Table2[#Headers],0),0)</f>
        <v>0</v>
      </c>
      <c r="AH483" s="2">
        <f>VLOOKUP([jobnumber],OvalData[],MATCH(Table2[[#Headers],[Grille Rods]],Table2[#Headers],0),0)</f>
        <v>0</v>
      </c>
      <c r="AI483" s="2">
        <f>VLOOKUP([jobnumber],OvalData[],MATCH(Table2[[#Headers],[Grille Rod Length]],Table2[#Headers],0),0)</f>
        <v>0</v>
      </c>
      <c r="AJ483" s="2">
        <f>VLOOKUP([jobnumber],OvalData[],MATCH(Table2[[#Headers],[slattype]],Table2[#Headers],0),0)</f>
        <v>2</v>
      </c>
      <c r="AK483" s="2">
        <f>VLOOKUP([jobnumber],OvalData[],MATCH(Table2[[#Headers],[slatgage]],Table2[#Headers],0),0)</f>
        <v>18</v>
      </c>
      <c r="AL483" s="2">
        <f>VLOOKUP([jobnumber],OvalData[],MATCH(Table2[[#Headers],[Numer of Top Slats]],Table2[#Headers],0),0)</f>
        <v>0</v>
      </c>
      <c r="AM483" s="2">
        <f>VLOOKUP([jobnumber],OvalData[],MATCH(Table2[[#Headers],[Number of Bottom Slats]],Table2[#Headers],0),0)</f>
        <v>0</v>
      </c>
      <c r="AN483" s="2">
        <f>VLOOKUP([jobnumber],OvalData[],MATCH(Table2[[#Headers],[Solid Bottom Height]],Table2[#Headers],0),0)</f>
        <v>0</v>
      </c>
      <c r="AO483" s="2" t="str">
        <f>VLOOKUP([jobnumber],OvalData[],MATCH(Table2[[#Headers],[slatlength]],Table2[#Headers],0),0)</f>
        <v xml:space="preserve"> 18 ft.- 5 7/ 8"</v>
      </c>
      <c r="AP483" s="2">
        <f>VLOOKUP([jobnumber],OvalData[],MATCH(Table2[[#Headers],[Bottom Slat Length]],Table2[#Headers],0),0)</f>
        <v>0</v>
      </c>
      <c r="AQ483" s="2">
        <f>VLOOKUP([jobnumber],OvalData[],MATCH(Table2[[#Headers],[Number of Perferated Slats]],Table2[#Headers],0),0)</f>
        <v>0</v>
      </c>
      <c r="AR483" s="2">
        <f>VLOOKUP([jobnumber],OvalData[],MATCH(Table2[[#Headers],[First Preferated Slat From End]],Table2[#Headers],0),0)</f>
        <v>0</v>
      </c>
      <c r="AS483" s="2">
        <f>VLOOKUP([jobnumber],OvalData[],MATCH(Table2[[#Headers],[First Preferated Slat From Bottom]],Table2[#Headers],0),0)</f>
        <v>0</v>
      </c>
      <c r="AT483" s="2">
        <f>VLOOKUP([jobnumber],OvalData[],MATCH(Table2[[#Headers],[Total Number of Slats]],Table2[#Headers],0),0)</f>
        <v>51</v>
      </c>
      <c r="AU483" s="2">
        <f>VLOOKUP([jobnumber],OvalData[],MATCH(Table2[[#Headers],[Bottom Bar Slope]],Table2[#Headers],0),0)</f>
        <v>0</v>
      </c>
      <c r="AV483" s="2">
        <f>VLOOKUP([jobnumber],OvalData[],MATCH(Table2[[#Headers],[Bottom Bar Weight]],Table2[#Headers],0),0)</f>
        <v>80.5</v>
      </c>
      <c r="AW483" s="2" t="str">
        <f>VLOOKUP([jobnumber],OvalData[],MATCH(Table2[[#Headers],[Outer Spring Gage]],Table2[#Headers],0),0)</f>
        <v>Null</v>
      </c>
      <c r="AX483" s="2" t="str">
        <f>VLOOKUP([jobnumber],OvalData[],MATCH(Table2[[#Headers],[Outer Spring OD]],Table2[#Headers],0),0)</f>
        <v>Null</v>
      </c>
      <c r="AY483" s="2" t="str">
        <f>VLOOKUP([jobnumber],OvalData[],MATCH(Table2[[#Headers],[Outer Spring Length]],Table2[#Headers],0),0)</f>
        <v>Null</v>
      </c>
      <c r="AZ483" s="2" t="str">
        <f>VLOOKUP([jobnumber],OvalData[],MATCH(Table2[[#Headers],[Outer Spring Stretch]],Table2[#Headers],0),0)</f>
        <v>Null</v>
      </c>
      <c r="BA483" s="2" t="str">
        <f>VLOOKUP([jobnumber],OvalData[],MATCH(Table2[[#Headers],[Outer Spring Torque]],Table2[#Headers],0),0)</f>
        <v>Null</v>
      </c>
      <c r="BB483" s="2" t="str">
        <f>VLOOKUP([jobnumber],OvalData[],MATCH(Table2[[#Headers],[Outer Spring Max Turns]],Table2[#Headers],0),0)</f>
        <v>Null</v>
      </c>
      <c r="BC483" s="2" t="str">
        <f>VLOOKUP([jobnumber],OvalData[],MATCH(Table2[[#Headers],[Outer Spring Weight]],Table2[#Headers],0),0)</f>
        <v>Null</v>
      </c>
      <c r="BD483" s="2" t="str">
        <f>VLOOKUP([jobnumber],OvalData[],MATCH(Table2[[#Headers],[Inner Spring Gage]],Table2[#Headers],0),0)</f>
        <v>Null</v>
      </c>
      <c r="BE483" s="2" t="str">
        <f>VLOOKUP([jobnumber],OvalData[],MATCH(Table2[[#Headers],[Inner Spring OD]],Table2[#Headers],0),0)</f>
        <v>Null</v>
      </c>
      <c r="BF483" s="2" t="str">
        <f>VLOOKUP([jobnumber],OvalData[],MATCH(Table2[[#Headers],[Inner Spring Length]],Table2[#Headers],0),0)</f>
        <v>Null</v>
      </c>
      <c r="BG483" s="2" t="str">
        <f>VLOOKUP([jobnumber],OvalData[],MATCH(Table2[[#Headers],[Inner Spring Stretch]],Table2[#Headers],0),0)</f>
        <v>Null</v>
      </c>
      <c r="BH483" s="2" t="str">
        <f>VLOOKUP([jobnumber],OvalData[],MATCH(Table2[[#Headers],[Inner Spring Torque]],Table2[#Headers],0),0)</f>
        <v>Null</v>
      </c>
      <c r="BI483" s="2" t="str">
        <f>VLOOKUP([jobnumber],OvalData[],MATCH(Table2[[#Headers],[Inner Spring Max Turns]],Table2[#Headers],0),0)</f>
        <v>Null</v>
      </c>
      <c r="BJ483" s="2" t="str">
        <f>VLOOKUP([jobnumber],OvalData[],MATCH(Table2[[#Headers],[Inner Spring Weight]],Table2[#Headers],0),0)</f>
        <v>Null</v>
      </c>
      <c r="BK483" s="2">
        <f>VLOOKUP([jobnumber],OvalData[],MATCH(Table2[[#Headers],[Cycles]],Table2[#Headers],0),0)</f>
        <v>0</v>
      </c>
      <c r="BL483" s="2">
        <f>VLOOKUP([jobnumber],OvalData[],MATCH(Table2[[#Headers],[Total Spring Torque]],Table2[#Headers],0),0)</f>
        <v>0</v>
      </c>
      <c r="BM483" s="2">
        <f>VLOOKUP([jobnumber],OvalData[],MATCH(Table2[[#Headers],[Total Spring Weight]],Table2[#Headers],0),0)</f>
        <v>0</v>
      </c>
      <c r="BN483" s="2">
        <f>VLOOKUP([jobnumber],OvalData[],MATCH(Table2[[#Headers],[Pipe Weight]],Table2[#Headers],0),0)</f>
        <v>688.24239999999998</v>
      </c>
      <c r="BO483" s="2">
        <f>VLOOKUP([jobnumber],OvalData[],MATCH(Table2[[#Headers],[Max Pipe Deflection]],Table2[#Headers],0),0)</f>
        <v>2309</v>
      </c>
      <c r="BP483" s="2">
        <f>VLOOKUP([jobnumber],OvalData[],MATCH(Table2[[#Headers],[Number Non-Insulated Wrap Slats]],Table2[#Headers],0),0)</f>
        <v>0</v>
      </c>
      <c r="BQ483" s="2">
        <f>VLOOKUP([jobnumber],OvalData[],MATCH(Table2[[#Headers],[Number of Insolated Top Slats]],Table2[#Headers],0),0)</f>
        <v>45</v>
      </c>
      <c r="BR483" s="2">
        <f>VLOOKUP([jobnumber],OvalData[],MATCH(Table2[[#Headers],[Insolated Total Slats]],Table2[#Headers],0),0)</f>
        <v>45</v>
      </c>
      <c r="BS483" s="2">
        <f>VLOOKUP([jobnumber],OvalData[],MATCH(Table2[[#Headers],[Number of Slats]],Table2[#Headers],0),0)</f>
        <v>44.69</v>
      </c>
      <c r="BT483" s="2">
        <f>VLOOKUP([jobnumber],OvalData[],MATCH(Table2[[#Headers],[Wrap]],Table2[#Headers],0),0)</f>
        <v>0</v>
      </c>
      <c r="BU483" s="2">
        <f>VLOOKUP([jobnumber],OvalData[],MATCH(Table2[[#Headers],[Wall Angle Thickness]],Table2[#Headers],0),0)</f>
        <v>0</v>
      </c>
      <c r="BV483" s="2">
        <f>VLOOKUP([jobnumber],OvalData[],MATCH(Table2[[#Headers],[windlocks]],Table2[#Headers],0),0)</f>
        <v>0</v>
      </c>
      <c r="BW483" s="2" t="str">
        <f>VLOOKUP([jobnumber],OvalData[],MATCH(Table2[[#Headers],[bottombartype]],Table2[#Headers],0),0)</f>
        <v>SPECIAL</v>
      </c>
      <c r="BX483" s="2">
        <f>VLOOKUP([jobnumber],OvalData[],MATCH(Table2[[#Headers],[endlockweight]],Table2[#Headers],0),0)</f>
        <v>0.17</v>
      </c>
      <c r="BY483" s="2">
        <f>VLOOKUP([jobnumber],OvalData[],MATCH(Table2[[#Headers],[Endlock Total Weight]],Table2[#Headers],0),0)</f>
        <v>7.5972999999999997</v>
      </c>
      <c r="BZ483" s="2">
        <f>VLOOKUP([jobnumber],OvalData[],MATCH(Table2[[#Headers],[Grille Weight]],Table2[#Headers],0),0)</f>
        <v>0</v>
      </c>
      <c r="CA483" s="2">
        <f>VLOOKUP([jobnumber],OvalData[],MATCH(Table2[[#Headers],[barrelrings]],Table2[#Headers],0),0)</f>
        <v>1</v>
      </c>
    </row>
    <row r="484" spans="2:79">
      <c r="B484" s="2" t="str">
        <f>VLOOKUP([jobnumber],OvalData[],MATCH(Table2[[#Headers],[Hand]],Table2[#Headers],0),0)</f>
        <v>RH</v>
      </c>
      <c r="C484" s="2" t="str">
        <f>VLOOKUP([jobnumber],OvalData[],MATCH(Table2[[#Headers],[Model]],Table2[#Headers],0),0)</f>
        <v>SFMPP</v>
      </c>
      <c r="D484" s="2" t="str">
        <f>VLOOKUP([jobnumber],OvalData[],MATCH(Table2[[#Headers],[width]],Table2[#Headers],0),0)</f>
        <v xml:space="preserve"> 18 ft.- 2"</v>
      </c>
      <c r="E484" s="2" t="str">
        <f>VLOOKUP([jobnumber],OvalData[],MATCH(Table2[[#Headers],[stopheight]],Table2[#Headers],0),0)</f>
        <v xml:space="preserve"> 10 ft.- 0"</v>
      </c>
      <c r="F484" s="2" t="str">
        <f>VLOOKUP([jobnumber],OvalData[],MATCH(Table2[[#Headers],[Between Brackets]],Table2[#Headers],0),0)</f>
        <v xml:space="preserve"> 18 ft.- 7 7/ 8"</v>
      </c>
      <c r="G484" s="2" t="str">
        <f>VLOOKUP([jobnumber],OvalData[],MATCH(Table2[[#Headers],[shell]],Table2[#Headers],0),0)</f>
        <v>6 INCH TUBE</v>
      </c>
      <c r="H484" s="2" t="str">
        <f>VLOOKUP([jobnumber],OvalData[],MATCH(Table2[[#Headers],[pipewidth]],Table2[#Headers],0),0)</f>
        <v xml:space="preserve"> 18 ft.- 1 3/ 8"</v>
      </c>
      <c r="I484" s="2">
        <f>VLOOKUP([jobnumber],OvalData[],MATCH(Table2[[#Headers],[Support Tubes]],Table2[#Headers],0),0)</f>
        <v>0</v>
      </c>
      <c r="J484" s="2">
        <f>VLOOKUP([jobnumber],OvalData[],MATCH(Table2[[#Headers],[Upset]],Table2[#Headers],0),0)</f>
        <v>2</v>
      </c>
      <c r="K484" s="2" t="str">
        <f>VLOOKUP([jobnumber],OvalData[],MATCH(Table2[[#Headers],[Guide Type]],Table2[#Headers],0),0)</f>
        <v>SN2-4 5/8-E</v>
      </c>
      <c r="L484" s="2" t="str">
        <f>VLOOKUP([jobnumber],OvalData[],MATCH(Table2[[#Headers],[Wall Angle]],Table2[#Headers],0),0)</f>
        <v xml:space="preserve"> 11 ft.- 8"</v>
      </c>
      <c r="M484" s="2" t="str">
        <f>VLOOKUP([jobnumber],OvalData[],MATCH(Table2[[#Headers],[Middle Angle]],Table2[#Headers],0),0)</f>
        <v xml:space="preserve"> 10 ft.- 4 1/ 2"</v>
      </c>
      <c r="N484" s="2" t="str">
        <f>VLOOKUP([jobnumber],OvalData[],MATCH(Table2[[#Headers],[Front Angle]],Table2[#Headers],0),0)</f>
        <v xml:space="preserve"> 10 ft.- 3"</v>
      </c>
      <c r="O484" s="2">
        <f>VLOOKUP([jobnumber],OvalData[],MATCH(Table2[[#Headers],[Pipe Center Line]],Table2[#Headers],0),0)</f>
        <v>131</v>
      </c>
      <c r="P484" s="2">
        <f>VLOOKUP([jobnumber],OvalData[],MATCH(Table2[[#Headers],[Heat Expansion Gap]],Table2[#Headers],0),0)</f>
        <v>0</v>
      </c>
      <c r="Q484" s="2">
        <f>VLOOKUP([jobnumber],OvalData[],MATCH(Table2[[#Headers],[Hanging Weight Closed]],Table2[#Headers],0),0)</f>
        <v>795</v>
      </c>
      <c r="R484" s="2">
        <f>VLOOKUP([jobnumber],OvalData[],MATCH(Table2[[#Headers],[Hanging Weight Open]],Table2[#Headers],0),0)</f>
        <v>140</v>
      </c>
      <c r="S484" s="2">
        <f>VLOOKUP([jobnumber],OvalData[],MATCH(Table2[[#Headers],[Initial Lever Arm]],Table2[#Headers],0),0)</f>
        <v>4.25</v>
      </c>
      <c r="T484" s="2">
        <f>VLOOKUP([jobnumber],OvalData[],MATCH(Table2[[#Headers],[Turns to Raise]],Table2[#Headers],0),0)</f>
        <v>3.5859999999999999</v>
      </c>
      <c r="U484" s="2">
        <f>VLOOKUP([jobnumber],OvalData[],MATCH(Table2[[#Headers],[Final Lever Arm]],Table2[#Headers],0),0)</f>
        <v>6.37</v>
      </c>
      <c r="V484" s="2">
        <f>VLOOKUP([jobnumber],OvalData[],MATCH(Table2[[#Headers],[Torque Required Closed]],Table2[#Headers],0),0)</f>
        <v>3377.9</v>
      </c>
      <c r="W484" s="2">
        <f>VLOOKUP([jobnumber],OvalData[],MATCH(Table2[[#Headers],[Torque Required Open]],Table2[#Headers],0),0)</f>
        <v>892</v>
      </c>
      <c r="X484" s="2">
        <f>VLOOKUP([jobnumber],OvalData[],MATCH(Table2[[#Headers],[Pre Turns]],Table2[#Headers],0),0)</f>
        <v>1.3332999999999999</v>
      </c>
      <c r="Y484" s="2">
        <f>VLOOKUP([jobnumber],OvalData[],MATCH(Table2[[#Headers],[Required Torque Per Turn]],Table2[#Headers],0),0)</f>
        <v>688</v>
      </c>
      <c r="Z484" s="2">
        <f>VLOOKUP([jobnumber],OvalData[],MATCH(Table2[[#Headers],[Total Turns]],Table2[#Headers],0),0)</f>
        <v>4.91</v>
      </c>
      <c r="AA484" s="2">
        <f>VLOOKUP([jobnumber],OvalData[],MATCH(Table2[[#Headers],[Grille Vision Section]],Table2[#Headers],0),0)</f>
        <v>0</v>
      </c>
      <c r="AB484" s="2">
        <f>VLOOKUP([jobnumber],OvalData[],MATCH(Table2[[#Headers],[Grille Amount]],Table2[#Headers],0),0)</f>
        <v>0</v>
      </c>
      <c r="AC484" s="2">
        <f>VLOOKUP([jobnumber],OvalData[],MATCH(Table2[[#Headers],[Grille Center]],Table2[#Headers],0),0)</f>
        <v>0</v>
      </c>
      <c r="AD484" s="2">
        <f>VLOOKUP([jobnumber],OvalData[],MATCH(Table2[[#Headers],[Grille Pattern]],Table2[#Headers],0),0)</f>
        <v>0</v>
      </c>
      <c r="AE484" s="2">
        <f>VLOOKUP([jobnumber],OvalData[],MATCH(Table2[[#Headers],[Grille First Tube]],Table2[#Headers],0),0)</f>
        <v>0</v>
      </c>
      <c r="AF484" s="2">
        <f>VLOOKUP([jobnumber],OvalData[],MATCH(Table2[[#Headers],[Grille Standard Tube]],Table2[#Headers],0),0)</f>
        <v>0</v>
      </c>
      <c r="AG484" s="2">
        <f>VLOOKUP([jobnumber],OvalData[],MATCH(Table2[[#Headers],[Grille Total Links]],Table2[#Headers],0),0)</f>
        <v>0</v>
      </c>
      <c r="AH484" s="2">
        <f>VLOOKUP([jobnumber],OvalData[],MATCH(Table2[[#Headers],[Grille Rods]],Table2[#Headers],0),0)</f>
        <v>0</v>
      </c>
      <c r="AI484" s="2">
        <f>VLOOKUP([jobnumber],OvalData[],MATCH(Table2[[#Headers],[Grille Rod Length]],Table2[#Headers],0),0)</f>
        <v>0</v>
      </c>
      <c r="AJ484" s="2">
        <f>VLOOKUP([jobnumber],OvalData[],MATCH(Table2[[#Headers],[slattype]],Table2[#Headers],0),0)</f>
        <v>2</v>
      </c>
      <c r="AK484" s="2">
        <f>VLOOKUP([jobnumber],OvalData[],MATCH(Table2[[#Headers],[slatgage]],Table2[#Headers],0),0)</f>
        <v>18</v>
      </c>
      <c r="AL484" s="2">
        <f>VLOOKUP([jobnumber],OvalData[],MATCH(Table2[[#Headers],[Numer of Top Slats]],Table2[#Headers],0),0)</f>
        <v>0</v>
      </c>
      <c r="AM484" s="2">
        <f>VLOOKUP([jobnumber],OvalData[],MATCH(Table2[[#Headers],[Number of Bottom Slats]],Table2[#Headers],0),0)</f>
        <v>0</v>
      </c>
      <c r="AN484" s="2">
        <f>VLOOKUP([jobnumber],OvalData[],MATCH(Table2[[#Headers],[Solid Bottom Height]],Table2[#Headers],0),0)</f>
        <v>0</v>
      </c>
      <c r="AO484" s="2" t="str">
        <f>VLOOKUP([jobnumber],OvalData[],MATCH(Table2[[#Headers],[slatlength]],Table2[#Headers],0),0)</f>
        <v xml:space="preserve"> 18 ft.- 5 7/ 8"</v>
      </c>
      <c r="AP484" s="2">
        <f>VLOOKUP([jobnumber],OvalData[],MATCH(Table2[[#Headers],[Bottom Slat Length]],Table2[#Headers],0),0)</f>
        <v>0</v>
      </c>
      <c r="AQ484" s="2">
        <f>VLOOKUP([jobnumber],OvalData[],MATCH(Table2[[#Headers],[Number of Perferated Slats]],Table2[#Headers],0),0)</f>
        <v>0</v>
      </c>
      <c r="AR484" s="2">
        <f>VLOOKUP([jobnumber],OvalData[],MATCH(Table2[[#Headers],[First Preferated Slat From End]],Table2[#Headers],0),0)</f>
        <v>0</v>
      </c>
      <c r="AS484" s="2">
        <f>VLOOKUP([jobnumber],OvalData[],MATCH(Table2[[#Headers],[First Preferated Slat From Bottom]],Table2[#Headers],0),0)</f>
        <v>0</v>
      </c>
      <c r="AT484" s="2">
        <f>VLOOKUP([jobnumber],OvalData[],MATCH(Table2[[#Headers],[Total Number of Slats]],Table2[#Headers],0),0)</f>
        <v>51</v>
      </c>
      <c r="AU484" s="2">
        <f>VLOOKUP([jobnumber],OvalData[],MATCH(Table2[[#Headers],[Bottom Bar Slope]],Table2[#Headers],0),0)</f>
        <v>0</v>
      </c>
      <c r="AV484" s="2">
        <f>VLOOKUP([jobnumber],OvalData[],MATCH(Table2[[#Headers],[Bottom Bar Weight]],Table2[#Headers],0),0)</f>
        <v>80.5</v>
      </c>
      <c r="AW484" s="2" t="str">
        <f>VLOOKUP([jobnumber],OvalData[],MATCH(Table2[[#Headers],[Outer Spring Gage]],Table2[#Headers],0),0)</f>
        <v>Null</v>
      </c>
      <c r="AX484" s="2" t="str">
        <f>VLOOKUP([jobnumber],OvalData[],MATCH(Table2[[#Headers],[Outer Spring OD]],Table2[#Headers],0),0)</f>
        <v>Null</v>
      </c>
      <c r="AY484" s="2" t="str">
        <f>VLOOKUP([jobnumber],OvalData[],MATCH(Table2[[#Headers],[Outer Spring Length]],Table2[#Headers],0),0)</f>
        <v>Null</v>
      </c>
      <c r="AZ484" s="2" t="str">
        <f>VLOOKUP([jobnumber],OvalData[],MATCH(Table2[[#Headers],[Outer Spring Stretch]],Table2[#Headers],0),0)</f>
        <v>Null</v>
      </c>
      <c r="BA484" s="2" t="str">
        <f>VLOOKUP([jobnumber],OvalData[],MATCH(Table2[[#Headers],[Outer Spring Torque]],Table2[#Headers],0),0)</f>
        <v>Null</v>
      </c>
      <c r="BB484" s="2" t="str">
        <f>VLOOKUP([jobnumber],OvalData[],MATCH(Table2[[#Headers],[Outer Spring Max Turns]],Table2[#Headers],0),0)</f>
        <v>Null</v>
      </c>
      <c r="BC484" s="2" t="str">
        <f>VLOOKUP([jobnumber],OvalData[],MATCH(Table2[[#Headers],[Outer Spring Weight]],Table2[#Headers],0),0)</f>
        <v>Null</v>
      </c>
      <c r="BD484" s="2" t="str">
        <f>VLOOKUP([jobnumber],OvalData[],MATCH(Table2[[#Headers],[Inner Spring Gage]],Table2[#Headers],0),0)</f>
        <v>Null</v>
      </c>
      <c r="BE484" s="2" t="str">
        <f>VLOOKUP([jobnumber],OvalData[],MATCH(Table2[[#Headers],[Inner Spring OD]],Table2[#Headers],0),0)</f>
        <v>Null</v>
      </c>
      <c r="BF484" s="2" t="str">
        <f>VLOOKUP([jobnumber],OvalData[],MATCH(Table2[[#Headers],[Inner Spring Length]],Table2[#Headers],0),0)</f>
        <v>Null</v>
      </c>
      <c r="BG484" s="2" t="str">
        <f>VLOOKUP([jobnumber],OvalData[],MATCH(Table2[[#Headers],[Inner Spring Stretch]],Table2[#Headers],0),0)</f>
        <v>Null</v>
      </c>
      <c r="BH484" s="2" t="str">
        <f>VLOOKUP([jobnumber],OvalData[],MATCH(Table2[[#Headers],[Inner Spring Torque]],Table2[#Headers],0),0)</f>
        <v>Null</v>
      </c>
      <c r="BI484" s="2" t="str">
        <f>VLOOKUP([jobnumber],OvalData[],MATCH(Table2[[#Headers],[Inner Spring Max Turns]],Table2[#Headers],0),0)</f>
        <v>Null</v>
      </c>
      <c r="BJ484" s="2" t="str">
        <f>VLOOKUP([jobnumber],OvalData[],MATCH(Table2[[#Headers],[Inner Spring Weight]],Table2[#Headers],0),0)</f>
        <v>Null</v>
      </c>
      <c r="BK484" s="2">
        <f>VLOOKUP([jobnumber],OvalData[],MATCH(Table2[[#Headers],[Cycles]],Table2[#Headers],0),0)</f>
        <v>0</v>
      </c>
      <c r="BL484" s="2">
        <f>VLOOKUP([jobnumber],OvalData[],MATCH(Table2[[#Headers],[Total Spring Torque]],Table2[#Headers],0),0)</f>
        <v>0</v>
      </c>
      <c r="BM484" s="2">
        <f>VLOOKUP([jobnumber],OvalData[],MATCH(Table2[[#Headers],[Total Spring Weight]],Table2[#Headers],0),0)</f>
        <v>0</v>
      </c>
      <c r="BN484" s="2">
        <f>VLOOKUP([jobnumber],OvalData[],MATCH(Table2[[#Headers],[Pipe Weight]],Table2[#Headers],0),0)</f>
        <v>688.24239999999998</v>
      </c>
      <c r="BO484" s="2">
        <f>VLOOKUP([jobnumber],OvalData[],MATCH(Table2[[#Headers],[Max Pipe Deflection]],Table2[#Headers],0),0)</f>
        <v>2309</v>
      </c>
      <c r="BP484" s="2">
        <f>VLOOKUP([jobnumber],OvalData[],MATCH(Table2[[#Headers],[Number Non-Insulated Wrap Slats]],Table2[#Headers],0),0)</f>
        <v>0</v>
      </c>
      <c r="BQ484" s="2">
        <f>VLOOKUP([jobnumber],OvalData[],MATCH(Table2[[#Headers],[Number of Insolated Top Slats]],Table2[#Headers],0),0)</f>
        <v>45</v>
      </c>
      <c r="BR484" s="2">
        <f>VLOOKUP([jobnumber],OvalData[],MATCH(Table2[[#Headers],[Insolated Total Slats]],Table2[#Headers],0),0)</f>
        <v>45</v>
      </c>
      <c r="BS484" s="2">
        <f>VLOOKUP([jobnumber],OvalData[],MATCH(Table2[[#Headers],[Number of Slats]],Table2[#Headers],0),0)</f>
        <v>44.69</v>
      </c>
      <c r="BT484" s="2">
        <f>VLOOKUP([jobnumber],OvalData[],MATCH(Table2[[#Headers],[Wrap]],Table2[#Headers],0),0)</f>
        <v>0</v>
      </c>
      <c r="BU484" s="2">
        <f>VLOOKUP([jobnumber],OvalData[],MATCH(Table2[[#Headers],[Wall Angle Thickness]],Table2[#Headers],0),0)</f>
        <v>0</v>
      </c>
      <c r="BV484" s="2">
        <f>VLOOKUP([jobnumber],OvalData[],MATCH(Table2[[#Headers],[windlocks]],Table2[#Headers],0),0)</f>
        <v>0</v>
      </c>
      <c r="BW484" s="2" t="str">
        <f>VLOOKUP([jobnumber],OvalData[],MATCH(Table2[[#Headers],[bottombartype]],Table2[#Headers],0),0)</f>
        <v>SPECIAL</v>
      </c>
      <c r="BX484" s="2">
        <f>VLOOKUP([jobnumber],OvalData[],MATCH(Table2[[#Headers],[endlockweight]],Table2[#Headers],0),0)</f>
        <v>0.17</v>
      </c>
      <c r="BY484" s="2">
        <f>VLOOKUP([jobnumber],OvalData[],MATCH(Table2[[#Headers],[Endlock Total Weight]],Table2[#Headers],0),0)</f>
        <v>7.5972999999999997</v>
      </c>
      <c r="BZ484" s="2">
        <f>VLOOKUP([jobnumber],OvalData[],MATCH(Table2[[#Headers],[Grille Weight]],Table2[#Headers],0),0)</f>
        <v>0</v>
      </c>
      <c r="CA484" s="2">
        <f>VLOOKUP([jobnumber],OvalData[],MATCH(Table2[[#Headers],[barrelrings]],Table2[#Headers],0),0)</f>
        <v>1</v>
      </c>
    </row>
    <row r="485" spans="2:79">
      <c r="B485" s="2" t="str">
        <f>VLOOKUP([jobnumber],OvalData[],MATCH(Table2[[#Headers],[Hand]],Table2[#Headers],0),0)</f>
        <v>RH</v>
      </c>
      <c r="C485" s="2" t="str">
        <f>VLOOKUP([jobnumber],OvalData[],MATCH(Table2[[#Headers],[Model]],Table2[#Headers],0),0)</f>
        <v>SFMPP</v>
      </c>
      <c r="D485" s="2" t="str">
        <f>VLOOKUP([jobnumber],OvalData[],MATCH(Table2[[#Headers],[width]],Table2[#Headers],0),0)</f>
        <v xml:space="preserve"> 18 ft.- 2"</v>
      </c>
      <c r="E485" s="2" t="str">
        <f>VLOOKUP([jobnumber],OvalData[],MATCH(Table2[[#Headers],[stopheight]],Table2[#Headers],0),0)</f>
        <v xml:space="preserve"> 10 ft.- 0"</v>
      </c>
      <c r="F485" s="2" t="str">
        <f>VLOOKUP([jobnumber],OvalData[],MATCH(Table2[[#Headers],[Between Brackets]],Table2[#Headers],0),0)</f>
        <v xml:space="preserve"> 18 ft.- 7 7/ 8"</v>
      </c>
      <c r="G485" s="2" t="str">
        <f>VLOOKUP([jobnumber],OvalData[],MATCH(Table2[[#Headers],[shell]],Table2[#Headers],0),0)</f>
        <v>6 INCH TUBE</v>
      </c>
      <c r="H485" s="2" t="str">
        <f>VLOOKUP([jobnumber],OvalData[],MATCH(Table2[[#Headers],[pipewidth]],Table2[#Headers],0),0)</f>
        <v xml:space="preserve"> 18 ft.- 1 3/ 8"</v>
      </c>
      <c r="I485" s="2">
        <f>VLOOKUP([jobnumber],OvalData[],MATCH(Table2[[#Headers],[Support Tubes]],Table2[#Headers],0),0)</f>
        <v>0</v>
      </c>
      <c r="J485" s="2">
        <f>VLOOKUP([jobnumber],OvalData[],MATCH(Table2[[#Headers],[Upset]],Table2[#Headers],0),0)</f>
        <v>2</v>
      </c>
      <c r="K485" s="2" t="str">
        <f>VLOOKUP([jobnumber],OvalData[],MATCH(Table2[[#Headers],[Guide Type]],Table2[#Headers],0),0)</f>
        <v>SN2-4 5/8-E</v>
      </c>
      <c r="L485" s="2" t="str">
        <f>VLOOKUP([jobnumber],OvalData[],MATCH(Table2[[#Headers],[Wall Angle]],Table2[#Headers],0),0)</f>
        <v xml:space="preserve"> 11 ft.- 8"</v>
      </c>
      <c r="M485" s="2" t="str">
        <f>VLOOKUP([jobnumber],OvalData[],MATCH(Table2[[#Headers],[Middle Angle]],Table2[#Headers],0),0)</f>
        <v xml:space="preserve"> 10 ft.- 4 1/ 2"</v>
      </c>
      <c r="N485" s="2" t="str">
        <f>VLOOKUP([jobnumber],OvalData[],MATCH(Table2[[#Headers],[Front Angle]],Table2[#Headers],0),0)</f>
        <v xml:space="preserve"> 10 ft.- 3"</v>
      </c>
      <c r="O485" s="2">
        <f>VLOOKUP([jobnumber],OvalData[],MATCH(Table2[[#Headers],[Pipe Center Line]],Table2[#Headers],0),0)</f>
        <v>131</v>
      </c>
      <c r="P485" s="2">
        <f>VLOOKUP([jobnumber],OvalData[],MATCH(Table2[[#Headers],[Heat Expansion Gap]],Table2[#Headers],0),0)</f>
        <v>0</v>
      </c>
      <c r="Q485" s="2">
        <f>VLOOKUP([jobnumber],OvalData[],MATCH(Table2[[#Headers],[Hanging Weight Closed]],Table2[#Headers],0),0)</f>
        <v>795</v>
      </c>
      <c r="R485" s="2">
        <f>VLOOKUP([jobnumber],OvalData[],MATCH(Table2[[#Headers],[Hanging Weight Open]],Table2[#Headers],0),0)</f>
        <v>140</v>
      </c>
      <c r="S485" s="2">
        <f>VLOOKUP([jobnumber],OvalData[],MATCH(Table2[[#Headers],[Initial Lever Arm]],Table2[#Headers],0),0)</f>
        <v>4.25</v>
      </c>
      <c r="T485" s="2">
        <f>VLOOKUP([jobnumber],OvalData[],MATCH(Table2[[#Headers],[Turns to Raise]],Table2[#Headers],0),0)</f>
        <v>3.5859999999999999</v>
      </c>
      <c r="U485" s="2">
        <f>VLOOKUP([jobnumber],OvalData[],MATCH(Table2[[#Headers],[Final Lever Arm]],Table2[#Headers],0),0)</f>
        <v>6.37</v>
      </c>
      <c r="V485" s="2">
        <f>VLOOKUP([jobnumber],OvalData[],MATCH(Table2[[#Headers],[Torque Required Closed]],Table2[#Headers],0),0)</f>
        <v>3377.9</v>
      </c>
      <c r="W485" s="2">
        <f>VLOOKUP([jobnumber],OvalData[],MATCH(Table2[[#Headers],[Torque Required Open]],Table2[#Headers],0),0)</f>
        <v>892</v>
      </c>
      <c r="X485" s="2">
        <f>VLOOKUP([jobnumber],OvalData[],MATCH(Table2[[#Headers],[Pre Turns]],Table2[#Headers],0),0)</f>
        <v>1.3332999999999999</v>
      </c>
      <c r="Y485" s="2">
        <f>VLOOKUP([jobnumber],OvalData[],MATCH(Table2[[#Headers],[Required Torque Per Turn]],Table2[#Headers],0),0)</f>
        <v>688</v>
      </c>
      <c r="Z485" s="2">
        <f>VLOOKUP([jobnumber],OvalData[],MATCH(Table2[[#Headers],[Total Turns]],Table2[#Headers],0),0)</f>
        <v>4.91</v>
      </c>
      <c r="AA485" s="2">
        <f>VLOOKUP([jobnumber],OvalData[],MATCH(Table2[[#Headers],[Grille Vision Section]],Table2[#Headers],0),0)</f>
        <v>0</v>
      </c>
      <c r="AB485" s="2">
        <f>VLOOKUP([jobnumber],OvalData[],MATCH(Table2[[#Headers],[Grille Amount]],Table2[#Headers],0),0)</f>
        <v>0</v>
      </c>
      <c r="AC485" s="2">
        <f>VLOOKUP([jobnumber],OvalData[],MATCH(Table2[[#Headers],[Grille Center]],Table2[#Headers],0),0)</f>
        <v>0</v>
      </c>
      <c r="AD485" s="2">
        <f>VLOOKUP([jobnumber],OvalData[],MATCH(Table2[[#Headers],[Grille Pattern]],Table2[#Headers],0),0)</f>
        <v>0</v>
      </c>
      <c r="AE485" s="2">
        <f>VLOOKUP([jobnumber],OvalData[],MATCH(Table2[[#Headers],[Grille First Tube]],Table2[#Headers],0),0)</f>
        <v>0</v>
      </c>
      <c r="AF485" s="2">
        <f>VLOOKUP([jobnumber],OvalData[],MATCH(Table2[[#Headers],[Grille Standard Tube]],Table2[#Headers],0),0)</f>
        <v>0</v>
      </c>
      <c r="AG485" s="2">
        <f>VLOOKUP([jobnumber],OvalData[],MATCH(Table2[[#Headers],[Grille Total Links]],Table2[#Headers],0),0)</f>
        <v>0</v>
      </c>
      <c r="AH485" s="2">
        <f>VLOOKUP([jobnumber],OvalData[],MATCH(Table2[[#Headers],[Grille Rods]],Table2[#Headers],0),0)</f>
        <v>0</v>
      </c>
      <c r="AI485" s="2">
        <f>VLOOKUP([jobnumber],OvalData[],MATCH(Table2[[#Headers],[Grille Rod Length]],Table2[#Headers],0),0)</f>
        <v>0</v>
      </c>
      <c r="AJ485" s="2">
        <f>VLOOKUP([jobnumber],OvalData[],MATCH(Table2[[#Headers],[slattype]],Table2[#Headers],0),0)</f>
        <v>2</v>
      </c>
      <c r="AK485" s="2">
        <f>VLOOKUP([jobnumber],OvalData[],MATCH(Table2[[#Headers],[slatgage]],Table2[#Headers],0),0)</f>
        <v>18</v>
      </c>
      <c r="AL485" s="2">
        <f>VLOOKUP([jobnumber],OvalData[],MATCH(Table2[[#Headers],[Numer of Top Slats]],Table2[#Headers],0),0)</f>
        <v>0</v>
      </c>
      <c r="AM485" s="2">
        <f>VLOOKUP([jobnumber],OvalData[],MATCH(Table2[[#Headers],[Number of Bottom Slats]],Table2[#Headers],0),0)</f>
        <v>0</v>
      </c>
      <c r="AN485" s="2">
        <f>VLOOKUP([jobnumber],OvalData[],MATCH(Table2[[#Headers],[Solid Bottom Height]],Table2[#Headers],0),0)</f>
        <v>0</v>
      </c>
      <c r="AO485" s="2" t="str">
        <f>VLOOKUP([jobnumber],OvalData[],MATCH(Table2[[#Headers],[slatlength]],Table2[#Headers],0),0)</f>
        <v xml:space="preserve"> 18 ft.- 5 7/ 8"</v>
      </c>
      <c r="AP485" s="2">
        <f>VLOOKUP([jobnumber],OvalData[],MATCH(Table2[[#Headers],[Bottom Slat Length]],Table2[#Headers],0),0)</f>
        <v>0</v>
      </c>
      <c r="AQ485" s="2">
        <f>VLOOKUP([jobnumber],OvalData[],MATCH(Table2[[#Headers],[Number of Perferated Slats]],Table2[#Headers],0),0)</f>
        <v>0</v>
      </c>
      <c r="AR485" s="2">
        <f>VLOOKUP([jobnumber],OvalData[],MATCH(Table2[[#Headers],[First Preferated Slat From End]],Table2[#Headers],0),0)</f>
        <v>0</v>
      </c>
      <c r="AS485" s="2">
        <f>VLOOKUP([jobnumber],OvalData[],MATCH(Table2[[#Headers],[First Preferated Slat From Bottom]],Table2[#Headers],0),0)</f>
        <v>0</v>
      </c>
      <c r="AT485" s="2">
        <f>VLOOKUP([jobnumber],OvalData[],MATCH(Table2[[#Headers],[Total Number of Slats]],Table2[#Headers],0),0)</f>
        <v>51</v>
      </c>
      <c r="AU485" s="2">
        <f>VLOOKUP([jobnumber],OvalData[],MATCH(Table2[[#Headers],[Bottom Bar Slope]],Table2[#Headers],0),0)</f>
        <v>0</v>
      </c>
      <c r="AV485" s="2">
        <f>VLOOKUP([jobnumber],OvalData[],MATCH(Table2[[#Headers],[Bottom Bar Weight]],Table2[#Headers],0),0)</f>
        <v>80.5</v>
      </c>
      <c r="AW485" s="2" t="str">
        <f>VLOOKUP([jobnumber],OvalData[],MATCH(Table2[[#Headers],[Outer Spring Gage]],Table2[#Headers],0),0)</f>
        <v>Null</v>
      </c>
      <c r="AX485" s="2" t="str">
        <f>VLOOKUP([jobnumber],OvalData[],MATCH(Table2[[#Headers],[Outer Spring OD]],Table2[#Headers],0),0)</f>
        <v>Null</v>
      </c>
      <c r="AY485" s="2" t="str">
        <f>VLOOKUP([jobnumber],OvalData[],MATCH(Table2[[#Headers],[Outer Spring Length]],Table2[#Headers],0),0)</f>
        <v>Null</v>
      </c>
      <c r="AZ485" s="2" t="str">
        <f>VLOOKUP([jobnumber],OvalData[],MATCH(Table2[[#Headers],[Outer Spring Stretch]],Table2[#Headers],0),0)</f>
        <v>Null</v>
      </c>
      <c r="BA485" s="2" t="str">
        <f>VLOOKUP([jobnumber],OvalData[],MATCH(Table2[[#Headers],[Outer Spring Torque]],Table2[#Headers],0),0)</f>
        <v>Null</v>
      </c>
      <c r="BB485" s="2" t="str">
        <f>VLOOKUP([jobnumber],OvalData[],MATCH(Table2[[#Headers],[Outer Spring Max Turns]],Table2[#Headers],0),0)</f>
        <v>Null</v>
      </c>
      <c r="BC485" s="2" t="str">
        <f>VLOOKUP([jobnumber],OvalData[],MATCH(Table2[[#Headers],[Outer Spring Weight]],Table2[#Headers],0),0)</f>
        <v>Null</v>
      </c>
      <c r="BD485" s="2" t="str">
        <f>VLOOKUP([jobnumber],OvalData[],MATCH(Table2[[#Headers],[Inner Spring Gage]],Table2[#Headers],0),0)</f>
        <v>Null</v>
      </c>
      <c r="BE485" s="2" t="str">
        <f>VLOOKUP([jobnumber],OvalData[],MATCH(Table2[[#Headers],[Inner Spring OD]],Table2[#Headers],0),0)</f>
        <v>Null</v>
      </c>
      <c r="BF485" s="2" t="str">
        <f>VLOOKUP([jobnumber],OvalData[],MATCH(Table2[[#Headers],[Inner Spring Length]],Table2[#Headers],0),0)</f>
        <v>Null</v>
      </c>
      <c r="BG485" s="2" t="str">
        <f>VLOOKUP([jobnumber],OvalData[],MATCH(Table2[[#Headers],[Inner Spring Stretch]],Table2[#Headers],0),0)</f>
        <v>Null</v>
      </c>
      <c r="BH485" s="2" t="str">
        <f>VLOOKUP([jobnumber],OvalData[],MATCH(Table2[[#Headers],[Inner Spring Torque]],Table2[#Headers],0),0)</f>
        <v>Null</v>
      </c>
      <c r="BI485" s="2" t="str">
        <f>VLOOKUP([jobnumber],OvalData[],MATCH(Table2[[#Headers],[Inner Spring Max Turns]],Table2[#Headers],0),0)</f>
        <v>Null</v>
      </c>
      <c r="BJ485" s="2" t="str">
        <f>VLOOKUP([jobnumber],OvalData[],MATCH(Table2[[#Headers],[Inner Spring Weight]],Table2[#Headers],0),0)</f>
        <v>Null</v>
      </c>
      <c r="BK485" s="2">
        <f>VLOOKUP([jobnumber],OvalData[],MATCH(Table2[[#Headers],[Cycles]],Table2[#Headers],0),0)</f>
        <v>0</v>
      </c>
      <c r="BL485" s="2">
        <f>VLOOKUP([jobnumber],OvalData[],MATCH(Table2[[#Headers],[Total Spring Torque]],Table2[#Headers],0),0)</f>
        <v>0</v>
      </c>
      <c r="BM485" s="2">
        <f>VLOOKUP([jobnumber],OvalData[],MATCH(Table2[[#Headers],[Total Spring Weight]],Table2[#Headers],0),0)</f>
        <v>0</v>
      </c>
      <c r="BN485" s="2">
        <f>VLOOKUP([jobnumber],OvalData[],MATCH(Table2[[#Headers],[Pipe Weight]],Table2[#Headers],0),0)</f>
        <v>688.24239999999998</v>
      </c>
      <c r="BO485" s="2">
        <f>VLOOKUP([jobnumber],OvalData[],MATCH(Table2[[#Headers],[Max Pipe Deflection]],Table2[#Headers],0),0)</f>
        <v>2309</v>
      </c>
      <c r="BP485" s="2">
        <f>VLOOKUP([jobnumber],OvalData[],MATCH(Table2[[#Headers],[Number Non-Insulated Wrap Slats]],Table2[#Headers],0),0)</f>
        <v>0</v>
      </c>
      <c r="BQ485" s="2">
        <f>VLOOKUP([jobnumber],OvalData[],MATCH(Table2[[#Headers],[Number of Insolated Top Slats]],Table2[#Headers],0),0)</f>
        <v>45</v>
      </c>
      <c r="BR485" s="2">
        <f>VLOOKUP([jobnumber],OvalData[],MATCH(Table2[[#Headers],[Insolated Total Slats]],Table2[#Headers],0),0)</f>
        <v>45</v>
      </c>
      <c r="BS485" s="2">
        <f>VLOOKUP([jobnumber],OvalData[],MATCH(Table2[[#Headers],[Number of Slats]],Table2[#Headers],0),0)</f>
        <v>44.69</v>
      </c>
      <c r="BT485" s="2">
        <f>VLOOKUP([jobnumber],OvalData[],MATCH(Table2[[#Headers],[Wrap]],Table2[#Headers],0),0)</f>
        <v>0</v>
      </c>
      <c r="BU485" s="2">
        <f>VLOOKUP([jobnumber],OvalData[],MATCH(Table2[[#Headers],[Wall Angle Thickness]],Table2[#Headers],0),0)</f>
        <v>0</v>
      </c>
      <c r="BV485" s="2">
        <f>VLOOKUP([jobnumber],OvalData[],MATCH(Table2[[#Headers],[windlocks]],Table2[#Headers],0),0)</f>
        <v>0</v>
      </c>
      <c r="BW485" s="2" t="str">
        <f>VLOOKUP([jobnumber],OvalData[],MATCH(Table2[[#Headers],[bottombartype]],Table2[#Headers],0),0)</f>
        <v>SPECIAL</v>
      </c>
      <c r="BX485" s="2">
        <f>VLOOKUP([jobnumber],OvalData[],MATCH(Table2[[#Headers],[endlockweight]],Table2[#Headers],0),0)</f>
        <v>0.17</v>
      </c>
      <c r="BY485" s="2">
        <f>VLOOKUP([jobnumber],OvalData[],MATCH(Table2[[#Headers],[Endlock Total Weight]],Table2[#Headers],0),0)</f>
        <v>7.5972999999999997</v>
      </c>
      <c r="BZ485" s="2">
        <f>VLOOKUP([jobnumber],OvalData[],MATCH(Table2[[#Headers],[Grille Weight]],Table2[#Headers],0),0)</f>
        <v>0</v>
      </c>
      <c r="CA485" s="2">
        <f>VLOOKUP([jobnumber],OvalData[],MATCH(Table2[[#Headers],[barrelrings]],Table2[#Headers],0),0)</f>
        <v>1</v>
      </c>
    </row>
    <row r="486" spans="2:79">
      <c r="B486" s="2" t="str">
        <f>VLOOKUP([jobnumber],OvalData[],MATCH(Table2[[#Headers],[Hand]],Table2[#Headers],0),0)</f>
        <v>RH</v>
      </c>
      <c r="C486" s="2" t="str">
        <f>VLOOKUP([jobnumber],OvalData[],MATCH(Table2[[#Headers],[Model]],Table2[#Headers],0),0)</f>
        <v>SFMPP</v>
      </c>
      <c r="D486" s="2" t="str">
        <f>VLOOKUP([jobnumber],OvalData[],MATCH(Table2[[#Headers],[width]],Table2[#Headers],0),0)</f>
        <v xml:space="preserve"> 18 ft.- 2"</v>
      </c>
      <c r="E486" s="2" t="str">
        <f>VLOOKUP([jobnumber],OvalData[],MATCH(Table2[[#Headers],[stopheight]],Table2[#Headers],0),0)</f>
        <v xml:space="preserve"> 10 ft.- 0"</v>
      </c>
      <c r="F486" s="2" t="str">
        <f>VLOOKUP([jobnumber],OvalData[],MATCH(Table2[[#Headers],[Between Brackets]],Table2[#Headers],0),0)</f>
        <v xml:space="preserve"> 18 ft.- 7 7/ 8"</v>
      </c>
      <c r="G486" s="2" t="str">
        <f>VLOOKUP([jobnumber],OvalData[],MATCH(Table2[[#Headers],[shell]],Table2[#Headers],0),0)</f>
        <v>6 INCH TUBE</v>
      </c>
      <c r="H486" s="2" t="str">
        <f>VLOOKUP([jobnumber],OvalData[],MATCH(Table2[[#Headers],[pipewidth]],Table2[#Headers],0),0)</f>
        <v xml:space="preserve"> 18 ft.- 1 3/ 8"</v>
      </c>
      <c r="I486" s="2">
        <f>VLOOKUP([jobnumber],OvalData[],MATCH(Table2[[#Headers],[Support Tubes]],Table2[#Headers],0),0)</f>
        <v>0</v>
      </c>
      <c r="J486" s="2">
        <f>VLOOKUP([jobnumber],OvalData[],MATCH(Table2[[#Headers],[Upset]],Table2[#Headers],0),0)</f>
        <v>2</v>
      </c>
      <c r="K486" s="2" t="str">
        <f>VLOOKUP([jobnumber],OvalData[],MATCH(Table2[[#Headers],[Guide Type]],Table2[#Headers],0),0)</f>
        <v>SN2-4 5/8-E</v>
      </c>
      <c r="L486" s="2" t="str">
        <f>VLOOKUP([jobnumber],OvalData[],MATCH(Table2[[#Headers],[Wall Angle]],Table2[#Headers],0),0)</f>
        <v xml:space="preserve"> 11 ft.- 8"</v>
      </c>
      <c r="M486" s="2" t="str">
        <f>VLOOKUP([jobnumber],OvalData[],MATCH(Table2[[#Headers],[Middle Angle]],Table2[#Headers],0),0)</f>
        <v xml:space="preserve"> 10 ft.- 4 1/ 2"</v>
      </c>
      <c r="N486" s="2" t="str">
        <f>VLOOKUP([jobnumber],OvalData[],MATCH(Table2[[#Headers],[Front Angle]],Table2[#Headers],0),0)</f>
        <v xml:space="preserve"> 10 ft.- 3"</v>
      </c>
      <c r="O486" s="2">
        <f>VLOOKUP([jobnumber],OvalData[],MATCH(Table2[[#Headers],[Pipe Center Line]],Table2[#Headers],0),0)</f>
        <v>131</v>
      </c>
      <c r="P486" s="2">
        <f>VLOOKUP([jobnumber],OvalData[],MATCH(Table2[[#Headers],[Heat Expansion Gap]],Table2[#Headers],0),0)</f>
        <v>0</v>
      </c>
      <c r="Q486" s="2">
        <f>VLOOKUP([jobnumber],OvalData[],MATCH(Table2[[#Headers],[Hanging Weight Closed]],Table2[#Headers],0),0)</f>
        <v>795</v>
      </c>
      <c r="R486" s="2">
        <f>VLOOKUP([jobnumber],OvalData[],MATCH(Table2[[#Headers],[Hanging Weight Open]],Table2[#Headers],0),0)</f>
        <v>140</v>
      </c>
      <c r="S486" s="2">
        <f>VLOOKUP([jobnumber],OvalData[],MATCH(Table2[[#Headers],[Initial Lever Arm]],Table2[#Headers],0),0)</f>
        <v>4.25</v>
      </c>
      <c r="T486" s="2">
        <f>VLOOKUP([jobnumber],OvalData[],MATCH(Table2[[#Headers],[Turns to Raise]],Table2[#Headers],0),0)</f>
        <v>3.5859999999999999</v>
      </c>
      <c r="U486" s="2">
        <f>VLOOKUP([jobnumber],OvalData[],MATCH(Table2[[#Headers],[Final Lever Arm]],Table2[#Headers],0),0)</f>
        <v>6.37</v>
      </c>
      <c r="V486" s="2">
        <f>VLOOKUP([jobnumber],OvalData[],MATCH(Table2[[#Headers],[Torque Required Closed]],Table2[#Headers],0),0)</f>
        <v>3377.9</v>
      </c>
      <c r="W486" s="2">
        <f>VLOOKUP([jobnumber],OvalData[],MATCH(Table2[[#Headers],[Torque Required Open]],Table2[#Headers],0),0)</f>
        <v>892</v>
      </c>
      <c r="X486" s="2">
        <f>VLOOKUP([jobnumber],OvalData[],MATCH(Table2[[#Headers],[Pre Turns]],Table2[#Headers],0),0)</f>
        <v>1.3332999999999999</v>
      </c>
      <c r="Y486" s="2">
        <f>VLOOKUP([jobnumber],OvalData[],MATCH(Table2[[#Headers],[Required Torque Per Turn]],Table2[#Headers],0),0)</f>
        <v>688</v>
      </c>
      <c r="Z486" s="2">
        <f>VLOOKUP([jobnumber],OvalData[],MATCH(Table2[[#Headers],[Total Turns]],Table2[#Headers],0),0)</f>
        <v>4.91</v>
      </c>
      <c r="AA486" s="2">
        <f>VLOOKUP([jobnumber],OvalData[],MATCH(Table2[[#Headers],[Grille Vision Section]],Table2[#Headers],0),0)</f>
        <v>0</v>
      </c>
      <c r="AB486" s="2">
        <f>VLOOKUP([jobnumber],OvalData[],MATCH(Table2[[#Headers],[Grille Amount]],Table2[#Headers],0),0)</f>
        <v>0</v>
      </c>
      <c r="AC486" s="2">
        <f>VLOOKUP([jobnumber],OvalData[],MATCH(Table2[[#Headers],[Grille Center]],Table2[#Headers],0),0)</f>
        <v>0</v>
      </c>
      <c r="AD486" s="2">
        <f>VLOOKUP([jobnumber],OvalData[],MATCH(Table2[[#Headers],[Grille Pattern]],Table2[#Headers],0),0)</f>
        <v>0</v>
      </c>
      <c r="AE486" s="2">
        <f>VLOOKUP([jobnumber],OvalData[],MATCH(Table2[[#Headers],[Grille First Tube]],Table2[#Headers],0),0)</f>
        <v>0</v>
      </c>
      <c r="AF486" s="2">
        <f>VLOOKUP([jobnumber],OvalData[],MATCH(Table2[[#Headers],[Grille Standard Tube]],Table2[#Headers],0),0)</f>
        <v>0</v>
      </c>
      <c r="AG486" s="2">
        <f>VLOOKUP([jobnumber],OvalData[],MATCH(Table2[[#Headers],[Grille Total Links]],Table2[#Headers],0),0)</f>
        <v>0</v>
      </c>
      <c r="AH486" s="2">
        <f>VLOOKUP([jobnumber],OvalData[],MATCH(Table2[[#Headers],[Grille Rods]],Table2[#Headers],0),0)</f>
        <v>0</v>
      </c>
      <c r="AI486" s="2">
        <f>VLOOKUP([jobnumber],OvalData[],MATCH(Table2[[#Headers],[Grille Rod Length]],Table2[#Headers],0),0)</f>
        <v>0</v>
      </c>
      <c r="AJ486" s="2">
        <f>VLOOKUP([jobnumber],OvalData[],MATCH(Table2[[#Headers],[slattype]],Table2[#Headers],0),0)</f>
        <v>2</v>
      </c>
      <c r="AK486" s="2">
        <f>VLOOKUP([jobnumber],OvalData[],MATCH(Table2[[#Headers],[slatgage]],Table2[#Headers],0),0)</f>
        <v>18</v>
      </c>
      <c r="AL486" s="2">
        <f>VLOOKUP([jobnumber],OvalData[],MATCH(Table2[[#Headers],[Numer of Top Slats]],Table2[#Headers],0),0)</f>
        <v>0</v>
      </c>
      <c r="AM486" s="2">
        <f>VLOOKUP([jobnumber],OvalData[],MATCH(Table2[[#Headers],[Number of Bottom Slats]],Table2[#Headers],0),0)</f>
        <v>0</v>
      </c>
      <c r="AN486" s="2">
        <f>VLOOKUP([jobnumber],OvalData[],MATCH(Table2[[#Headers],[Solid Bottom Height]],Table2[#Headers],0),0)</f>
        <v>0</v>
      </c>
      <c r="AO486" s="2" t="str">
        <f>VLOOKUP([jobnumber],OvalData[],MATCH(Table2[[#Headers],[slatlength]],Table2[#Headers],0),0)</f>
        <v xml:space="preserve"> 18 ft.- 5 7/ 8"</v>
      </c>
      <c r="AP486" s="2">
        <f>VLOOKUP([jobnumber],OvalData[],MATCH(Table2[[#Headers],[Bottom Slat Length]],Table2[#Headers],0),0)</f>
        <v>0</v>
      </c>
      <c r="AQ486" s="2">
        <f>VLOOKUP([jobnumber],OvalData[],MATCH(Table2[[#Headers],[Number of Perferated Slats]],Table2[#Headers],0),0)</f>
        <v>0</v>
      </c>
      <c r="AR486" s="2">
        <f>VLOOKUP([jobnumber],OvalData[],MATCH(Table2[[#Headers],[First Preferated Slat From End]],Table2[#Headers],0),0)</f>
        <v>0</v>
      </c>
      <c r="AS486" s="2">
        <f>VLOOKUP([jobnumber],OvalData[],MATCH(Table2[[#Headers],[First Preferated Slat From Bottom]],Table2[#Headers],0),0)</f>
        <v>0</v>
      </c>
      <c r="AT486" s="2">
        <f>VLOOKUP([jobnumber],OvalData[],MATCH(Table2[[#Headers],[Total Number of Slats]],Table2[#Headers],0),0)</f>
        <v>51</v>
      </c>
      <c r="AU486" s="2">
        <f>VLOOKUP([jobnumber],OvalData[],MATCH(Table2[[#Headers],[Bottom Bar Slope]],Table2[#Headers],0),0)</f>
        <v>0</v>
      </c>
      <c r="AV486" s="2">
        <f>VLOOKUP([jobnumber],OvalData[],MATCH(Table2[[#Headers],[Bottom Bar Weight]],Table2[#Headers],0),0)</f>
        <v>80.5</v>
      </c>
      <c r="AW486" s="2" t="str">
        <f>VLOOKUP([jobnumber],OvalData[],MATCH(Table2[[#Headers],[Outer Spring Gage]],Table2[#Headers],0),0)</f>
        <v>Null</v>
      </c>
      <c r="AX486" s="2" t="str">
        <f>VLOOKUP([jobnumber],OvalData[],MATCH(Table2[[#Headers],[Outer Spring OD]],Table2[#Headers],0),0)</f>
        <v>Null</v>
      </c>
      <c r="AY486" s="2" t="str">
        <f>VLOOKUP([jobnumber],OvalData[],MATCH(Table2[[#Headers],[Outer Spring Length]],Table2[#Headers],0),0)</f>
        <v>Null</v>
      </c>
      <c r="AZ486" s="2" t="str">
        <f>VLOOKUP([jobnumber],OvalData[],MATCH(Table2[[#Headers],[Outer Spring Stretch]],Table2[#Headers],0),0)</f>
        <v>Null</v>
      </c>
      <c r="BA486" s="2" t="str">
        <f>VLOOKUP([jobnumber],OvalData[],MATCH(Table2[[#Headers],[Outer Spring Torque]],Table2[#Headers],0),0)</f>
        <v>Null</v>
      </c>
      <c r="BB486" s="2" t="str">
        <f>VLOOKUP([jobnumber],OvalData[],MATCH(Table2[[#Headers],[Outer Spring Max Turns]],Table2[#Headers],0),0)</f>
        <v>Null</v>
      </c>
      <c r="BC486" s="2" t="str">
        <f>VLOOKUP([jobnumber],OvalData[],MATCH(Table2[[#Headers],[Outer Spring Weight]],Table2[#Headers],0),0)</f>
        <v>Null</v>
      </c>
      <c r="BD486" s="2" t="str">
        <f>VLOOKUP([jobnumber],OvalData[],MATCH(Table2[[#Headers],[Inner Spring Gage]],Table2[#Headers],0),0)</f>
        <v>Null</v>
      </c>
      <c r="BE486" s="2" t="str">
        <f>VLOOKUP([jobnumber],OvalData[],MATCH(Table2[[#Headers],[Inner Spring OD]],Table2[#Headers],0),0)</f>
        <v>Null</v>
      </c>
      <c r="BF486" s="2" t="str">
        <f>VLOOKUP([jobnumber],OvalData[],MATCH(Table2[[#Headers],[Inner Spring Length]],Table2[#Headers],0),0)</f>
        <v>Null</v>
      </c>
      <c r="BG486" s="2" t="str">
        <f>VLOOKUP([jobnumber],OvalData[],MATCH(Table2[[#Headers],[Inner Spring Stretch]],Table2[#Headers],0),0)</f>
        <v>Null</v>
      </c>
      <c r="BH486" s="2" t="str">
        <f>VLOOKUP([jobnumber],OvalData[],MATCH(Table2[[#Headers],[Inner Spring Torque]],Table2[#Headers],0),0)</f>
        <v>Null</v>
      </c>
      <c r="BI486" s="2" t="str">
        <f>VLOOKUP([jobnumber],OvalData[],MATCH(Table2[[#Headers],[Inner Spring Max Turns]],Table2[#Headers],0),0)</f>
        <v>Null</v>
      </c>
      <c r="BJ486" s="2" t="str">
        <f>VLOOKUP([jobnumber],OvalData[],MATCH(Table2[[#Headers],[Inner Spring Weight]],Table2[#Headers],0),0)</f>
        <v>Null</v>
      </c>
      <c r="BK486" s="2">
        <f>VLOOKUP([jobnumber],OvalData[],MATCH(Table2[[#Headers],[Cycles]],Table2[#Headers],0),0)</f>
        <v>0</v>
      </c>
      <c r="BL486" s="2">
        <f>VLOOKUP([jobnumber],OvalData[],MATCH(Table2[[#Headers],[Total Spring Torque]],Table2[#Headers],0),0)</f>
        <v>0</v>
      </c>
      <c r="BM486" s="2">
        <f>VLOOKUP([jobnumber],OvalData[],MATCH(Table2[[#Headers],[Total Spring Weight]],Table2[#Headers],0),0)</f>
        <v>0</v>
      </c>
      <c r="BN486" s="2">
        <f>VLOOKUP([jobnumber],OvalData[],MATCH(Table2[[#Headers],[Pipe Weight]],Table2[#Headers],0),0)</f>
        <v>688.24239999999998</v>
      </c>
      <c r="BO486" s="2">
        <f>VLOOKUP([jobnumber],OvalData[],MATCH(Table2[[#Headers],[Max Pipe Deflection]],Table2[#Headers],0),0)</f>
        <v>2309</v>
      </c>
      <c r="BP486" s="2">
        <f>VLOOKUP([jobnumber],OvalData[],MATCH(Table2[[#Headers],[Number Non-Insulated Wrap Slats]],Table2[#Headers],0),0)</f>
        <v>0</v>
      </c>
      <c r="BQ486" s="2">
        <f>VLOOKUP([jobnumber],OvalData[],MATCH(Table2[[#Headers],[Number of Insolated Top Slats]],Table2[#Headers],0),0)</f>
        <v>45</v>
      </c>
      <c r="BR486" s="2">
        <f>VLOOKUP([jobnumber],OvalData[],MATCH(Table2[[#Headers],[Insolated Total Slats]],Table2[#Headers],0),0)</f>
        <v>45</v>
      </c>
      <c r="BS486" s="2">
        <f>VLOOKUP([jobnumber],OvalData[],MATCH(Table2[[#Headers],[Number of Slats]],Table2[#Headers],0),0)</f>
        <v>44.69</v>
      </c>
      <c r="BT486" s="2">
        <f>VLOOKUP([jobnumber],OvalData[],MATCH(Table2[[#Headers],[Wrap]],Table2[#Headers],0),0)</f>
        <v>0</v>
      </c>
      <c r="BU486" s="2">
        <f>VLOOKUP([jobnumber],OvalData[],MATCH(Table2[[#Headers],[Wall Angle Thickness]],Table2[#Headers],0),0)</f>
        <v>0</v>
      </c>
      <c r="BV486" s="2">
        <f>VLOOKUP([jobnumber],OvalData[],MATCH(Table2[[#Headers],[windlocks]],Table2[#Headers],0),0)</f>
        <v>0</v>
      </c>
      <c r="BW486" s="2" t="str">
        <f>VLOOKUP([jobnumber],OvalData[],MATCH(Table2[[#Headers],[bottombartype]],Table2[#Headers],0),0)</f>
        <v>SPECIAL</v>
      </c>
      <c r="BX486" s="2">
        <f>VLOOKUP([jobnumber],OvalData[],MATCH(Table2[[#Headers],[endlockweight]],Table2[#Headers],0),0)</f>
        <v>0.17</v>
      </c>
      <c r="BY486" s="2">
        <f>VLOOKUP([jobnumber],OvalData[],MATCH(Table2[[#Headers],[Endlock Total Weight]],Table2[#Headers],0),0)</f>
        <v>7.5972999999999997</v>
      </c>
      <c r="BZ486" s="2">
        <f>VLOOKUP([jobnumber],OvalData[],MATCH(Table2[[#Headers],[Grille Weight]],Table2[#Headers],0),0)</f>
        <v>0</v>
      </c>
      <c r="CA486" s="2">
        <f>VLOOKUP([jobnumber],OvalData[],MATCH(Table2[[#Headers],[barrelrings]],Table2[#Headers],0),0)</f>
        <v>1</v>
      </c>
    </row>
    <row r="487" spans="2:79">
      <c r="B487" s="2" t="str">
        <f>VLOOKUP([jobnumber],OvalData[],MATCH(Table2[[#Headers],[Hand]],Table2[#Headers],0),0)</f>
        <v>RH</v>
      </c>
      <c r="C487" s="2" t="str">
        <f>VLOOKUP([jobnumber],OvalData[],MATCH(Table2[[#Headers],[Model]],Table2[#Headers],0),0)</f>
        <v>SFMPP</v>
      </c>
      <c r="D487" s="2" t="str">
        <f>VLOOKUP([jobnumber],OvalData[],MATCH(Table2[[#Headers],[width]],Table2[#Headers],0),0)</f>
        <v xml:space="preserve"> 18 ft.- 2"</v>
      </c>
      <c r="E487" s="2" t="str">
        <f>VLOOKUP([jobnumber],OvalData[],MATCH(Table2[[#Headers],[stopheight]],Table2[#Headers],0),0)</f>
        <v xml:space="preserve"> 10 ft.- 0"</v>
      </c>
      <c r="F487" s="2" t="str">
        <f>VLOOKUP([jobnumber],OvalData[],MATCH(Table2[[#Headers],[Between Brackets]],Table2[#Headers],0),0)</f>
        <v xml:space="preserve"> 18 ft.- 7 7/ 8"</v>
      </c>
      <c r="G487" s="2" t="str">
        <f>VLOOKUP([jobnumber],OvalData[],MATCH(Table2[[#Headers],[shell]],Table2[#Headers],0),0)</f>
        <v>6 INCH TUBE</v>
      </c>
      <c r="H487" s="2" t="str">
        <f>VLOOKUP([jobnumber],OvalData[],MATCH(Table2[[#Headers],[pipewidth]],Table2[#Headers],0),0)</f>
        <v xml:space="preserve"> 18 ft.- 1 3/ 8"</v>
      </c>
      <c r="I487" s="2">
        <f>VLOOKUP([jobnumber],OvalData[],MATCH(Table2[[#Headers],[Support Tubes]],Table2[#Headers],0),0)</f>
        <v>0</v>
      </c>
      <c r="J487" s="2">
        <f>VLOOKUP([jobnumber],OvalData[],MATCH(Table2[[#Headers],[Upset]],Table2[#Headers],0),0)</f>
        <v>2</v>
      </c>
      <c r="K487" s="2" t="str">
        <f>VLOOKUP([jobnumber],OvalData[],MATCH(Table2[[#Headers],[Guide Type]],Table2[#Headers],0),0)</f>
        <v>SN2-4 5/8-E</v>
      </c>
      <c r="L487" s="2" t="str">
        <f>VLOOKUP([jobnumber],OvalData[],MATCH(Table2[[#Headers],[Wall Angle]],Table2[#Headers],0),0)</f>
        <v xml:space="preserve"> 11 ft.- 8"</v>
      </c>
      <c r="M487" s="2" t="str">
        <f>VLOOKUP([jobnumber],OvalData[],MATCH(Table2[[#Headers],[Middle Angle]],Table2[#Headers],0),0)</f>
        <v xml:space="preserve"> 10 ft.- 4 1/ 2"</v>
      </c>
      <c r="N487" s="2" t="str">
        <f>VLOOKUP([jobnumber],OvalData[],MATCH(Table2[[#Headers],[Front Angle]],Table2[#Headers],0),0)</f>
        <v xml:space="preserve"> 10 ft.- 3"</v>
      </c>
      <c r="O487" s="2">
        <f>VLOOKUP([jobnumber],OvalData[],MATCH(Table2[[#Headers],[Pipe Center Line]],Table2[#Headers],0),0)</f>
        <v>131</v>
      </c>
      <c r="P487" s="2">
        <f>VLOOKUP([jobnumber],OvalData[],MATCH(Table2[[#Headers],[Heat Expansion Gap]],Table2[#Headers],0),0)</f>
        <v>0</v>
      </c>
      <c r="Q487" s="2">
        <f>VLOOKUP([jobnumber],OvalData[],MATCH(Table2[[#Headers],[Hanging Weight Closed]],Table2[#Headers],0),0)</f>
        <v>795</v>
      </c>
      <c r="R487" s="2">
        <f>VLOOKUP([jobnumber],OvalData[],MATCH(Table2[[#Headers],[Hanging Weight Open]],Table2[#Headers],0),0)</f>
        <v>140</v>
      </c>
      <c r="S487" s="2">
        <f>VLOOKUP([jobnumber],OvalData[],MATCH(Table2[[#Headers],[Initial Lever Arm]],Table2[#Headers],0),0)</f>
        <v>4.25</v>
      </c>
      <c r="T487" s="2">
        <f>VLOOKUP([jobnumber],OvalData[],MATCH(Table2[[#Headers],[Turns to Raise]],Table2[#Headers],0),0)</f>
        <v>3.5859999999999999</v>
      </c>
      <c r="U487" s="2">
        <f>VLOOKUP([jobnumber],OvalData[],MATCH(Table2[[#Headers],[Final Lever Arm]],Table2[#Headers],0),0)</f>
        <v>6.37</v>
      </c>
      <c r="V487" s="2">
        <f>VLOOKUP([jobnumber],OvalData[],MATCH(Table2[[#Headers],[Torque Required Closed]],Table2[#Headers],0),0)</f>
        <v>3377.9</v>
      </c>
      <c r="W487" s="2">
        <f>VLOOKUP([jobnumber],OvalData[],MATCH(Table2[[#Headers],[Torque Required Open]],Table2[#Headers],0),0)</f>
        <v>892</v>
      </c>
      <c r="X487" s="2">
        <f>VLOOKUP([jobnumber],OvalData[],MATCH(Table2[[#Headers],[Pre Turns]],Table2[#Headers],0),0)</f>
        <v>1.3332999999999999</v>
      </c>
      <c r="Y487" s="2">
        <f>VLOOKUP([jobnumber],OvalData[],MATCH(Table2[[#Headers],[Required Torque Per Turn]],Table2[#Headers],0),0)</f>
        <v>688</v>
      </c>
      <c r="Z487" s="2">
        <f>VLOOKUP([jobnumber],OvalData[],MATCH(Table2[[#Headers],[Total Turns]],Table2[#Headers],0),0)</f>
        <v>4.91</v>
      </c>
      <c r="AA487" s="2">
        <f>VLOOKUP([jobnumber],OvalData[],MATCH(Table2[[#Headers],[Grille Vision Section]],Table2[#Headers],0),0)</f>
        <v>0</v>
      </c>
      <c r="AB487" s="2">
        <f>VLOOKUP([jobnumber],OvalData[],MATCH(Table2[[#Headers],[Grille Amount]],Table2[#Headers],0),0)</f>
        <v>0</v>
      </c>
      <c r="AC487" s="2">
        <f>VLOOKUP([jobnumber],OvalData[],MATCH(Table2[[#Headers],[Grille Center]],Table2[#Headers],0),0)</f>
        <v>0</v>
      </c>
      <c r="AD487" s="2">
        <f>VLOOKUP([jobnumber],OvalData[],MATCH(Table2[[#Headers],[Grille Pattern]],Table2[#Headers],0),0)</f>
        <v>0</v>
      </c>
      <c r="AE487" s="2">
        <f>VLOOKUP([jobnumber],OvalData[],MATCH(Table2[[#Headers],[Grille First Tube]],Table2[#Headers],0),0)</f>
        <v>0</v>
      </c>
      <c r="AF487" s="2">
        <f>VLOOKUP([jobnumber],OvalData[],MATCH(Table2[[#Headers],[Grille Standard Tube]],Table2[#Headers],0),0)</f>
        <v>0</v>
      </c>
      <c r="AG487" s="2">
        <f>VLOOKUP([jobnumber],OvalData[],MATCH(Table2[[#Headers],[Grille Total Links]],Table2[#Headers],0),0)</f>
        <v>0</v>
      </c>
      <c r="AH487" s="2">
        <f>VLOOKUP([jobnumber],OvalData[],MATCH(Table2[[#Headers],[Grille Rods]],Table2[#Headers],0),0)</f>
        <v>0</v>
      </c>
      <c r="AI487" s="2">
        <f>VLOOKUP([jobnumber],OvalData[],MATCH(Table2[[#Headers],[Grille Rod Length]],Table2[#Headers],0),0)</f>
        <v>0</v>
      </c>
      <c r="AJ487" s="2">
        <f>VLOOKUP([jobnumber],OvalData[],MATCH(Table2[[#Headers],[slattype]],Table2[#Headers],0),0)</f>
        <v>2</v>
      </c>
      <c r="AK487" s="2">
        <f>VLOOKUP([jobnumber],OvalData[],MATCH(Table2[[#Headers],[slatgage]],Table2[#Headers],0),0)</f>
        <v>18</v>
      </c>
      <c r="AL487" s="2">
        <f>VLOOKUP([jobnumber],OvalData[],MATCH(Table2[[#Headers],[Numer of Top Slats]],Table2[#Headers],0),0)</f>
        <v>0</v>
      </c>
      <c r="AM487" s="2">
        <f>VLOOKUP([jobnumber],OvalData[],MATCH(Table2[[#Headers],[Number of Bottom Slats]],Table2[#Headers],0),0)</f>
        <v>0</v>
      </c>
      <c r="AN487" s="2">
        <f>VLOOKUP([jobnumber],OvalData[],MATCH(Table2[[#Headers],[Solid Bottom Height]],Table2[#Headers],0),0)</f>
        <v>0</v>
      </c>
      <c r="AO487" s="2" t="str">
        <f>VLOOKUP([jobnumber],OvalData[],MATCH(Table2[[#Headers],[slatlength]],Table2[#Headers],0),0)</f>
        <v xml:space="preserve"> 18 ft.- 5 7/ 8"</v>
      </c>
      <c r="AP487" s="2">
        <f>VLOOKUP([jobnumber],OvalData[],MATCH(Table2[[#Headers],[Bottom Slat Length]],Table2[#Headers],0),0)</f>
        <v>0</v>
      </c>
      <c r="AQ487" s="2">
        <f>VLOOKUP([jobnumber],OvalData[],MATCH(Table2[[#Headers],[Number of Perferated Slats]],Table2[#Headers],0),0)</f>
        <v>0</v>
      </c>
      <c r="AR487" s="2">
        <f>VLOOKUP([jobnumber],OvalData[],MATCH(Table2[[#Headers],[First Preferated Slat From End]],Table2[#Headers],0),0)</f>
        <v>0</v>
      </c>
      <c r="AS487" s="2">
        <f>VLOOKUP([jobnumber],OvalData[],MATCH(Table2[[#Headers],[First Preferated Slat From Bottom]],Table2[#Headers],0),0)</f>
        <v>0</v>
      </c>
      <c r="AT487" s="2">
        <f>VLOOKUP([jobnumber],OvalData[],MATCH(Table2[[#Headers],[Total Number of Slats]],Table2[#Headers],0),0)</f>
        <v>51</v>
      </c>
      <c r="AU487" s="2">
        <f>VLOOKUP([jobnumber],OvalData[],MATCH(Table2[[#Headers],[Bottom Bar Slope]],Table2[#Headers],0),0)</f>
        <v>0</v>
      </c>
      <c r="AV487" s="2">
        <f>VLOOKUP([jobnumber],OvalData[],MATCH(Table2[[#Headers],[Bottom Bar Weight]],Table2[#Headers],0),0)</f>
        <v>80.5</v>
      </c>
      <c r="AW487" s="2" t="str">
        <f>VLOOKUP([jobnumber],OvalData[],MATCH(Table2[[#Headers],[Outer Spring Gage]],Table2[#Headers],0),0)</f>
        <v>Null</v>
      </c>
      <c r="AX487" s="2" t="str">
        <f>VLOOKUP([jobnumber],OvalData[],MATCH(Table2[[#Headers],[Outer Spring OD]],Table2[#Headers],0),0)</f>
        <v>Null</v>
      </c>
      <c r="AY487" s="2" t="str">
        <f>VLOOKUP([jobnumber],OvalData[],MATCH(Table2[[#Headers],[Outer Spring Length]],Table2[#Headers],0),0)</f>
        <v>Null</v>
      </c>
      <c r="AZ487" s="2" t="str">
        <f>VLOOKUP([jobnumber],OvalData[],MATCH(Table2[[#Headers],[Outer Spring Stretch]],Table2[#Headers],0),0)</f>
        <v>Null</v>
      </c>
      <c r="BA487" s="2" t="str">
        <f>VLOOKUP([jobnumber],OvalData[],MATCH(Table2[[#Headers],[Outer Spring Torque]],Table2[#Headers],0),0)</f>
        <v>Null</v>
      </c>
      <c r="BB487" s="2" t="str">
        <f>VLOOKUP([jobnumber],OvalData[],MATCH(Table2[[#Headers],[Outer Spring Max Turns]],Table2[#Headers],0),0)</f>
        <v>Null</v>
      </c>
      <c r="BC487" s="2" t="str">
        <f>VLOOKUP([jobnumber],OvalData[],MATCH(Table2[[#Headers],[Outer Spring Weight]],Table2[#Headers],0),0)</f>
        <v>Null</v>
      </c>
      <c r="BD487" s="2" t="str">
        <f>VLOOKUP([jobnumber],OvalData[],MATCH(Table2[[#Headers],[Inner Spring Gage]],Table2[#Headers],0),0)</f>
        <v>Null</v>
      </c>
      <c r="BE487" s="2" t="str">
        <f>VLOOKUP([jobnumber],OvalData[],MATCH(Table2[[#Headers],[Inner Spring OD]],Table2[#Headers],0),0)</f>
        <v>Null</v>
      </c>
      <c r="BF487" s="2" t="str">
        <f>VLOOKUP([jobnumber],OvalData[],MATCH(Table2[[#Headers],[Inner Spring Length]],Table2[#Headers],0),0)</f>
        <v>Null</v>
      </c>
      <c r="BG487" s="2" t="str">
        <f>VLOOKUP([jobnumber],OvalData[],MATCH(Table2[[#Headers],[Inner Spring Stretch]],Table2[#Headers],0),0)</f>
        <v>Null</v>
      </c>
      <c r="BH487" s="2" t="str">
        <f>VLOOKUP([jobnumber],OvalData[],MATCH(Table2[[#Headers],[Inner Spring Torque]],Table2[#Headers],0),0)</f>
        <v>Null</v>
      </c>
      <c r="BI487" s="2" t="str">
        <f>VLOOKUP([jobnumber],OvalData[],MATCH(Table2[[#Headers],[Inner Spring Max Turns]],Table2[#Headers],0),0)</f>
        <v>Null</v>
      </c>
      <c r="BJ487" s="2" t="str">
        <f>VLOOKUP([jobnumber],OvalData[],MATCH(Table2[[#Headers],[Inner Spring Weight]],Table2[#Headers],0),0)</f>
        <v>Null</v>
      </c>
      <c r="BK487" s="2">
        <f>VLOOKUP([jobnumber],OvalData[],MATCH(Table2[[#Headers],[Cycles]],Table2[#Headers],0),0)</f>
        <v>0</v>
      </c>
      <c r="BL487" s="2">
        <f>VLOOKUP([jobnumber],OvalData[],MATCH(Table2[[#Headers],[Total Spring Torque]],Table2[#Headers],0),0)</f>
        <v>0</v>
      </c>
      <c r="BM487" s="2">
        <f>VLOOKUP([jobnumber],OvalData[],MATCH(Table2[[#Headers],[Total Spring Weight]],Table2[#Headers],0),0)</f>
        <v>0</v>
      </c>
      <c r="BN487" s="2">
        <f>VLOOKUP([jobnumber],OvalData[],MATCH(Table2[[#Headers],[Pipe Weight]],Table2[#Headers],0),0)</f>
        <v>688.24239999999998</v>
      </c>
      <c r="BO487" s="2">
        <f>VLOOKUP([jobnumber],OvalData[],MATCH(Table2[[#Headers],[Max Pipe Deflection]],Table2[#Headers],0),0)</f>
        <v>2309</v>
      </c>
      <c r="BP487" s="2">
        <f>VLOOKUP([jobnumber],OvalData[],MATCH(Table2[[#Headers],[Number Non-Insulated Wrap Slats]],Table2[#Headers],0),0)</f>
        <v>0</v>
      </c>
      <c r="BQ487" s="2">
        <f>VLOOKUP([jobnumber],OvalData[],MATCH(Table2[[#Headers],[Number of Insolated Top Slats]],Table2[#Headers],0),0)</f>
        <v>45</v>
      </c>
      <c r="BR487" s="2">
        <f>VLOOKUP([jobnumber],OvalData[],MATCH(Table2[[#Headers],[Insolated Total Slats]],Table2[#Headers],0),0)</f>
        <v>45</v>
      </c>
      <c r="BS487" s="2">
        <f>VLOOKUP([jobnumber],OvalData[],MATCH(Table2[[#Headers],[Number of Slats]],Table2[#Headers],0),0)</f>
        <v>44.69</v>
      </c>
      <c r="BT487" s="2">
        <f>VLOOKUP([jobnumber],OvalData[],MATCH(Table2[[#Headers],[Wrap]],Table2[#Headers],0),0)</f>
        <v>0</v>
      </c>
      <c r="BU487" s="2">
        <f>VLOOKUP([jobnumber],OvalData[],MATCH(Table2[[#Headers],[Wall Angle Thickness]],Table2[#Headers],0),0)</f>
        <v>0</v>
      </c>
      <c r="BV487" s="2">
        <f>VLOOKUP([jobnumber],OvalData[],MATCH(Table2[[#Headers],[windlocks]],Table2[#Headers],0),0)</f>
        <v>0</v>
      </c>
      <c r="BW487" s="2" t="str">
        <f>VLOOKUP([jobnumber],OvalData[],MATCH(Table2[[#Headers],[bottombartype]],Table2[#Headers],0),0)</f>
        <v>SPECIAL</v>
      </c>
      <c r="BX487" s="2">
        <f>VLOOKUP([jobnumber],OvalData[],MATCH(Table2[[#Headers],[endlockweight]],Table2[#Headers],0),0)</f>
        <v>0.17</v>
      </c>
      <c r="BY487" s="2">
        <f>VLOOKUP([jobnumber],OvalData[],MATCH(Table2[[#Headers],[Endlock Total Weight]],Table2[#Headers],0),0)</f>
        <v>7.5972999999999997</v>
      </c>
      <c r="BZ487" s="2">
        <f>VLOOKUP([jobnumber],OvalData[],MATCH(Table2[[#Headers],[Grille Weight]],Table2[#Headers],0),0)</f>
        <v>0</v>
      </c>
      <c r="CA487" s="2">
        <f>VLOOKUP([jobnumber],OvalData[],MATCH(Table2[[#Headers],[barrelrings]],Table2[#Headers],0),0)</f>
        <v>1</v>
      </c>
    </row>
    <row r="488" spans="2:79">
      <c r="B488" s="2" t="str">
        <f>VLOOKUP([jobnumber],OvalData[],MATCH(Table2[[#Headers],[Hand]],Table2[#Headers],0),0)</f>
        <v>RH</v>
      </c>
      <c r="C488" s="2" t="str">
        <f>VLOOKUP([jobnumber],OvalData[],MATCH(Table2[[#Headers],[Model]],Table2[#Headers],0),0)</f>
        <v>SFMPP</v>
      </c>
      <c r="D488" s="2" t="str">
        <f>VLOOKUP([jobnumber],OvalData[],MATCH(Table2[[#Headers],[width]],Table2[#Headers],0),0)</f>
        <v xml:space="preserve"> 18 ft.- 2"</v>
      </c>
      <c r="E488" s="2" t="str">
        <f>VLOOKUP([jobnumber],OvalData[],MATCH(Table2[[#Headers],[stopheight]],Table2[#Headers],0),0)</f>
        <v xml:space="preserve"> 10 ft.- 0"</v>
      </c>
      <c r="F488" s="2" t="str">
        <f>VLOOKUP([jobnumber],OvalData[],MATCH(Table2[[#Headers],[Between Brackets]],Table2[#Headers],0),0)</f>
        <v xml:space="preserve"> 18 ft.- 7 7/ 8"</v>
      </c>
      <c r="G488" s="2" t="str">
        <f>VLOOKUP([jobnumber],OvalData[],MATCH(Table2[[#Headers],[shell]],Table2[#Headers],0),0)</f>
        <v>6 INCH TUBE</v>
      </c>
      <c r="H488" s="2" t="str">
        <f>VLOOKUP([jobnumber],OvalData[],MATCH(Table2[[#Headers],[pipewidth]],Table2[#Headers],0),0)</f>
        <v xml:space="preserve"> 18 ft.- 1 3/ 8"</v>
      </c>
      <c r="I488" s="2">
        <f>VLOOKUP([jobnumber],OvalData[],MATCH(Table2[[#Headers],[Support Tubes]],Table2[#Headers],0),0)</f>
        <v>0</v>
      </c>
      <c r="J488" s="2">
        <f>VLOOKUP([jobnumber],OvalData[],MATCH(Table2[[#Headers],[Upset]],Table2[#Headers],0),0)</f>
        <v>2</v>
      </c>
      <c r="K488" s="2" t="str">
        <f>VLOOKUP([jobnumber],OvalData[],MATCH(Table2[[#Headers],[Guide Type]],Table2[#Headers],0),0)</f>
        <v>SN2-4 5/8-E</v>
      </c>
      <c r="L488" s="2" t="str">
        <f>VLOOKUP([jobnumber],OvalData[],MATCH(Table2[[#Headers],[Wall Angle]],Table2[#Headers],0),0)</f>
        <v xml:space="preserve"> 11 ft.- 8"</v>
      </c>
      <c r="M488" s="2" t="str">
        <f>VLOOKUP([jobnumber],OvalData[],MATCH(Table2[[#Headers],[Middle Angle]],Table2[#Headers],0),0)</f>
        <v xml:space="preserve"> 10 ft.- 4 1/ 2"</v>
      </c>
      <c r="N488" s="2" t="str">
        <f>VLOOKUP([jobnumber],OvalData[],MATCH(Table2[[#Headers],[Front Angle]],Table2[#Headers],0),0)</f>
        <v xml:space="preserve"> 10 ft.- 3"</v>
      </c>
      <c r="O488" s="2">
        <f>VLOOKUP([jobnumber],OvalData[],MATCH(Table2[[#Headers],[Pipe Center Line]],Table2[#Headers],0),0)</f>
        <v>131</v>
      </c>
      <c r="P488" s="2">
        <f>VLOOKUP([jobnumber],OvalData[],MATCH(Table2[[#Headers],[Heat Expansion Gap]],Table2[#Headers],0),0)</f>
        <v>0</v>
      </c>
      <c r="Q488" s="2">
        <f>VLOOKUP([jobnumber],OvalData[],MATCH(Table2[[#Headers],[Hanging Weight Closed]],Table2[#Headers],0),0)</f>
        <v>795</v>
      </c>
      <c r="R488" s="2">
        <f>VLOOKUP([jobnumber],OvalData[],MATCH(Table2[[#Headers],[Hanging Weight Open]],Table2[#Headers],0),0)</f>
        <v>140</v>
      </c>
      <c r="S488" s="2">
        <f>VLOOKUP([jobnumber],OvalData[],MATCH(Table2[[#Headers],[Initial Lever Arm]],Table2[#Headers],0),0)</f>
        <v>4.25</v>
      </c>
      <c r="T488" s="2">
        <f>VLOOKUP([jobnumber],OvalData[],MATCH(Table2[[#Headers],[Turns to Raise]],Table2[#Headers],0),0)</f>
        <v>3.5859999999999999</v>
      </c>
      <c r="U488" s="2">
        <f>VLOOKUP([jobnumber],OvalData[],MATCH(Table2[[#Headers],[Final Lever Arm]],Table2[#Headers],0),0)</f>
        <v>6.37</v>
      </c>
      <c r="V488" s="2">
        <f>VLOOKUP([jobnumber],OvalData[],MATCH(Table2[[#Headers],[Torque Required Closed]],Table2[#Headers],0),0)</f>
        <v>3377.9</v>
      </c>
      <c r="W488" s="2">
        <f>VLOOKUP([jobnumber],OvalData[],MATCH(Table2[[#Headers],[Torque Required Open]],Table2[#Headers],0),0)</f>
        <v>892</v>
      </c>
      <c r="X488" s="2">
        <f>VLOOKUP([jobnumber],OvalData[],MATCH(Table2[[#Headers],[Pre Turns]],Table2[#Headers],0),0)</f>
        <v>1.3332999999999999</v>
      </c>
      <c r="Y488" s="2">
        <f>VLOOKUP([jobnumber],OvalData[],MATCH(Table2[[#Headers],[Required Torque Per Turn]],Table2[#Headers],0),0)</f>
        <v>688</v>
      </c>
      <c r="Z488" s="2">
        <f>VLOOKUP([jobnumber],OvalData[],MATCH(Table2[[#Headers],[Total Turns]],Table2[#Headers],0),0)</f>
        <v>4.91</v>
      </c>
      <c r="AA488" s="2">
        <f>VLOOKUP([jobnumber],OvalData[],MATCH(Table2[[#Headers],[Grille Vision Section]],Table2[#Headers],0),0)</f>
        <v>0</v>
      </c>
      <c r="AB488" s="2">
        <f>VLOOKUP([jobnumber],OvalData[],MATCH(Table2[[#Headers],[Grille Amount]],Table2[#Headers],0),0)</f>
        <v>0</v>
      </c>
      <c r="AC488" s="2">
        <f>VLOOKUP([jobnumber],OvalData[],MATCH(Table2[[#Headers],[Grille Center]],Table2[#Headers],0),0)</f>
        <v>0</v>
      </c>
      <c r="AD488" s="2">
        <f>VLOOKUP([jobnumber],OvalData[],MATCH(Table2[[#Headers],[Grille Pattern]],Table2[#Headers],0),0)</f>
        <v>0</v>
      </c>
      <c r="AE488" s="2">
        <f>VLOOKUP([jobnumber],OvalData[],MATCH(Table2[[#Headers],[Grille First Tube]],Table2[#Headers],0),0)</f>
        <v>0</v>
      </c>
      <c r="AF488" s="2">
        <f>VLOOKUP([jobnumber],OvalData[],MATCH(Table2[[#Headers],[Grille Standard Tube]],Table2[#Headers],0),0)</f>
        <v>0</v>
      </c>
      <c r="AG488" s="2">
        <f>VLOOKUP([jobnumber],OvalData[],MATCH(Table2[[#Headers],[Grille Total Links]],Table2[#Headers],0),0)</f>
        <v>0</v>
      </c>
      <c r="AH488" s="2">
        <f>VLOOKUP([jobnumber],OvalData[],MATCH(Table2[[#Headers],[Grille Rods]],Table2[#Headers],0),0)</f>
        <v>0</v>
      </c>
      <c r="AI488" s="2">
        <f>VLOOKUP([jobnumber],OvalData[],MATCH(Table2[[#Headers],[Grille Rod Length]],Table2[#Headers],0),0)</f>
        <v>0</v>
      </c>
      <c r="AJ488" s="2">
        <f>VLOOKUP([jobnumber],OvalData[],MATCH(Table2[[#Headers],[slattype]],Table2[#Headers],0),0)</f>
        <v>2</v>
      </c>
      <c r="AK488" s="2">
        <f>VLOOKUP([jobnumber],OvalData[],MATCH(Table2[[#Headers],[slatgage]],Table2[#Headers],0),0)</f>
        <v>18</v>
      </c>
      <c r="AL488" s="2">
        <f>VLOOKUP([jobnumber],OvalData[],MATCH(Table2[[#Headers],[Numer of Top Slats]],Table2[#Headers],0),0)</f>
        <v>0</v>
      </c>
      <c r="AM488" s="2">
        <f>VLOOKUP([jobnumber],OvalData[],MATCH(Table2[[#Headers],[Number of Bottom Slats]],Table2[#Headers],0),0)</f>
        <v>0</v>
      </c>
      <c r="AN488" s="2">
        <f>VLOOKUP([jobnumber],OvalData[],MATCH(Table2[[#Headers],[Solid Bottom Height]],Table2[#Headers],0),0)</f>
        <v>0</v>
      </c>
      <c r="AO488" s="2" t="str">
        <f>VLOOKUP([jobnumber],OvalData[],MATCH(Table2[[#Headers],[slatlength]],Table2[#Headers],0),0)</f>
        <v xml:space="preserve"> 18 ft.- 5 7/ 8"</v>
      </c>
      <c r="AP488" s="2">
        <f>VLOOKUP([jobnumber],OvalData[],MATCH(Table2[[#Headers],[Bottom Slat Length]],Table2[#Headers],0),0)</f>
        <v>0</v>
      </c>
      <c r="AQ488" s="2">
        <f>VLOOKUP([jobnumber],OvalData[],MATCH(Table2[[#Headers],[Number of Perferated Slats]],Table2[#Headers],0),0)</f>
        <v>0</v>
      </c>
      <c r="AR488" s="2">
        <f>VLOOKUP([jobnumber],OvalData[],MATCH(Table2[[#Headers],[First Preferated Slat From End]],Table2[#Headers],0),0)</f>
        <v>0</v>
      </c>
      <c r="AS488" s="2">
        <f>VLOOKUP([jobnumber],OvalData[],MATCH(Table2[[#Headers],[First Preferated Slat From Bottom]],Table2[#Headers],0),0)</f>
        <v>0</v>
      </c>
      <c r="AT488" s="2">
        <f>VLOOKUP([jobnumber],OvalData[],MATCH(Table2[[#Headers],[Total Number of Slats]],Table2[#Headers],0),0)</f>
        <v>51</v>
      </c>
      <c r="AU488" s="2">
        <f>VLOOKUP([jobnumber],OvalData[],MATCH(Table2[[#Headers],[Bottom Bar Slope]],Table2[#Headers],0),0)</f>
        <v>0</v>
      </c>
      <c r="AV488" s="2">
        <f>VLOOKUP([jobnumber],OvalData[],MATCH(Table2[[#Headers],[Bottom Bar Weight]],Table2[#Headers],0),0)</f>
        <v>80.5</v>
      </c>
      <c r="AW488" s="2" t="str">
        <f>VLOOKUP([jobnumber],OvalData[],MATCH(Table2[[#Headers],[Outer Spring Gage]],Table2[#Headers],0),0)</f>
        <v>Null</v>
      </c>
      <c r="AX488" s="2" t="str">
        <f>VLOOKUP([jobnumber],OvalData[],MATCH(Table2[[#Headers],[Outer Spring OD]],Table2[#Headers],0),0)</f>
        <v>Null</v>
      </c>
      <c r="AY488" s="2" t="str">
        <f>VLOOKUP([jobnumber],OvalData[],MATCH(Table2[[#Headers],[Outer Spring Length]],Table2[#Headers],0),0)</f>
        <v>Null</v>
      </c>
      <c r="AZ488" s="2" t="str">
        <f>VLOOKUP([jobnumber],OvalData[],MATCH(Table2[[#Headers],[Outer Spring Stretch]],Table2[#Headers],0),0)</f>
        <v>Null</v>
      </c>
      <c r="BA488" s="2" t="str">
        <f>VLOOKUP([jobnumber],OvalData[],MATCH(Table2[[#Headers],[Outer Spring Torque]],Table2[#Headers],0),0)</f>
        <v>Null</v>
      </c>
      <c r="BB488" s="2" t="str">
        <f>VLOOKUP([jobnumber],OvalData[],MATCH(Table2[[#Headers],[Outer Spring Max Turns]],Table2[#Headers],0),0)</f>
        <v>Null</v>
      </c>
      <c r="BC488" s="2" t="str">
        <f>VLOOKUP([jobnumber],OvalData[],MATCH(Table2[[#Headers],[Outer Spring Weight]],Table2[#Headers],0),0)</f>
        <v>Null</v>
      </c>
      <c r="BD488" s="2" t="str">
        <f>VLOOKUP([jobnumber],OvalData[],MATCH(Table2[[#Headers],[Inner Spring Gage]],Table2[#Headers],0),0)</f>
        <v>Null</v>
      </c>
      <c r="BE488" s="2" t="str">
        <f>VLOOKUP([jobnumber],OvalData[],MATCH(Table2[[#Headers],[Inner Spring OD]],Table2[#Headers],0),0)</f>
        <v>Null</v>
      </c>
      <c r="BF488" s="2" t="str">
        <f>VLOOKUP([jobnumber],OvalData[],MATCH(Table2[[#Headers],[Inner Spring Length]],Table2[#Headers],0),0)</f>
        <v>Null</v>
      </c>
      <c r="BG488" s="2" t="str">
        <f>VLOOKUP([jobnumber],OvalData[],MATCH(Table2[[#Headers],[Inner Spring Stretch]],Table2[#Headers],0),0)</f>
        <v>Null</v>
      </c>
      <c r="BH488" s="2" t="str">
        <f>VLOOKUP([jobnumber],OvalData[],MATCH(Table2[[#Headers],[Inner Spring Torque]],Table2[#Headers],0),0)</f>
        <v>Null</v>
      </c>
      <c r="BI488" s="2" t="str">
        <f>VLOOKUP([jobnumber],OvalData[],MATCH(Table2[[#Headers],[Inner Spring Max Turns]],Table2[#Headers],0),0)</f>
        <v>Null</v>
      </c>
      <c r="BJ488" s="2" t="str">
        <f>VLOOKUP([jobnumber],OvalData[],MATCH(Table2[[#Headers],[Inner Spring Weight]],Table2[#Headers],0),0)</f>
        <v>Null</v>
      </c>
      <c r="BK488" s="2">
        <f>VLOOKUP([jobnumber],OvalData[],MATCH(Table2[[#Headers],[Cycles]],Table2[#Headers],0),0)</f>
        <v>0</v>
      </c>
      <c r="BL488" s="2">
        <f>VLOOKUP([jobnumber],OvalData[],MATCH(Table2[[#Headers],[Total Spring Torque]],Table2[#Headers],0),0)</f>
        <v>0</v>
      </c>
      <c r="BM488" s="2">
        <f>VLOOKUP([jobnumber],OvalData[],MATCH(Table2[[#Headers],[Total Spring Weight]],Table2[#Headers],0),0)</f>
        <v>0</v>
      </c>
      <c r="BN488" s="2">
        <f>VLOOKUP([jobnumber],OvalData[],MATCH(Table2[[#Headers],[Pipe Weight]],Table2[#Headers],0),0)</f>
        <v>688.24239999999998</v>
      </c>
      <c r="BO488" s="2">
        <f>VLOOKUP([jobnumber],OvalData[],MATCH(Table2[[#Headers],[Max Pipe Deflection]],Table2[#Headers],0),0)</f>
        <v>2309</v>
      </c>
      <c r="BP488" s="2">
        <f>VLOOKUP([jobnumber],OvalData[],MATCH(Table2[[#Headers],[Number Non-Insulated Wrap Slats]],Table2[#Headers],0),0)</f>
        <v>0</v>
      </c>
      <c r="BQ488" s="2">
        <f>VLOOKUP([jobnumber],OvalData[],MATCH(Table2[[#Headers],[Number of Insolated Top Slats]],Table2[#Headers],0),0)</f>
        <v>45</v>
      </c>
      <c r="BR488" s="2">
        <f>VLOOKUP([jobnumber],OvalData[],MATCH(Table2[[#Headers],[Insolated Total Slats]],Table2[#Headers],0),0)</f>
        <v>45</v>
      </c>
      <c r="BS488" s="2">
        <f>VLOOKUP([jobnumber],OvalData[],MATCH(Table2[[#Headers],[Number of Slats]],Table2[#Headers],0),0)</f>
        <v>44.69</v>
      </c>
      <c r="BT488" s="2">
        <f>VLOOKUP([jobnumber],OvalData[],MATCH(Table2[[#Headers],[Wrap]],Table2[#Headers],0),0)</f>
        <v>0</v>
      </c>
      <c r="BU488" s="2">
        <f>VLOOKUP([jobnumber],OvalData[],MATCH(Table2[[#Headers],[Wall Angle Thickness]],Table2[#Headers],0),0)</f>
        <v>0</v>
      </c>
      <c r="BV488" s="2">
        <f>VLOOKUP([jobnumber],OvalData[],MATCH(Table2[[#Headers],[windlocks]],Table2[#Headers],0),0)</f>
        <v>0</v>
      </c>
      <c r="BW488" s="2" t="str">
        <f>VLOOKUP([jobnumber],OvalData[],MATCH(Table2[[#Headers],[bottombartype]],Table2[#Headers],0),0)</f>
        <v>SPECIAL</v>
      </c>
      <c r="BX488" s="2">
        <f>VLOOKUP([jobnumber],OvalData[],MATCH(Table2[[#Headers],[endlockweight]],Table2[#Headers],0),0)</f>
        <v>0.17</v>
      </c>
      <c r="BY488" s="2">
        <f>VLOOKUP([jobnumber],OvalData[],MATCH(Table2[[#Headers],[Endlock Total Weight]],Table2[#Headers],0),0)</f>
        <v>7.5972999999999997</v>
      </c>
      <c r="BZ488" s="2">
        <f>VLOOKUP([jobnumber],OvalData[],MATCH(Table2[[#Headers],[Grille Weight]],Table2[#Headers],0),0)</f>
        <v>0</v>
      </c>
      <c r="CA488" s="2">
        <f>VLOOKUP([jobnumber],OvalData[],MATCH(Table2[[#Headers],[barrelrings]],Table2[#Headers],0),0)</f>
        <v>1</v>
      </c>
    </row>
    <row r="489" spans="2:79">
      <c r="B489" s="2" t="str">
        <f>VLOOKUP([jobnumber],OvalData[],MATCH(Table2[[#Headers],[Hand]],Table2[#Headers],0),0)</f>
        <v>RH</v>
      </c>
      <c r="C489" s="2" t="str">
        <f>VLOOKUP([jobnumber],OvalData[],MATCH(Table2[[#Headers],[Model]],Table2[#Headers],0),0)</f>
        <v>SFMPP</v>
      </c>
      <c r="D489" s="2" t="str">
        <f>VLOOKUP([jobnumber],OvalData[],MATCH(Table2[[#Headers],[width]],Table2[#Headers],0),0)</f>
        <v xml:space="preserve"> 18 ft.- 2"</v>
      </c>
      <c r="E489" s="2" t="str">
        <f>VLOOKUP([jobnumber],OvalData[],MATCH(Table2[[#Headers],[stopheight]],Table2[#Headers],0),0)</f>
        <v xml:space="preserve"> 10 ft.- 0"</v>
      </c>
      <c r="F489" s="2" t="str">
        <f>VLOOKUP([jobnumber],OvalData[],MATCH(Table2[[#Headers],[Between Brackets]],Table2[#Headers],0),0)</f>
        <v xml:space="preserve"> 18 ft.- 7 7/ 8"</v>
      </c>
      <c r="G489" s="2" t="str">
        <f>VLOOKUP([jobnumber],OvalData[],MATCH(Table2[[#Headers],[shell]],Table2[#Headers],0),0)</f>
        <v>6 INCH TUBE</v>
      </c>
      <c r="H489" s="2" t="str">
        <f>VLOOKUP([jobnumber],OvalData[],MATCH(Table2[[#Headers],[pipewidth]],Table2[#Headers],0),0)</f>
        <v xml:space="preserve"> 18 ft.- 1 3/ 8"</v>
      </c>
      <c r="I489" s="2">
        <f>VLOOKUP([jobnumber],OvalData[],MATCH(Table2[[#Headers],[Support Tubes]],Table2[#Headers],0),0)</f>
        <v>0</v>
      </c>
      <c r="J489" s="2">
        <f>VLOOKUP([jobnumber],OvalData[],MATCH(Table2[[#Headers],[Upset]],Table2[#Headers],0),0)</f>
        <v>2</v>
      </c>
      <c r="K489" s="2" t="str">
        <f>VLOOKUP([jobnumber],OvalData[],MATCH(Table2[[#Headers],[Guide Type]],Table2[#Headers],0),0)</f>
        <v>SN2-4 5/8-E</v>
      </c>
      <c r="L489" s="2" t="str">
        <f>VLOOKUP([jobnumber],OvalData[],MATCH(Table2[[#Headers],[Wall Angle]],Table2[#Headers],0),0)</f>
        <v xml:space="preserve"> 11 ft.- 8"</v>
      </c>
      <c r="M489" s="2" t="str">
        <f>VLOOKUP([jobnumber],OvalData[],MATCH(Table2[[#Headers],[Middle Angle]],Table2[#Headers],0),0)</f>
        <v xml:space="preserve"> 10 ft.- 4 1/ 2"</v>
      </c>
      <c r="N489" s="2" t="str">
        <f>VLOOKUP([jobnumber],OvalData[],MATCH(Table2[[#Headers],[Front Angle]],Table2[#Headers],0),0)</f>
        <v xml:space="preserve"> 10 ft.- 3"</v>
      </c>
      <c r="O489" s="2">
        <f>VLOOKUP([jobnumber],OvalData[],MATCH(Table2[[#Headers],[Pipe Center Line]],Table2[#Headers],0),0)</f>
        <v>131</v>
      </c>
      <c r="P489" s="2">
        <f>VLOOKUP([jobnumber],OvalData[],MATCH(Table2[[#Headers],[Heat Expansion Gap]],Table2[#Headers],0),0)</f>
        <v>0</v>
      </c>
      <c r="Q489" s="2">
        <f>VLOOKUP([jobnumber],OvalData[],MATCH(Table2[[#Headers],[Hanging Weight Closed]],Table2[#Headers],0),0)</f>
        <v>795</v>
      </c>
      <c r="R489" s="2">
        <f>VLOOKUP([jobnumber],OvalData[],MATCH(Table2[[#Headers],[Hanging Weight Open]],Table2[#Headers],0),0)</f>
        <v>140</v>
      </c>
      <c r="S489" s="2">
        <f>VLOOKUP([jobnumber],OvalData[],MATCH(Table2[[#Headers],[Initial Lever Arm]],Table2[#Headers],0),0)</f>
        <v>4.25</v>
      </c>
      <c r="T489" s="2">
        <f>VLOOKUP([jobnumber],OvalData[],MATCH(Table2[[#Headers],[Turns to Raise]],Table2[#Headers],0),0)</f>
        <v>3.5859999999999999</v>
      </c>
      <c r="U489" s="2">
        <f>VLOOKUP([jobnumber],OvalData[],MATCH(Table2[[#Headers],[Final Lever Arm]],Table2[#Headers],0),0)</f>
        <v>6.37</v>
      </c>
      <c r="V489" s="2">
        <f>VLOOKUP([jobnumber],OvalData[],MATCH(Table2[[#Headers],[Torque Required Closed]],Table2[#Headers],0),0)</f>
        <v>3377.9</v>
      </c>
      <c r="W489" s="2">
        <f>VLOOKUP([jobnumber],OvalData[],MATCH(Table2[[#Headers],[Torque Required Open]],Table2[#Headers],0),0)</f>
        <v>892</v>
      </c>
      <c r="X489" s="2">
        <f>VLOOKUP([jobnumber],OvalData[],MATCH(Table2[[#Headers],[Pre Turns]],Table2[#Headers],0),0)</f>
        <v>1.3332999999999999</v>
      </c>
      <c r="Y489" s="2">
        <f>VLOOKUP([jobnumber],OvalData[],MATCH(Table2[[#Headers],[Required Torque Per Turn]],Table2[#Headers],0),0)</f>
        <v>688</v>
      </c>
      <c r="Z489" s="2">
        <f>VLOOKUP([jobnumber],OvalData[],MATCH(Table2[[#Headers],[Total Turns]],Table2[#Headers],0),0)</f>
        <v>4.91</v>
      </c>
      <c r="AA489" s="2">
        <f>VLOOKUP([jobnumber],OvalData[],MATCH(Table2[[#Headers],[Grille Vision Section]],Table2[#Headers],0),0)</f>
        <v>0</v>
      </c>
      <c r="AB489" s="2">
        <f>VLOOKUP([jobnumber],OvalData[],MATCH(Table2[[#Headers],[Grille Amount]],Table2[#Headers],0),0)</f>
        <v>0</v>
      </c>
      <c r="AC489" s="2">
        <f>VLOOKUP([jobnumber],OvalData[],MATCH(Table2[[#Headers],[Grille Center]],Table2[#Headers],0),0)</f>
        <v>0</v>
      </c>
      <c r="AD489" s="2">
        <f>VLOOKUP([jobnumber],OvalData[],MATCH(Table2[[#Headers],[Grille Pattern]],Table2[#Headers],0),0)</f>
        <v>0</v>
      </c>
      <c r="AE489" s="2">
        <f>VLOOKUP([jobnumber],OvalData[],MATCH(Table2[[#Headers],[Grille First Tube]],Table2[#Headers],0),0)</f>
        <v>0</v>
      </c>
      <c r="AF489" s="2">
        <f>VLOOKUP([jobnumber],OvalData[],MATCH(Table2[[#Headers],[Grille Standard Tube]],Table2[#Headers],0),0)</f>
        <v>0</v>
      </c>
      <c r="AG489" s="2">
        <f>VLOOKUP([jobnumber],OvalData[],MATCH(Table2[[#Headers],[Grille Total Links]],Table2[#Headers],0),0)</f>
        <v>0</v>
      </c>
      <c r="AH489" s="2">
        <f>VLOOKUP([jobnumber],OvalData[],MATCH(Table2[[#Headers],[Grille Rods]],Table2[#Headers],0),0)</f>
        <v>0</v>
      </c>
      <c r="AI489" s="2">
        <f>VLOOKUP([jobnumber],OvalData[],MATCH(Table2[[#Headers],[Grille Rod Length]],Table2[#Headers],0),0)</f>
        <v>0</v>
      </c>
      <c r="AJ489" s="2">
        <f>VLOOKUP([jobnumber],OvalData[],MATCH(Table2[[#Headers],[slattype]],Table2[#Headers],0),0)</f>
        <v>2</v>
      </c>
      <c r="AK489" s="2">
        <f>VLOOKUP([jobnumber],OvalData[],MATCH(Table2[[#Headers],[slatgage]],Table2[#Headers],0),0)</f>
        <v>18</v>
      </c>
      <c r="AL489" s="2">
        <f>VLOOKUP([jobnumber],OvalData[],MATCH(Table2[[#Headers],[Numer of Top Slats]],Table2[#Headers],0),0)</f>
        <v>0</v>
      </c>
      <c r="AM489" s="2">
        <f>VLOOKUP([jobnumber],OvalData[],MATCH(Table2[[#Headers],[Number of Bottom Slats]],Table2[#Headers],0),0)</f>
        <v>0</v>
      </c>
      <c r="AN489" s="2">
        <f>VLOOKUP([jobnumber],OvalData[],MATCH(Table2[[#Headers],[Solid Bottom Height]],Table2[#Headers],0),0)</f>
        <v>0</v>
      </c>
      <c r="AO489" s="2" t="str">
        <f>VLOOKUP([jobnumber],OvalData[],MATCH(Table2[[#Headers],[slatlength]],Table2[#Headers],0),0)</f>
        <v xml:space="preserve"> 18 ft.- 5 7/ 8"</v>
      </c>
      <c r="AP489" s="2">
        <f>VLOOKUP([jobnumber],OvalData[],MATCH(Table2[[#Headers],[Bottom Slat Length]],Table2[#Headers],0),0)</f>
        <v>0</v>
      </c>
      <c r="AQ489" s="2">
        <f>VLOOKUP([jobnumber],OvalData[],MATCH(Table2[[#Headers],[Number of Perferated Slats]],Table2[#Headers],0),0)</f>
        <v>0</v>
      </c>
      <c r="AR489" s="2">
        <f>VLOOKUP([jobnumber],OvalData[],MATCH(Table2[[#Headers],[First Preferated Slat From End]],Table2[#Headers],0),0)</f>
        <v>0</v>
      </c>
      <c r="AS489" s="2">
        <f>VLOOKUP([jobnumber],OvalData[],MATCH(Table2[[#Headers],[First Preferated Slat From Bottom]],Table2[#Headers],0),0)</f>
        <v>0</v>
      </c>
      <c r="AT489" s="2">
        <f>VLOOKUP([jobnumber],OvalData[],MATCH(Table2[[#Headers],[Total Number of Slats]],Table2[#Headers],0),0)</f>
        <v>51</v>
      </c>
      <c r="AU489" s="2">
        <f>VLOOKUP([jobnumber],OvalData[],MATCH(Table2[[#Headers],[Bottom Bar Slope]],Table2[#Headers],0),0)</f>
        <v>0</v>
      </c>
      <c r="AV489" s="2">
        <f>VLOOKUP([jobnumber],OvalData[],MATCH(Table2[[#Headers],[Bottom Bar Weight]],Table2[#Headers],0),0)</f>
        <v>80.5</v>
      </c>
      <c r="AW489" s="2" t="str">
        <f>VLOOKUP([jobnumber],OvalData[],MATCH(Table2[[#Headers],[Outer Spring Gage]],Table2[#Headers],0),0)</f>
        <v>Null</v>
      </c>
      <c r="AX489" s="2" t="str">
        <f>VLOOKUP([jobnumber],OvalData[],MATCH(Table2[[#Headers],[Outer Spring OD]],Table2[#Headers],0),0)</f>
        <v>Null</v>
      </c>
      <c r="AY489" s="2" t="str">
        <f>VLOOKUP([jobnumber],OvalData[],MATCH(Table2[[#Headers],[Outer Spring Length]],Table2[#Headers],0),0)</f>
        <v>Null</v>
      </c>
      <c r="AZ489" s="2" t="str">
        <f>VLOOKUP([jobnumber],OvalData[],MATCH(Table2[[#Headers],[Outer Spring Stretch]],Table2[#Headers],0),0)</f>
        <v>Null</v>
      </c>
      <c r="BA489" s="2" t="str">
        <f>VLOOKUP([jobnumber],OvalData[],MATCH(Table2[[#Headers],[Outer Spring Torque]],Table2[#Headers],0),0)</f>
        <v>Null</v>
      </c>
      <c r="BB489" s="2" t="str">
        <f>VLOOKUP([jobnumber],OvalData[],MATCH(Table2[[#Headers],[Outer Spring Max Turns]],Table2[#Headers],0),0)</f>
        <v>Null</v>
      </c>
      <c r="BC489" s="2" t="str">
        <f>VLOOKUP([jobnumber],OvalData[],MATCH(Table2[[#Headers],[Outer Spring Weight]],Table2[#Headers],0),0)</f>
        <v>Null</v>
      </c>
      <c r="BD489" s="2" t="str">
        <f>VLOOKUP([jobnumber],OvalData[],MATCH(Table2[[#Headers],[Inner Spring Gage]],Table2[#Headers],0),0)</f>
        <v>Null</v>
      </c>
      <c r="BE489" s="2" t="str">
        <f>VLOOKUP([jobnumber],OvalData[],MATCH(Table2[[#Headers],[Inner Spring OD]],Table2[#Headers],0),0)</f>
        <v>Null</v>
      </c>
      <c r="BF489" s="2" t="str">
        <f>VLOOKUP([jobnumber],OvalData[],MATCH(Table2[[#Headers],[Inner Spring Length]],Table2[#Headers],0),0)</f>
        <v>Null</v>
      </c>
      <c r="BG489" s="2" t="str">
        <f>VLOOKUP([jobnumber],OvalData[],MATCH(Table2[[#Headers],[Inner Spring Stretch]],Table2[#Headers],0),0)</f>
        <v>Null</v>
      </c>
      <c r="BH489" s="2" t="str">
        <f>VLOOKUP([jobnumber],OvalData[],MATCH(Table2[[#Headers],[Inner Spring Torque]],Table2[#Headers],0),0)</f>
        <v>Null</v>
      </c>
      <c r="BI489" s="2" t="str">
        <f>VLOOKUP([jobnumber],OvalData[],MATCH(Table2[[#Headers],[Inner Spring Max Turns]],Table2[#Headers],0),0)</f>
        <v>Null</v>
      </c>
      <c r="BJ489" s="2" t="str">
        <f>VLOOKUP([jobnumber],OvalData[],MATCH(Table2[[#Headers],[Inner Spring Weight]],Table2[#Headers],0),0)</f>
        <v>Null</v>
      </c>
      <c r="BK489" s="2">
        <f>VLOOKUP([jobnumber],OvalData[],MATCH(Table2[[#Headers],[Cycles]],Table2[#Headers],0),0)</f>
        <v>0</v>
      </c>
      <c r="BL489" s="2">
        <f>VLOOKUP([jobnumber],OvalData[],MATCH(Table2[[#Headers],[Total Spring Torque]],Table2[#Headers],0),0)</f>
        <v>0</v>
      </c>
      <c r="BM489" s="2">
        <f>VLOOKUP([jobnumber],OvalData[],MATCH(Table2[[#Headers],[Total Spring Weight]],Table2[#Headers],0),0)</f>
        <v>0</v>
      </c>
      <c r="BN489" s="2">
        <f>VLOOKUP([jobnumber],OvalData[],MATCH(Table2[[#Headers],[Pipe Weight]],Table2[#Headers],0),0)</f>
        <v>688.24239999999998</v>
      </c>
      <c r="BO489" s="2">
        <f>VLOOKUP([jobnumber],OvalData[],MATCH(Table2[[#Headers],[Max Pipe Deflection]],Table2[#Headers],0),0)</f>
        <v>2309</v>
      </c>
      <c r="BP489" s="2">
        <f>VLOOKUP([jobnumber],OvalData[],MATCH(Table2[[#Headers],[Number Non-Insulated Wrap Slats]],Table2[#Headers],0),0)</f>
        <v>0</v>
      </c>
      <c r="BQ489" s="2">
        <f>VLOOKUP([jobnumber],OvalData[],MATCH(Table2[[#Headers],[Number of Insolated Top Slats]],Table2[#Headers],0),0)</f>
        <v>45</v>
      </c>
      <c r="BR489" s="2">
        <f>VLOOKUP([jobnumber],OvalData[],MATCH(Table2[[#Headers],[Insolated Total Slats]],Table2[#Headers],0),0)</f>
        <v>45</v>
      </c>
      <c r="BS489" s="2">
        <f>VLOOKUP([jobnumber],OvalData[],MATCH(Table2[[#Headers],[Number of Slats]],Table2[#Headers],0),0)</f>
        <v>44.69</v>
      </c>
      <c r="BT489" s="2">
        <f>VLOOKUP([jobnumber],OvalData[],MATCH(Table2[[#Headers],[Wrap]],Table2[#Headers],0),0)</f>
        <v>0</v>
      </c>
      <c r="BU489" s="2">
        <f>VLOOKUP([jobnumber],OvalData[],MATCH(Table2[[#Headers],[Wall Angle Thickness]],Table2[#Headers],0),0)</f>
        <v>0</v>
      </c>
      <c r="BV489" s="2">
        <f>VLOOKUP([jobnumber],OvalData[],MATCH(Table2[[#Headers],[windlocks]],Table2[#Headers],0),0)</f>
        <v>0</v>
      </c>
      <c r="BW489" s="2" t="str">
        <f>VLOOKUP([jobnumber],OvalData[],MATCH(Table2[[#Headers],[bottombartype]],Table2[#Headers],0),0)</f>
        <v>SPECIAL</v>
      </c>
      <c r="BX489" s="2">
        <f>VLOOKUP([jobnumber],OvalData[],MATCH(Table2[[#Headers],[endlockweight]],Table2[#Headers],0),0)</f>
        <v>0.17</v>
      </c>
      <c r="BY489" s="2">
        <f>VLOOKUP([jobnumber],OvalData[],MATCH(Table2[[#Headers],[Endlock Total Weight]],Table2[#Headers],0),0)</f>
        <v>7.5972999999999997</v>
      </c>
      <c r="BZ489" s="2">
        <f>VLOOKUP([jobnumber],OvalData[],MATCH(Table2[[#Headers],[Grille Weight]],Table2[#Headers],0),0)</f>
        <v>0</v>
      </c>
      <c r="CA489" s="2">
        <f>VLOOKUP([jobnumber],OvalData[],MATCH(Table2[[#Headers],[barrelrings]],Table2[#Headers],0),0)</f>
        <v>1</v>
      </c>
    </row>
    <row r="490" spans="2:79">
      <c r="B490" s="2" t="str">
        <f>VLOOKUP([jobnumber],OvalData[],MATCH(Table2[[#Headers],[Hand]],Table2[#Headers],0),0)</f>
        <v>RH</v>
      </c>
      <c r="C490" s="2" t="str">
        <f>VLOOKUP([jobnumber],OvalData[],MATCH(Table2[[#Headers],[Model]],Table2[#Headers],0),0)</f>
        <v>SFMPP</v>
      </c>
      <c r="D490" s="2" t="str">
        <f>VLOOKUP([jobnumber],OvalData[],MATCH(Table2[[#Headers],[width]],Table2[#Headers],0),0)</f>
        <v xml:space="preserve"> 18 ft.- 2"</v>
      </c>
      <c r="E490" s="2" t="str">
        <f>VLOOKUP([jobnumber],OvalData[],MATCH(Table2[[#Headers],[stopheight]],Table2[#Headers],0),0)</f>
        <v xml:space="preserve"> 10 ft.- 0"</v>
      </c>
      <c r="F490" s="2" t="str">
        <f>VLOOKUP([jobnumber],OvalData[],MATCH(Table2[[#Headers],[Between Brackets]],Table2[#Headers],0),0)</f>
        <v xml:space="preserve"> 18 ft.- 7 7/ 8"</v>
      </c>
      <c r="G490" s="2" t="str">
        <f>VLOOKUP([jobnumber],OvalData[],MATCH(Table2[[#Headers],[shell]],Table2[#Headers],0),0)</f>
        <v>6 INCH TUBE</v>
      </c>
      <c r="H490" s="2" t="str">
        <f>VLOOKUP([jobnumber],OvalData[],MATCH(Table2[[#Headers],[pipewidth]],Table2[#Headers],0),0)</f>
        <v xml:space="preserve"> 18 ft.- 1 3/ 8"</v>
      </c>
      <c r="I490" s="2">
        <f>VLOOKUP([jobnumber],OvalData[],MATCH(Table2[[#Headers],[Support Tubes]],Table2[#Headers],0),0)</f>
        <v>0</v>
      </c>
      <c r="J490" s="2">
        <f>VLOOKUP([jobnumber],OvalData[],MATCH(Table2[[#Headers],[Upset]],Table2[#Headers],0),0)</f>
        <v>2</v>
      </c>
      <c r="K490" s="2" t="str">
        <f>VLOOKUP([jobnumber],OvalData[],MATCH(Table2[[#Headers],[Guide Type]],Table2[#Headers],0),0)</f>
        <v>SN2-4 5/8-E</v>
      </c>
      <c r="L490" s="2" t="str">
        <f>VLOOKUP([jobnumber],OvalData[],MATCH(Table2[[#Headers],[Wall Angle]],Table2[#Headers],0),0)</f>
        <v xml:space="preserve"> 11 ft.- 8"</v>
      </c>
      <c r="M490" s="2" t="str">
        <f>VLOOKUP([jobnumber],OvalData[],MATCH(Table2[[#Headers],[Middle Angle]],Table2[#Headers],0),0)</f>
        <v xml:space="preserve"> 10 ft.- 4 1/ 2"</v>
      </c>
      <c r="N490" s="2" t="str">
        <f>VLOOKUP([jobnumber],OvalData[],MATCH(Table2[[#Headers],[Front Angle]],Table2[#Headers],0),0)</f>
        <v xml:space="preserve"> 10 ft.- 3"</v>
      </c>
      <c r="O490" s="2">
        <f>VLOOKUP([jobnumber],OvalData[],MATCH(Table2[[#Headers],[Pipe Center Line]],Table2[#Headers],0),0)</f>
        <v>131</v>
      </c>
      <c r="P490" s="2">
        <f>VLOOKUP([jobnumber],OvalData[],MATCH(Table2[[#Headers],[Heat Expansion Gap]],Table2[#Headers],0),0)</f>
        <v>0</v>
      </c>
      <c r="Q490" s="2">
        <f>VLOOKUP([jobnumber],OvalData[],MATCH(Table2[[#Headers],[Hanging Weight Closed]],Table2[#Headers],0),0)</f>
        <v>795</v>
      </c>
      <c r="R490" s="2">
        <f>VLOOKUP([jobnumber],OvalData[],MATCH(Table2[[#Headers],[Hanging Weight Open]],Table2[#Headers],0),0)</f>
        <v>140</v>
      </c>
      <c r="S490" s="2">
        <f>VLOOKUP([jobnumber],OvalData[],MATCH(Table2[[#Headers],[Initial Lever Arm]],Table2[#Headers],0),0)</f>
        <v>4.25</v>
      </c>
      <c r="T490" s="2">
        <f>VLOOKUP([jobnumber],OvalData[],MATCH(Table2[[#Headers],[Turns to Raise]],Table2[#Headers],0),0)</f>
        <v>3.5859999999999999</v>
      </c>
      <c r="U490" s="2">
        <f>VLOOKUP([jobnumber],OvalData[],MATCH(Table2[[#Headers],[Final Lever Arm]],Table2[#Headers],0),0)</f>
        <v>6.37</v>
      </c>
      <c r="V490" s="2">
        <f>VLOOKUP([jobnumber],OvalData[],MATCH(Table2[[#Headers],[Torque Required Closed]],Table2[#Headers],0),0)</f>
        <v>3377.9</v>
      </c>
      <c r="W490" s="2">
        <f>VLOOKUP([jobnumber],OvalData[],MATCH(Table2[[#Headers],[Torque Required Open]],Table2[#Headers],0),0)</f>
        <v>892</v>
      </c>
      <c r="X490" s="2">
        <f>VLOOKUP([jobnumber],OvalData[],MATCH(Table2[[#Headers],[Pre Turns]],Table2[#Headers],0),0)</f>
        <v>1.3332999999999999</v>
      </c>
      <c r="Y490" s="2">
        <f>VLOOKUP([jobnumber],OvalData[],MATCH(Table2[[#Headers],[Required Torque Per Turn]],Table2[#Headers],0),0)</f>
        <v>688</v>
      </c>
      <c r="Z490" s="2">
        <f>VLOOKUP([jobnumber],OvalData[],MATCH(Table2[[#Headers],[Total Turns]],Table2[#Headers],0),0)</f>
        <v>4.91</v>
      </c>
      <c r="AA490" s="2">
        <f>VLOOKUP([jobnumber],OvalData[],MATCH(Table2[[#Headers],[Grille Vision Section]],Table2[#Headers],0),0)</f>
        <v>0</v>
      </c>
      <c r="AB490" s="2">
        <f>VLOOKUP([jobnumber],OvalData[],MATCH(Table2[[#Headers],[Grille Amount]],Table2[#Headers],0),0)</f>
        <v>0</v>
      </c>
      <c r="AC490" s="2">
        <f>VLOOKUP([jobnumber],OvalData[],MATCH(Table2[[#Headers],[Grille Center]],Table2[#Headers],0),0)</f>
        <v>0</v>
      </c>
      <c r="AD490" s="2">
        <f>VLOOKUP([jobnumber],OvalData[],MATCH(Table2[[#Headers],[Grille Pattern]],Table2[#Headers],0),0)</f>
        <v>0</v>
      </c>
      <c r="AE490" s="2">
        <f>VLOOKUP([jobnumber],OvalData[],MATCH(Table2[[#Headers],[Grille First Tube]],Table2[#Headers],0),0)</f>
        <v>0</v>
      </c>
      <c r="AF490" s="2">
        <f>VLOOKUP([jobnumber],OvalData[],MATCH(Table2[[#Headers],[Grille Standard Tube]],Table2[#Headers],0),0)</f>
        <v>0</v>
      </c>
      <c r="AG490" s="2">
        <f>VLOOKUP([jobnumber],OvalData[],MATCH(Table2[[#Headers],[Grille Total Links]],Table2[#Headers],0),0)</f>
        <v>0</v>
      </c>
      <c r="AH490" s="2">
        <f>VLOOKUP([jobnumber],OvalData[],MATCH(Table2[[#Headers],[Grille Rods]],Table2[#Headers],0),0)</f>
        <v>0</v>
      </c>
      <c r="AI490" s="2">
        <f>VLOOKUP([jobnumber],OvalData[],MATCH(Table2[[#Headers],[Grille Rod Length]],Table2[#Headers],0),0)</f>
        <v>0</v>
      </c>
      <c r="AJ490" s="2">
        <f>VLOOKUP([jobnumber],OvalData[],MATCH(Table2[[#Headers],[slattype]],Table2[#Headers],0),0)</f>
        <v>2</v>
      </c>
      <c r="AK490" s="2">
        <f>VLOOKUP([jobnumber],OvalData[],MATCH(Table2[[#Headers],[slatgage]],Table2[#Headers],0),0)</f>
        <v>18</v>
      </c>
      <c r="AL490" s="2">
        <f>VLOOKUP([jobnumber],OvalData[],MATCH(Table2[[#Headers],[Numer of Top Slats]],Table2[#Headers],0),0)</f>
        <v>0</v>
      </c>
      <c r="AM490" s="2">
        <f>VLOOKUP([jobnumber],OvalData[],MATCH(Table2[[#Headers],[Number of Bottom Slats]],Table2[#Headers],0),0)</f>
        <v>0</v>
      </c>
      <c r="AN490" s="2">
        <f>VLOOKUP([jobnumber],OvalData[],MATCH(Table2[[#Headers],[Solid Bottom Height]],Table2[#Headers],0),0)</f>
        <v>0</v>
      </c>
      <c r="AO490" s="2" t="str">
        <f>VLOOKUP([jobnumber],OvalData[],MATCH(Table2[[#Headers],[slatlength]],Table2[#Headers],0),0)</f>
        <v xml:space="preserve"> 18 ft.- 5 7/ 8"</v>
      </c>
      <c r="AP490" s="2">
        <f>VLOOKUP([jobnumber],OvalData[],MATCH(Table2[[#Headers],[Bottom Slat Length]],Table2[#Headers],0),0)</f>
        <v>0</v>
      </c>
      <c r="AQ490" s="2">
        <f>VLOOKUP([jobnumber],OvalData[],MATCH(Table2[[#Headers],[Number of Perferated Slats]],Table2[#Headers],0),0)</f>
        <v>0</v>
      </c>
      <c r="AR490" s="2">
        <f>VLOOKUP([jobnumber],OvalData[],MATCH(Table2[[#Headers],[First Preferated Slat From End]],Table2[#Headers],0),0)</f>
        <v>0</v>
      </c>
      <c r="AS490" s="2">
        <f>VLOOKUP([jobnumber],OvalData[],MATCH(Table2[[#Headers],[First Preferated Slat From Bottom]],Table2[#Headers],0),0)</f>
        <v>0</v>
      </c>
      <c r="AT490" s="2">
        <f>VLOOKUP([jobnumber],OvalData[],MATCH(Table2[[#Headers],[Total Number of Slats]],Table2[#Headers],0),0)</f>
        <v>51</v>
      </c>
      <c r="AU490" s="2">
        <f>VLOOKUP([jobnumber],OvalData[],MATCH(Table2[[#Headers],[Bottom Bar Slope]],Table2[#Headers],0),0)</f>
        <v>0</v>
      </c>
      <c r="AV490" s="2">
        <f>VLOOKUP([jobnumber],OvalData[],MATCH(Table2[[#Headers],[Bottom Bar Weight]],Table2[#Headers],0),0)</f>
        <v>80.5</v>
      </c>
      <c r="AW490" s="2" t="str">
        <f>VLOOKUP([jobnumber],OvalData[],MATCH(Table2[[#Headers],[Outer Spring Gage]],Table2[#Headers],0),0)</f>
        <v>Null</v>
      </c>
      <c r="AX490" s="2" t="str">
        <f>VLOOKUP([jobnumber],OvalData[],MATCH(Table2[[#Headers],[Outer Spring OD]],Table2[#Headers],0),0)</f>
        <v>Null</v>
      </c>
      <c r="AY490" s="2" t="str">
        <f>VLOOKUP([jobnumber],OvalData[],MATCH(Table2[[#Headers],[Outer Spring Length]],Table2[#Headers],0),0)</f>
        <v>Null</v>
      </c>
      <c r="AZ490" s="2" t="str">
        <f>VLOOKUP([jobnumber],OvalData[],MATCH(Table2[[#Headers],[Outer Spring Stretch]],Table2[#Headers],0),0)</f>
        <v>Null</v>
      </c>
      <c r="BA490" s="2" t="str">
        <f>VLOOKUP([jobnumber],OvalData[],MATCH(Table2[[#Headers],[Outer Spring Torque]],Table2[#Headers],0),0)</f>
        <v>Null</v>
      </c>
      <c r="BB490" s="2" t="str">
        <f>VLOOKUP([jobnumber],OvalData[],MATCH(Table2[[#Headers],[Outer Spring Max Turns]],Table2[#Headers],0),0)</f>
        <v>Null</v>
      </c>
      <c r="BC490" s="2" t="str">
        <f>VLOOKUP([jobnumber],OvalData[],MATCH(Table2[[#Headers],[Outer Spring Weight]],Table2[#Headers],0),0)</f>
        <v>Null</v>
      </c>
      <c r="BD490" s="2" t="str">
        <f>VLOOKUP([jobnumber],OvalData[],MATCH(Table2[[#Headers],[Inner Spring Gage]],Table2[#Headers],0),0)</f>
        <v>Null</v>
      </c>
      <c r="BE490" s="2" t="str">
        <f>VLOOKUP([jobnumber],OvalData[],MATCH(Table2[[#Headers],[Inner Spring OD]],Table2[#Headers],0),0)</f>
        <v>Null</v>
      </c>
      <c r="BF490" s="2" t="str">
        <f>VLOOKUP([jobnumber],OvalData[],MATCH(Table2[[#Headers],[Inner Spring Length]],Table2[#Headers],0),0)</f>
        <v>Null</v>
      </c>
      <c r="BG490" s="2" t="str">
        <f>VLOOKUP([jobnumber],OvalData[],MATCH(Table2[[#Headers],[Inner Spring Stretch]],Table2[#Headers],0),0)</f>
        <v>Null</v>
      </c>
      <c r="BH490" s="2" t="str">
        <f>VLOOKUP([jobnumber],OvalData[],MATCH(Table2[[#Headers],[Inner Spring Torque]],Table2[#Headers],0),0)</f>
        <v>Null</v>
      </c>
      <c r="BI490" s="2" t="str">
        <f>VLOOKUP([jobnumber],OvalData[],MATCH(Table2[[#Headers],[Inner Spring Max Turns]],Table2[#Headers],0),0)</f>
        <v>Null</v>
      </c>
      <c r="BJ490" s="2" t="str">
        <f>VLOOKUP([jobnumber],OvalData[],MATCH(Table2[[#Headers],[Inner Spring Weight]],Table2[#Headers],0),0)</f>
        <v>Null</v>
      </c>
      <c r="BK490" s="2">
        <f>VLOOKUP([jobnumber],OvalData[],MATCH(Table2[[#Headers],[Cycles]],Table2[#Headers],0),0)</f>
        <v>0</v>
      </c>
      <c r="BL490" s="2">
        <f>VLOOKUP([jobnumber],OvalData[],MATCH(Table2[[#Headers],[Total Spring Torque]],Table2[#Headers],0),0)</f>
        <v>0</v>
      </c>
      <c r="BM490" s="2">
        <f>VLOOKUP([jobnumber],OvalData[],MATCH(Table2[[#Headers],[Total Spring Weight]],Table2[#Headers],0),0)</f>
        <v>0</v>
      </c>
      <c r="BN490" s="2">
        <f>VLOOKUP([jobnumber],OvalData[],MATCH(Table2[[#Headers],[Pipe Weight]],Table2[#Headers],0),0)</f>
        <v>688.24239999999998</v>
      </c>
      <c r="BO490" s="2">
        <f>VLOOKUP([jobnumber],OvalData[],MATCH(Table2[[#Headers],[Max Pipe Deflection]],Table2[#Headers],0),0)</f>
        <v>2309</v>
      </c>
      <c r="BP490" s="2">
        <f>VLOOKUP([jobnumber],OvalData[],MATCH(Table2[[#Headers],[Number Non-Insulated Wrap Slats]],Table2[#Headers],0),0)</f>
        <v>0</v>
      </c>
      <c r="BQ490" s="2">
        <f>VLOOKUP([jobnumber],OvalData[],MATCH(Table2[[#Headers],[Number of Insolated Top Slats]],Table2[#Headers],0),0)</f>
        <v>45</v>
      </c>
      <c r="BR490" s="2">
        <f>VLOOKUP([jobnumber],OvalData[],MATCH(Table2[[#Headers],[Insolated Total Slats]],Table2[#Headers],0),0)</f>
        <v>45</v>
      </c>
      <c r="BS490" s="2">
        <f>VLOOKUP([jobnumber],OvalData[],MATCH(Table2[[#Headers],[Number of Slats]],Table2[#Headers],0),0)</f>
        <v>44.69</v>
      </c>
      <c r="BT490" s="2">
        <f>VLOOKUP([jobnumber],OvalData[],MATCH(Table2[[#Headers],[Wrap]],Table2[#Headers],0),0)</f>
        <v>0</v>
      </c>
      <c r="BU490" s="2">
        <f>VLOOKUP([jobnumber],OvalData[],MATCH(Table2[[#Headers],[Wall Angle Thickness]],Table2[#Headers],0),0)</f>
        <v>0</v>
      </c>
      <c r="BV490" s="2">
        <f>VLOOKUP([jobnumber],OvalData[],MATCH(Table2[[#Headers],[windlocks]],Table2[#Headers],0),0)</f>
        <v>0</v>
      </c>
      <c r="BW490" s="2" t="str">
        <f>VLOOKUP([jobnumber],OvalData[],MATCH(Table2[[#Headers],[bottombartype]],Table2[#Headers],0),0)</f>
        <v>SPECIAL</v>
      </c>
      <c r="BX490" s="2">
        <f>VLOOKUP([jobnumber],OvalData[],MATCH(Table2[[#Headers],[endlockweight]],Table2[#Headers],0),0)</f>
        <v>0.17</v>
      </c>
      <c r="BY490" s="2">
        <f>VLOOKUP([jobnumber],OvalData[],MATCH(Table2[[#Headers],[Endlock Total Weight]],Table2[#Headers],0),0)</f>
        <v>7.5972999999999997</v>
      </c>
      <c r="BZ490" s="2">
        <f>VLOOKUP([jobnumber],OvalData[],MATCH(Table2[[#Headers],[Grille Weight]],Table2[#Headers],0),0)</f>
        <v>0</v>
      </c>
      <c r="CA490" s="2">
        <f>VLOOKUP([jobnumber],OvalData[],MATCH(Table2[[#Headers],[barrelrings]],Table2[#Headers],0),0)</f>
        <v>1</v>
      </c>
    </row>
    <row r="491" spans="2:79">
      <c r="B491" s="2" t="str">
        <f>VLOOKUP([jobnumber],OvalData[],MATCH(Table2[[#Headers],[Hand]],Table2[#Headers],0),0)</f>
        <v>RH</v>
      </c>
      <c r="C491" s="2" t="str">
        <f>VLOOKUP([jobnumber],OvalData[],MATCH(Table2[[#Headers],[Model]],Table2[#Headers],0),0)</f>
        <v>SFMPP</v>
      </c>
      <c r="D491" s="2" t="str">
        <f>VLOOKUP([jobnumber],OvalData[],MATCH(Table2[[#Headers],[width]],Table2[#Headers],0),0)</f>
        <v xml:space="preserve"> 18 ft.- 2"</v>
      </c>
      <c r="E491" s="2" t="str">
        <f>VLOOKUP([jobnumber],OvalData[],MATCH(Table2[[#Headers],[stopheight]],Table2[#Headers],0),0)</f>
        <v xml:space="preserve"> 10 ft.- 0"</v>
      </c>
      <c r="F491" s="2" t="str">
        <f>VLOOKUP([jobnumber],OvalData[],MATCH(Table2[[#Headers],[Between Brackets]],Table2[#Headers],0),0)</f>
        <v xml:space="preserve"> 18 ft.- 7 7/ 8"</v>
      </c>
      <c r="G491" s="2" t="str">
        <f>VLOOKUP([jobnumber],OvalData[],MATCH(Table2[[#Headers],[shell]],Table2[#Headers],0),0)</f>
        <v>6 INCH TUBE</v>
      </c>
      <c r="H491" s="2" t="str">
        <f>VLOOKUP([jobnumber],OvalData[],MATCH(Table2[[#Headers],[pipewidth]],Table2[#Headers],0),0)</f>
        <v xml:space="preserve"> 18 ft.- 1 3/ 8"</v>
      </c>
      <c r="I491" s="2">
        <f>VLOOKUP([jobnumber],OvalData[],MATCH(Table2[[#Headers],[Support Tubes]],Table2[#Headers],0),0)</f>
        <v>0</v>
      </c>
      <c r="J491" s="2">
        <f>VLOOKUP([jobnumber],OvalData[],MATCH(Table2[[#Headers],[Upset]],Table2[#Headers],0),0)</f>
        <v>2</v>
      </c>
      <c r="K491" s="2" t="str">
        <f>VLOOKUP([jobnumber],OvalData[],MATCH(Table2[[#Headers],[Guide Type]],Table2[#Headers],0),0)</f>
        <v>SN2-4 5/8-E</v>
      </c>
      <c r="L491" s="2" t="str">
        <f>VLOOKUP([jobnumber],OvalData[],MATCH(Table2[[#Headers],[Wall Angle]],Table2[#Headers],0),0)</f>
        <v xml:space="preserve"> 11 ft.- 8"</v>
      </c>
      <c r="M491" s="2" t="str">
        <f>VLOOKUP([jobnumber],OvalData[],MATCH(Table2[[#Headers],[Middle Angle]],Table2[#Headers],0),0)</f>
        <v xml:space="preserve"> 10 ft.- 4 1/ 2"</v>
      </c>
      <c r="N491" s="2" t="str">
        <f>VLOOKUP([jobnumber],OvalData[],MATCH(Table2[[#Headers],[Front Angle]],Table2[#Headers],0),0)</f>
        <v xml:space="preserve"> 10 ft.- 3"</v>
      </c>
      <c r="O491" s="2">
        <f>VLOOKUP([jobnumber],OvalData[],MATCH(Table2[[#Headers],[Pipe Center Line]],Table2[#Headers],0),0)</f>
        <v>131</v>
      </c>
      <c r="P491" s="2">
        <f>VLOOKUP([jobnumber],OvalData[],MATCH(Table2[[#Headers],[Heat Expansion Gap]],Table2[#Headers],0),0)</f>
        <v>0</v>
      </c>
      <c r="Q491" s="2">
        <f>VLOOKUP([jobnumber],OvalData[],MATCH(Table2[[#Headers],[Hanging Weight Closed]],Table2[#Headers],0),0)</f>
        <v>795</v>
      </c>
      <c r="R491" s="2">
        <f>VLOOKUP([jobnumber],OvalData[],MATCH(Table2[[#Headers],[Hanging Weight Open]],Table2[#Headers],0),0)</f>
        <v>140</v>
      </c>
      <c r="S491" s="2">
        <f>VLOOKUP([jobnumber],OvalData[],MATCH(Table2[[#Headers],[Initial Lever Arm]],Table2[#Headers],0),0)</f>
        <v>4.25</v>
      </c>
      <c r="T491" s="2">
        <f>VLOOKUP([jobnumber],OvalData[],MATCH(Table2[[#Headers],[Turns to Raise]],Table2[#Headers],0),0)</f>
        <v>3.5859999999999999</v>
      </c>
      <c r="U491" s="2">
        <f>VLOOKUP([jobnumber],OvalData[],MATCH(Table2[[#Headers],[Final Lever Arm]],Table2[#Headers],0),0)</f>
        <v>6.37</v>
      </c>
      <c r="V491" s="2">
        <f>VLOOKUP([jobnumber],OvalData[],MATCH(Table2[[#Headers],[Torque Required Closed]],Table2[#Headers],0),0)</f>
        <v>3377.9</v>
      </c>
      <c r="W491" s="2">
        <f>VLOOKUP([jobnumber],OvalData[],MATCH(Table2[[#Headers],[Torque Required Open]],Table2[#Headers],0),0)</f>
        <v>892</v>
      </c>
      <c r="X491" s="2">
        <f>VLOOKUP([jobnumber],OvalData[],MATCH(Table2[[#Headers],[Pre Turns]],Table2[#Headers],0),0)</f>
        <v>1.3332999999999999</v>
      </c>
      <c r="Y491" s="2">
        <f>VLOOKUP([jobnumber],OvalData[],MATCH(Table2[[#Headers],[Required Torque Per Turn]],Table2[#Headers],0),0)</f>
        <v>688</v>
      </c>
      <c r="Z491" s="2">
        <f>VLOOKUP([jobnumber],OvalData[],MATCH(Table2[[#Headers],[Total Turns]],Table2[#Headers],0),0)</f>
        <v>4.91</v>
      </c>
      <c r="AA491" s="2">
        <f>VLOOKUP([jobnumber],OvalData[],MATCH(Table2[[#Headers],[Grille Vision Section]],Table2[#Headers],0),0)</f>
        <v>0</v>
      </c>
      <c r="AB491" s="2">
        <f>VLOOKUP([jobnumber],OvalData[],MATCH(Table2[[#Headers],[Grille Amount]],Table2[#Headers],0),0)</f>
        <v>0</v>
      </c>
      <c r="AC491" s="2">
        <f>VLOOKUP([jobnumber],OvalData[],MATCH(Table2[[#Headers],[Grille Center]],Table2[#Headers],0),0)</f>
        <v>0</v>
      </c>
      <c r="AD491" s="2">
        <f>VLOOKUP([jobnumber],OvalData[],MATCH(Table2[[#Headers],[Grille Pattern]],Table2[#Headers],0),0)</f>
        <v>0</v>
      </c>
      <c r="AE491" s="2">
        <f>VLOOKUP([jobnumber],OvalData[],MATCH(Table2[[#Headers],[Grille First Tube]],Table2[#Headers],0),0)</f>
        <v>0</v>
      </c>
      <c r="AF491" s="2">
        <f>VLOOKUP([jobnumber],OvalData[],MATCH(Table2[[#Headers],[Grille Standard Tube]],Table2[#Headers],0),0)</f>
        <v>0</v>
      </c>
      <c r="AG491" s="2">
        <f>VLOOKUP([jobnumber],OvalData[],MATCH(Table2[[#Headers],[Grille Total Links]],Table2[#Headers],0),0)</f>
        <v>0</v>
      </c>
      <c r="AH491" s="2">
        <f>VLOOKUP([jobnumber],OvalData[],MATCH(Table2[[#Headers],[Grille Rods]],Table2[#Headers],0),0)</f>
        <v>0</v>
      </c>
      <c r="AI491" s="2">
        <f>VLOOKUP([jobnumber],OvalData[],MATCH(Table2[[#Headers],[Grille Rod Length]],Table2[#Headers],0),0)</f>
        <v>0</v>
      </c>
      <c r="AJ491" s="2">
        <f>VLOOKUP([jobnumber],OvalData[],MATCH(Table2[[#Headers],[slattype]],Table2[#Headers],0),0)</f>
        <v>2</v>
      </c>
      <c r="AK491" s="2">
        <f>VLOOKUP([jobnumber],OvalData[],MATCH(Table2[[#Headers],[slatgage]],Table2[#Headers],0),0)</f>
        <v>18</v>
      </c>
      <c r="AL491" s="2">
        <f>VLOOKUP([jobnumber],OvalData[],MATCH(Table2[[#Headers],[Numer of Top Slats]],Table2[#Headers],0),0)</f>
        <v>0</v>
      </c>
      <c r="AM491" s="2">
        <f>VLOOKUP([jobnumber],OvalData[],MATCH(Table2[[#Headers],[Number of Bottom Slats]],Table2[#Headers],0),0)</f>
        <v>0</v>
      </c>
      <c r="AN491" s="2">
        <f>VLOOKUP([jobnumber],OvalData[],MATCH(Table2[[#Headers],[Solid Bottom Height]],Table2[#Headers],0),0)</f>
        <v>0</v>
      </c>
      <c r="AO491" s="2" t="str">
        <f>VLOOKUP([jobnumber],OvalData[],MATCH(Table2[[#Headers],[slatlength]],Table2[#Headers],0),0)</f>
        <v xml:space="preserve"> 18 ft.- 5 7/ 8"</v>
      </c>
      <c r="AP491" s="2">
        <f>VLOOKUP([jobnumber],OvalData[],MATCH(Table2[[#Headers],[Bottom Slat Length]],Table2[#Headers],0),0)</f>
        <v>0</v>
      </c>
      <c r="AQ491" s="2">
        <f>VLOOKUP([jobnumber],OvalData[],MATCH(Table2[[#Headers],[Number of Perferated Slats]],Table2[#Headers],0),0)</f>
        <v>0</v>
      </c>
      <c r="AR491" s="2">
        <f>VLOOKUP([jobnumber],OvalData[],MATCH(Table2[[#Headers],[First Preferated Slat From End]],Table2[#Headers],0),0)</f>
        <v>0</v>
      </c>
      <c r="AS491" s="2">
        <f>VLOOKUP([jobnumber],OvalData[],MATCH(Table2[[#Headers],[First Preferated Slat From Bottom]],Table2[#Headers],0),0)</f>
        <v>0</v>
      </c>
      <c r="AT491" s="2">
        <f>VLOOKUP([jobnumber],OvalData[],MATCH(Table2[[#Headers],[Total Number of Slats]],Table2[#Headers],0),0)</f>
        <v>51</v>
      </c>
      <c r="AU491" s="2">
        <f>VLOOKUP([jobnumber],OvalData[],MATCH(Table2[[#Headers],[Bottom Bar Slope]],Table2[#Headers],0),0)</f>
        <v>0</v>
      </c>
      <c r="AV491" s="2">
        <f>VLOOKUP([jobnumber],OvalData[],MATCH(Table2[[#Headers],[Bottom Bar Weight]],Table2[#Headers],0),0)</f>
        <v>80.5</v>
      </c>
      <c r="AW491" s="2" t="str">
        <f>VLOOKUP([jobnumber],OvalData[],MATCH(Table2[[#Headers],[Outer Spring Gage]],Table2[#Headers],0),0)</f>
        <v>Null</v>
      </c>
      <c r="AX491" s="2" t="str">
        <f>VLOOKUP([jobnumber],OvalData[],MATCH(Table2[[#Headers],[Outer Spring OD]],Table2[#Headers],0),0)</f>
        <v>Null</v>
      </c>
      <c r="AY491" s="2" t="str">
        <f>VLOOKUP([jobnumber],OvalData[],MATCH(Table2[[#Headers],[Outer Spring Length]],Table2[#Headers],0),0)</f>
        <v>Null</v>
      </c>
      <c r="AZ491" s="2" t="str">
        <f>VLOOKUP([jobnumber],OvalData[],MATCH(Table2[[#Headers],[Outer Spring Stretch]],Table2[#Headers],0),0)</f>
        <v>Null</v>
      </c>
      <c r="BA491" s="2" t="str">
        <f>VLOOKUP([jobnumber],OvalData[],MATCH(Table2[[#Headers],[Outer Spring Torque]],Table2[#Headers],0),0)</f>
        <v>Null</v>
      </c>
      <c r="BB491" s="2" t="str">
        <f>VLOOKUP([jobnumber],OvalData[],MATCH(Table2[[#Headers],[Outer Spring Max Turns]],Table2[#Headers],0),0)</f>
        <v>Null</v>
      </c>
      <c r="BC491" s="2" t="str">
        <f>VLOOKUP([jobnumber],OvalData[],MATCH(Table2[[#Headers],[Outer Spring Weight]],Table2[#Headers],0),0)</f>
        <v>Null</v>
      </c>
      <c r="BD491" s="2" t="str">
        <f>VLOOKUP([jobnumber],OvalData[],MATCH(Table2[[#Headers],[Inner Spring Gage]],Table2[#Headers],0),0)</f>
        <v>Null</v>
      </c>
      <c r="BE491" s="2" t="str">
        <f>VLOOKUP([jobnumber],OvalData[],MATCH(Table2[[#Headers],[Inner Spring OD]],Table2[#Headers],0),0)</f>
        <v>Null</v>
      </c>
      <c r="BF491" s="2" t="str">
        <f>VLOOKUP([jobnumber],OvalData[],MATCH(Table2[[#Headers],[Inner Spring Length]],Table2[#Headers],0),0)</f>
        <v>Null</v>
      </c>
      <c r="BG491" s="2" t="str">
        <f>VLOOKUP([jobnumber],OvalData[],MATCH(Table2[[#Headers],[Inner Spring Stretch]],Table2[#Headers],0),0)</f>
        <v>Null</v>
      </c>
      <c r="BH491" s="2" t="str">
        <f>VLOOKUP([jobnumber],OvalData[],MATCH(Table2[[#Headers],[Inner Spring Torque]],Table2[#Headers],0),0)</f>
        <v>Null</v>
      </c>
      <c r="BI491" s="2" t="str">
        <f>VLOOKUP([jobnumber],OvalData[],MATCH(Table2[[#Headers],[Inner Spring Max Turns]],Table2[#Headers],0),0)</f>
        <v>Null</v>
      </c>
      <c r="BJ491" s="2" t="str">
        <f>VLOOKUP([jobnumber],OvalData[],MATCH(Table2[[#Headers],[Inner Spring Weight]],Table2[#Headers],0),0)</f>
        <v>Null</v>
      </c>
      <c r="BK491" s="2">
        <f>VLOOKUP([jobnumber],OvalData[],MATCH(Table2[[#Headers],[Cycles]],Table2[#Headers],0),0)</f>
        <v>0</v>
      </c>
      <c r="BL491" s="2">
        <f>VLOOKUP([jobnumber],OvalData[],MATCH(Table2[[#Headers],[Total Spring Torque]],Table2[#Headers],0),0)</f>
        <v>0</v>
      </c>
      <c r="BM491" s="2">
        <f>VLOOKUP([jobnumber],OvalData[],MATCH(Table2[[#Headers],[Total Spring Weight]],Table2[#Headers],0),0)</f>
        <v>0</v>
      </c>
      <c r="BN491" s="2">
        <f>VLOOKUP([jobnumber],OvalData[],MATCH(Table2[[#Headers],[Pipe Weight]],Table2[#Headers],0),0)</f>
        <v>688.24239999999998</v>
      </c>
      <c r="BO491" s="2">
        <f>VLOOKUP([jobnumber],OvalData[],MATCH(Table2[[#Headers],[Max Pipe Deflection]],Table2[#Headers],0),0)</f>
        <v>2309</v>
      </c>
      <c r="BP491" s="2">
        <f>VLOOKUP([jobnumber],OvalData[],MATCH(Table2[[#Headers],[Number Non-Insulated Wrap Slats]],Table2[#Headers],0),0)</f>
        <v>0</v>
      </c>
      <c r="BQ491" s="2">
        <f>VLOOKUP([jobnumber],OvalData[],MATCH(Table2[[#Headers],[Number of Insolated Top Slats]],Table2[#Headers],0),0)</f>
        <v>45</v>
      </c>
      <c r="BR491" s="2">
        <f>VLOOKUP([jobnumber],OvalData[],MATCH(Table2[[#Headers],[Insolated Total Slats]],Table2[#Headers],0),0)</f>
        <v>45</v>
      </c>
      <c r="BS491" s="2">
        <f>VLOOKUP([jobnumber],OvalData[],MATCH(Table2[[#Headers],[Number of Slats]],Table2[#Headers],0),0)</f>
        <v>44.69</v>
      </c>
      <c r="BT491" s="2">
        <f>VLOOKUP([jobnumber],OvalData[],MATCH(Table2[[#Headers],[Wrap]],Table2[#Headers],0),0)</f>
        <v>0</v>
      </c>
      <c r="BU491" s="2">
        <f>VLOOKUP([jobnumber],OvalData[],MATCH(Table2[[#Headers],[Wall Angle Thickness]],Table2[#Headers],0),0)</f>
        <v>0</v>
      </c>
      <c r="BV491" s="2">
        <f>VLOOKUP([jobnumber],OvalData[],MATCH(Table2[[#Headers],[windlocks]],Table2[#Headers],0),0)</f>
        <v>0</v>
      </c>
      <c r="BW491" s="2" t="str">
        <f>VLOOKUP([jobnumber],OvalData[],MATCH(Table2[[#Headers],[bottombartype]],Table2[#Headers],0),0)</f>
        <v>SPECIAL</v>
      </c>
      <c r="BX491" s="2">
        <f>VLOOKUP([jobnumber],OvalData[],MATCH(Table2[[#Headers],[endlockweight]],Table2[#Headers],0),0)</f>
        <v>0.17</v>
      </c>
      <c r="BY491" s="2">
        <f>VLOOKUP([jobnumber],OvalData[],MATCH(Table2[[#Headers],[Endlock Total Weight]],Table2[#Headers],0),0)</f>
        <v>7.5972999999999997</v>
      </c>
      <c r="BZ491" s="2">
        <f>VLOOKUP([jobnumber],OvalData[],MATCH(Table2[[#Headers],[Grille Weight]],Table2[#Headers],0),0)</f>
        <v>0</v>
      </c>
      <c r="CA491" s="2">
        <f>VLOOKUP([jobnumber],OvalData[],MATCH(Table2[[#Headers],[barrelrings]],Table2[#Headers],0),0)</f>
        <v>1</v>
      </c>
    </row>
    <row r="492" spans="2:79">
      <c r="B492" s="2" t="str">
        <f>VLOOKUP([jobnumber],OvalData[],MATCH(Table2[[#Headers],[Hand]],Table2[#Headers],0),0)</f>
        <v>RH</v>
      </c>
      <c r="C492" s="2" t="str">
        <f>VLOOKUP([jobnumber],OvalData[],MATCH(Table2[[#Headers],[Model]],Table2[#Headers],0),0)</f>
        <v>SFMPP</v>
      </c>
      <c r="D492" s="2" t="str">
        <f>VLOOKUP([jobnumber],OvalData[],MATCH(Table2[[#Headers],[width]],Table2[#Headers],0),0)</f>
        <v xml:space="preserve"> 18 ft.- 2"</v>
      </c>
      <c r="E492" s="2" t="str">
        <f>VLOOKUP([jobnumber],OvalData[],MATCH(Table2[[#Headers],[stopheight]],Table2[#Headers],0),0)</f>
        <v xml:space="preserve"> 10 ft.- 0"</v>
      </c>
      <c r="F492" s="2" t="str">
        <f>VLOOKUP([jobnumber],OvalData[],MATCH(Table2[[#Headers],[Between Brackets]],Table2[#Headers],0),0)</f>
        <v xml:space="preserve"> 18 ft.- 7 7/ 8"</v>
      </c>
      <c r="G492" s="2" t="str">
        <f>VLOOKUP([jobnumber],OvalData[],MATCH(Table2[[#Headers],[shell]],Table2[#Headers],0),0)</f>
        <v>6 INCH TUBE</v>
      </c>
      <c r="H492" s="2" t="str">
        <f>VLOOKUP([jobnumber],OvalData[],MATCH(Table2[[#Headers],[pipewidth]],Table2[#Headers],0),0)</f>
        <v xml:space="preserve"> 18 ft.- 1 3/ 8"</v>
      </c>
      <c r="I492" s="2">
        <f>VLOOKUP([jobnumber],OvalData[],MATCH(Table2[[#Headers],[Support Tubes]],Table2[#Headers],0),0)</f>
        <v>0</v>
      </c>
      <c r="J492" s="2">
        <f>VLOOKUP([jobnumber],OvalData[],MATCH(Table2[[#Headers],[Upset]],Table2[#Headers],0),0)</f>
        <v>2</v>
      </c>
      <c r="K492" s="2" t="str">
        <f>VLOOKUP([jobnumber],OvalData[],MATCH(Table2[[#Headers],[Guide Type]],Table2[#Headers],0),0)</f>
        <v>SN2-4 5/8-E</v>
      </c>
      <c r="L492" s="2" t="str">
        <f>VLOOKUP([jobnumber],OvalData[],MATCH(Table2[[#Headers],[Wall Angle]],Table2[#Headers],0),0)</f>
        <v xml:space="preserve"> 11 ft.- 8"</v>
      </c>
      <c r="M492" s="2" t="str">
        <f>VLOOKUP([jobnumber],OvalData[],MATCH(Table2[[#Headers],[Middle Angle]],Table2[#Headers],0),0)</f>
        <v xml:space="preserve"> 10 ft.- 4 1/ 2"</v>
      </c>
      <c r="N492" s="2" t="str">
        <f>VLOOKUP([jobnumber],OvalData[],MATCH(Table2[[#Headers],[Front Angle]],Table2[#Headers],0),0)</f>
        <v xml:space="preserve"> 10 ft.- 3"</v>
      </c>
      <c r="O492" s="2">
        <f>VLOOKUP([jobnumber],OvalData[],MATCH(Table2[[#Headers],[Pipe Center Line]],Table2[#Headers],0),0)</f>
        <v>131</v>
      </c>
      <c r="P492" s="2">
        <f>VLOOKUP([jobnumber],OvalData[],MATCH(Table2[[#Headers],[Heat Expansion Gap]],Table2[#Headers],0),0)</f>
        <v>0</v>
      </c>
      <c r="Q492" s="2">
        <f>VLOOKUP([jobnumber],OvalData[],MATCH(Table2[[#Headers],[Hanging Weight Closed]],Table2[#Headers],0),0)</f>
        <v>795</v>
      </c>
      <c r="R492" s="2">
        <f>VLOOKUP([jobnumber],OvalData[],MATCH(Table2[[#Headers],[Hanging Weight Open]],Table2[#Headers],0),0)</f>
        <v>140</v>
      </c>
      <c r="S492" s="2">
        <f>VLOOKUP([jobnumber],OvalData[],MATCH(Table2[[#Headers],[Initial Lever Arm]],Table2[#Headers],0),0)</f>
        <v>4.25</v>
      </c>
      <c r="T492" s="2">
        <f>VLOOKUP([jobnumber],OvalData[],MATCH(Table2[[#Headers],[Turns to Raise]],Table2[#Headers],0),0)</f>
        <v>3.5859999999999999</v>
      </c>
      <c r="U492" s="2">
        <f>VLOOKUP([jobnumber],OvalData[],MATCH(Table2[[#Headers],[Final Lever Arm]],Table2[#Headers],0),0)</f>
        <v>6.37</v>
      </c>
      <c r="V492" s="2">
        <f>VLOOKUP([jobnumber],OvalData[],MATCH(Table2[[#Headers],[Torque Required Closed]],Table2[#Headers],0),0)</f>
        <v>3377.9</v>
      </c>
      <c r="W492" s="2">
        <f>VLOOKUP([jobnumber],OvalData[],MATCH(Table2[[#Headers],[Torque Required Open]],Table2[#Headers],0),0)</f>
        <v>892</v>
      </c>
      <c r="X492" s="2">
        <f>VLOOKUP([jobnumber],OvalData[],MATCH(Table2[[#Headers],[Pre Turns]],Table2[#Headers],0),0)</f>
        <v>1.3332999999999999</v>
      </c>
      <c r="Y492" s="2">
        <f>VLOOKUP([jobnumber],OvalData[],MATCH(Table2[[#Headers],[Required Torque Per Turn]],Table2[#Headers],0),0)</f>
        <v>688</v>
      </c>
      <c r="Z492" s="2">
        <f>VLOOKUP([jobnumber],OvalData[],MATCH(Table2[[#Headers],[Total Turns]],Table2[#Headers],0),0)</f>
        <v>4.91</v>
      </c>
      <c r="AA492" s="2">
        <f>VLOOKUP([jobnumber],OvalData[],MATCH(Table2[[#Headers],[Grille Vision Section]],Table2[#Headers],0),0)</f>
        <v>0</v>
      </c>
      <c r="AB492" s="2">
        <f>VLOOKUP([jobnumber],OvalData[],MATCH(Table2[[#Headers],[Grille Amount]],Table2[#Headers],0),0)</f>
        <v>0</v>
      </c>
      <c r="AC492" s="2">
        <f>VLOOKUP([jobnumber],OvalData[],MATCH(Table2[[#Headers],[Grille Center]],Table2[#Headers],0),0)</f>
        <v>0</v>
      </c>
      <c r="AD492" s="2">
        <f>VLOOKUP([jobnumber],OvalData[],MATCH(Table2[[#Headers],[Grille Pattern]],Table2[#Headers],0),0)</f>
        <v>0</v>
      </c>
      <c r="AE492" s="2">
        <f>VLOOKUP([jobnumber],OvalData[],MATCH(Table2[[#Headers],[Grille First Tube]],Table2[#Headers],0),0)</f>
        <v>0</v>
      </c>
      <c r="AF492" s="2">
        <f>VLOOKUP([jobnumber],OvalData[],MATCH(Table2[[#Headers],[Grille Standard Tube]],Table2[#Headers],0),0)</f>
        <v>0</v>
      </c>
      <c r="AG492" s="2">
        <f>VLOOKUP([jobnumber],OvalData[],MATCH(Table2[[#Headers],[Grille Total Links]],Table2[#Headers],0),0)</f>
        <v>0</v>
      </c>
      <c r="AH492" s="2">
        <f>VLOOKUP([jobnumber],OvalData[],MATCH(Table2[[#Headers],[Grille Rods]],Table2[#Headers],0),0)</f>
        <v>0</v>
      </c>
      <c r="AI492" s="2">
        <f>VLOOKUP([jobnumber],OvalData[],MATCH(Table2[[#Headers],[Grille Rod Length]],Table2[#Headers],0),0)</f>
        <v>0</v>
      </c>
      <c r="AJ492" s="2">
        <f>VLOOKUP([jobnumber],OvalData[],MATCH(Table2[[#Headers],[slattype]],Table2[#Headers],0),0)</f>
        <v>2</v>
      </c>
      <c r="AK492" s="2">
        <f>VLOOKUP([jobnumber],OvalData[],MATCH(Table2[[#Headers],[slatgage]],Table2[#Headers],0),0)</f>
        <v>18</v>
      </c>
      <c r="AL492" s="2">
        <f>VLOOKUP([jobnumber],OvalData[],MATCH(Table2[[#Headers],[Numer of Top Slats]],Table2[#Headers],0),0)</f>
        <v>0</v>
      </c>
      <c r="AM492" s="2">
        <f>VLOOKUP([jobnumber],OvalData[],MATCH(Table2[[#Headers],[Number of Bottom Slats]],Table2[#Headers],0),0)</f>
        <v>0</v>
      </c>
      <c r="AN492" s="2">
        <f>VLOOKUP([jobnumber],OvalData[],MATCH(Table2[[#Headers],[Solid Bottom Height]],Table2[#Headers],0),0)</f>
        <v>0</v>
      </c>
      <c r="AO492" s="2" t="str">
        <f>VLOOKUP([jobnumber],OvalData[],MATCH(Table2[[#Headers],[slatlength]],Table2[#Headers],0),0)</f>
        <v xml:space="preserve"> 18 ft.- 5 7/ 8"</v>
      </c>
      <c r="AP492" s="2">
        <f>VLOOKUP([jobnumber],OvalData[],MATCH(Table2[[#Headers],[Bottom Slat Length]],Table2[#Headers],0),0)</f>
        <v>0</v>
      </c>
      <c r="AQ492" s="2">
        <f>VLOOKUP([jobnumber],OvalData[],MATCH(Table2[[#Headers],[Number of Perferated Slats]],Table2[#Headers],0),0)</f>
        <v>0</v>
      </c>
      <c r="AR492" s="2">
        <f>VLOOKUP([jobnumber],OvalData[],MATCH(Table2[[#Headers],[First Preferated Slat From End]],Table2[#Headers],0),0)</f>
        <v>0</v>
      </c>
      <c r="AS492" s="2">
        <f>VLOOKUP([jobnumber],OvalData[],MATCH(Table2[[#Headers],[First Preferated Slat From Bottom]],Table2[#Headers],0),0)</f>
        <v>0</v>
      </c>
      <c r="AT492" s="2">
        <f>VLOOKUP([jobnumber],OvalData[],MATCH(Table2[[#Headers],[Total Number of Slats]],Table2[#Headers],0),0)</f>
        <v>51</v>
      </c>
      <c r="AU492" s="2">
        <f>VLOOKUP([jobnumber],OvalData[],MATCH(Table2[[#Headers],[Bottom Bar Slope]],Table2[#Headers],0),0)</f>
        <v>0</v>
      </c>
      <c r="AV492" s="2">
        <f>VLOOKUP([jobnumber],OvalData[],MATCH(Table2[[#Headers],[Bottom Bar Weight]],Table2[#Headers],0),0)</f>
        <v>80.5</v>
      </c>
      <c r="AW492" s="2" t="str">
        <f>VLOOKUP([jobnumber],OvalData[],MATCH(Table2[[#Headers],[Outer Spring Gage]],Table2[#Headers],0),0)</f>
        <v>Null</v>
      </c>
      <c r="AX492" s="2" t="str">
        <f>VLOOKUP([jobnumber],OvalData[],MATCH(Table2[[#Headers],[Outer Spring OD]],Table2[#Headers],0),0)</f>
        <v>Null</v>
      </c>
      <c r="AY492" s="2" t="str">
        <f>VLOOKUP([jobnumber],OvalData[],MATCH(Table2[[#Headers],[Outer Spring Length]],Table2[#Headers],0),0)</f>
        <v>Null</v>
      </c>
      <c r="AZ492" s="2" t="str">
        <f>VLOOKUP([jobnumber],OvalData[],MATCH(Table2[[#Headers],[Outer Spring Stretch]],Table2[#Headers],0),0)</f>
        <v>Null</v>
      </c>
      <c r="BA492" s="2" t="str">
        <f>VLOOKUP([jobnumber],OvalData[],MATCH(Table2[[#Headers],[Outer Spring Torque]],Table2[#Headers],0),0)</f>
        <v>Null</v>
      </c>
      <c r="BB492" s="2" t="str">
        <f>VLOOKUP([jobnumber],OvalData[],MATCH(Table2[[#Headers],[Outer Spring Max Turns]],Table2[#Headers],0),0)</f>
        <v>Null</v>
      </c>
      <c r="BC492" s="2" t="str">
        <f>VLOOKUP([jobnumber],OvalData[],MATCH(Table2[[#Headers],[Outer Spring Weight]],Table2[#Headers],0),0)</f>
        <v>Null</v>
      </c>
      <c r="BD492" s="2" t="str">
        <f>VLOOKUP([jobnumber],OvalData[],MATCH(Table2[[#Headers],[Inner Spring Gage]],Table2[#Headers],0),0)</f>
        <v>Null</v>
      </c>
      <c r="BE492" s="2" t="str">
        <f>VLOOKUP([jobnumber],OvalData[],MATCH(Table2[[#Headers],[Inner Spring OD]],Table2[#Headers],0),0)</f>
        <v>Null</v>
      </c>
      <c r="BF492" s="2" t="str">
        <f>VLOOKUP([jobnumber],OvalData[],MATCH(Table2[[#Headers],[Inner Spring Length]],Table2[#Headers],0),0)</f>
        <v>Null</v>
      </c>
      <c r="BG492" s="2" t="str">
        <f>VLOOKUP([jobnumber],OvalData[],MATCH(Table2[[#Headers],[Inner Spring Stretch]],Table2[#Headers],0),0)</f>
        <v>Null</v>
      </c>
      <c r="BH492" s="2" t="str">
        <f>VLOOKUP([jobnumber],OvalData[],MATCH(Table2[[#Headers],[Inner Spring Torque]],Table2[#Headers],0),0)</f>
        <v>Null</v>
      </c>
      <c r="BI492" s="2" t="str">
        <f>VLOOKUP([jobnumber],OvalData[],MATCH(Table2[[#Headers],[Inner Spring Max Turns]],Table2[#Headers],0),0)</f>
        <v>Null</v>
      </c>
      <c r="BJ492" s="2" t="str">
        <f>VLOOKUP([jobnumber],OvalData[],MATCH(Table2[[#Headers],[Inner Spring Weight]],Table2[#Headers],0),0)</f>
        <v>Null</v>
      </c>
      <c r="BK492" s="2">
        <f>VLOOKUP([jobnumber],OvalData[],MATCH(Table2[[#Headers],[Cycles]],Table2[#Headers],0),0)</f>
        <v>0</v>
      </c>
      <c r="BL492" s="2">
        <f>VLOOKUP([jobnumber],OvalData[],MATCH(Table2[[#Headers],[Total Spring Torque]],Table2[#Headers],0),0)</f>
        <v>0</v>
      </c>
      <c r="BM492" s="2">
        <f>VLOOKUP([jobnumber],OvalData[],MATCH(Table2[[#Headers],[Total Spring Weight]],Table2[#Headers],0),0)</f>
        <v>0</v>
      </c>
      <c r="BN492" s="2">
        <f>VLOOKUP([jobnumber],OvalData[],MATCH(Table2[[#Headers],[Pipe Weight]],Table2[#Headers],0),0)</f>
        <v>688.24239999999998</v>
      </c>
      <c r="BO492" s="2">
        <f>VLOOKUP([jobnumber],OvalData[],MATCH(Table2[[#Headers],[Max Pipe Deflection]],Table2[#Headers],0),0)</f>
        <v>2309</v>
      </c>
      <c r="BP492" s="2">
        <f>VLOOKUP([jobnumber],OvalData[],MATCH(Table2[[#Headers],[Number Non-Insulated Wrap Slats]],Table2[#Headers],0),0)</f>
        <v>0</v>
      </c>
      <c r="BQ492" s="2">
        <f>VLOOKUP([jobnumber],OvalData[],MATCH(Table2[[#Headers],[Number of Insolated Top Slats]],Table2[#Headers],0),0)</f>
        <v>45</v>
      </c>
      <c r="BR492" s="2">
        <f>VLOOKUP([jobnumber],OvalData[],MATCH(Table2[[#Headers],[Insolated Total Slats]],Table2[#Headers],0),0)</f>
        <v>45</v>
      </c>
      <c r="BS492" s="2">
        <f>VLOOKUP([jobnumber],OvalData[],MATCH(Table2[[#Headers],[Number of Slats]],Table2[#Headers],0),0)</f>
        <v>44.69</v>
      </c>
      <c r="BT492" s="2">
        <f>VLOOKUP([jobnumber],OvalData[],MATCH(Table2[[#Headers],[Wrap]],Table2[#Headers],0),0)</f>
        <v>0</v>
      </c>
      <c r="BU492" s="2">
        <f>VLOOKUP([jobnumber],OvalData[],MATCH(Table2[[#Headers],[Wall Angle Thickness]],Table2[#Headers],0),0)</f>
        <v>0</v>
      </c>
      <c r="BV492" s="2">
        <f>VLOOKUP([jobnumber],OvalData[],MATCH(Table2[[#Headers],[windlocks]],Table2[#Headers],0),0)</f>
        <v>0</v>
      </c>
      <c r="BW492" s="2" t="str">
        <f>VLOOKUP([jobnumber],OvalData[],MATCH(Table2[[#Headers],[bottombartype]],Table2[#Headers],0),0)</f>
        <v>SPECIAL</v>
      </c>
      <c r="BX492" s="2">
        <f>VLOOKUP([jobnumber],OvalData[],MATCH(Table2[[#Headers],[endlockweight]],Table2[#Headers],0),0)</f>
        <v>0.17</v>
      </c>
      <c r="BY492" s="2">
        <f>VLOOKUP([jobnumber],OvalData[],MATCH(Table2[[#Headers],[Endlock Total Weight]],Table2[#Headers],0),0)</f>
        <v>7.5972999999999997</v>
      </c>
      <c r="BZ492" s="2">
        <f>VLOOKUP([jobnumber],OvalData[],MATCH(Table2[[#Headers],[Grille Weight]],Table2[#Headers],0),0)</f>
        <v>0</v>
      </c>
      <c r="CA492" s="2">
        <f>VLOOKUP([jobnumber],OvalData[],MATCH(Table2[[#Headers],[barrelrings]],Table2[#Headers],0),0)</f>
        <v>1</v>
      </c>
    </row>
    <row r="493" spans="2:79">
      <c r="B493" s="2" t="str">
        <f>VLOOKUP([jobnumber],OvalData[],MATCH(Table2[[#Headers],[Hand]],Table2[#Headers],0),0)</f>
        <v>RH</v>
      </c>
      <c r="C493" s="2" t="str">
        <f>VLOOKUP([jobnumber],OvalData[],MATCH(Table2[[#Headers],[Model]],Table2[#Headers],0),0)</f>
        <v>SFMPP</v>
      </c>
      <c r="D493" s="2" t="str">
        <f>VLOOKUP([jobnumber],OvalData[],MATCH(Table2[[#Headers],[width]],Table2[#Headers],0),0)</f>
        <v xml:space="preserve"> 18 ft.- 2"</v>
      </c>
      <c r="E493" s="2" t="str">
        <f>VLOOKUP([jobnumber],OvalData[],MATCH(Table2[[#Headers],[stopheight]],Table2[#Headers],0),0)</f>
        <v xml:space="preserve"> 10 ft.- 0"</v>
      </c>
      <c r="F493" s="2" t="str">
        <f>VLOOKUP([jobnumber],OvalData[],MATCH(Table2[[#Headers],[Between Brackets]],Table2[#Headers],0),0)</f>
        <v xml:space="preserve"> 18 ft.- 7 7/ 8"</v>
      </c>
      <c r="G493" s="2" t="str">
        <f>VLOOKUP([jobnumber],OvalData[],MATCH(Table2[[#Headers],[shell]],Table2[#Headers],0),0)</f>
        <v>6 INCH TUBE</v>
      </c>
      <c r="H493" s="2" t="str">
        <f>VLOOKUP([jobnumber],OvalData[],MATCH(Table2[[#Headers],[pipewidth]],Table2[#Headers],0),0)</f>
        <v xml:space="preserve"> 18 ft.- 1 3/ 8"</v>
      </c>
      <c r="I493" s="2">
        <f>VLOOKUP([jobnumber],OvalData[],MATCH(Table2[[#Headers],[Support Tubes]],Table2[#Headers],0),0)</f>
        <v>0</v>
      </c>
      <c r="J493" s="2">
        <f>VLOOKUP([jobnumber],OvalData[],MATCH(Table2[[#Headers],[Upset]],Table2[#Headers],0),0)</f>
        <v>2</v>
      </c>
      <c r="K493" s="2" t="str">
        <f>VLOOKUP([jobnumber],OvalData[],MATCH(Table2[[#Headers],[Guide Type]],Table2[#Headers],0),0)</f>
        <v>SN2-4 5/8-E</v>
      </c>
      <c r="L493" s="2" t="str">
        <f>VLOOKUP([jobnumber],OvalData[],MATCH(Table2[[#Headers],[Wall Angle]],Table2[#Headers],0),0)</f>
        <v xml:space="preserve"> 11 ft.- 8"</v>
      </c>
      <c r="M493" s="2" t="str">
        <f>VLOOKUP([jobnumber],OvalData[],MATCH(Table2[[#Headers],[Middle Angle]],Table2[#Headers],0),0)</f>
        <v xml:space="preserve"> 10 ft.- 4 1/ 2"</v>
      </c>
      <c r="N493" s="2" t="str">
        <f>VLOOKUP([jobnumber],OvalData[],MATCH(Table2[[#Headers],[Front Angle]],Table2[#Headers],0),0)</f>
        <v xml:space="preserve"> 10 ft.- 3"</v>
      </c>
      <c r="O493" s="2">
        <f>VLOOKUP([jobnumber],OvalData[],MATCH(Table2[[#Headers],[Pipe Center Line]],Table2[#Headers],0),0)</f>
        <v>131</v>
      </c>
      <c r="P493" s="2">
        <f>VLOOKUP([jobnumber],OvalData[],MATCH(Table2[[#Headers],[Heat Expansion Gap]],Table2[#Headers],0),0)</f>
        <v>0</v>
      </c>
      <c r="Q493" s="2">
        <f>VLOOKUP([jobnumber],OvalData[],MATCH(Table2[[#Headers],[Hanging Weight Closed]],Table2[#Headers],0),0)</f>
        <v>795</v>
      </c>
      <c r="R493" s="2">
        <f>VLOOKUP([jobnumber],OvalData[],MATCH(Table2[[#Headers],[Hanging Weight Open]],Table2[#Headers],0),0)</f>
        <v>140</v>
      </c>
      <c r="S493" s="2">
        <f>VLOOKUP([jobnumber],OvalData[],MATCH(Table2[[#Headers],[Initial Lever Arm]],Table2[#Headers],0),0)</f>
        <v>4.25</v>
      </c>
      <c r="T493" s="2">
        <f>VLOOKUP([jobnumber],OvalData[],MATCH(Table2[[#Headers],[Turns to Raise]],Table2[#Headers],0),0)</f>
        <v>3.5859999999999999</v>
      </c>
      <c r="U493" s="2">
        <f>VLOOKUP([jobnumber],OvalData[],MATCH(Table2[[#Headers],[Final Lever Arm]],Table2[#Headers],0),0)</f>
        <v>6.37</v>
      </c>
      <c r="V493" s="2">
        <f>VLOOKUP([jobnumber],OvalData[],MATCH(Table2[[#Headers],[Torque Required Closed]],Table2[#Headers],0),0)</f>
        <v>3377.9</v>
      </c>
      <c r="W493" s="2">
        <f>VLOOKUP([jobnumber],OvalData[],MATCH(Table2[[#Headers],[Torque Required Open]],Table2[#Headers],0),0)</f>
        <v>892</v>
      </c>
      <c r="X493" s="2">
        <f>VLOOKUP([jobnumber],OvalData[],MATCH(Table2[[#Headers],[Pre Turns]],Table2[#Headers],0),0)</f>
        <v>1.3332999999999999</v>
      </c>
      <c r="Y493" s="2">
        <f>VLOOKUP([jobnumber],OvalData[],MATCH(Table2[[#Headers],[Required Torque Per Turn]],Table2[#Headers],0),0)</f>
        <v>688</v>
      </c>
      <c r="Z493" s="2">
        <f>VLOOKUP([jobnumber],OvalData[],MATCH(Table2[[#Headers],[Total Turns]],Table2[#Headers],0),0)</f>
        <v>4.91</v>
      </c>
      <c r="AA493" s="2">
        <f>VLOOKUP([jobnumber],OvalData[],MATCH(Table2[[#Headers],[Grille Vision Section]],Table2[#Headers],0),0)</f>
        <v>0</v>
      </c>
      <c r="AB493" s="2">
        <f>VLOOKUP([jobnumber],OvalData[],MATCH(Table2[[#Headers],[Grille Amount]],Table2[#Headers],0),0)</f>
        <v>0</v>
      </c>
      <c r="AC493" s="2">
        <f>VLOOKUP([jobnumber],OvalData[],MATCH(Table2[[#Headers],[Grille Center]],Table2[#Headers],0),0)</f>
        <v>0</v>
      </c>
      <c r="AD493" s="2">
        <f>VLOOKUP([jobnumber],OvalData[],MATCH(Table2[[#Headers],[Grille Pattern]],Table2[#Headers],0),0)</f>
        <v>0</v>
      </c>
      <c r="AE493" s="2">
        <f>VLOOKUP([jobnumber],OvalData[],MATCH(Table2[[#Headers],[Grille First Tube]],Table2[#Headers],0),0)</f>
        <v>0</v>
      </c>
      <c r="AF493" s="2">
        <f>VLOOKUP([jobnumber],OvalData[],MATCH(Table2[[#Headers],[Grille Standard Tube]],Table2[#Headers],0),0)</f>
        <v>0</v>
      </c>
      <c r="AG493" s="2">
        <f>VLOOKUP([jobnumber],OvalData[],MATCH(Table2[[#Headers],[Grille Total Links]],Table2[#Headers],0),0)</f>
        <v>0</v>
      </c>
      <c r="AH493" s="2">
        <f>VLOOKUP([jobnumber],OvalData[],MATCH(Table2[[#Headers],[Grille Rods]],Table2[#Headers],0),0)</f>
        <v>0</v>
      </c>
      <c r="AI493" s="2">
        <f>VLOOKUP([jobnumber],OvalData[],MATCH(Table2[[#Headers],[Grille Rod Length]],Table2[#Headers],0),0)</f>
        <v>0</v>
      </c>
      <c r="AJ493" s="2">
        <f>VLOOKUP([jobnumber],OvalData[],MATCH(Table2[[#Headers],[slattype]],Table2[#Headers],0),0)</f>
        <v>2</v>
      </c>
      <c r="AK493" s="2">
        <f>VLOOKUP([jobnumber],OvalData[],MATCH(Table2[[#Headers],[slatgage]],Table2[#Headers],0),0)</f>
        <v>18</v>
      </c>
      <c r="AL493" s="2">
        <f>VLOOKUP([jobnumber],OvalData[],MATCH(Table2[[#Headers],[Numer of Top Slats]],Table2[#Headers],0),0)</f>
        <v>0</v>
      </c>
      <c r="AM493" s="2">
        <f>VLOOKUP([jobnumber],OvalData[],MATCH(Table2[[#Headers],[Number of Bottom Slats]],Table2[#Headers],0),0)</f>
        <v>0</v>
      </c>
      <c r="AN493" s="2">
        <f>VLOOKUP([jobnumber],OvalData[],MATCH(Table2[[#Headers],[Solid Bottom Height]],Table2[#Headers],0),0)</f>
        <v>0</v>
      </c>
      <c r="AO493" s="2" t="str">
        <f>VLOOKUP([jobnumber],OvalData[],MATCH(Table2[[#Headers],[slatlength]],Table2[#Headers],0),0)</f>
        <v xml:space="preserve"> 18 ft.- 5 7/ 8"</v>
      </c>
      <c r="AP493" s="2">
        <f>VLOOKUP([jobnumber],OvalData[],MATCH(Table2[[#Headers],[Bottom Slat Length]],Table2[#Headers],0),0)</f>
        <v>0</v>
      </c>
      <c r="AQ493" s="2">
        <f>VLOOKUP([jobnumber],OvalData[],MATCH(Table2[[#Headers],[Number of Perferated Slats]],Table2[#Headers],0),0)</f>
        <v>0</v>
      </c>
      <c r="AR493" s="2">
        <f>VLOOKUP([jobnumber],OvalData[],MATCH(Table2[[#Headers],[First Preferated Slat From End]],Table2[#Headers],0),0)</f>
        <v>0</v>
      </c>
      <c r="AS493" s="2">
        <f>VLOOKUP([jobnumber],OvalData[],MATCH(Table2[[#Headers],[First Preferated Slat From Bottom]],Table2[#Headers],0),0)</f>
        <v>0</v>
      </c>
      <c r="AT493" s="2">
        <f>VLOOKUP([jobnumber],OvalData[],MATCH(Table2[[#Headers],[Total Number of Slats]],Table2[#Headers],0),0)</f>
        <v>51</v>
      </c>
      <c r="AU493" s="2">
        <f>VLOOKUP([jobnumber],OvalData[],MATCH(Table2[[#Headers],[Bottom Bar Slope]],Table2[#Headers],0),0)</f>
        <v>0</v>
      </c>
      <c r="AV493" s="2">
        <f>VLOOKUP([jobnumber],OvalData[],MATCH(Table2[[#Headers],[Bottom Bar Weight]],Table2[#Headers],0),0)</f>
        <v>80.5</v>
      </c>
      <c r="AW493" s="2" t="str">
        <f>VLOOKUP([jobnumber],OvalData[],MATCH(Table2[[#Headers],[Outer Spring Gage]],Table2[#Headers],0),0)</f>
        <v>Null</v>
      </c>
      <c r="AX493" s="2" t="str">
        <f>VLOOKUP([jobnumber],OvalData[],MATCH(Table2[[#Headers],[Outer Spring OD]],Table2[#Headers],0),0)</f>
        <v>Null</v>
      </c>
      <c r="AY493" s="2" t="str">
        <f>VLOOKUP([jobnumber],OvalData[],MATCH(Table2[[#Headers],[Outer Spring Length]],Table2[#Headers],0),0)</f>
        <v>Null</v>
      </c>
      <c r="AZ493" s="2" t="str">
        <f>VLOOKUP([jobnumber],OvalData[],MATCH(Table2[[#Headers],[Outer Spring Stretch]],Table2[#Headers],0),0)</f>
        <v>Null</v>
      </c>
      <c r="BA493" s="2" t="str">
        <f>VLOOKUP([jobnumber],OvalData[],MATCH(Table2[[#Headers],[Outer Spring Torque]],Table2[#Headers],0),0)</f>
        <v>Null</v>
      </c>
      <c r="BB493" s="2" t="str">
        <f>VLOOKUP([jobnumber],OvalData[],MATCH(Table2[[#Headers],[Outer Spring Max Turns]],Table2[#Headers],0),0)</f>
        <v>Null</v>
      </c>
      <c r="BC493" s="2" t="str">
        <f>VLOOKUP([jobnumber],OvalData[],MATCH(Table2[[#Headers],[Outer Spring Weight]],Table2[#Headers],0),0)</f>
        <v>Null</v>
      </c>
      <c r="BD493" s="2" t="str">
        <f>VLOOKUP([jobnumber],OvalData[],MATCH(Table2[[#Headers],[Inner Spring Gage]],Table2[#Headers],0),0)</f>
        <v>Null</v>
      </c>
      <c r="BE493" s="2" t="str">
        <f>VLOOKUP([jobnumber],OvalData[],MATCH(Table2[[#Headers],[Inner Spring OD]],Table2[#Headers],0),0)</f>
        <v>Null</v>
      </c>
      <c r="BF493" s="2" t="str">
        <f>VLOOKUP([jobnumber],OvalData[],MATCH(Table2[[#Headers],[Inner Spring Length]],Table2[#Headers],0),0)</f>
        <v>Null</v>
      </c>
      <c r="BG493" s="2" t="str">
        <f>VLOOKUP([jobnumber],OvalData[],MATCH(Table2[[#Headers],[Inner Spring Stretch]],Table2[#Headers],0),0)</f>
        <v>Null</v>
      </c>
      <c r="BH493" s="2" t="str">
        <f>VLOOKUP([jobnumber],OvalData[],MATCH(Table2[[#Headers],[Inner Spring Torque]],Table2[#Headers],0),0)</f>
        <v>Null</v>
      </c>
      <c r="BI493" s="2" t="str">
        <f>VLOOKUP([jobnumber],OvalData[],MATCH(Table2[[#Headers],[Inner Spring Max Turns]],Table2[#Headers],0),0)</f>
        <v>Null</v>
      </c>
      <c r="BJ493" s="2" t="str">
        <f>VLOOKUP([jobnumber],OvalData[],MATCH(Table2[[#Headers],[Inner Spring Weight]],Table2[#Headers],0),0)</f>
        <v>Null</v>
      </c>
      <c r="BK493" s="2">
        <f>VLOOKUP([jobnumber],OvalData[],MATCH(Table2[[#Headers],[Cycles]],Table2[#Headers],0),0)</f>
        <v>0</v>
      </c>
      <c r="BL493" s="2">
        <f>VLOOKUP([jobnumber],OvalData[],MATCH(Table2[[#Headers],[Total Spring Torque]],Table2[#Headers],0),0)</f>
        <v>0</v>
      </c>
      <c r="BM493" s="2">
        <f>VLOOKUP([jobnumber],OvalData[],MATCH(Table2[[#Headers],[Total Spring Weight]],Table2[#Headers],0),0)</f>
        <v>0</v>
      </c>
      <c r="BN493" s="2">
        <f>VLOOKUP([jobnumber],OvalData[],MATCH(Table2[[#Headers],[Pipe Weight]],Table2[#Headers],0),0)</f>
        <v>688.24239999999998</v>
      </c>
      <c r="BO493" s="2">
        <f>VLOOKUP([jobnumber],OvalData[],MATCH(Table2[[#Headers],[Max Pipe Deflection]],Table2[#Headers],0),0)</f>
        <v>2309</v>
      </c>
      <c r="BP493" s="2">
        <f>VLOOKUP([jobnumber],OvalData[],MATCH(Table2[[#Headers],[Number Non-Insulated Wrap Slats]],Table2[#Headers],0),0)</f>
        <v>0</v>
      </c>
      <c r="BQ493" s="2">
        <f>VLOOKUP([jobnumber],OvalData[],MATCH(Table2[[#Headers],[Number of Insolated Top Slats]],Table2[#Headers],0),0)</f>
        <v>45</v>
      </c>
      <c r="BR493" s="2">
        <f>VLOOKUP([jobnumber],OvalData[],MATCH(Table2[[#Headers],[Insolated Total Slats]],Table2[#Headers],0),0)</f>
        <v>45</v>
      </c>
      <c r="BS493" s="2">
        <f>VLOOKUP([jobnumber],OvalData[],MATCH(Table2[[#Headers],[Number of Slats]],Table2[#Headers],0),0)</f>
        <v>44.69</v>
      </c>
      <c r="BT493" s="2">
        <f>VLOOKUP([jobnumber],OvalData[],MATCH(Table2[[#Headers],[Wrap]],Table2[#Headers],0),0)</f>
        <v>0</v>
      </c>
      <c r="BU493" s="2">
        <f>VLOOKUP([jobnumber],OvalData[],MATCH(Table2[[#Headers],[Wall Angle Thickness]],Table2[#Headers],0),0)</f>
        <v>0</v>
      </c>
      <c r="BV493" s="2">
        <f>VLOOKUP([jobnumber],OvalData[],MATCH(Table2[[#Headers],[windlocks]],Table2[#Headers],0),0)</f>
        <v>0</v>
      </c>
      <c r="BW493" s="2" t="str">
        <f>VLOOKUP([jobnumber],OvalData[],MATCH(Table2[[#Headers],[bottombartype]],Table2[#Headers],0),0)</f>
        <v>SPECIAL</v>
      </c>
      <c r="BX493" s="2">
        <f>VLOOKUP([jobnumber],OvalData[],MATCH(Table2[[#Headers],[endlockweight]],Table2[#Headers],0),0)</f>
        <v>0.17</v>
      </c>
      <c r="BY493" s="2">
        <f>VLOOKUP([jobnumber],OvalData[],MATCH(Table2[[#Headers],[Endlock Total Weight]],Table2[#Headers],0),0)</f>
        <v>7.5972999999999997</v>
      </c>
      <c r="BZ493" s="2">
        <f>VLOOKUP([jobnumber],OvalData[],MATCH(Table2[[#Headers],[Grille Weight]],Table2[#Headers],0),0)</f>
        <v>0</v>
      </c>
      <c r="CA493" s="2">
        <f>VLOOKUP([jobnumber],OvalData[],MATCH(Table2[[#Headers],[barrelrings]],Table2[#Headers],0),0)</f>
        <v>1</v>
      </c>
    </row>
    <row r="494" spans="2:79">
      <c r="B494" s="2" t="str">
        <f>VLOOKUP([jobnumber],OvalData[],MATCH(Table2[[#Headers],[Hand]],Table2[#Headers],0),0)</f>
        <v>RH</v>
      </c>
      <c r="C494" s="2" t="str">
        <f>VLOOKUP([jobnumber],OvalData[],MATCH(Table2[[#Headers],[Model]],Table2[#Headers],0),0)</f>
        <v>SFMPP</v>
      </c>
      <c r="D494" s="2" t="str">
        <f>VLOOKUP([jobnumber],OvalData[],MATCH(Table2[[#Headers],[width]],Table2[#Headers],0),0)</f>
        <v xml:space="preserve"> 18 ft.- 2"</v>
      </c>
      <c r="E494" s="2" t="str">
        <f>VLOOKUP([jobnumber],OvalData[],MATCH(Table2[[#Headers],[stopheight]],Table2[#Headers],0),0)</f>
        <v xml:space="preserve"> 10 ft.- 0"</v>
      </c>
      <c r="F494" s="2" t="str">
        <f>VLOOKUP([jobnumber],OvalData[],MATCH(Table2[[#Headers],[Between Brackets]],Table2[#Headers],0),0)</f>
        <v xml:space="preserve"> 18 ft.- 7 7/ 8"</v>
      </c>
      <c r="G494" s="2" t="str">
        <f>VLOOKUP([jobnumber],OvalData[],MATCH(Table2[[#Headers],[shell]],Table2[#Headers],0),0)</f>
        <v>6 INCH TUBE</v>
      </c>
      <c r="H494" s="2" t="str">
        <f>VLOOKUP([jobnumber],OvalData[],MATCH(Table2[[#Headers],[pipewidth]],Table2[#Headers],0),0)</f>
        <v xml:space="preserve"> 18 ft.- 1 3/ 8"</v>
      </c>
      <c r="I494" s="2">
        <f>VLOOKUP([jobnumber],OvalData[],MATCH(Table2[[#Headers],[Support Tubes]],Table2[#Headers],0),0)</f>
        <v>0</v>
      </c>
      <c r="J494" s="2">
        <f>VLOOKUP([jobnumber],OvalData[],MATCH(Table2[[#Headers],[Upset]],Table2[#Headers],0),0)</f>
        <v>2</v>
      </c>
      <c r="K494" s="2" t="str">
        <f>VLOOKUP([jobnumber],OvalData[],MATCH(Table2[[#Headers],[Guide Type]],Table2[#Headers],0),0)</f>
        <v>SN2-4 5/8-E</v>
      </c>
      <c r="L494" s="2" t="str">
        <f>VLOOKUP([jobnumber],OvalData[],MATCH(Table2[[#Headers],[Wall Angle]],Table2[#Headers],0),0)</f>
        <v xml:space="preserve"> 11 ft.- 8"</v>
      </c>
      <c r="M494" s="2" t="str">
        <f>VLOOKUP([jobnumber],OvalData[],MATCH(Table2[[#Headers],[Middle Angle]],Table2[#Headers],0),0)</f>
        <v xml:space="preserve"> 10 ft.- 4 1/ 2"</v>
      </c>
      <c r="N494" s="2" t="str">
        <f>VLOOKUP([jobnumber],OvalData[],MATCH(Table2[[#Headers],[Front Angle]],Table2[#Headers],0),0)</f>
        <v xml:space="preserve"> 10 ft.- 3"</v>
      </c>
      <c r="O494" s="2">
        <f>VLOOKUP([jobnumber],OvalData[],MATCH(Table2[[#Headers],[Pipe Center Line]],Table2[#Headers],0),0)</f>
        <v>131</v>
      </c>
      <c r="P494" s="2">
        <f>VLOOKUP([jobnumber],OvalData[],MATCH(Table2[[#Headers],[Heat Expansion Gap]],Table2[#Headers],0),0)</f>
        <v>0</v>
      </c>
      <c r="Q494" s="2">
        <f>VLOOKUP([jobnumber],OvalData[],MATCH(Table2[[#Headers],[Hanging Weight Closed]],Table2[#Headers],0),0)</f>
        <v>795</v>
      </c>
      <c r="R494" s="2">
        <f>VLOOKUP([jobnumber],OvalData[],MATCH(Table2[[#Headers],[Hanging Weight Open]],Table2[#Headers],0),0)</f>
        <v>140</v>
      </c>
      <c r="S494" s="2">
        <f>VLOOKUP([jobnumber],OvalData[],MATCH(Table2[[#Headers],[Initial Lever Arm]],Table2[#Headers],0),0)</f>
        <v>4.25</v>
      </c>
      <c r="T494" s="2">
        <f>VLOOKUP([jobnumber],OvalData[],MATCH(Table2[[#Headers],[Turns to Raise]],Table2[#Headers],0),0)</f>
        <v>3.5859999999999999</v>
      </c>
      <c r="U494" s="2">
        <f>VLOOKUP([jobnumber],OvalData[],MATCH(Table2[[#Headers],[Final Lever Arm]],Table2[#Headers],0),0)</f>
        <v>6.37</v>
      </c>
      <c r="V494" s="2">
        <f>VLOOKUP([jobnumber],OvalData[],MATCH(Table2[[#Headers],[Torque Required Closed]],Table2[#Headers],0),0)</f>
        <v>3377.9</v>
      </c>
      <c r="W494" s="2">
        <f>VLOOKUP([jobnumber],OvalData[],MATCH(Table2[[#Headers],[Torque Required Open]],Table2[#Headers],0),0)</f>
        <v>892</v>
      </c>
      <c r="X494" s="2">
        <f>VLOOKUP([jobnumber],OvalData[],MATCH(Table2[[#Headers],[Pre Turns]],Table2[#Headers],0),0)</f>
        <v>1.3332999999999999</v>
      </c>
      <c r="Y494" s="2">
        <f>VLOOKUP([jobnumber],OvalData[],MATCH(Table2[[#Headers],[Required Torque Per Turn]],Table2[#Headers],0),0)</f>
        <v>688</v>
      </c>
      <c r="Z494" s="2">
        <f>VLOOKUP([jobnumber],OvalData[],MATCH(Table2[[#Headers],[Total Turns]],Table2[#Headers],0),0)</f>
        <v>4.91</v>
      </c>
      <c r="AA494" s="2">
        <f>VLOOKUP([jobnumber],OvalData[],MATCH(Table2[[#Headers],[Grille Vision Section]],Table2[#Headers],0),0)</f>
        <v>0</v>
      </c>
      <c r="AB494" s="2">
        <f>VLOOKUP([jobnumber],OvalData[],MATCH(Table2[[#Headers],[Grille Amount]],Table2[#Headers],0),0)</f>
        <v>0</v>
      </c>
      <c r="AC494" s="2">
        <f>VLOOKUP([jobnumber],OvalData[],MATCH(Table2[[#Headers],[Grille Center]],Table2[#Headers],0),0)</f>
        <v>0</v>
      </c>
      <c r="AD494" s="2">
        <f>VLOOKUP([jobnumber],OvalData[],MATCH(Table2[[#Headers],[Grille Pattern]],Table2[#Headers],0),0)</f>
        <v>0</v>
      </c>
      <c r="AE494" s="2">
        <f>VLOOKUP([jobnumber],OvalData[],MATCH(Table2[[#Headers],[Grille First Tube]],Table2[#Headers],0),0)</f>
        <v>0</v>
      </c>
      <c r="AF494" s="2">
        <f>VLOOKUP([jobnumber],OvalData[],MATCH(Table2[[#Headers],[Grille Standard Tube]],Table2[#Headers],0),0)</f>
        <v>0</v>
      </c>
      <c r="AG494" s="2">
        <f>VLOOKUP([jobnumber],OvalData[],MATCH(Table2[[#Headers],[Grille Total Links]],Table2[#Headers],0),0)</f>
        <v>0</v>
      </c>
      <c r="AH494" s="2">
        <f>VLOOKUP([jobnumber],OvalData[],MATCH(Table2[[#Headers],[Grille Rods]],Table2[#Headers],0),0)</f>
        <v>0</v>
      </c>
      <c r="AI494" s="2">
        <f>VLOOKUP([jobnumber],OvalData[],MATCH(Table2[[#Headers],[Grille Rod Length]],Table2[#Headers],0),0)</f>
        <v>0</v>
      </c>
      <c r="AJ494" s="2">
        <f>VLOOKUP([jobnumber],OvalData[],MATCH(Table2[[#Headers],[slattype]],Table2[#Headers],0),0)</f>
        <v>2</v>
      </c>
      <c r="AK494" s="2">
        <f>VLOOKUP([jobnumber],OvalData[],MATCH(Table2[[#Headers],[slatgage]],Table2[#Headers],0),0)</f>
        <v>18</v>
      </c>
      <c r="AL494" s="2">
        <f>VLOOKUP([jobnumber],OvalData[],MATCH(Table2[[#Headers],[Numer of Top Slats]],Table2[#Headers],0),0)</f>
        <v>0</v>
      </c>
      <c r="AM494" s="2">
        <f>VLOOKUP([jobnumber],OvalData[],MATCH(Table2[[#Headers],[Number of Bottom Slats]],Table2[#Headers],0),0)</f>
        <v>0</v>
      </c>
      <c r="AN494" s="2">
        <f>VLOOKUP([jobnumber],OvalData[],MATCH(Table2[[#Headers],[Solid Bottom Height]],Table2[#Headers],0),0)</f>
        <v>0</v>
      </c>
      <c r="AO494" s="2" t="str">
        <f>VLOOKUP([jobnumber],OvalData[],MATCH(Table2[[#Headers],[slatlength]],Table2[#Headers],0),0)</f>
        <v xml:space="preserve"> 18 ft.- 5 7/ 8"</v>
      </c>
      <c r="AP494" s="2">
        <f>VLOOKUP([jobnumber],OvalData[],MATCH(Table2[[#Headers],[Bottom Slat Length]],Table2[#Headers],0),0)</f>
        <v>0</v>
      </c>
      <c r="AQ494" s="2">
        <f>VLOOKUP([jobnumber],OvalData[],MATCH(Table2[[#Headers],[Number of Perferated Slats]],Table2[#Headers],0),0)</f>
        <v>0</v>
      </c>
      <c r="AR494" s="2">
        <f>VLOOKUP([jobnumber],OvalData[],MATCH(Table2[[#Headers],[First Preferated Slat From End]],Table2[#Headers],0),0)</f>
        <v>0</v>
      </c>
      <c r="AS494" s="2">
        <f>VLOOKUP([jobnumber],OvalData[],MATCH(Table2[[#Headers],[First Preferated Slat From Bottom]],Table2[#Headers],0),0)</f>
        <v>0</v>
      </c>
      <c r="AT494" s="2">
        <f>VLOOKUP([jobnumber],OvalData[],MATCH(Table2[[#Headers],[Total Number of Slats]],Table2[#Headers],0),0)</f>
        <v>51</v>
      </c>
      <c r="AU494" s="2">
        <f>VLOOKUP([jobnumber],OvalData[],MATCH(Table2[[#Headers],[Bottom Bar Slope]],Table2[#Headers],0),0)</f>
        <v>0</v>
      </c>
      <c r="AV494" s="2">
        <f>VLOOKUP([jobnumber],OvalData[],MATCH(Table2[[#Headers],[Bottom Bar Weight]],Table2[#Headers],0),0)</f>
        <v>80.5</v>
      </c>
      <c r="AW494" s="2" t="str">
        <f>VLOOKUP([jobnumber],OvalData[],MATCH(Table2[[#Headers],[Outer Spring Gage]],Table2[#Headers],0),0)</f>
        <v>Null</v>
      </c>
      <c r="AX494" s="2" t="str">
        <f>VLOOKUP([jobnumber],OvalData[],MATCH(Table2[[#Headers],[Outer Spring OD]],Table2[#Headers],0),0)</f>
        <v>Null</v>
      </c>
      <c r="AY494" s="2" t="str">
        <f>VLOOKUP([jobnumber],OvalData[],MATCH(Table2[[#Headers],[Outer Spring Length]],Table2[#Headers],0),0)</f>
        <v>Null</v>
      </c>
      <c r="AZ494" s="2" t="str">
        <f>VLOOKUP([jobnumber],OvalData[],MATCH(Table2[[#Headers],[Outer Spring Stretch]],Table2[#Headers],0),0)</f>
        <v>Null</v>
      </c>
      <c r="BA494" s="2" t="str">
        <f>VLOOKUP([jobnumber],OvalData[],MATCH(Table2[[#Headers],[Outer Spring Torque]],Table2[#Headers],0),0)</f>
        <v>Null</v>
      </c>
      <c r="BB494" s="2" t="str">
        <f>VLOOKUP([jobnumber],OvalData[],MATCH(Table2[[#Headers],[Outer Spring Max Turns]],Table2[#Headers],0),0)</f>
        <v>Null</v>
      </c>
      <c r="BC494" s="2" t="str">
        <f>VLOOKUP([jobnumber],OvalData[],MATCH(Table2[[#Headers],[Outer Spring Weight]],Table2[#Headers],0),0)</f>
        <v>Null</v>
      </c>
      <c r="BD494" s="2" t="str">
        <f>VLOOKUP([jobnumber],OvalData[],MATCH(Table2[[#Headers],[Inner Spring Gage]],Table2[#Headers],0),0)</f>
        <v>Null</v>
      </c>
      <c r="BE494" s="2" t="str">
        <f>VLOOKUP([jobnumber],OvalData[],MATCH(Table2[[#Headers],[Inner Spring OD]],Table2[#Headers],0),0)</f>
        <v>Null</v>
      </c>
      <c r="BF494" s="2" t="str">
        <f>VLOOKUP([jobnumber],OvalData[],MATCH(Table2[[#Headers],[Inner Spring Length]],Table2[#Headers],0),0)</f>
        <v>Null</v>
      </c>
      <c r="BG494" s="2" t="str">
        <f>VLOOKUP([jobnumber],OvalData[],MATCH(Table2[[#Headers],[Inner Spring Stretch]],Table2[#Headers],0),0)</f>
        <v>Null</v>
      </c>
      <c r="BH494" s="2" t="str">
        <f>VLOOKUP([jobnumber],OvalData[],MATCH(Table2[[#Headers],[Inner Spring Torque]],Table2[#Headers],0),0)</f>
        <v>Null</v>
      </c>
      <c r="BI494" s="2" t="str">
        <f>VLOOKUP([jobnumber],OvalData[],MATCH(Table2[[#Headers],[Inner Spring Max Turns]],Table2[#Headers],0),0)</f>
        <v>Null</v>
      </c>
      <c r="BJ494" s="2" t="str">
        <f>VLOOKUP([jobnumber],OvalData[],MATCH(Table2[[#Headers],[Inner Spring Weight]],Table2[#Headers],0),0)</f>
        <v>Null</v>
      </c>
      <c r="BK494" s="2">
        <f>VLOOKUP([jobnumber],OvalData[],MATCH(Table2[[#Headers],[Cycles]],Table2[#Headers],0),0)</f>
        <v>0</v>
      </c>
      <c r="BL494" s="2">
        <f>VLOOKUP([jobnumber],OvalData[],MATCH(Table2[[#Headers],[Total Spring Torque]],Table2[#Headers],0),0)</f>
        <v>0</v>
      </c>
      <c r="BM494" s="2">
        <f>VLOOKUP([jobnumber],OvalData[],MATCH(Table2[[#Headers],[Total Spring Weight]],Table2[#Headers],0),0)</f>
        <v>0</v>
      </c>
      <c r="BN494" s="2">
        <f>VLOOKUP([jobnumber],OvalData[],MATCH(Table2[[#Headers],[Pipe Weight]],Table2[#Headers],0),0)</f>
        <v>688.24239999999998</v>
      </c>
      <c r="BO494" s="2">
        <f>VLOOKUP([jobnumber],OvalData[],MATCH(Table2[[#Headers],[Max Pipe Deflection]],Table2[#Headers],0),0)</f>
        <v>2309</v>
      </c>
      <c r="BP494" s="2">
        <f>VLOOKUP([jobnumber],OvalData[],MATCH(Table2[[#Headers],[Number Non-Insulated Wrap Slats]],Table2[#Headers],0),0)</f>
        <v>0</v>
      </c>
      <c r="BQ494" s="2">
        <f>VLOOKUP([jobnumber],OvalData[],MATCH(Table2[[#Headers],[Number of Insolated Top Slats]],Table2[#Headers],0),0)</f>
        <v>45</v>
      </c>
      <c r="BR494" s="2">
        <f>VLOOKUP([jobnumber],OvalData[],MATCH(Table2[[#Headers],[Insolated Total Slats]],Table2[#Headers],0),0)</f>
        <v>45</v>
      </c>
      <c r="BS494" s="2">
        <f>VLOOKUP([jobnumber],OvalData[],MATCH(Table2[[#Headers],[Number of Slats]],Table2[#Headers],0),0)</f>
        <v>44.69</v>
      </c>
      <c r="BT494" s="2">
        <f>VLOOKUP([jobnumber],OvalData[],MATCH(Table2[[#Headers],[Wrap]],Table2[#Headers],0),0)</f>
        <v>0</v>
      </c>
      <c r="BU494" s="2">
        <f>VLOOKUP([jobnumber],OvalData[],MATCH(Table2[[#Headers],[Wall Angle Thickness]],Table2[#Headers],0),0)</f>
        <v>0</v>
      </c>
      <c r="BV494" s="2">
        <f>VLOOKUP([jobnumber],OvalData[],MATCH(Table2[[#Headers],[windlocks]],Table2[#Headers],0),0)</f>
        <v>0</v>
      </c>
      <c r="BW494" s="2" t="str">
        <f>VLOOKUP([jobnumber],OvalData[],MATCH(Table2[[#Headers],[bottombartype]],Table2[#Headers],0),0)</f>
        <v>SPECIAL</v>
      </c>
      <c r="BX494" s="2">
        <f>VLOOKUP([jobnumber],OvalData[],MATCH(Table2[[#Headers],[endlockweight]],Table2[#Headers],0),0)</f>
        <v>0.17</v>
      </c>
      <c r="BY494" s="2">
        <f>VLOOKUP([jobnumber],OvalData[],MATCH(Table2[[#Headers],[Endlock Total Weight]],Table2[#Headers],0),0)</f>
        <v>7.5972999999999997</v>
      </c>
      <c r="BZ494" s="2">
        <f>VLOOKUP([jobnumber],OvalData[],MATCH(Table2[[#Headers],[Grille Weight]],Table2[#Headers],0),0)</f>
        <v>0</v>
      </c>
      <c r="CA494" s="2">
        <f>VLOOKUP([jobnumber],OvalData[],MATCH(Table2[[#Headers],[barrelrings]],Table2[#Headers],0),0)</f>
        <v>1</v>
      </c>
    </row>
    <row r="495" spans="2:79">
      <c r="B495" s="2" t="str">
        <f>VLOOKUP([jobnumber],OvalData[],MATCH(Table2[[#Headers],[Hand]],Table2[#Headers],0),0)</f>
        <v>RH</v>
      </c>
      <c r="C495" s="2" t="str">
        <f>VLOOKUP([jobnumber],OvalData[],MATCH(Table2[[#Headers],[Model]],Table2[#Headers],0),0)</f>
        <v>SFMPP</v>
      </c>
      <c r="D495" s="2" t="str">
        <f>VLOOKUP([jobnumber],OvalData[],MATCH(Table2[[#Headers],[width]],Table2[#Headers],0),0)</f>
        <v xml:space="preserve"> 18 ft.- 2"</v>
      </c>
      <c r="E495" s="2" t="str">
        <f>VLOOKUP([jobnumber],OvalData[],MATCH(Table2[[#Headers],[stopheight]],Table2[#Headers],0),0)</f>
        <v xml:space="preserve"> 10 ft.- 0"</v>
      </c>
      <c r="F495" s="2" t="str">
        <f>VLOOKUP([jobnumber],OvalData[],MATCH(Table2[[#Headers],[Between Brackets]],Table2[#Headers],0),0)</f>
        <v xml:space="preserve"> 18 ft.- 7 7/ 8"</v>
      </c>
      <c r="G495" s="2" t="str">
        <f>VLOOKUP([jobnumber],OvalData[],MATCH(Table2[[#Headers],[shell]],Table2[#Headers],0),0)</f>
        <v>6 INCH TUBE</v>
      </c>
      <c r="H495" s="2" t="str">
        <f>VLOOKUP([jobnumber],OvalData[],MATCH(Table2[[#Headers],[pipewidth]],Table2[#Headers],0),0)</f>
        <v xml:space="preserve"> 18 ft.- 1 3/ 8"</v>
      </c>
      <c r="I495" s="2">
        <f>VLOOKUP([jobnumber],OvalData[],MATCH(Table2[[#Headers],[Support Tubes]],Table2[#Headers],0),0)</f>
        <v>0</v>
      </c>
      <c r="J495" s="2">
        <f>VLOOKUP([jobnumber],OvalData[],MATCH(Table2[[#Headers],[Upset]],Table2[#Headers],0),0)</f>
        <v>2</v>
      </c>
      <c r="K495" s="2" t="str">
        <f>VLOOKUP([jobnumber],OvalData[],MATCH(Table2[[#Headers],[Guide Type]],Table2[#Headers],0),0)</f>
        <v>SN2-4 5/8-E</v>
      </c>
      <c r="L495" s="2" t="str">
        <f>VLOOKUP([jobnumber],OvalData[],MATCH(Table2[[#Headers],[Wall Angle]],Table2[#Headers],0),0)</f>
        <v xml:space="preserve"> 11 ft.- 8"</v>
      </c>
      <c r="M495" s="2" t="str">
        <f>VLOOKUP([jobnumber],OvalData[],MATCH(Table2[[#Headers],[Middle Angle]],Table2[#Headers],0),0)</f>
        <v xml:space="preserve"> 10 ft.- 4 1/ 2"</v>
      </c>
      <c r="N495" s="2" t="str">
        <f>VLOOKUP([jobnumber],OvalData[],MATCH(Table2[[#Headers],[Front Angle]],Table2[#Headers],0),0)</f>
        <v xml:space="preserve"> 10 ft.- 3"</v>
      </c>
      <c r="O495" s="2">
        <f>VLOOKUP([jobnumber],OvalData[],MATCH(Table2[[#Headers],[Pipe Center Line]],Table2[#Headers],0),0)</f>
        <v>131</v>
      </c>
      <c r="P495" s="2">
        <f>VLOOKUP([jobnumber],OvalData[],MATCH(Table2[[#Headers],[Heat Expansion Gap]],Table2[#Headers],0),0)</f>
        <v>0</v>
      </c>
      <c r="Q495" s="2">
        <f>VLOOKUP([jobnumber],OvalData[],MATCH(Table2[[#Headers],[Hanging Weight Closed]],Table2[#Headers],0),0)</f>
        <v>795</v>
      </c>
      <c r="R495" s="2">
        <f>VLOOKUP([jobnumber],OvalData[],MATCH(Table2[[#Headers],[Hanging Weight Open]],Table2[#Headers],0),0)</f>
        <v>140</v>
      </c>
      <c r="S495" s="2">
        <f>VLOOKUP([jobnumber],OvalData[],MATCH(Table2[[#Headers],[Initial Lever Arm]],Table2[#Headers],0),0)</f>
        <v>4.25</v>
      </c>
      <c r="T495" s="2">
        <f>VLOOKUP([jobnumber],OvalData[],MATCH(Table2[[#Headers],[Turns to Raise]],Table2[#Headers],0),0)</f>
        <v>3.5859999999999999</v>
      </c>
      <c r="U495" s="2">
        <f>VLOOKUP([jobnumber],OvalData[],MATCH(Table2[[#Headers],[Final Lever Arm]],Table2[#Headers],0),0)</f>
        <v>6.37</v>
      </c>
      <c r="V495" s="2">
        <f>VLOOKUP([jobnumber],OvalData[],MATCH(Table2[[#Headers],[Torque Required Closed]],Table2[#Headers],0),0)</f>
        <v>3377.9</v>
      </c>
      <c r="W495" s="2">
        <f>VLOOKUP([jobnumber],OvalData[],MATCH(Table2[[#Headers],[Torque Required Open]],Table2[#Headers],0),0)</f>
        <v>892</v>
      </c>
      <c r="X495" s="2">
        <f>VLOOKUP([jobnumber],OvalData[],MATCH(Table2[[#Headers],[Pre Turns]],Table2[#Headers],0),0)</f>
        <v>1.3332999999999999</v>
      </c>
      <c r="Y495" s="2">
        <f>VLOOKUP([jobnumber],OvalData[],MATCH(Table2[[#Headers],[Required Torque Per Turn]],Table2[#Headers],0),0)</f>
        <v>688</v>
      </c>
      <c r="Z495" s="2">
        <f>VLOOKUP([jobnumber],OvalData[],MATCH(Table2[[#Headers],[Total Turns]],Table2[#Headers],0),0)</f>
        <v>4.91</v>
      </c>
      <c r="AA495" s="2">
        <f>VLOOKUP([jobnumber],OvalData[],MATCH(Table2[[#Headers],[Grille Vision Section]],Table2[#Headers],0),0)</f>
        <v>0</v>
      </c>
      <c r="AB495" s="2">
        <f>VLOOKUP([jobnumber],OvalData[],MATCH(Table2[[#Headers],[Grille Amount]],Table2[#Headers],0),0)</f>
        <v>0</v>
      </c>
      <c r="AC495" s="2">
        <f>VLOOKUP([jobnumber],OvalData[],MATCH(Table2[[#Headers],[Grille Center]],Table2[#Headers],0),0)</f>
        <v>0</v>
      </c>
      <c r="AD495" s="2">
        <f>VLOOKUP([jobnumber],OvalData[],MATCH(Table2[[#Headers],[Grille Pattern]],Table2[#Headers],0),0)</f>
        <v>0</v>
      </c>
      <c r="AE495" s="2">
        <f>VLOOKUP([jobnumber],OvalData[],MATCH(Table2[[#Headers],[Grille First Tube]],Table2[#Headers],0),0)</f>
        <v>0</v>
      </c>
      <c r="AF495" s="2">
        <f>VLOOKUP([jobnumber],OvalData[],MATCH(Table2[[#Headers],[Grille Standard Tube]],Table2[#Headers],0),0)</f>
        <v>0</v>
      </c>
      <c r="AG495" s="2">
        <f>VLOOKUP([jobnumber],OvalData[],MATCH(Table2[[#Headers],[Grille Total Links]],Table2[#Headers],0),0)</f>
        <v>0</v>
      </c>
      <c r="AH495" s="2">
        <f>VLOOKUP([jobnumber],OvalData[],MATCH(Table2[[#Headers],[Grille Rods]],Table2[#Headers],0),0)</f>
        <v>0</v>
      </c>
      <c r="AI495" s="2">
        <f>VLOOKUP([jobnumber],OvalData[],MATCH(Table2[[#Headers],[Grille Rod Length]],Table2[#Headers],0),0)</f>
        <v>0</v>
      </c>
      <c r="AJ495" s="2">
        <f>VLOOKUP([jobnumber],OvalData[],MATCH(Table2[[#Headers],[slattype]],Table2[#Headers],0),0)</f>
        <v>2</v>
      </c>
      <c r="AK495" s="2">
        <f>VLOOKUP([jobnumber],OvalData[],MATCH(Table2[[#Headers],[slatgage]],Table2[#Headers],0),0)</f>
        <v>18</v>
      </c>
      <c r="AL495" s="2">
        <f>VLOOKUP([jobnumber],OvalData[],MATCH(Table2[[#Headers],[Numer of Top Slats]],Table2[#Headers],0),0)</f>
        <v>0</v>
      </c>
      <c r="AM495" s="2">
        <f>VLOOKUP([jobnumber],OvalData[],MATCH(Table2[[#Headers],[Number of Bottom Slats]],Table2[#Headers],0),0)</f>
        <v>0</v>
      </c>
      <c r="AN495" s="2">
        <f>VLOOKUP([jobnumber],OvalData[],MATCH(Table2[[#Headers],[Solid Bottom Height]],Table2[#Headers],0),0)</f>
        <v>0</v>
      </c>
      <c r="AO495" s="2" t="str">
        <f>VLOOKUP([jobnumber],OvalData[],MATCH(Table2[[#Headers],[slatlength]],Table2[#Headers],0),0)</f>
        <v xml:space="preserve"> 18 ft.- 5 7/ 8"</v>
      </c>
      <c r="AP495" s="2">
        <f>VLOOKUP([jobnumber],OvalData[],MATCH(Table2[[#Headers],[Bottom Slat Length]],Table2[#Headers],0),0)</f>
        <v>0</v>
      </c>
      <c r="AQ495" s="2">
        <f>VLOOKUP([jobnumber],OvalData[],MATCH(Table2[[#Headers],[Number of Perferated Slats]],Table2[#Headers],0),0)</f>
        <v>0</v>
      </c>
      <c r="AR495" s="2">
        <f>VLOOKUP([jobnumber],OvalData[],MATCH(Table2[[#Headers],[First Preferated Slat From End]],Table2[#Headers],0),0)</f>
        <v>0</v>
      </c>
      <c r="AS495" s="2">
        <f>VLOOKUP([jobnumber],OvalData[],MATCH(Table2[[#Headers],[First Preferated Slat From Bottom]],Table2[#Headers],0),0)</f>
        <v>0</v>
      </c>
      <c r="AT495" s="2">
        <f>VLOOKUP([jobnumber],OvalData[],MATCH(Table2[[#Headers],[Total Number of Slats]],Table2[#Headers],0),0)</f>
        <v>51</v>
      </c>
      <c r="AU495" s="2">
        <f>VLOOKUP([jobnumber],OvalData[],MATCH(Table2[[#Headers],[Bottom Bar Slope]],Table2[#Headers],0),0)</f>
        <v>0</v>
      </c>
      <c r="AV495" s="2">
        <f>VLOOKUP([jobnumber],OvalData[],MATCH(Table2[[#Headers],[Bottom Bar Weight]],Table2[#Headers],0),0)</f>
        <v>80.5</v>
      </c>
      <c r="AW495" s="2" t="str">
        <f>VLOOKUP([jobnumber],OvalData[],MATCH(Table2[[#Headers],[Outer Spring Gage]],Table2[#Headers],0),0)</f>
        <v>Null</v>
      </c>
      <c r="AX495" s="2" t="str">
        <f>VLOOKUP([jobnumber],OvalData[],MATCH(Table2[[#Headers],[Outer Spring OD]],Table2[#Headers],0),0)</f>
        <v>Null</v>
      </c>
      <c r="AY495" s="2" t="str">
        <f>VLOOKUP([jobnumber],OvalData[],MATCH(Table2[[#Headers],[Outer Spring Length]],Table2[#Headers],0),0)</f>
        <v>Null</v>
      </c>
      <c r="AZ495" s="2" t="str">
        <f>VLOOKUP([jobnumber],OvalData[],MATCH(Table2[[#Headers],[Outer Spring Stretch]],Table2[#Headers],0),0)</f>
        <v>Null</v>
      </c>
      <c r="BA495" s="2" t="str">
        <f>VLOOKUP([jobnumber],OvalData[],MATCH(Table2[[#Headers],[Outer Spring Torque]],Table2[#Headers],0),0)</f>
        <v>Null</v>
      </c>
      <c r="BB495" s="2" t="str">
        <f>VLOOKUP([jobnumber],OvalData[],MATCH(Table2[[#Headers],[Outer Spring Max Turns]],Table2[#Headers],0),0)</f>
        <v>Null</v>
      </c>
      <c r="BC495" s="2" t="str">
        <f>VLOOKUP([jobnumber],OvalData[],MATCH(Table2[[#Headers],[Outer Spring Weight]],Table2[#Headers],0),0)</f>
        <v>Null</v>
      </c>
      <c r="BD495" s="2" t="str">
        <f>VLOOKUP([jobnumber],OvalData[],MATCH(Table2[[#Headers],[Inner Spring Gage]],Table2[#Headers],0),0)</f>
        <v>Null</v>
      </c>
      <c r="BE495" s="2" t="str">
        <f>VLOOKUP([jobnumber],OvalData[],MATCH(Table2[[#Headers],[Inner Spring OD]],Table2[#Headers],0),0)</f>
        <v>Null</v>
      </c>
      <c r="BF495" s="2" t="str">
        <f>VLOOKUP([jobnumber],OvalData[],MATCH(Table2[[#Headers],[Inner Spring Length]],Table2[#Headers],0),0)</f>
        <v>Null</v>
      </c>
      <c r="BG495" s="2" t="str">
        <f>VLOOKUP([jobnumber],OvalData[],MATCH(Table2[[#Headers],[Inner Spring Stretch]],Table2[#Headers],0),0)</f>
        <v>Null</v>
      </c>
      <c r="BH495" s="2" t="str">
        <f>VLOOKUP([jobnumber],OvalData[],MATCH(Table2[[#Headers],[Inner Spring Torque]],Table2[#Headers],0),0)</f>
        <v>Null</v>
      </c>
      <c r="BI495" s="2" t="str">
        <f>VLOOKUP([jobnumber],OvalData[],MATCH(Table2[[#Headers],[Inner Spring Max Turns]],Table2[#Headers],0),0)</f>
        <v>Null</v>
      </c>
      <c r="BJ495" s="2" t="str">
        <f>VLOOKUP([jobnumber],OvalData[],MATCH(Table2[[#Headers],[Inner Spring Weight]],Table2[#Headers],0),0)</f>
        <v>Null</v>
      </c>
      <c r="BK495" s="2">
        <f>VLOOKUP([jobnumber],OvalData[],MATCH(Table2[[#Headers],[Cycles]],Table2[#Headers],0),0)</f>
        <v>0</v>
      </c>
      <c r="BL495" s="2">
        <f>VLOOKUP([jobnumber],OvalData[],MATCH(Table2[[#Headers],[Total Spring Torque]],Table2[#Headers],0),0)</f>
        <v>0</v>
      </c>
      <c r="BM495" s="2">
        <f>VLOOKUP([jobnumber],OvalData[],MATCH(Table2[[#Headers],[Total Spring Weight]],Table2[#Headers],0),0)</f>
        <v>0</v>
      </c>
      <c r="BN495" s="2">
        <f>VLOOKUP([jobnumber],OvalData[],MATCH(Table2[[#Headers],[Pipe Weight]],Table2[#Headers],0),0)</f>
        <v>688.24239999999998</v>
      </c>
      <c r="BO495" s="2">
        <f>VLOOKUP([jobnumber],OvalData[],MATCH(Table2[[#Headers],[Max Pipe Deflection]],Table2[#Headers],0),0)</f>
        <v>2309</v>
      </c>
      <c r="BP495" s="2">
        <f>VLOOKUP([jobnumber],OvalData[],MATCH(Table2[[#Headers],[Number Non-Insulated Wrap Slats]],Table2[#Headers],0),0)</f>
        <v>0</v>
      </c>
      <c r="BQ495" s="2">
        <f>VLOOKUP([jobnumber],OvalData[],MATCH(Table2[[#Headers],[Number of Insolated Top Slats]],Table2[#Headers],0),0)</f>
        <v>45</v>
      </c>
      <c r="BR495" s="2">
        <f>VLOOKUP([jobnumber],OvalData[],MATCH(Table2[[#Headers],[Insolated Total Slats]],Table2[#Headers],0),0)</f>
        <v>45</v>
      </c>
      <c r="BS495" s="2">
        <f>VLOOKUP([jobnumber],OvalData[],MATCH(Table2[[#Headers],[Number of Slats]],Table2[#Headers],0),0)</f>
        <v>44.69</v>
      </c>
      <c r="BT495" s="2">
        <f>VLOOKUP([jobnumber],OvalData[],MATCH(Table2[[#Headers],[Wrap]],Table2[#Headers],0),0)</f>
        <v>0</v>
      </c>
      <c r="BU495" s="2">
        <f>VLOOKUP([jobnumber],OvalData[],MATCH(Table2[[#Headers],[Wall Angle Thickness]],Table2[#Headers],0),0)</f>
        <v>0</v>
      </c>
      <c r="BV495" s="2">
        <f>VLOOKUP([jobnumber],OvalData[],MATCH(Table2[[#Headers],[windlocks]],Table2[#Headers],0),0)</f>
        <v>0</v>
      </c>
      <c r="BW495" s="2" t="str">
        <f>VLOOKUP([jobnumber],OvalData[],MATCH(Table2[[#Headers],[bottombartype]],Table2[#Headers],0),0)</f>
        <v>SPECIAL</v>
      </c>
      <c r="BX495" s="2">
        <f>VLOOKUP([jobnumber],OvalData[],MATCH(Table2[[#Headers],[endlockweight]],Table2[#Headers],0),0)</f>
        <v>0.17</v>
      </c>
      <c r="BY495" s="2">
        <f>VLOOKUP([jobnumber],OvalData[],MATCH(Table2[[#Headers],[Endlock Total Weight]],Table2[#Headers],0),0)</f>
        <v>7.5972999999999997</v>
      </c>
      <c r="BZ495" s="2">
        <f>VLOOKUP([jobnumber],OvalData[],MATCH(Table2[[#Headers],[Grille Weight]],Table2[#Headers],0),0)</f>
        <v>0</v>
      </c>
      <c r="CA495" s="2">
        <f>VLOOKUP([jobnumber],OvalData[],MATCH(Table2[[#Headers],[barrelrings]],Table2[#Headers],0),0)</f>
        <v>1</v>
      </c>
    </row>
    <row r="496" spans="2:79">
      <c r="B496" s="2" t="str">
        <f>VLOOKUP([jobnumber],OvalData[],MATCH(Table2[[#Headers],[Hand]],Table2[#Headers],0),0)</f>
        <v>RH</v>
      </c>
      <c r="C496" s="2" t="str">
        <f>VLOOKUP([jobnumber],OvalData[],MATCH(Table2[[#Headers],[Model]],Table2[#Headers],0),0)</f>
        <v>SFMPP</v>
      </c>
      <c r="D496" s="2" t="str">
        <f>VLOOKUP([jobnumber],OvalData[],MATCH(Table2[[#Headers],[width]],Table2[#Headers],0),0)</f>
        <v xml:space="preserve"> 18 ft.- 2"</v>
      </c>
      <c r="E496" s="2" t="str">
        <f>VLOOKUP([jobnumber],OvalData[],MATCH(Table2[[#Headers],[stopheight]],Table2[#Headers],0),0)</f>
        <v xml:space="preserve"> 10 ft.- 0"</v>
      </c>
      <c r="F496" s="2" t="str">
        <f>VLOOKUP([jobnumber],OvalData[],MATCH(Table2[[#Headers],[Between Brackets]],Table2[#Headers],0),0)</f>
        <v xml:space="preserve"> 18 ft.- 7 7/ 8"</v>
      </c>
      <c r="G496" s="2" t="str">
        <f>VLOOKUP([jobnumber],OvalData[],MATCH(Table2[[#Headers],[shell]],Table2[#Headers],0),0)</f>
        <v>6 INCH TUBE</v>
      </c>
      <c r="H496" s="2" t="str">
        <f>VLOOKUP([jobnumber],OvalData[],MATCH(Table2[[#Headers],[pipewidth]],Table2[#Headers],0),0)</f>
        <v xml:space="preserve"> 18 ft.- 1 3/ 8"</v>
      </c>
      <c r="I496" s="2">
        <f>VLOOKUP([jobnumber],OvalData[],MATCH(Table2[[#Headers],[Support Tubes]],Table2[#Headers],0),0)</f>
        <v>0</v>
      </c>
      <c r="J496" s="2">
        <f>VLOOKUP([jobnumber],OvalData[],MATCH(Table2[[#Headers],[Upset]],Table2[#Headers],0),0)</f>
        <v>2</v>
      </c>
      <c r="K496" s="2" t="str">
        <f>VLOOKUP([jobnumber],OvalData[],MATCH(Table2[[#Headers],[Guide Type]],Table2[#Headers],0),0)</f>
        <v>SN2-4 5/8-E</v>
      </c>
      <c r="L496" s="2" t="str">
        <f>VLOOKUP([jobnumber],OvalData[],MATCH(Table2[[#Headers],[Wall Angle]],Table2[#Headers],0),0)</f>
        <v xml:space="preserve"> 11 ft.- 8"</v>
      </c>
      <c r="M496" s="2" t="str">
        <f>VLOOKUP([jobnumber],OvalData[],MATCH(Table2[[#Headers],[Middle Angle]],Table2[#Headers],0),0)</f>
        <v xml:space="preserve"> 10 ft.- 4 1/ 2"</v>
      </c>
      <c r="N496" s="2" t="str">
        <f>VLOOKUP([jobnumber],OvalData[],MATCH(Table2[[#Headers],[Front Angle]],Table2[#Headers],0),0)</f>
        <v xml:space="preserve"> 10 ft.- 3"</v>
      </c>
      <c r="O496" s="2">
        <f>VLOOKUP([jobnumber],OvalData[],MATCH(Table2[[#Headers],[Pipe Center Line]],Table2[#Headers],0),0)</f>
        <v>131</v>
      </c>
      <c r="P496" s="2">
        <f>VLOOKUP([jobnumber],OvalData[],MATCH(Table2[[#Headers],[Heat Expansion Gap]],Table2[#Headers],0),0)</f>
        <v>0</v>
      </c>
      <c r="Q496" s="2">
        <f>VLOOKUP([jobnumber],OvalData[],MATCH(Table2[[#Headers],[Hanging Weight Closed]],Table2[#Headers],0),0)</f>
        <v>795</v>
      </c>
      <c r="R496" s="2">
        <f>VLOOKUP([jobnumber],OvalData[],MATCH(Table2[[#Headers],[Hanging Weight Open]],Table2[#Headers],0),0)</f>
        <v>140</v>
      </c>
      <c r="S496" s="2">
        <f>VLOOKUP([jobnumber],OvalData[],MATCH(Table2[[#Headers],[Initial Lever Arm]],Table2[#Headers],0),0)</f>
        <v>4.25</v>
      </c>
      <c r="T496" s="2">
        <f>VLOOKUP([jobnumber],OvalData[],MATCH(Table2[[#Headers],[Turns to Raise]],Table2[#Headers],0),0)</f>
        <v>3.5859999999999999</v>
      </c>
      <c r="U496" s="2">
        <f>VLOOKUP([jobnumber],OvalData[],MATCH(Table2[[#Headers],[Final Lever Arm]],Table2[#Headers],0),0)</f>
        <v>6.37</v>
      </c>
      <c r="V496" s="2">
        <f>VLOOKUP([jobnumber],OvalData[],MATCH(Table2[[#Headers],[Torque Required Closed]],Table2[#Headers],0),0)</f>
        <v>3377.9</v>
      </c>
      <c r="W496" s="2">
        <f>VLOOKUP([jobnumber],OvalData[],MATCH(Table2[[#Headers],[Torque Required Open]],Table2[#Headers],0),0)</f>
        <v>892</v>
      </c>
      <c r="X496" s="2">
        <f>VLOOKUP([jobnumber],OvalData[],MATCH(Table2[[#Headers],[Pre Turns]],Table2[#Headers],0),0)</f>
        <v>1.3332999999999999</v>
      </c>
      <c r="Y496" s="2">
        <f>VLOOKUP([jobnumber],OvalData[],MATCH(Table2[[#Headers],[Required Torque Per Turn]],Table2[#Headers],0),0)</f>
        <v>688</v>
      </c>
      <c r="Z496" s="2">
        <f>VLOOKUP([jobnumber],OvalData[],MATCH(Table2[[#Headers],[Total Turns]],Table2[#Headers],0),0)</f>
        <v>4.91</v>
      </c>
      <c r="AA496" s="2">
        <f>VLOOKUP([jobnumber],OvalData[],MATCH(Table2[[#Headers],[Grille Vision Section]],Table2[#Headers],0),0)</f>
        <v>0</v>
      </c>
      <c r="AB496" s="2">
        <f>VLOOKUP([jobnumber],OvalData[],MATCH(Table2[[#Headers],[Grille Amount]],Table2[#Headers],0),0)</f>
        <v>0</v>
      </c>
      <c r="AC496" s="2">
        <f>VLOOKUP([jobnumber],OvalData[],MATCH(Table2[[#Headers],[Grille Center]],Table2[#Headers],0),0)</f>
        <v>0</v>
      </c>
      <c r="AD496" s="2">
        <f>VLOOKUP([jobnumber],OvalData[],MATCH(Table2[[#Headers],[Grille Pattern]],Table2[#Headers],0),0)</f>
        <v>0</v>
      </c>
      <c r="AE496" s="2">
        <f>VLOOKUP([jobnumber],OvalData[],MATCH(Table2[[#Headers],[Grille First Tube]],Table2[#Headers],0),0)</f>
        <v>0</v>
      </c>
      <c r="AF496" s="2">
        <f>VLOOKUP([jobnumber],OvalData[],MATCH(Table2[[#Headers],[Grille Standard Tube]],Table2[#Headers],0),0)</f>
        <v>0</v>
      </c>
      <c r="AG496" s="2">
        <f>VLOOKUP([jobnumber],OvalData[],MATCH(Table2[[#Headers],[Grille Total Links]],Table2[#Headers],0),0)</f>
        <v>0</v>
      </c>
      <c r="AH496" s="2">
        <f>VLOOKUP([jobnumber],OvalData[],MATCH(Table2[[#Headers],[Grille Rods]],Table2[#Headers],0),0)</f>
        <v>0</v>
      </c>
      <c r="AI496" s="2">
        <f>VLOOKUP([jobnumber],OvalData[],MATCH(Table2[[#Headers],[Grille Rod Length]],Table2[#Headers],0),0)</f>
        <v>0</v>
      </c>
      <c r="AJ496" s="2">
        <f>VLOOKUP([jobnumber],OvalData[],MATCH(Table2[[#Headers],[slattype]],Table2[#Headers],0),0)</f>
        <v>2</v>
      </c>
      <c r="AK496" s="2">
        <f>VLOOKUP([jobnumber],OvalData[],MATCH(Table2[[#Headers],[slatgage]],Table2[#Headers],0),0)</f>
        <v>18</v>
      </c>
      <c r="AL496" s="2">
        <f>VLOOKUP([jobnumber],OvalData[],MATCH(Table2[[#Headers],[Numer of Top Slats]],Table2[#Headers],0),0)</f>
        <v>0</v>
      </c>
      <c r="AM496" s="2">
        <f>VLOOKUP([jobnumber],OvalData[],MATCH(Table2[[#Headers],[Number of Bottom Slats]],Table2[#Headers],0),0)</f>
        <v>0</v>
      </c>
      <c r="AN496" s="2">
        <f>VLOOKUP([jobnumber],OvalData[],MATCH(Table2[[#Headers],[Solid Bottom Height]],Table2[#Headers],0),0)</f>
        <v>0</v>
      </c>
      <c r="AO496" s="2" t="str">
        <f>VLOOKUP([jobnumber],OvalData[],MATCH(Table2[[#Headers],[slatlength]],Table2[#Headers],0),0)</f>
        <v xml:space="preserve"> 18 ft.- 5 7/ 8"</v>
      </c>
      <c r="AP496" s="2">
        <f>VLOOKUP([jobnumber],OvalData[],MATCH(Table2[[#Headers],[Bottom Slat Length]],Table2[#Headers],0),0)</f>
        <v>0</v>
      </c>
      <c r="AQ496" s="2">
        <f>VLOOKUP([jobnumber],OvalData[],MATCH(Table2[[#Headers],[Number of Perferated Slats]],Table2[#Headers],0),0)</f>
        <v>0</v>
      </c>
      <c r="AR496" s="2">
        <f>VLOOKUP([jobnumber],OvalData[],MATCH(Table2[[#Headers],[First Preferated Slat From End]],Table2[#Headers],0),0)</f>
        <v>0</v>
      </c>
      <c r="AS496" s="2">
        <f>VLOOKUP([jobnumber],OvalData[],MATCH(Table2[[#Headers],[First Preferated Slat From Bottom]],Table2[#Headers],0),0)</f>
        <v>0</v>
      </c>
      <c r="AT496" s="2">
        <f>VLOOKUP([jobnumber],OvalData[],MATCH(Table2[[#Headers],[Total Number of Slats]],Table2[#Headers],0),0)</f>
        <v>51</v>
      </c>
      <c r="AU496" s="2">
        <f>VLOOKUP([jobnumber],OvalData[],MATCH(Table2[[#Headers],[Bottom Bar Slope]],Table2[#Headers],0),0)</f>
        <v>0</v>
      </c>
      <c r="AV496" s="2">
        <f>VLOOKUP([jobnumber],OvalData[],MATCH(Table2[[#Headers],[Bottom Bar Weight]],Table2[#Headers],0),0)</f>
        <v>80.5</v>
      </c>
      <c r="AW496" s="2" t="str">
        <f>VLOOKUP([jobnumber],OvalData[],MATCH(Table2[[#Headers],[Outer Spring Gage]],Table2[#Headers],0),0)</f>
        <v>Null</v>
      </c>
      <c r="AX496" s="2" t="str">
        <f>VLOOKUP([jobnumber],OvalData[],MATCH(Table2[[#Headers],[Outer Spring OD]],Table2[#Headers],0),0)</f>
        <v>Null</v>
      </c>
      <c r="AY496" s="2" t="str">
        <f>VLOOKUP([jobnumber],OvalData[],MATCH(Table2[[#Headers],[Outer Spring Length]],Table2[#Headers],0),0)</f>
        <v>Null</v>
      </c>
      <c r="AZ496" s="2" t="str">
        <f>VLOOKUP([jobnumber],OvalData[],MATCH(Table2[[#Headers],[Outer Spring Stretch]],Table2[#Headers],0),0)</f>
        <v>Null</v>
      </c>
      <c r="BA496" s="2" t="str">
        <f>VLOOKUP([jobnumber],OvalData[],MATCH(Table2[[#Headers],[Outer Spring Torque]],Table2[#Headers],0),0)</f>
        <v>Null</v>
      </c>
      <c r="BB496" s="2" t="str">
        <f>VLOOKUP([jobnumber],OvalData[],MATCH(Table2[[#Headers],[Outer Spring Max Turns]],Table2[#Headers],0),0)</f>
        <v>Null</v>
      </c>
      <c r="BC496" s="2" t="str">
        <f>VLOOKUP([jobnumber],OvalData[],MATCH(Table2[[#Headers],[Outer Spring Weight]],Table2[#Headers],0),0)</f>
        <v>Null</v>
      </c>
      <c r="BD496" s="2" t="str">
        <f>VLOOKUP([jobnumber],OvalData[],MATCH(Table2[[#Headers],[Inner Spring Gage]],Table2[#Headers],0),0)</f>
        <v>Null</v>
      </c>
      <c r="BE496" s="2" t="str">
        <f>VLOOKUP([jobnumber],OvalData[],MATCH(Table2[[#Headers],[Inner Spring OD]],Table2[#Headers],0),0)</f>
        <v>Null</v>
      </c>
      <c r="BF496" s="2" t="str">
        <f>VLOOKUP([jobnumber],OvalData[],MATCH(Table2[[#Headers],[Inner Spring Length]],Table2[#Headers],0),0)</f>
        <v>Null</v>
      </c>
      <c r="BG496" s="2" t="str">
        <f>VLOOKUP([jobnumber],OvalData[],MATCH(Table2[[#Headers],[Inner Spring Stretch]],Table2[#Headers],0),0)</f>
        <v>Null</v>
      </c>
      <c r="BH496" s="2" t="str">
        <f>VLOOKUP([jobnumber],OvalData[],MATCH(Table2[[#Headers],[Inner Spring Torque]],Table2[#Headers],0),0)</f>
        <v>Null</v>
      </c>
      <c r="BI496" s="2" t="str">
        <f>VLOOKUP([jobnumber],OvalData[],MATCH(Table2[[#Headers],[Inner Spring Max Turns]],Table2[#Headers],0),0)</f>
        <v>Null</v>
      </c>
      <c r="BJ496" s="2" t="str">
        <f>VLOOKUP([jobnumber],OvalData[],MATCH(Table2[[#Headers],[Inner Spring Weight]],Table2[#Headers],0),0)</f>
        <v>Null</v>
      </c>
      <c r="BK496" s="2">
        <f>VLOOKUP([jobnumber],OvalData[],MATCH(Table2[[#Headers],[Cycles]],Table2[#Headers],0),0)</f>
        <v>0</v>
      </c>
      <c r="BL496" s="2">
        <f>VLOOKUP([jobnumber],OvalData[],MATCH(Table2[[#Headers],[Total Spring Torque]],Table2[#Headers],0),0)</f>
        <v>0</v>
      </c>
      <c r="BM496" s="2">
        <f>VLOOKUP([jobnumber],OvalData[],MATCH(Table2[[#Headers],[Total Spring Weight]],Table2[#Headers],0),0)</f>
        <v>0</v>
      </c>
      <c r="BN496" s="2">
        <f>VLOOKUP([jobnumber],OvalData[],MATCH(Table2[[#Headers],[Pipe Weight]],Table2[#Headers],0),0)</f>
        <v>688.24239999999998</v>
      </c>
      <c r="BO496" s="2">
        <f>VLOOKUP([jobnumber],OvalData[],MATCH(Table2[[#Headers],[Max Pipe Deflection]],Table2[#Headers],0),0)</f>
        <v>2309</v>
      </c>
      <c r="BP496" s="2">
        <f>VLOOKUP([jobnumber],OvalData[],MATCH(Table2[[#Headers],[Number Non-Insulated Wrap Slats]],Table2[#Headers],0),0)</f>
        <v>0</v>
      </c>
      <c r="BQ496" s="2">
        <f>VLOOKUP([jobnumber],OvalData[],MATCH(Table2[[#Headers],[Number of Insolated Top Slats]],Table2[#Headers],0),0)</f>
        <v>45</v>
      </c>
      <c r="BR496" s="2">
        <f>VLOOKUP([jobnumber],OvalData[],MATCH(Table2[[#Headers],[Insolated Total Slats]],Table2[#Headers],0),0)</f>
        <v>45</v>
      </c>
      <c r="BS496" s="2">
        <f>VLOOKUP([jobnumber],OvalData[],MATCH(Table2[[#Headers],[Number of Slats]],Table2[#Headers],0),0)</f>
        <v>44.69</v>
      </c>
      <c r="BT496" s="2">
        <f>VLOOKUP([jobnumber],OvalData[],MATCH(Table2[[#Headers],[Wrap]],Table2[#Headers],0),0)</f>
        <v>0</v>
      </c>
      <c r="BU496" s="2">
        <f>VLOOKUP([jobnumber],OvalData[],MATCH(Table2[[#Headers],[Wall Angle Thickness]],Table2[#Headers],0),0)</f>
        <v>0</v>
      </c>
      <c r="BV496" s="2">
        <f>VLOOKUP([jobnumber],OvalData[],MATCH(Table2[[#Headers],[windlocks]],Table2[#Headers],0),0)</f>
        <v>0</v>
      </c>
      <c r="BW496" s="2" t="str">
        <f>VLOOKUP([jobnumber],OvalData[],MATCH(Table2[[#Headers],[bottombartype]],Table2[#Headers],0),0)</f>
        <v>SPECIAL</v>
      </c>
      <c r="BX496" s="2">
        <f>VLOOKUP([jobnumber],OvalData[],MATCH(Table2[[#Headers],[endlockweight]],Table2[#Headers],0),0)</f>
        <v>0.17</v>
      </c>
      <c r="BY496" s="2">
        <f>VLOOKUP([jobnumber],OvalData[],MATCH(Table2[[#Headers],[Endlock Total Weight]],Table2[#Headers],0),0)</f>
        <v>7.5972999999999997</v>
      </c>
      <c r="BZ496" s="2">
        <f>VLOOKUP([jobnumber],OvalData[],MATCH(Table2[[#Headers],[Grille Weight]],Table2[#Headers],0),0)</f>
        <v>0</v>
      </c>
      <c r="CA496" s="2">
        <f>VLOOKUP([jobnumber],OvalData[],MATCH(Table2[[#Headers],[barrelrings]],Table2[#Headers],0),0)</f>
        <v>1</v>
      </c>
    </row>
    <row r="497" spans="2:79">
      <c r="B497" s="2" t="str">
        <f>VLOOKUP([jobnumber],OvalData[],MATCH(Table2[[#Headers],[Hand]],Table2[#Headers],0),0)</f>
        <v>RH</v>
      </c>
      <c r="C497" s="2" t="str">
        <f>VLOOKUP([jobnumber],OvalData[],MATCH(Table2[[#Headers],[Model]],Table2[#Headers],0),0)</f>
        <v>SFMPP</v>
      </c>
      <c r="D497" s="2" t="str">
        <f>VLOOKUP([jobnumber],OvalData[],MATCH(Table2[[#Headers],[width]],Table2[#Headers],0),0)</f>
        <v xml:space="preserve"> 18 ft.- 2"</v>
      </c>
      <c r="E497" s="2" t="str">
        <f>VLOOKUP([jobnumber],OvalData[],MATCH(Table2[[#Headers],[stopheight]],Table2[#Headers],0),0)</f>
        <v xml:space="preserve"> 10 ft.- 0"</v>
      </c>
      <c r="F497" s="2" t="str">
        <f>VLOOKUP([jobnumber],OvalData[],MATCH(Table2[[#Headers],[Between Brackets]],Table2[#Headers],0),0)</f>
        <v xml:space="preserve"> 18 ft.- 7 7/ 8"</v>
      </c>
      <c r="G497" s="2" t="str">
        <f>VLOOKUP([jobnumber],OvalData[],MATCH(Table2[[#Headers],[shell]],Table2[#Headers],0),0)</f>
        <v>6 INCH TUBE</v>
      </c>
      <c r="H497" s="2" t="str">
        <f>VLOOKUP([jobnumber],OvalData[],MATCH(Table2[[#Headers],[pipewidth]],Table2[#Headers],0),0)</f>
        <v xml:space="preserve"> 18 ft.- 1 3/ 8"</v>
      </c>
      <c r="I497" s="2">
        <f>VLOOKUP([jobnumber],OvalData[],MATCH(Table2[[#Headers],[Support Tubes]],Table2[#Headers],0),0)</f>
        <v>0</v>
      </c>
      <c r="J497" s="2">
        <f>VLOOKUP([jobnumber],OvalData[],MATCH(Table2[[#Headers],[Upset]],Table2[#Headers],0),0)</f>
        <v>2</v>
      </c>
      <c r="K497" s="2" t="str">
        <f>VLOOKUP([jobnumber],OvalData[],MATCH(Table2[[#Headers],[Guide Type]],Table2[#Headers],0),0)</f>
        <v>SN2-4 5/8-E</v>
      </c>
      <c r="L497" s="2" t="str">
        <f>VLOOKUP([jobnumber],OvalData[],MATCH(Table2[[#Headers],[Wall Angle]],Table2[#Headers],0),0)</f>
        <v xml:space="preserve"> 11 ft.- 8"</v>
      </c>
      <c r="M497" s="2" t="str">
        <f>VLOOKUP([jobnumber],OvalData[],MATCH(Table2[[#Headers],[Middle Angle]],Table2[#Headers],0),0)</f>
        <v xml:space="preserve"> 10 ft.- 4 1/ 2"</v>
      </c>
      <c r="N497" s="2" t="str">
        <f>VLOOKUP([jobnumber],OvalData[],MATCH(Table2[[#Headers],[Front Angle]],Table2[#Headers],0),0)</f>
        <v xml:space="preserve"> 10 ft.- 3"</v>
      </c>
      <c r="O497" s="2">
        <f>VLOOKUP([jobnumber],OvalData[],MATCH(Table2[[#Headers],[Pipe Center Line]],Table2[#Headers],0),0)</f>
        <v>131</v>
      </c>
      <c r="P497" s="2">
        <f>VLOOKUP([jobnumber],OvalData[],MATCH(Table2[[#Headers],[Heat Expansion Gap]],Table2[#Headers],0),0)</f>
        <v>0</v>
      </c>
      <c r="Q497" s="2">
        <f>VLOOKUP([jobnumber],OvalData[],MATCH(Table2[[#Headers],[Hanging Weight Closed]],Table2[#Headers],0),0)</f>
        <v>795</v>
      </c>
      <c r="R497" s="2">
        <f>VLOOKUP([jobnumber],OvalData[],MATCH(Table2[[#Headers],[Hanging Weight Open]],Table2[#Headers],0),0)</f>
        <v>140</v>
      </c>
      <c r="S497" s="2">
        <f>VLOOKUP([jobnumber],OvalData[],MATCH(Table2[[#Headers],[Initial Lever Arm]],Table2[#Headers],0),0)</f>
        <v>4.25</v>
      </c>
      <c r="T497" s="2">
        <f>VLOOKUP([jobnumber],OvalData[],MATCH(Table2[[#Headers],[Turns to Raise]],Table2[#Headers],0),0)</f>
        <v>3.5859999999999999</v>
      </c>
      <c r="U497" s="2">
        <f>VLOOKUP([jobnumber],OvalData[],MATCH(Table2[[#Headers],[Final Lever Arm]],Table2[#Headers],0),0)</f>
        <v>6.37</v>
      </c>
      <c r="V497" s="2">
        <f>VLOOKUP([jobnumber],OvalData[],MATCH(Table2[[#Headers],[Torque Required Closed]],Table2[#Headers],0),0)</f>
        <v>3377.9</v>
      </c>
      <c r="W497" s="2">
        <f>VLOOKUP([jobnumber],OvalData[],MATCH(Table2[[#Headers],[Torque Required Open]],Table2[#Headers],0),0)</f>
        <v>892</v>
      </c>
      <c r="X497" s="2">
        <f>VLOOKUP([jobnumber],OvalData[],MATCH(Table2[[#Headers],[Pre Turns]],Table2[#Headers],0),0)</f>
        <v>1.3332999999999999</v>
      </c>
      <c r="Y497" s="2">
        <f>VLOOKUP([jobnumber],OvalData[],MATCH(Table2[[#Headers],[Required Torque Per Turn]],Table2[#Headers],0),0)</f>
        <v>688</v>
      </c>
      <c r="Z497" s="2">
        <f>VLOOKUP([jobnumber],OvalData[],MATCH(Table2[[#Headers],[Total Turns]],Table2[#Headers],0),0)</f>
        <v>4.91</v>
      </c>
      <c r="AA497" s="2">
        <f>VLOOKUP([jobnumber],OvalData[],MATCH(Table2[[#Headers],[Grille Vision Section]],Table2[#Headers],0),0)</f>
        <v>0</v>
      </c>
      <c r="AB497" s="2">
        <f>VLOOKUP([jobnumber],OvalData[],MATCH(Table2[[#Headers],[Grille Amount]],Table2[#Headers],0),0)</f>
        <v>0</v>
      </c>
      <c r="AC497" s="2">
        <f>VLOOKUP([jobnumber],OvalData[],MATCH(Table2[[#Headers],[Grille Center]],Table2[#Headers],0),0)</f>
        <v>0</v>
      </c>
      <c r="AD497" s="2">
        <f>VLOOKUP([jobnumber],OvalData[],MATCH(Table2[[#Headers],[Grille Pattern]],Table2[#Headers],0),0)</f>
        <v>0</v>
      </c>
      <c r="AE497" s="2">
        <f>VLOOKUP([jobnumber],OvalData[],MATCH(Table2[[#Headers],[Grille First Tube]],Table2[#Headers],0),0)</f>
        <v>0</v>
      </c>
      <c r="AF497" s="2">
        <f>VLOOKUP([jobnumber],OvalData[],MATCH(Table2[[#Headers],[Grille Standard Tube]],Table2[#Headers],0),0)</f>
        <v>0</v>
      </c>
      <c r="AG497" s="2">
        <f>VLOOKUP([jobnumber],OvalData[],MATCH(Table2[[#Headers],[Grille Total Links]],Table2[#Headers],0),0)</f>
        <v>0</v>
      </c>
      <c r="AH497" s="2">
        <f>VLOOKUP([jobnumber],OvalData[],MATCH(Table2[[#Headers],[Grille Rods]],Table2[#Headers],0),0)</f>
        <v>0</v>
      </c>
      <c r="AI497" s="2">
        <f>VLOOKUP([jobnumber],OvalData[],MATCH(Table2[[#Headers],[Grille Rod Length]],Table2[#Headers],0),0)</f>
        <v>0</v>
      </c>
      <c r="AJ497" s="2">
        <f>VLOOKUP([jobnumber],OvalData[],MATCH(Table2[[#Headers],[slattype]],Table2[#Headers],0),0)</f>
        <v>2</v>
      </c>
      <c r="AK497" s="2">
        <f>VLOOKUP([jobnumber],OvalData[],MATCH(Table2[[#Headers],[slatgage]],Table2[#Headers],0),0)</f>
        <v>18</v>
      </c>
      <c r="AL497" s="2">
        <f>VLOOKUP([jobnumber],OvalData[],MATCH(Table2[[#Headers],[Numer of Top Slats]],Table2[#Headers],0),0)</f>
        <v>0</v>
      </c>
      <c r="AM497" s="2">
        <f>VLOOKUP([jobnumber],OvalData[],MATCH(Table2[[#Headers],[Number of Bottom Slats]],Table2[#Headers],0),0)</f>
        <v>0</v>
      </c>
      <c r="AN497" s="2">
        <f>VLOOKUP([jobnumber],OvalData[],MATCH(Table2[[#Headers],[Solid Bottom Height]],Table2[#Headers],0),0)</f>
        <v>0</v>
      </c>
      <c r="AO497" s="2" t="str">
        <f>VLOOKUP([jobnumber],OvalData[],MATCH(Table2[[#Headers],[slatlength]],Table2[#Headers],0),0)</f>
        <v xml:space="preserve"> 18 ft.- 5 7/ 8"</v>
      </c>
      <c r="AP497" s="2">
        <f>VLOOKUP([jobnumber],OvalData[],MATCH(Table2[[#Headers],[Bottom Slat Length]],Table2[#Headers],0),0)</f>
        <v>0</v>
      </c>
      <c r="AQ497" s="2">
        <f>VLOOKUP([jobnumber],OvalData[],MATCH(Table2[[#Headers],[Number of Perferated Slats]],Table2[#Headers],0),0)</f>
        <v>0</v>
      </c>
      <c r="AR497" s="2">
        <f>VLOOKUP([jobnumber],OvalData[],MATCH(Table2[[#Headers],[First Preferated Slat From End]],Table2[#Headers],0),0)</f>
        <v>0</v>
      </c>
      <c r="AS497" s="2">
        <f>VLOOKUP([jobnumber],OvalData[],MATCH(Table2[[#Headers],[First Preferated Slat From Bottom]],Table2[#Headers],0),0)</f>
        <v>0</v>
      </c>
      <c r="AT497" s="2">
        <f>VLOOKUP([jobnumber],OvalData[],MATCH(Table2[[#Headers],[Total Number of Slats]],Table2[#Headers],0),0)</f>
        <v>51</v>
      </c>
      <c r="AU497" s="2">
        <f>VLOOKUP([jobnumber],OvalData[],MATCH(Table2[[#Headers],[Bottom Bar Slope]],Table2[#Headers],0),0)</f>
        <v>0</v>
      </c>
      <c r="AV497" s="2">
        <f>VLOOKUP([jobnumber],OvalData[],MATCH(Table2[[#Headers],[Bottom Bar Weight]],Table2[#Headers],0),0)</f>
        <v>80.5</v>
      </c>
      <c r="AW497" s="2" t="str">
        <f>VLOOKUP([jobnumber],OvalData[],MATCH(Table2[[#Headers],[Outer Spring Gage]],Table2[#Headers],0),0)</f>
        <v>Null</v>
      </c>
      <c r="AX497" s="2" t="str">
        <f>VLOOKUP([jobnumber],OvalData[],MATCH(Table2[[#Headers],[Outer Spring OD]],Table2[#Headers],0),0)</f>
        <v>Null</v>
      </c>
      <c r="AY497" s="2" t="str">
        <f>VLOOKUP([jobnumber],OvalData[],MATCH(Table2[[#Headers],[Outer Spring Length]],Table2[#Headers],0),0)</f>
        <v>Null</v>
      </c>
      <c r="AZ497" s="2" t="str">
        <f>VLOOKUP([jobnumber],OvalData[],MATCH(Table2[[#Headers],[Outer Spring Stretch]],Table2[#Headers],0),0)</f>
        <v>Null</v>
      </c>
      <c r="BA497" s="2" t="str">
        <f>VLOOKUP([jobnumber],OvalData[],MATCH(Table2[[#Headers],[Outer Spring Torque]],Table2[#Headers],0),0)</f>
        <v>Null</v>
      </c>
      <c r="BB497" s="2" t="str">
        <f>VLOOKUP([jobnumber],OvalData[],MATCH(Table2[[#Headers],[Outer Spring Max Turns]],Table2[#Headers],0),0)</f>
        <v>Null</v>
      </c>
      <c r="BC497" s="2" t="str">
        <f>VLOOKUP([jobnumber],OvalData[],MATCH(Table2[[#Headers],[Outer Spring Weight]],Table2[#Headers],0),0)</f>
        <v>Null</v>
      </c>
      <c r="BD497" s="2" t="str">
        <f>VLOOKUP([jobnumber],OvalData[],MATCH(Table2[[#Headers],[Inner Spring Gage]],Table2[#Headers],0),0)</f>
        <v>Null</v>
      </c>
      <c r="BE497" s="2" t="str">
        <f>VLOOKUP([jobnumber],OvalData[],MATCH(Table2[[#Headers],[Inner Spring OD]],Table2[#Headers],0),0)</f>
        <v>Null</v>
      </c>
      <c r="BF497" s="2" t="str">
        <f>VLOOKUP([jobnumber],OvalData[],MATCH(Table2[[#Headers],[Inner Spring Length]],Table2[#Headers],0),0)</f>
        <v>Null</v>
      </c>
      <c r="BG497" s="2" t="str">
        <f>VLOOKUP([jobnumber],OvalData[],MATCH(Table2[[#Headers],[Inner Spring Stretch]],Table2[#Headers],0),0)</f>
        <v>Null</v>
      </c>
      <c r="BH497" s="2" t="str">
        <f>VLOOKUP([jobnumber],OvalData[],MATCH(Table2[[#Headers],[Inner Spring Torque]],Table2[#Headers],0),0)</f>
        <v>Null</v>
      </c>
      <c r="BI497" s="2" t="str">
        <f>VLOOKUP([jobnumber],OvalData[],MATCH(Table2[[#Headers],[Inner Spring Max Turns]],Table2[#Headers],0),0)</f>
        <v>Null</v>
      </c>
      <c r="BJ497" s="2" t="str">
        <f>VLOOKUP([jobnumber],OvalData[],MATCH(Table2[[#Headers],[Inner Spring Weight]],Table2[#Headers],0),0)</f>
        <v>Null</v>
      </c>
      <c r="BK497" s="2">
        <f>VLOOKUP([jobnumber],OvalData[],MATCH(Table2[[#Headers],[Cycles]],Table2[#Headers],0),0)</f>
        <v>0</v>
      </c>
      <c r="BL497" s="2">
        <f>VLOOKUP([jobnumber],OvalData[],MATCH(Table2[[#Headers],[Total Spring Torque]],Table2[#Headers],0),0)</f>
        <v>0</v>
      </c>
      <c r="BM497" s="2">
        <f>VLOOKUP([jobnumber],OvalData[],MATCH(Table2[[#Headers],[Total Spring Weight]],Table2[#Headers],0),0)</f>
        <v>0</v>
      </c>
      <c r="BN497" s="2">
        <f>VLOOKUP([jobnumber],OvalData[],MATCH(Table2[[#Headers],[Pipe Weight]],Table2[#Headers],0),0)</f>
        <v>688.24239999999998</v>
      </c>
      <c r="BO497" s="2">
        <f>VLOOKUP([jobnumber],OvalData[],MATCH(Table2[[#Headers],[Max Pipe Deflection]],Table2[#Headers],0),0)</f>
        <v>2309</v>
      </c>
      <c r="BP497" s="2">
        <f>VLOOKUP([jobnumber],OvalData[],MATCH(Table2[[#Headers],[Number Non-Insulated Wrap Slats]],Table2[#Headers],0),0)</f>
        <v>0</v>
      </c>
      <c r="BQ497" s="2">
        <f>VLOOKUP([jobnumber],OvalData[],MATCH(Table2[[#Headers],[Number of Insolated Top Slats]],Table2[#Headers],0),0)</f>
        <v>45</v>
      </c>
      <c r="BR497" s="2">
        <f>VLOOKUP([jobnumber],OvalData[],MATCH(Table2[[#Headers],[Insolated Total Slats]],Table2[#Headers],0),0)</f>
        <v>45</v>
      </c>
      <c r="BS497" s="2">
        <f>VLOOKUP([jobnumber],OvalData[],MATCH(Table2[[#Headers],[Number of Slats]],Table2[#Headers],0),0)</f>
        <v>44.69</v>
      </c>
      <c r="BT497" s="2">
        <f>VLOOKUP([jobnumber],OvalData[],MATCH(Table2[[#Headers],[Wrap]],Table2[#Headers],0),0)</f>
        <v>0</v>
      </c>
      <c r="BU497" s="2">
        <f>VLOOKUP([jobnumber],OvalData[],MATCH(Table2[[#Headers],[Wall Angle Thickness]],Table2[#Headers],0),0)</f>
        <v>0</v>
      </c>
      <c r="BV497" s="2">
        <f>VLOOKUP([jobnumber],OvalData[],MATCH(Table2[[#Headers],[windlocks]],Table2[#Headers],0),0)</f>
        <v>0</v>
      </c>
      <c r="BW497" s="2" t="str">
        <f>VLOOKUP([jobnumber],OvalData[],MATCH(Table2[[#Headers],[bottombartype]],Table2[#Headers],0),0)</f>
        <v>SPECIAL</v>
      </c>
      <c r="BX497" s="2">
        <f>VLOOKUP([jobnumber],OvalData[],MATCH(Table2[[#Headers],[endlockweight]],Table2[#Headers],0),0)</f>
        <v>0.17</v>
      </c>
      <c r="BY497" s="2">
        <f>VLOOKUP([jobnumber],OvalData[],MATCH(Table2[[#Headers],[Endlock Total Weight]],Table2[#Headers],0),0)</f>
        <v>7.5972999999999997</v>
      </c>
      <c r="BZ497" s="2">
        <f>VLOOKUP([jobnumber],OvalData[],MATCH(Table2[[#Headers],[Grille Weight]],Table2[#Headers],0),0)</f>
        <v>0</v>
      </c>
      <c r="CA497" s="2">
        <f>VLOOKUP([jobnumber],OvalData[],MATCH(Table2[[#Headers],[barrelrings]],Table2[#Headers],0),0)</f>
        <v>1</v>
      </c>
    </row>
    <row r="498" spans="2:79">
      <c r="B498" s="2" t="str">
        <f>VLOOKUP([jobnumber],OvalData[],MATCH(Table2[[#Headers],[Hand]],Table2[#Headers],0),0)</f>
        <v>RH</v>
      </c>
      <c r="C498" s="2" t="str">
        <f>VLOOKUP([jobnumber],OvalData[],MATCH(Table2[[#Headers],[Model]],Table2[#Headers],0),0)</f>
        <v>SFMPP</v>
      </c>
      <c r="D498" s="2" t="str">
        <f>VLOOKUP([jobnumber],OvalData[],MATCH(Table2[[#Headers],[width]],Table2[#Headers],0),0)</f>
        <v xml:space="preserve"> 18 ft.- 2"</v>
      </c>
      <c r="E498" s="2" t="str">
        <f>VLOOKUP([jobnumber],OvalData[],MATCH(Table2[[#Headers],[stopheight]],Table2[#Headers],0),0)</f>
        <v xml:space="preserve"> 10 ft.- 0"</v>
      </c>
      <c r="F498" s="2" t="str">
        <f>VLOOKUP([jobnumber],OvalData[],MATCH(Table2[[#Headers],[Between Brackets]],Table2[#Headers],0),0)</f>
        <v xml:space="preserve"> 18 ft.- 7 7/ 8"</v>
      </c>
      <c r="G498" s="2" t="str">
        <f>VLOOKUP([jobnumber],OvalData[],MATCH(Table2[[#Headers],[shell]],Table2[#Headers],0),0)</f>
        <v>6 INCH TUBE</v>
      </c>
      <c r="H498" s="2" t="str">
        <f>VLOOKUP([jobnumber],OvalData[],MATCH(Table2[[#Headers],[pipewidth]],Table2[#Headers],0),0)</f>
        <v xml:space="preserve"> 18 ft.- 1 3/ 8"</v>
      </c>
      <c r="I498" s="2">
        <f>VLOOKUP([jobnumber],OvalData[],MATCH(Table2[[#Headers],[Support Tubes]],Table2[#Headers],0),0)</f>
        <v>0</v>
      </c>
      <c r="J498" s="2">
        <f>VLOOKUP([jobnumber],OvalData[],MATCH(Table2[[#Headers],[Upset]],Table2[#Headers],0),0)</f>
        <v>2</v>
      </c>
      <c r="K498" s="2" t="str">
        <f>VLOOKUP([jobnumber],OvalData[],MATCH(Table2[[#Headers],[Guide Type]],Table2[#Headers],0),0)</f>
        <v>SN2-4 5/8-E</v>
      </c>
      <c r="L498" s="2" t="str">
        <f>VLOOKUP([jobnumber],OvalData[],MATCH(Table2[[#Headers],[Wall Angle]],Table2[#Headers],0),0)</f>
        <v xml:space="preserve"> 11 ft.- 8"</v>
      </c>
      <c r="M498" s="2" t="str">
        <f>VLOOKUP([jobnumber],OvalData[],MATCH(Table2[[#Headers],[Middle Angle]],Table2[#Headers],0),0)</f>
        <v xml:space="preserve"> 10 ft.- 4 1/ 2"</v>
      </c>
      <c r="N498" s="2" t="str">
        <f>VLOOKUP([jobnumber],OvalData[],MATCH(Table2[[#Headers],[Front Angle]],Table2[#Headers],0),0)</f>
        <v xml:space="preserve"> 10 ft.- 3"</v>
      </c>
      <c r="O498" s="2">
        <f>VLOOKUP([jobnumber],OvalData[],MATCH(Table2[[#Headers],[Pipe Center Line]],Table2[#Headers],0),0)</f>
        <v>131</v>
      </c>
      <c r="P498" s="2">
        <f>VLOOKUP([jobnumber],OvalData[],MATCH(Table2[[#Headers],[Heat Expansion Gap]],Table2[#Headers],0),0)</f>
        <v>0</v>
      </c>
      <c r="Q498" s="2">
        <f>VLOOKUP([jobnumber],OvalData[],MATCH(Table2[[#Headers],[Hanging Weight Closed]],Table2[#Headers],0),0)</f>
        <v>795</v>
      </c>
      <c r="R498" s="2">
        <f>VLOOKUP([jobnumber],OvalData[],MATCH(Table2[[#Headers],[Hanging Weight Open]],Table2[#Headers],0),0)</f>
        <v>140</v>
      </c>
      <c r="S498" s="2">
        <f>VLOOKUP([jobnumber],OvalData[],MATCH(Table2[[#Headers],[Initial Lever Arm]],Table2[#Headers],0),0)</f>
        <v>4.25</v>
      </c>
      <c r="T498" s="2">
        <f>VLOOKUP([jobnumber],OvalData[],MATCH(Table2[[#Headers],[Turns to Raise]],Table2[#Headers],0),0)</f>
        <v>3.5859999999999999</v>
      </c>
      <c r="U498" s="2">
        <f>VLOOKUP([jobnumber],OvalData[],MATCH(Table2[[#Headers],[Final Lever Arm]],Table2[#Headers],0),0)</f>
        <v>6.37</v>
      </c>
      <c r="V498" s="2">
        <f>VLOOKUP([jobnumber],OvalData[],MATCH(Table2[[#Headers],[Torque Required Closed]],Table2[#Headers],0),0)</f>
        <v>3377.9</v>
      </c>
      <c r="W498" s="2">
        <f>VLOOKUP([jobnumber],OvalData[],MATCH(Table2[[#Headers],[Torque Required Open]],Table2[#Headers],0),0)</f>
        <v>892</v>
      </c>
      <c r="X498" s="2">
        <f>VLOOKUP([jobnumber],OvalData[],MATCH(Table2[[#Headers],[Pre Turns]],Table2[#Headers],0),0)</f>
        <v>1.3332999999999999</v>
      </c>
      <c r="Y498" s="2">
        <f>VLOOKUP([jobnumber],OvalData[],MATCH(Table2[[#Headers],[Required Torque Per Turn]],Table2[#Headers],0),0)</f>
        <v>688</v>
      </c>
      <c r="Z498" s="2">
        <f>VLOOKUP([jobnumber],OvalData[],MATCH(Table2[[#Headers],[Total Turns]],Table2[#Headers],0),0)</f>
        <v>4.91</v>
      </c>
      <c r="AA498" s="2">
        <f>VLOOKUP([jobnumber],OvalData[],MATCH(Table2[[#Headers],[Grille Vision Section]],Table2[#Headers],0),0)</f>
        <v>0</v>
      </c>
      <c r="AB498" s="2">
        <f>VLOOKUP([jobnumber],OvalData[],MATCH(Table2[[#Headers],[Grille Amount]],Table2[#Headers],0),0)</f>
        <v>0</v>
      </c>
      <c r="AC498" s="2">
        <f>VLOOKUP([jobnumber],OvalData[],MATCH(Table2[[#Headers],[Grille Center]],Table2[#Headers],0),0)</f>
        <v>0</v>
      </c>
      <c r="AD498" s="2">
        <f>VLOOKUP([jobnumber],OvalData[],MATCH(Table2[[#Headers],[Grille Pattern]],Table2[#Headers],0),0)</f>
        <v>0</v>
      </c>
      <c r="AE498" s="2">
        <f>VLOOKUP([jobnumber],OvalData[],MATCH(Table2[[#Headers],[Grille First Tube]],Table2[#Headers],0),0)</f>
        <v>0</v>
      </c>
      <c r="AF498" s="2">
        <f>VLOOKUP([jobnumber],OvalData[],MATCH(Table2[[#Headers],[Grille Standard Tube]],Table2[#Headers],0),0)</f>
        <v>0</v>
      </c>
      <c r="AG498" s="2">
        <f>VLOOKUP([jobnumber],OvalData[],MATCH(Table2[[#Headers],[Grille Total Links]],Table2[#Headers],0),0)</f>
        <v>0</v>
      </c>
      <c r="AH498" s="2">
        <f>VLOOKUP([jobnumber],OvalData[],MATCH(Table2[[#Headers],[Grille Rods]],Table2[#Headers],0),0)</f>
        <v>0</v>
      </c>
      <c r="AI498" s="2">
        <f>VLOOKUP([jobnumber],OvalData[],MATCH(Table2[[#Headers],[Grille Rod Length]],Table2[#Headers],0),0)</f>
        <v>0</v>
      </c>
      <c r="AJ498" s="2">
        <f>VLOOKUP([jobnumber],OvalData[],MATCH(Table2[[#Headers],[slattype]],Table2[#Headers],0),0)</f>
        <v>2</v>
      </c>
      <c r="AK498" s="2">
        <f>VLOOKUP([jobnumber],OvalData[],MATCH(Table2[[#Headers],[slatgage]],Table2[#Headers],0),0)</f>
        <v>18</v>
      </c>
      <c r="AL498" s="2">
        <f>VLOOKUP([jobnumber],OvalData[],MATCH(Table2[[#Headers],[Numer of Top Slats]],Table2[#Headers],0),0)</f>
        <v>0</v>
      </c>
      <c r="AM498" s="2">
        <f>VLOOKUP([jobnumber],OvalData[],MATCH(Table2[[#Headers],[Number of Bottom Slats]],Table2[#Headers],0),0)</f>
        <v>0</v>
      </c>
      <c r="AN498" s="2">
        <f>VLOOKUP([jobnumber],OvalData[],MATCH(Table2[[#Headers],[Solid Bottom Height]],Table2[#Headers],0),0)</f>
        <v>0</v>
      </c>
      <c r="AO498" s="2" t="str">
        <f>VLOOKUP([jobnumber],OvalData[],MATCH(Table2[[#Headers],[slatlength]],Table2[#Headers],0),0)</f>
        <v xml:space="preserve"> 18 ft.- 5 7/ 8"</v>
      </c>
      <c r="AP498" s="2">
        <f>VLOOKUP([jobnumber],OvalData[],MATCH(Table2[[#Headers],[Bottom Slat Length]],Table2[#Headers],0),0)</f>
        <v>0</v>
      </c>
      <c r="AQ498" s="2">
        <f>VLOOKUP([jobnumber],OvalData[],MATCH(Table2[[#Headers],[Number of Perferated Slats]],Table2[#Headers],0),0)</f>
        <v>0</v>
      </c>
      <c r="AR498" s="2">
        <f>VLOOKUP([jobnumber],OvalData[],MATCH(Table2[[#Headers],[First Preferated Slat From End]],Table2[#Headers],0),0)</f>
        <v>0</v>
      </c>
      <c r="AS498" s="2">
        <f>VLOOKUP([jobnumber],OvalData[],MATCH(Table2[[#Headers],[First Preferated Slat From Bottom]],Table2[#Headers],0),0)</f>
        <v>0</v>
      </c>
      <c r="AT498" s="2">
        <f>VLOOKUP([jobnumber],OvalData[],MATCH(Table2[[#Headers],[Total Number of Slats]],Table2[#Headers],0),0)</f>
        <v>51</v>
      </c>
      <c r="AU498" s="2">
        <f>VLOOKUP([jobnumber],OvalData[],MATCH(Table2[[#Headers],[Bottom Bar Slope]],Table2[#Headers],0),0)</f>
        <v>0</v>
      </c>
      <c r="AV498" s="2">
        <f>VLOOKUP([jobnumber],OvalData[],MATCH(Table2[[#Headers],[Bottom Bar Weight]],Table2[#Headers],0),0)</f>
        <v>80.5</v>
      </c>
      <c r="AW498" s="2" t="str">
        <f>VLOOKUP([jobnumber],OvalData[],MATCH(Table2[[#Headers],[Outer Spring Gage]],Table2[#Headers],0),0)</f>
        <v>Null</v>
      </c>
      <c r="AX498" s="2" t="str">
        <f>VLOOKUP([jobnumber],OvalData[],MATCH(Table2[[#Headers],[Outer Spring OD]],Table2[#Headers],0),0)</f>
        <v>Null</v>
      </c>
      <c r="AY498" s="2" t="str">
        <f>VLOOKUP([jobnumber],OvalData[],MATCH(Table2[[#Headers],[Outer Spring Length]],Table2[#Headers],0),0)</f>
        <v>Null</v>
      </c>
      <c r="AZ498" s="2" t="str">
        <f>VLOOKUP([jobnumber],OvalData[],MATCH(Table2[[#Headers],[Outer Spring Stretch]],Table2[#Headers],0),0)</f>
        <v>Null</v>
      </c>
      <c r="BA498" s="2" t="str">
        <f>VLOOKUP([jobnumber],OvalData[],MATCH(Table2[[#Headers],[Outer Spring Torque]],Table2[#Headers],0),0)</f>
        <v>Null</v>
      </c>
      <c r="BB498" s="2" t="str">
        <f>VLOOKUP([jobnumber],OvalData[],MATCH(Table2[[#Headers],[Outer Spring Max Turns]],Table2[#Headers],0),0)</f>
        <v>Null</v>
      </c>
      <c r="BC498" s="2" t="str">
        <f>VLOOKUP([jobnumber],OvalData[],MATCH(Table2[[#Headers],[Outer Spring Weight]],Table2[#Headers],0),0)</f>
        <v>Null</v>
      </c>
      <c r="BD498" s="2" t="str">
        <f>VLOOKUP([jobnumber],OvalData[],MATCH(Table2[[#Headers],[Inner Spring Gage]],Table2[#Headers],0),0)</f>
        <v>Null</v>
      </c>
      <c r="BE498" s="2" t="str">
        <f>VLOOKUP([jobnumber],OvalData[],MATCH(Table2[[#Headers],[Inner Spring OD]],Table2[#Headers],0),0)</f>
        <v>Null</v>
      </c>
      <c r="BF498" s="2" t="str">
        <f>VLOOKUP([jobnumber],OvalData[],MATCH(Table2[[#Headers],[Inner Spring Length]],Table2[#Headers],0),0)</f>
        <v>Null</v>
      </c>
      <c r="BG498" s="2" t="str">
        <f>VLOOKUP([jobnumber],OvalData[],MATCH(Table2[[#Headers],[Inner Spring Stretch]],Table2[#Headers],0),0)</f>
        <v>Null</v>
      </c>
      <c r="BH498" s="2" t="str">
        <f>VLOOKUP([jobnumber],OvalData[],MATCH(Table2[[#Headers],[Inner Spring Torque]],Table2[#Headers],0),0)</f>
        <v>Null</v>
      </c>
      <c r="BI498" s="2" t="str">
        <f>VLOOKUP([jobnumber],OvalData[],MATCH(Table2[[#Headers],[Inner Spring Max Turns]],Table2[#Headers],0),0)</f>
        <v>Null</v>
      </c>
      <c r="BJ498" s="2" t="str">
        <f>VLOOKUP([jobnumber],OvalData[],MATCH(Table2[[#Headers],[Inner Spring Weight]],Table2[#Headers],0),0)</f>
        <v>Null</v>
      </c>
      <c r="BK498" s="2">
        <f>VLOOKUP([jobnumber],OvalData[],MATCH(Table2[[#Headers],[Cycles]],Table2[#Headers],0),0)</f>
        <v>0</v>
      </c>
      <c r="BL498" s="2">
        <f>VLOOKUP([jobnumber],OvalData[],MATCH(Table2[[#Headers],[Total Spring Torque]],Table2[#Headers],0),0)</f>
        <v>0</v>
      </c>
      <c r="BM498" s="2">
        <f>VLOOKUP([jobnumber],OvalData[],MATCH(Table2[[#Headers],[Total Spring Weight]],Table2[#Headers],0),0)</f>
        <v>0</v>
      </c>
      <c r="BN498" s="2">
        <f>VLOOKUP([jobnumber],OvalData[],MATCH(Table2[[#Headers],[Pipe Weight]],Table2[#Headers],0),0)</f>
        <v>688.24239999999998</v>
      </c>
      <c r="BO498" s="2">
        <f>VLOOKUP([jobnumber],OvalData[],MATCH(Table2[[#Headers],[Max Pipe Deflection]],Table2[#Headers],0),0)</f>
        <v>2309</v>
      </c>
      <c r="BP498" s="2">
        <f>VLOOKUP([jobnumber],OvalData[],MATCH(Table2[[#Headers],[Number Non-Insulated Wrap Slats]],Table2[#Headers],0),0)</f>
        <v>0</v>
      </c>
      <c r="BQ498" s="2">
        <f>VLOOKUP([jobnumber],OvalData[],MATCH(Table2[[#Headers],[Number of Insolated Top Slats]],Table2[#Headers],0),0)</f>
        <v>45</v>
      </c>
      <c r="BR498" s="2">
        <f>VLOOKUP([jobnumber],OvalData[],MATCH(Table2[[#Headers],[Insolated Total Slats]],Table2[#Headers],0),0)</f>
        <v>45</v>
      </c>
      <c r="BS498" s="2">
        <f>VLOOKUP([jobnumber],OvalData[],MATCH(Table2[[#Headers],[Number of Slats]],Table2[#Headers],0),0)</f>
        <v>44.69</v>
      </c>
      <c r="BT498" s="2">
        <f>VLOOKUP([jobnumber],OvalData[],MATCH(Table2[[#Headers],[Wrap]],Table2[#Headers],0),0)</f>
        <v>0</v>
      </c>
      <c r="BU498" s="2">
        <f>VLOOKUP([jobnumber],OvalData[],MATCH(Table2[[#Headers],[Wall Angle Thickness]],Table2[#Headers],0),0)</f>
        <v>0</v>
      </c>
      <c r="BV498" s="2">
        <f>VLOOKUP([jobnumber],OvalData[],MATCH(Table2[[#Headers],[windlocks]],Table2[#Headers],0),0)</f>
        <v>0</v>
      </c>
      <c r="BW498" s="2" t="str">
        <f>VLOOKUP([jobnumber],OvalData[],MATCH(Table2[[#Headers],[bottombartype]],Table2[#Headers],0),0)</f>
        <v>SPECIAL</v>
      </c>
      <c r="BX498" s="2">
        <f>VLOOKUP([jobnumber],OvalData[],MATCH(Table2[[#Headers],[endlockweight]],Table2[#Headers],0),0)</f>
        <v>0.17</v>
      </c>
      <c r="BY498" s="2">
        <f>VLOOKUP([jobnumber],OvalData[],MATCH(Table2[[#Headers],[Endlock Total Weight]],Table2[#Headers],0),0)</f>
        <v>7.5972999999999997</v>
      </c>
      <c r="BZ498" s="2">
        <f>VLOOKUP([jobnumber],OvalData[],MATCH(Table2[[#Headers],[Grille Weight]],Table2[#Headers],0),0)</f>
        <v>0</v>
      </c>
      <c r="CA498" s="2">
        <f>VLOOKUP([jobnumber],OvalData[],MATCH(Table2[[#Headers],[barrelrings]],Table2[#Headers],0),0)</f>
        <v>1</v>
      </c>
    </row>
    <row r="499" spans="2:79">
      <c r="B499" s="2" t="str">
        <f>VLOOKUP([jobnumber],OvalData[],MATCH(Table2[[#Headers],[Hand]],Table2[#Headers],0),0)</f>
        <v>RH</v>
      </c>
      <c r="C499" s="2" t="str">
        <f>VLOOKUP([jobnumber],OvalData[],MATCH(Table2[[#Headers],[Model]],Table2[#Headers],0),0)</f>
        <v>SFMPP</v>
      </c>
      <c r="D499" s="2" t="str">
        <f>VLOOKUP([jobnumber],OvalData[],MATCH(Table2[[#Headers],[width]],Table2[#Headers],0),0)</f>
        <v xml:space="preserve"> 18 ft.- 2"</v>
      </c>
      <c r="E499" s="2" t="str">
        <f>VLOOKUP([jobnumber],OvalData[],MATCH(Table2[[#Headers],[stopheight]],Table2[#Headers],0),0)</f>
        <v xml:space="preserve"> 10 ft.- 0"</v>
      </c>
      <c r="F499" s="2" t="str">
        <f>VLOOKUP([jobnumber],OvalData[],MATCH(Table2[[#Headers],[Between Brackets]],Table2[#Headers],0),0)</f>
        <v xml:space="preserve"> 18 ft.- 7 7/ 8"</v>
      </c>
      <c r="G499" s="2" t="str">
        <f>VLOOKUP([jobnumber],OvalData[],MATCH(Table2[[#Headers],[shell]],Table2[#Headers],0),0)</f>
        <v>6 INCH TUBE</v>
      </c>
      <c r="H499" s="2" t="str">
        <f>VLOOKUP([jobnumber],OvalData[],MATCH(Table2[[#Headers],[pipewidth]],Table2[#Headers],0),0)</f>
        <v xml:space="preserve"> 18 ft.- 1 3/ 8"</v>
      </c>
      <c r="I499" s="2">
        <f>VLOOKUP([jobnumber],OvalData[],MATCH(Table2[[#Headers],[Support Tubes]],Table2[#Headers],0),0)</f>
        <v>0</v>
      </c>
      <c r="J499" s="2">
        <f>VLOOKUP([jobnumber],OvalData[],MATCH(Table2[[#Headers],[Upset]],Table2[#Headers],0),0)</f>
        <v>2</v>
      </c>
      <c r="K499" s="2" t="str">
        <f>VLOOKUP([jobnumber],OvalData[],MATCH(Table2[[#Headers],[Guide Type]],Table2[#Headers],0),0)</f>
        <v>SN2-4 5/8-E</v>
      </c>
      <c r="L499" s="2" t="str">
        <f>VLOOKUP([jobnumber],OvalData[],MATCH(Table2[[#Headers],[Wall Angle]],Table2[#Headers],0),0)</f>
        <v xml:space="preserve"> 11 ft.- 8"</v>
      </c>
      <c r="M499" s="2" t="str">
        <f>VLOOKUP([jobnumber],OvalData[],MATCH(Table2[[#Headers],[Middle Angle]],Table2[#Headers],0),0)</f>
        <v xml:space="preserve"> 10 ft.- 4 1/ 2"</v>
      </c>
      <c r="N499" s="2" t="str">
        <f>VLOOKUP([jobnumber],OvalData[],MATCH(Table2[[#Headers],[Front Angle]],Table2[#Headers],0),0)</f>
        <v xml:space="preserve"> 10 ft.- 3"</v>
      </c>
      <c r="O499" s="2">
        <f>VLOOKUP([jobnumber],OvalData[],MATCH(Table2[[#Headers],[Pipe Center Line]],Table2[#Headers],0),0)</f>
        <v>131</v>
      </c>
      <c r="P499" s="2">
        <f>VLOOKUP([jobnumber],OvalData[],MATCH(Table2[[#Headers],[Heat Expansion Gap]],Table2[#Headers],0),0)</f>
        <v>0</v>
      </c>
      <c r="Q499" s="2">
        <f>VLOOKUP([jobnumber],OvalData[],MATCH(Table2[[#Headers],[Hanging Weight Closed]],Table2[#Headers],0),0)</f>
        <v>795</v>
      </c>
      <c r="R499" s="2">
        <f>VLOOKUP([jobnumber],OvalData[],MATCH(Table2[[#Headers],[Hanging Weight Open]],Table2[#Headers],0),0)</f>
        <v>140</v>
      </c>
      <c r="S499" s="2">
        <f>VLOOKUP([jobnumber],OvalData[],MATCH(Table2[[#Headers],[Initial Lever Arm]],Table2[#Headers],0),0)</f>
        <v>4.25</v>
      </c>
      <c r="T499" s="2">
        <f>VLOOKUP([jobnumber],OvalData[],MATCH(Table2[[#Headers],[Turns to Raise]],Table2[#Headers],0),0)</f>
        <v>3.5859999999999999</v>
      </c>
      <c r="U499" s="2">
        <f>VLOOKUP([jobnumber],OvalData[],MATCH(Table2[[#Headers],[Final Lever Arm]],Table2[#Headers],0),0)</f>
        <v>6.37</v>
      </c>
      <c r="V499" s="2">
        <f>VLOOKUP([jobnumber],OvalData[],MATCH(Table2[[#Headers],[Torque Required Closed]],Table2[#Headers],0),0)</f>
        <v>3377.9</v>
      </c>
      <c r="W499" s="2">
        <f>VLOOKUP([jobnumber],OvalData[],MATCH(Table2[[#Headers],[Torque Required Open]],Table2[#Headers],0),0)</f>
        <v>892</v>
      </c>
      <c r="X499" s="2">
        <f>VLOOKUP([jobnumber],OvalData[],MATCH(Table2[[#Headers],[Pre Turns]],Table2[#Headers],0),0)</f>
        <v>1.3332999999999999</v>
      </c>
      <c r="Y499" s="2">
        <f>VLOOKUP([jobnumber],OvalData[],MATCH(Table2[[#Headers],[Required Torque Per Turn]],Table2[#Headers],0),0)</f>
        <v>688</v>
      </c>
      <c r="Z499" s="2">
        <f>VLOOKUP([jobnumber],OvalData[],MATCH(Table2[[#Headers],[Total Turns]],Table2[#Headers],0),0)</f>
        <v>4.91</v>
      </c>
      <c r="AA499" s="2">
        <f>VLOOKUP([jobnumber],OvalData[],MATCH(Table2[[#Headers],[Grille Vision Section]],Table2[#Headers],0),0)</f>
        <v>0</v>
      </c>
      <c r="AB499" s="2">
        <f>VLOOKUP([jobnumber],OvalData[],MATCH(Table2[[#Headers],[Grille Amount]],Table2[#Headers],0),0)</f>
        <v>0</v>
      </c>
      <c r="AC499" s="2">
        <f>VLOOKUP([jobnumber],OvalData[],MATCH(Table2[[#Headers],[Grille Center]],Table2[#Headers],0),0)</f>
        <v>0</v>
      </c>
      <c r="AD499" s="2">
        <f>VLOOKUP([jobnumber],OvalData[],MATCH(Table2[[#Headers],[Grille Pattern]],Table2[#Headers],0),0)</f>
        <v>0</v>
      </c>
      <c r="AE499" s="2">
        <f>VLOOKUP([jobnumber],OvalData[],MATCH(Table2[[#Headers],[Grille First Tube]],Table2[#Headers],0),0)</f>
        <v>0</v>
      </c>
      <c r="AF499" s="2">
        <f>VLOOKUP([jobnumber],OvalData[],MATCH(Table2[[#Headers],[Grille Standard Tube]],Table2[#Headers],0),0)</f>
        <v>0</v>
      </c>
      <c r="AG499" s="2">
        <f>VLOOKUP([jobnumber],OvalData[],MATCH(Table2[[#Headers],[Grille Total Links]],Table2[#Headers],0),0)</f>
        <v>0</v>
      </c>
      <c r="AH499" s="2">
        <f>VLOOKUP([jobnumber],OvalData[],MATCH(Table2[[#Headers],[Grille Rods]],Table2[#Headers],0),0)</f>
        <v>0</v>
      </c>
      <c r="AI499" s="2">
        <f>VLOOKUP([jobnumber],OvalData[],MATCH(Table2[[#Headers],[Grille Rod Length]],Table2[#Headers],0),0)</f>
        <v>0</v>
      </c>
      <c r="AJ499" s="2">
        <f>VLOOKUP([jobnumber],OvalData[],MATCH(Table2[[#Headers],[slattype]],Table2[#Headers],0),0)</f>
        <v>2</v>
      </c>
      <c r="AK499" s="2">
        <f>VLOOKUP([jobnumber],OvalData[],MATCH(Table2[[#Headers],[slatgage]],Table2[#Headers],0),0)</f>
        <v>18</v>
      </c>
      <c r="AL499" s="2">
        <f>VLOOKUP([jobnumber],OvalData[],MATCH(Table2[[#Headers],[Numer of Top Slats]],Table2[#Headers],0),0)</f>
        <v>0</v>
      </c>
      <c r="AM499" s="2">
        <f>VLOOKUP([jobnumber],OvalData[],MATCH(Table2[[#Headers],[Number of Bottom Slats]],Table2[#Headers],0),0)</f>
        <v>0</v>
      </c>
      <c r="AN499" s="2">
        <f>VLOOKUP([jobnumber],OvalData[],MATCH(Table2[[#Headers],[Solid Bottom Height]],Table2[#Headers],0),0)</f>
        <v>0</v>
      </c>
      <c r="AO499" s="2" t="str">
        <f>VLOOKUP([jobnumber],OvalData[],MATCH(Table2[[#Headers],[slatlength]],Table2[#Headers],0),0)</f>
        <v xml:space="preserve"> 18 ft.- 5 7/ 8"</v>
      </c>
      <c r="AP499" s="2">
        <f>VLOOKUP([jobnumber],OvalData[],MATCH(Table2[[#Headers],[Bottom Slat Length]],Table2[#Headers],0),0)</f>
        <v>0</v>
      </c>
      <c r="AQ499" s="2">
        <f>VLOOKUP([jobnumber],OvalData[],MATCH(Table2[[#Headers],[Number of Perferated Slats]],Table2[#Headers],0),0)</f>
        <v>0</v>
      </c>
      <c r="AR499" s="2">
        <f>VLOOKUP([jobnumber],OvalData[],MATCH(Table2[[#Headers],[First Preferated Slat From End]],Table2[#Headers],0),0)</f>
        <v>0</v>
      </c>
      <c r="AS499" s="2">
        <f>VLOOKUP([jobnumber],OvalData[],MATCH(Table2[[#Headers],[First Preferated Slat From Bottom]],Table2[#Headers],0),0)</f>
        <v>0</v>
      </c>
      <c r="AT499" s="2">
        <f>VLOOKUP([jobnumber],OvalData[],MATCH(Table2[[#Headers],[Total Number of Slats]],Table2[#Headers],0),0)</f>
        <v>51</v>
      </c>
      <c r="AU499" s="2">
        <f>VLOOKUP([jobnumber],OvalData[],MATCH(Table2[[#Headers],[Bottom Bar Slope]],Table2[#Headers],0),0)</f>
        <v>0</v>
      </c>
      <c r="AV499" s="2">
        <f>VLOOKUP([jobnumber],OvalData[],MATCH(Table2[[#Headers],[Bottom Bar Weight]],Table2[#Headers],0),0)</f>
        <v>80.5</v>
      </c>
      <c r="AW499" s="2" t="str">
        <f>VLOOKUP([jobnumber],OvalData[],MATCH(Table2[[#Headers],[Outer Spring Gage]],Table2[#Headers],0),0)</f>
        <v>Null</v>
      </c>
      <c r="AX499" s="2" t="str">
        <f>VLOOKUP([jobnumber],OvalData[],MATCH(Table2[[#Headers],[Outer Spring OD]],Table2[#Headers],0),0)</f>
        <v>Null</v>
      </c>
      <c r="AY499" s="2" t="str">
        <f>VLOOKUP([jobnumber],OvalData[],MATCH(Table2[[#Headers],[Outer Spring Length]],Table2[#Headers],0),0)</f>
        <v>Null</v>
      </c>
      <c r="AZ499" s="2" t="str">
        <f>VLOOKUP([jobnumber],OvalData[],MATCH(Table2[[#Headers],[Outer Spring Stretch]],Table2[#Headers],0),0)</f>
        <v>Null</v>
      </c>
      <c r="BA499" s="2" t="str">
        <f>VLOOKUP([jobnumber],OvalData[],MATCH(Table2[[#Headers],[Outer Spring Torque]],Table2[#Headers],0),0)</f>
        <v>Null</v>
      </c>
      <c r="BB499" s="2" t="str">
        <f>VLOOKUP([jobnumber],OvalData[],MATCH(Table2[[#Headers],[Outer Spring Max Turns]],Table2[#Headers],0),0)</f>
        <v>Null</v>
      </c>
      <c r="BC499" s="2" t="str">
        <f>VLOOKUP([jobnumber],OvalData[],MATCH(Table2[[#Headers],[Outer Spring Weight]],Table2[#Headers],0),0)</f>
        <v>Null</v>
      </c>
      <c r="BD499" s="2" t="str">
        <f>VLOOKUP([jobnumber],OvalData[],MATCH(Table2[[#Headers],[Inner Spring Gage]],Table2[#Headers],0),0)</f>
        <v>Null</v>
      </c>
      <c r="BE499" s="2" t="str">
        <f>VLOOKUP([jobnumber],OvalData[],MATCH(Table2[[#Headers],[Inner Spring OD]],Table2[#Headers],0),0)</f>
        <v>Null</v>
      </c>
      <c r="BF499" s="2" t="str">
        <f>VLOOKUP([jobnumber],OvalData[],MATCH(Table2[[#Headers],[Inner Spring Length]],Table2[#Headers],0),0)</f>
        <v>Null</v>
      </c>
      <c r="BG499" s="2" t="str">
        <f>VLOOKUP([jobnumber],OvalData[],MATCH(Table2[[#Headers],[Inner Spring Stretch]],Table2[#Headers],0),0)</f>
        <v>Null</v>
      </c>
      <c r="BH499" s="2" t="str">
        <f>VLOOKUP([jobnumber],OvalData[],MATCH(Table2[[#Headers],[Inner Spring Torque]],Table2[#Headers],0),0)</f>
        <v>Null</v>
      </c>
      <c r="BI499" s="2" t="str">
        <f>VLOOKUP([jobnumber],OvalData[],MATCH(Table2[[#Headers],[Inner Spring Max Turns]],Table2[#Headers],0),0)</f>
        <v>Null</v>
      </c>
      <c r="BJ499" s="2" t="str">
        <f>VLOOKUP([jobnumber],OvalData[],MATCH(Table2[[#Headers],[Inner Spring Weight]],Table2[#Headers],0),0)</f>
        <v>Null</v>
      </c>
      <c r="BK499" s="2">
        <f>VLOOKUP([jobnumber],OvalData[],MATCH(Table2[[#Headers],[Cycles]],Table2[#Headers],0),0)</f>
        <v>0</v>
      </c>
      <c r="BL499" s="2">
        <f>VLOOKUP([jobnumber],OvalData[],MATCH(Table2[[#Headers],[Total Spring Torque]],Table2[#Headers],0),0)</f>
        <v>0</v>
      </c>
      <c r="BM499" s="2">
        <f>VLOOKUP([jobnumber],OvalData[],MATCH(Table2[[#Headers],[Total Spring Weight]],Table2[#Headers],0),0)</f>
        <v>0</v>
      </c>
      <c r="BN499" s="2">
        <f>VLOOKUP([jobnumber],OvalData[],MATCH(Table2[[#Headers],[Pipe Weight]],Table2[#Headers],0),0)</f>
        <v>688.24239999999998</v>
      </c>
      <c r="BO499" s="2">
        <f>VLOOKUP([jobnumber],OvalData[],MATCH(Table2[[#Headers],[Max Pipe Deflection]],Table2[#Headers],0),0)</f>
        <v>2309</v>
      </c>
      <c r="BP499" s="2">
        <f>VLOOKUP([jobnumber],OvalData[],MATCH(Table2[[#Headers],[Number Non-Insulated Wrap Slats]],Table2[#Headers],0),0)</f>
        <v>0</v>
      </c>
      <c r="BQ499" s="2">
        <f>VLOOKUP([jobnumber],OvalData[],MATCH(Table2[[#Headers],[Number of Insolated Top Slats]],Table2[#Headers],0),0)</f>
        <v>45</v>
      </c>
      <c r="BR499" s="2">
        <f>VLOOKUP([jobnumber],OvalData[],MATCH(Table2[[#Headers],[Insolated Total Slats]],Table2[#Headers],0),0)</f>
        <v>45</v>
      </c>
      <c r="BS499" s="2">
        <f>VLOOKUP([jobnumber],OvalData[],MATCH(Table2[[#Headers],[Number of Slats]],Table2[#Headers],0),0)</f>
        <v>44.69</v>
      </c>
      <c r="BT499" s="2">
        <f>VLOOKUP([jobnumber],OvalData[],MATCH(Table2[[#Headers],[Wrap]],Table2[#Headers],0),0)</f>
        <v>0</v>
      </c>
      <c r="BU499" s="2">
        <f>VLOOKUP([jobnumber],OvalData[],MATCH(Table2[[#Headers],[Wall Angle Thickness]],Table2[#Headers],0),0)</f>
        <v>0</v>
      </c>
      <c r="BV499" s="2">
        <f>VLOOKUP([jobnumber],OvalData[],MATCH(Table2[[#Headers],[windlocks]],Table2[#Headers],0),0)</f>
        <v>0</v>
      </c>
      <c r="BW499" s="2" t="str">
        <f>VLOOKUP([jobnumber],OvalData[],MATCH(Table2[[#Headers],[bottombartype]],Table2[#Headers],0),0)</f>
        <v>SPECIAL</v>
      </c>
      <c r="BX499" s="2">
        <f>VLOOKUP([jobnumber],OvalData[],MATCH(Table2[[#Headers],[endlockweight]],Table2[#Headers],0),0)</f>
        <v>0.17</v>
      </c>
      <c r="BY499" s="2">
        <f>VLOOKUP([jobnumber],OvalData[],MATCH(Table2[[#Headers],[Endlock Total Weight]],Table2[#Headers],0),0)</f>
        <v>7.5972999999999997</v>
      </c>
      <c r="BZ499" s="2">
        <f>VLOOKUP([jobnumber],OvalData[],MATCH(Table2[[#Headers],[Grille Weight]],Table2[#Headers],0),0)</f>
        <v>0</v>
      </c>
      <c r="CA499" s="2">
        <f>VLOOKUP([jobnumber],OvalData[],MATCH(Table2[[#Headers],[barrelrings]],Table2[#Headers],0),0)</f>
        <v>1</v>
      </c>
    </row>
    <row r="500" spans="2:79">
      <c r="B500" s="2" t="str">
        <f>VLOOKUP([jobnumber],OvalData[],MATCH(Table2[[#Headers],[Hand]],Table2[#Headers],0),0)</f>
        <v>RH</v>
      </c>
      <c r="C500" s="2" t="str">
        <f>VLOOKUP([jobnumber],OvalData[],MATCH(Table2[[#Headers],[Model]],Table2[#Headers],0),0)</f>
        <v>SFMPP</v>
      </c>
      <c r="D500" s="2" t="str">
        <f>VLOOKUP([jobnumber],OvalData[],MATCH(Table2[[#Headers],[width]],Table2[#Headers],0),0)</f>
        <v xml:space="preserve"> 18 ft.- 2"</v>
      </c>
      <c r="E500" s="2" t="str">
        <f>VLOOKUP([jobnumber],OvalData[],MATCH(Table2[[#Headers],[stopheight]],Table2[#Headers],0),0)</f>
        <v xml:space="preserve"> 10 ft.- 0"</v>
      </c>
      <c r="F500" s="2" t="str">
        <f>VLOOKUP([jobnumber],OvalData[],MATCH(Table2[[#Headers],[Between Brackets]],Table2[#Headers],0),0)</f>
        <v xml:space="preserve"> 18 ft.- 7 7/ 8"</v>
      </c>
      <c r="G500" s="2" t="str">
        <f>VLOOKUP([jobnumber],OvalData[],MATCH(Table2[[#Headers],[shell]],Table2[#Headers],0),0)</f>
        <v>6 INCH TUBE</v>
      </c>
      <c r="H500" s="2" t="str">
        <f>VLOOKUP([jobnumber],OvalData[],MATCH(Table2[[#Headers],[pipewidth]],Table2[#Headers],0),0)</f>
        <v xml:space="preserve"> 18 ft.- 1 3/ 8"</v>
      </c>
      <c r="I500" s="2">
        <f>VLOOKUP([jobnumber],OvalData[],MATCH(Table2[[#Headers],[Support Tubes]],Table2[#Headers],0),0)</f>
        <v>0</v>
      </c>
      <c r="J500" s="2">
        <f>VLOOKUP([jobnumber],OvalData[],MATCH(Table2[[#Headers],[Upset]],Table2[#Headers],0),0)</f>
        <v>2</v>
      </c>
      <c r="K500" s="2" t="str">
        <f>VLOOKUP([jobnumber],OvalData[],MATCH(Table2[[#Headers],[Guide Type]],Table2[#Headers],0),0)</f>
        <v>SN2-4 5/8-E</v>
      </c>
      <c r="L500" s="2" t="str">
        <f>VLOOKUP([jobnumber],OvalData[],MATCH(Table2[[#Headers],[Wall Angle]],Table2[#Headers],0),0)</f>
        <v xml:space="preserve"> 11 ft.- 8"</v>
      </c>
      <c r="M500" s="2" t="str">
        <f>VLOOKUP([jobnumber],OvalData[],MATCH(Table2[[#Headers],[Middle Angle]],Table2[#Headers],0),0)</f>
        <v xml:space="preserve"> 10 ft.- 4 1/ 2"</v>
      </c>
      <c r="N500" s="2" t="str">
        <f>VLOOKUP([jobnumber],OvalData[],MATCH(Table2[[#Headers],[Front Angle]],Table2[#Headers],0),0)</f>
        <v xml:space="preserve"> 10 ft.- 3"</v>
      </c>
      <c r="O500" s="2">
        <f>VLOOKUP([jobnumber],OvalData[],MATCH(Table2[[#Headers],[Pipe Center Line]],Table2[#Headers],0),0)</f>
        <v>131</v>
      </c>
      <c r="P500" s="2">
        <f>VLOOKUP([jobnumber],OvalData[],MATCH(Table2[[#Headers],[Heat Expansion Gap]],Table2[#Headers],0),0)</f>
        <v>0</v>
      </c>
      <c r="Q500" s="2">
        <f>VLOOKUP([jobnumber],OvalData[],MATCH(Table2[[#Headers],[Hanging Weight Closed]],Table2[#Headers],0),0)</f>
        <v>795</v>
      </c>
      <c r="R500" s="2">
        <f>VLOOKUP([jobnumber],OvalData[],MATCH(Table2[[#Headers],[Hanging Weight Open]],Table2[#Headers],0),0)</f>
        <v>140</v>
      </c>
      <c r="S500" s="2">
        <f>VLOOKUP([jobnumber],OvalData[],MATCH(Table2[[#Headers],[Initial Lever Arm]],Table2[#Headers],0),0)</f>
        <v>4.25</v>
      </c>
      <c r="T500" s="2">
        <f>VLOOKUP([jobnumber],OvalData[],MATCH(Table2[[#Headers],[Turns to Raise]],Table2[#Headers],0),0)</f>
        <v>3.5859999999999999</v>
      </c>
      <c r="U500" s="2">
        <f>VLOOKUP([jobnumber],OvalData[],MATCH(Table2[[#Headers],[Final Lever Arm]],Table2[#Headers],0),0)</f>
        <v>6.37</v>
      </c>
      <c r="V500" s="2">
        <f>VLOOKUP([jobnumber],OvalData[],MATCH(Table2[[#Headers],[Torque Required Closed]],Table2[#Headers],0),0)</f>
        <v>3377.9</v>
      </c>
      <c r="W500" s="2">
        <f>VLOOKUP([jobnumber],OvalData[],MATCH(Table2[[#Headers],[Torque Required Open]],Table2[#Headers],0),0)</f>
        <v>892</v>
      </c>
      <c r="X500" s="2">
        <f>VLOOKUP([jobnumber],OvalData[],MATCH(Table2[[#Headers],[Pre Turns]],Table2[#Headers],0),0)</f>
        <v>1.3332999999999999</v>
      </c>
      <c r="Y500" s="2">
        <f>VLOOKUP([jobnumber],OvalData[],MATCH(Table2[[#Headers],[Required Torque Per Turn]],Table2[#Headers],0),0)</f>
        <v>688</v>
      </c>
      <c r="Z500" s="2">
        <f>VLOOKUP([jobnumber],OvalData[],MATCH(Table2[[#Headers],[Total Turns]],Table2[#Headers],0),0)</f>
        <v>4.91</v>
      </c>
      <c r="AA500" s="2">
        <f>VLOOKUP([jobnumber],OvalData[],MATCH(Table2[[#Headers],[Grille Vision Section]],Table2[#Headers],0),0)</f>
        <v>0</v>
      </c>
      <c r="AB500" s="2">
        <f>VLOOKUP([jobnumber],OvalData[],MATCH(Table2[[#Headers],[Grille Amount]],Table2[#Headers],0),0)</f>
        <v>0</v>
      </c>
      <c r="AC500" s="2">
        <f>VLOOKUP([jobnumber],OvalData[],MATCH(Table2[[#Headers],[Grille Center]],Table2[#Headers],0),0)</f>
        <v>0</v>
      </c>
      <c r="AD500" s="2">
        <f>VLOOKUP([jobnumber],OvalData[],MATCH(Table2[[#Headers],[Grille Pattern]],Table2[#Headers],0),0)</f>
        <v>0</v>
      </c>
      <c r="AE500" s="2">
        <f>VLOOKUP([jobnumber],OvalData[],MATCH(Table2[[#Headers],[Grille First Tube]],Table2[#Headers],0),0)</f>
        <v>0</v>
      </c>
      <c r="AF500" s="2">
        <f>VLOOKUP([jobnumber],OvalData[],MATCH(Table2[[#Headers],[Grille Standard Tube]],Table2[#Headers],0),0)</f>
        <v>0</v>
      </c>
      <c r="AG500" s="2">
        <f>VLOOKUP([jobnumber],OvalData[],MATCH(Table2[[#Headers],[Grille Total Links]],Table2[#Headers],0),0)</f>
        <v>0</v>
      </c>
      <c r="AH500" s="2">
        <f>VLOOKUP([jobnumber],OvalData[],MATCH(Table2[[#Headers],[Grille Rods]],Table2[#Headers],0),0)</f>
        <v>0</v>
      </c>
      <c r="AI500" s="2">
        <f>VLOOKUP([jobnumber],OvalData[],MATCH(Table2[[#Headers],[Grille Rod Length]],Table2[#Headers],0),0)</f>
        <v>0</v>
      </c>
      <c r="AJ500" s="2">
        <f>VLOOKUP([jobnumber],OvalData[],MATCH(Table2[[#Headers],[slattype]],Table2[#Headers],0),0)</f>
        <v>2</v>
      </c>
      <c r="AK500" s="2">
        <f>VLOOKUP([jobnumber],OvalData[],MATCH(Table2[[#Headers],[slatgage]],Table2[#Headers],0),0)</f>
        <v>18</v>
      </c>
      <c r="AL500" s="2">
        <f>VLOOKUP([jobnumber],OvalData[],MATCH(Table2[[#Headers],[Numer of Top Slats]],Table2[#Headers],0),0)</f>
        <v>0</v>
      </c>
      <c r="AM500" s="2">
        <f>VLOOKUP([jobnumber],OvalData[],MATCH(Table2[[#Headers],[Number of Bottom Slats]],Table2[#Headers],0),0)</f>
        <v>0</v>
      </c>
      <c r="AN500" s="2">
        <f>VLOOKUP([jobnumber],OvalData[],MATCH(Table2[[#Headers],[Solid Bottom Height]],Table2[#Headers],0),0)</f>
        <v>0</v>
      </c>
      <c r="AO500" s="2" t="str">
        <f>VLOOKUP([jobnumber],OvalData[],MATCH(Table2[[#Headers],[slatlength]],Table2[#Headers],0),0)</f>
        <v xml:space="preserve"> 18 ft.- 5 7/ 8"</v>
      </c>
      <c r="AP500" s="2">
        <f>VLOOKUP([jobnumber],OvalData[],MATCH(Table2[[#Headers],[Bottom Slat Length]],Table2[#Headers],0),0)</f>
        <v>0</v>
      </c>
      <c r="AQ500" s="2">
        <f>VLOOKUP([jobnumber],OvalData[],MATCH(Table2[[#Headers],[Number of Perferated Slats]],Table2[#Headers],0),0)</f>
        <v>0</v>
      </c>
      <c r="AR500" s="2">
        <f>VLOOKUP([jobnumber],OvalData[],MATCH(Table2[[#Headers],[First Preferated Slat From End]],Table2[#Headers],0),0)</f>
        <v>0</v>
      </c>
      <c r="AS500" s="2">
        <f>VLOOKUP([jobnumber],OvalData[],MATCH(Table2[[#Headers],[First Preferated Slat From Bottom]],Table2[#Headers],0),0)</f>
        <v>0</v>
      </c>
      <c r="AT500" s="2">
        <f>VLOOKUP([jobnumber],OvalData[],MATCH(Table2[[#Headers],[Total Number of Slats]],Table2[#Headers],0),0)</f>
        <v>51</v>
      </c>
      <c r="AU500" s="2">
        <f>VLOOKUP([jobnumber],OvalData[],MATCH(Table2[[#Headers],[Bottom Bar Slope]],Table2[#Headers],0),0)</f>
        <v>0</v>
      </c>
      <c r="AV500" s="2">
        <f>VLOOKUP([jobnumber],OvalData[],MATCH(Table2[[#Headers],[Bottom Bar Weight]],Table2[#Headers],0),0)</f>
        <v>80.5</v>
      </c>
      <c r="AW500" s="2" t="str">
        <f>VLOOKUP([jobnumber],OvalData[],MATCH(Table2[[#Headers],[Outer Spring Gage]],Table2[#Headers],0),0)</f>
        <v>Null</v>
      </c>
      <c r="AX500" s="2" t="str">
        <f>VLOOKUP([jobnumber],OvalData[],MATCH(Table2[[#Headers],[Outer Spring OD]],Table2[#Headers],0),0)</f>
        <v>Null</v>
      </c>
      <c r="AY500" s="2" t="str">
        <f>VLOOKUP([jobnumber],OvalData[],MATCH(Table2[[#Headers],[Outer Spring Length]],Table2[#Headers],0),0)</f>
        <v>Null</v>
      </c>
      <c r="AZ500" s="2" t="str">
        <f>VLOOKUP([jobnumber],OvalData[],MATCH(Table2[[#Headers],[Outer Spring Stretch]],Table2[#Headers],0),0)</f>
        <v>Null</v>
      </c>
      <c r="BA500" s="2" t="str">
        <f>VLOOKUP([jobnumber],OvalData[],MATCH(Table2[[#Headers],[Outer Spring Torque]],Table2[#Headers],0),0)</f>
        <v>Null</v>
      </c>
      <c r="BB500" s="2" t="str">
        <f>VLOOKUP([jobnumber],OvalData[],MATCH(Table2[[#Headers],[Outer Spring Max Turns]],Table2[#Headers],0),0)</f>
        <v>Null</v>
      </c>
      <c r="BC500" s="2" t="str">
        <f>VLOOKUP([jobnumber],OvalData[],MATCH(Table2[[#Headers],[Outer Spring Weight]],Table2[#Headers],0),0)</f>
        <v>Null</v>
      </c>
      <c r="BD500" s="2" t="str">
        <f>VLOOKUP([jobnumber],OvalData[],MATCH(Table2[[#Headers],[Inner Spring Gage]],Table2[#Headers],0),0)</f>
        <v>Null</v>
      </c>
      <c r="BE500" s="2" t="str">
        <f>VLOOKUP([jobnumber],OvalData[],MATCH(Table2[[#Headers],[Inner Spring OD]],Table2[#Headers],0),0)</f>
        <v>Null</v>
      </c>
      <c r="BF500" s="2" t="str">
        <f>VLOOKUP([jobnumber],OvalData[],MATCH(Table2[[#Headers],[Inner Spring Length]],Table2[#Headers],0),0)</f>
        <v>Null</v>
      </c>
      <c r="BG500" s="2" t="str">
        <f>VLOOKUP([jobnumber],OvalData[],MATCH(Table2[[#Headers],[Inner Spring Stretch]],Table2[#Headers],0),0)</f>
        <v>Null</v>
      </c>
      <c r="BH500" s="2" t="str">
        <f>VLOOKUP([jobnumber],OvalData[],MATCH(Table2[[#Headers],[Inner Spring Torque]],Table2[#Headers],0),0)</f>
        <v>Null</v>
      </c>
      <c r="BI500" s="2" t="str">
        <f>VLOOKUP([jobnumber],OvalData[],MATCH(Table2[[#Headers],[Inner Spring Max Turns]],Table2[#Headers],0),0)</f>
        <v>Null</v>
      </c>
      <c r="BJ500" s="2" t="str">
        <f>VLOOKUP([jobnumber],OvalData[],MATCH(Table2[[#Headers],[Inner Spring Weight]],Table2[#Headers],0),0)</f>
        <v>Null</v>
      </c>
      <c r="BK500" s="2">
        <f>VLOOKUP([jobnumber],OvalData[],MATCH(Table2[[#Headers],[Cycles]],Table2[#Headers],0),0)</f>
        <v>0</v>
      </c>
      <c r="BL500" s="2">
        <f>VLOOKUP([jobnumber],OvalData[],MATCH(Table2[[#Headers],[Total Spring Torque]],Table2[#Headers],0),0)</f>
        <v>0</v>
      </c>
      <c r="BM500" s="2">
        <f>VLOOKUP([jobnumber],OvalData[],MATCH(Table2[[#Headers],[Total Spring Weight]],Table2[#Headers],0),0)</f>
        <v>0</v>
      </c>
      <c r="BN500" s="2">
        <f>VLOOKUP([jobnumber],OvalData[],MATCH(Table2[[#Headers],[Pipe Weight]],Table2[#Headers],0),0)</f>
        <v>688.24239999999998</v>
      </c>
      <c r="BO500" s="2">
        <f>VLOOKUP([jobnumber],OvalData[],MATCH(Table2[[#Headers],[Max Pipe Deflection]],Table2[#Headers],0),0)</f>
        <v>2309</v>
      </c>
      <c r="BP500" s="2">
        <f>VLOOKUP([jobnumber],OvalData[],MATCH(Table2[[#Headers],[Number Non-Insulated Wrap Slats]],Table2[#Headers],0),0)</f>
        <v>0</v>
      </c>
      <c r="BQ500" s="2">
        <f>VLOOKUP([jobnumber],OvalData[],MATCH(Table2[[#Headers],[Number of Insolated Top Slats]],Table2[#Headers],0),0)</f>
        <v>45</v>
      </c>
      <c r="BR500" s="2">
        <f>VLOOKUP([jobnumber],OvalData[],MATCH(Table2[[#Headers],[Insolated Total Slats]],Table2[#Headers],0),0)</f>
        <v>45</v>
      </c>
      <c r="BS500" s="2">
        <f>VLOOKUP([jobnumber],OvalData[],MATCH(Table2[[#Headers],[Number of Slats]],Table2[#Headers],0),0)</f>
        <v>44.69</v>
      </c>
      <c r="BT500" s="2">
        <f>VLOOKUP([jobnumber],OvalData[],MATCH(Table2[[#Headers],[Wrap]],Table2[#Headers],0),0)</f>
        <v>0</v>
      </c>
      <c r="BU500" s="2">
        <f>VLOOKUP([jobnumber],OvalData[],MATCH(Table2[[#Headers],[Wall Angle Thickness]],Table2[#Headers],0),0)</f>
        <v>0</v>
      </c>
      <c r="BV500" s="2">
        <f>VLOOKUP([jobnumber],OvalData[],MATCH(Table2[[#Headers],[windlocks]],Table2[#Headers],0),0)</f>
        <v>0</v>
      </c>
      <c r="BW500" s="2" t="str">
        <f>VLOOKUP([jobnumber],OvalData[],MATCH(Table2[[#Headers],[bottombartype]],Table2[#Headers],0),0)</f>
        <v>SPECIAL</v>
      </c>
      <c r="BX500" s="2">
        <f>VLOOKUP([jobnumber],OvalData[],MATCH(Table2[[#Headers],[endlockweight]],Table2[#Headers],0),0)</f>
        <v>0.17</v>
      </c>
      <c r="BY500" s="2">
        <f>VLOOKUP([jobnumber],OvalData[],MATCH(Table2[[#Headers],[Endlock Total Weight]],Table2[#Headers],0),0)</f>
        <v>7.5972999999999997</v>
      </c>
      <c r="BZ500" s="2">
        <f>VLOOKUP([jobnumber],OvalData[],MATCH(Table2[[#Headers],[Grille Weight]],Table2[#Headers],0),0)</f>
        <v>0</v>
      </c>
      <c r="CA500" s="2">
        <f>VLOOKUP([jobnumber],OvalData[],MATCH(Table2[[#Headers],[barrelrings]],Table2[#Headers],0),0)</f>
        <v>1</v>
      </c>
    </row>
    <row r="501" spans="2:79">
      <c r="B501" s="2" t="str">
        <f>VLOOKUP([jobnumber],OvalData[],MATCH(Table2[[#Headers],[Hand]],Table2[#Headers],0),0)</f>
        <v>RH</v>
      </c>
      <c r="C501" s="2" t="str">
        <f>VLOOKUP([jobnumber],OvalData[],MATCH(Table2[[#Headers],[Model]],Table2[#Headers],0),0)</f>
        <v>SFMPP</v>
      </c>
      <c r="D501" s="2" t="str">
        <f>VLOOKUP([jobnumber],OvalData[],MATCH(Table2[[#Headers],[width]],Table2[#Headers],0),0)</f>
        <v xml:space="preserve"> 18 ft.- 2"</v>
      </c>
      <c r="E501" s="2" t="str">
        <f>VLOOKUP([jobnumber],OvalData[],MATCH(Table2[[#Headers],[stopheight]],Table2[#Headers],0),0)</f>
        <v xml:space="preserve"> 10 ft.- 0"</v>
      </c>
      <c r="F501" s="2" t="str">
        <f>VLOOKUP([jobnumber],OvalData[],MATCH(Table2[[#Headers],[Between Brackets]],Table2[#Headers],0),0)</f>
        <v xml:space="preserve"> 18 ft.- 7 7/ 8"</v>
      </c>
      <c r="G501" s="2" t="str">
        <f>VLOOKUP([jobnumber],OvalData[],MATCH(Table2[[#Headers],[shell]],Table2[#Headers],0),0)</f>
        <v>6 INCH TUBE</v>
      </c>
      <c r="H501" s="2" t="str">
        <f>VLOOKUP([jobnumber],OvalData[],MATCH(Table2[[#Headers],[pipewidth]],Table2[#Headers],0),0)</f>
        <v xml:space="preserve"> 18 ft.- 1 3/ 8"</v>
      </c>
      <c r="I501" s="2">
        <f>VLOOKUP([jobnumber],OvalData[],MATCH(Table2[[#Headers],[Support Tubes]],Table2[#Headers],0),0)</f>
        <v>0</v>
      </c>
      <c r="J501" s="2">
        <f>VLOOKUP([jobnumber],OvalData[],MATCH(Table2[[#Headers],[Upset]],Table2[#Headers],0),0)</f>
        <v>2</v>
      </c>
      <c r="K501" s="2" t="str">
        <f>VLOOKUP([jobnumber],OvalData[],MATCH(Table2[[#Headers],[Guide Type]],Table2[#Headers],0),0)</f>
        <v>SN2-4 5/8-E</v>
      </c>
      <c r="L501" s="2" t="str">
        <f>VLOOKUP([jobnumber],OvalData[],MATCH(Table2[[#Headers],[Wall Angle]],Table2[#Headers],0),0)</f>
        <v xml:space="preserve"> 11 ft.- 8"</v>
      </c>
      <c r="M501" s="2" t="str">
        <f>VLOOKUP([jobnumber],OvalData[],MATCH(Table2[[#Headers],[Middle Angle]],Table2[#Headers],0),0)</f>
        <v xml:space="preserve"> 10 ft.- 4 1/ 2"</v>
      </c>
      <c r="N501" s="2" t="str">
        <f>VLOOKUP([jobnumber],OvalData[],MATCH(Table2[[#Headers],[Front Angle]],Table2[#Headers],0),0)</f>
        <v xml:space="preserve"> 10 ft.- 3"</v>
      </c>
      <c r="O501" s="2">
        <f>VLOOKUP([jobnumber],OvalData[],MATCH(Table2[[#Headers],[Pipe Center Line]],Table2[#Headers],0),0)</f>
        <v>131</v>
      </c>
      <c r="P501" s="2">
        <f>VLOOKUP([jobnumber],OvalData[],MATCH(Table2[[#Headers],[Heat Expansion Gap]],Table2[#Headers],0),0)</f>
        <v>0</v>
      </c>
      <c r="Q501" s="2">
        <f>VLOOKUP([jobnumber],OvalData[],MATCH(Table2[[#Headers],[Hanging Weight Closed]],Table2[#Headers],0),0)</f>
        <v>795</v>
      </c>
      <c r="R501" s="2">
        <f>VLOOKUP([jobnumber],OvalData[],MATCH(Table2[[#Headers],[Hanging Weight Open]],Table2[#Headers],0),0)</f>
        <v>140</v>
      </c>
      <c r="S501" s="2">
        <f>VLOOKUP([jobnumber],OvalData[],MATCH(Table2[[#Headers],[Initial Lever Arm]],Table2[#Headers],0),0)</f>
        <v>4.25</v>
      </c>
      <c r="T501" s="2">
        <f>VLOOKUP([jobnumber],OvalData[],MATCH(Table2[[#Headers],[Turns to Raise]],Table2[#Headers],0),0)</f>
        <v>3.5859999999999999</v>
      </c>
      <c r="U501" s="2">
        <f>VLOOKUP([jobnumber],OvalData[],MATCH(Table2[[#Headers],[Final Lever Arm]],Table2[#Headers],0),0)</f>
        <v>6.37</v>
      </c>
      <c r="V501" s="2">
        <f>VLOOKUP([jobnumber],OvalData[],MATCH(Table2[[#Headers],[Torque Required Closed]],Table2[#Headers],0),0)</f>
        <v>3377.9</v>
      </c>
      <c r="W501" s="2">
        <f>VLOOKUP([jobnumber],OvalData[],MATCH(Table2[[#Headers],[Torque Required Open]],Table2[#Headers],0),0)</f>
        <v>892</v>
      </c>
      <c r="X501" s="2">
        <f>VLOOKUP([jobnumber],OvalData[],MATCH(Table2[[#Headers],[Pre Turns]],Table2[#Headers],0),0)</f>
        <v>1.3332999999999999</v>
      </c>
      <c r="Y501" s="2">
        <f>VLOOKUP([jobnumber],OvalData[],MATCH(Table2[[#Headers],[Required Torque Per Turn]],Table2[#Headers],0),0)</f>
        <v>688</v>
      </c>
      <c r="Z501" s="2">
        <f>VLOOKUP([jobnumber],OvalData[],MATCH(Table2[[#Headers],[Total Turns]],Table2[#Headers],0),0)</f>
        <v>4.91</v>
      </c>
      <c r="AA501" s="2">
        <f>VLOOKUP([jobnumber],OvalData[],MATCH(Table2[[#Headers],[Grille Vision Section]],Table2[#Headers],0),0)</f>
        <v>0</v>
      </c>
      <c r="AB501" s="2">
        <f>VLOOKUP([jobnumber],OvalData[],MATCH(Table2[[#Headers],[Grille Amount]],Table2[#Headers],0),0)</f>
        <v>0</v>
      </c>
      <c r="AC501" s="2">
        <f>VLOOKUP([jobnumber],OvalData[],MATCH(Table2[[#Headers],[Grille Center]],Table2[#Headers],0),0)</f>
        <v>0</v>
      </c>
      <c r="AD501" s="2">
        <f>VLOOKUP([jobnumber],OvalData[],MATCH(Table2[[#Headers],[Grille Pattern]],Table2[#Headers],0),0)</f>
        <v>0</v>
      </c>
      <c r="AE501" s="2">
        <f>VLOOKUP([jobnumber],OvalData[],MATCH(Table2[[#Headers],[Grille First Tube]],Table2[#Headers],0),0)</f>
        <v>0</v>
      </c>
      <c r="AF501" s="2">
        <f>VLOOKUP([jobnumber],OvalData[],MATCH(Table2[[#Headers],[Grille Standard Tube]],Table2[#Headers],0),0)</f>
        <v>0</v>
      </c>
      <c r="AG501" s="2">
        <f>VLOOKUP([jobnumber],OvalData[],MATCH(Table2[[#Headers],[Grille Total Links]],Table2[#Headers],0),0)</f>
        <v>0</v>
      </c>
      <c r="AH501" s="2">
        <f>VLOOKUP([jobnumber],OvalData[],MATCH(Table2[[#Headers],[Grille Rods]],Table2[#Headers],0),0)</f>
        <v>0</v>
      </c>
      <c r="AI501" s="2">
        <f>VLOOKUP([jobnumber],OvalData[],MATCH(Table2[[#Headers],[Grille Rod Length]],Table2[#Headers],0),0)</f>
        <v>0</v>
      </c>
      <c r="AJ501" s="2">
        <f>VLOOKUP([jobnumber],OvalData[],MATCH(Table2[[#Headers],[slattype]],Table2[#Headers],0),0)</f>
        <v>2</v>
      </c>
      <c r="AK501" s="2">
        <f>VLOOKUP([jobnumber],OvalData[],MATCH(Table2[[#Headers],[slatgage]],Table2[#Headers],0),0)</f>
        <v>18</v>
      </c>
      <c r="AL501" s="2">
        <f>VLOOKUP([jobnumber],OvalData[],MATCH(Table2[[#Headers],[Numer of Top Slats]],Table2[#Headers],0),0)</f>
        <v>0</v>
      </c>
      <c r="AM501" s="2">
        <f>VLOOKUP([jobnumber],OvalData[],MATCH(Table2[[#Headers],[Number of Bottom Slats]],Table2[#Headers],0),0)</f>
        <v>0</v>
      </c>
      <c r="AN501" s="2">
        <f>VLOOKUP([jobnumber],OvalData[],MATCH(Table2[[#Headers],[Solid Bottom Height]],Table2[#Headers],0),0)</f>
        <v>0</v>
      </c>
      <c r="AO501" s="2" t="str">
        <f>VLOOKUP([jobnumber],OvalData[],MATCH(Table2[[#Headers],[slatlength]],Table2[#Headers],0),0)</f>
        <v xml:space="preserve"> 18 ft.- 5 7/ 8"</v>
      </c>
      <c r="AP501" s="2">
        <f>VLOOKUP([jobnumber],OvalData[],MATCH(Table2[[#Headers],[Bottom Slat Length]],Table2[#Headers],0),0)</f>
        <v>0</v>
      </c>
      <c r="AQ501" s="2">
        <f>VLOOKUP([jobnumber],OvalData[],MATCH(Table2[[#Headers],[Number of Perferated Slats]],Table2[#Headers],0),0)</f>
        <v>0</v>
      </c>
      <c r="AR501" s="2">
        <f>VLOOKUP([jobnumber],OvalData[],MATCH(Table2[[#Headers],[First Preferated Slat From End]],Table2[#Headers],0),0)</f>
        <v>0</v>
      </c>
      <c r="AS501" s="2">
        <f>VLOOKUP([jobnumber],OvalData[],MATCH(Table2[[#Headers],[First Preferated Slat From Bottom]],Table2[#Headers],0),0)</f>
        <v>0</v>
      </c>
      <c r="AT501" s="2">
        <f>VLOOKUP([jobnumber],OvalData[],MATCH(Table2[[#Headers],[Total Number of Slats]],Table2[#Headers],0),0)</f>
        <v>51</v>
      </c>
      <c r="AU501" s="2">
        <f>VLOOKUP([jobnumber],OvalData[],MATCH(Table2[[#Headers],[Bottom Bar Slope]],Table2[#Headers],0),0)</f>
        <v>0</v>
      </c>
      <c r="AV501" s="2">
        <f>VLOOKUP([jobnumber],OvalData[],MATCH(Table2[[#Headers],[Bottom Bar Weight]],Table2[#Headers],0),0)</f>
        <v>80.5</v>
      </c>
      <c r="AW501" s="2" t="str">
        <f>VLOOKUP([jobnumber],OvalData[],MATCH(Table2[[#Headers],[Outer Spring Gage]],Table2[#Headers],0),0)</f>
        <v>Null</v>
      </c>
      <c r="AX501" s="2" t="str">
        <f>VLOOKUP([jobnumber],OvalData[],MATCH(Table2[[#Headers],[Outer Spring OD]],Table2[#Headers],0),0)</f>
        <v>Null</v>
      </c>
      <c r="AY501" s="2" t="str">
        <f>VLOOKUP([jobnumber],OvalData[],MATCH(Table2[[#Headers],[Outer Spring Length]],Table2[#Headers],0),0)</f>
        <v>Null</v>
      </c>
      <c r="AZ501" s="2" t="str">
        <f>VLOOKUP([jobnumber],OvalData[],MATCH(Table2[[#Headers],[Outer Spring Stretch]],Table2[#Headers],0),0)</f>
        <v>Null</v>
      </c>
      <c r="BA501" s="2" t="str">
        <f>VLOOKUP([jobnumber],OvalData[],MATCH(Table2[[#Headers],[Outer Spring Torque]],Table2[#Headers],0),0)</f>
        <v>Null</v>
      </c>
      <c r="BB501" s="2" t="str">
        <f>VLOOKUP([jobnumber],OvalData[],MATCH(Table2[[#Headers],[Outer Spring Max Turns]],Table2[#Headers],0),0)</f>
        <v>Null</v>
      </c>
      <c r="BC501" s="2" t="str">
        <f>VLOOKUP([jobnumber],OvalData[],MATCH(Table2[[#Headers],[Outer Spring Weight]],Table2[#Headers],0),0)</f>
        <v>Null</v>
      </c>
      <c r="BD501" s="2" t="str">
        <f>VLOOKUP([jobnumber],OvalData[],MATCH(Table2[[#Headers],[Inner Spring Gage]],Table2[#Headers],0),0)</f>
        <v>Null</v>
      </c>
      <c r="BE501" s="2" t="str">
        <f>VLOOKUP([jobnumber],OvalData[],MATCH(Table2[[#Headers],[Inner Spring OD]],Table2[#Headers],0),0)</f>
        <v>Null</v>
      </c>
      <c r="BF501" s="2" t="str">
        <f>VLOOKUP([jobnumber],OvalData[],MATCH(Table2[[#Headers],[Inner Spring Length]],Table2[#Headers],0),0)</f>
        <v>Null</v>
      </c>
      <c r="BG501" s="2" t="str">
        <f>VLOOKUP([jobnumber],OvalData[],MATCH(Table2[[#Headers],[Inner Spring Stretch]],Table2[#Headers],0),0)</f>
        <v>Null</v>
      </c>
      <c r="BH501" s="2" t="str">
        <f>VLOOKUP([jobnumber],OvalData[],MATCH(Table2[[#Headers],[Inner Spring Torque]],Table2[#Headers],0),0)</f>
        <v>Null</v>
      </c>
      <c r="BI501" s="2" t="str">
        <f>VLOOKUP([jobnumber],OvalData[],MATCH(Table2[[#Headers],[Inner Spring Max Turns]],Table2[#Headers],0),0)</f>
        <v>Null</v>
      </c>
      <c r="BJ501" s="2" t="str">
        <f>VLOOKUP([jobnumber],OvalData[],MATCH(Table2[[#Headers],[Inner Spring Weight]],Table2[#Headers],0),0)</f>
        <v>Null</v>
      </c>
      <c r="BK501" s="2">
        <f>VLOOKUP([jobnumber],OvalData[],MATCH(Table2[[#Headers],[Cycles]],Table2[#Headers],0),0)</f>
        <v>0</v>
      </c>
      <c r="BL501" s="2">
        <f>VLOOKUP([jobnumber],OvalData[],MATCH(Table2[[#Headers],[Total Spring Torque]],Table2[#Headers],0),0)</f>
        <v>0</v>
      </c>
      <c r="BM501" s="2">
        <f>VLOOKUP([jobnumber],OvalData[],MATCH(Table2[[#Headers],[Total Spring Weight]],Table2[#Headers],0),0)</f>
        <v>0</v>
      </c>
      <c r="BN501" s="2">
        <f>VLOOKUP([jobnumber],OvalData[],MATCH(Table2[[#Headers],[Pipe Weight]],Table2[#Headers],0),0)</f>
        <v>688.24239999999998</v>
      </c>
      <c r="BO501" s="2">
        <f>VLOOKUP([jobnumber],OvalData[],MATCH(Table2[[#Headers],[Max Pipe Deflection]],Table2[#Headers],0),0)</f>
        <v>2309</v>
      </c>
      <c r="BP501" s="2">
        <f>VLOOKUP([jobnumber],OvalData[],MATCH(Table2[[#Headers],[Number Non-Insulated Wrap Slats]],Table2[#Headers],0),0)</f>
        <v>0</v>
      </c>
      <c r="BQ501" s="2">
        <f>VLOOKUP([jobnumber],OvalData[],MATCH(Table2[[#Headers],[Number of Insolated Top Slats]],Table2[#Headers],0),0)</f>
        <v>45</v>
      </c>
      <c r="BR501" s="2">
        <f>VLOOKUP([jobnumber],OvalData[],MATCH(Table2[[#Headers],[Insolated Total Slats]],Table2[#Headers],0),0)</f>
        <v>45</v>
      </c>
      <c r="BS501" s="2">
        <f>VLOOKUP([jobnumber],OvalData[],MATCH(Table2[[#Headers],[Number of Slats]],Table2[#Headers],0),0)</f>
        <v>44.69</v>
      </c>
      <c r="BT501" s="2">
        <f>VLOOKUP([jobnumber],OvalData[],MATCH(Table2[[#Headers],[Wrap]],Table2[#Headers],0),0)</f>
        <v>0</v>
      </c>
      <c r="BU501" s="2">
        <f>VLOOKUP([jobnumber],OvalData[],MATCH(Table2[[#Headers],[Wall Angle Thickness]],Table2[#Headers],0),0)</f>
        <v>0</v>
      </c>
      <c r="BV501" s="2">
        <f>VLOOKUP([jobnumber],OvalData[],MATCH(Table2[[#Headers],[windlocks]],Table2[#Headers],0),0)</f>
        <v>0</v>
      </c>
      <c r="BW501" s="2" t="str">
        <f>VLOOKUP([jobnumber],OvalData[],MATCH(Table2[[#Headers],[bottombartype]],Table2[#Headers],0),0)</f>
        <v>SPECIAL</v>
      </c>
      <c r="BX501" s="2">
        <f>VLOOKUP([jobnumber],OvalData[],MATCH(Table2[[#Headers],[endlockweight]],Table2[#Headers],0),0)</f>
        <v>0.17</v>
      </c>
      <c r="BY501" s="2">
        <f>VLOOKUP([jobnumber],OvalData[],MATCH(Table2[[#Headers],[Endlock Total Weight]],Table2[#Headers],0),0)</f>
        <v>7.5972999999999997</v>
      </c>
      <c r="BZ501" s="2">
        <f>VLOOKUP([jobnumber],OvalData[],MATCH(Table2[[#Headers],[Grille Weight]],Table2[#Headers],0),0)</f>
        <v>0</v>
      </c>
      <c r="CA501" s="2">
        <f>VLOOKUP([jobnumber],OvalData[],MATCH(Table2[[#Headers],[barrelrings]],Table2[#Headers],0),0)</f>
        <v>1</v>
      </c>
    </row>
    <row r="502" spans="2:79">
      <c r="B502" s="2" t="str">
        <f>VLOOKUP([jobnumber],OvalData[],MATCH(Table2[[#Headers],[Hand]],Table2[#Headers],0),0)</f>
        <v>RH</v>
      </c>
      <c r="C502" s="2" t="str">
        <f>VLOOKUP([jobnumber],OvalData[],MATCH(Table2[[#Headers],[Model]],Table2[#Headers],0),0)</f>
        <v>SFMPP</v>
      </c>
      <c r="D502" s="2" t="str">
        <f>VLOOKUP([jobnumber],OvalData[],MATCH(Table2[[#Headers],[width]],Table2[#Headers],0),0)</f>
        <v xml:space="preserve"> 18 ft.- 2"</v>
      </c>
      <c r="E502" s="2" t="str">
        <f>VLOOKUP([jobnumber],OvalData[],MATCH(Table2[[#Headers],[stopheight]],Table2[#Headers],0),0)</f>
        <v xml:space="preserve"> 10 ft.- 0"</v>
      </c>
      <c r="F502" s="2" t="str">
        <f>VLOOKUP([jobnumber],OvalData[],MATCH(Table2[[#Headers],[Between Brackets]],Table2[#Headers],0),0)</f>
        <v xml:space="preserve"> 18 ft.- 7 7/ 8"</v>
      </c>
      <c r="G502" s="2" t="str">
        <f>VLOOKUP([jobnumber],OvalData[],MATCH(Table2[[#Headers],[shell]],Table2[#Headers],0),0)</f>
        <v>6 INCH TUBE</v>
      </c>
      <c r="H502" s="2" t="str">
        <f>VLOOKUP([jobnumber],OvalData[],MATCH(Table2[[#Headers],[pipewidth]],Table2[#Headers],0),0)</f>
        <v xml:space="preserve"> 18 ft.- 1 3/ 8"</v>
      </c>
      <c r="I502" s="2">
        <f>VLOOKUP([jobnumber],OvalData[],MATCH(Table2[[#Headers],[Support Tubes]],Table2[#Headers],0),0)</f>
        <v>0</v>
      </c>
      <c r="J502" s="2">
        <f>VLOOKUP([jobnumber],OvalData[],MATCH(Table2[[#Headers],[Upset]],Table2[#Headers],0),0)</f>
        <v>2</v>
      </c>
      <c r="K502" s="2" t="str">
        <f>VLOOKUP([jobnumber],OvalData[],MATCH(Table2[[#Headers],[Guide Type]],Table2[#Headers],0),0)</f>
        <v>SN2-4 5/8-E</v>
      </c>
      <c r="L502" s="2" t="str">
        <f>VLOOKUP([jobnumber],OvalData[],MATCH(Table2[[#Headers],[Wall Angle]],Table2[#Headers],0),0)</f>
        <v xml:space="preserve"> 11 ft.- 8"</v>
      </c>
      <c r="M502" s="2" t="str">
        <f>VLOOKUP([jobnumber],OvalData[],MATCH(Table2[[#Headers],[Middle Angle]],Table2[#Headers],0),0)</f>
        <v xml:space="preserve"> 10 ft.- 4 1/ 2"</v>
      </c>
      <c r="N502" s="2" t="str">
        <f>VLOOKUP([jobnumber],OvalData[],MATCH(Table2[[#Headers],[Front Angle]],Table2[#Headers],0),0)</f>
        <v xml:space="preserve"> 10 ft.- 3"</v>
      </c>
      <c r="O502" s="2">
        <f>VLOOKUP([jobnumber],OvalData[],MATCH(Table2[[#Headers],[Pipe Center Line]],Table2[#Headers],0),0)</f>
        <v>131</v>
      </c>
      <c r="P502" s="2">
        <f>VLOOKUP([jobnumber],OvalData[],MATCH(Table2[[#Headers],[Heat Expansion Gap]],Table2[#Headers],0),0)</f>
        <v>0</v>
      </c>
      <c r="Q502" s="2">
        <f>VLOOKUP([jobnumber],OvalData[],MATCH(Table2[[#Headers],[Hanging Weight Closed]],Table2[#Headers],0),0)</f>
        <v>795</v>
      </c>
      <c r="R502" s="2">
        <f>VLOOKUP([jobnumber],OvalData[],MATCH(Table2[[#Headers],[Hanging Weight Open]],Table2[#Headers],0),0)</f>
        <v>140</v>
      </c>
      <c r="S502" s="2">
        <f>VLOOKUP([jobnumber],OvalData[],MATCH(Table2[[#Headers],[Initial Lever Arm]],Table2[#Headers],0),0)</f>
        <v>4.25</v>
      </c>
      <c r="T502" s="2">
        <f>VLOOKUP([jobnumber],OvalData[],MATCH(Table2[[#Headers],[Turns to Raise]],Table2[#Headers],0),0)</f>
        <v>3.5859999999999999</v>
      </c>
      <c r="U502" s="2">
        <f>VLOOKUP([jobnumber],OvalData[],MATCH(Table2[[#Headers],[Final Lever Arm]],Table2[#Headers],0),0)</f>
        <v>6.37</v>
      </c>
      <c r="V502" s="2">
        <f>VLOOKUP([jobnumber],OvalData[],MATCH(Table2[[#Headers],[Torque Required Closed]],Table2[#Headers],0),0)</f>
        <v>3377.9</v>
      </c>
      <c r="W502" s="2">
        <f>VLOOKUP([jobnumber],OvalData[],MATCH(Table2[[#Headers],[Torque Required Open]],Table2[#Headers],0),0)</f>
        <v>892</v>
      </c>
      <c r="X502" s="2">
        <f>VLOOKUP([jobnumber],OvalData[],MATCH(Table2[[#Headers],[Pre Turns]],Table2[#Headers],0),0)</f>
        <v>1.3332999999999999</v>
      </c>
      <c r="Y502" s="2">
        <f>VLOOKUP([jobnumber],OvalData[],MATCH(Table2[[#Headers],[Required Torque Per Turn]],Table2[#Headers],0),0)</f>
        <v>688</v>
      </c>
      <c r="Z502" s="2">
        <f>VLOOKUP([jobnumber],OvalData[],MATCH(Table2[[#Headers],[Total Turns]],Table2[#Headers],0),0)</f>
        <v>4.91</v>
      </c>
      <c r="AA502" s="2">
        <f>VLOOKUP([jobnumber],OvalData[],MATCH(Table2[[#Headers],[Grille Vision Section]],Table2[#Headers],0),0)</f>
        <v>0</v>
      </c>
      <c r="AB502" s="2">
        <f>VLOOKUP([jobnumber],OvalData[],MATCH(Table2[[#Headers],[Grille Amount]],Table2[#Headers],0),0)</f>
        <v>0</v>
      </c>
      <c r="AC502" s="2">
        <f>VLOOKUP([jobnumber],OvalData[],MATCH(Table2[[#Headers],[Grille Center]],Table2[#Headers],0),0)</f>
        <v>0</v>
      </c>
      <c r="AD502" s="2">
        <f>VLOOKUP([jobnumber],OvalData[],MATCH(Table2[[#Headers],[Grille Pattern]],Table2[#Headers],0),0)</f>
        <v>0</v>
      </c>
      <c r="AE502" s="2">
        <f>VLOOKUP([jobnumber],OvalData[],MATCH(Table2[[#Headers],[Grille First Tube]],Table2[#Headers],0),0)</f>
        <v>0</v>
      </c>
      <c r="AF502" s="2">
        <f>VLOOKUP([jobnumber],OvalData[],MATCH(Table2[[#Headers],[Grille Standard Tube]],Table2[#Headers],0),0)</f>
        <v>0</v>
      </c>
      <c r="AG502" s="2">
        <f>VLOOKUP([jobnumber],OvalData[],MATCH(Table2[[#Headers],[Grille Total Links]],Table2[#Headers],0),0)</f>
        <v>0</v>
      </c>
      <c r="AH502" s="2">
        <f>VLOOKUP([jobnumber],OvalData[],MATCH(Table2[[#Headers],[Grille Rods]],Table2[#Headers],0),0)</f>
        <v>0</v>
      </c>
      <c r="AI502" s="2">
        <f>VLOOKUP([jobnumber],OvalData[],MATCH(Table2[[#Headers],[Grille Rod Length]],Table2[#Headers],0),0)</f>
        <v>0</v>
      </c>
      <c r="AJ502" s="2">
        <f>VLOOKUP([jobnumber],OvalData[],MATCH(Table2[[#Headers],[slattype]],Table2[#Headers],0),0)</f>
        <v>2</v>
      </c>
      <c r="AK502" s="2">
        <f>VLOOKUP([jobnumber],OvalData[],MATCH(Table2[[#Headers],[slatgage]],Table2[#Headers],0),0)</f>
        <v>18</v>
      </c>
      <c r="AL502" s="2">
        <f>VLOOKUP([jobnumber],OvalData[],MATCH(Table2[[#Headers],[Numer of Top Slats]],Table2[#Headers],0),0)</f>
        <v>0</v>
      </c>
      <c r="AM502" s="2">
        <f>VLOOKUP([jobnumber],OvalData[],MATCH(Table2[[#Headers],[Number of Bottom Slats]],Table2[#Headers],0),0)</f>
        <v>0</v>
      </c>
      <c r="AN502" s="2">
        <f>VLOOKUP([jobnumber],OvalData[],MATCH(Table2[[#Headers],[Solid Bottom Height]],Table2[#Headers],0),0)</f>
        <v>0</v>
      </c>
      <c r="AO502" s="2" t="str">
        <f>VLOOKUP([jobnumber],OvalData[],MATCH(Table2[[#Headers],[slatlength]],Table2[#Headers],0),0)</f>
        <v xml:space="preserve"> 18 ft.- 5 7/ 8"</v>
      </c>
      <c r="AP502" s="2">
        <f>VLOOKUP([jobnumber],OvalData[],MATCH(Table2[[#Headers],[Bottom Slat Length]],Table2[#Headers],0),0)</f>
        <v>0</v>
      </c>
      <c r="AQ502" s="2">
        <f>VLOOKUP([jobnumber],OvalData[],MATCH(Table2[[#Headers],[Number of Perferated Slats]],Table2[#Headers],0),0)</f>
        <v>0</v>
      </c>
      <c r="AR502" s="2">
        <f>VLOOKUP([jobnumber],OvalData[],MATCH(Table2[[#Headers],[First Preferated Slat From End]],Table2[#Headers],0),0)</f>
        <v>0</v>
      </c>
      <c r="AS502" s="2">
        <f>VLOOKUP([jobnumber],OvalData[],MATCH(Table2[[#Headers],[First Preferated Slat From Bottom]],Table2[#Headers],0),0)</f>
        <v>0</v>
      </c>
      <c r="AT502" s="2">
        <f>VLOOKUP([jobnumber],OvalData[],MATCH(Table2[[#Headers],[Total Number of Slats]],Table2[#Headers],0),0)</f>
        <v>51</v>
      </c>
      <c r="AU502" s="2">
        <f>VLOOKUP([jobnumber],OvalData[],MATCH(Table2[[#Headers],[Bottom Bar Slope]],Table2[#Headers],0),0)</f>
        <v>0</v>
      </c>
      <c r="AV502" s="2">
        <f>VLOOKUP([jobnumber],OvalData[],MATCH(Table2[[#Headers],[Bottom Bar Weight]],Table2[#Headers],0),0)</f>
        <v>80.5</v>
      </c>
      <c r="AW502" s="2" t="str">
        <f>VLOOKUP([jobnumber],OvalData[],MATCH(Table2[[#Headers],[Outer Spring Gage]],Table2[#Headers],0),0)</f>
        <v>Null</v>
      </c>
      <c r="AX502" s="2" t="str">
        <f>VLOOKUP([jobnumber],OvalData[],MATCH(Table2[[#Headers],[Outer Spring OD]],Table2[#Headers],0),0)</f>
        <v>Null</v>
      </c>
      <c r="AY502" s="2" t="str">
        <f>VLOOKUP([jobnumber],OvalData[],MATCH(Table2[[#Headers],[Outer Spring Length]],Table2[#Headers],0),0)</f>
        <v>Null</v>
      </c>
      <c r="AZ502" s="2" t="str">
        <f>VLOOKUP([jobnumber],OvalData[],MATCH(Table2[[#Headers],[Outer Spring Stretch]],Table2[#Headers],0),0)</f>
        <v>Null</v>
      </c>
      <c r="BA502" s="2" t="str">
        <f>VLOOKUP([jobnumber],OvalData[],MATCH(Table2[[#Headers],[Outer Spring Torque]],Table2[#Headers],0),0)</f>
        <v>Null</v>
      </c>
      <c r="BB502" s="2" t="str">
        <f>VLOOKUP([jobnumber],OvalData[],MATCH(Table2[[#Headers],[Outer Spring Max Turns]],Table2[#Headers],0),0)</f>
        <v>Null</v>
      </c>
      <c r="BC502" s="2" t="str">
        <f>VLOOKUP([jobnumber],OvalData[],MATCH(Table2[[#Headers],[Outer Spring Weight]],Table2[#Headers],0),0)</f>
        <v>Null</v>
      </c>
      <c r="BD502" s="2" t="str">
        <f>VLOOKUP([jobnumber],OvalData[],MATCH(Table2[[#Headers],[Inner Spring Gage]],Table2[#Headers],0),0)</f>
        <v>Null</v>
      </c>
      <c r="BE502" s="2" t="str">
        <f>VLOOKUP([jobnumber],OvalData[],MATCH(Table2[[#Headers],[Inner Spring OD]],Table2[#Headers],0),0)</f>
        <v>Null</v>
      </c>
      <c r="BF502" s="2" t="str">
        <f>VLOOKUP([jobnumber],OvalData[],MATCH(Table2[[#Headers],[Inner Spring Length]],Table2[#Headers],0),0)</f>
        <v>Null</v>
      </c>
      <c r="BG502" s="2" t="str">
        <f>VLOOKUP([jobnumber],OvalData[],MATCH(Table2[[#Headers],[Inner Spring Stretch]],Table2[#Headers],0),0)</f>
        <v>Null</v>
      </c>
      <c r="BH502" s="2" t="str">
        <f>VLOOKUP([jobnumber],OvalData[],MATCH(Table2[[#Headers],[Inner Spring Torque]],Table2[#Headers],0),0)</f>
        <v>Null</v>
      </c>
      <c r="BI502" s="2" t="str">
        <f>VLOOKUP([jobnumber],OvalData[],MATCH(Table2[[#Headers],[Inner Spring Max Turns]],Table2[#Headers],0),0)</f>
        <v>Null</v>
      </c>
      <c r="BJ502" s="2" t="str">
        <f>VLOOKUP([jobnumber],OvalData[],MATCH(Table2[[#Headers],[Inner Spring Weight]],Table2[#Headers],0),0)</f>
        <v>Null</v>
      </c>
      <c r="BK502" s="2">
        <f>VLOOKUP([jobnumber],OvalData[],MATCH(Table2[[#Headers],[Cycles]],Table2[#Headers],0),0)</f>
        <v>0</v>
      </c>
      <c r="BL502" s="2">
        <f>VLOOKUP([jobnumber],OvalData[],MATCH(Table2[[#Headers],[Total Spring Torque]],Table2[#Headers],0),0)</f>
        <v>0</v>
      </c>
      <c r="BM502" s="2">
        <f>VLOOKUP([jobnumber],OvalData[],MATCH(Table2[[#Headers],[Total Spring Weight]],Table2[#Headers],0),0)</f>
        <v>0</v>
      </c>
      <c r="BN502" s="2">
        <f>VLOOKUP([jobnumber],OvalData[],MATCH(Table2[[#Headers],[Pipe Weight]],Table2[#Headers],0),0)</f>
        <v>688.24239999999998</v>
      </c>
      <c r="BO502" s="2">
        <f>VLOOKUP([jobnumber],OvalData[],MATCH(Table2[[#Headers],[Max Pipe Deflection]],Table2[#Headers],0),0)</f>
        <v>2309</v>
      </c>
      <c r="BP502" s="2">
        <f>VLOOKUP([jobnumber],OvalData[],MATCH(Table2[[#Headers],[Number Non-Insulated Wrap Slats]],Table2[#Headers],0),0)</f>
        <v>0</v>
      </c>
      <c r="BQ502" s="2">
        <f>VLOOKUP([jobnumber],OvalData[],MATCH(Table2[[#Headers],[Number of Insolated Top Slats]],Table2[#Headers],0),0)</f>
        <v>45</v>
      </c>
      <c r="BR502" s="2">
        <f>VLOOKUP([jobnumber],OvalData[],MATCH(Table2[[#Headers],[Insolated Total Slats]],Table2[#Headers],0),0)</f>
        <v>45</v>
      </c>
      <c r="BS502" s="2">
        <f>VLOOKUP([jobnumber],OvalData[],MATCH(Table2[[#Headers],[Number of Slats]],Table2[#Headers],0),0)</f>
        <v>44.69</v>
      </c>
      <c r="BT502" s="2">
        <f>VLOOKUP([jobnumber],OvalData[],MATCH(Table2[[#Headers],[Wrap]],Table2[#Headers],0),0)</f>
        <v>0</v>
      </c>
      <c r="BU502" s="2">
        <f>VLOOKUP([jobnumber],OvalData[],MATCH(Table2[[#Headers],[Wall Angle Thickness]],Table2[#Headers],0),0)</f>
        <v>0</v>
      </c>
      <c r="BV502" s="2">
        <f>VLOOKUP([jobnumber],OvalData[],MATCH(Table2[[#Headers],[windlocks]],Table2[#Headers],0),0)</f>
        <v>0</v>
      </c>
      <c r="BW502" s="2" t="str">
        <f>VLOOKUP([jobnumber],OvalData[],MATCH(Table2[[#Headers],[bottombartype]],Table2[#Headers],0),0)</f>
        <v>SPECIAL</v>
      </c>
      <c r="BX502" s="2">
        <f>VLOOKUP([jobnumber],OvalData[],MATCH(Table2[[#Headers],[endlockweight]],Table2[#Headers],0),0)</f>
        <v>0.17</v>
      </c>
      <c r="BY502" s="2">
        <f>VLOOKUP([jobnumber],OvalData[],MATCH(Table2[[#Headers],[Endlock Total Weight]],Table2[#Headers],0),0)</f>
        <v>7.5972999999999997</v>
      </c>
      <c r="BZ502" s="2">
        <f>VLOOKUP([jobnumber],OvalData[],MATCH(Table2[[#Headers],[Grille Weight]],Table2[#Headers],0),0)</f>
        <v>0</v>
      </c>
      <c r="CA502" s="2">
        <f>VLOOKUP([jobnumber],OvalData[],MATCH(Table2[[#Headers],[barrelrings]],Table2[#Headers],0),0)</f>
        <v>1</v>
      </c>
    </row>
    <row r="503" spans="2:79">
      <c r="B503" s="2" t="str">
        <f>VLOOKUP([jobnumber],OvalData[],MATCH(Table2[[#Headers],[Hand]],Table2[#Headers],0),0)</f>
        <v>RH</v>
      </c>
      <c r="C503" s="2" t="str">
        <f>VLOOKUP([jobnumber],OvalData[],MATCH(Table2[[#Headers],[Model]],Table2[#Headers],0),0)</f>
        <v>SFMPP</v>
      </c>
      <c r="D503" s="2" t="str">
        <f>VLOOKUP([jobnumber],OvalData[],MATCH(Table2[[#Headers],[width]],Table2[#Headers],0),0)</f>
        <v xml:space="preserve"> 18 ft.- 2"</v>
      </c>
      <c r="E503" s="2" t="str">
        <f>VLOOKUP([jobnumber],OvalData[],MATCH(Table2[[#Headers],[stopheight]],Table2[#Headers],0),0)</f>
        <v xml:space="preserve"> 10 ft.- 0"</v>
      </c>
      <c r="F503" s="2" t="str">
        <f>VLOOKUP([jobnumber],OvalData[],MATCH(Table2[[#Headers],[Between Brackets]],Table2[#Headers],0),0)</f>
        <v xml:space="preserve"> 18 ft.- 7 7/ 8"</v>
      </c>
      <c r="G503" s="2" t="str">
        <f>VLOOKUP([jobnumber],OvalData[],MATCH(Table2[[#Headers],[shell]],Table2[#Headers],0),0)</f>
        <v>6 INCH TUBE</v>
      </c>
      <c r="H503" s="2" t="str">
        <f>VLOOKUP([jobnumber],OvalData[],MATCH(Table2[[#Headers],[pipewidth]],Table2[#Headers],0),0)</f>
        <v xml:space="preserve"> 18 ft.- 1 3/ 8"</v>
      </c>
      <c r="I503" s="2">
        <f>VLOOKUP([jobnumber],OvalData[],MATCH(Table2[[#Headers],[Support Tubes]],Table2[#Headers],0),0)</f>
        <v>0</v>
      </c>
      <c r="J503" s="2">
        <f>VLOOKUP([jobnumber],OvalData[],MATCH(Table2[[#Headers],[Upset]],Table2[#Headers],0),0)</f>
        <v>2</v>
      </c>
      <c r="K503" s="2" t="str">
        <f>VLOOKUP([jobnumber],OvalData[],MATCH(Table2[[#Headers],[Guide Type]],Table2[#Headers],0),0)</f>
        <v>SN2-4 5/8-E</v>
      </c>
      <c r="L503" s="2" t="str">
        <f>VLOOKUP([jobnumber],OvalData[],MATCH(Table2[[#Headers],[Wall Angle]],Table2[#Headers],0),0)</f>
        <v xml:space="preserve"> 11 ft.- 8"</v>
      </c>
      <c r="M503" s="2" t="str">
        <f>VLOOKUP([jobnumber],OvalData[],MATCH(Table2[[#Headers],[Middle Angle]],Table2[#Headers],0),0)</f>
        <v xml:space="preserve"> 10 ft.- 4 1/ 2"</v>
      </c>
      <c r="N503" s="2" t="str">
        <f>VLOOKUP([jobnumber],OvalData[],MATCH(Table2[[#Headers],[Front Angle]],Table2[#Headers],0),0)</f>
        <v xml:space="preserve"> 10 ft.- 3"</v>
      </c>
      <c r="O503" s="2">
        <f>VLOOKUP([jobnumber],OvalData[],MATCH(Table2[[#Headers],[Pipe Center Line]],Table2[#Headers],0),0)</f>
        <v>131</v>
      </c>
      <c r="P503" s="2">
        <f>VLOOKUP([jobnumber],OvalData[],MATCH(Table2[[#Headers],[Heat Expansion Gap]],Table2[#Headers],0),0)</f>
        <v>0</v>
      </c>
      <c r="Q503" s="2">
        <f>VLOOKUP([jobnumber],OvalData[],MATCH(Table2[[#Headers],[Hanging Weight Closed]],Table2[#Headers],0),0)</f>
        <v>795</v>
      </c>
      <c r="R503" s="2">
        <f>VLOOKUP([jobnumber],OvalData[],MATCH(Table2[[#Headers],[Hanging Weight Open]],Table2[#Headers],0),0)</f>
        <v>140</v>
      </c>
      <c r="S503" s="2">
        <f>VLOOKUP([jobnumber],OvalData[],MATCH(Table2[[#Headers],[Initial Lever Arm]],Table2[#Headers],0),0)</f>
        <v>4.25</v>
      </c>
      <c r="T503" s="2">
        <f>VLOOKUP([jobnumber],OvalData[],MATCH(Table2[[#Headers],[Turns to Raise]],Table2[#Headers],0),0)</f>
        <v>3.5859999999999999</v>
      </c>
      <c r="U503" s="2">
        <f>VLOOKUP([jobnumber],OvalData[],MATCH(Table2[[#Headers],[Final Lever Arm]],Table2[#Headers],0),0)</f>
        <v>6.37</v>
      </c>
      <c r="V503" s="2">
        <f>VLOOKUP([jobnumber],OvalData[],MATCH(Table2[[#Headers],[Torque Required Closed]],Table2[#Headers],0),0)</f>
        <v>3377.9</v>
      </c>
      <c r="W503" s="2">
        <f>VLOOKUP([jobnumber],OvalData[],MATCH(Table2[[#Headers],[Torque Required Open]],Table2[#Headers],0),0)</f>
        <v>892</v>
      </c>
      <c r="X503" s="2">
        <f>VLOOKUP([jobnumber],OvalData[],MATCH(Table2[[#Headers],[Pre Turns]],Table2[#Headers],0),0)</f>
        <v>1.3332999999999999</v>
      </c>
      <c r="Y503" s="2">
        <f>VLOOKUP([jobnumber],OvalData[],MATCH(Table2[[#Headers],[Required Torque Per Turn]],Table2[#Headers],0),0)</f>
        <v>688</v>
      </c>
      <c r="Z503" s="2">
        <f>VLOOKUP([jobnumber],OvalData[],MATCH(Table2[[#Headers],[Total Turns]],Table2[#Headers],0),0)</f>
        <v>4.91</v>
      </c>
      <c r="AA503" s="2">
        <f>VLOOKUP([jobnumber],OvalData[],MATCH(Table2[[#Headers],[Grille Vision Section]],Table2[#Headers],0),0)</f>
        <v>0</v>
      </c>
      <c r="AB503" s="2">
        <f>VLOOKUP([jobnumber],OvalData[],MATCH(Table2[[#Headers],[Grille Amount]],Table2[#Headers],0),0)</f>
        <v>0</v>
      </c>
      <c r="AC503" s="2">
        <f>VLOOKUP([jobnumber],OvalData[],MATCH(Table2[[#Headers],[Grille Center]],Table2[#Headers],0),0)</f>
        <v>0</v>
      </c>
      <c r="AD503" s="2">
        <f>VLOOKUP([jobnumber],OvalData[],MATCH(Table2[[#Headers],[Grille Pattern]],Table2[#Headers],0),0)</f>
        <v>0</v>
      </c>
      <c r="AE503" s="2">
        <f>VLOOKUP([jobnumber],OvalData[],MATCH(Table2[[#Headers],[Grille First Tube]],Table2[#Headers],0),0)</f>
        <v>0</v>
      </c>
      <c r="AF503" s="2">
        <f>VLOOKUP([jobnumber],OvalData[],MATCH(Table2[[#Headers],[Grille Standard Tube]],Table2[#Headers],0),0)</f>
        <v>0</v>
      </c>
      <c r="AG503" s="2">
        <f>VLOOKUP([jobnumber],OvalData[],MATCH(Table2[[#Headers],[Grille Total Links]],Table2[#Headers],0),0)</f>
        <v>0</v>
      </c>
      <c r="AH503" s="2">
        <f>VLOOKUP([jobnumber],OvalData[],MATCH(Table2[[#Headers],[Grille Rods]],Table2[#Headers],0),0)</f>
        <v>0</v>
      </c>
      <c r="AI503" s="2">
        <f>VLOOKUP([jobnumber],OvalData[],MATCH(Table2[[#Headers],[Grille Rod Length]],Table2[#Headers],0),0)</f>
        <v>0</v>
      </c>
      <c r="AJ503" s="2">
        <f>VLOOKUP([jobnumber],OvalData[],MATCH(Table2[[#Headers],[slattype]],Table2[#Headers],0),0)</f>
        <v>2</v>
      </c>
      <c r="AK503" s="2">
        <f>VLOOKUP([jobnumber],OvalData[],MATCH(Table2[[#Headers],[slatgage]],Table2[#Headers],0),0)</f>
        <v>18</v>
      </c>
      <c r="AL503" s="2">
        <f>VLOOKUP([jobnumber],OvalData[],MATCH(Table2[[#Headers],[Numer of Top Slats]],Table2[#Headers],0),0)</f>
        <v>0</v>
      </c>
      <c r="AM503" s="2">
        <f>VLOOKUP([jobnumber],OvalData[],MATCH(Table2[[#Headers],[Number of Bottom Slats]],Table2[#Headers],0),0)</f>
        <v>0</v>
      </c>
      <c r="AN503" s="2">
        <f>VLOOKUP([jobnumber],OvalData[],MATCH(Table2[[#Headers],[Solid Bottom Height]],Table2[#Headers],0),0)</f>
        <v>0</v>
      </c>
      <c r="AO503" s="2" t="str">
        <f>VLOOKUP([jobnumber],OvalData[],MATCH(Table2[[#Headers],[slatlength]],Table2[#Headers],0),0)</f>
        <v xml:space="preserve"> 18 ft.- 5 7/ 8"</v>
      </c>
      <c r="AP503" s="2">
        <f>VLOOKUP([jobnumber],OvalData[],MATCH(Table2[[#Headers],[Bottom Slat Length]],Table2[#Headers],0),0)</f>
        <v>0</v>
      </c>
      <c r="AQ503" s="2">
        <f>VLOOKUP([jobnumber],OvalData[],MATCH(Table2[[#Headers],[Number of Perferated Slats]],Table2[#Headers],0),0)</f>
        <v>0</v>
      </c>
      <c r="AR503" s="2">
        <f>VLOOKUP([jobnumber],OvalData[],MATCH(Table2[[#Headers],[First Preferated Slat From End]],Table2[#Headers],0),0)</f>
        <v>0</v>
      </c>
      <c r="AS503" s="2">
        <f>VLOOKUP([jobnumber],OvalData[],MATCH(Table2[[#Headers],[First Preferated Slat From Bottom]],Table2[#Headers],0),0)</f>
        <v>0</v>
      </c>
      <c r="AT503" s="2">
        <f>VLOOKUP([jobnumber],OvalData[],MATCH(Table2[[#Headers],[Total Number of Slats]],Table2[#Headers],0),0)</f>
        <v>51</v>
      </c>
      <c r="AU503" s="2">
        <f>VLOOKUP([jobnumber],OvalData[],MATCH(Table2[[#Headers],[Bottom Bar Slope]],Table2[#Headers],0),0)</f>
        <v>0</v>
      </c>
      <c r="AV503" s="2">
        <f>VLOOKUP([jobnumber],OvalData[],MATCH(Table2[[#Headers],[Bottom Bar Weight]],Table2[#Headers],0),0)</f>
        <v>80.5</v>
      </c>
      <c r="AW503" s="2" t="str">
        <f>VLOOKUP([jobnumber],OvalData[],MATCH(Table2[[#Headers],[Outer Spring Gage]],Table2[#Headers],0),0)</f>
        <v>Null</v>
      </c>
      <c r="AX503" s="2" t="str">
        <f>VLOOKUP([jobnumber],OvalData[],MATCH(Table2[[#Headers],[Outer Spring OD]],Table2[#Headers],0),0)</f>
        <v>Null</v>
      </c>
      <c r="AY503" s="2" t="str">
        <f>VLOOKUP([jobnumber],OvalData[],MATCH(Table2[[#Headers],[Outer Spring Length]],Table2[#Headers],0),0)</f>
        <v>Null</v>
      </c>
      <c r="AZ503" s="2" t="str">
        <f>VLOOKUP([jobnumber],OvalData[],MATCH(Table2[[#Headers],[Outer Spring Stretch]],Table2[#Headers],0),0)</f>
        <v>Null</v>
      </c>
      <c r="BA503" s="2" t="str">
        <f>VLOOKUP([jobnumber],OvalData[],MATCH(Table2[[#Headers],[Outer Spring Torque]],Table2[#Headers],0),0)</f>
        <v>Null</v>
      </c>
      <c r="BB503" s="2" t="str">
        <f>VLOOKUP([jobnumber],OvalData[],MATCH(Table2[[#Headers],[Outer Spring Max Turns]],Table2[#Headers],0),0)</f>
        <v>Null</v>
      </c>
      <c r="BC503" s="2" t="str">
        <f>VLOOKUP([jobnumber],OvalData[],MATCH(Table2[[#Headers],[Outer Spring Weight]],Table2[#Headers],0),0)</f>
        <v>Null</v>
      </c>
      <c r="BD503" s="2" t="str">
        <f>VLOOKUP([jobnumber],OvalData[],MATCH(Table2[[#Headers],[Inner Spring Gage]],Table2[#Headers],0),0)</f>
        <v>Null</v>
      </c>
      <c r="BE503" s="2" t="str">
        <f>VLOOKUP([jobnumber],OvalData[],MATCH(Table2[[#Headers],[Inner Spring OD]],Table2[#Headers],0),0)</f>
        <v>Null</v>
      </c>
      <c r="BF503" s="2" t="str">
        <f>VLOOKUP([jobnumber],OvalData[],MATCH(Table2[[#Headers],[Inner Spring Length]],Table2[#Headers],0),0)</f>
        <v>Null</v>
      </c>
      <c r="BG503" s="2" t="str">
        <f>VLOOKUP([jobnumber],OvalData[],MATCH(Table2[[#Headers],[Inner Spring Stretch]],Table2[#Headers],0),0)</f>
        <v>Null</v>
      </c>
      <c r="BH503" s="2" t="str">
        <f>VLOOKUP([jobnumber],OvalData[],MATCH(Table2[[#Headers],[Inner Spring Torque]],Table2[#Headers],0),0)</f>
        <v>Null</v>
      </c>
      <c r="BI503" s="2" t="str">
        <f>VLOOKUP([jobnumber],OvalData[],MATCH(Table2[[#Headers],[Inner Spring Max Turns]],Table2[#Headers],0),0)</f>
        <v>Null</v>
      </c>
      <c r="BJ503" s="2" t="str">
        <f>VLOOKUP([jobnumber],OvalData[],MATCH(Table2[[#Headers],[Inner Spring Weight]],Table2[#Headers],0),0)</f>
        <v>Null</v>
      </c>
      <c r="BK503" s="2">
        <f>VLOOKUP([jobnumber],OvalData[],MATCH(Table2[[#Headers],[Cycles]],Table2[#Headers],0),0)</f>
        <v>0</v>
      </c>
      <c r="BL503" s="2">
        <f>VLOOKUP([jobnumber],OvalData[],MATCH(Table2[[#Headers],[Total Spring Torque]],Table2[#Headers],0),0)</f>
        <v>0</v>
      </c>
      <c r="BM503" s="2">
        <f>VLOOKUP([jobnumber],OvalData[],MATCH(Table2[[#Headers],[Total Spring Weight]],Table2[#Headers],0),0)</f>
        <v>0</v>
      </c>
      <c r="BN503" s="2">
        <f>VLOOKUP([jobnumber],OvalData[],MATCH(Table2[[#Headers],[Pipe Weight]],Table2[#Headers],0),0)</f>
        <v>688.24239999999998</v>
      </c>
      <c r="BO503" s="2">
        <f>VLOOKUP([jobnumber],OvalData[],MATCH(Table2[[#Headers],[Max Pipe Deflection]],Table2[#Headers],0),0)</f>
        <v>2309</v>
      </c>
      <c r="BP503" s="2">
        <f>VLOOKUP([jobnumber],OvalData[],MATCH(Table2[[#Headers],[Number Non-Insulated Wrap Slats]],Table2[#Headers],0),0)</f>
        <v>0</v>
      </c>
      <c r="BQ503" s="2">
        <f>VLOOKUP([jobnumber],OvalData[],MATCH(Table2[[#Headers],[Number of Insolated Top Slats]],Table2[#Headers],0),0)</f>
        <v>45</v>
      </c>
      <c r="BR503" s="2">
        <f>VLOOKUP([jobnumber],OvalData[],MATCH(Table2[[#Headers],[Insolated Total Slats]],Table2[#Headers],0),0)</f>
        <v>45</v>
      </c>
      <c r="BS503" s="2">
        <f>VLOOKUP([jobnumber],OvalData[],MATCH(Table2[[#Headers],[Number of Slats]],Table2[#Headers],0),0)</f>
        <v>44.69</v>
      </c>
      <c r="BT503" s="2">
        <f>VLOOKUP([jobnumber],OvalData[],MATCH(Table2[[#Headers],[Wrap]],Table2[#Headers],0),0)</f>
        <v>0</v>
      </c>
      <c r="BU503" s="2">
        <f>VLOOKUP([jobnumber],OvalData[],MATCH(Table2[[#Headers],[Wall Angle Thickness]],Table2[#Headers],0),0)</f>
        <v>0</v>
      </c>
      <c r="BV503" s="2">
        <f>VLOOKUP([jobnumber],OvalData[],MATCH(Table2[[#Headers],[windlocks]],Table2[#Headers],0),0)</f>
        <v>0</v>
      </c>
      <c r="BW503" s="2" t="str">
        <f>VLOOKUP([jobnumber],OvalData[],MATCH(Table2[[#Headers],[bottombartype]],Table2[#Headers],0),0)</f>
        <v>SPECIAL</v>
      </c>
      <c r="BX503" s="2">
        <f>VLOOKUP([jobnumber],OvalData[],MATCH(Table2[[#Headers],[endlockweight]],Table2[#Headers],0),0)</f>
        <v>0.17</v>
      </c>
      <c r="BY503" s="2">
        <f>VLOOKUP([jobnumber],OvalData[],MATCH(Table2[[#Headers],[Endlock Total Weight]],Table2[#Headers],0),0)</f>
        <v>7.5972999999999997</v>
      </c>
      <c r="BZ503" s="2">
        <f>VLOOKUP([jobnumber],OvalData[],MATCH(Table2[[#Headers],[Grille Weight]],Table2[#Headers],0),0)</f>
        <v>0</v>
      </c>
      <c r="CA503" s="2">
        <f>VLOOKUP([jobnumber],OvalData[],MATCH(Table2[[#Headers],[barrelrings]],Table2[#Headers],0),0)</f>
        <v>1</v>
      </c>
    </row>
    <row r="504" spans="2:79">
      <c r="B504" s="2" t="str">
        <f>VLOOKUP([jobnumber],OvalData[],MATCH(Table2[[#Headers],[Hand]],Table2[#Headers],0),0)</f>
        <v>RH</v>
      </c>
      <c r="C504" s="2" t="str">
        <f>VLOOKUP([jobnumber],OvalData[],MATCH(Table2[[#Headers],[Model]],Table2[#Headers],0),0)</f>
        <v>SFMPP</v>
      </c>
      <c r="D504" s="2" t="str">
        <f>VLOOKUP([jobnumber],OvalData[],MATCH(Table2[[#Headers],[width]],Table2[#Headers],0),0)</f>
        <v xml:space="preserve"> 18 ft.- 2"</v>
      </c>
      <c r="E504" s="2" t="str">
        <f>VLOOKUP([jobnumber],OvalData[],MATCH(Table2[[#Headers],[stopheight]],Table2[#Headers],0),0)</f>
        <v xml:space="preserve"> 10 ft.- 0"</v>
      </c>
      <c r="F504" s="2" t="str">
        <f>VLOOKUP([jobnumber],OvalData[],MATCH(Table2[[#Headers],[Between Brackets]],Table2[#Headers],0),0)</f>
        <v xml:space="preserve"> 18 ft.- 7 7/ 8"</v>
      </c>
      <c r="G504" s="2" t="str">
        <f>VLOOKUP([jobnumber],OvalData[],MATCH(Table2[[#Headers],[shell]],Table2[#Headers],0),0)</f>
        <v>6 INCH TUBE</v>
      </c>
      <c r="H504" s="2" t="str">
        <f>VLOOKUP([jobnumber],OvalData[],MATCH(Table2[[#Headers],[pipewidth]],Table2[#Headers],0),0)</f>
        <v xml:space="preserve"> 18 ft.- 1 3/ 8"</v>
      </c>
      <c r="I504" s="2">
        <f>VLOOKUP([jobnumber],OvalData[],MATCH(Table2[[#Headers],[Support Tubes]],Table2[#Headers],0),0)</f>
        <v>0</v>
      </c>
      <c r="J504" s="2">
        <f>VLOOKUP([jobnumber],OvalData[],MATCH(Table2[[#Headers],[Upset]],Table2[#Headers],0),0)</f>
        <v>2</v>
      </c>
      <c r="K504" s="2" t="str">
        <f>VLOOKUP([jobnumber],OvalData[],MATCH(Table2[[#Headers],[Guide Type]],Table2[#Headers],0),0)</f>
        <v>SN2-4 5/8-E</v>
      </c>
      <c r="L504" s="2" t="str">
        <f>VLOOKUP([jobnumber],OvalData[],MATCH(Table2[[#Headers],[Wall Angle]],Table2[#Headers],0),0)</f>
        <v xml:space="preserve"> 11 ft.- 8"</v>
      </c>
      <c r="M504" s="2" t="str">
        <f>VLOOKUP([jobnumber],OvalData[],MATCH(Table2[[#Headers],[Middle Angle]],Table2[#Headers],0),0)</f>
        <v xml:space="preserve"> 10 ft.- 4 1/ 2"</v>
      </c>
      <c r="N504" s="2" t="str">
        <f>VLOOKUP([jobnumber],OvalData[],MATCH(Table2[[#Headers],[Front Angle]],Table2[#Headers],0),0)</f>
        <v xml:space="preserve"> 10 ft.- 3"</v>
      </c>
      <c r="O504" s="2">
        <f>VLOOKUP([jobnumber],OvalData[],MATCH(Table2[[#Headers],[Pipe Center Line]],Table2[#Headers],0),0)</f>
        <v>131</v>
      </c>
      <c r="P504" s="2">
        <f>VLOOKUP([jobnumber],OvalData[],MATCH(Table2[[#Headers],[Heat Expansion Gap]],Table2[#Headers],0),0)</f>
        <v>0</v>
      </c>
      <c r="Q504" s="2">
        <f>VLOOKUP([jobnumber],OvalData[],MATCH(Table2[[#Headers],[Hanging Weight Closed]],Table2[#Headers],0),0)</f>
        <v>795</v>
      </c>
      <c r="R504" s="2">
        <f>VLOOKUP([jobnumber],OvalData[],MATCH(Table2[[#Headers],[Hanging Weight Open]],Table2[#Headers],0),0)</f>
        <v>140</v>
      </c>
      <c r="S504" s="2">
        <f>VLOOKUP([jobnumber],OvalData[],MATCH(Table2[[#Headers],[Initial Lever Arm]],Table2[#Headers],0),0)</f>
        <v>4.25</v>
      </c>
      <c r="T504" s="2">
        <f>VLOOKUP([jobnumber],OvalData[],MATCH(Table2[[#Headers],[Turns to Raise]],Table2[#Headers],0),0)</f>
        <v>3.5859999999999999</v>
      </c>
      <c r="U504" s="2">
        <f>VLOOKUP([jobnumber],OvalData[],MATCH(Table2[[#Headers],[Final Lever Arm]],Table2[#Headers],0),0)</f>
        <v>6.37</v>
      </c>
      <c r="V504" s="2">
        <f>VLOOKUP([jobnumber],OvalData[],MATCH(Table2[[#Headers],[Torque Required Closed]],Table2[#Headers],0),0)</f>
        <v>3377.9</v>
      </c>
      <c r="W504" s="2">
        <f>VLOOKUP([jobnumber],OvalData[],MATCH(Table2[[#Headers],[Torque Required Open]],Table2[#Headers],0),0)</f>
        <v>892</v>
      </c>
      <c r="X504" s="2">
        <f>VLOOKUP([jobnumber],OvalData[],MATCH(Table2[[#Headers],[Pre Turns]],Table2[#Headers],0),0)</f>
        <v>1.3332999999999999</v>
      </c>
      <c r="Y504" s="2">
        <f>VLOOKUP([jobnumber],OvalData[],MATCH(Table2[[#Headers],[Required Torque Per Turn]],Table2[#Headers],0),0)</f>
        <v>688</v>
      </c>
      <c r="Z504" s="2">
        <f>VLOOKUP([jobnumber],OvalData[],MATCH(Table2[[#Headers],[Total Turns]],Table2[#Headers],0),0)</f>
        <v>4.91</v>
      </c>
      <c r="AA504" s="2">
        <f>VLOOKUP([jobnumber],OvalData[],MATCH(Table2[[#Headers],[Grille Vision Section]],Table2[#Headers],0),0)</f>
        <v>0</v>
      </c>
      <c r="AB504" s="2">
        <f>VLOOKUP([jobnumber],OvalData[],MATCH(Table2[[#Headers],[Grille Amount]],Table2[#Headers],0),0)</f>
        <v>0</v>
      </c>
      <c r="AC504" s="2">
        <f>VLOOKUP([jobnumber],OvalData[],MATCH(Table2[[#Headers],[Grille Center]],Table2[#Headers],0),0)</f>
        <v>0</v>
      </c>
      <c r="AD504" s="2">
        <f>VLOOKUP([jobnumber],OvalData[],MATCH(Table2[[#Headers],[Grille Pattern]],Table2[#Headers],0),0)</f>
        <v>0</v>
      </c>
      <c r="AE504" s="2">
        <f>VLOOKUP([jobnumber],OvalData[],MATCH(Table2[[#Headers],[Grille First Tube]],Table2[#Headers],0),0)</f>
        <v>0</v>
      </c>
      <c r="AF504" s="2">
        <f>VLOOKUP([jobnumber],OvalData[],MATCH(Table2[[#Headers],[Grille Standard Tube]],Table2[#Headers],0),0)</f>
        <v>0</v>
      </c>
      <c r="AG504" s="2">
        <f>VLOOKUP([jobnumber],OvalData[],MATCH(Table2[[#Headers],[Grille Total Links]],Table2[#Headers],0),0)</f>
        <v>0</v>
      </c>
      <c r="AH504" s="2">
        <f>VLOOKUP([jobnumber],OvalData[],MATCH(Table2[[#Headers],[Grille Rods]],Table2[#Headers],0),0)</f>
        <v>0</v>
      </c>
      <c r="AI504" s="2">
        <f>VLOOKUP([jobnumber],OvalData[],MATCH(Table2[[#Headers],[Grille Rod Length]],Table2[#Headers],0),0)</f>
        <v>0</v>
      </c>
      <c r="AJ504" s="2">
        <f>VLOOKUP([jobnumber],OvalData[],MATCH(Table2[[#Headers],[slattype]],Table2[#Headers],0),0)</f>
        <v>2</v>
      </c>
      <c r="AK504" s="2">
        <f>VLOOKUP([jobnumber],OvalData[],MATCH(Table2[[#Headers],[slatgage]],Table2[#Headers],0),0)</f>
        <v>18</v>
      </c>
      <c r="AL504" s="2">
        <f>VLOOKUP([jobnumber],OvalData[],MATCH(Table2[[#Headers],[Numer of Top Slats]],Table2[#Headers],0),0)</f>
        <v>0</v>
      </c>
      <c r="AM504" s="2">
        <f>VLOOKUP([jobnumber],OvalData[],MATCH(Table2[[#Headers],[Number of Bottom Slats]],Table2[#Headers],0),0)</f>
        <v>0</v>
      </c>
      <c r="AN504" s="2">
        <f>VLOOKUP([jobnumber],OvalData[],MATCH(Table2[[#Headers],[Solid Bottom Height]],Table2[#Headers],0),0)</f>
        <v>0</v>
      </c>
      <c r="AO504" s="2" t="str">
        <f>VLOOKUP([jobnumber],OvalData[],MATCH(Table2[[#Headers],[slatlength]],Table2[#Headers],0),0)</f>
        <v xml:space="preserve"> 18 ft.- 5 7/ 8"</v>
      </c>
      <c r="AP504" s="2">
        <f>VLOOKUP([jobnumber],OvalData[],MATCH(Table2[[#Headers],[Bottom Slat Length]],Table2[#Headers],0),0)</f>
        <v>0</v>
      </c>
      <c r="AQ504" s="2">
        <f>VLOOKUP([jobnumber],OvalData[],MATCH(Table2[[#Headers],[Number of Perferated Slats]],Table2[#Headers],0),0)</f>
        <v>0</v>
      </c>
      <c r="AR504" s="2">
        <f>VLOOKUP([jobnumber],OvalData[],MATCH(Table2[[#Headers],[First Preferated Slat From End]],Table2[#Headers],0),0)</f>
        <v>0</v>
      </c>
      <c r="AS504" s="2">
        <f>VLOOKUP([jobnumber],OvalData[],MATCH(Table2[[#Headers],[First Preferated Slat From Bottom]],Table2[#Headers],0),0)</f>
        <v>0</v>
      </c>
      <c r="AT504" s="2">
        <f>VLOOKUP([jobnumber],OvalData[],MATCH(Table2[[#Headers],[Total Number of Slats]],Table2[#Headers],0),0)</f>
        <v>51</v>
      </c>
      <c r="AU504" s="2">
        <f>VLOOKUP([jobnumber],OvalData[],MATCH(Table2[[#Headers],[Bottom Bar Slope]],Table2[#Headers],0),0)</f>
        <v>0</v>
      </c>
      <c r="AV504" s="2">
        <f>VLOOKUP([jobnumber],OvalData[],MATCH(Table2[[#Headers],[Bottom Bar Weight]],Table2[#Headers],0),0)</f>
        <v>80.5</v>
      </c>
      <c r="AW504" s="2" t="str">
        <f>VLOOKUP([jobnumber],OvalData[],MATCH(Table2[[#Headers],[Outer Spring Gage]],Table2[#Headers],0),0)</f>
        <v>Null</v>
      </c>
      <c r="AX504" s="2" t="str">
        <f>VLOOKUP([jobnumber],OvalData[],MATCH(Table2[[#Headers],[Outer Spring OD]],Table2[#Headers],0),0)</f>
        <v>Null</v>
      </c>
      <c r="AY504" s="2" t="str">
        <f>VLOOKUP([jobnumber],OvalData[],MATCH(Table2[[#Headers],[Outer Spring Length]],Table2[#Headers],0),0)</f>
        <v>Null</v>
      </c>
      <c r="AZ504" s="2" t="str">
        <f>VLOOKUP([jobnumber],OvalData[],MATCH(Table2[[#Headers],[Outer Spring Stretch]],Table2[#Headers],0),0)</f>
        <v>Null</v>
      </c>
      <c r="BA504" s="2" t="str">
        <f>VLOOKUP([jobnumber],OvalData[],MATCH(Table2[[#Headers],[Outer Spring Torque]],Table2[#Headers],0),0)</f>
        <v>Null</v>
      </c>
      <c r="BB504" s="2" t="str">
        <f>VLOOKUP([jobnumber],OvalData[],MATCH(Table2[[#Headers],[Outer Spring Max Turns]],Table2[#Headers],0),0)</f>
        <v>Null</v>
      </c>
      <c r="BC504" s="2" t="str">
        <f>VLOOKUP([jobnumber],OvalData[],MATCH(Table2[[#Headers],[Outer Spring Weight]],Table2[#Headers],0),0)</f>
        <v>Null</v>
      </c>
      <c r="BD504" s="2" t="str">
        <f>VLOOKUP([jobnumber],OvalData[],MATCH(Table2[[#Headers],[Inner Spring Gage]],Table2[#Headers],0),0)</f>
        <v>Null</v>
      </c>
      <c r="BE504" s="2" t="str">
        <f>VLOOKUP([jobnumber],OvalData[],MATCH(Table2[[#Headers],[Inner Spring OD]],Table2[#Headers],0),0)</f>
        <v>Null</v>
      </c>
      <c r="BF504" s="2" t="str">
        <f>VLOOKUP([jobnumber],OvalData[],MATCH(Table2[[#Headers],[Inner Spring Length]],Table2[#Headers],0),0)</f>
        <v>Null</v>
      </c>
      <c r="BG504" s="2" t="str">
        <f>VLOOKUP([jobnumber],OvalData[],MATCH(Table2[[#Headers],[Inner Spring Stretch]],Table2[#Headers],0),0)</f>
        <v>Null</v>
      </c>
      <c r="BH504" s="2" t="str">
        <f>VLOOKUP([jobnumber],OvalData[],MATCH(Table2[[#Headers],[Inner Spring Torque]],Table2[#Headers],0),0)</f>
        <v>Null</v>
      </c>
      <c r="BI504" s="2" t="str">
        <f>VLOOKUP([jobnumber],OvalData[],MATCH(Table2[[#Headers],[Inner Spring Max Turns]],Table2[#Headers],0),0)</f>
        <v>Null</v>
      </c>
      <c r="BJ504" s="2" t="str">
        <f>VLOOKUP([jobnumber],OvalData[],MATCH(Table2[[#Headers],[Inner Spring Weight]],Table2[#Headers],0),0)</f>
        <v>Null</v>
      </c>
      <c r="BK504" s="2">
        <f>VLOOKUP([jobnumber],OvalData[],MATCH(Table2[[#Headers],[Cycles]],Table2[#Headers],0),0)</f>
        <v>0</v>
      </c>
      <c r="BL504" s="2">
        <f>VLOOKUP([jobnumber],OvalData[],MATCH(Table2[[#Headers],[Total Spring Torque]],Table2[#Headers],0),0)</f>
        <v>0</v>
      </c>
      <c r="BM504" s="2">
        <f>VLOOKUP([jobnumber],OvalData[],MATCH(Table2[[#Headers],[Total Spring Weight]],Table2[#Headers],0),0)</f>
        <v>0</v>
      </c>
      <c r="BN504" s="2">
        <f>VLOOKUP([jobnumber],OvalData[],MATCH(Table2[[#Headers],[Pipe Weight]],Table2[#Headers],0),0)</f>
        <v>688.24239999999998</v>
      </c>
      <c r="BO504" s="2">
        <f>VLOOKUP([jobnumber],OvalData[],MATCH(Table2[[#Headers],[Max Pipe Deflection]],Table2[#Headers],0),0)</f>
        <v>2309</v>
      </c>
      <c r="BP504" s="2">
        <f>VLOOKUP([jobnumber],OvalData[],MATCH(Table2[[#Headers],[Number Non-Insulated Wrap Slats]],Table2[#Headers],0),0)</f>
        <v>0</v>
      </c>
      <c r="BQ504" s="2">
        <f>VLOOKUP([jobnumber],OvalData[],MATCH(Table2[[#Headers],[Number of Insolated Top Slats]],Table2[#Headers],0),0)</f>
        <v>45</v>
      </c>
      <c r="BR504" s="2">
        <f>VLOOKUP([jobnumber],OvalData[],MATCH(Table2[[#Headers],[Insolated Total Slats]],Table2[#Headers],0),0)</f>
        <v>45</v>
      </c>
      <c r="BS504" s="2">
        <f>VLOOKUP([jobnumber],OvalData[],MATCH(Table2[[#Headers],[Number of Slats]],Table2[#Headers],0),0)</f>
        <v>44.69</v>
      </c>
      <c r="BT504" s="2">
        <f>VLOOKUP([jobnumber],OvalData[],MATCH(Table2[[#Headers],[Wrap]],Table2[#Headers],0),0)</f>
        <v>0</v>
      </c>
      <c r="BU504" s="2">
        <f>VLOOKUP([jobnumber],OvalData[],MATCH(Table2[[#Headers],[Wall Angle Thickness]],Table2[#Headers],0),0)</f>
        <v>0</v>
      </c>
      <c r="BV504" s="2">
        <f>VLOOKUP([jobnumber],OvalData[],MATCH(Table2[[#Headers],[windlocks]],Table2[#Headers],0),0)</f>
        <v>0</v>
      </c>
      <c r="BW504" s="2" t="str">
        <f>VLOOKUP([jobnumber],OvalData[],MATCH(Table2[[#Headers],[bottombartype]],Table2[#Headers],0),0)</f>
        <v>SPECIAL</v>
      </c>
      <c r="BX504" s="2">
        <f>VLOOKUP([jobnumber],OvalData[],MATCH(Table2[[#Headers],[endlockweight]],Table2[#Headers],0),0)</f>
        <v>0.17</v>
      </c>
      <c r="BY504" s="2">
        <f>VLOOKUP([jobnumber],OvalData[],MATCH(Table2[[#Headers],[Endlock Total Weight]],Table2[#Headers],0),0)</f>
        <v>7.5972999999999997</v>
      </c>
      <c r="BZ504" s="2">
        <f>VLOOKUP([jobnumber],OvalData[],MATCH(Table2[[#Headers],[Grille Weight]],Table2[#Headers],0),0)</f>
        <v>0</v>
      </c>
      <c r="CA504" s="2">
        <f>VLOOKUP([jobnumber],OvalData[],MATCH(Table2[[#Headers],[barrelrings]],Table2[#Headers],0),0)</f>
        <v>1</v>
      </c>
    </row>
    <row r="505" spans="2:79">
      <c r="B505" s="2" t="str">
        <f>VLOOKUP([jobnumber],OvalData[],MATCH(Table2[[#Headers],[Hand]],Table2[#Headers],0),0)</f>
        <v>RH</v>
      </c>
      <c r="C505" s="2" t="str">
        <f>VLOOKUP([jobnumber],OvalData[],MATCH(Table2[[#Headers],[Model]],Table2[#Headers],0),0)</f>
        <v>SFMPP</v>
      </c>
      <c r="D505" s="2" t="str">
        <f>VLOOKUP([jobnumber],OvalData[],MATCH(Table2[[#Headers],[width]],Table2[#Headers],0),0)</f>
        <v xml:space="preserve"> 18 ft.- 2"</v>
      </c>
      <c r="E505" s="2" t="str">
        <f>VLOOKUP([jobnumber],OvalData[],MATCH(Table2[[#Headers],[stopheight]],Table2[#Headers],0),0)</f>
        <v xml:space="preserve"> 10 ft.- 0"</v>
      </c>
      <c r="F505" s="2" t="str">
        <f>VLOOKUP([jobnumber],OvalData[],MATCH(Table2[[#Headers],[Between Brackets]],Table2[#Headers],0),0)</f>
        <v xml:space="preserve"> 18 ft.- 7 7/ 8"</v>
      </c>
      <c r="G505" s="2" t="str">
        <f>VLOOKUP([jobnumber],OvalData[],MATCH(Table2[[#Headers],[shell]],Table2[#Headers],0),0)</f>
        <v>6 INCH TUBE</v>
      </c>
      <c r="H505" s="2" t="str">
        <f>VLOOKUP([jobnumber],OvalData[],MATCH(Table2[[#Headers],[pipewidth]],Table2[#Headers],0),0)</f>
        <v xml:space="preserve"> 18 ft.- 1 3/ 8"</v>
      </c>
      <c r="I505" s="2">
        <f>VLOOKUP([jobnumber],OvalData[],MATCH(Table2[[#Headers],[Support Tubes]],Table2[#Headers],0),0)</f>
        <v>0</v>
      </c>
      <c r="J505" s="2">
        <f>VLOOKUP([jobnumber],OvalData[],MATCH(Table2[[#Headers],[Upset]],Table2[#Headers],0),0)</f>
        <v>2</v>
      </c>
      <c r="K505" s="2" t="str">
        <f>VLOOKUP([jobnumber],OvalData[],MATCH(Table2[[#Headers],[Guide Type]],Table2[#Headers],0),0)</f>
        <v>SN2-4 5/8-E</v>
      </c>
      <c r="L505" s="2" t="str">
        <f>VLOOKUP([jobnumber],OvalData[],MATCH(Table2[[#Headers],[Wall Angle]],Table2[#Headers],0),0)</f>
        <v xml:space="preserve"> 11 ft.- 8"</v>
      </c>
      <c r="M505" s="2" t="str">
        <f>VLOOKUP([jobnumber],OvalData[],MATCH(Table2[[#Headers],[Middle Angle]],Table2[#Headers],0),0)</f>
        <v xml:space="preserve"> 10 ft.- 4 1/ 2"</v>
      </c>
      <c r="N505" s="2" t="str">
        <f>VLOOKUP([jobnumber],OvalData[],MATCH(Table2[[#Headers],[Front Angle]],Table2[#Headers],0),0)</f>
        <v xml:space="preserve"> 10 ft.- 3"</v>
      </c>
      <c r="O505" s="2">
        <f>VLOOKUP([jobnumber],OvalData[],MATCH(Table2[[#Headers],[Pipe Center Line]],Table2[#Headers],0),0)</f>
        <v>131</v>
      </c>
      <c r="P505" s="2">
        <f>VLOOKUP([jobnumber],OvalData[],MATCH(Table2[[#Headers],[Heat Expansion Gap]],Table2[#Headers],0),0)</f>
        <v>0</v>
      </c>
      <c r="Q505" s="2">
        <f>VLOOKUP([jobnumber],OvalData[],MATCH(Table2[[#Headers],[Hanging Weight Closed]],Table2[#Headers],0),0)</f>
        <v>795</v>
      </c>
      <c r="R505" s="2">
        <f>VLOOKUP([jobnumber],OvalData[],MATCH(Table2[[#Headers],[Hanging Weight Open]],Table2[#Headers],0),0)</f>
        <v>140</v>
      </c>
      <c r="S505" s="2">
        <f>VLOOKUP([jobnumber],OvalData[],MATCH(Table2[[#Headers],[Initial Lever Arm]],Table2[#Headers],0),0)</f>
        <v>4.25</v>
      </c>
      <c r="T505" s="2">
        <f>VLOOKUP([jobnumber],OvalData[],MATCH(Table2[[#Headers],[Turns to Raise]],Table2[#Headers],0),0)</f>
        <v>3.5859999999999999</v>
      </c>
      <c r="U505" s="2">
        <f>VLOOKUP([jobnumber],OvalData[],MATCH(Table2[[#Headers],[Final Lever Arm]],Table2[#Headers],0),0)</f>
        <v>6.37</v>
      </c>
      <c r="V505" s="2">
        <f>VLOOKUP([jobnumber],OvalData[],MATCH(Table2[[#Headers],[Torque Required Closed]],Table2[#Headers],0),0)</f>
        <v>3377.9</v>
      </c>
      <c r="W505" s="2">
        <f>VLOOKUP([jobnumber],OvalData[],MATCH(Table2[[#Headers],[Torque Required Open]],Table2[#Headers],0),0)</f>
        <v>892</v>
      </c>
      <c r="X505" s="2">
        <f>VLOOKUP([jobnumber],OvalData[],MATCH(Table2[[#Headers],[Pre Turns]],Table2[#Headers],0),0)</f>
        <v>1.3332999999999999</v>
      </c>
      <c r="Y505" s="2">
        <f>VLOOKUP([jobnumber],OvalData[],MATCH(Table2[[#Headers],[Required Torque Per Turn]],Table2[#Headers],0),0)</f>
        <v>688</v>
      </c>
      <c r="Z505" s="2">
        <f>VLOOKUP([jobnumber],OvalData[],MATCH(Table2[[#Headers],[Total Turns]],Table2[#Headers],0),0)</f>
        <v>4.91</v>
      </c>
      <c r="AA505" s="2">
        <f>VLOOKUP([jobnumber],OvalData[],MATCH(Table2[[#Headers],[Grille Vision Section]],Table2[#Headers],0),0)</f>
        <v>0</v>
      </c>
      <c r="AB505" s="2">
        <f>VLOOKUP([jobnumber],OvalData[],MATCH(Table2[[#Headers],[Grille Amount]],Table2[#Headers],0),0)</f>
        <v>0</v>
      </c>
      <c r="AC505" s="2">
        <f>VLOOKUP([jobnumber],OvalData[],MATCH(Table2[[#Headers],[Grille Center]],Table2[#Headers],0),0)</f>
        <v>0</v>
      </c>
      <c r="AD505" s="2">
        <f>VLOOKUP([jobnumber],OvalData[],MATCH(Table2[[#Headers],[Grille Pattern]],Table2[#Headers],0),0)</f>
        <v>0</v>
      </c>
      <c r="AE505" s="2">
        <f>VLOOKUP([jobnumber],OvalData[],MATCH(Table2[[#Headers],[Grille First Tube]],Table2[#Headers],0),0)</f>
        <v>0</v>
      </c>
      <c r="AF505" s="2">
        <f>VLOOKUP([jobnumber],OvalData[],MATCH(Table2[[#Headers],[Grille Standard Tube]],Table2[#Headers],0),0)</f>
        <v>0</v>
      </c>
      <c r="AG505" s="2">
        <f>VLOOKUP([jobnumber],OvalData[],MATCH(Table2[[#Headers],[Grille Total Links]],Table2[#Headers],0),0)</f>
        <v>0</v>
      </c>
      <c r="AH505" s="2">
        <f>VLOOKUP([jobnumber],OvalData[],MATCH(Table2[[#Headers],[Grille Rods]],Table2[#Headers],0),0)</f>
        <v>0</v>
      </c>
      <c r="AI505" s="2">
        <f>VLOOKUP([jobnumber],OvalData[],MATCH(Table2[[#Headers],[Grille Rod Length]],Table2[#Headers],0),0)</f>
        <v>0</v>
      </c>
      <c r="AJ505" s="2">
        <f>VLOOKUP([jobnumber],OvalData[],MATCH(Table2[[#Headers],[slattype]],Table2[#Headers],0),0)</f>
        <v>2</v>
      </c>
      <c r="AK505" s="2">
        <f>VLOOKUP([jobnumber],OvalData[],MATCH(Table2[[#Headers],[slatgage]],Table2[#Headers],0),0)</f>
        <v>18</v>
      </c>
      <c r="AL505" s="2">
        <f>VLOOKUP([jobnumber],OvalData[],MATCH(Table2[[#Headers],[Numer of Top Slats]],Table2[#Headers],0),0)</f>
        <v>0</v>
      </c>
      <c r="AM505" s="2">
        <f>VLOOKUP([jobnumber],OvalData[],MATCH(Table2[[#Headers],[Number of Bottom Slats]],Table2[#Headers],0),0)</f>
        <v>0</v>
      </c>
      <c r="AN505" s="2">
        <f>VLOOKUP([jobnumber],OvalData[],MATCH(Table2[[#Headers],[Solid Bottom Height]],Table2[#Headers],0),0)</f>
        <v>0</v>
      </c>
      <c r="AO505" s="2" t="str">
        <f>VLOOKUP([jobnumber],OvalData[],MATCH(Table2[[#Headers],[slatlength]],Table2[#Headers],0),0)</f>
        <v xml:space="preserve"> 18 ft.- 5 7/ 8"</v>
      </c>
      <c r="AP505" s="2">
        <f>VLOOKUP([jobnumber],OvalData[],MATCH(Table2[[#Headers],[Bottom Slat Length]],Table2[#Headers],0),0)</f>
        <v>0</v>
      </c>
      <c r="AQ505" s="2">
        <f>VLOOKUP([jobnumber],OvalData[],MATCH(Table2[[#Headers],[Number of Perferated Slats]],Table2[#Headers],0),0)</f>
        <v>0</v>
      </c>
      <c r="AR505" s="2">
        <f>VLOOKUP([jobnumber],OvalData[],MATCH(Table2[[#Headers],[First Preferated Slat From End]],Table2[#Headers],0),0)</f>
        <v>0</v>
      </c>
      <c r="AS505" s="2">
        <f>VLOOKUP([jobnumber],OvalData[],MATCH(Table2[[#Headers],[First Preferated Slat From Bottom]],Table2[#Headers],0),0)</f>
        <v>0</v>
      </c>
      <c r="AT505" s="2">
        <f>VLOOKUP([jobnumber],OvalData[],MATCH(Table2[[#Headers],[Total Number of Slats]],Table2[#Headers],0),0)</f>
        <v>51</v>
      </c>
      <c r="AU505" s="2">
        <f>VLOOKUP([jobnumber],OvalData[],MATCH(Table2[[#Headers],[Bottom Bar Slope]],Table2[#Headers],0),0)</f>
        <v>0</v>
      </c>
      <c r="AV505" s="2">
        <f>VLOOKUP([jobnumber],OvalData[],MATCH(Table2[[#Headers],[Bottom Bar Weight]],Table2[#Headers],0),0)</f>
        <v>80.5</v>
      </c>
      <c r="AW505" s="2" t="str">
        <f>VLOOKUP([jobnumber],OvalData[],MATCH(Table2[[#Headers],[Outer Spring Gage]],Table2[#Headers],0),0)</f>
        <v>Null</v>
      </c>
      <c r="AX505" s="2" t="str">
        <f>VLOOKUP([jobnumber],OvalData[],MATCH(Table2[[#Headers],[Outer Spring OD]],Table2[#Headers],0),0)</f>
        <v>Null</v>
      </c>
      <c r="AY505" s="2" t="str">
        <f>VLOOKUP([jobnumber],OvalData[],MATCH(Table2[[#Headers],[Outer Spring Length]],Table2[#Headers],0),0)</f>
        <v>Null</v>
      </c>
      <c r="AZ505" s="2" t="str">
        <f>VLOOKUP([jobnumber],OvalData[],MATCH(Table2[[#Headers],[Outer Spring Stretch]],Table2[#Headers],0),0)</f>
        <v>Null</v>
      </c>
      <c r="BA505" s="2" t="str">
        <f>VLOOKUP([jobnumber],OvalData[],MATCH(Table2[[#Headers],[Outer Spring Torque]],Table2[#Headers],0),0)</f>
        <v>Null</v>
      </c>
      <c r="BB505" s="2" t="str">
        <f>VLOOKUP([jobnumber],OvalData[],MATCH(Table2[[#Headers],[Outer Spring Max Turns]],Table2[#Headers],0),0)</f>
        <v>Null</v>
      </c>
      <c r="BC505" s="2" t="str">
        <f>VLOOKUP([jobnumber],OvalData[],MATCH(Table2[[#Headers],[Outer Spring Weight]],Table2[#Headers],0),0)</f>
        <v>Null</v>
      </c>
      <c r="BD505" s="2" t="str">
        <f>VLOOKUP([jobnumber],OvalData[],MATCH(Table2[[#Headers],[Inner Spring Gage]],Table2[#Headers],0),0)</f>
        <v>Null</v>
      </c>
      <c r="BE505" s="2" t="str">
        <f>VLOOKUP([jobnumber],OvalData[],MATCH(Table2[[#Headers],[Inner Spring OD]],Table2[#Headers],0),0)</f>
        <v>Null</v>
      </c>
      <c r="BF505" s="2" t="str">
        <f>VLOOKUP([jobnumber],OvalData[],MATCH(Table2[[#Headers],[Inner Spring Length]],Table2[#Headers],0),0)</f>
        <v>Null</v>
      </c>
      <c r="BG505" s="2" t="str">
        <f>VLOOKUP([jobnumber],OvalData[],MATCH(Table2[[#Headers],[Inner Spring Stretch]],Table2[#Headers],0),0)</f>
        <v>Null</v>
      </c>
      <c r="BH505" s="2" t="str">
        <f>VLOOKUP([jobnumber],OvalData[],MATCH(Table2[[#Headers],[Inner Spring Torque]],Table2[#Headers],0),0)</f>
        <v>Null</v>
      </c>
      <c r="BI505" s="2" t="str">
        <f>VLOOKUP([jobnumber],OvalData[],MATCH(Table2[[#Headers],[Inner Spring Max Turns]],Table2[#Headers],0),0)</f>
        <v>Null</v>
      </c>
      <c r="BJ505" s="2" t="str">
        <f>VLOOKUP([jobnumber],OvalData[],MATCH(Table2[[#Headers],[Inner Spring Weight]],Table2[#Headers],0),0)</f>
        <v>Null</v>
      </c>
      <c r="BK505" s="2">
        <f>VLOOKUP([jobnumber],OvalData[],MATCH(Table2[[#Headers],[Cycles]],Table2[#Headers],0),0)</f>
        <v>0</v>
      </c>
      <c r="BL505" s="2">
        <f>VLOOKUP([jobnumber],OvalData[],MATCH(Table2[[#Headers],[Total Spring Torque]],Table2[#Headers],0),0)</f>
        <v>0</v>
      </c>
      <c r="BM505" s="2">
        <f>VLOOKUP([jobnumber],OvalData[],MATCH(Table2[[#Headers],[Total Spring Weight]],Table2[#Headers],0),0)</f>
        <v>0</v>
      </c>
      <c r="BN505" s="2">
        <f>VLOOKUP([jobnumber],OvalData[],MATCH(Table2[[#Headers],[Pipe Weight]],Table2[#Headers],0),0)</f>
        <v>688.24239999999998</v>
      </c>
      <c r="BO505" s="2">
        <f>VLOOKUP([jobnumber],OvalData[],MATCH(Table2[[#Headers],[Max Pipe Deflection]],Table2[#Headers],0),0)</f>
        <v>2309</v>
      </c>
      <c r="BP505" s="2">
        <f>VLOOKUP([jobnumber],OvalData[],MATCH(Table2[[#Headers],[Number Non-Insulated Wrap Slats]],Table2[#Headers],0),0)</f>
        <v>0</v>
      </c>
      <c r="BQ505" s="2">
        <f>VLOOKUP([jobnumber],OvalData[],MATCH(Table2[[#Headers],[Number of Insolated Top Slats]],Table2[#Headers],0),0)</f>
        <v>45</v>
      </c>
      <c r="BR505" s="2">
        <f>VLOOKUP([jobnumber],OvalData[],MATCH(Table2[[#Headers],[Insolated Total Slats]],Table2[#Headers],0),0)</f>
        <v>45</v>
      </c>
      <c r="BS505" s="2">
        <f>VLOOKUP([jobnumber],OvalData[],MATCH(Table2[[#Headers],[Number of Slats]],Table2[#Headers],0),0)</f>
        <v>44.69</v>
      </c>
      <c r="BT505" s="2">
        <f>VLOOKUP([jobnumber],OvalData[],MATCH(Table2[[#Headers],[Wrap]],Table2[#Headers],0),0)</f>
        <v>0</v>
      </c>
      <c r="BU505" s="2">
        <f>VLOOKUP([jobnumber],OvalData[],MATCH(Table2[[#Headers],[Wall Angle Thickness]],Table2[#Headers],0),0)</f>
        <v>0</v>
      </c>
      <c r="BV505" s="2">
        <f>VLOOKUP([jobnumber],OvalData[],MATCH(Table2[[#Headers],[windlocks]],Table2[#Headers],0),0)</f>
        <v>0</v>
      </c>
      <c r="BW505" s="2" t="str">
        <f>VLOOKUP([jobnumber],OvalData[],MATCH(Table2[[#Headers],[bottombartype]],Table2[#Headers],0),0)</f>
        <v>SPECIAL</v>
      </c>
      <c r="BX505" s="2">
        <f>VLOOKUP([jobnumber],OvalData[],MATCH(Table2[[#Headers],[endlockweight]],Table2[#Headers],0),0)</f>
        <v>0.17</v>
      </c>
      <c r="BY505" s="2">
        <f>VLOOKUP([jobnumber],OvalData[],MATCH(Table2[[#Headers],[Endlock Total Weight]],Table2[#Headers],0),0)</f>
        <v>7.5972999999999997</v>
      </c>
      <c r="BZ505" s="2">
        <f>VLOOKUP([jobnumber],OvalData[],MATCH(Table2[[#Headers],[Grille Weight]],Table2[#Headers],0),0)</f>
        <v>0</v>
      </c>
      <c r="CA505" s="2">
        <f>VLOOKUP([jobnumber],OvalData[],MATCH(Table2[[#Headers],[barrelrings]],Table2[#Headers],0),0)</f>
        <v>1</v>
      </c>
    </row>
    <row r="506" spans="2:79">
      <c r="B506" s="2" t="str">
        <f>VLOOKUP([jobnumber],OvalData[],MATCH(Table2[[#Headers],[Hand]],Table2[#Headers],0),0)</f>
        <v>RH</v>
      </c>
      <c r="C506" s="2" t="str">
        <f>VLOOKUP([jobnumber],OvalData[],MATCH(Table2[[#Headers],[Model]],Table2[#Headers],0),0)</f>
        <v>SFMPP</v>
      </c>
      <c r="D506" s="2" t="str">
        <f>VLOOKUP([jobnumber],OvalData[],MATCH(Table2[[#Headers],[width]],Table2[#Headers],0),0)</f>
        <v xml:space="preserve"> 18 ft.- 2"</v>
      </c>
      <c r="E506" s="2" t="str">
        <f>VLOOKUP([jobnumber],OvalData[],MATCH(Table2[[#Headers],[stopheight]],Table2[#Headers],0),0)</f>
        <v xml:space="preserve"> 10 ft.- 0"</v>
      </c>
      <c r="F506" s="2" t="str">
        <f>VLOOKUP([jobnumber],OvalData[],MATCH(Table2[[#Headers],[Between Brackets]],Table2[#Headers],0),0)</f>
        <v xml:space="preserve"> 18 ft.- 7 7/ 8"</v>
      </c>
      <c r="G506" s="2" t="str">
        <f>VLOOKUP([jobnumber],OvalData[],MATCH(Table2[[#Headers],[shell]],Table2[#Headers],0),0)</f>
        <v>6 INCH TUBE</v>
      </c>
      <c r="H506" s="2" t="str">
        <f>VLOOKUP([jobnumber],OvalData[],MATCH(Table2[[#Headers],[pipewidth]],Table2[#Headers],0),0)</f>
        <v xml:space="preserve"> 18 ft.- 1 3/ 8"</v>
      </c>
      <c r="I506" s="2">
        <f>VLOOKUP([jobnumber],OvalData[],MATCH(Table2[[#Headers],[Support Tubes]],Table2[#Headers],0),0)</f>
        <v>0</v>
      </c>
      <c r="J506" s="2">
        <f>VLOOKUP([jobnumber],OvalData[],MATCH(Table2[[#Headers],[Upset]],Table2[#Headers],0),0)</f>
        <v>2</v>
      </c>
      <c r="K506" s="2" t="str">
        <f>VLOOKUP([jobnumber],OvalData[],MATCH(Table2[[#Headers],[Guide Type]],Table2[#Headers],0),0)</f>
        <v>SN2-4 5/8-E</v>
      </c>
      <c r="L506" s="2" t="str">
        <f>VLOOKUP([jobnumber],OvalData[],MATCH(Table2[[#Headers],[Wall Angle]],Table2[#Headers],0),0)</f>
        <v xml:space="preserve"> 11 ft.- 8"</v>
      </c>
      <c r="M506" s="2" t="str">
        <f>VLOOKUP([jobnumber],OvalData[],MATCH(Table2[[#Headers],[Middle Angle]],Table2[#Headers],0),0)</f>
        <v xml:space="preserve"> 10 ft.- 4 1/ 2"</v>
      </c>
      <c r="N506" s="2" t="str">
        <f>VLOOKUP([jobnumber],OvalData[],MATCH(Table2[[#Headers],[Front Angle]],Table2[#Headers],0),0)</f>
        <v xml:space="preserve"> 10 ft.- 3"</v>
      </c>
      <c r="O506" s="2">
        <f>VLOOKUP([jobnumber],OvalData[],MATCH(Table2[[#Headers],[Pipe Center Line]],Table2[#Headers],0),0)</f>
        <v>131</v>
      </c>
      <c r="P506" s="2">
        <f>VLOOKUP([jobnumber],OvalData[],MATCH(Table2[[#Headers],[Heat Expansion Gap]],Table2[#Headers],0),0)</f>
        <v>0</v>
      </c>
      <c r="Q506" s="2">
        <f>VLOOKUP([jobnumber],OvalData[],MATCH(Table2[[#Headers],[Hanging Weight Closed]],Table2[#Headers],0),0)</f>
        <v>795</v>
      </c>
      <c r="R506" s="2">
        <f>VLOOKUP([jobnumber],OvalData[],MATCH(Table2[[#Headers],[Hanging Weight Open]],Table2[#Headers],0),0)</f>
        <v>140</v>
      </c>
      <c r="S506" s="2">
        <f>VLOOKUP([jobnumber],OvalData[],MATCH(Table2[[#Headers],[Initial Lever Arm]],Table2[#Headers],0),0)</f>
        <v>4.25</v>
      </c>
      <c r="T506" s="2">
        <f>VLOOKUP([jobnumber],OvalData[],MATCH(Table2[[#Headers],[Turns to Raise]],Table2[#Headers],0),0)</f>
        <v>3.5859999999999999</v>
      </c>
      <c r="U506" s="2">
        <f>VLOOKUP([jobnumber],OvalData[],MATCH(Table2[[#Headers],[Final Lever Arm]],Table2[#Headers],0),0)</f>
        <v>6.37</v>
      </c>
      <c r="V506" s="2">
        <f>VLOOKUP([jobnumber],OvalData[],MATCH(Table2[[#Headers],[Torque Required Closed]],Table2[#Headers],0),0)</f>
        <v>3377.9</v>
      </c>
      <c r="W506" s="2">
        <f>VLOOKUP([jobnumber],OvalData[],MATCH(Table2[[#Headers],[Torque Required Open]],Table2[#Headers],0),0)</f>
        <v>892</v>
      </c>
      <c r="X506" s="2">
        <f>VLOOKUP([jobnumber],OvalData[],MATCH(Table2[[#Headers],[Pre Turns]],Table2[#Headers],0),0)</f>
        <v>1.3332999999999999</v>
      </c>
      <c r="Y506" s="2">
        <f>VLOOKUP([jobnumber],OvalData[],MATCH(Table2[[#Headers],[Required Torque Per Turn]],Table2[#Headers],0),0)</f>
        <v>688</v>
      </c>
      <c r="Z506" s="2">
        <f>VLOOKUP([jobnumber],OvalData[],MATCH(Table2[[#Headers],[Total Turns]],Table2[#Headers],0),0)</f>
        <v>4.91</v>
      </c>
      <c r="AA506" s="2">
        <f>VLOOKUP([jobnumber],OvalData[],MATCH(Table2[[#Headers],[Grille Vision Section]],Table2[#Headers],0),0)</f>
        <v>0</v>
      </c>
      <c r="AB506" s="2">
        <f>VLOOKUP([jobnumber],OvalData[],MATCH(Table2[[#Headers],[Grille Amount]],Table2[#Headers],0),0)</f>
        <v>0</v>
      </c>
      <c r="AC506" s="2">
        <f>VLOOKUP([jobnumber],OvalData[],MATCH(Table2[[#Headers],[Grille Center]],Table2[#Headers],0),0)</f>
        <v>0</v>
      </c>
      <c r="AD506" s="2">
        <f>VLOOKUP([jobnumber],OvalData[],MATCH(Table2[[#Headers],[Grille Pattern]],Table2[#Headers],0),0)</f>
        <v>0</v>
      </c>
      <c r="AE506" s="2">
        <f>VLOOKUP([jobnumber],OvalData[],MATCH(Table2[[#Headers],[Grille First Tube]],Table2[#Headers],0),0)</f>
        <v>0</v>
      </c>
      <c r="AF506" s="2">
        <f>VLOOKUP([jobnumber],OvalData[],MATCH(Table2[[#Headers],[Grille Standard Tube]],Table2[#Headers],0),0)</f>
        <v>0</v>
      </c>
      <c r="AG506" s="2">
        <f>VLOOKUP([jobnumber],OvalData[],MATCH(Table2[[#Headers],[Grille Total Links]],Table2[#Headers],0),0)</f>
        <v>0</v>
      </c>
      <c r="AH506" s="2">
        <f>VLOOKUP([jobnumber],OvalData[],MATCH(Table2[[#Headers],[Grille Rods]],Table2[#Headers],0),0)</f>
        <v>0</v>
      </c>
      <c r="AI506" s="2">
        <f>VLOOKUP([jobnumber],OvalData[],MATCH(Table2[[#Headers],[Grille Rod Length]],Table2[#Headers],0),0)</f>
        <v>0</v>
      </c>
      <c r="AJ506" s="2">
        <f>VLOOKUP([jobnumber],OvalData[],MATCH(Table2[[#Headers],[slattype]],Table2[#Headers],0),0)</f>
        <v>2</v>
      </c>
      <c r="AK506" s="2">
        <f>VLOOKUP([jobnumber],OvalData[],MATCH(Table2[[#Headers],[slatgage]],Table2[#Headers],0),0)</f>
        <v>18</v>
      </c>
      <c r="AL506" s="2">
        <f>VLOOKUP([jobnumber],OvalData[],MATCH(Table2[[#Headers],[Numer of Top Slats]],Table2[#Headers],0),0)</f>
        <v>0</v>
      </c>
      <c r="AM506" s="2">
        <f>VLOOKUP([jobnumber],OvalData[],MATCH(Table2[[#Headers],[Number of Bottom Slats]],Table2[#Headers],0),0)</f>
        <v>0</v>
      </c>
      <c r="AN506" s="2">
        <f>VLOOKUP([jobnumber],OvalData[],MATCH(Table2[[#Headers],[Solid Bottom Height]],Table2[#Headers],0),0)</f>
        <v>0</v>
      </c>
      <c r="AO506" s="2" t="str">
        <f>VLOOKUP([jobnumber],OvalData[],MATCH(Table2[[#Headers],[slatlength]],Table2[#Headers],0),0)</f>
        <v xml:space="preserve"> 18 ft.- 5 7/ 8"</v>
      </c>
      <c r="AP506" s="2">
        <f>VLOOKUP([jobnumber],OvalData[],MATCH(Table2[[#Headers],[Bottom Slat Length]],Table2[#Headers],0),0)</f>
        <v>0</v>
      </c>
      <c r="AQ506" s="2">
        <f>VLOOKUP([jobnumber],OvalData[],MATCH(Table2[[#Headers],[Number of Perferated Slats]],Table2[#Headers],0),0)</f>
        <v>0</v>
      </c>
      <c r="AR506" s="2">
        <f>VLOOKUP([jobnumber],OvalData[],MATCH(Table2[[#Headers],[First Preferated Slat From End]],Table2[#Headers],0),0)</f>
        <v>0</v>
      </c>
      <c r="AS506" s="2">
        <f>VLOOKUP([jobnumber],OvalData[],MATCH(Table2[[#Headers],[First Preferated Slat From Bottom]],Table2[#Headers],0),0)</f>
        <v>0</v>
      </c>
      <c r="AT506" s="2">
        <f>VLOOKUP([jobnumber],OvalData[],MATCH(Table2[[#Headers],[Total Number of Slats]],Table2[#Headers],0),0)</f>
        <v>51</v>
      </c>
      <c r="AU506" s="2">
        <f>VLOOKUP([jobnumber],OvalData[],MATCH(Table2[[#Headers],[Bottom Bar Slope]],Table2[#Headers],0),0)</f>
        <v>0</v>
      </c>
      <c r="AV506" s="2">
        <f>VLOOKUP([jobnumber],OvalData[],MATCH(Table2[[#Headers],[Bottom Bar Weight]],Table2[#Headers],0),0)</f>
        <v>80.5</v>
      </c>
      <c r="AW506" s="2" t="str">
        <f>VLOOKUP([jobnumber],OvalData[],MATCH(Table2[[#Headers],[Outer Spring Gage]],Table2[#Headers],0),0)</f>
        <v>Null</v>
      </c>
      <c r="AX506" s="2" t="str">
        <f>VLOOKUP([jobnumber],OvalData[],MATCH(Table2[[#Headers],[Outer Spring OD]],Table2[#Headers],0),0)</f>
        <v>Null</v>
      </c>
      <c r="AY506" s="2" t="str">
        <f>VLOOKUP([jobnumber],OvalData[],MATCH(Table2[[#Headers],[Outer Spring Length]],Table2[#Headers],0),0)</f>
        <v>Null</v>
      </c>
      <c r="AZ506" s="2" t="str">
        <f>VLOOKUP([jobnumber],OvalData[],MATCH(Table2[[#Headers],[Outer Spring Stretch]],Table2[#Headers],0),0)</f>
        <v>Null</v>
      </c>
      <c r="BA506" s="2" t="str">
        <f>VLOOKUP([jobnumber],OvalData[],MATCH(Table2[[#Headers],[Outer Spring Torque]],Table2[#Headers],0),0)</f>
        <v>Null</v>
      </c>
      <c r="BB506" s="2" t="str">
        <f>VLOOKUP([jobnumber],OvalData[],MATCH(Table2[[#Headers],[Outer Spring Max Turns]],Table2[#Headers],0),0)</f>
        <v>Null</v>
      </c>
      <c r="BC506" s="2" t="str">
        <f>VLOOKUP([jobnumber],OvalData[],MATCH(Table2[[#Headers],[Outer Spring Weight]],Table2[#Headers],0),0)</f>
        <v>Null</v>
      </c>
      <c r="BD506" s="2" t="str">
        <f>VLOOKUP([jobnumber],OvalData[],MATCH(Table2[[#Headers],[Inner Spring Gage]],Table2[#Headers],0),0)</f>
        <v>Null</v>
      </c>
      <c r="BE506" s="2" t="str">
        <f>VLOOKUP([jobnumber],OvalData[],MATCH(Table2[[#Headers],[Inner Spring OD]],Table2[#Headers],0),0)</f>
        <v>Null</v>
      </c>
      <c r="BF506" s="2" t="str">
        <f>VLOOKUP([jobnumber],OvalData[],MATCH(Table2[[#Headers],[Inner Spring Length]],Table2[#Headers],0),0)</f>
        <v>Null</v>
      </c>
      <c r="BG506" s="2" t="str">
        <f>VLOOKUP([jobnumber],OvalData[],MATCH(Table2[[#Headers],[Inner Spring Stretch]],Table2[#Headers],0),0)</f>
        <v>Null</v>
      </c>
      <c r="BH506" s="2" t="str">
        <f>VLOOKUP([jobnumber],OvalData[],MATCH(Table2[[#Headers],[Inner Spring Torque]],Table2[#Headers],0),0)</f>
        <v>Null</v>
      </c>
      <c r="BI506" s="2" t="str">
        <f>VLOOKUP([jobnumber],OvalData[],MATCH(Table2[[#Headers],[Inner Spring Max Turns]],Table2[#Headers],0),0)</f>
        <v>Null</v>
      </c>
      <c r="BJ506" s="2" t="str">
        <f>VLOOKUP([jobnumber],OvalData[],MATCH(Table2[[#Headers],[Inner Spring Weight]],Table2[#Headers],0),0)</f>
        <v>Null</v>
      </c>
      <c r="BK506" s="2">
        <f>VLOOKUP([jobnumber],OvalData[],MATCH(Table2[[#Headers],[Cycles]],Table2[#Headers],0),0)</f>
        <v>0</v>
      </c>
      <c r="BL506" s="2">
        <f>VLOOKUP([jobnumber],OvalData[],MATCH(Table2[[#Headers],[Total Spring Torque]],Table2[#Headers],0),0)</f>
        <v>0</v>
      </c>
      <c r="BM506" s="2">
        <f>VLOOKUP([jobnumber],OvalData[],MATCH(Table2[[#Headers],[Total Spring Weight]],Table2[#Headers],0),0)</f>
        <v>0</v>
      </c>
      <c r="BN506" s="2">
        <f>VLOOKUP([jobnumber],OvalData[],MATCH(Table2[[#Headers],[Pipe Weight]],Table2[#Headers],0),0)</f>
        <v>688.24239999999998</v>
      </c>
      <c r="BO506" s="2">
        <f>VLOOKUP([jobnumber],OvalData[],MATCH(Table2[[#Headers],[Max Pipe Deflection]],Table2[#Headers],0),0)</f>
        <v>2309</v>
      </c>
      <c r="BP506" s="2">
        <f>VLOOKUP([jobnumber],OvalData[],MATCH(Table2[[#Headers],[Number Non-Insulated Wrap Slats]],Table2[#Headers],0),0)</f>
        <v>0</v>
      </c>
      <c r="BQ506" s="2">
        <f>VLOOKUP([jobnumber],OvalData[],MATCH(Table2[[#Headers],[Number of Insolated Top Slats]],Table2[#Headers],0),0)</f>
        <v>45</v>
      </c>
      <c r="BR506" s="2">
        <f>VLOOKUP([jobnumber],OvalData[],MATCH(Table2[[#Headers],[Insolated Total Slats]],Table2[#Headers],0),0)</f>
        <v>45</v>
      </c>
      <c r="BS506" s="2">
        <f>VLOOKUP([jobnumber],OvalData[],MATCH(Table2[[#Headers],[Number of Slats]],Table2[#Headers],0),0)</f>
        <v>44.69</v>
      </c>
      <c r="BT506" s="2">
        <f>VLOOKUP([jobnumber],OvalData[],MATCH(Table2[[#Headers],[Wrap]],Table2[#Headers],0),0)</f>
        <v>0</v>
      </c>
      <c r="BU506" s="2">
        <f>VLOOKUP([jobnumber],OvalData[],MATCH(Table2[[#Headers],[Wall Angle Thickness]],Table2[#Headers],0),0)</f>
        <v>0</v>
      </c>
      <c r="BV506" s="2">
        <f>VLOOKUP([jobnumber],OvalData[],MATCH(Table2[[#Headers],[windlocks]],Table2[#Headers],0),0)</f>
        <v>0</v>
      </c>
      <c r="BW506" s="2" t="str">
        <f>VLOOKUP([jobnumber],OvalData[],MATCH(Table2[[#Headers],[bottombartype]],Table2[#Headers],0),0)</f>
        <v>SPECIAL</v>
      </c>
      <c r="BX506" s="2">
        <f>VLOOKUP([jobnumber],OvalData[],MATCH(Table2[[#Headers],[endlockweight]],Table2[#Headers],0),0)</f>
        <v>0.17</v>
      </c>
      <c r="BY506" s="2">
        <f>VLOOKUP([jobnumber],OvalData[],MATCH(Table2[[#Headers],[Endlock Total Weight]],Table2[#Headers],0),0)</f>
        <v>7.5972999999999997</v>
      </c>
      <c r="BZ506" s="2">
        <f>VLOOKUP([jobnumber],OvalData[],MATCH(Table2[[#Headers],[Grille Weight]],Table2[#Headers],0),0)</f>
        <v>0</v>
      </c>
      <c r="CA506" s="2">
        <f>VLOOKUP([jobnumber],OvalData[],MATCH(Table2[[#Headers],[barrelrings]],Table2[#Headers],0),0)</f>
        <v>1</v>
      </c>
    </row>
    <row r="507" spans="2:79">
      <c r="B507" s="2" t="str">
        <f>VLOOKUP([jobnumber],OvalData[],MATCH(Table2[[#Headers],[Hand]],Table2[#Headers],0),0)</f>
        <v>RH</v>
      </c>
      <c r="C507" s="2" t="str">
        <f>VLOOKUP([jobnumber],OvalData[],MATCH(Table2[[#Headers],[Model]],Table2[#Headers],0),0)</f>
        <v>SFMPP</v>
      </c>
      <c r="D507" s="2" t="str">
        <f>VLOOKUP([jobnumber],OvalData[],MATCH(Table2[[#Headers],[width]],Table2[#Headers],0),0)</f>
        <v xml:space="preserve"> 18 ft.- 2"</v>
      </c>
      <c r="E507" s="2" t="str">
        <f>VLOOKUP([jobnumber],OvalData[],MATCH(Table2[[#Headers],[stopheight]],Table2[#Headers],0),0)</f>
        <v xml:space="preserve"> 10 ft.- 0"</v>
      </c>
      <c r="F507" s="2" t="str">
        <f>VLOOKUP([jobnumber],OvalData[],MATCH(Table2[[#Headers],[Between Brackets]],Table2[#Headers],0),0)</f>
        <v xml:space="preserve"> 18 ft.- 7 7/ 8"</v>
      </c>
      <c r="G507" s="2" t="str">
        <f>VLOOKUP([jobnumber],OvalData[],MATCH(Table2[[#Headers],[shell]],Table2[#Headers],0),0)</f>
        <v>6 INCH TUBE</v>
      </c>
      <c r="H507" s="2" t="str">
        <f>VLOOKUP([jobnumber],OvalData[],MATCH(Table2[[#Headers],[pipewidth]],Table2[#Headers],0),0)</f>
        <v xml:space="preserve"> 18 ft.- 1 3/ 8"</v>
      </c>
      <c r="I507" s="2">
        <f>VLOOKUP([jobnumber],OvalData[],MATCH(Table2[[#Headers],[Support Tubes]],Table2[#Headers],0),0)</f>
        <v>0</v>
      </c>
      <c r="J507" s="2">
        <f>VLOOKUP([jobnumber],OvalData[],MATCH(Table2[[#Headers],[Upset]],Table2[#Headers],0),0)</f>
        <v>2</v>
      </c>
      <c r="K507" s="2" t="str">
        <f>VLOOKUP([jobnumber],OvalData[],MATCH(Table2[[#Headers],[Guide Type]],Table2[#Headers],0),0)</f>
        <v>SN2-4 5/8-E</v>
      </c>
      <c r="L507" s="2" t="str">
        <f>VLOOKUP([jobnumber],OvalData[],MATCH(Table2[[#Headers],[Wall Angle]],Table2[#Headers],0),0)</f>
        <v xml:space="preserve"> 11 ft.- 8"</v>
      </c>
      <c r="M507" s="2" t="str">
        <f>VLOOKUP([jobnumber],OvalData[],MATCH(Table2[[#Headers],[Middle Angle]],Table2[#Headers],0),0)</f>
        <v xml:space="preserve"> 10 ft.- 4 1/ 2"</v>
      </c>
      <c r="N507" s="2" t="str">
        <f>VLOOKUP([jobnumber],OvalData[],MATCH(Table2[[#Headers],[Front Angle]],Table2[#Headers],0),0)</f>
        <v xml:space="preserve"> 10 ft.- 3"</v>
      </c>
      <c r="O507" s="2">
        <f>VLOOKUP([jobnumber],OvalData[],MATCH(Table2[[#Headers],[Pipe Center Line]],Table2[#Headers],0),0)</f>
        <v>131</v>
      </c>
      <c r="P507" s="2">
        <f>VLOOKUP([jobnumber],OvalData[],MATCH(Table2[[#Headers],[Heat Expansion Gap]],Table2[#Headers],0),0)</f>
        <v>0</v>
      </c>
      <c r="Q507" s="2">
        <f>VLOOKUP([jobnumber],OvalData[],MATCH(Table2[[#Headers],[Hanging Weight Closed]],Table2[#Headers],0),0)</f>
        <v>795</v>
      </c>
      <c r="R507" s="2">
        <f>VLOOKUP([jobnumber],OvalData[],MATCH(Table2[[#Headers],[Hanging Weight Open]],Table2[#Headers],0),0)</f>
        <v>140</v>
      </c>
      <c r="S507" s="2">
        <f>VLOOKUP([jobnumber],OvalData[],MATCH(Table2[[#Headers],[Initial Lever Arm]],Table2[#Headers],0),0)</f>
        <v>4.25</v>
      </c>
      <c r="T507" s="2">
        <f>VLOOKUP([jobnumber],OvalData[],MATCH(Table2[[#Headers],[Turns to Raise]],Table2[#Headers],0),0)</f>
        <v>3.5859999999999999</v>
      </c>
      <c r="U507" s="2">
        <f>VLOOKUP([jobnumber],OvalData[],MATCH(Table2[[#Headers],[Final Lever Arm]],Table2[#Headers],0),0)</f>
        <v>6.37</v>
      </c>
      <c r="V507" s="2">
        <f>VLOOKUP([jobnumber],OvalData[],MATCH(Table2[[#Headers],[Torque Required Closed]],Table2[#Headers],0),0)</f>
        <v>3377.9</v>
      </c>
      <c r="W507" s="2">
        <f>VLOOKUP([jobnumber],OvalData[],MATCH(Table2[[#Headers],[Torque Required Open]],Table2[#Headers],0),0)</f>
        <v>892</v>
      </c>
      <c r="X507" s="2">
        <f>VLOOKUP([jobnumber],OvalData[],MATCH(Table2[[#Headers],[Pre Turns]],Table2[#Headers],0),0)</f>
        <v>1.3332999999999999</v>
      </c>
      <c r="Y507" s="2">
        <f>VLOOKUP([jobnumber],OvalData[],MATCH(Table2[[#Headers],[Required Torque Per Turn]],Table2[#Headers],0),0)</f>
        <v>688</v>
      </c>
      <c r="Z507" s="2">
        <f>VLOOKUP([jobnumber],OvalData[],MATCH(Table2[[#Headers],[Total Turns]],Table2[#Headers],0),0)</f>
        <v>4.91</v>
      </c>
      <c r="AA507" s="2">
        <f>VLOOKUP([jobnumber],OvalData[],MATCH(Table2[[#Headers],[Grille Vision Section]],Table2[#Headers],0),0)</f>
        <v>0</v>
      </c>
      <c r="AB507" s="2">
        <f>VLOOKUP([jobnumber],OvalData[],MATCH(Table2[[#Headers],[Grille Amount]],Table2[#Headers],0),0)</f>
        <v>0</v>
      </c>
      <c r="AC507" s="2">
        <f>VLOOKUP([jobnumber],OvalData[],MATCH(Table2[[#Headers],[Grille Center]],Table2[#Headers],0),0)</f>
        <v>0</v>
      </c>
      <c r="AD507" s="2">
        <f>VLOOKUP([jobnumber],OvalData[],MATCH(Table2[[#Headers],[Grille Pattern]],Table2[#Headers],0),0)</f>
        <v>0</v>
      </c>
      <c r="AE507" s="2">
        <f>VLOOKUP([jobnumber],OvalData[],MATCH(Table2[[#Headers],[Grille First Tube]],Table2[#Headers],0),0)</f>
        <v>0</v>
      </c>
      <c r="AF507" s="2">
        <f>VLOOKUP([jobnumber],OvalData[],MATCH(Table2[[#Headers],[Grille Standard Tube]],Table2[#Headers],0),0)</f>
        <v>0</v>
      </c>
      <c r="AG507" s="2">
        <f>VLOOKUP([jobnumber],OvalData[],MATCH(Table2[[#Headers],[Grille Total Links]],Table2[#Headers],0),0)</f>
        <v>0</v>
      </c>
      <c r="AH507" s="2">
        <f>VLOOKUP([jobnumber],OvalData[],MATCH(Table2[[#Headers],[Grille Rods]],Table2[#Headers],0),0)</f>
        <v>0</v>
      </c>
      <c r="AI507" s="2">
        <f>VLOOKUP([jobnumber],OvalData[],MATCH(Table2[[#Headers],[Grille Rod Length]],Table2[#Headers],0),0)</f>
        <v>0</v>
      </c>
      <c r="AJ507" s="2">
        <f>VLOOKUP([jobnumber],OvalData[],MATCH(Table2[[#Headers],[slattype]],Table2[#Headers],0),0)</f>
        <v>2</v>
      </c>
      <c r="AK507" s="2">
        <f>VLOOKUP([jobnumber],OvalData[],MATCH(Table2[[#Headers],[slatgage]],Table2[#Headers],0),0)</f>
        <v>18</v>
      </c>
      <c r="AL507" s="2">
        <f>VLOOKUP([jobnumber],OvalData[],MATCH(Table2[[#Headers],[Numer of Top Slats]],Table2[#Headers],0),0)</f>
        <v>0</v>
      </c>
      <c r="AM507" s="2">
        <f>VLOOKUP([jobnumber],OvalData[],MATCH(Table2[[#Headers],[Number of Bottom Slats]],Table2[#Headers],0),0)</f>
        <v>0</v>
      </c>
      <c r="AN507" s="2">
        <f>VLOOKUP([jobnumber],OvalData[],MATCH(Table2[[#Headers],[Solid Bottom Height]],Table2[#Headers],0),0)</f>
        <v>0</v>
      </c>
      <c r="AO507" s="2" t="str">
        <f>VLOOKUP([jobnumber],OvalData[],MATCH(Table2[[#Headers],[slatlength]],Table2[#Headers],0),0)</f>
        <v xml:space="preserve"> 18 ft.- 5 7/ 8"</v>
      </c>
      <c r="AP507" s="2">
        <f>VLOOKUP([jobnumber],OvalData[],MATCH(Table2[[#Headers],[Bottom Slat Length]],Table2[#Headers],0),0)</f>
        <v>0</v>
      </c>
      <c r="AQ507" s="2">
        <f>VLOOKUP([jobnumber],OvalData[],MATCH(Table2[[#Headers],[Number of Perferated Slats]],Table2[#Headers],0),0)</f>
        <v>0</v>
      </c>
      <c r="AR507" s="2">
        <f>VLOOKUP([jobnumber],OvalData[],MATCH(Table2[[#Headers],[First Preferated Slat From End]],Table2[#Headers],0),0)</f>
        <v>0</v>
      </c>
      <c r="AS507" s="2">
        <f>VLOOKUP([jobnumber],OvalData[],MATCH(Table2[[#Headers],[First Preferated Slat From Bottom]],Table2[#Headers],0),0)</f>
        <v>0</v>
      </c>
      <c r="AT507" s="2">
        <f>VLOOKUP([jobnumber],OvalData[],MATCH(Table2[[#Headers],[Total Number of Slats]],Table2[#Headers],0),0)</f>
        <v>51</v>
      </c>
      <c r="AU507" s="2">
        <f>VLOOKUP([jobnumber],OvalData[],MATCH(Table2[[#Headers],[Bottom Bar Slope]],Table2[#Headers],0),0)</f>
        <v>0</v>
      </c>
      <c r="AV507" s="2">
        <f>VLOOKUP([jobnumber],OvalData[],MATCH(Table2[[#Headers],[Bottom Bar Weight]],Table2[#Headers],0),0)</f>
        <v>80.5</v>
      </c>
      <c r="AW507" s="2" t="str">
        <f>VLOOKUP([jobnumber],OvalData[],MATCH(Table2[[#Headers],[Outer Spring Gage]],Table2[#Headers],0),0)</f>
        <v>Null</v>
      </c>
      <c r="AX507" s="2" t="str">
        <f>VLOOKUP([jobnumber],OvalData[],MATCH(Table2[[#Headers],[Outer Spring OD]],Table2[#Headers],0),0)</f>
        <v>Null</v>
      </c>
      <c r="AY507" s="2" t="str">
        <f>VLOOKUP([jobnumber],OvalData[],MATCH(Table2[[#Headers],[Outer Spring Length]],Table2[#Headers],0),0)</f>
        <v>Null</v>
      </c>
      <c r="AZ507" s="2" t="str">
        <f>VLOOKUP([jobnumber],OvalData[],MATCH(Table2[[#Headers],[Outer Spring Stretch]],Table2[#Headers],0),0)</f>
        <v>Null</v>
      </c>
      <c r="BA507" s="2" t="str">
        <f>VLOOKUP([jobnumber],OvalData[],MATCH(Table2[[#Headers],[Outer Spring Torque]],Table2[#Headers],0),0)</f>
        <v>Null</v>
      </c>
      <c r="BB507" s="2" t="str">
        <f>VLOOKUP([jobnumber],OvalData[],MATCH(Table2[[#Headers],[Outer Spring Max Turns]],Table2[#Headers],0),0)</f>
        <v>Null</v>
      </c>
      <c r="BC507" s="2" t="str">
        <f>VLOOKUP([jobnumber],OvalData[],MATCH(Table2[[#Headers],[Outer Spring Weight]],Table2[#Headers],0),0)</f>
        <v>Null</v>
      </c>
      <c r="BD507" s="2" t="str">
        <f>VLOOKUP([jobnumber],OvalData[],MATCH(Table2[[#Headers],[Inner Spring Gage]],Table2[#Headers],0),0)</f>
        <v>Null</v>
      </c>
      <c r="BE507" s="2" t="str">
        <f>VLOOKUP([jobnumber],OvalData[],MATCH(Table2[[#Headers],[Inner Spring OD]],Table2[#Headers],0),0)</f>
        <v>Null</v>
      </c>
      <c r="BF507" s="2" t="str">
        <f>VLOOKUP([jobnumber],OvalData[],MATCH(Table2[[#Headers],[Inner Spring Length]],Table2[#Headers],0),0)</f>
        <v>Null</v>
      </c>
      <c r="BG507" s="2" t="str">
        <f>VLOOKUP([jobnumber],OvalData[],MATCH(Table2[[#Headers],[Inner Spring Stretch]],Table2[#Headers],0),0)</f>
        <v>Null</v>
      </c>
      <c r="BH507" s="2" t="str">
        <f>VLOOKUP([jobnumber],OvalData[],MATCH(Table2[[#Headers],[Inner Spring Torque]],Table2[#Headers],0),0)</f>
        <v>Null</v>
      </c>
      <c r="BI507" s="2" t="str">
        <f>VLOOKUP([jobnumber],OvalData[],MATCH(Table2[[#Headers],[Inner Spring Max Turns]],Table2[#Headers],0),0)</f>
        <v>Null</v>
      </c>
      <c r="BJ507" s="2" t="str">
        <f>VLOOKUP([jobnumber],OvalData[],MATCH(Table2[[#Headers],[Inner Spring Weight]],Table2[#Headers],0),0)</f>
        <v>Null</v>
      </c>
      <c r="BK507" s="2">
        <f>VLOOKUP([jobnumber],OvalData[],MATCH(Table2[[#Headers],[Cycles]],Table2[#Headers],0),0)</f>
        <v>0</v>
      </c>
      <c r="BL507" s="2">
        <f>VLOOKUP([jobnumber],OvalData[],MATCH(Table2[[#Headers],[Total Spring Torque]],Table2[#Headers],0),0)</f>
        <v>0</v>
      </c>
      <c r="BM507" s="2">
        <f>VLOOKUP([jobnumber],OvalData[],MATCH(Table2[[#Headers],[Total Spring Weight]],Table2[#Headers],0),0)</f>
        <v>0</v>
      </c>
      <c r="BN507" s="2">
        <f>VLOOKUP([jobnumber],OvalData[],MATCH(Table2[[#Headers],[Pipe Weight]],Table2[#Headers],0),0)</f>
        <v>688.24239999999998</v>
      </c>
      <c r="BO507" s="2">
        <f>VLOOKUP([jobnumber],OvalData[],MATCH(Table2[[#Headers],[Max Pipe Deflection]],Table2[#Headers],0),0)</f>
        <v>2309</v>
      </c>
      <c r="BP507" s="2">
        <f>VLOOKUP([jobnumber],OvalData[],MATCH(Table2[[#Headers],[Number Non-Insulated Wrap Slats]],Table2[#Headers],0),0)</f>
        <v>0</v>
      </c>
      <c r="BQ507" s="2">
        <f>VLOOKUP([jobnumber],OvalData[],MATCH(Table2[[#Headers],[Number of Insolated Top Slats]],Table2[#Headers],0),0)</f>
        <v>45</v>
      </c>
      <c r="BR507" s="2">
        <f>VLOOKUP([jobnumber],OvalData[],MATCH(Table2[[#Headers],[Insolated Total Slats]],Table2[#Headers],0),0)</f>
        <v>45</v>
      </c>
      <c r="BS507" s="2">
        <f>VLOOKUP([jobnumber],OvalData[],MATCH(Table2[[#Headers],[Number of Slats]],Table2[#Headers],0),0)</f>
        <v>44.69</v>
      </c>
      <c r="BT507" s="2">
        <f>VLOOKUP([jobnumber],OvalData[],MATCH(Table2[[#Headers],[Wrap]],Table2[#Headers],0),0)</f>
        <v>0</v>
      </c>
      <c r="BU507" s="2">
        <f>VLOOKUP([jobnumber],OvalData[],MATCH(Table2[[#Headers],[Wall Angle Thickness]],Table2[#Headers],0),0)</f>
        <v>0</v>
      </c>
      <c r="BV507" s="2">
        <f>VLOOKUP([jobnumber],OvalData[],MATCH(Table2[[#Headers],[windlocks]],Table2[#Headers],0),0)</f>
        <v>0</v>
      </c>
      <c r="BW507" s="2" t="str">
        <f>VLOOKUP([jobnumber],OvalData[],MATCH(Table2[[#Headers],[bottombartype]],Table2[#Headers],0),0)</f>
        <v>SPECIAL</v>
      </c>
      <c r="BX507" s="2">
        <f>VLOOKUP([jobnumber],OvalData[],MATCH(Table2[[#Headers],[endlockweight]],Table2[#Headers],0),0)</f>
        <v>0.17</v>
      </c>
      <c r="BY507" s="2">
        <f>VLOOKUP([jobnumber],OvalData[],MATCH(Table2[[#Headers],[Endlock Total Weight]],Table2[#Headers],0),0)</f>
        <v>7.5972999999999997</v>
      </c>
      <c r="BZ507" s="2">
        <f>VLOOKUP([jobnumber],OvalData[],MATCH(Table2[[#Headers],[Grille Weight]],Table2[#Headers],0),0)</f>
        <v>0</v>
      </c>
      <c r="CA507" s="2">
        <f>VLOOKUP([jobnumber],OvalData[],MATCH(Table2[[#Headers],[barrelrings]],Table2[#Headers],0),0)</f>
        <v>1</v>
      </c>
    </row>
    <row r="508" spans="2:79">
      <c r="B508" s="2" t="str">
        <f>VLOOKUP([jobnumber],OvalData[],MATCH(Table2[[#Headers],[Hand]],Table2[#Headers],0),0)</f>
        <v>RH</v>
      </c>
      <c r="C508" s="2" t="str">
        <f>VLOOKUP([jobnumber],OvalData[],MATCH(Table2[[#Headers],[Model]],Table2[#Headers],0),0)</f>
        <v>SFMPP</v>
      </c>
      <c r="D508" s="2" t="str">
        <f>VLOOKUP([jobnumber],OvalData[],MATCH(Table2[[#Headers],[width]],Table2[#Headers],0),0)</f>
        <v xml:space="preserve"> 18 ft.- 2"</v>
      </c>
      <c r="E508" s="2" t="str">
        <f>VLOOKUP([jobnumber],OvalData[],MATCH(Table2[[#Headers],[stopheight]],Table2[#Headers],0),0)</f>
        <v xml:space="preserve"> 10 ft.- 0"</v>
      </c>
      <c r="F508" s="2" t="str">
        <f>VLOOKUP([jobnumber],OvalData[],MATCH(Table2[[#Headers],[Between Brackets]],Table2[#Headers],0),0)</f>
        <v xml:space="preserve"> 18 ft.- 7 7/ 8"</v>
      </c>
      <c r="G508" s="2" t="str">
        <f>VLOOKUP([jobnumber],OvalData[],MATCH(Table2[[#Headers],[shell]],Table2[#Headers],0),0)</f>
        <v>6 INCH TUBE</v>
      </c>
      <c r="H508" s="2" t="str">
        <f>VLOOKUP([jobnumber],OvalData[],MATCH(Table2[[#Headers],[pipewidth]],Table2[#Headers],0),0)</f>
        <v xml:space="preserve"> 18 ft.- 1 3/ 8"</v>
      </c>
      <c r="I508" s="2">
        <f>VLOOKUP([jobnumber],OvalData[],MATCH(Table2[[#Headers],[Support Tubes]],Table2[#Headers],0),0)</f>
        <v>0</v>
      </c>
      <c r="J508" s="2">
        <f>VLOOKUP([jobnumber],OvalData[],MATCH(Table2[[#Headers],[Upset]],Table2[#Headers],0),0)</f>
        <v>2</v>
      </c>
      <c r="K508" s="2" t="str">
        <f>VLOOKUP([jobnumber],OvalData[],MATCH(Table2[[#Headers],[Guide Type]],Table2[#Headers],0),0)</f>
        <v>SN2-4 5/8-E</v>
      </c>
      <c r="L508" s="2" t="str">
        <f>VLOOKUP([jobnumber],OvalData[],MATCH(Table2[[#Headers],[Wall Angle]],Table2[#Headers],0),0)</f>
        <v xml:space="preserve"> 11 ft.- 8"</v>
      </c>
      <c r="M508" s="2" t="str">
        <f>VLOOKUP([jobnumber],OvalData[],MATCH(Table2[[#Headers],[Middle Angle]],Table2[#Headers],0),0)</f>
        <v xml:space="preserve"> 10 ft.- 4 1/ 2"</v>
      </c>
      <c r="N508" s="2" t="str">
        <f>VLOOKUP([jobnumber],OvalData[],MATCH(Table2[[#Headers],[Front Angle]],Table2[#Headers],0),0)</f>
        <v xml:space="preserve"> 10 ft.- 3"</v>
      </c>
      <c r="O508" s="2">
        <f>VLOOKUP([jobnumber],OvalData[],MATCH(Table2[[#Headers],[Pipe Center Line]],Table2[#Headers],0),0)</f>
        <v>131</v>
      </c>
      <c r="P508" s="2">
        <f>VLOOKUP([jobnumber],OvalData[],MATCH(Table2[[#Headers],[Heat Expansion Gap]],Table2[#Headers],0),0)</f>
        <v>0</v>
      </c>
      <c r="Q508" s="2">
        <f>VLOOKUP([jobnumber],OvalData[],MATCH(Table2[[#Headers],[Hanging Weight Closed]],Table2[#Headers],0),0)</f>
        <v>795</v>
      </c>
      <c r="R508" s="2">
        <f>VLOOKUP([jobnumber],OvalData[],MATCH(Table2[[#Headers],[Hanging Weight Open]],Table2[#Headers],0),0)</f>
        <v>140</v>
      </c>
      <c r="S508" s="2">
        <f>VLOOKUP([jobnumber],OvalData[],MATCH(Table2[[#Headers],[Initial Lever Arm]],Table2[#Headers],0),0)</f>
        <v>4.25</v>
      </c>
      <c r="T508" s="2">
        <f>VLOOKUP([jobnumber],OvalData[],MATCH(Table2[[#Headers],[Turns to Raise]],Table2[#Headers],0),0)</f>
        <v>3.5859999999999999</v>
      </c>
      <c r="U508" s="2">
        <f>VLOOKUP([jobnumber],OvalData[],MATCH(Table2[[#Headers],[Final Lever Arm]],Table2[#Headers],0),0)</f>
        <v>6.37</v>
      </c>
      <c r="V508" s="2">
        <f>VLOOKUP([jobnumber],OvalData[],MATCH(Table2[[#Headers],[Torque Required Closed]],Table2[#Headers],0),0)</f>
        <v>3377.9</v>
      </c>
      <c r="W508" s="2">
        <f>VLOOKUP([jobnumber],OvalData[],MATCH(Table2[[#Headers],[Torque Required Open]],Table2[#Headers],0),0)</f>
        <v>892</v>
      </c>
      <c r="X508" s="2">
        <f>VLOOKUP([jobnumber],OvalData[],MATCH(Table2[[#Headers],[Pre Turns]],Table2[#Headers],0),0)</f>
        <v>1.3332999999999999</v>
      </c>
      <c r="Y508" s="2">
        <f>VLOOKUP([jobnumber],OvalData[],MATCH(Table2[[#Headers],[Required Torque Per Turn]],Table2[#Headers],0),0)</f>
        <v>688</v>
      </c>
      <c r="Z508" s="2">
        <f>VLOOKUP([jobnumber],OvalData[],MATCH(Table2[[#Headers],[Total Turns]],Table2[#Headers],0),0)</f>
        <v>4.91</v>
      </c>
      <c r="AA508" s="2">
        <f>VLOOKUP([jobnumber],OvalData[],MATCH(Table2[[#Headers],[Grille Vision Section]],Table2[#Headers],0),0)</f>
        <v>0</v>
      </c>
      <c r="AB508" s="2">
        <f>VLOOKUP([jobnumber],OvalData[],MATCH(Table2[[#Headers],[Grille Amount]],Table2[#Headers],0),0)</f>
        <v>0</v>
      </c>
      <c r="AC508" s="2">
        <f>VLOOKUP([jobnumber],OvalData[],MATCH(Table2[[#Headers],[Grille Center]],Table2[#Headers],0),0)</f>
        <v>0</v>
      </c>
      <c r="AD508" s="2">
        <f>VLOOKUP([jobnumber],OvalData[],MATCH(Table2[[#Headers],[Grille Pattern]],Table2[#Headers],0),0)</f>
        <v>0</v>
      </c>
      <c r="AE508" s="2">
        <f>VLOOKUP([jobnumber],OvalData[],MATCH(Table2[[#Headers],[Grille First Tube]],Table2[#Headers],0),0)</f>
        <v>0</v>
      </c>
      <c r="AF508" s="2">
        <f>VLOOKUP([jobnumber],OvalData[],MATCH(Table2[[#Headers],[Grille Standard Tube]],Table2[#Headers],0),0)</f>
        <v>0</v>
      </c>
      <c r="AG508" s="2">
        <f>VLOOKUP([jobnumber],OvalData[],MATCH(Table2[[#Headers],[Grille Total Links]],Table2[#Headers],0),0)</f>
        <v>0</v>
      </c>
      <c r="AH508" s="2">
        <f>VLOOKUP([jobnumber],OvalData[],MATCH(Table2[[#Headers],[Grille Rods]],Table2[#Headers],0),0)</f>
        <v>0</v>
      </c>
      <c r="AI508" s="2">
        <f>VLOOKUP([jobnumber],OvalData[],MATCH(Table2[[#Headers],[Grille Rod Length]],Table2[#Headers],0),0)</f>
        <v>0</v>
      </c>
      <c r="AJ508" s="2">
        <f>VLOOKUP([jobnumber],OvalData[],MATCH(Table2[[#Headers],[slattype]],Table2[#Headers],0),0)</f>
        <v>2</v>
      </c>
      <c r="AK508" s="2">
        <f>VLOOKUP([jobnumber],OvalData[],MATCH(Table2[[#Headers],[slatgage]],Table2[#Headers],0),0)</f>
        <v>18</v>
      </c>
      <c r="AL508" s="2">
        <f>VLOOKUP([jobnumber],OvalData[],MATCH(Table2[[#Headers],[Numer of Top Slats]],Table2[#Headers],0),0)</f>
        <v>0</v>
      </c>
      <c r="AM508" s="2">
        <f>VLOOKUP([jobnumber],OvalData[],MATCH(Table2[[#Headers],[Number of Bottom Slats]],Table2[#Headers],0),0)</f>
        <v>0</v>
      </c>
      <c r="AN508" s="2">
        <f>VLOOKUP([jobnumber],OvalData[],MATCH(Table2[[#Headers],[Solid Bottom Height]],Table2[#Headers],0),0)</f>
        <v>0</v>
      </c>
      <c r="AO508" s="2" t="str">
        <f>VLOOKUP([jobnumber],OvalData[],MATCH(Table2[[#Headers],[slatlength]],Table2[#Headers],0),0)</f>
        <v xml:space="preserve"> 18 ft.- 5 7/ 8"</v>
      </c>
      <c r="AP508" s="2">
        <f>VLOOKUP([jobnumber],OvalData[],MATCH(Table2[[#Headers],[Bottom Slat Length]],Table2[#Headers],0),0)</f>
        <v>0</v>
      </c>
      <c r="AQ508" s="2">
        <f>VLOOKUP([jobnumber],OvalData[],MATCH(Table2[[#Headers],[Number of Perferated Slats]],Table2[#Headers],0),0)</f>
        <v>0</v>
      </c>
      <c r="AR508" s="2">
        <f>VLOOKUP([jobnumber],OvalData[],MATCH(Table2[[#Headers],[First Preferated Slat From End]],Table2[#Headers],0),0)</f>
        <v>0</v>
      </c>
      <c r="AS508" s="2">
        <f>VLOOKUP([jobnumber],OvalData[],MATCH(Table2[[#Headers],[First Preferated Slat From Bottom]],Table2[#Headers],0),0)</f>
        <v>0</v>
      </c>
      <c r="AT508" s="2">
        <f>VLOOKUP([jobnumber],OvalData[],MATCH(Table2[[#Headers],[Total Number of Slats]],Table2[#Headers],0),0)</f>
        <v>51</v>
      </c>
      <c r="AU508" s="2">
        <f>VLOOKUP([jobnumber],OvalData[],MATCH(Table2[[#Headers],[Bottom Bar Slope]],Table2[#Headers],0),0)</f>
        <v>0</v>
      </c>
      <c r="AV508" s="2">
        <f>VLOOKUP([jobnumber],OvalData[],MATCH(Table2[[#Headers],[Bottom Bar Weight]],Table2[#Headers],0),0)</f>
        <v>80.5</v>
      </c>
      <c r="AW508" s="2" t="str">
        <f>VLOOKUP([jobnumber],OvalData[],MATCH(Table2[[#Headers],[Outer Spring Gage]],Table2[#Headers],0),0)</f>
        <v>Null</v>
      </c>
      <c r="AX508" s="2" t="str">
        <f>VLOOKUP([jobnumber],OvalData[],MATCH(Table2[[#Headers],[Outer Spring OD]],Table2[#Headers],0),0)</f>
        <v>Null</v>
      </c>
      <c r="AY508" s="2" t="str">
        <f>VLOOKUP([jobnumber],OvalData[],MATCH(Table2[[#Headers],[Outer Spring Length]],Table2[#Headers],0),0)</f>
        <v>Null</v>
      </c>
      <c r="AZ508" s="2" t="str">
        <f>VLOOKUP([jobnumber],OvalData[],MATCH(Table2[[#Headers],[Outer Spring Stretch]],Table2[#Headers],0),0)</f>
        <v>Null</v>
      </c>
      <c r="BA508" s="2" t="str">
        <f>VLOOKUP([jobnumber],OvalData[],MATCH(Table2[[#Headers],[Outer Spring Torque]],Table2[#Headers],0),0)</f>
        <v>Null</v>
      </c>
      <c r="BB508" s="2" t="str">
        <f>VLOOKUP([jobnumber],OvalData[],MATCH(Table2[[#Headers],[Outer Spring Max Turns]],Table2[#Headers],0),0)</f>
        <v>Null</v>
      </c>
      <c r="BC508" s="2" t="str">
        <f>VLOOKUP([jobnumber],OvalData[],MATCH(Table2[[#Headers],[Outer Spring Weight]],Table2[#Headers],0),0)</f>
        <v>Null</v>
      </c>
      <c r="BD508" s="2" t="str">
        <f>VLOOKUP([jobnumber],OvalData[],MATCH(Table2[[#Headers],[Inner Spring Gage]],Table2[#Headers],0),0)</f>
        <v>Null</v>
      </c>
      <c r="BE508" s="2" t="str">
        <f>VLOOKUP([jobnumber],OvalData[],MATCH(Table2[[#Headers],[Inner Spring OD]],Table2[#Headers],0),0)</f>
        <v>Null</v>
      </c>
      <c r="BF508" s="2" t="str">
        <f>VLOOKUP([jobnumber],OvalData[],MATCH(Table2[[#Headers],[Inner Spring Length]],Table2[#Headers],0),0)</f>
        <v>Null</v>
      </c>
      <c r="BG508" s="2" t="str">
        <f>VLOOKUP([jobnumber],OvalData[],MATCH(Table2[[#Headers],[Inner Spring Stretch]],Table2[#Headers],0),0)</f>
        <v>Null</v>
      </c>
      <c r="BH508" s="2" t="str">
        <f>VLOOKUP([jobnumber],OvalData[],MATCH(Table2[[#Headers],[Inner Spring Torque]],Table2[#Headers],0),0)</f>
        <v>Null</v>
      </c>
      <c r="BI508" s="2" t="str">
        <f>VLOOKUP([jobnumber],OvalData[],MATCH(Table2[[#Headers],[Inner Spring Max Turns]],Table2[#Headers],0),0)</f>
        <v>Null</v>
      </c>
      <c r="BJ508" s="2" t="str">
        <f>VLOOKUP([jobnumber],OvalData[],MATCH(Table2[[#Headers],[Inner Spring Weight]],Table2[#Headers],0),0)</f>
        <v>Null</v>
      </c>
      <c r="BK508" s="2">
        <f>VLOOKUP([jobnumber],OvalData[],MATCH(Table2[[#Headers],[Cycles]],Table2[#Headers],0),0)</f>
        <v>0</v>
      </c>
      <c r="BL508" s="2">
        <f>VLOOKUP([jobnumber],OvalData[],MATCH(Table2[[#Headers],[Total Spring Torque]],Table2[#Headers],0),0)</f>
        <v>0</v>
      </c>
      <c r="BM508" s="2">
        <f>VLOOKUP([jobnumber],OvalData[],MATCH(Table2[[#Headers],[Total Spring Weight]],Table2[#Headers],0),0)</f>
        <v>0</v>
      </c>
      <c r="BN508" s="2">
        <f>VLOOKUP([jobnumber],OvalData[],MATCH(Table2[[#Headers],[Pipe Weight]],Table2[#Headers],0),0)</f>
        <v>688.24239999999998</v>
      </c>
      <c r="BO508" s="2">
        <f>VLOOKUP([jobnumber],OvalData[],MATCH(Table2[[#Headers],[Max Pipe Deflection]],Table2[#Headers],0),0)</f>
        <v>2309</v>
      </c>
      <c r="BP508" s="2">
        <f>VLOOKUP([jobnumber],OvalData[],MATCH(Table2[[#Headers],[Number Non-Insulated Wrap Slats]],Table2[#Headers],0),0)</f>
        <v>0</v>
      </c>
      <c r="BQ508" s="2">
        <f>VLOOKUP([jobnumber],OvalData[],MATCH(Table2[[#Headers],[Number of Insolated Top Slats]],Table2[#Headers],0),0)</f>
        <v>45</v>
      </c>
      <c r="BR508" s="2">
        <f>VLOOKUP([jobnumber],OvalData[],MATCH(Table2[[#Headers],[Insolated Total Slats]],Table2[#Headers],0),0)</f>
        <v>45</v>
      </c>
      <c r="BS508" s="2">
        <f>VLOOKUP([jobnumber],OvalData[],MATCH(Table2[[#Headers],[Number of Slats]],Table2[#Headers],0),0)</f>
        <v>44.69</v>
      </c>
      <c r="BT508" s="2">
        <f>VLOOKUP([jobnumber],OvalData[],MATCH(Table2[[#Headers],[Wrap]],Table2[#Headers],0),0)</f>
        <v>0</v>
      </c>
      <c r="BU508" s="2">
        <f>VLOOKUP([jobnumber],OvalData[],MATCH(Table2[[#Headers],[Wall Angle Thickness]],Table2[#Headers],0),0)</f>
        <v>0</v>
      </c>
      <c r="BV508" s="2">
        <f>VLOOKUP([jobnumber],OvalData[],MATCH(Table2[[#Headers],[windlocks]],Table2[#Headers],0),0)</f>
        <v>0</v>
      </c>
      <c r="BW508" s="2" t="str">
        <f>VLOOKUP([jobnumber],OvalData[],MATCH(Table2[[#Headers],[bottombartype]],Table2[#Headers],0),0)</f>
        <v>SPECIAL</v>
      </c>
      <c r="BX508" s="2">
        <f>VLOOKUP([jobnumber],OvalData[],MATCH(Table2[[#Headers],[endlockweight]],Table2[#Headers],0),0)</f>
        <v>0.17</v>
      </c>
      <c r="BY508" s="2">
        <f>VLOOKUP([jobnumber],OvalData[],MATCH(Table2[[#Headers],[Endlock Total Weight]],Table2[#Headers],0),0)</f>
        <v>7.5972999999999997</v>
      </c>
      <c r="BZ508" s="2">
        <f>VLOOKUP([jobnumber],OvalData[],MATCH(Table2[[#Headers],[Grille Weight]],Table2[#Headers],0),0)</f>
        <v>0</v>
      </c>
      <c r="CA508" s="2">
        <f>VLOOKUP([jobnumber],OvalData[],MATCH(Table2[[#Headers],[barrelrings]],Table2[#Headers],0),0)</f>
        <v>1</v>
      </c>
    </row>
    <row r="509" spans="2:79">
      <c r="B509" s="2" t="str">
        <f>VLOOKUP([jobnumber],OvalData[],MATCH(Table2[[#Headers],[Hand]],Table2[#Headers],0),0)</f>
        <v>RH</v>
      </c>
      <c r="C509" s="2" t="str">
        <f>VLOOKUP([jobnumber],OvalData[],MATCH(Table2[[#Headers],[Model]],Table2[#Headers],0),0)</f>
        <v>SFMPP</v>
      </c>
      <c r="D509" s="2" t="str">
        <f>VLOOKUP([jobnumber],OvalData[],MATCH(Table2[[#Headers],[width]],Table2[#Headers],0),0)</f>
        <v xml:space="preserve"> 18 ft.- 2"</v>
      </c>
      <c r="E509" s="2" t="str">
        <f>VLOOKUP([jobnumber],OvalData[],MATCH(Table2[[#Headers],[stopheight]],Table2[#Headers],0),0)</f>
        <v xml:space="preserve"> 10 ft.- 0"</v>
      </c>
      <c r="F509" s="2" t="str">
        <f>VLOOKUP([jobnumber],OvalData[],MATCH(Table2[[#Headers],[Between Brackets]],Table2[#Headers],0),0)</f>
        <v xml:space="preserve"> 18 ft.- 7 7/ 8"</v>
      </c>
      <c r="G509" s="2" t="str">
        <f>VLOOKUP([jobnumber],OvalData[],MATCH(Table2[[#Headers],[shell]],Table2[#Headers],0),0)</f>
        <v>6 INCH TUBE</v>
      </c>
      <c r="H509" s="2" t="str">
        <f>VLOOKUP([jobnumber],OvalData[],MATCH(Table2[[#Headers],[pipewidth]],Table2[#Headers],0),0)</f>
        <v xml:space="preserve"> 18 ft.- 1 3/ 8"</v>
      </c>
      <c r="I509" s="2">
        <f>VLOOKUP([jobnumber],OvalData[],MATCH(Table2[[#Headers],[Support Tubes]],Table2[#Headers],0),0)</f>
        <v>0</v>
      </c>
      <c r="J509" s="2">
        <f>VLOOKUP([jobnumber],OvalData[],MATCH(Table2[[#Headers],[Upset]],Table2[#Headers],0),0)</f>
        <v>2</v>
      </c>
      <c r="K509" s="2" t="str">
        <f>VLOOKUP([jobnumber],OvalData[],MATCH(Table2[[#Headers],[Guide Type]],Table2[#Headers],0),0)</f>
        <v>SN2-4 5/8-E</v>
      </c>
      <c r="L509" s="2" t="str">
        <f>VLOOKUP([jobnumber],OvalData[],MATCH(Table2[[#Headers],[Wall Angle]],Table2[#Headers],0),0)</f>
        <v xml:space="preserve"> 11 ft.- 8"</v>
      </c>
      <c r="M509" s="2" t="str">
        <f>VLOOKUP([jobnumber],OvalData[],MATCH(Table2[[#Headers],[Middle Angle]],Table2[#Headers],0),0)</f>
        <v xml:space="preserve"> 10 ft.- 4 1/ 2"</v>
      </c>
      <c r="N509" s="2" t="str">
        <f>VLOOKUP([jobnumber],OvalData[],MATCH(Table2[[#Headers],[Front Angle]],Table2[#Headers],0),0)</f>
        <v xml:space="preserve"> 10 ft.- 3"</v>
      </c>
      <c r="O509" s="2">
        <f>VLOOKUP([jobnumber],OvalData[],MATCH(Table2[[#Headers],[Pipe Center Line]],Table2[#Headers],0),0)</f>
        <v>131</v>
      </c>
      <c r="P509" s="2">
        <f>VLOOKUP([jobnumber],OvalData[],MATCH(Table2[[#Headers],[Heat Expansion Gap]],Table2[#Headers],0),0)</f>
        <v>0</v>
      </c>
      <c r="Q509" s="2">
        <f>VLOOKUP([jobnumber],OvalData[],MATCH(Table2[[#Headers],[Hanging Weight Closed]],Table2[#Headers],0),0)</f>
        <v>795</v>
      </c>
      <c r="R509" s="2">
        <f>VLOOKUP([jobnumber],OvalData[],MATCH(Table2[[#Headers],[Hanging Weight Open]],Table2[#Headers],0),0)</f>
        <v>140</v>
      </c>
      <c r="S509" s="2">
        <f>VLOOKUP([jobnumber],OvalData[],MATCH(Table2[[#Headers],[Initial Lever Arm]],Table2[#Headers],0),0)</f>
        <v>4.25</v>
      </c>
      <c r="T509" s="2">
        <f>VLOOKUP([jobnumber],OvalData[],MATCH(Table2[[#Headers],[Turns to Raise]],Table2[#Headers],0),0)</f>
        <v>3.5859999999999999</v>
      </c>
      <c r="U509" s="2">
        <f>VLOOKUP([jobnumber],OvalData[],MATCH(Table2[[#Headers],[Final Lever Arm]],Table2[#Headers],0),0)</f>
        <v>6.37</v>
      </c>
      <c r="V509" s="2">
        <f>VLOOKUP([jobnumber],OvalData[],MATCH(Table2[[#Headers],[Torque Required Closed]],Table2[#Headers],0),0)</f>
        <v>3377.9</v>
      </c>
      <c r="W509" s="2">
        <f>VLOOKUP([jobnumber],OvalData[],MATCH(Table2[[#Headers],[Torque Required Open]],Table2[#Headers],0),0)</f>
        <v>892</v>
      </c>
      <c r="X509" s="2">
        <f>VLOOKUP([jobnumber],OvalData[],MATCH(Table2[[#Headers],[Pre Turns]],Table2[#Headers],0),0)</f>
        <v>1.3332999999999999</v>
      </c>
      <c r="Y509" s="2">
        <f>VLOOKUP([jobnumber],OvalData[],MATCH(Table2[[#Headers],[Required Torque Per Turn]],Table2[#Headers],0),0)</f>
        <v>688</v>
      </c>
      <c r="Z509" s="2">
        <f>VLOOKUP([jobnumber],OvalData[],MATCH(Table2[[#Headers],[Total Turns]],Table2[#Headers],0),0)</f>
        <v>4.91</v>
      </c>
      <c r="AA509" s="2">
        <f>VLOOKUP([jobnumber],OvalData[],MATCH(Table2[[#Headers],[Grille Vision Section]],Table2[#Headers],0),0)</f>
        <v>0</v>
      </c>
      <c r="AB509" s="2">
        <f>VLOOKUP([jobnumber],OvalData[],MATCH(Table2[[#Headers],[Grille Amount]],Table2[#Headers],0),0)</f>
        <v>0</v>
      </c>
      <c r="AC509" s="2">
        <f>VLOOKUP([jobnumber],OvalData[],MATCH(Table2[[#Headers],[Grille Center]],Table2[#Headers],0),0)</f>
        <v>0</v>
      </c>
      <c r="AD509" s="2">
        <f>VLOOKUP([jobnumber],OvalData[],MATCH(Table2[[#Headers],[Grille Pattern]],Table2[#Headers],0),0)</f>
        <v>0</v>
      </c>
      <c r="AE509" s="2">
        <f>VLOOKUP([jobnumber],OvalData[],MATCH(Table2[[#Headers],[Grille First Tube]],Table2[#Headers],0),0)</f>
        <v>0</v>
      </c>
      <c r="AF509" s="2">
        <f>VLOOKUP([jobnumber],OvalData[],MATCH(Table2[[#Headers],[Grille Standard Tube]],Table2[#Headers],0),0)</f>
        <v>0</v>
      </c>
      <c r="AG509" s="2">
        <f>VLOOKUP([jobnumber],OvalData[],MATCH(Table2[[#Headers],[Grille Total Links]],Table2[#Headers],0),0)</f>
        <v>0</v>
      </c>
      <c r="AH509" s="2">
        <f>VLOOKUP([jobnumber],OvalData[],MATCH(Table2[[#Headers],[Grille Rods]],Table2[#Headers],0),0)</f>
        <v>0</v>
      </c>
      <c r="AI509" s="2">
        <f>VLOOKUP([jobnumber],OvalData[],MATCH(Table2[[#Headers],[Grille Rod Length]],Table2[#Headers],0),0)</f>
        <v>0</v>
      </c>
      <c r="AJ509" s="2">
        <f>VLOOKUP([jobnumber],OvalData[],MATCH(Table2[[#Headers],[slattype]],Table2[#Headers],0),0)</f>
        <v>2</v>
      </c>
      <c r="AK509" s="2">
        <f>VLOOKUP([jobnumber],OvalData[],MATCH(Table2[[#Headers],[slatgage]],Table2[#Headers],0),0)</f>
        <v>18</v>
      </c>
      <c r="AL509" s="2">
        <f>VLOOKUP([jobnumber],OvalData[],MATCH(Table2[[#Headers],[Numer of Top Slats]],Table2[#Headers],0),0)</f>
        <v>0</v>
      </c>
      <c r="AM509" s="2">
        <f>VLOOKUP([jobnumber],OvalData[],MATCH(Table2[[#Headers],[Number of Bottom Slats]],Table2[#Headers],0),0)</f>
        <v>0</v>
      </c>
      <c r="AN509" s="2">
        <f>VLOOKUP([jobnumber],OvalData[],MATCH(Table2[[#Headers],[Solid Bottom Height]],Table2[#Headers],0),0)</f>
        <v>0</v>
      </c>
      <c r="AO509" s="2" t="str">
        <f>VLOOKUP([jobnumber],OvalData[],MATCH(Table2[[#Headers],[slatlength]],Table2[#Headers],0),0)</f>
        <v xml:space="preserve"> 18 ft.- 5 7/ 8"</v>
      </c>
      <c r="AP509" s="2">
        <f>VLOOKUP([jobnumber],OvalData[],MATCH(Table2[[#Headers],[Bottom Slat Length]],Table2[#Headers],0),0)</f>
        <v>0</v>
      </c>
      <c r="AQ509" s="2">
        <f>VLOOKUP([jobnumber],OvalData[],MATCH(Table2[[#Headers],[Number of Perferated Slats]],Table2[#Headers],0),0)</f>
        <v>0</v>
      </c>
      <c r="AR509" s="2">
        <f>VLOOKUP([jobnumber],OvalData[],MATCH(Table2[[#Headers],[First Preferated Slat From End]],Table2[#Headers],0),0)</f>
        <v>0</v>
      </c>
      <c r="AS509" s="2">
        <f>VLOOKUP([jobnumber],OvalData[],MATCH(Table2[[#Headers],[First Preferated Slat From Bottom]],Table2[#Headers],0),0)</f>
        <v>0</v>
      </c>
      <c r="AT509" s="2">
        <f>VLOOKUP([jobnumber],OvalData[],MATCH(Table2[[#Headers],[Total Number of Slats]],Table2[#Headers],0),0)</f>
        <v>51</v>
      </c>
      <c r="AU509" s="2">
        <f>VLOOKUP([jobnumber],OvalData[],MATCH(Table2[[#Headers],[Bottom Bar Slope]],Table2[#Headers],0),0)</f>
        <v>0</v>
      </c>
      <c r="AV509" s="2">
        <f>VLOOKUP([jobnumber],OvalData[],MATCH(Table2[[#Headers],[Bottom Bar Weight]],Table2[#Headers],0),0)</f>
        <v>80.5</v>
      </c>
      <c r="AW509" s="2" t="str">
        <f>VLOOKUP([jobnumber],OvalData[],MATCH(Table2[[#Headers],[Outer Spring Gage]],Table2[#Headers],0),0)</f>
        <v>Null</v>
      </c>
      <c r="AX509" s="2" t="str">
        <f>VLOOKUP([jobnumber],OvalData[],MATCH(Table2[[#Headers],[Outer Spring OD]],Table2[#Headers],0),0)</f>
        <v>Null</v>
      </c>
      <c r="AY509" s="2" t="str">
        <f>VLOOKUP([jobnumber],OvalData[],MATCH(Table2[[#Headers],[Outer Spring Length]],Table2[#Headers],0),0)</f>
        <v>Null</v>
      </c>
      <c r="AZ509" s="2" t="str">
        <f>VLOOKUP([jobnumber],OvalData[],MATCH(Table2[[#Headers],[Outer Spring Stretch]],Table2[#Headers],0),0)</f>
        <v>Null</v>
      </c>
      <c r="BA509" s="2" t="str">
        <f>VLOOKUP([jobnumber],OvalData[],MATCH(Table2[[#Headers],[Outer Spring Torque]],Table2[#Headers],0),0)</f>
        <v>Null</v>
      </c>
      <c r="BB509" s="2" t="str">
        <f>VLOOKUP([jobnumber],OvalData[],MATCH(Table2[[#Headers],[Outer Spring Max Turns]],Table2[#Headers],0),0)</f>
        <v>Null</v>
      </c>
      <c r="BC509" s="2" t="str">
        <f>VLOOKUP([jobnumber],OvalData[],MATCH(Table2[[#Headers],[Outer Spring Weight]],Table2[#Headers],0),0)</f>
        <v>Null</v>
      </c>
      <c r="BD509" s="2" t="str">
        <f>VLOOKUP([jobnumber],OvalData[],MATCH(Table2[[#Headers],[Inner Spring Gage]],Table2[#Headers],0),0)</f>
        <v>Null</v>
      </c>
      <c r="BE509" s="2" t="str">
        <f>VLOOKUP([jobnumber],OvalData[],MATCH(Table2[[#Headers],[Inner Spring OD]],Table2[#Headers],0),0)</f>
        <v>Null</v>
      </c>
      <c r="BF509" s="2" t="str">
        <f>VLOOKUP([jobnumber],OvalData[],MATCH(Table2[[#Headers],[Inner Spring Length]],Table2[#Headers],0),0)</f>
        <v>Null</v>
      </c>
      <c r="BG509" s="2" t="str">
        <f>VLOOKUP([jobnumber],OvalData[],MATCH(Table2[[#Headers],[Inner Spring Stretch]],Table2[#Headers],0),0)</f>
        <v>Null</v>
      </c>
      <c r="BH509" s="2" t="str">
        <f>VLOOKUP([jobnumber],OvalData[],MATCH(Table2[[#Headers],[Inner Spring Torque]],Table2[#Headers],0),0)</f>
        <v>Null</v>
      </c>
      <c r="BI509" s="2" t="str">
        <f>VLOOKUP([jobnumber],OvalData[],MATCH(Table2[[#Headers],[Inner Spring Max Turns]],Table2[#Headers],0),0)</f>
        <v>Null</v>
      </c>
      <c r="BJ509" s="2" t="str">
        <f>VLOOKUP([jobnumber],OvalData[],MATCH(Table2[[#Headers],[Inner Spring Weight]],Table2[#Headers],0),0)</f>
        <v>Null</v>
      </c>
      <c r="BK509" s="2">
        <f>VLOOKUP([jobnumber],OvalData[],MATCH(Table2[[#Headers],[Cycles]],Table2[#Headers],0),0)</f>
        <v>0</v>
      </c>
      <c r="BL509" s="2">
        <f>VLOOKUP([jobnumber],OvalData[],MATCH(Table2[[#Headers],[Total Spring Torque]],Table2[#Headers],0),0)</f>
        <v>0</v>
      </c>
      <c r="BM509" s="2">
        <f>VLOOKUP([jobnumber],OvalData[],MATCH(Table2[[#Headers],[Total Spring Weight]],Table2[#Headers],0),0)</f>
        <v>0</v>
      </c>
      <c r="BN509" s="2">
        <f>VLOOKUP([jobnumber],OvalData[],MATCH(Table2[[#Headers],[Pipe Weight]],Table2[#Headers],0),0)</f>
        <v>688.24239999999998</v>
      </c>
      <c r="BO509" s="2">
        <f>VLOOKUP([jobnumber],OvalData[],MATCH(Table2[[#Headers],[Max Pipe Deflection]],Table2[#Headers],0),0)</f>
        <v>2309</v>
      </c>
      <c r="BP509" s="2">
        <f>VLOOKUP([jobnumber],OvalData[],MATCH(Table2[[#Headers],[Number Non-Insulated Wrap Slats]],Table2[#Headers],0),0)</f>
        <v>0</v>
      </c>
      <c r="BQ509" s="2">
        <f>VLOOKUP([jobnumber],OvalData[],MATCH(Table2[[#Headers],[Number of Insolated Top Slats]],Table2[#Headers],0),0)</f>
        <v>45</v>
      </c>
      <c r="BR509" s="2">
        <f>VLOOKUP([jobnumber],OvalData[],MATCH(Table2[[#Headers],[Insolated Total Slats]],Table2[#Headers],0),0)</f>
        <v>45</v>
      </c>
      <c r="BS509" s="2">
        <f>VLOOKUP([jobnumber],OvalData[],MATCH(Table2[[#Headers],[Number of Slats]],Table2[#Headers],0),0)</f>
        <v>44.69</v>
      </c>
      <c r="BT509" s="2">
        <f>VLOOKUP([jobnumber],OvalData[],MATCH(Table2[[#Headers],[Wrap]],Table2[#Headers],0),0)</f>
        <v>0</v>
      </c>
      <c r="BU509" s="2">
        <f>VLOOKUP([jobnumber],OvalData[],MATCH(Table2[[#Headers],[Wall Angle Thickness]],Table2[#Headers],0),0)</f>
        <v>0</v>
      </c>
      <c r="BV509" s="2">
        <f>VLOOKUP([jobnumber],OvalData[],MATCH(Table2[[#Headers],[windlocks]],Table2[#Headers],0),0)</f>
        <v>0</v>
      </c>
      <c r="BW509" s="2" t="str">
        <f>VLOOKUP([jobnumber],OvalData[],MATCH(Table2[[#Headers],[bottombartype]],Table2[#Headers],0),0)</f>
        <v>SPECIAL</v>
      </c>
      <c r="BX509" s="2">
        <f>VLOOKUP([jobnumber],OvalData[],MATCH(Table2[[#Headers],[endlockweight]],Table2[#Headers],0),0)</f>
        <v>0.17</v>
      </c>
      <c r="BY509" s="2">
        <f>VLOOKUP([jobnumber],OvalData[],MATCH(Table2[[#Headers],[Endlock Total Weight]],Table2[#Headers],0),0)</f>
        <v>7.5972999999999997</v>
      </c>
      <c r="BZ509" s="2">
        <f>VLOOKUP([jobnumber],OvalData[],MATCH(Table2[[#Headers],[Grille Weight]],Table2[#Headers],0),0)</f>
        <v>0</v>
      </c>
      <c r="CA509" s="2">
        <f>VLOOKUP([jobnumber],OvalData[],MATCH(Table2[[#Headers],[barrelrings]],Table2[#Headers],0),0)</f>
        <v>1</v>
      </c>
    </row>
    <row r="510" spans="2:79">
      <c r="B510" s="2" t="str">
        <f>VLOOKUP([jobnumber],OvalData[],MATCH(Table2[[#Headers],[Hand]],Table2[#Headers],0),0)</f>
        <v>RH</v>
      </c>
      <c r="C510" s="2" t="str">
        <f>VLOOKUP([jobnumber],OvalData[],MATCH(Table2[[#Headers],[Model]],Table2[#Headers],0),0)</f>
        <v>SFMPP</v>
      </c>
      <c r="D510" s="2" t="str">
        <f>VLOOKUP([jobnumber],OvalData[],MATCH(Table2[[#Headers],[width]],Table2[#Headers],0),0)</f>
        <v xml:space="preserve"> 18 ft.- 2"</v>
      </c>
      <c r="E510" s="2" t="str">
        <f>VLOOKUP([jobnumber],OvalData[],MATCH(Table2[[#Headers],[stopheight]],Table2[#Headers],0),0)</f>
        <v xml:space="preserve"> 10 ft.- 0"</v>
      </c>
      <c r="F510" s="2" t="str">
        <f>VLOOKUP([jobnumber],OvalData[],MATCH(Table2[[#Headers],[Between Brackets]],Table2[#Headers],0),0)</f>
        <v xml:space="preserve"> 18 ft.- 7 7/ 8"</v>
      </c>
      <c r="G510" s="2" t="str">
        <f>VLOOKUP([jobnumber],OvalData[],MATCH(Table2[[#Headers],[shell]],Table2[#Headers],0),0)</f>
        <v>6 INCH TUBE</v>
      </c>
      <c r="H510" s="2" t="str">
        <f>VLOOKUP([jobnumber],OvalData[],MATCH(Table2[[#Headers],[pipewidth]],Table2[#Headers],0),0)</f>
        <v xml:space="preserve"> 18 ft.- 1 3/ 8"</v>
      </c>
      <c r="I510" s="2">
        <f>VLOOKUP([jobnumber],OvalData[],MATCH(Table2[[#Headers],[Support Tubes]],Table2[#Headers],0),0)</f>
        <v>0</v>
      </c>
      <c r="J510" s="2">
        <f>VLOOKUP([jobnumber],OvalData[],MATCH(Table2[[#Headers],[Upset]],Table2[#Headers],0),0)</f>
        <v>2</v>
      </c>
      <c r="K510" s="2" t="str">
        <f>VLOOKUP([jobnumber],OvalData[],MATCH(Table2[[#Headers],[Guide Type]],Table2[#Headers],0),0)</f>
        <v>SN2-4 5/8-E</v>
      </c>
      <c r="L510" s="2" t="str">
        <f>VLOOKUP([jobnumber],OvalData[],MATCH(Table2[[#Headers],[Wall Angle]],Table2[#Headers],0),0)</f>
        <v xml:space="preserve"> 11 ft.- 8"</v>
      </c>
      <c r="M510" s="2" t="str">
        <f>VLOOKUP([jobnumber],OvalData[],MATCH(Table2[[#Headers],[Middle Angle]],Table2[#Headers],0),0)</f>
        <v xml:space="preserve"> 10 ft.- 4 1/ 2"</v>
      </c>
      <c r="N510" s="2" t="str">
        <f>VLOOKUP([jobnumber],OvalData[],MATCH(Table2[[#Headers],[Front Angle]],Table2[#Headers],0),0)</f>
        <v xml:space="preserve"> 10 ft.- 3"</v>
      </c>
      <c r="O510" s="2">
        <f>VLOOKUP([jobnumber],OvalData[],MATCH(Table2[[#Headers],[Pipe Center Line]],Table2[#Headers],0),0)</f>
        <v>131</v>
      </c>
      <c r="P510" s="2">
        <f>VLOOKUP([jobnumber],OvalData[],MATCH(Table2[[#Headers],[Heat Expansion Gap]],Table2[#Headers],0),0)</f>
        <v>0</v>
      </c>
      <c r="Q510" s="2">
        <f>VLOOKUP([jobnumber],OvalData[],MATCH(Table2[[#Headers],[Hanging Weight Closed]],Table2[#Headers],0),0)</f>
        <v>795</v>
      </c>
      <c r="R510" s="2">
        <f>VLOOKUP([jobnumber],OvalData[],MATCH(Table2[[#Headers],[Hanging Weight Open]],Table2[#Headers],0),0)</f>
        <v>140</v>
      </c>
      <c r="S510" s="2">
        <f>VLOOKUP([jobnumber],OvalData[],MATCH(Table2[[#Headers],[Initial Lever Arm]],Table2[#Headers],0),0)</f>
        <v>4.25</v>
      </c>
      <c r="T510" s="2">
        <f>VLOOKUP([jobnumber],OvalData[],MATCH(Table2[[#Headers],[Turns to Raise]],Table2[#Headers],0),0)</f>
        <v>3.5859999999999999</v>
      </c>
      <c r="U510" s="2">
        <f>VLOOKUP([jobnumber],OvalData[],MATCH(Table2[[#Headers],[Final Lever Arm]],Table2[#Headers],0),0)</f>
        <v>6.37</v>
      </c>
      <c r="V510" s="2">
        <f>VLOOKUP([jobnumber],OvalData[],MATCH(Table2[[#Headers],[Torque Required Closed]],Table2[#Headers],0),0)</f>
        <v>3377.9</v>
      </c>
      <c r="W510" s="2">
        <f>VLOOKUP([jobnumber],OvalData[],MATCH(Table2[[#Headers],[Torque Required Open]],Table2[#Headers],0),0)</f>
        <v>892</v>
      </c>
      <c r="X510" s="2">
        <f>VLOOKUP([jobnumber],OvalData[],MATCH(Table2[[#Headers],[Pre Turns]],Table2[#Headers],0),0)</f>
        <v>1.3332999999999999</v>
      </c>
      <c r="Y510" s="2">
        <f>VLOOKUP([jobnumber],OvalData[],MATCH(Table2[[#Headers],[Required Torque Per Turn]],Table2[#Headers],0),0)</f>
        <v>688</v>
      </c>
      <c r="Z510" s="2">
        <f>VLOOKUP([jobnumber],OvalData[],MATCH(Table2[[#Headers],[Total Turns]],Table2[#Headers],0),0)</f>
        <v>4.91</v>
      </c>
      <c r="AA510" s="2">
        <f>VLOOKUP([jobnumber],OvalData[],MATCH(Table2[[#Headers],[Grille Vision Section]],Table2[#Headers],0),0)</f>
        <v>0</v>
      </c>
      <c r="AB510" s="2">
        <f>VLOOKUP([jobnumber],OvalData[],MATCH(Table2[[#Headers],[Grille Amount]],Table2[#Headers],0),0)</f>
        <v>0</v>
      </c>
      <c r="AC510" s="2">
        <f>VLOOKUP([jobnumber],OvalData[],MATCH(Table2[[#Headers],[Grille Center]],Table2[#Headers],0),0)</f>
        <v>0</v>
      </c>
      <c r="AD510" s="2">
        <f>VLOOKUP([jobnumber],OvalData[],MATCH(Table2[[#Headers],[Grille Pattern]],Table2[#Headers],0),0)</f>
        <v>0</v>
      </c>
      <c r="AE510" s="2">
        <f>VLOOKUP([jobnumber],OvalData[],MATCH(Table2[[#Headers],[Grille First Tube]],Table2[#Headers],0),0)</f>
        <v>0</v>
      </c>
      <c r="AF510" s="2">
        <f>VLOOKUP([jobnumber],OvalData[],MATCH(Table2[[#Headers],[Grille Standard Tube]],Table2[#Headers],0),0)</f>
        <v>0</v>
      </c>
      <c r="AG510" s="2">
        <f>VLOOKUP([jobnumber],OvalData[],MATCH(Table2[[#Headers],[Grille Total Links]],Table2[#Headers],0),0)</f>
        <v>0</v>
      </c>
      <c r="AH510" s="2">
        <f>VLOOKUP([jobnumber],OvalData[],MATCH(Table2[[#Headers],[Grille Rods]],Table2[#Headers],0),0)</f>
        <v>0</v>
      </c>
      <c r="AI510" s="2">
        <f>VLOOKUP([jobnumber],OvalData[],MATCH(Table2[[#Headers],[Grille Rod Length]],Table2[#Headers],0),0)</f>
        <v>0</v>
      </c>
      <c r="AJ510" s="2">
        <f>VLOOKUP([jobnumber],OvalData[],MATCH(Table2[[#Headers],[slattype]],Table2[#Headers],0),0)</f>
        <v>2</v>
      </c>
      <c r="AK510" s="2">
        <f>VLOOKUP([jobnumber],OvalData[],MATCH(Table2[[#Headers],[slatgage]],Table2[#Headers],0),0)</f>
        <v>18</v>
      </c>
      <c r="AL510" s="2">
        <f>VLOOKUP([jobnumber],OvalData[],MATCH(Table2[[#Headers],[Numer of Top Slats]],Table2[#Headers],0),0)</f>
        <v>0</v>
      </c>
      <c r="AM510" s="2">
        <f>VLOOKUP([jobnumber],OvalData[],MATCH(Table2[[#Headers],[Number of Bottom Slats]],Table2[#Headers],0),0)</f>
        <v>0</v>
      </c>
      <c r="AN510" s="2">
        <f>VLOOKUP([jobnumber],OvalData[],MATCH(Table2[[#Headers],[Solid Bottom Height]],Table2[#Headers],0),0)</f>
        <v>0</v>
      </c>
      <c r="AO510" s="2" t="str">
        <f>VLOOKUP([jobnumber],OvalData[],MATCH(Table2[[#Headers],[slatlength]],Table2[#Headers],0),0)</f>
        <v xml:space="preserve"> 18 ft.- 5 7/ 8"</v>
      </c>
      <c r="AP510" s="2">
        <f>VLOOKUP([jobnumber],OvalData[],MATCH(Table2[[#Headers],[Bottom Slat Length]],Table2[#Headers],0),0)</f>
        <v>0</v>
      </c>
      <c r="AQ510" s="2">
        <f>VLOOKUP([jobnumber],OvalData[],MATCH(Table2[[#Headers],[Number of Perferated Slats]],Table2[#Headers],0),0)</f>
        <v>0</v>
      </c>
      <c r="AR510" s="2">
        <f>VLOOKUP([jobnumber],OvalData[],MATCH(Table2[[#Headers],[First Preferated Slat From End]],Table2[#Headers],0),0)</f>
        <v>0</v>
      </c>
      <c r="AS510" s="2">
        <f>VLOOKUP([jobnumber],OvalData[],MATCH(Table2[[#Headers],[First Preferated Slat From Bottom]],Table2[#Headers],0),0)</f>
        <v>0</v>
      </c>
      <c r="AT510" s="2">
        <f>VLOOKUP([jobnumber],OvalData[],MATCH(Table2[[#Headers],[Total Number of Slats]],Table2[#Headers],0),0)</f>
        <v>51</v>
      </c>
      <c r="AU510" s="2">
        <f>VLOOKUP([jobnumber],OvalData[],MATCH(Table2[[#Headers],[Bottom Bar Slope]],Table2[#Headers],0),0)</f>
        <v>0</v>
      </c>
      <c r="AV510" s="2">
        <f>VLOOKUP([jobnumber],OvalData[],MATCH(Table2[[#Headers],[Bottom Bar Weight]],Table2[#Headers],0),0)</f>
        <v>80.5</v>
      </c>
      <c r="AW510" s="2" t="str">
        <f>VLOOKUP([jobnumber],OvalData[],MATCH(Table2[[#Headers],[Outer Spring Gage]],Table2[#Headers],0),0)</f>
        <v>Null</v>
      </c>
      <c r="AX510" s="2" t="str">
        <f>VLOOKUP([jobnumber],OvalData[],MATCH(Table2[[#Headers],[Outer Spring OD]],Table2[#Headers],0),0)</f>
        <v>Null</v>
      </c>
      <c r="AY510" s="2" t="str">
        <f>VLOOKUP([jobnumber],OvalData[],MATCH(Table2[[#Headers],[Outer Spring Length]],Table2[#Headers],0),0)</f>
        <v>Null</v>
      </c>
      <c r="AZ510" s="2" t="str">
        <f>VLOOKUP([jobnumber],OvalData[],MATCH(Table2[[#Headers],[Outer Spring Stretch]],Table2[#Headers],0),0)</f>
        <v>Null</v>
      </c>
      <c r="BA510" s="2" t="str">
        <f>VLOOKUP([jobnumber],OvalData[],MATCH(Table2[[#Headers],[Outer Spring Torque]],Table2[#Headers],0),0)</f>
        <v>Null</v>
      </c>
      <c r="BB510" s="2" t="str">
        <f>VLOOKUP([jobnumber],OvalData[],MATCH(Table2[[#Headers],[Outer Spring Max Turns]],Table2[#Headers],0),0)</f>
        <v>Null</v>
      </c>
      <c r="BC510" s="2" t="str">
        <f>VLOOKUP([jobnumber],OvalData[],MATCH(Table2[[#Headers],[Outer Spring Weight]],Table2[#Headers],0),0)</f>
        <v>Null</v>
      </c>
      <c r="BD510" s="2" t="str">
        <f>VLOOKUP([jobnumber],OvalData[],MATCH(Table2[[#Headers],[Inner Spring Gage]],Table2[#Headers],0),0)</f>
        <v>Null</v>
      </c>
      <c r="BE510" s="2" t="str">
        <f>VLOOKUP([jobnumber],OvalData[],MATCH(Table2[[#Headers],[Inner Spring OD]],Table2[#Headers],0),0)</f>
        <v>Null</v>
      </c>
      <c r="BF510" s="2" t="str">
        <f>VLOOKUP([jobnumber],OvalData[],MATCH(Table2[[#Headers],[Inner Spring Length]],Table2[#Headers],0),0)</f>
        <v>Null</v>
      </c>
      <c r="BG510" s="2" t="str">
        <f>VLOOKUP([jobnumber],OvalData[],MATCH(Table2[[#Headers],[Inner Spring Stretch]],Table2[#Headers],0),0)</f>
        <v>Null</v>
      </c>
      <c r="BH510" s="2" t="str">
        <f>VLOOKUP([jobnumber],OvalData[],MATCH(Table2[[#Headers],[Inner Spring Torque]],Table2[#Headers],0),0)</f>
        <v>Null</v>
      </c>
      <c r="BI510" s="2" t="str">
        <f>VLOOKUP([jobnumber],OvalData[],MATCH(Table2[[#Headers],[Inner Spring Max Turns]],Table2[#Headers],0),0)</f>
        <v>Null</v>
      </c>
      <c r="BJ510" s="2" t="str">
        <f>VLOOKUP([jobnumber],OvalData[],MATCH(Table2[[#Headers],[Inner Spring Weight]],Table2[#Headers],0),0)</f>
        <v>Null</v>
      </c>
      <c r="BK510" s="2">
        <f>VLOOKUP([jobnumber],OvalData[],MATCH(Table2[[#Headers],[Cycles]],Table2[#Headers],0),0)</f>
        <v>0</v>
      </c>
      <c r="BL510" s="2">
        <f>VLOOKUP([jobnumber],OvalData[],MATCH(Table2[[#Headers],[Total Spring Torque]],Table2[#Headers],0),0)</f>
        <v>0</v>
      </c>
      <c r="BM510" s="2">
        <f>VLOOKUP([jobnumber],OvalData[],MATCH(Table2[[#Headers],[Total Spring Weight]],Table2[#Headers],0),0)</f>
        <v>0</v>
      </c>
      <c r="BN510" s="2">
        <f>VLOOKUP([jobnumber],OvalData[],MATCH(Table2[[#Headers],[Pipe Weight]],Table2[#Headers],0),0)</f>
        <v>688.24239999999998</v>
      </c>
      <c r="BO510" s="2">
        <f>VLOOKUP([jobnumber],OvalData[],MATCH(Table2[[#Headers],[Max Pipe Deflection]],Table2[#Headers],0),0)</f>
        <v>2309</v>
      </c>
      <c r="BP510" s="2">
        <f>VLOOKUP([jobnumber],OvalData[],MATCH(Table2[[#Headers],[Number Non-Insulated Wrap Slats]],Table2[#Headers],0),0)</f>
        <v>0</v>
      </c>
      <c r="BQ510" s="2">
        <f>VLOOKUP([jobnumber],OvalData[],MATCH(Table2[[#Headers],[Number of Insolated Top Slats]],Table2[#Headers],0),0)</f>
        <v>45</v>
      </c>
      <c r="BR510" s="2">
        <f>VLOOKUP([jobnumber],OvalData[],MATCH(Table2[[#Headers],[Insolated Total Slats]],Table2[#Headers],0),0)</f>
        <v>45</v>
      </c>
      <c r="BS510" s="2">
        <f>VLOOKUP([jobnumber],OvalData[],MATCH(Table2[[#Headers],[Number of Slats]],Table2[#Headers],0),0)</f>
        <v>44.69</v>
      </c>
      <c r="BT510" s="2">
        <f>VLOOKUP([jobnumber],OvalData[],MATCH(Table2[[#Headers],[Wrap]],Table2[#Headers],0),0)</f>
        <v>0</v>
      </c>
      <c r="BU510" s="2">
        <f>VLOOKUP([jobnumber],OvalData[],MATCH(Table2[[#Headers],[Wall Angle Thickness]],Table2[#Headers],0),0)</f>
        <v>0</v>
      </c>
      <c r="BV510" s="2">
        <f>VLOOKUP([jobnumber],OvalData[],MATCH(Table2[[#Headers],[windlocks]],Table2[#Headers],0),0)</f>
        <v>0</v>
      </c>
      <c r="BW510" s="2" t="str">
        <f>VLOOKUP([jobnumber],OvalData[],MATCH(Table2[[#Headers],[bottombartype]],Table2[#Headers],0),0)</f>
        <v>SPECIAL</v>
      </c>
      <c r="BX510" s="2">
        <f>VLOOKUP([jobnumber],OvalData[],MATCH(Table2[[#Headers],[endlockweight]],Table2[#Headers],0),0)</f>
        <v>0.17</v>
      </c>
      <c r="BY510" s="2">
        <f>VLOOKUP([jobnumber],OvalData[],MATCH(Table2[[#Headers],[Endlock Total Weight]],Table2[#Headers],0),0)</f>
        <v>7.5972999999999997</v>
      </c>
      <c r="BZ510" s="2">
        <f>VLOOKUP([jobnumber],OvalData[],MATCH(Table2[[#Headers],[Grille Weight]],Table2[#Headers],0),0)</f>
        <v>0</v>
      </c>
      <c r="CA510" s="2">
        <f>VLOOKUP([jobnumber],OvalData[],MATCH(Table2[[#Headers],[barrelrings]],Table2[#Headers],0),0)</f>
        <v>1</v>
      </c>
    </row>
    <row r="511" spans="2:79">
      <c r="B511" s="2" t="str">
        <f>VLOOKUP([jobnumber],OvalData[],MATCH(Table2[[#Headers],[Hand]],Table2[#Headers],0),0)</f>
        <v>RH</v>
      </c>
      <c r="C511" s="2" t="str">
        <f>VLOOKUP([jobnumber],OvalData[],MATCH(Table2[[#Headers],[Model]],Table2[#Headers],0),0)</f>
        <v>SFMPP</v>
      </c>
      <c r="D511" s="2" t="str">
        <f>VLOOKUP([jobnumber],OvalData[],MATCH(Table2[[#Headers],[width]],Table2[#Headers],0),0)</f>
        <v xml:space="preserve"> 18 ft.- 2"</v>
      </c>
      <c r="E511" s="2" t="str">
        <f>VLOOKUP([jobnumber],OvalData[],MATCH(Table2[[#Headers],[stopheight]],Table2[#Headers],0),0)</f>
        <v xml:space="preserve"> 10 ft.- 0"</v>
      </c>
      <c r="F511" s="2" t="str">
        <f>VLOOKUP([jobnumber],OvalData[],MATCH(Table2[[#Headers],[Between Brackets]],Table2[#Headers],0),0)</f>
        <v xml:space="preserve"> 18 ft.- 7 7/ 8"</v>
      </c>
      <c r="G511" s="2" t="str">
        <f>VLOOKUP([jobnumber],OvalData[],MATCH(Table2[[#Headers],[shell]],Table2[#Headers],0),0)</f>
        <v>6 INCH TUBE</v>
      </c>
      <c r="H511" s="2" t="str">
        <f>VLOOKUP([jobnumber],OvalData[],MATCH(Table2[[#Headers],[pipewidth]],Table2[#Headers],0),0)</f>
        <v xml:space="preserve"> 18 ft.- 1 3/ 8"</v>
      </c>
      <c r="I511" s="2">
        <f>VLOOKUP([jobnumber],OvalData[],MATCH(Table2[[#Headers],[Support Tubes]],Table2[#Headers],0),0)</f>
        <v>0</v>
      </c>
      <c r="J511" s="2">
        <f>VLOOKUP([jobnumber],OvalData[],MATCH(Table2[[#Headers],[Upset]],Table2[#Headers],0),0)</f>
        <v>2</v>
      </c>
      <c r="K511" s="2" t="str">
        <f>VLOOKUP([jobnumber],OvalData[],MATCH(Table2[[#Headers],[Guide Type]],Table2[#Headers],0),0)</f>
        <v>SN2-4 5/8-E</v>
      </c>
      <c r="L511" s="2" t="str">
        <f>VLOOKUP([jobnumber],OvalData[],MATCH(Table2[[#Headers],[Wall Angle]],Table2[#Headers],0),0)</f>
        <v xml:space="preserve"> 11 ft.- 8"</v>
      </c>
      <c r="M511" s="2" t="str">
        <f>VLOOKUP([jobnumber],OvalData[],MATCH(Table2[[#Headers],[Middle Angle]],Table2[#Headers],0),0)</f>
        <v xml:space="preserve"> 10 ft.- 4 1/ 2"</v>
      </c>
      <c r="N511" s="2" t="str">
        <f>VLOOKUP([jobnumber],OvalData[],MATCH(Table2[[#Headers],[Front Angle]],Table2[#Headers],0),0)</f>
        <v xml:space="preserve"> 10 ft.- 3"</v>
      </c>
      <c r="O511" s="2">
        <f>VLOOKUP([jobnumber],OvalData[],MATCH(Table2[[#Headers],[Pipe Center Line]],Table2[#Headers],0),0)</f>
        <v>131</v>
      </c>
      <c r="P511" s="2">
        <f>VLOOKUP([jobnumber],OvalData[],MATCH(Table2[[#Headers],[Heat Expansion Gap]],Table2[#Headers],0),0)</f>
        <v>0</v>
      </c>
      <c r="Q511" s="2">
        <f>VLOOKUP([jobnumber],OvalData[],MATCH(Table2[[#Headers],[Hanging Weight Closed]],Table2[#Headers],0),0)</f>
        <v>795</v>
      </c>
      <c r="R511" s="2">
        <f>VLOOKUP([jobnumber],OvalData[],MATCH(Table2[[#Headers],[Hanging Weight Open]],Table2[#Headers],0),0)</f>
        <v>140</v>
      </c>
      <c r="S511" s="2">
        <f>VLOOKUP([jobnumber],OvalData[],MATCH(Table2[[#Headers],[Initial Lever Arm]],Table2[#Headers],0),0)</f>
        <v>4.25</v>
      </c>
      <c r="T511" s="2">
        <f>VLOOKUP([jobnumber],OvalData[],MATCH(Table2[[#Headers],[Turns to Raise]],Table2[#Headers],0),0)</f>
        <v>3.5859999999999999</v>
      </c>
      <c r="U511" s="2">
        <f>VLOOKUP([jobnumber],OvalData[],MATCH(Table2[[#Headers],[Final Lever Arm]],Table2[#Headers],0),0)</f>
        <v>6.37</v>
      </c>
      <c r="V511" s="2">
        <f>VLOOKUP([jobnumber],OvalData[],MATCH(Table2[[#Headers],[Torque Required Closed]],Table2[#Headers],0),0)</f>
        <v>3377.9</v>
      </c>
      <c r="W511" s="2">
        <f>VLOOKUP([jobnumber],OvalData[],MATCH(Table2[[#Headers],[Torque Required Open]],Table2[#Headers],0),0)</f>
        <v>892</v>
      </c>
      <c r="X511" s="2">
        <f>VLOOKUP([jobnumber],OvalData[],MATCH(Table2[[#Headers],[Pre Turns]],Table2[#Headers],0),0)</f>
        <v>1.3332999999999999</v>
      </c>
      <c r="Y511" s="2">
        <f>VLOOKUP([jobnumber],OvalData[],MATCH(Table2[[#Headers],[Required Torque Per Turn]],Table2[#Headers],0),0)</f>
        <v>688</v>
      </c>
      <c r="Z511" s="2">
        <f>VLOOKUP([jobnumber],OvalData[],MATCH(Table2[[#Headers],[Total Turns]],Table2[#Headers],0),0)</f>
        <v>4.91</v>
      </c>
      <c r="AA511" s="2">
        <f>VLOOKUP([jobnumber],OvalData[],MATCH(Table2[[#Headers],[Grille Vision Section]],Table2[#Headers],0),0)</f>
        <v>0</v>
      </c>
      <c r="AB511" s="2">
        <f>VLOOKUP([jobnumber],OvalData[],MATCH(Table2[[#Headers],[Grille Amount]],Table2[#Headers],0),0)</f>
        <v>0</v>
      </c>
      <c r="AC511" s="2">
        <f>VLOOKUP([jobnumber],OvalData[],MATCH(Table2[[#Headers],[Grille Center]],Table2[#Headers],0),0)</f>
        <v>0</v>
      </c>
      <c r="AD511" s="2">
        <f>VLOOKUP([jobnumber],OvalData[],MATCH(Table2[[#Headers],[Grille Pattern]],Table2[#Headers],0),0)</f>
        <v>0</v>
      </c>
      <c r="AE511" s="2">
        <f>VLOOKUP([jobnumber],OvalData[],MATCH(Table2[[#Headers],[Grille First Tube]],Table2[#Headers],0),0)</f>
        <v>0</v>
      </c>
      <c r="AF511" s="2">
        <f>VLOOKUP([jobnumber],OvalData[],MATCH(Table2[[#Headers],[Grille Standard Tube]],Table2[#Headers],0),0)</f>
        <v>0</v>
      </c>
      <c r="AG511" s="2">
        <f>VLOOKUP([jobnumber],OvalData[],MATCH(Table2[[#Headers],[Grille Total Links]],Table2[#Headers],0),0)</f>
        <v>0</v>
      </c>
      <c r="AH511" s="2">
        <f>VLOOKUP([jobnumber],OvalData[],MATCH(Table2[[#Headers],[Grille Rods]],Table2[#Headers],0),0)</f>
        <v>0</v>
      </c>
      <c r="AI511" s="2">
        <f>VLOOKUP([jobnumber],OvalData[],MATCH(Table2[[#Headers],[Grille Rod Length]],Table2[#Headers],0),0)</f>
        <v>0</v>
      </c>
      <c r="AJ511" s="2">
        <f>VLOOKUP([jobnumber],OvalData[],MATCH(Table2[[#Headers],[slattype]],Table2[#Headers],0),0)</f>
        <v>2</v>
      </c>
      <c r="AK511" s="2">
        <f>VLOOKUP([jobnumber],OvalData[],MATCH(Table2[[#Headers],[slatgage]],Table2[#Headers],0),0)</f>
        <v>18</v>
      </c>
      <c r="AL511" s="2">
        <f>VLOOKUP([jobnumber],OvalData[],MATCH(Table2[[#Headers],[Numer of Top Slats]],Table2[#Headers],0),0)</f>
        <v>0</v>
      </c>
      <c r="AM511" s="2">
        <f>VLOOKUP([jobnumber],OvalData[],MATCH(Table2[[#Headers],[Number of Bottom Slats]],Table2[#Headers],0),0)</f>
        <v>0</v>
      </c>
      <c r="AN511" s="2">
        <f>VLOOKUP([jobnumber],OvalData[],MATCH(Table2[[#Headers],[Solid Bottom Height]],Table2[#Headers],0),0)</f>
        <v>0</v>
      </c>
      <c r="AO511" s="2" t="str">
        <f>VLOOKUP([jobnumber],OvalData[],MATCH(Table2[[#Headers],[slatlength]],Table2[#Headers],0),0)</f>
        <v xml:space="preserve"> 18 ft.- 5 7/ 8"</v>
      </c>
      <c r="AP511" s="2">
        <f>VLOOKUP([jobnumber],OvalData[],MATCH(Table2[[#Headers],[Bottom Slat Length]],Table2[#Headers],0),0)</f>
        <v>0</v>
      </c>
      <c r="AQ511" s="2">
        <f>VLOOKUP([jobnumber],OvalData[],MATCH(Table2[[#Headers],[Number of Perferated Slats]],Table2[#Headers],0),0)</f>
        <v>0</v>
      </c>
      <c r="AR511" s="2">
        <f>VLOOKUP([jobnumber],OvalData[],MATCH(Table2[[#Headers],[First Preferated Slat From End]],Table2[#Headers],0),0)</f>
        <v>0</v>
      </c>
      <c r="AS511" s="2">
        <f>VLOOKUP([jobnumber],OvalData[],MATCH(Table2[[#Headers],[First Preferated Slat From Bottom]],Table2[#Headers],0),0)</f>
        <v>0</v>
      </c>
      <c r="AT511" s="2">
        <f>VLOOKUP([jobnumber],OvalData[],MATCH(Table2[[#Headers],[Total Number of Slats]],Table2[#Headers],0),0)</f>
        <v>51</v>
      </c>
      <c r="AU511" s="2">
        <f>VLOOKUP([jobnumber],OvalData[],MATCH(Table2[[#Headers],[Bottom Bar Slope]],Table2[#Headers],0),0)</f>
        <v>0</v>
      </c>
      <c r="AV511" s="2">
        <f>VLOOKUP([jobnumber],OvalData[],MATCH(Table2[[#Headers],[Bottom Bar Weight]],Table2[#Headers],0),0)</f>
        <v>80.5</v>
      </c>
      <c r="AW511" s="2" t="str">
        <f>VLOOKUP([jobnumber],OvalData[],MATCH(Table2[[#Headers],[Outer Spring Gage]],Table2[#Headers],0),0)</f>
        <v>Null</v>
      </c>
      <c r="AX511" s="2" t="str">
        <f>VLOOKUP([jobnumber],OvalData[],MATCH(Table2[[#Headers],[Outer Spring OD]],Table2[#Headers],0),0)</f>
        <v>Null</v>
      </c>
      <c r="AY511" s="2" t="str">
        <f>VLOOKUP([jobnumber],OvalData[],MATCH(Table2[[#Headers],[Outer Spring Length]],Table2[#Headers],0),0)</f>
        <v>Null</v>
      </c>
      <c r="AZ511" s="2" t="str">
        <f>VLOOKUP([jobnumber],OvalData[],MATCH(Table2[[#Headers],[Outer Spring Stretch]],Table2[#Headers],0),0)</f>
        <v>Null</v>
      </c>
      <c r="BA511" s="2" t="str">
        <f>VLOOKUP([jobnumber],OvalData[],MATCH(Table2[[#Headers],[Outer Spring Torque]],Table2[#Headers],0),0)</f>
        <v>Null</v>
      </c>
      <c r="BB511" s="2" t="str">
        <f>VLOOKUP([jobnumber],OvalData[],MATCH(Table2[[#Headers],[Outer Spring Max Turns]],Table2[#Headers],0),0)</f>
        <v>Null</v>
      </c>
      <c r="BC511" s="2" t="str">
        <f>VLOOKUP([jobnumber],OvalData[],MATCH(Table2[[#Headers],[Outer Spring Weight]],Table2[#Headers],0),0)</f>
        <v>Null</v>
      </c>
      <c r="BD511" s="2" t="str">
        <f>VLOOKUP([jobnumber],OvalData[],MATCH(Table2[[#Headers],[Inner Spring Gage]],Table2[#Headers],0),0)</f>
        <v>Null</v>
      </c>
      <c r="BE511" s="2" t="str">
        <f>VLOOKUP([jobnumber],OvalData[],MATCH(Table2[[#Headers],[Inner Spring OD]],Table2[#Headers],0),0)</f>
        <v>Null</v>
      </c>
      <c r="BF511" s="2" t="str">
        <f>VLOOKUP([jobnumber],OvalData[],MATCH(Table2[[#Headers],[Inner Spring Length]],Table2[#Headers],0),0)</f>
        <v>Null</v>
      </c>
      <c r="BG511" s="2" t="str">
        <f>VLOOKUP([jobnumber],OvalData[],MATCH(Table2[[#Headers],[Inner Spring Stretch]],Table2[#Headers],0),0)</f>
        <v>Null</v>
      </c>
      <c r="BH511" s="2" t="str">
        <f>VLOOKUP([jobnumber],OvalData[],MATCH(Table2[[#Headers],[Inner Spring Torque]],Table2[#Headers],0),0)</f>
        <v>Null</v>
      </c>
      <c r="BI511" s="2" t="str">
        <f>VLOOKUP([jobnumber],OvalData[],MATCH(Table2[[#Headers],[Inner Spring Max Turns]],Table2[#Headers],0),0)</f>
        <v>Null</v>
      </c>
      <c r="BJ511" s="2" t="str">
        <f>VLOOKUP([jobnumber],OvalData[],MATCH(Table2[[#Headers],[Inner Spring Weight]],Table2[#Headers],0),0)</f>
        <v>Null</v>
      </c>
      <c r="BK511" s="2">
        <f>VLOOKUP([jobnumber],OvalData[],MATCH(Table2[[#Headers],[Cycles]],Table2[#Headers],0),0)</f>
        <v>0</v>
      </c>
      <c r="BL511" s="2">
        <f>VLOOKUP([jobnumber],OvalData[],MATCH(Table2[[#Headers],[Total Spring Torque]],Table2[#Headers],0),0)</f>
        <v>0</v>
      </c>
      <c r="BM511" s="2">
        <f>VLOOKUP([jobnumber],OvalData[],MATCH(Table2[[#Headers],[Total Spring Weight]],Table2[#Headers],0),0)</f>
        <v>0</v>
      </c>
      <c r="BN511" s="2">
        <f>VLOOKUP([jobnumber],OvalData[],MATCH(Table2[[#Headers],[Pipe Weight]],Table2[#Headers],0),0)</f>
        <v>688.24239999999998</v>
      </c>
      <c r="BO511" s="2">
        <f>VLOOKUP([jobnumber],OvalData[],MATCH(Table2[[#Headers],[Max Pipe Deflection]],Table2[#Headers],0),0)</f>
        <v>2309</v>
      </c>
      <c r="BP511" s="2">
        <f>VLOOKUP([jobnumber],OvalData[],MATCH(Table2[[#Headers],[Number Non-Insulated Wrap Slats]],Table2[#Headers],0),0)</f>
        <v>0</v>
      </c>
      <c r="BQ511" s="2">
        <f>VLOOKUP([jobnumber],OvalData[],MATCH(Table2[[#Headers],[Number of Insolated Top Slats]],Table2[#Headers],0),0)</f>
        <v>45</v>
      </c>
      <c r="BR511" s="2">
        <f>VLOOKUP([jobnumber],OvalData[],MATCH(Table2[[#Headers],[Insolated Total Slats]],Table2[#Headers],0),0)</f>
        <v>45</v>
      </c>
      <c r="BS511" s="2">
        <f>VLOOKUP([jobnumber],OvalData[],MATCH(Table2[[#Headers],[Number of Slats]],Table2[#Headers],0),0)</f>
        <v>44.69</v>
      </c>
      <c r="BT511" s="2">
        <f>VLOOKUP([jobnumber],OvalData[],MATCH(Table2[[#Headers],[Wrap]],Table2[#Headers],0),0)</f>
        <v>0</v>
      </c>
      <c r="BU511" s="2">
        <f>VLOOKUP([jobnumber],OvalData[],MATCH(Table2[[#Headers],[Wall Angle Thickness]],Table2[#Headers],0),0)</f>
        <v>0</v>
      </c>
      <c r="BV511" s="2">
        <f>VLOOKUP([jobnumber],OvalData[],MATCH(Table2[[#Headers],[windlocks]],Table2[#Headers],0),0)</f>
        <v>0</v>
      </c>
      <c r="BW511" s="2" t="str">
        <f>VLOOKUP([jobnumber],OvalData[],MATCH(Table2[[#Headers],[bottombartype]],Table2[#Headers],0),0)</f>
        <v>SPECIAL</v>
      </c>
      <c r="BX511" s="2">
        <f>VLOOKUP([jobnumber],OvalData[],MATCH(Table2[[#Headers],[endlockweight]],Table2[#Headers],0),0)</f>
        <v>0.17</v>
      </c>
      <c r="BY511" s="2">
        <f>VLOOKUP([jobnumber],OvalData[],MATCH(Table2[[#Headers],[Endlock Total Weight]],Table2[#Headers],0),0)</f>
        <v>7.5972999999999997</v>
      </c>
      <c r="BZ511" s="2">
        <f>VLOOKUP([jobnumber],OvalData[],MATCH(Table2[[#Headers],[Grille Weight]],Table2[#Headers],0),0)</f>
        <v>0</v>
      </c>
      <c r="CA511" s="2">
        <f>VLOOKUP([jobnumber],OvalData[],MATCH(Table2[[#Headers],[barrelrings]],Table2[#Headers],0),0)</f>
        <v>1</v>
      </c>
    </row>
    <row r="512" spans="2:79">
      <c r="B512" s="2" t="str">
        <f>VLOOKUP([jobnumber],OvalData[],MATCH(Table2[[#Headers],[Hand]],Table2[#Headers],0),0)</f>
        <v>RH</v>
      </c>
      <c r="C512" s="2" t="str">
        <f>VLOOKUP([jobnumber],OvalData[],MATCH(Table2[[#Headers],[Model]],Table2[#Headers],0),0)</f>
        <v>SFMPP</v>
      </c>
      <c r="D512" s="2" t="str">
        <f>VLOOKUP([jobnumber],OvalData[],MATCH(Table2[[#Headers],[width]],Table2[#Headers],0),0)</f>
        <v xml:space="preserve"> 18 ft.- 2"</v>
      </c>
      <c r="E512" s="2" t="str">
        <f>VLOOKUP([jobnumber],OvalData[],MATCH(Table2[[#Headers],[stopheight]],Table2[#Headers],0),0)</f>
        <v xml:space="preserve"> 10 ft.- 0"</v>
      </c>
      <c r="F512" s="2" t="str">
        <f>VLOOKUP([jobnumber],OvalData[],MATCH(Table2[[#Headers],[Between Brackets]],Table2[#Headers],0),0)</f>
        <v xml:space="preserve"> 18 ft.- 7 7/ 8"</v>
      </c>
      <c r="G512" s="2" t="str">
        <f>VLOOKUP([jobnumber],OvalData[],MATCH(Table2[[#Headers],[shell]],Table2[#Headers],0),0)</f>
        <v>6 INCH TUBE</v>
      </c>
      <c r="H512" s="2" t="str">
        <f>VLOOKUP([jobnumber],OvalData[],MATCH(Table2[[#Headers],[pipewidth]],Table2[#Headers],0),0)</f>
        <v xml:space="preserve"> 18 ft.- 1 3/ 8"</v>
      </c>
      <c r="I512" s="2">
        <f>VLOOKUP([jobnumber],OvalData[],MATCH(Table2[[#Headers],[Support Tubes]],Table2[#Headers],0),0)</f>
        <v>0</v>
      </c>
      <c r="J512" s="2">
        <f>VLOOKUP([jobnumber],OvalData[],MATCH(Table2[[#Headers],[Upset]],Table2[#Headers],0),0)</f>
        <v>2</v>
      </c>
      <c r="K512" s="2" t="str">
        <f>VLOOKUP([jobnumber],OvalData[],MATCH(Table2[[#Headers],[Guide Type]],Table2[#Headers],0),0)</f>
        <v>SN2-4 5/8-E</v>
      </c>
      <c r="L512" s="2" t="str">
        <f>VLOOKUP([jobnumber],OvalData[],MATCH(Table2[[#Headers],[Wall Angle]],Table2[#Headers],0),0)</f>
        <v xml:space="preserve"> 11 ft.- 8"</v>
      </c>
      <c r="M512" s="2" t="str">
        <f>VLOOKUP([jobnumber],OvalData[],MATCH(Table2[[#Headers],[Middle Angle]],Table2[#Headers],0),0)</f>
        <v xml:space="preserve"> 10 ft.- 4 1/ 2"</v>
      </c>
      <c r="N512" s="2" t="str">
        <f>VLOOKUP([jobnumber],OvalData[],MATCH(Table2[[#Headers],[Front Angle]],Table2[#Headers],0),0)</f>
        <v xml:space="preserve"> 10 ft.- 3"</v>
      </c>
      <c r="O512" s="2">
        <f>VLOOKUP([jobnumber],OvalData[],MATCH(Table2[[#Headers],[Pipe Center Line]],Table2[#Headers],0),0)</f>
        <v>131</v>
      </c>
      <c r="P512" s="2">
        <f>VLOOKUP([jobnumber],OvalData[],MATCH(Table2[[#Headers],[Heat Expansion Gap]],Table2[#Headers],0),0)</f>
        <v>0</v>
      </c>
      <c r="Q512" s="2">
        <f>VLOOKUP([jobnumber],OvalData[],MATCH(Table2[[#Headers],[Hanging Weight Closed]],Table2[#Headers],0),0)</f>
        <v>795</v>
      </c>
      <c r="R512" s="2">
        <f>VLOOKUP([jobnumber],OvalData[],MATCH(Table2[[#Headers],[Hanging Weight Open]],Table2[#Headers],0),0)</f>
        <v>140</v>
      </c>
      <c r="S512" s="2">
        <f>VLOOKUP([jobnumber],OvalData[],MATCH(Table2[[#Headers],[Initial Lever Arm]],Table2[#Headers],0),0)</f>
        <v>4.25</v>
      </c>
      <c r="T512" s="2">
        <f>VLOOKUP([jobnumber],OvalData[],MATCH(Table2[[#Headers],[Turns to Raise]],Table2[#Headers],0),0)</f>
        <v>3.5859999999999999</v>
      </c>
      <c r="U512" s="2">
        <f>VLOOKUP([jobnumber],OvalData[],MATCH(Table2[[#Headers],[Final Lever Arm]],Table2[#Headers],0),0)</f>
        <v>6.37</v>
      </c>
      <c r="V512" s="2">
        <f>VLOOKUP([jobnumber],OvalData[],MATCH(Table2[[#Headers],[Torque Required Closed]],Table2[#Headers],0),0)</f>
        <v>3377.9</v>
      </c>
      <c r="W512" s="2">
        <f>VLOOKUP([jobnumber],OvalData[],MATCH(Table2[[#Headers],[Torque Required Open]],Table2[#Headers],0),0)</f>
        <v>892</v>
      </c>
      <c r="X512" s="2">
        <f>VLOOKUP([jobnumber],OvalData[],MATCH(Table2[[#Headers],[Pre Turns]],Table2[#Headers],0),0)</f>
        <v>1.3332999999999999</v>
      </c>
      <c r="Y512" s="2">
        <f>VLOOKUP([jobnumber],OvalData[],MATCH(Table2[[#Headers],[Required Torque Per Turn]],Table2[#Headers],0),0)</f>
        <v>688</v>
      </c>
      <c r="Z512" s="2">
        <f>VLOOKUP([jobnumber],OvalData[],MATCH(Table2[[#Headers],[Total Turns]],Table2[#Headers],0),0)</f>
        <v>4.91</v>
      </c>
      <c r="AA512" s="2">
        <f>VLOOKUP([jobnumber],OvalData[],MATCH(Table2[[#Headers],[Grille Vision Section]],Table2[#Headers],0),0)</f>
        <v>0</v>
      </c>
      <c r="AB512" s="2">
        <f>VLOOKUP([jobnumber],OvalData[],MATCH(Table2[[#Headers],[Grille Amount]],Table2[#Headers],0),0)</f>
        <v>0</v>
      </c>
      <c r="AC512" s="2">
        <f>VLOOKUP([jobnumber],OvalData[],MATCH(Table2[[#Headers],[Grille Center]],Table2[#Headers],0),0)</f>
        <v>0</v>
      </c>
      <c r="AD512" s="2">
        <f>VLOOKUP([jobnumber],OvalData[],MATCH(Table2[[#Headers],[Grille Pattern]],Table2[#Headers],0),0)</f>
        <v>0</v>
      </c>
      <c r="AE512" s="2">
        <f>VLOOKUP([jobnumber],OvalData[],MATCH(Table2[[#Headers],[Grille First Tube]],Table2[#Headers],0),0)</f>
        <v>0</v>
      </c>
      <c r="AF512" s="2">
        <f>VLOOKUP([jobnumber],OvalData[],MATCH(Table2[[#Headers],[Grille Standard Tube]],Table2[#Headers],0),0)</f>
        <v>0</v>
      </c>
      <c r="AG512" s="2">
        <f>VLOOKUP([jobnumber],OvalData[],MATCH(Table2[[#Headers],[Grille Total Links]],Table2[#Headers],0),0)</f>
        <v>0</v>
      </c>
      <c r="AH512" s="2">
        <f>VLOOKUP([jobnumber],OvalData[],MATCH(Table2[[#Headers],[Grille Rods]],Table2[#Headers],0),0)</f>
        <v>0</v>
      </c>
      <c r="AI512" s="2">
        <f>VLOOKUP([jobnumber],OvalData[],MATCH(Table2[[#Headers],[Grille Rod Length]],Table2[#Headers],0),0)</f>
        <v>0</v>
      </c>
      <c r="AJ512" s="2">
        <f>VLOOKUP([jobnumber],OvalData[],MATCH(Table2[[#Headers],[slattype]],Table2[#Headers],0),0)</f>
        <v>2</v>
      </c>
      <c r="AK512" s="2">
        <f>VLOOKUP([jobnumber],OvalData[],MATCH(Table2[[#Headers],[slatgage]],Table2[#Headers],0),0)</f>
        <v>18</v>
      </c>
      <c r="AL512" s="2">
        <f>VLOOKUP([jobnumber],OvalData[],MATCH(Table2[[#Headers],[Numer of Top Slats]],Table2[#Headers],0),0)</f>
        <v>0</v>
      </c>
      <c r="AM512" s="2">
        <f>VLOOKUP([jobnumber],OvalData[],MATCH(Table2[[#Headers],[Number of Bottom Slats]],Table2[#Headers],0),0)</f>
        <v>0</v>
      </c>
      <c r="AN512" s="2">
        <f>VLOOKUP([jobnumber],OvalData[],MATCH(Table2[[#Headers],[Solid Bottom Height]],Table2[#Headers],0),0)</f>
        <v>0</v>
      </c>
      <c r="AO512" s="2" t="str">
        <f>VLOOKUP([jobnumber],OvalData[],MATCH(Table2[[#Headers],[slatlength]],Table2[#Headers],0),0)</f>
        <v xml:space="preserve"> 18 ft.- 5 7/ 8"</v>
      </c>
      <c r="AP512" s="2">
        <f>VLOOKUP([jobnumber],OvalData[],MATCH(Table2[[#Headers],[Bottom Slat Length]],Table2[#Headers],0),0)</f>
        <v>0</v>
      </c>
      <c r="AQ512" s="2">
        <f>VLOOKUP([jobnumber],OvalData[],MATCH(Table2[[#Headers],[Number of Perferated Slats]],Table2[#Headers],0),0)</f>
        <v>0</v>
      </c>
      <c r="AR512" s="2">
        <f>VLOOKUP([jobnumber],OvalData[],MATCH(Table2[[#Headers],[First Preferated Slat From End]],Table2[#Headers],0),0)</f>
        <v>0</v>
      </c>
      <c r="AS512" s="2">
        <f>VLOOKUP([jobnumber],OvalData[],MATCH(Table2[[#Headers],[First Preferated Slat From Bottom]],Table2[#Headers],0),0)</f>
        <v>0</v>
      </c>
      <c r="AT512" s="2">
        <f>VLOOKUP([jobnumber],OvalData[],MATCH(Table2[[#Headers],[Total Number of Slats]],Table2[#Headers],0),0)</f>
        <v>51</v>
      </c>
      <c r="AU512" s="2">
        <f>VLOOKUP([jobnumber],OvalData[],MATCH(Table2[[#Headers],[Bottom Bar Slope]],Table2[#Headers],0),0)</f>
        <v>0</v>
      </c>
      <c r="AV512" s="2">
        <f>VLOOKUP([jobnumber],OvalData[],MATCH(Table2[[#Headers],[Bottom Bar Weight]],Table2[#Headers],0),0)</f>
        <v>80.5</v>
      </c>
      <c r="AW512" s="2" t="str">
        <f>VLOOKUP([jobnumber],OvalData[],MATCH(Table2[[#Headers],[Outer Spring Gage]],Table2[#Headers],0),0)</f>
        <v>Null</v>
      </c>
      <c r="AX512" s="2" t="str">
        <f>VLOOKUP([jobnumber],OvalData[],MATCH(Table2[[#Headers],[Outer Spring OD]],Table2[#Headers],0),0)</f>
        <v>Null</v>
      </c>
      <c r="AY512" s="2" t="str">
        <f>VLOOKUP([jobnumber],OvalData[],MATCH(Table2[[#Headers],[Outer Spring Length]],Table2[#Headers],0),0)</f>
        <v>Null</v>
      </c>
      <c r="AZ512" s="2" t="str">
        <f>VLOOKUP([jobnumber],OvalData[],MATCH(Table2[[#Headers],[Outer Spring Stretch]],Table2[#Headers],0),0)</f>
        <v>Null</v>
      </c>
      <c r="BA512" s="2" t="str">
        <f>VLOOKUP([jobnumber],OvalData[],MATCH(Table2[[#Headers],[Outer Spring Torque]],Table2[#Headers],0),0)</f>
        <v>Null</v>
      </c>
      <c r="BB512" s="2" t="str">
        <f>VLOOKUP([jobnumber],OvalData[],MATCH(Table2[[#Headers],[Outer Spring Max Turns]],Table2[#Headers],0),0)</f>
        <v>Null</v>
      </c>
      <c r="BC512" s="2" t="str">
        <f>VLOOKUP([jobnumber],OvalData[],MATCH(Table2[[#Headers],[Outer Spring Weight]],Table2[#Headers],0),0)</f>
        <v>Null</v>
      </c>
      <c r="BD512" s="2" t="str">
        <f>VLOOKUP([jobnumber],OvalData[],MATCH(Table2[[#Headers],[Inner Spring Gage]],Table2[#Headers],0),0)</f>
        <v>Null</v>
      </c>
      <c r="BE512" s="2" t="str">
        <f>VLOOKUP([jobnumber],OvalData[],MATCH(Table2[[#Headers],[Inner Spring OD]],Table2[#Headers],0),0)</f>
        <v>Null</v>
      </c>
      <c r="BF512" s="2" t="str">
        <f>VLOOKUP([jobnumber],OvalData[],MATCH(Table2[[#Headers],[Inner Spring Length]],Table2[#Headers],0),0)</f>
        <v>Null</v>
      </c>
      <c r="BG512" s="2" t="str">
        <f>VLOOKUP([jobnumber],OvalData[],MATCH(Table2[[#Headers],[Inner Spring Stretch]],Table2[#Headers],0),0)</f>
        <v>Null</v>
      </c>
      <c r="BH512" s="2" t="str">
        <f>VLOOKUP([jobnumber],OvalData[],MATCH(Table2[[#Headers],[Inner Spring Torque]],Table2[#Headers],0),0)</f>
        <v>Null</v>
      </c>
      <c r="BI512" s="2" t="str">
        <f>VLOOKUP([jobnumber],OvalData[],MATCH(Table2[[#Headers],[Inner Spring Max Turns]],Table2[#Headers],0),0)</f>
        <v>Null</v>
      </c>
      <c r="BJ512" s="2" t="str">
        <f>VLOOKUP([jobnumber],OvalData[],MATCH(Table2[[#Headers],[Inner Spring Weight]],Table2[#Headers],0),0)</f>
        <v>Null</v>
      </c>
      <c r="BK512" s="2">
        <f>VLOOKUP([jobnumber],OvalData[],MATCH(Table2[[#Headers],[Cycles]],Table2[#Headers],0),0)</f>
        <v>0</v>
      </c>
      <c r="BL512" s="2">
        <f>VLOOKUP([jobnumber],OvalData[],MATCH(Table2[[#Headers],[Total Spring Torque]],Table2[#Headers],0),0)</f>
        <v>0</v>
      </c>
      <c r="BM512" s="2">
        <f>VLOOKUP([jobnumber],OvalData[],MATCH(Table2[[#Headers],[Total Spring Weight]],Table2[#Headers],0),0)</f>
        <v>0</v>
      </c>
      <c r="BN512" s="2">
        <f>VLOOKUP([jobnumber],OvalData[],MATCH(Table2[[#Headers],[Pipe Weight]],Table2[#Headers],0),0)</f>
        <v>688.24239999999998</v>
      </c>
      <c r="BO512" s="2">
        <f>VLOOKUP([jobnumber],OvalData[],MATCH(Table2[[#Headers],[Max Pipe Deflection]],Table2[#Headers],0),0)</f>
        <v>2309</v>
      </c>
      <c r="BP512" s="2">
        <f>VLOOKUP([jobnumber],OvalData[],MATCH(Table2[[#Headers],[Number Non-Insulated Wrap Slats]],Table2[#Headers],0),0)</f>
        <v>0</v>
      </c>
      <c r="BQ512" s="2">
        <f>VLOOKUP([jobnumber],OvalData[],MATCH(Table2[[#Headers],[Number of Insolated Top Slats]],Table2[#Headers],0),0)</f>
        <v>45</v>
      </c>
      <c r="BR512" s="2">
        <f>VLOOKUP([jobnumber],OvalData[],MATCH(Table2[[#Headers],[Insolated Total Slats]],Table2[#Headers],0),0)</f>
        <v>45</v>
      </c>
      <c r="BS512" s="2">
        <f>VLOOKUP([jobnumber],OvalData[],MATCH(Table2[[#Headers],[Number of Slats]],Table2[#Headers],0),0)</f>
        <v>44.69</v>
      </c>
      <c r="BT512" s="2">
        <f>VLOOKUP([jobnumber],OvalData[],MATCH(Table2[[#Headers],[Wrap]],Table2[#Headers],0),0)</f>
        <v>0</v>
      </c>
      <c r="BU512" s="2">
        <f>VLOOKUP([jobnumber],OvalData[],MATCH(Table2[[#Headers],[Wall Angle Thickness]],Table2[#Headers],0),0)</f>
        <v>0</v>
      </c>
      <c r="BV512" s="2">
        <f>VLOOKUP([jobnumber],OvalData[],MATCH(Table2[[#Headers],[windlocks]],Table2[#Headers],0),0)</f>
        <v>0</v>
      </c>
      <c r="BW512" s="2" t="str">
        <f>VLOOKUP([jobnumber],OvalData[],MATCH(Table2[[#Headers],[bottombartype]],Table2[#Headers],0),0)</f>
        <v>SPECIAL</v>
      </c>
      <c r="BX512" s="2">
        <f>VLOOKUP([jobnumber],OvalData[],MATCH(Table2[[#Headers],[endlockweight]],Table2[#Headers],0),0)</f>
        <v>0.17</v>
      </c>
      <c r="BY512" s="2">
        <f>VLOOKUP([jobnumber],OvalData[],MATCH(Table2[[#Headers],[Endlock Total Weight]],Table2[#Headers],0),0)</f>
        <v>7.5972999999999997</v>
      </c>
      <c r="BZ512" s="2">
        <f>VLOOKUP([jobnumber],OvalData[],MATCH(Table2[[#Headers],[Grille Weight]],Table2[#Headers],0),0)</f>
        <v>0</v>
      </c>
      <c r="CA512" s="2">
        <f>VLOOKUP([jobnumber],OvalData[],MATCH(Table2[[#Headers],[barrelrings]],Table2[#Headers],0),0)</f>
        <v>1</v>
      </c>
    </row>
    <row r="513" spans="2:79">
      <c r="B513" s="2" t="str">
        <f>VLOOKUP([jobnumber],OvalData[],MATCH(Table2[[#Headers],[Hand]],Table2[#Headers],0),0)</f>
        <v>RH</v>
      </c>
      <c r="C513" s="2" t="str">
        <f>VLOOKUP([jobnumber],OvalData[],MATCH(Table2[[#Headers],[Model]],Table2[#Headers],0),0)</f>
        <v>SFMPP</v>
      </c>
      <c r="D513" s="2" t="str">
        <f>VLOOKUP([jobnumber],OvalData[],MATCH(Table2[[#Headers],[width]],Table2[#Headers],0),0)</f>
        <v xml:space="preserve"> 18 ft.- 2"</v>
      </c>
      <c r="E513" s="2" t="str">
        <f>VLOOKUP([jobnumber],OvalData[],MATCH(Table2[[#Headers],[stopheight]],Table2[#Headers],0),0)</f>
        <v xml:space="preserve"> 10 ft.- 0"</v>
      </c>
      <c r="F513" s="2" t="str">
        <f>VLOOKUP([jobnumber],OvalData[],MATCH(Table2[[#Headers],[Between Brackets]],Table2[#Headers],0),0)</f>
        <v xml:space="preserve"> 18 ft.- 7 7/ 8"</v>
      </c>
      <c r="G513" s="2" t="str">
        <f>VLOOKUP([jobnumber],OvalData[],MATCH(Table2[[#Headers],[shell]],Table2[#Headers],0),0)</f>
        <v>6 INCH TUBE</v>
      </c>
      <c r="H513" s="2" t="str">
        <f>VLOOKUP([jobnumber],OvalData[],MATCH(Table2[[#Headers],[pipewidth]],Table2[#Headers],0),0)</f>
        <v xml:space="preserve"> 18 ft.- 1 3/ 8"</v>
      </c>
      <c r="I513" s="2">
        <f>VLOOKUP([jobnumber],OvalData[],MATCH(Table2[[#Headers],[Support Tubes]],Table2[#Headers],0),0)</f>
        <v>0</v>
      </c>
      <c r="J513" s="2">
        <f>VLOOKUP([jobnumber],OvalData[],MATCH(Table2[[#Headers],[Upset]],Table2[#Headers],0),0)</f>
        <v>2</v>
      </c>
      <c r="K513" s="2" t="str">
        <f>VLOOKUP([jobnumber],OvalData[],MATCH(Table2[[#Headers],[Guide Type]],Table2[#Headers],0),0)</f>
        <v>SN2-4 5/8-E</v>
      </c>
      <c r="L513" s="2" t="str">
        <f>VLOOKUP([jobnumber],OvalData[],MATCH(Table2[[#Headers],[Wall Angle]],Table2[#Headers],0),0)</f>
        <v xml:space="preserve"> 11 ft.- 8"</v>
      </c>
      <c r="M513" s="2" t="str">
        <f>VLOOKUP([jobnumber],OvalData[],MATCH(Table2[[#Headers],[Middle Angle]],Table2[#Headers],0),0)</f>
        <v xml:space="preserve"> 10 ft.- 4 1/ 2"</v>
      </c>
      <c r="N513" s="2" t="str">
        <f>VLOOKUP([jobnumber],OvalData[],MATCH(Table2[[#Headers],[Front Angle]],Table2[#Headers],0),0)</f>
        <v xml:space="preserve"> 10 ft.- 3"</v>
      </c>
      <c r="O513" s="2">
        <f>VLOOKUP([jobnumber],OvalData[],MATCH(Table2[[#Headers],[Pipe Center Line]],Table2[#Headers],0),0)</f>
        <v>131</v>
      </c>
      <c r="P513" s="2">
        <f>VLOOKUP([jobnumber],OvalData[],MATCH(Table2[[#Headers],[Heat Expansion Gap]],Table2[#Headers],0),0)</f>
        <v>0</v>
      </c>
      <c r="Q513" s="2">
        <f>VLOOKUP([jobnumber],OvalData[],MATCH(Table2[[#Headers],[Hanging Weight Closed]],Table2[#Headers],0),0)</f>
        <v>795</v>
      </c>
      <c r="R513" s="2">
        <f>VLOOKUP([jobnumber],OvalData[],MATCH(Table2[[#Headers],[Hanging Weight Open]],Table2[#Headers],0),0)</f>
        <v>140</v>
      </c>
      <c r="S513" s="2">
        <f>VLOOKUP([jobnumber],OvalData[],MATCH(Table2[[#Headers],[Initial Lever Arm]],Table2[#Headers],0),0)</f>
        <v>4.25</v>
      </c>
      <c r="T513" s="2">
        <f>VLOOKUP([jobnumber],OvalData[],MATCH(Table2[[#Headers],[Turns to Raise]],Table2[#Headers],0),0)</f>
        <v>3.5859999999999999</v>
      </c>
      <c r="U513" s="2">
        <f>VLOOKUP([jobnumber],OvalData[],MATCH(Table2[[#Headers],[Final Lever Arm]],Table2[#Headers],0),0)</f>
        <v>6.37</v>
      </c>
      <c r="V513" s="2">
        <f>VLOOKUP([jobnumber],OvalData[],MATCH(Table2[[#Headers],[Torque Required Closed]],Table2[#Headers],0),0)</f>
        <v>3377.9</v>
      </c>
      <c r="W513" s="2">
        <f>VLOOKUP([jobnumber],OvalData[],MATCH(Table2[[#Headers],[Torque Required Open]],Table2[#Headers],0),0)</f>
        <v>892</v>
      </c>
      <c r="X513" s="2">
        <f>VLOOKUP([jobnumber],OvalData[],MATCH(Table2[[#Headers],[Pre Turns]],Table2[#Headers],0),0)</f>
        <v>1.3332999999999999</v>
      </c>
      <c r="Y513" s="2">
        <f>VLOOKUP([jobnumber],OvalData[],MATCH(Table2[[#Headers],[Required Torque Per Turn]],Table2[#Headers],0),0)</f>
        <v>688</v>
      </c>
      <c r="Z513" s="2">
        <f>VLOOKUP([jobnumber],OvalData[],MATCH(Table2[[#Headers],[Total Turns]],Table2[#Headers],0),0)</f>
        <v>4.91</v>
      </c>
      <c r="AA513" s="2">
        <f>VLOOKUP([jobnumber],OvalData[],MATCH(Table2[[#Headers],[Grille Vision Section]],Table2[#Headers],0),0)</f>
        <v>0</v>
      </c>
      <c r="AB513" s="2">
        <f>VLOOKUP([jobnumber],OvalData[],MATCH(Table2[[#Headers],[Grille Amount]],Table2[#Headers],0),0)</f>
        <v>0</v>
      </c>
      <c r="AC513" s="2">
        <f>VLOOKUP([jobnumber],OvalData[],MATCH(Table2[[#Headers],[Grille Center]],Table2[#Headers],0),0)</f>
        <v>0</v>
      </c>
      <c r="AD513" s="2">
        <f>VLOOKUP([jobnumber],OvalData[],MATCH(Table2[[#Headers],[Grille Pattern]],Table2[#Headers],0),0)</f>
        <v>0</v>
      </c>
      <c r="AE513" s="2">
        <f>VLOOKUP([jobnumber],OvalData[],MATCH(Table2[[#Headers],[Grille First Tube]],Table2[#Headers],0),0)</f>
        <v>0</v>
      </c>
      <c r="AF513" s="2">
        <f>VLOOKUP([jobnumber],OvalData[],MATCH(Table2[[#Headers],[Grille Standard Tube]],Table2[#Headers],0),0)</f>
        <v>0</v>
      </c>
      <c r="AG513" s="2">
        <f>VLOOKUP([jobnumber],OvalData[],MATCH(Table2[[#Headers],[Grille Total Links]],Table2[#Headers],0),0)</f>
        <v>0</v>
      </c>
      <c r="AH513" s="2">
        <f>VLOOKUP([jobnumber],OvalData[],MATCH(Table2[[#Headers],[Grille Rods]],Table2[#Headers],0),0)</f>
        <v>0</v>
      </c>
      <c r="AI513" s="2">
        <f>VLOOKUP([jobnumber],OvalData[],MATCH(Table2[[#Headers],[Grille Rod Length]],Table2[#Headers],0),0)</f>
        <v>0</v>
      </c>
      <c r="AJ513" s="2">
        <f>VLOOKUP([jobnumber],OvalData[],MATCH(Table2[[#Headers],[slattype]],Table2[#Headers],0),0)</f>
        <v>2</v>
      </c>
      <c r="AK513" s="2">
        <f>VLOOKUP([jobnumber],OvalData[],MATCH(Table2[[#Headers],[slatgage]],Table2[#Headers],0),0)</f>
        <v>18</v>
      </c>
      <c r="AL513" s="2">
        <f>VLOOKUP([jobnumber],OvalData[],MATCH(Table2[[#Headers],[Numer of Top Slats]],Table2[#Headers],0),0)</f>
        <v>0</v>
      </c>
      <c r="AM513" s="2">
        <f>VLOOKUP([jobnumber],OvalData[],MATCH(Table2[[#Headers],[Number of Bottom Slats]],Table2[#Headers],0),0)</f>
        <v>0</v>
      </c>
      <c r="AN513" s="2">
        <f>VLOOKUP([jobnumber],OvalData[],MATCH(Table2[[#Headers],[Solid Bottom Height]],Table2[#Headers],0),0)</f>
        <v>0</v>
      </c>
      <c r="AO513" s="2" t="str">
        <f>VLOOKUP([jobnumber],OvalData[],MATCH(Table2[[#Headers],[slatlength]],Table2[#Headers],0),0)</f>
        <v xml:space="preserve"> 18 ft.- 5 7/ 8"</v>
      </c>
      <c r="AP513" s="2">
        <f>VLOOKUP([jobnumber],OvalData[],MATCH(Table2[[#Headers],[Bottom Slat Length]],Table2[#Headers],0),0)</f>
        <v>0</v>
      </c>
      <c r="AQ513" s="2">
        <f>VLOOKUP([jobnumber],OvalData[],MATCH(Table2[[#Headers],[Number of Perferated Slats]],Table2[#Headers],0),0)</f>
        <v>0</v>
      </c>
      <c r="AR513" s="2">
        <f>VLOOKUP([jobnumber],OvalData[],MATCH(Table2[[#Headers],[First Preferated Slat From End]],Table2[#Headers],0),0)</f>
        <v>0</v>
      </c>
      <c r="AS513" s="2">
        <f>VLOOKUP([jobnumber],OvalData[],MATCH(Table2[[#Headers],[First Preferated Slat From Bottom]],Table2[#Headers],0),0)</f>
        <v>0</v>
      </c>
      <c r="AT513" s="2">
        <f>VLOOKUP([jobnumber],OvalData[],MATCH(Table2[[#Headers],[Total Number of Slats]],Table2[#Headers],0),0)</f>
        <v>51</v>
      </c>
      <c r="AU513" s="2">
        <f>VLOOKUP([jobnumber],OvalData[],MATCH(Table2[[#Headers],[Bottom Bar Slope]],Table2[#Headers],0),0)</f>
        <v>0</v>
      </c>
      <c r="AV513" s="2">
        <f>VLOOKUP([jobnumber],OvalData[],MATCH(Table2[[#Headers],[Bottom Bar Weight]],Table2[#Headers],0),0)</f>
        <v>80.5</v>
      </c>
      <c r="AW513" s="2" t="str">
        <f>VLOOKUP([jobnumber],OvalData[],MATCH(Table2[[#Headers],[Outer Spring Gage]],Table2[#Headers],0),0)</f>
        <v>Null</v>
      </c>
      <c r="AX513" s="2" t="str">
        <f>VLOOKUP([jobnumber],OvalData[],MATCH(Table2[[#Headers],[Outer Spring OD]],Table2[#Headers],0),0)</f>
        <v>Null</v>
      </c>
      <c r="AY513" s="2" t="str">
        <f>VLOOKUP([jobnumber],OvalData[],MATCH(Table2[[#Headers],[Outer Spring Length]],Table2[#Headers],0),0)</f>
        <v>Null</v>
      </c>
      <c r="AZ513" s="2" t="str">
        <f>VLOOKUP([jobnumber],OvalData[],MATCH(Table2[[#Headers],[Outer Spring Stretch]],Table2[#Headers],0),0)</f>
        <v>Null</v>
      </c>
      <c r="BA513" s="2" t="str">
        <f>VLOOKUP([jobnumber],OvalData[],MATCH(Table2[[#Headers],[Outer Spring Torque]],Table2[#Headers],0),0)</f>
        <v>Null</v>
      </c>
      <c r="BB513" s="2" t="str">
        <f>VLOOKUP([jobnumber],OvalData[],MATCH(Table2[[#Headers],[Outer Spring Max Turns]],Table2[#Headers],0),0)</f>
        <v>Null</v>
      </c>
      <c r="BC513" s="2" t="str">
        <f>VLOOKUP([jobnumber],OvalData[],MATCH(Table2[[#Headers],[Outer Spring Weight]],Table2[#Headers],0),0)</f>
        <v>Null</v>
      </c>
      <c r="BD513" s="2" t="str">
        <f>VLOOKUP([jobnumber],OvalData[],MATCH(Table2[[#Headers],[Inner Spring Gage]],Table2[#Headers],0),0)</f>
        <v>Null</v>
      </c>
      <c r="BE513" s="2" t="str">
        <f>VLOOKUP([jobnumber],OvalData[],MATCH(Table2[[#Headers],[Inner Spring OD]],Table2[#Headers],0),0)</f>
        <v>Null</v>
      </c>
      <c r="BF513" s="2" t="str">
        <f>VLOOKUP([jobnumber],OvalData[],MATCH(Table2[[#Headers],[Inner Spring Length]],Table2[#Headers],0),0)</f>
        <v>Null</v>
      </c>
      <c r="BG513" s="2" t="str">
        <f>VLOOKUP([jobnumber],OvalData[],MATCH(Table2[[#Headers],[Inner Spring Stretch]],Table2[#Headers],0),0)</f>
        <v>Null</v>
      </c>
      <c r="BH513" s="2" t="str">
        <f>VLOOKUP([jobnumber],OvalData[],MATCH(Table2[[#Headers],[Inner Spring Torque]],Table2[#Headers],0),0)</f>
        <v>Null</v>
      </c>
      <c r="BI513" s="2" t="str">
        <f>VLOOKUP([jobnumber],OvalData[],MATCH(Table2[[#Headers],[Inner Spring Max Turns]],Table2[#Headers],0),0)</f>
        <v>Null</v>
      </c>
      <c r="BJ513" s="2" t="str">
        <f>VLOOKUP([jobnumber],OvalData[],MATCH(Table2[[#Headers],[Inner Spring Weight]],Table2[#Headers],0),0)</f>
        <v>Null</v>
      </c>
      <c r="BK513" s="2">
        <f>VLOOKUP([jobnumber],OvalData[],MATCH(Table2[[#Headers],[Cycles]],Table2[#Headers],0),0)</f>
        <v>0</v>
      </c>
      <c r="BL513" s="2">
        <f>VLOOKUP([jobnumber],OvalData[],MATCH(Table2[[#Headers],[Total Spring Torque]],Table2[#Headers],0),0)</f>
        <v>0</v>
      </c>
      <c r="BM513" s="2">
        <f>VLOOKUP([jobnumber],OvalData[],MATCH(Table2[[#Headers],[Total Spring Weight]],Table2[#Headers],0),0)</f>
        <v>0</v>
      </c>
      <c r="BN513" s="2">
        <f>VLOOKUP([jobnumber],OvalData[],MATCH(Table2[[#Headers],[Pipe Weight]],Table2[#Headers],0),0)</f>
        <v>688.24239999999998</v>
      </c>
      <c r="BO513" s="2">
        <f>VLOOKUP([jobnumber],OvalData[],MATCH(Table2[[#Headers],[Max Pipe Deflection]],Table2[#Headers],0),0)</f>
        <v>2309</v>
      </c>
      <c r="BP513" s="2">
        <f>VLOOKUP([jobnumber],OvalData[],MATCH(Table2[[#Headers],[Number Non-Insulated Wrap Slats]],Table2[#Headers],0),0)</f>
        <v>0</v>
      </c>
      <c r="BQ513" s="2">
        <f>VLOOKUP([jobnumber],OvalData[],MATCH(Table2[[#Headers],[Number of Insolated Top Slats]],Table2[#Headers],0),0)</f>
        <v>45</v>
      </c>
      <c r="BR513" s="2">
        <f>VLOOKUP([jobnumber],OvalData[],MATCH(Table2[[#Headers],[Insolated Total Slats]],Table2[#Headers],0),0)</f>
        <v>45</v>
      </c>
      <c r="BS513" s="2">
        <f>VLOOKUP([jobnumber],OvalData[],MATCH(Table2[[#Headers],[Number of Slats]],Table2[#Headers],0),0)</f>
        <v>44.69</v>
      </c>
      <c r="BT513" s="2">
        <f>VLOOKUP([jobnumber],OvalData[],MATCH(Table2[[#Headers],[Wrap]],Table2[#Headers],0),0)</f>
        <v>0</v>
      </c>
      <c r="BU513" s="2">
        <f>VLOOKUP([jobnumber],OvalData[],MATCH(Table2[[#Headers],[Wall Angle Thickness]],Table2[#Headers],0),0)</f>
        <v>0</v>
      </c>
      <c r="BV513" s="2">
        <f>VLOOKUP([jobnumber],OvalData[],MATCH(Table2[[#Headers],[windlocks]],Table2[#Headers],0),0)</f>
        <v>0</v>
      </c>
      <c r="BW513" s="2" t="str">
        <f>VLOOKUP([jobnumber],OvalData[],MATCH(Table2[[#Headers],[bottombartype]],Table2[#Headers],0),0)</f>
        <v>SPECIAL</v>
      </c>
      <c r="BX513" s="2">
        <f>VLOOKUP([jobnumber],OvalData[],MATCH(Table2[[#Headers],[endlockweight]],Table2[#Headers],0),0)</f>
        <v>0.17</v>
      </c>
      <c r="BY513" s="2">
        <f>VLOOKUP([jobnumber],OvalData[],MATCH(Table2[[#Headers],[Endlock Total Weight]],Table2[#Headers],0),0)</f>
        <v>7.5972999999999997</v>
      </c>
      <c r="BZ513" s="2">
        <f>VLOOKUP([jobnumber],OvalData[],MATCH(Table2[[#Headers],[Grille Weight]],Table2[#Headers],0),0)</f>
        <v>0</v>
      </c>
      <c r="CA513" s="2">
        <f>VLOOKUP([jobnumber],OvalData[],MATCH(Table2[[#Headers],[barrelrings]],Table2[#Headers],0),0)</f>
        <v>1</v>
      </c>
    </row>
    <row r="514" spans="2:79">
      <c r="B514" s="2" t="str">
        <f>VLOOKUP([jobnumber],OvalData[],MATCH(Table2[[#Headers],[Hand]],Table2[#Headers],0),0)</f>
        <v>RH</v>
      </c>
      <c r="C514" s="2" t="str">
        <f>VLOOKUP([jobnumber],OvalData[],MATCH(Table2[[#Headers],[Model]],Table2[#Headers],0),0)</f>
        <v>SFMPP</v>
      </c>
      <c r="D514" s="2" t="str">
        <f>VLOOKUP([jobnumber],OvalData[],MATCH(Table2[[#Headers],[width]],Table2[#Headers],0),0)</f>
        <v xml:space="preserve"> 18 ft.- 2"</v>
      </c>
      <c r="E514" s="2" t="str">
        <f>VLOOKUP([jobnumber],OvalData[],MATCH(Table2[[#Headers],[stopheight]],Table2[#Headers],0),0)</f>
        <v xml:space="preserve"> 10 ft.- 0"</v>
      </c>
      <c r="F514" s="2" t="str">
        <f>VLOOKUP([jobnumber],OvalData[],MATCH(Table2[[#Headers],[Between Brackets]],Table2[#Headers],0),0)</f>
        <v xml:space="preserve"> 18 ft.- 7 7/ 8"</v>
      </c>
      <c r="G514" s="2" t="str">
        <f>VLOOKUP([jobnumber],OvalData[],MATCH(Table2[[#Headers],[shell]],Table2[#Headers],0),0)</f>
        <v>6 INCH TUBE</v>
      </c>
      <c r="H514" s="2" t="str">
        <f>VLOOKUP([jobnumber],OvalData[],MATCH(Table2[[#Headers],[pipewidth]],Table2[#Headers],0),0)</f>
        <v xml:space="preserve"> 18 ft.- 1 3/ 8"</v>
      </c>
      <c r="I514" s="2">
        <f>VLOOKUP([jobnumber],OvalData[],MATCH(Table2[[#Headers],[Support Tubes]],Table2[#Headers],0),0)</f>
        <v>0</v>
      </c>
      <c r="J514" s="2">
        <f>VLOOKUP([jobnumber],OvalData[],MATCH(Table2[[#Headers],[Upset]],Table2[#Headers],0),0)</f>
        <v>2</v>
      </c>
      <c r="K514" s="2" t="str">
        <f>VLOOKUP([jobnumber],OvalData[],MATCH(Table2[[#Headers],[Guide Type]],Table2[#Headers],0),0)</f>
        <v>SN2-4 5/8-E</v>
      </c>
      <c r="L514" s="2" t="str">
        <f>VLOOKUP([jobnumber],OvalData[],MATCH(Table2[[#Headers],[Wall Angle]],Table2[#Headers],0),0)</f>
        <v xml:space="preserve"> 11 ft.- 8"</v>
      </c>
      <c r="M514" s="2" t="str">
        <f>VLOOKUP([jobnumber],OvalData[],MATCH(Table2[[#Headers],[Middle Angle]],Table2[#Headers],0),0)</f>
        <v xml:space="preserve"> 10 ft.- 4 1/ 2"</v>
      </c>
      <c r="N514" s="2" t="str">
        <f>VLOOKUP([jobnumber],OvalData[],MATCH(Table2[[#Headers],[Front Angle]],Table2[#Headers],0),0)</f>
        <v xml:space="preserve"> 10 ft.- 3"</v>
      </c>
      <c r="O514" s="2">
        <f>VLOOKUP([jobnumber],OvalData[],MATCH(Table2[[#Headers],[Pipe Center Line]],Table2[#Headers],0),0)</f>
        <v>131</v>
      </c>
      <c r="P514" s="2">
        <f>VLOOKUP([jobnumber],OvalData[],MATCH(Table2[[#Headers],[Heat Expansion Gap]],Table2[#Headers],0),0)</f>
        <v>0</v>
      </c>
      <c r="Q514" s="2">
        <f>VLOOKUP([jobnumber],OvalData[],MATCH(Table2[[#Headers],[Hanging Weight Closed]],Table2[#Headers],0),0)</f>
        <v>795</v>
      </c>
      <c r="R514" s="2">
        <f>VLOOKUP([jobnumber],OvalData[],MATCH(Table2[[#Headers],[Hanging Weight Open]],Table2[#Headers],0),0)</f>
        <v>140</v>
      </c>
      <c r="S514" s="2">
        <f>VLOOKUP([jobnumber],OvalData[],MATCH(Table2[[#Headers],[Initial Lever Arm]],Table2[#Headers],0),0)</f>
        <v>4.25</v>
      </c>
      <c r="T514" s="2">
        <f>VLOOKUP([jobnumber],OvalData[],MATCH(Table2[[#Headers],[Turns to Raise]],Table2[#Headers],0),0)</f>
        <v>3.5859999999999999</v>
      </c>
      <c r="U514" s="2">
        <f>VLOOKUP([jobnumber],OvalData[],MATCH(Table2[[#Headers],[Final Lever Arm]],Table2[#Headers],0),0)</f>
        <v>6.37</v>
      </c>
      <c r="V514" s="2">
        <f>VLOOKUP([jobnumber],OvalData[],MATCH(Table2[[#Headers],[Torque Required Closed]],Table2[#Headers],0),0)</f>
        <v>3377.9</v>
      </c>
      <c r="W514" s="2">
        <f>VLOOKUP([jobnumber],OvalData[],MATCH(Table2[[#Headers],[Torque Required Open]],Table2[#Headers],0),0)</f>
        <v>892</v>
      </c>
      <c r="X514" s="2">
        <f>VLOOKUP([jobnumber],OvalData[],MATCH(Table2[[#Headers],[Pre Turns]],Table2[#Headers],0),0)</f>
        <v>1.3332999999999999</v>
      </c>
      <c r="Y514" s="2">
        <f>VLOOKUP([jobnumber],OvalData[],MATCH(Table2[[#Headers],[Required Torque Per Turn]],Table2[#Headers],0),0)</f>
        <v>688</v>
      </c>
      <c r="Z514" s="2">
        <f>VLOOKUP([jobnumber],OvalData[],MATCH(Table2[[#Headers],[Total Turns]],Table2[#Headers],0),0)</f>
        <v>4.91</v>
      </c>
      <c r="AA514" s="2">
        <f>VLOOKUP([jobnumber],OvalData[],MATCH(Table2[[#Headers],[Grille Vision Section]],Table2[#Headers],0),0)</f>
        <v>0</v>
      </c>
      <c r="AB514" s="2">
        <f>VLOOKUP([jobnumber],OvalData[],MATCH(Table2[[#Headers],[Grille Amount]],Table2[#Headers],0),0)</f>
        <v>0</v>
      </c>
      <c r="AC514" s="2">
        <f>VLOOKUP([jobnumber],OvalData[],MATCH(Table2[[#Headers],[Grille Center]],Table2[#Headers],0),0)</f>
        <v>0</v>
      </c>
      <c r="AD514" s="2">
        <f>VLOOKUP([jobnumber],OvalData[],MATCH(Table2[[#Headers],[Grille Pattern]],Table2[#Headers],0),0)</f>
        <v>0</v>
      </c>
      <c r="AE514" s="2">
        <f>VLOOKUP([jobnumber],OvalData[],MATCH(Table2[[#Headers],[Grille First Tube]],Table2[#Headers],0),0)</f>
        <v>0</v>
      </c>
      <c r="AF514" s="2">
        <f>VLOOKUP([jobnumber],OvalData[],MATCH(Table2[[#Headers],[Grille Standard Tube]],Table2[#Headers],0),0)</f>
        <v>0</v>
      </c>
      <c r="AG514" s="2">
        <f>VLOOKUP([jobnumber],OvalData[],MATCH(Table2[[#Headers],[Grille Total Links]],Table2[#Headers],0),0)</f>
        <v>0</v>
      </c>
      <c r="AH514" s="2">
        <f>VLOOKUP([jobnumber],OvalData[],MATCH(Table2[[#Headers],[Grille Rods]],Table2[#Headers],0),0)</f>
        <v>0</v>
      </c>
      <c r="AI514" s="2">
        <f>VLOOKUP([jobnumber],OvalData[],MATCH(Table2[[#Headers],[Grille Rod Length]],Table2[#Headers],0),0)</f>
        <v>0</v>
      </c>
      <c r="AJ514" s="2">
        <f>VLOOKUP([jobnumber],OvalData[],MATCH(Table2[[#Headers],[slattype]],Table2[#Headers],0),0)</f>
        <v>2</v>
      </c>
      <c r="AK514" s="2">
        <f>VLOOKUP([jobnumber],OvalData[],MATCH(Table2[[#Headers],[slatgage]],Table2[#Headers],0),0)</f>
        <v>18</v>
      </c>
      <c r="AL514" s="2">
        <f>VLOOKUP([jobnumber],OvalData[],MATCH(Table2[[#Headers],[Numer of Top Slats]],Table2[#Headers],0),0)</f>
        <v>0</v>
      </c>
      <c r="AM514" s="2">
        <f>VLOOKUP([jobnumber],OvalData[],MATCH(Table2[[#Headers],[Number of Bottom Slats]],Table2[#Headers],0),0)</f>
        <v>0</v>
      </c>
      <c r="AN514" s="2">
        <f>VLOOKUP([jobnumber],OvalData[],MATCH(Table2[[#Headers],[Solid Bottom Height]],Table2[#Headers],0),0)</f>
        <v>0</v>
      </c>
      <c r="AO514" s="2" t="str">
        <f>VLOOKUP([jobnumber],OvalData[],MATCH(Table2[[#Headers],[slatlength]],Table2[#Headers],0),0)</f>
        <v xml:space="preserve"> 18 ft.- 5 7/ 8"</v>
      </c>
      <c r="AP514" s="2">
        <f>VLOOKUP([jobnumber],OvalData[],MATCH(Table2[[#Headers],[Bottom Slat Length]],Table2[#Headers],0),0)</f>
        <v>0</v>
      </c>
      <c r="AQ514" s="2">
        <f>VLOOKUP([jobnumber],OvalData[],MATCH(Table2[[#Headers],[Number of Perferated Slats]],Table2[#Headers],0),0)</f>
        <v>0</v>
      </c>
      <c r="AR514" s="2">
        <f>VLOOKUP([jobnumber],OvalData[],MATCH(Table2[[#Headers],[First Preferated Slat From End]],Table2[#Headers],0),0)</f>
        <v>0</v>
      </c>
      <c r="AS514" s="2">
        <f>VLOOKUP([jobnumber],OvalData[],MATCH(Table2[[#Headers],[First Preferated Slat From Bottom]],Table2[#Headers],0),0)</f>
        <v>0</v>
      </c>
      <c r="AT514" s="2">
        <f>VLOOKUP([jobnumber],OvalData[],MATCH(Table2[[#Headers],[Total Number of Slats]],Table2[#Headers],0),0)</f>
        <v>51</v>
      </c>
      <c r="AU514" s="2">
        <f>VLOOKUP([jobnumber],OvalData[],MATCH(Table2[[#Headers],[Bottom Bar Slope]],Table2[#Headers],0),0)</f>
        <v>0</v>
      </c>
      <c r="AV514" s="2">
        <f>VLOOKUP([jobnumber],OvalData[],MATCH(Table2[[#Headers],[Bottom Bar Weight]],Table2[#Headers],0),0)</f>
        <v>80.5</v>
      </c>
      <c r="AW514" s="2" t="str">
        <f>VLOOKUP([jobnumber],OvalData[],MATCH(Table2[[#Headers],[Outer Spring Gage]],Table2[#Headers],0),0)</f>
        <v>Null</v>
      </c>
      <c r="AX514" s="2" t="str">
        <f>VLOOKUP([jobnumber],OvalData[],MATCH(Table2[[#Headers],[Outer Spring OD]],Table2[#Headers],0),0)</f>
        <v>Null</v>
      </c>
      <c r="AY514" s="2" t="str">
        <f>VLOOKUP([jobnumber],OvalData[],MATCH(Table2[[#Headers],[Outer Spring Length]],Table2[#Headers],0),0)</f>
        <v>Null</v>
      </c>
      <c r="AZ514" s="2" t="str">
        <f>VLOOKUP([jobnumber],OvalData[],MATCH(Table2[[#Headers],[Outer Spring Stretch]],Table2[#Headers],0),0)</f>
        <v>Null</v>
      </c>
      <c r="BA514" s="2" t="str">
        <f>VLOOKUP([jobnumber],OvalData[],MATCH(Table2[[#Headers],[Outer Spring Torque]],Table2[#Headers],0),0)</f>
        <v>Null</v>
      </c>
      <c r="BB514" s="2" t="str">
        <f>VLOOKUP([jobnumber],OvalData[],MATCH(Table2[[#Headers],[Outer Spring Max Turns]],Table2[#Headers],0),0)</f>
        <v>Null</v>
      </c>
      <c r="BC514" s="2" t="str">
        <f>VLOOKUP([jobnumber],OvalData[],MATCH(Table2[[#Headers],[Outer Spring Weight]],Table2[#Headers],0),0)</f>
        <v>Null</v>
      </c>
      <c r="BD514" s="2" t="str">
        <f>VLOOKUP([jobnumber],OvalData[],MATCH(Table2[[#Headers],[Inner Spring Gage]],Table2[#Headers],0),0)</f>
        <v>Null</v>
      </c>
      <c r="BE514" s="2" t="str">
        <f>VLOOKUP([jobnumber],OvalData[],MATCH(Table2[[#Headers],[Inner Spring OD]],Table2[#Headers],0),0)</f>
        <v>Null</v>
      </c>
      <c r="BF514" s="2" t="str">
        <f>VLOOKUP([jobnumber],OvalData[],MATCH(Table2[[#Headers],[Inner Spring Length]],Table2[#Headers],0),0)</f>
        <v>Null</v>
      </c>
      <c r="BG514" s="2" t="str">
        <f>VLOOKUP([jobnumber],OvalData[],MATCH(Table2[[#Headers],[Inner Spring Stretch]],Table2[#Headers],0),0)</f>
        <v>Null</v>
      </c>
      <c r="BH514" s="2" t="str">
        <f>VLOOKUP([jobnumber],OvalData[],MATCH(Table2[[#Headers],[Inner Spring Torque]],Table2[#Headers],0),0)</f>
        <v>Null</v>
      </c>
      <c r="BI514" s="2" t="str">
        <f>VLOOKUP([jobnumber],OvalData[],MATCH(Table2[[#Headers],[Inner Spring Max Turns]],Table2[#Headers],0),0)</f>
        <v>Null</v>
      </c>
      <c r="BJ514" s="2" t="str">
        <f>VLOOKUP([jobnumber],OvalData[],MATCH(Table2[[#Headers],[Inner Spring Weight]],Table2[#Headers],0),0)</f>
        <v>Null</v>
      </c>
      <c r="BK514" s="2">
        <f>VLOOKUP([jobnumber],OvalData[],MATCH(Table2[[#Headers],[Cycles]],Table2[#Headers],0),0)</f>
        <v>0</v>
      </c>
      <c r="BL514" s="2">
        <f>VLOOKUP([jobnumber],OvalData[],MATCH(Table2[[#Headers],[Total Spring Torque]],Table2[#Headers],0),0)</f>
        <v>0</v>
      </c>
      <c r="BM514" s="2">
        <f>VLOOKUP([jobnumber],OvalData[],MATCH(Table2[[#Headers],[Total Spring Weight]],Table2[#Headers],0),0)</f>
        <v>0</v>
      </c>
      <c r="BN514" s="2">
        <f>VLOOKUP([jobnumber],OvalData[],MATCH(Table2[[#Headers],[Pipe Weight]],Table2[#Headers],0),0)</f>
        <v>688.24239999999998</v>
      </c>
      <c r="BO514" s="2">
        <f>VLOOKUP([jobnumber],OvalData[],MATCH(Table2[[#Headers],[Max Pipe Deflection]],Table2[#Headers],0),0)</f>
        <v>2309</v>
      </c>
      <c r="BP514" s="2">
        <f>VLOOKUP([jobnumber],OvalData[],MATCH(Table2[[#Headers],[Number Non-Insulated Wrap Slats]],Table2[#Headers],0),0)</f>
        <v>0</v>
      </c>
      <c r="BQ514" s="2">
        <f>VLOOKUP([jobnumber],OvalData[],MATCH(Table2[[#Headers],[Number of Insolated Top Slats]],Table2[#Headers],0),0)</f>
        <v>45</v>
      </c>
      <c r="BR514" s="2">
        <f>VLOOKUP([jobnumber],OvalData[],MATCH(Table2[[#Headers],[Insolated Total Slats]],Table2[#Headers],0),0)</f>
        <v>45</v>
      </c>
      <c r="BS514" s="2">
        <f>VLOOKUP([jobnumber],OvalData[],MATCH(Table2[[#Headers],[Number of Slats]],Table2[#Headers],0),0)</f>
        <v>44.69</v>
      </c>
      <c r="BT514" s="2">
        <f>VLOOKUP([jobnumber],OvalData[],MATCH(Table2[[#Headers],[Wrap]],Table2[#Headers],0),0)</f>
        <v>0</v>
      </c>
      <c r="BU514" s="2">
        <f>VLOOKUP([jobnumber],OvalData[],MATCH(Table2[[#Headers],[Wall Angle Thickness]],Table2[#Headers],0),0)</f>
        <v>0</v>
      </c>
      <c r="BV514" s="2">
        <f>VLOOKUP([jobnumber],OvalData[],MATCH(Table2[[#Headers],[windlocks]],Table2[#Headers],0),0)</f>
        <v>0</v>
      </c>
      <c r="BW514" s="2" t="str">
        <f>VLOOKUP([jobnumber],OvalData[],MATCH(Table2[[#Headers],[bottombartype]],Table2[#Headers],0),0)</f>
        <v>SPECIAL</v>
      </c>
      <c r="BX514" s="2">
        <f>VLOOKUP([jobnumber],OvalData[],MATCH(Table2[[#Headers],[endlockweight]],Table2[#Headers],0),0)</f>
        <v>0.17</v>
      </c>
      <c r="BY514" s="2">
        <f>VLOOKUP([jobnumber],OvalData[],MATCH(Table2[[#Headers],[Endlock Total Weight]],Table2[#Headers],0),0)</f>
        <v>7.5972999999999997</v>
      </c>
      <c r="BZ514" s="2">
        <f>VLOOKUP([jobnumber],OvalData[],MATCH(Table2[[#Headers],[Grille Weight]],Table2[#Headers],0),0)</f>
        <v>0</v>
      </c>
      <c r="CA514" s="2">
        <f>VLOOKUP([jobnumber],OvalData[],MATCH(Table2[[#Headers],[barrelrings]],Table2[#Headers],0),0)</f>
        <v>1</v>
      </c>
    </row>
    <row r="515" spans="2:79">
      <c r="B515" s="2" t="str">
        <f>VLOOKUP([jobnumber],OvalData[],MATCH(Table2[[#Headers],[Hand]],Table2[#Headers],0),0)</f>
        <v>RH</v>
      </c>
      <c r="C515" s="2" t="str">
        <f>VLOOKUP([jobnumber],OvalData[],MATCH(Table2[[#Headers],[Model]],Table2[#Headers],0),0)</f>
        <v>SFMPP</v>
      </c>
      <c r="D515" s="2" t="str">
        <f>VLOOKUP([jobnumber],OvalData[],MATCH(Table2[[#Headers],[width]],Table2[#Headers],0),0)</f>
        <v xml:space="preserve"> 18 ft.- 2"</v>
      </c>
      <c r="E515" s="2" t="str">
        <f>VLOOKUP([jobnumber],OvalData[],MATCH(Table2[[#Headers],[stopheight]],Table2[#Headers],0),0)</f>
        <v xml:space="preserve"> 10 ft.- 0"</v>
      </c>
      <c r="F515" s="2" t="str">
        <f>VLOOKUP([jobnumber],OvalData[],MATCH(Table2[[#Headers],[Between Brackets]],Table2[#Headers],0),0)</f>
        <v xml:space="preserve"> 18 ft.- 7 7/ 8"</v>
      </c>
      <c r="G515" s="2" t="str">
        <f>VLOOKUP([jobnumber],OvalData[],MATCH(Table2[[#Headers],[shell]],Table2[#Headers],0),0)</f>
        <v>6 INCH TUBE</v>
      </c>
      <c r="H515" s="2" t="str">
        <f>VLOOKUP([jobnumber],OvalData[],MATCH(Table2[[#Headers],[pipewidth]],Table2[#Headers],0),0)</f>
        <v xml:space="preserve"> 18 ft.- 1 3/ 8"</v>
      </c>
      <c r="I515" s="2">
        <f>VLOOKUP([jobnumber],OvalData[],MATCH(Table2[[#Headers],[Support Tubes]],Table2[#Headers],0),0)</f>
        <v>0</v>
      </c>
      <c r="J515" s="2">
        <f>VLOOKUP([jobnumber],OvalData[],MATCH(Table2[[#Headers],[Upset]],Table2[#Headers],0),0)</f>
        <v>2</v>
      </c>
      <c r="K515" s="2" t="str">
        <f>VLOOKUP([jobnumber],OvalData[],MATCH(Table2[[#Headers],[Guide Type]],Table2[#Headers],0),0)</f>
        <v>SN2-4 5/8-E</v>
      </c>
      <c r="L515" s="2" t="str">
        <f>VLOOKUP([jobnumber],OvalData[],MATCH(Table2[[#Headers],[Wall Angle]],Table2[#Headers],0),0)</f>
        <v xml:space="preserve"> 11 ft.- 8"</v>
      </c>
      <c r="M515" s="2" t="str">
        <f>VLOOKUP([jobnumber],OvalData[],MATCH(Table2[[#Headers],[Middle Angle]],Table2[#Headers],0),0)</f>
        <v xml:space="preserve"> 10 ft.- 4 1/ 2"</v>
      </c>
      <c r="N515" s="2" t="str">
        <f>VLOOKUP([jobnumber],OvalData[],MATCH(Table2[[#Headers],[Front Angle]],Table2[#Headers],0),0)</f>
        <v xml:space="preserve"> 10 ft.- 3"</v>
      </c>
      <c r="O515" s="2">
        <f>VLOOKUP([jobnumber],OvalData[],MATCH(Table2[[#Headers],[Pipe Center Line]],Table2[#Headers],0),0)</f>
        <v>131</v>
      </c>
      <c r="P515" s="2">
        <f>VLOOKUP([jobnumber],OvalData[],MATCH(Table2[[#Headers],[Heat Expansion Gap]],Table2[#Headers],0),0)</f>
        <v>0</v>
      </c>
      <c r="Q515" s="2">
        <f>VLOOKUP([jobnumber],OvalData[],MATCH(Table2[[#Headers],[Hanging Weight Closed]],Table2[#Headers],0),0)</f>
        <v>795</v>
      </c>
      <c r="R515" s="2">
        <f>VLOOKUP([jobnumber],OvalData[],MATCH(Table2[[#Headers],[Hanging Weight Open]],Table2[#Headers],0),0)</f>
        <v>140</v>
      </c>
      <c r="S515" s="2">
        <f>VLOOKUP([jobnumber],OvalData[],MATCH(Table2[[#Headers],[Initial Lever Arm]],Table2[#Headers],0),0)</f>
        <v>4.25</v>
      </c>
      <c r="T515" s="2">
        <f>VLOOKUP([jobnumber],OvalData[],MATCH(Table2[[#Headers],[Turns to Raise]],Table2[#Headers],0),0)</f>
        <v>3.5859999999999999</v>
      </c>
      <c r="U515" s="2">
        <f>VLOOKUP([jobnumber],OvalData[],MATCH(Table2[[#Headers],[Final Lever Arm]],Table2[#Headers],0),0)</f>
        <v>6.37</v>
      </c>
      <c r="V515" s="2">
        <f>VLOOKUP([jobnumber],OvalData[],MATCH(Table2[[#Headers],[Torque Required Closed]],Table2[#Headers],0),0)</f>
        <v>3377.9</v>
      </c>
      <c r="W515" s="2">
        <f>VLOOKUP([jobnumber],OvalData[],MATCH(Table2[[#Headers],[Torque Required Open]],Table2[#Headers],0),0)</f>
        <v>892</v>
      </c>
      <c r="X515" s="2">
        <f>VLOOKUP([jobnumber],OvalData[],MATCH(Table2[[#Headers],[Pre Turns]],Table2[#Headers],0),0)</f>
        <v>1.3332999999999999</v>
      </c>
      <c r="Y515" s="2">
        <f>VLOOKUP([jobnumber],OvalData[],MATCH(Table2[[#Headers],[Required Torque Per Turn]],Table2[#Headers],0),0)</f>
        <v>688</v>
      </c>
      <c r="Z515" s="2">
        <f>VLOOKUP([jobnumber],OvalData[],MATCH(Table2[[#Headers],[Total Turns]],Table2[#Headers],0),0)</f>
        <v>4.91</v>
      </c>
      <c r="AA515" s="2">
        <f>VLOOKUP([jobnumber],OvalData[],MATCH(Table2[[#Headers],[Grille Vision Section]],Table2[#Headers],0),0)</f>
        <v>0</v>
      </c>
      <c r="AB515" s="2">
        <f>VLOOKUP([jobnumber],OvalData[],MATCH(Table2[[#Headers],[Grille Amount]],Table2[#Headers],0),0)</f>
        <v>0</v>
      </c>
      <c r="AC515" s="2">
        <f>VLOOKUP([jobnumber],OvalData[],MATCH(Table2[[#Headers],[Grille Center]],Table2[#Headers],0),0)</f>
        <v>0</v>
      </c>
      <c r="AD515" s="2">
        <f>VLOOKUP([jobnumber],OvalData[],MATCH(Table2[[#Headers],[Grille Pattern]],Table2[#Headers],0),0)</f>
        <v>0</v>
      </c>
      <c r="AE515" s="2">
        <f>VLOOKUP([jobnumber],OvalData[],MATCH(Table2[[#Headers],[Grille First Tube]],Table2[#Headers],0),0)</f>
        <v>0</v>
      </c>
      <c r="AF515" s="2">
        <f>VLOOKUP([jobnumber],OvalData[],MATCH(Table2[[#Headers],[Grille Standard Tube]],Table2[#Headers],0),0)</f>
        <v>0</v>
      </c>
      <c r="AG515" s="2">
        <f>VLOOKUP([jobnumber],OvalData[],MATCH(Table2[[#Headers],[Grille Total Links]],Table2[#Headers],0),0)</f>
        <v>0</v>
      </c>
      <c r="AH515" s="2">
        <f>VLOOKUP([jobnumber],OvalData[],MATCH(Table2[[#Headers],[Grille Rods]],Table2[#Headers],0),0)</f>
        <v>0</v>
      </c>
      <c r="AI515" s="2">
        <f>VLOOKUP([jobnumber],OvalData[],MATCH(Table2[[#Headers],[Grille Rod Length]],Table2[#Headers],0),0)</f>
        <v>0</v>
      </c>
      <c r="AJ515" s="2">
        <f>VLOOKUP([jobnumber],OvalData[],MATCH(Table2[[#Headers],[slattype]],Table2[#Headers],0),0)</f>
        <v>2</v>
      </c>
      <c r="AK515" s="2">
        <f>VLOOKUP([jobnumber],OvalData[],MATCH(Table2[[#Headers],[slatgage]],Table2[#Headers],0),0)</f>
        <v>18</v>
      </c>
      <c r="AL515" s="2">
        <f>VLOOKUP([jobnumber],OvalData[],MATCH(Table2[[#Headers],[Numer of Top Slats]],Table2[#Headers],0),0)</f>
        <v>0</v>
      </c>
      <c r="AM515" s="2">
        <f>VLOOKUP([jobnumber],OvalData[],MATCH(Table2[[#Headers],[Number of Bottom Slats]],Table2[#Headers],0),0)</f>
        <v>0</v>
      </c>
      <c r="AN515" s="2">
        <f>VLOOKUP([jobnumber],OvalData[],MATCH(Table2[[#Headers],[Solid Bottom Height]],Table2[#Headers],0),0)</f>
        <v>0</v>
      </c>
      <c r="AO515" s="2" t="str">
        <f>VLOOKUP([jobnumber],OvalData[],MATCH(Table2[[#Headers],[slatlength]],Table2[#Headers],0),0)</f>
        <v xml:space="preserve"> 18 ft.- 5 7/ 8"</v>
      </c>
      <c r="AP515" s="2">
        <f>VLOOKUP([jobnumber],OvalData[],MATCH(Table2[[#Headers],[Bottom Slat Length]],Table2[#Headers],0),0)</f>
        <v>0</v>
      </c>
      <c r="AQ515" s="2">
        <f>VLOOKUP([jobnumber],OvalData[],MATCH(Table2[[#Headers],[Number of Perferated Slats]],Table2[#Headers],0),0)</f>
        <v>0</v>
      </c>
      <c r="AR515" s="2">
        <f>VLOOKUP([jobnumber],OvalData[],MATCH(Table2[[#Headers],[First Preferated Slat From End]],Table2[#Headers],0),0)</f>
        <v>0</v>
      </c>
      <c r="AS515" s="2">
        <f>VLOOKUP([jobnumber],OvalData[],MATCH(Table2[[#Headers],[First Preferated Slat From Bottom]],Table2[#Headers],0),0)</f>
        <v>0</v>
      </c>
      <c r="AT515" s="2">
        <f>VLOOKUP([jobnumber],OvalData[],MATCH(Table2[[#Headers],[Total Number of Slats]],Table2[#Headers],0),0)</f>
        <v>51</v>
      </c>
      <c r="AU515" s="2">
        <f>VLOOKUP([jobnumber],OvalData[],MATCH(Table2[[#Headers],[Bottom Bar Slope]],Table2[#Headers],0),0)</f>
        <v>0</v>
      </c>
      <c r="AV515" s="2">
        <f>VLOOKUP([jobnumber],OvalData[],MATCH(Table2[[#Headers],[Bottom Bar Weight]],Table2[#Headers],0),0)</f>
        <v>80.5</v>
      </c>
      <c r="AW515" s="2" t="str">
        <f>VLOOKUP([jobnumber],OvalData[],MATCH(Table2[[#Headers],[Outer Spring Gage]],Table2[#Headers],0),0)</f>
        <v>Null</v>
      </c>
      <c r="AX515" s="2" t="str">
        <f>VLOOKUP([jobnumber],OvalData[],MATCH(Table2[[#Headers],[Outer Spring OD]],Table2[#Headers],0),0)</f>
        <v>Null</v>
      </c>
      <c r="AY515" s="2" t="str">
        <f>VLOOKUP([jobnumber],OvalData[],MATCH(Table2[[#Headers],[Outer Spring Length]],Table2[#Headers],0),0)</f>
        <v>Null</v>
      </c>
      <c r="AZ515" s="2" t="str">
        <f>VLOOKUP([jobnumber],OvalData[],MATCH(Table2[[#Headers],[Outer Spring Stretch]],Table2[#Headers],0),0)</f>
        <v>Null</v>
      </c>
      <c r="BA515" s="2" t="str">
        <f>VLOOKUP([jobnumber],OvalData[],MATCH(Table2[[#Headers],[Outer Spring Torque]],Table2[#Headers],0),0)</f>
        <v>Null</v>
      </c>
      <c r="BB515" s="2" t="str">
        <f>VLOOKUP([jobnumber],OvalData[],MATCH(Table2[[#Headers],[Outer Spring Max Turns]],Table2[#Headers],0),0)</f>
        <v>Null</v>
      </c>
      <c r="BC515" s="2" t="str">
        <f>VLOOKUP([jobnumber],OvalData[],MATCH(Table2[[#Headers],[Outer Spring Weight]],Table2[#Headers],0),0)</f>
        <v>Null</v>
      </c>
      <c r="BD515" s="2" t="str">
        <f>VLOOKUP([jobnumber],OvalData[],MATCH(Table2[[#Headers],[Inner Spring Gage]],Table2[#Headers],0),0)</f>
        <v>Null</v>
      </c>
      <c r="BE515" s="2" t="str">
        <f>VLOOKUP([jobnumber],OvalData[],MATCH(Table2[[#Headers],[Inner Spring OD]],Table2[#Headers],0),0)</f>
        <v>Null</v>
      </c>
      <c r="BF515" s="2" t="str">
        <f>VLOOKUP([jobnumber],OvalData[],MATCH(Table2[[#Headers],[Inner Spring Length]],Table2[#Headers],0),0)</f>
        <v>Null</v>
      </c>
      <c r="BG515" s="2" t="str">
        <f>VLOOKUP([jobnumber],OvalData[],MATCH(Table2[[#Headers],[Inner Spring Stretch]],Table2[#Headers],0),0)</f>
        <v>Null</v>
      </c>
      <c r="BH515" s="2" t="str">
        <f>VLOOKUP([jobnumber],OvalData[],MATCH(Table2[[#Headers],[Inner Spring Torque]],Table2[#Headers],0),0)</f>
        <v>Null</v>
      </c>
      <c r="BI515" s="2" t="str">
        <f>VLOOKUP([jobnumber],OvalData[],MATCH(Table2[[#Headers],[Inner Spring Max Turns]],Table2[#Headers],0),0)</f>
        <v>Null</v>
      </c>
      <c r="BJ515" s="2" t="str">
        <f>VLOOKUP([jobnumber],OvalData[],MATCH(Table2[[#Headers],[Inner Spring Weight]],Table2[#Headers],0),0)</f>
        <v>Null</v>
      </c>
      <c r="BK515" s="2">
        <f>VLOOKUP([jobnumber],OvalData[],MATCH(Table2[[#Headers],[Cycles]],Table2[#Headers],0),0)</f>
        <v>0</v>
      </c>
      <c r="BL515" s="2">
        <f>VLOOKUP([jobnumber],OvalData[],MATCH(Table2[[#Headers],[Total Spring Torque]],Table2[#Headers],0),0)</f>
        <v>0</v>
      </c>
      <c r="BM515" s="2">
        <f>VLOOKUP([jobnumber],OvalData[],MATCH(Table2[[#Headers],[Total Spring Weight]],Table2[#Headers],0),0)</f>
        <v>0</v>
      </c>
      <c r="BN515" s="2">
        <f>VLOOKUP([jobnumber],OvalData[],MATCH(Table2[[#Headers],[Pipe Weight]],Table2[#Headers],0),0)</f>
        <v>688.24239999999998</v>
      </c>
      <c r="BO515" s="2">
        <f>VLOOKUP([jobnumber],OvalData[],MATCH(Table2[[#Headers],[Max Pipe Deflection]],Table2[#Headers],0),0)</f>
        <v>2309</v>
      </c>
      <c r="BP515" s="2">
        <f>VLOOKUP([jobnumber],OvalData[],MATCH(Table2[[#Headers],[Number Non-Insulated Wrap Slats]],Table2[#Headers],0),0)</f>
        <v>0</v>
      </c>
      <c r="BQ515" s="2">
        <f>VLOOKUP([jobnumber],OvalData[],MATCH(Table2[[#Headers],[Number of Insolated Top Slats]],Table2[#Headers],0),0)</f>
        <v>45</v>
      </c>
      <c r="BR515" s="2">
        <f>VLOOKUP([jobnumber],OvalData[],MATCH(Table2[[#Headers],[Insolated Total Slats]],Table2[#Headers],0),0)</f>
        <v>45</v>
      </c>
      <c r="BS515" s="2">
        <f>VLOOKUP([jobnumber],OvalData[],MATCH(Table2[[#Headers],[Number of Slats]],Table2[#Headers],0),0)</f>
        <v>44.69</v>
      </c>
      <c r="BT515" s="2">
        <f>VLOOKUP([jobnumber],OvalData[],MATCH(Table2[[#Headers],[Wrap]],Table2[#Headers],0),0)</f>
        <v>0</v>
      </c>
      <c r="BU515" s="2">
        <f>VLOOKUP([jobnumber],OvalData[],MATCH(Table2[[#Headers],[Wall Angle Thickness]],Table2[#Headers],0),0)</f>
        <v>0</v>
      </c>
      <c r="BV515" s="2">
        <f>VLOOKUP([jobnumber],OvalData[],MATCH(Table2[[#Headers],[windlocks]],Table2[#Headers],0),0)</f>
        <v>0</v>
      </c>
      <c r="BW515" s="2" t="str">
        <f>VLOOKUP([jobnumber],OvalData[],MATCH(Table2[[#Headers],[bottombartype]],Table2[#Headers],0),0)</f>
        <v>SPECIAL</v>
      </c>
      <c r="BX515" s="2">
        <f>VLOOKUP([jobnumber],OvalData[],MATCH(Table2[[#Headers],[endlockweight]],Table2[#Headers],0),0)</f>
        <v>0.17</v>
      </c>
      <c r="BY515" s="2">
        <f>VLOOKUP([jobnumber],OvalData[],MATCH(Table2[[#Headers],[Endlock Total Weight]],Table2[#Headers],0),0)</f>
        <v>7.5972999999999997</v>
      </c>
      <c r="BZ515" s="2">
        <f>VLOOKUP([jobnumber],OvalData[],MATCH(Table2[[#Headers],[Grille Weight]],Table2[#Headers],0),0)</f>
        <v>0</v>
      </c>
      <c r="CA515" s="2">
        <f>VLOOKUP([jobnumber],OvalData[],MATCH(Table2[[#Headers],[barrelrings]],Table2[#Headers],0),0)</f>
        <v>1</v>
      </c>
    </row>
    <row r="516" spans="2:79">
      <c r="B516" s="2" t="str">
        <f>VLOOKUP([jobnumber],OvalData[],MATCH(Table2[[#Headers],[Hand]],Table2[#Headers],0),0)</f>
        <v>RH</v>
      </c>
      <c r="C516" s="2" t="str">
        <f>VLOOKUP([jobnumber],OvalData[],MATCH(Table2[[#Headers],[Model]],Table2[#Headers],0),0)</f>
        <v>SFMPP</v>
      </c>
      <c r="D516" s="2" t="str">
        <f>VLOOKUP([jobnumber],OvalData[],MATCH(Table2[[#Headers],[width]],Table2[#Headers],0),0)</f>
        <v xml:space="preserve"> 18 ft.- 2"</v>
      </c>
      <c r="E516" s="2" t="str">
        <f>VLOOKUP([jobnumber],OvalData[],MATCH(Table2[[#Headers],[stopheight]],Table2[#Headers],0),0)</f>
        <v xml:space="preserve"> 10 ft.- 0"</v>
      </c>
      <c r="F516" s="2" t="str">
        <f>VLOOKUP([jobnumber],OvalData[],MATCH(Table2[[#Headers],[Between Brackets]],Table2[#Headers],0),0)</f>
        <v xml:space="preserve"> 18 ft.- 7 7/ 8"</v>
      </c>
      <c r="G516" s="2" t="str">
        <f>VLOOKUP([jobnumber],OvalData[],MATCH(Table2[[#Headers],[shell]],Table2[#Headers],0),0)</f>
        <v>6 INCH TUBE</v>
      </c>
      <c r="H516" s="2" t="str">
        <f>VLOOKUP([jobnumber],OvalData[],MATCH(Table2[[#Headers],[pipewidth]],Table2[#Headers],0),0)</f>
        <v xml:space="preserve"> 18 ft.- 1 3/ 8"</v>
      </c>
      <c r="I516" s="2">
        <f>VLOOKUP([jobnumber],OvalData[],MATCH(Table2[[#Headers],[Support Tubes]],Table2[#Headers],0),0)</f>
        <v>0</v>
      </c>
      <c r="J516" s="2">
        <f>VLOOKUP([jobnumber],OvalData[],MATCH(Table2[[#Headers],[Upset]],Table2[#Headers],0),0)</f>
        <v>2</v>
      </c>
      <c r="K516" s="2" t="str">
        <f>VLOOKUP([jobnumber],OvalData[],MATCH(Table2[[#Headers],[Guide Type]],Table2[#Headers],0),0)</f>
        <v>SN2-4 5/8-E</v>
      </c>
      <c r="L516" s="2" t="str">
        <f>VLOOKUP([jobnumber],OvalData[],MATCH(Table2[[#Headers],[Wall Angle]],Table2[#Headers],0),0)</f>
        <v xml:space="preserve"> 11 ft.- 8"</v>
      </c>
      <c r="M516" s="2" t="str">
        <f>VLOOKUP([jobnumber],OvalData[],MATCH(Table2[[#Headers],[Middle Angle]],Table2[#Headers],0),0)</f>
        <v xml:space="preserve"> 10 ft.- 4 1/ 2"</v>
      </c>
      <c r="N516" s="2" t="str">
        <f>VLOOKUP([jobnumber],OvalData[],MATCH(Table2[[#Headers],[Front Angle]],Table2[#Headers],0),0)</f>
        <v xml:space="preserve"> 10 ft.- 3"</v>
      </c>
      <c r="O516" s="2">
        <f>VLOOKUP([jobnumber],OvalData[],MATCH(Table2[[#Headers],[Pipe Center Line]],Table2[#Headers],0),0)</f>
        <v>131</v>
      </c>
      <c r="P516" s="2">
        <f>VLOOKUP([jobnumber],OvalData[],MATCH(Table2[[#Headers],[Heat Expansion Gap]],Table2[#Headers],0),0)</f>
        <v>0</v>
      </c>
      <c r="Q516" s="2">
        <f>VLOOKUP([jobnumber],OvalData[],MATCH(Table2[[#Headers],[Hanging Weight Closed]],Table2[#Headers],0),0)</f>
        <v>795</v>
      </c>
      <c r="R516" s="2">
        <f>VLOOKUP([jobnumber],OvalData[],MATCH(Table2[[#Headers],[Hanging Weight Open]],Table2[#Headers],0),0)</f>
        <v>140</v>
      </c>
      <c r="S516" s="2">
        <f>VLOOKUP([jobnumber],OvalData[],MATCH(Table2[[#Headers],[Initial Lever Arm]],Table2[#Headers],0),0)</f>
        <v>4.25</v>
      </c>
      <c r="T516" s="2">
        <f>VLOOKUP([jobnumber],OvalData[],MATCH(Table2[[#Headers],[Turns to Raise]],Table2[#Headers],0),0)</f>
        <v>3.5859999999999999</v>
      </c>
      <c r="U516" s="2">
        <f>VLOOKUP([jobnumber],OvalData[],MATCH(Table2[[#Headers],[Final Lever Arm]],Table2[#Headers],0),0)</f>
        <v>6.37</v>
      </c>
      <c r="V516" s="2">
        <f>VLOOKUP([jobnumber],OvalData[],MATCH(Table2[[#Headers],[Torque Required Closed]],Table2[#Headers],0),0)</f>
        <v>3377.9</v>
      </c>
      <c r="W516" s="2">
        <f>VLOOKUP([jobnumber],OvalData[],MATCH(Table2[[#Headers],[Torque Required Open]],Table2[#Headers],0),0)</f>
        <v>892</v>
      </c>
      <c r="X516" s="2">
        <f>VLOOKUP([jobnumber],OvalData[],MATCH(Table2[[#Headers],[Pre Turns]],Table2[#Headers],0),0)</f>
        <v>1.3332999999999999</v>
      </c>
      <c r="Y516" s="2">
        <f>VLOOKUP([jobnumber],OvalData[],MATCH(Table2[[#Headers],[Required Torque Per Turn]],Table2[#Headers],0),0)</f>
        <v>688</v>
      </c>
      <c r="Z516" s="2">
        <f>VLOOKUP([jobnumber],OvalData[],MATCH(Table2[[#Headers],[Total Turns]],Table2[#Headers],0),0)</f>
        <v>4.91</v>
      </c>
      <c r="AA516" s="2">
        <f>VLOOKUP([jobnumber],OvalData[],MATCH(Table2[[#Headers],[Grille Vision Section]],Table2[#Headers],0),0)</f>
        <v>0</v>
      </c>
      <c r="AB516" s="2">
        <f>VLOOKUP([jobnumber],OvalData[],MATCH(Table2[[#Headers],[Grille Amount]],Table2[#Headers],0),0)</f>
        <v>0</v>
      </c>
      <c r="AC516" s="2">
        <f>VLOOKUP([jobnumber],OvalData[],MATCH(Table2[[#Headers],[Grille Center]],Table2[#Headers],0),0)</f>
        <v>0</v>
      </c>
      <c r="AD516" s="2">
        <f>VLOOKUP([jobnumber],OvalData[],MATCH(Table2[[#Headers],[Grille Pattern]],Table2[#Headers],0),0)</f>
        <v>0</v>
      </c>
      <c r="AE516" s="2">
        <f>VLOOKUP([jobnumber],OvalData[],MATCH(Table2[[#Headers],[Grille First Tube]],Table2[#Headers],0),0)</f>
        <v>0</v>
      </c>
      <c r="AF516" s="2">
        <f>VLOOKUP([jobnumber],OvalData[],MATCH(Table2[[#Headers],[Grille Standard Tube]],Table2[#Headers],0),0)</f>
        <v>0</v>
      </c>
      <c r="AG516" s="2">
        <f>VLOOKUP([jobnumber],OvalData[],MATCH(Table2[[#Headers],[Grille Total Links]],Table2[#Headers],0),0)</f>
        <v>0</v>
      </c>
      <c r="AH516" s="2">
        <f>VLOOKUP([jobnumber],OvalData[],MATCH(Table2[[#Headers],[Grille Rods]],Table2[#Headers],0),0)</f>
        <v>0</v>
      </c>
      <c r="AI516" s="2">
        <f>VLOOKUP([jobnumber],OvalData[],MATCH(Table2[[#Headers],[Grille Rod Length]],Table2[#Headers],0),0)</f>
        <v>0</v>
      </c>
      <c r="AJ516" s="2">
        <f>VLOOKUP([jobnumber],OvalData[],MATCH(Table2[[#Headers],[slattype]],Table2[#Headers],0),0)</f>
        <v>2</v>
      </c>
      <c r="AK516" s="2">
        <f>VLOOKUP([jobnumber],OvalData[],MATCH(Table2[[#Headers],[slatgage]],Table2[#Headers],0),0)</f>
        <v>18</v>
      </c>
      <c r="AL516" s="2">
        <f>VLOOKUP([jobnumber],OvalData[],MATCH(Table2[[#Headers],[Numer of Top Slats]],Table2[#Headers],0),0)</f>
        <v>0</v>
      </c>
      <c r="AM516" s="2">
        <f>VLOOKUP([jobnumber],OvalData[],MATCH(Table2[[#Headers],[Number of Bottom Slats]],Table2[#Headers],0),0)</f>
        <v>0</v>
      </c>
      <c r="AN516" s="2">
        <f>VLOOKUP([jobnumber],OvalData[],MATCH(Table2[[#Headers],[Solid Bottom Height]],Table2[#Headers],0),0)</f>
        <v>0</v>
      </c>
      <c r="AO516" s="2" t="str">
        <f>VLOOKUP([jobnumber],OvalData[],MATCH(Table2[[#Headers],[slatlength]],Table2[#Headers],0),0)</f>
        <v xml:space="preserve"> 18 ft.- 5 7/ 8"</v>
      </c>
      <c r="AP516" s="2">
        <f>VLOOKUP([jobnumber],OvalData[],MATCH(Table2[[#Headers],[Bottom Slat Length]],Table2[#Headers],0),0)</f>
        <v>0</v>
      </c>
      <c r="AQ516" s="2">
        <f>VLOOKUP([jobnumber],OvalData[],MATCH(Table2[[#Headers],[Number of Perferated Slats]],Table2[#Headers],0),0)</f>
        <v>0</v>
      </c>
      <c r="AR516" s="2">
        <f>VLOOKUP([jobnumber],OvalData[],MATCH(Table2[[#Headers],[First Preferated Slat From End]],Table2[#Headers],0),0)</f>
        <v>0</v>
      </c>
      <c r="AS516" s="2">
        <f>VLOOKUP([jobnumber],OvalData[],MATCH(Table2[[#Headers],[First Preferated Slat From Bottom]],Table2[#Headers],0),0)</f>
        <v>0</v>
      </c>
      <c r="AT516" s="2">
        <f>VLOOKUP([jobnumber],OvalData[],MATCH(Table2[[#Headers],[Total Number of Slats]],Table2[#Headers],0),0)</f>
        <v>51</v>
      </c>
      <c r="AU516" s="2">
        <f>VLOOKUP([jobnumber],OvalData[],MATCH(Table2[[#Headers],[Bottom Bar Slope]],Table2[#Headers],0),0)</f>
        <v>0</v>
      </c>
      <c r="AV516" s="2">
        <f>VLOOKUP([jobnumber],OvalData[],MATCH(Table2[[#Headers],[Bottom Bar Weight]],Table2[#Headers],0),0)</f>
        <v>80.5</v>
      </c>
      <c r="AW516" s="2" t="str">
        <f>VLOOKUP([jobnumber],OvalData[],MATCH(Table2[[#Headers],[Outer Spring Gage]],Table2[#Headers],0),0)</f>
        <v>Null</v>
      </c>
      <c r="AX516" s="2" t="str">
        <f>VLOOKUP([jobnumber],OvalData[],MATCH(Table2[[#Headers],[Outer Spring OD]],Table2[#Headers],0),0)</f>
        <v>Null</v>
      </c>
      <c r="AY516" s="2" t="str">
        <f>VLOOKUP([jobnumber],OvalData[],MATCH(Table2[[#Headers],[Outer Spring Length]],Table2[#Headers],0),0)</f>
        <v>Null</v>
      </c>
      <c r="AZ516" s="2" t="str">
        <f>VLOOKUP([jobnumber],OvalData[],MATCH(Table2[[#Headers],[Outer Spring Stretch]],Table2[#Headers],0),0)</f>
        <v>Null</v>
      </c>
      <c r="BA516" s="2" t="str">
        <f>VLOOKUP([jobnumber],OvalData[],MATCH(Table2[[#Headers],[Outer Spring Torque]],Table2[#Headers],0),0)</f>
        <v>Null</v>
      </c>
      <c r="BB516" s="2" t="str">
        <f>VLOOKUP([jobnumber],OvalData[],MATCH(Table2[[#Headers],[Outer Spring Max Turns]],Table2[#Headers],0),0)</f>
        <v>Null</v>
      </c>
      <c r="BC516" s="2" t="str">
        <f>VLOOKUP([jobnumber],OvalData[],MATCH(Table2[[#Headers],[Outer Spring Weight]],Table2[#Headers],0),0)</f>
        <v>Null</v>
      </c>
      <c r="BD516" s="2" t="str">
        <f>VLOOKUP([jobnumber],OvalData[],MATCH(Table2[[#Headers],[Inner Spring Gage]],Table2[#Headers],0),0)</f>
        <v>Null</v>
      </c>
      <c r="BE516" s="2" t="str">
        <f>VLOOKUP([jobnumber],OvalData[],MATCH(Table2[[#Headers],[Inner Spring OD]],Table2[#Headers],0),0)</f>
        <v>Null</v>
      </c>
      <c r="BF516" s="2" t="str">
        <f>VLOOKUP([jobnumber],OvalData[],MATCH(Table2[[#Headers],[Inner Spring Length]],Table2[#Headers],0),0)</f>
        <v>Null</v>
      </c>
      <c r="BG516" s="2" t="str">
        <f>VLOOKUP([jobnumber],OvalData[],MATCH(Table2[[#Headers],[Inner Spring Stretch]],Table2[#Headers],0),0)</f>
        <v>Null</v>
      </c>
      <c r="BH516" s="2" t="str">
        <f>VLOOKUP([jobnumber],OvalData[],MATCH(Table2[[#Headers],[Inner Spring Torque]],Table2[#Headers],0),0)</f>
        <v>Null</v>
      </c>
      <c r="BI516" s="2" t="str">
        <f>VLOOKUP([jobnumber],OvalData[],MATCH(Table2[[#Headers],[Inner Spring Max Turns]],Table2[#Headers],0),0)</f>
        <v>Null</v>
      </c>
      <c r="BJ516" s="2" t="str">
        <f>VLOOKUP([jobnumber],OvalData[],MATCH(Table2[[#Headers],[Inner Spring Weight]],Table2[#Headers],0),0)</f>
        <v>Null</v>
      </c>
      <c r="BK516" s="2">
        <f>VLOOKUP([jobnumber],OvalData[],MATCH(Table2[[#Headers],[Cycles]],Table2[#Headers],0),0)</f>
        <v>0</v>
      </c>
      <c r="BL516" s="2">
        <f>VLOOKUP([jobnumber],OvalData[],MATCH(Table2[[#Headers],[Total Spring Torque]],Table2[#Headers],0),0)</f>
        <v>0</v>
      </c>
      <c r="BM516" s="2">
        <f>VLOOKUP([jobnumber],OvalData[],MATCH(Table2[[#Headers],[Total Spring Weight]],Table2[#Headers],0),0)</f>
        <v>0</v>
      </c>
      <c r="BN516" s="2">
        <f>VLOOKUP([jobnumber],OvalData[],MATCH(Table2[[#Headers],[Pipe Weight]],Table2[#Headers],0),0)</f>
        <v>688.24239999999998</v>
      </c>
      <c r="BO516" s="2">
        <f>VLOOKUP([jobnumber],OvalData[],MATCH(Table2[[#Headers],[Max Pipe Deflection]],Table2[#Headers],0),0)</f>
        <v>2309</v>
      </c>
      <c r="BP516" s="2">
        <f>VLOOKUP([jobnumber],OvalData[],MATCH(Table2[[#Headers],[Number Non-Insulated Wrap Slats]],Table2[#Headers],0),0)</f>
        <v>0</v>
      </c>
      <c r="BQ516" s="2">
        <f>VLOOKUP([jobnumber],OvalData[],MATCH(Table2[[#Headers],[Number of Insolated Top Slats]],Table2[#Headers],0),0)</f>
        <v>45</v>
      </c>
      <c r="BR516" s="2">
        <f>VLOOKUP([jobnumber],OvalData[],MATCH(Table2[[#Headers],[Insolated Total Slats]],Table2[#Headers],0),0)</f>
        <v>45</v>
      </c>
      <c r="BS516" s="2">
        <f>VLOOKUP([jobnumber],OvalData[],MATCH(Table2[[#Headers],[Number of Slats]],Table2[#Headers],0),0)</f>
        <v>44.69</v>
      </c>
      <c r="BT516" s="2">
        <f>VLOOKUP([jobnumber],OvalData[],MATCH(Table2[[#Headers],[Wrap]],Table2[#Headers],0),0)</f>
        <v>0</v>
      </c>
      <c r="BU516" s="2">
        <f>VLOOKUP([jobnumber],OvalData[],MATCH(Table2[[#Headers],[Wall Angle Thickness]],Table2[#Headers],0),0)</f>
        <v>0</v>
      </c>
      <c r="BV516" s="2">
        <f>VLOOKUP([jobnumber],OvalData[],MATCH(Table2[[#Headers],[windlocks]],Table2[#Headers],0),0)</f>
        <v>0</v>
      </c>
      <c r="BW516" s="2" t="str">
        <f>VLOOKUP([jobnumber],OvalData[],MATCH(Table2[[#Headers],[bottombartype]],Table2[#Headers],0),0)</f>
        <v>SPECIAL</v>
      </c>
      <c r="BX516" s="2">
        <f>VLOOKUP([jobnumber],OvalData[],MATCH(Table2[[#Headers],[endlockweight]],Table2[#Headers],0),0)</f>
        <v>0.17</v>
      </c>
      <c r="BY516" s="2">
        <f>VLOOKUP([jobnumber],OvalData[],MATCH(Table2[[#Headers],[Endlock Total Weight]],Table2[#Headers],0),0)</f>
        <v>7.5972999999999997</v>
      </c>
      <c r="BZ516" s="2">
        <f>VLOOKUP([jobnumber],OvalData[],MATCH(Table2[[#Headers],[Grille Weight]],Table2[#Headers],0),0)</f>
        <v>0</v>
      </c>
      <c r="CA516" s="2">
        <f>VLOOKUP([jobnumber],OvalData[],MATCH(Table2[[#Headers],[barrelrings]],Table2[#Headers],0),0)</f>
        <v>1</v>
      </c>
    </row>
    <row r="517" spans="2:79">
      <c r="B517" s="2" t="str">
        <f>VLOOKUP([jobnumber],OvalData[],MATCH(Table2[[#Headers],[Hand]],Table2[#Headers],0),0)</f>
        <v>RH</v>
      </c>
      <c r="C517" s="2" t="str">
        <f>VLOOKUP([jobnumber],OvalData[],MATCH(Table2[[#Headers],[Model]],Table2[#Headers],0),0)</f>
        <v>SFMPP</v>
      </c>
      <c r="D517" s="2" t="str">
        <f>VLOOKUP([jobnumber],OvalData[],MATCH(Table2[[#Headers],[width]],Table2[#Headers],0),0)</f>
        <v xml:space="preserve"> 18 ft.- 2"</v>
      </c>
      <c r="E517" s="2" t="str">
        <f>VLOOKUP([jobnumber],OvalData[],MATCH(Table2[[#Headers],[stopheight]],Table2[#Headers],0),0)</f>
        <v xml:space="preserve"> 10 ft.- 0"</v>
      </c>
      <c r="F517" s="2" t="str">
        <f>VLOOKUP([jobnumber],OvalData[],MATCH(Table2[[#Headers],[Between Brackets]],Table2[#Headers],0),0)</f>
        <v xml:space="preserve"> 18 ft.- 7 7/ 8"</v>
      </c>
      <c r="G517" s="2" t="str">
        <f>VLOOKUP([jobnumber],OvalData[],MATCH(Table2[[#Headers],[shell]],Table2[#Headers],0),0)</f>
        <v>6 INCH TUBE</v>
      </c>
      <c r="H517" s="2" t="str">
        <f>VLOOKUP([jobnumber],OvalData[],MATCH(Table2[[#Headers],[pipewidth]],Table2[#Headers],0),0)</f>
        <v xml:space="preserve"> 18 ft.- 1 3/ 8"</v>
      </c>
      <c r="I517" s="2">
        <f>VLOOKUP([jobnumber],OvalData[],MATCH(Table2[[#Headers],[Support Tubes]],Table2[#Headers],0),0)</f>
        <v>0</v>
      </c>
      <c r="J517" s="2">
        <f>VLOOKUP([jobnumber],OvalData[],MATCH(Table2[[#Headers],[Upset]],Table2[#Headers],0),0)</f>
        <v>2</v>
      </c>
      <c r="K517" s="2" t="str">
        <f>VLOOKUP([jobnumber],OvalData[],MATCH(Table2[[#Headers],[Guide Type]],Table2[#Headers],0),0)</f>
        <v>SN2-4 5/8-E</v>
      </c>
      <c r="L517" s="2" t="str">
        <f>VLOOKUP([jobnumber],OvalData[],MATCH(Table2[[#Headers],[Wall Angle]],Table2[#Headers],0),0)</f>
        <v xml:space="preserve"> 11 ft.- 8"</v>
      </c>
      <c r="M517" s="2" t="str">
        <f>VLOOKUP([jobnumber],OvalData[],MATCH(Table2[[#Headers],[Middle Angle]],Table2[#Headers],0),0)</f>
        <v xml:space="preserve"> 10 ft.- 4 1/ 2"</v>
      </c>
      <c r="N517" s="2" t="str">
        <f>VLOOKUP([jobnumber],OvalData[],MATCH(Table2[[#Headers],[Front Angle]],Table2[#Headers],0),0)</f>
        <v xml:space="preserve"> 10 ft.- 3"</v>
      </c>
      <c r="O517" s="2">
        <f>VLOOKUP([jobnumber],OvalData[],MATCH(Table2[[#Headers],[Pipe Center Line]],Table2[#Headers],0),0)</f>
        <v>131</v>
      </c>
      <c r="P517" s="2">
        <f>VLOOKUP([jobnumber],OvalData[],MATCH(Table2[[#Headers],[Heat Expansion Gap]],Table2[#Headers],0),0)</f>
        <v>0</v>
      </c>
      <c r="Q517" s="2">
        <f>VLOOKUP([jobnumber],OvalData[],MATCH(Table2[[#Headers],[Hanging Weight Closed]],Table2[#Headers],0),0)</f>
        <v>795</v>
      </c>
      <c r="R517" s="2">
        <f>VLOOKUP([jobnumber],OvalData[],MATCH(Table2[[#Headers],[Hanging Weight Open]],Table2[#Headers],0),0)</f>
        <v>140</v>
      </c>
      <c r="S517" s="2">
        <f>VLOOKUP([jobnumber],OvalData[],MATCH(Table2[[#Headers],[Initial Lever Arm]],Table2[#Headers],0),0)</f>
        <v>4.25</v>
      </c>
      <c r="T517" s="2">
        <f>VLOOKUP([jobnumber],OvalData[],MATCH(Table2[[#Headers],[Turns to Raise]],Table2[#Headers],0),0)</f>
        <v>3.5859999999999999</v>
      </c>
      <c r="U517" s="2">
        <f>VLOOKUP([jobnumber],OvalData[],MATCH(Table2[[#Headers],[Final Lever Arm]],Table2[#Headers],0),0)</f>
        <v>6.37</v>
      </c>
      <c r="V517" s="2">
        <f>VLOOKUP([jobnumber],OvalData[],MATCH(Table2[[#Headers],[Torque Required Closed]],Table2[#Headers],0),0)</f>
        <v>3377.9</v>
      </c>
      <c r="W517" s="2">
        <f>VLOOKUP([jobnumber],OvalData[],MATCH(Table2[[#Headers],[Torque Required Open]],Table2[#Headers],0),0)</f>
        <v>892</v>
      </c>
      <c r="X517" s="2">
        <f>VLOOKUP([jobnumber],OvalData[],MATCH(Table2[[#Headers],[Pre Turns]],Table2[#Headers],0),0)</f>
        <v>1.3332999999999999</v>
      </c>
      <c r="Y517" s="2">
        <f>VLOOKUP([jobnumber],OvalData[],MATCH(Table2[[#Headers],[Required Torque Per Turn]],Table2[#Headers],0),0)</f>
        <v>688</v>
      </c>
      <c r="Z517" s="2">
        <f>VLOOKUP([jobnumber],OvalData[],MATCH(Table2[[#Headers],[Total Turns]],Table2[#Headers],0),0)</f>
        <v>4.91</v>
      </c>
      <c r="AA517" s="2">
        <f>VLOOKUP([jobnumber],OvalData[],MATCH(Table2[[#Headers],[Grille Vision Section]],Table2[#Headers],0),0)</f>
        <v>0</v>
      </c>
      <c r="AB517" s="2">
        <f>VLOOKUP([jobnumber],OvalData[],MATCH(Table2[[#Headers],[Grille Amount]],Table2[#Headers],0),0)</f>
        <v>0</v>
      </c>
      <c r="AC517" s="2">
        <f>VLOOKUP([jobnumber],OvalData[],MATCH(Table2[[#Headers],[Grille Center]],Table2[#Headers],0),0)</f>
        <v>0</v>
      </c>
      <c r="AD517" s="2">
        <f>VLOOKUP([jobnumber],OvalData[],MATCH(Table2[[#Headers],[Grille Pattern]],Table2[#Headers],0),0)</f>
        <v>0</v>
      </c>
      <c r="AE517" s="2">
        <f>VLOOKUP([jobnumber],OvalData[],MATCH(Table2[[#Headers],[Grille First Tube]],Table2[#Headers],0),0)</f>
        <v>0</v>
      </c>
      <c r="AF517" s="2">
        <f>VLOOKUP([jobnumber],OvalData[],MATCH(Table2[[#Headers],[Grille Standard Tube]],Table2[#Headers],0),0)</f>
        <v>0</v>
      </c>
      <c r="AG517" s="2">
        <f>VLOOKUP([jobnumber],OvalData[],MATCH(Table2[[#Headers],[Grille Total Links]],Table2[#Headers],0),0)</f>
        <v>0</v>
      </c>
      <c r="AH517" s="2">
        <f>VLOOKUP([jobnumber],OvalData[],MATCH(Table2[[#Headers],[Grille Rods]],Table2[#Headers],0),0)</f>
        <v>0</v>
      </c>
      <c r="AI517" s="2">
        <f>VLOOKUP([jobnumber],OvalData[],MATCH(Table2[[#Headers],[Grille Rod Length]],Table2[#Headers],0),0)</f>
        <v>0</v>
      </c>
      <c r="AJ517" s="2">
        <f>VLOOKUP([jobnumber],OvalData[],MATCH(Table2[[#Headers],[slattype]],Table2[#Headers],0),0)</f>
        <v>2</v>
      </c>
      <c r="AK517" s="2">
        <f>VLOOKUP([jobnumber],OvalData[],MATCH(Table2[[#Headers],[slatgage]],Table2[#Headers],0),0)</f>
        <v>18</v>
      </c>
      <c r="AL517" s="2">
        <f>VLOOKUP([jobnumber],OvalData[],MATCH(Table2[[#Headers],[Numer of Top Slats]],Table2[#Headers],0),0)</f>
        <v>0</v>
      </c>
      <c r="AM517" s="2">
        <f>VLOOKUP([jobnumber],OvalData[],MATCH(Table2[[#Headers],[Number of Bottom Slats]],Table2[#Headers],0),0)</f>
        <v>0</v>
      </c>
      <c r="AN517" s="2">
        <f>VLOOKUP([jobnumber],OvalData[],MATCH(Table2[[#Headers],[Solid Bottom Height]],Table2[#Headers],0),0)</f>
        <v>0</v>
      </c>
      <c r="AO517" s="2" t="str">
        <f>VLOOKUP([jobnumber],OvalData[],MATCH(Table2[[#Headers],[slatlength]],Table2[#Headers],0),0)</f>
        <v xml:space="preserve"> 18 ft.- 5 7/ 8"</v>
      </c>
      <c r="AP517" s="2">
        <f>VLOOKUP([jobnumber],OvalData[],MATCH(Table2[[#Headers],[Bottom Slat Length]],Table2[#Headers],0),0)</f>
        <v>0</v>
      </c>
      <c r="AQ517" s="2">
        <f>VLOOKUP([jobnumber],OvalData[],MATCH(Table2[[#Headers],[Number of Perferated Slats]],Table2[#Headers],0),0)</f>
        <v>0</v>
      </c>
      <c r="AR517" s="2">
        <f>VLOOKUP([jobnumber],OvalData[],MATCH(Table2[[#Headers],[First Preferated Slat From End]],Table2[#Headers],0),0)</f>
        <v>0</v>
      </c>
      <c r="AS517" s="2">
        <f>VLOOKUP([jobnumber],OvalData[],MATCH(Table2[[#Headers],[First Preferated Slat From Bottom]],Table2[#Headers],0),0)</f>
        <v>0</v>
      </c>
      <c r="AT517" s="2">
        <f>VLOOKUP([jobnumber],OvalData[],MATCH(Table2[[#Headers],[Total Number of Slats]],Table2[#Headers],0),0)</f>
        <v>51</v>
      </c>
      <c r="AU517" s="2">
        <f>VLOOKUP([jobnumber],OvalData[],MATCH(Table2[[#Headers],[Bottom Bar Slope]],Table2[#Headers],0),0)</f>
        <v>0</v>
      </c>
      <c r="AV517" s="2">
        <f>VLOOKUP([jobnumber],OvalData[],MATCH(Table2[[#Headers],[Bottom Bar Weight]],Table2[#Headers],0),0)</f>
        <v>80.5</v>
      </c>
      <c r="AW517" s="2" t="str">
        <f>VLOOKUP([jobnumber],OvalData[],MATCH(Table2[[#Headers],[Outer Spring Gage]],Table2[#Headers],0),0)</f>
        <v>Null</v>
      </c>
      <c r="AX517" s="2" t="str">
        <f>VLOOKUP([jobnumber],OvalData[],MATCH(Table2[[#Headers],[Outer Spring OD]],Table2[#Headers],0),0)</f>
        <v>Null</v>
      </c>
      <c r="AY517" s="2" t="str">
        <f>VLOOKUP([jobnumber],OvalData[],MATCH(Table2[[#Headers],[Outer Spring Length]],Table2[#Headers],0),0)</f>
        <v>Null</v>
      </c>
      <c r="AZ517" s="2" t="str">
        <f>VLOOKUP([jobnumber],OvalData[],MATCH(Table2[[#Headers],[Outer Spring Stretch]],Table2[#Headers],0),0)</f>
        <v>Null</v>
      </c>
      <c r="BA517" s="2" t="str">
        <f>VLOOKUP([jobnumber],OvalData[],MATCH(Table2[[#Headers],[Outer Spring Torque]],Table2[#Headers],0),0)</f>
        <v>Null</v>
      </c>
      <c r="BB517" s="2" t="str">
        <f>VLOOKUP([jobnumber],OvalData[],MATCH(Table2[[#Headers],[Outer Spring Max Turns]],Table2[#Headers],0),0)</f>
        <v>Null</v>
      </c>
      <c r="BC517" s="2" t="str">
        <f>VLOOKUP([jobnumber],OvalData[],MATCH(Table2[[#Headers],[Outer Spring Weight]],Table2[#Headers],0),0)</f>
        <v>Null</v>
      </c>
      <c r="BD517" s="2" t="str">
        <f>VLOOKUP([jobnumber],OvalData[],MATCH(Table2[[#Headers],[Inner Spring Gage]],Table2[#Headers],0),0)</f>
        <v>Null</v>
      </c>
      <c r="BE517" s="2" t="str">
        <f>VLOOKUP([jobnumber],OvalData[],MATCH(Table2[[#Headers],[Inner Spring OD]],Table2[#Headers],0),0)</f>
        <v>Null</v>
      </c>
      <c r="BF517" s="2" t="str">
        <f>VLOOKUP([jobnumber],OvalData[],MATCH(Table2[[#Headers],[Inner Spring Length]],Table2[#Headers],0),0)</f>
        <v>Null</v>
      </c>
      <c r="BG517" s="2" t="str">
        <f>VLOOKUP([jobnumber],OvalData[],MATCH(Table2[[#Headers],[Inner Spring Stretch]],Table2[#Headers],0),0)</f>
        <v>Null</v>
      </c>
      <c r="BH517" s="2" t="str">
        <f>VLOOKUP([jobnumber],OvalData[],MATCH(Table2[[#Headers],[Inner Spring Torque]],Table2[#Headers],0),0)</f>
        <v>Null</v>
      </c>
      <c r="BI517" s="2" t="str">
        <f>VLOOKUP([jobnumber],OvalData[],MATCH(Table2[[#Headers],[Inner Spring Max Turns]],Table2[#Headers],0),0)</f>
        <v>Null</v>
      </c>
      <c r="BJ517" s="2" t="str">
        <f>VLOOKUP([jobnumber],OvalData[],MATCH(Table2[[#Headers],[Inner Spring Weight]],Table2[#Headers],0),0)</f>
        <v>Null</v>
      </c>
      <c r="BK517" s="2">
        <f>VLOOKUP([jobnumber],OvalData[],MATCH(Table2[[#Headers],[Cycles]],Table2[#Headers],0),0)</f>
        <v>0</v>
      </c>
      <c r="BL517" s="2">
        <f>VLOOKUP([jobnumber],OvalData[],MATCH(Table2[[#Headers],[Total Spring Torque]],Table2[#Headers],0),0)</f>
        <v>0</v>
      </c>
      <c r="BM517" s="2">
        <f>VLOOKUP([jobnumber],OvalData[],MATCH(Table2[[#Headers],[Total Spring Weight]],Table2[#Headers],0),0)</f>
        <v>0</v>
      </c>
      <c r="BN517" s="2">
        <f>VLOOKUP([jobnumber],OvalData[],MATCH(Table2[[#Headers],[Pipe Weight]],Table2[#Headers],0),0)</f>
        <v>688.24239999999998</v>
      </c>
      <c r="BO517" s="2">
        <f>VLOOKUP([jobnumber],OvalData[],MATCH(Table2[[#Headers],[Max Pipe Deflection]],Table2[#Headers],0),0)</f>
        <v>2309</v>
      </c>
      <c r="BP517" s="2">
        <f>VLOOKUP([jobnumber],OvalData[],MATCH(Table2[[#Headers],[Number Non-Insulated Wrap Slats]],Table2[#Headers],0),0)</f>
        <v>0</v>
      </c>
      <c r="BQ517" s="2">
        <f>VLOOKUP([jobnumber],OvalData[],MATCH(Table2[[#Headers],[Number of Insolated Top Slats]],Table2[#Headers],0),0)</f>
        <v>45</v>
      </c>
      <c r="BR517" s="2">
        <f>VLOOKUP([jobnumber],OvalData[],MATCH(Table2[[#Headers],[Insolated Total Slats]],Table2[#Headers],0),0)</f>
        <v>45</v>
      </c>
      <c r="BS517" s="2">
        <f>VLOOKUP([jobnumber],OvalData[],MATCH(Table2[[#Headers],[Number of Slats]],Table2[#Headers],0),0)</f>
        <v>44.69</v>
      </c>
      <c r="BT517" s="2">
        <f>VLOOKUP([jobnumber],OvalData[],MATCH(Table2[[#Headers],[Wrap]],Table2[#Headers],0),0)</f>
        <v>0</v>
      </c>
      <c r="BU517" s="2">
        <f>VLOOKUP([jobnumber],OvalData[],MATCH(Table2[[#Headers],[Wall Angle Thickness]],Table2[#Headers],0),0)</f>
        <v>0</v>
      </c>
      <c r="BV517" s="2">
        <f>VLOOKUP([jobnumber],OvalData[],MATCH(Table2[[#Headers],[windlocks]],Table2[#Headers],0),0)</f>
        <v>0</v>
      </c>
      <c r="BW517" s="2" t="str">
        <f>VLOOKUP([jobnumber],OvalData[],MATCH(Table2[[#Headers],[bottombartype]],Table2[#Headers],0),0)</f>
        <v>SPECIAL</v>
      </c>
      <c r="BX517" s="2">
        <f>VLOOKUP([jobnumber],OvalData[],MATCH(Table2[[#Headers],[endlockweight]],Table2[#Headers],0),0)</f>
        <v>0.17</v>
      </c>
      <c r="BY517" s="2">
        <f>VLOOKUP([jobnumber],OvalData[],MATCH(Table2[[#Headers],[Endlock Total Weight]],Table2[#Headers],0),0)</f>
        <v>7.5972999999999997</v>
      </c>
      <c r="BZ517" s="2">
        <f>VLOOKUP([jobnumber],OvalData[],MATCH(Table2[[#Headers],[Grille Weight]],Table2[#Headers],0),0)</f>
        <v>0</v>
      </c>
      <c r="CA517" s="2">
        <f>VLOOKUP([jobnumber],OvalData[],MATCH(Table2[[#Headers],[barrelrings]],Table2[#Headers],0),0)</f>
        <v>1</v>
      </c>
    </row>
    <row r="518" spans="2:79">
      <c r="B518" s="2" t="str">
        <f>VLOOKUP([jobnumber],OvalData[],MATCH(Table2[[#Headers],[Hand]],Table2[#Headers],0),0)</f>
        <v>RH</v>
      </c>
      <c r="C518" s="2" t="str">
        <f>VLOOKUP([jobnumber],OvalData[],MATCH(Table2[[#Headers],[Model]],Table2[#Headers],0),0)</f>
        <v>SFMPP</v>
      </c>
      <c r="D518" s="2" t="str">
        <f>VLOOKUP([jobnumber],OvalData[],MATCH(Table2[[#Headers],[width]],Table2[#Headers],0),0)</f>
        <v xml:space="preserve"> 18 ft.- 2"</v>
      </c>
      <c r="E518" s="2" t="str">
        <f>VLOOKUP([jobnumber],OvalData[],MATCH(Table2[[#Headers],[stopheight]],Table2[#Headers],0),0)</f>
        <v xml:space="preserve"> 10 ft.- 0"</v>
      </c>
      <c r="F518" s="2" t="str">
        <f>VLOOKUP([jobnumber],OvalData[],MATCH(Table2[[#Headers],[Between Brackets]],Table2[#Headers],0),0)</f>
        <v xml:space="preserve"> 18 ft.- 7 7/ 8"</v>
      </c>
      <c r="G518" s="2" t="str">
        <f>VLOOKUP([jobnumber],OvalData[],MATCH(Table2[[#Headers],[shell]],Table2[#Headers],0),0)</f>
        <v>6 INCH TUBE</v>
      </c>
      <c r="H518" s="2" t="str">
        <f>VLOOKUP([jobnumber],OvalData[],MATCH(Table2[[#Headers],[pipewidth]],Table2[#Headers],0),0)</f>
        <v xml:space="preserve"> 18 ft.- 1 3/ 8"</v>
      </c>
      <c r="I518" s="2">
        <f>VLOOKUP([jobnumber],OvalData[],MATCH(Table2[[#Headers],[Support Tubes]],Table2[#Headers],0),0)</f>
        <v>0</v>
      </c>
      <c r="J518" s="2">
        <f>VLOOKUP([jobnumber],OvalData[],MATCH(Table2[[#Headers],[Upset]],Table2[#Headers],0),0)</f>
        <v>2</v>
      </c>
      <c r="K518" s="2" t="str">
        <f>VLOOKUP([jobnumber],OvalData[],MATCH(Table2[[#Headers],[Guide Type]],Table2[#Headers],0),0)</f>
        <v>SN2-4 5/8-E</v>
      </c>
      <c r="L518" s="2" t="str">
        <f>VLOOKUP([jobnumber],OvalData[],MATCH(Table2[[#Headers],[Wall Angle]],Table2[#Headers],0),0)</f>
        <v xml:space="preserve"> 11 ft.- 8"</v>
      </c>
      <c r="M518" s="2" t="str">
        <f>VLOOKUP([jobnumber],OvalData[],MATCH(Table2[[#Headers],[Middle Angle]],Table2[#Headers],0),0)</f>
        <v xml:space="preserve"> 10 ft.- 4 1/ 2"</v>
      </c>
      <c r="N518" s="2" t="str">
        <f>VLOOKUP([jobnumber],OvalData[],MATCH(Table2[[#Headers],[Front Angle]],Table2[#Headers],0),0)</f>
        <v xml:space="preserve"> 10 ft.- 3"</v>
      </c>
      <c r="O518" s="2">
        <f>VLOOKUP([jobnumber],OvalData[],MATCH(Table2[[#Headers],[Pipe Center Line]],Table2[#Headers],0),0)</f>
        <v>131</v>
      </c>
      <c r="P518" s="2">
        <f>VLOOKUP([jobnumber],OvalData[],MATCH(Table2[[#Headers],[Heat Expansion Gap]],Table2[#Headers],0),0)</f>
        <v>0</v>
      </c>
      <c r="Q518" s="2">
        <f>VLOOKUP([jobnumber],OvalData[],MATCH(Table2[[#Headers],[Hanging Weight Closed]],Table2[#Headers],0),0)</f>
        <v>795</v>
      </c>
      <c r="R518" s="2">
        <f>VLOOKUP([jobnumber],OvalData[],MATCH(Table2[[#Headers],[Hanging Weight Open]],Table2[#Headers],0),0)</f>
        <v>140</v>
      </c>
      <c r="S518" s="2">
        <f>VLOOKUP([jobnumber],OvalData[],MATCH(Table2[[#Headers],[Initial Lever Arm]],Table2[#Headers],0),0)</f>
        <v>4.25</v>
      </c>
      <c r="T518" s="2">
        <f>VLOOKUP([jobnumber],OvalData[],MATCH(Table2[[#Headers],[Turns to Raise]],Table2[#Headers],0),0)</f>
        <v>3.5859999999999999</v>
      </c>
      <c r="U518" s="2">
        <f>VLOOKUP([jobnumber],OvalData[],MATCH(Table2[[#Headers],[Final Lever Arm]],Table2[#Headers],0),0)</f>
        <v>6.37</v>
      </c>
      <c r="V518" s="2">
        <f>VLOOKUP([jobnumber],OvalData[],MATCH(Table2[[#Headers],[Torque Required Closed]],Table2[#Headers],0),0)</f>
        <v>3377.9</v>
      </c>
      <c r="W518" s="2">
        <f>VLOOKUP([jobnumber],OvalData[],MATCH(Table2[[#Headers],[Torque Required Open]],Table2[#Headers],0),0)</f>
        <v>892</v>
      </c>
      <c r="X518" s="2">
        <f>VLOOKUP([jobnumber],OvalData[],MATCH(Table2[[#Headers],[Pre Turns]],Table2[#Headers],0),0)</f>
        <v>1.3332999999999999</v>
      </c>
      <c r="Y518" s="2">
        <f>VLOOKUP([jobnumber],OvalData[],MATCH(Table2[[#Headers],[Required Torque Per Turn]],Table2[#Headers],0),0)</f>
        <v>688</v>
      </c>
      <c r="Z518" s="2">
        <f>VLOOKUP([jobnumber],OvalData[],MATCH(Table2[[#Headers],[Total Turns]],Table2[#Headers],0),0)</f>
        <v>4.91</v>
      </c>
      <c r="AA518" s="2">
        <f>VLOOKUP([jobnumber],OvalData[],MATCH(Table2[[#Headers],[Grille Vision Section]],Table2[#Headers],0),0)</f>
        <v>0</v>
      </c>
      <c r="AB518" s="2">
        <f>VLOOKUP([jobnumber],OvalData[],MATCH(Table2[[#Headers],[Grille Amount]],Table2[#Headers],0),0)</f>
        <v>0</v>
      </c>
      <c r="AC518" s="2">
        <f>VLOOKUP([jobnumber],OvalData[],MATCH(Table2[[#Headers],[Grille Center]],Table2[#Headers],0),0)</f>
        <v>0</v>
      </c>
      <c r="AD518" s="2">
        <f>VLOOKUP([jobnumber],OvalData[],MATCH(Table2[[#Headers],[Grille Pattern]],Table2[#Headers],0),0)</f>
        <v>0</v>
      </c>
      <c r="AE518" s="2">
        <f>VLOOKUP([jobnumber],OvalData[],MATCH(Table2[[#Headers],[Grille First Tube]],Table2[#Headers],0),0)</f>
        <v>0</v>
      </c>
      <c r="AF518" s="2">
        <f>VLOOKUP([jobnumber],OvalData[],MATCH(Table2[[#Headers],[Grille Standard Tube]],Table2[#Headers],0),0)</f>
        <v>0</v>
      </c>
      <c r="AG518" s="2">
        <f>VLOOKUP([jobnumber],OvalData[],MATCH(Table2[[#Headers],[Grille Total Links]],Table2[#Headers],0),0)</f>
        <v>0</v>
      </c>
      <c r="AH518" s="2">
        <f>VLOOKUP([jobnumber],OvalData[],MATCH(Table2[[#Headers],[Grille Rods]],Table2[#Headers],0),0)</f>
        <v>0</v>
      </c>
      <c r="AI518" s="2">
        <f>VLOOKUP([jobnumber],OvalData[],MATCH(Table2[[#Headers],[Grille Rod Length]],Table2[#Headers],0),0)</f>
        <v>0</v>
      </c>
      <c r="AJ518" s="2">
        <f>VLOOKUP([jobnumber],OvalData[],MATCH(Table2[[#Headers],[slattype]],Table2[#Headers],0),0)</f>
        <v>2</v>
      </c>
      <c r="AK518" s="2">
        <f>VLOOKUP([jobnumber],OvalData[],MATCH(Table2[[#Headers],[slatgage]],Table2[#Headers],0),0)</f>
        <v>18</v>
      </c>
      <c r="AL518" s="2">
        <f>VLOOKUP([jobnumber],OvalData[],MATCH(Table2[[#Headers],[Numer of Top Slats]],Table2[#Headers],0),0)</f>
        <v>0</v>
      </c>
      <c r="AM518" s="2">
        <f>VLOOKUP([jobnumber],OvalData[],MATCH(Table2[[#Headers],[Number of Bottom Slats]],Table2[#Headers],0),0)</f>
        <v>0</v>
      </c>
      <c r="AN518" s="2">
        <f>VLOOKUP([jobnumber],OvalData[],MATCH(Table2[[#Headers],[Solid Bottom Height]],Table2[#Headers],0),0)</f>
        <v>0</v>
      </c>
      <c r="AO518" s="2" t="str">
        <f>VLOOKUP([jobnumber],OvalData[],MATCH(Table2[[#Headers],[slatlength]],Table2[#Headers],0),0)</f>
        <v xml:space="preserve"> 18 ft.- 5 7/ 8"</v>
      </c>
      <c r="AP518" s="2">
        <f>VLOOKUP([jobnumber],OvalData[],MATCH(Table2[[#Headers],[Bottom Slat Length]],Table2[#Headers],0),0)</f>
        <v>0</v>
      </c>
      <c r="AQ518" s="2">
        <f>VLOOKUP([jobnumber],OvalData[],MATCH(Table2[[#Headers],[Number of Perferated Slats]],Table2[#Headers],0),0)</f>
        <v>0</v>
      </c>
      <c r="AR518" s="2">
        <f>VLOOKUP([jobnumber],OvalData[],MATCH(Table2[[#Headers],[First Preferated Slat From End]],Table2[#Headers],0),0)</f>
        <v>0</v>
      </c>
      <c r="AS518" s="2">
        <f>VLOOKUP([jobnumber],OvalData[],MATCH(Table2[[#Headers],[First Preferated Slat From Bottom]],Table2[#Headers],0),0)</f>
        <v>0</v>
      </c>
      <c r="AT518" s="2">
        <f>VLOOKUP([jobnumber],OvalData[],MATCH(Table2[[#Headers],[Total Number of Slats]],Table2[#Headers],0),0)</f>
        <v>51</v>
      </c>
      <c r="AU518" s="2">
        <f>VLOOKUP([jobnumber],OvalData[],MATCH(Table2[[#Headers],[Bottom Bar Slope]],Table2[#Headers],0),0)</f>
        <v>0</v>
      </c>
      <c r="AV518" s="2">
        <f>VLOOKUP([jobnumber],OvalData[],MATCH(Table2[[#Headers],[Bottom Bar Weight]],Table2[#Headers],0),0)</f>
        <v>80.5</v>
      </c>
      <c r="AW518" s="2" t="str">
        <f>VLOOKUP([jobnumber],OvalData[],MATCH(Table2[[#Headers],[Outer Spring Gage]],Table2[#Headers],0),0)</f>
        <v>Null</v>
      </c>
      <c r="AX518" s="2" t="str">
        <f>VLOOKUP([jobnumber],OvalData[],MATCH(Table2[[#Headers],[Outer Spring OD]],Table2[#Headers],0),0)</f>
        <v>Null</v>
      </c>
      <c r="AY518" s="2" t="str">
        <f>VLOOKUP([jobnumber],OvalData[],MATCH(Table2[[#Headers],[Outer Spring Length]],Table2[#Headers],0),0)</f>
        <v>Null</v>
      </c>
      <c r="AZ518" s="2" t="str">
        <f>VLOOKUP([jobnumber],OvalData[],MATCH(Table2[[#Headers],[Outer Spring Stretch]],Table2[#Headers],0),0)</f>
        <v>Null</v>
      </c>
      <c r="BA518" s="2" t="str">
        <f>VLOOKUP([jobnumber],OvalData[],MATCH(Table2[[#Headers],[Outer Spring Torque]],Table2[#Headers],0),0)</f>
        <v>Null</v>
      </c>
      <c r="BB518" s="2" t="str">
        <f>VLOOKUP([jobnumber],OvalData[],MATCH(Table2[[#Headers],[Outer Spring Max Turns]],Table2[#Headers],0),0)</f>
        <v>Null</v>
      </c>
      <c r="BC518" s="2" t="str">
        <f>VLOOKUP([jobnumber],OvalData[],MATCH(Table2[[#Headers],[Outer Spring Weight]],Table2[#Headers],0),0)</f>
        <v>Null</v>
      </c>
      <c r="BD518" s="2" t="str">
        <f>VLOOKUP([jobnumber],OvalData[],MATCH(Table2[[#Headers],[Inner Spring Gage]],Table2[#Headers],0),0)</f>
        <v>Null</v>
      </c>
      <c r="BE518" s="2" t="str">
        <f>VLOOKUP([jobnumber],OvalData[],MATCH(Table2[[#Headers],[Inner Spring OD]],Table2[#Headers],0),0)</f>
        <v>Null</v>
      </c>
      <c r="BF518" s="2" t="str">
        <f>VLOOKUP([jobnumber],OvalData[],MATCH(Table2[[#Headers],[Inner Spring Length]],Table2[#Headers],0),0)</f>
        <v>Null</v>
      </c>
      <c r="BG518" s="2" t="str">
        <f>VLOOKUP([jobnumber],OvalData[],MATCH(Table2[[#Headers],[Inner Spring Stretch]],Table2[#Headers],0),0)</f>
        <v>Null</v>
      </c>
      <c r="BH518" s="2" t="str">
        <f>VLOOKUP([jobnumber],OvalData[],MATCH(Table2[[#Headers],[Inner Spring Torque]],Table2[#Headers],0),0)</f>
        <v>Null</v>
      </c>
      <c r="BI518" s="2" t="str">
        <f>VLOOKUP([jobnumber],OvalData[],MATCH(Table2[[#Headers],[Inner Spring Max Turns]],Table2[#Headers],0),0)</f>
        <v>Null</v>
      </c>
      <c r="BJ518" s="2" t="str">
        <f>VLOOKUP([jobnumber],OvalData[],MATCH(Table2[[#Headers],[Inner Spring Weight]],Table2[#Headers],0),0)</f>
        <v>Null</v>
      </c>
      <c r="BK518" s="2">
        <f>VLOOKUP([jobnumber],OvalData[],MATCH(Table2[[#Headers],[Cycles]],Table2[#Headers],0),0)</f>
        <v>0</v>
      </c>
      <c r="BL518" s="2">
        <f>VLOOKUP([jobnumber],OvalData[],MATCH(Table2[[#Headers],[Total Spring Torque]],Table2[#Headers],0),0)</f>
        <v>0</v>
      </c>
      <c r="BM518" s="2">
        <f>VLOOKUP([jobnumber],OvalData[],MATCH(Table2[[#Headers],[Total Spring Weight]],Table2[#Headers],0),0)</f>
        <v>0</v>
      </c>
      <c r="BN518" s="2">
        <f>VLOOKUP([jobnumber],OvalData[],MATCH(Table2[[#Headers],[Pipe Weight]],Table2[#Headers],0),0)</f>
        <v>688.24239999999998</v>
      </c>
      <c r="BO518" s="2">
        <f>VLOOKUP([jobnumber],OvalData[],MATCH(Table2[[#Headers],[Max Pipe Deflection]],Table2[#Headers],0),0)</f>
        <v>2309</v>
      </c>
      <c r="BP518" s="2">
        <f>VLOOKUP([jobnumber],OvalData[],MATCH(Table2[[#Headers],[Number Non-Insulated Wrap Slats]],Table2[#Headers],0),0)</f>
        <v>0</v>
      </c>
      <c r="BQ518" s="2">
        <f>VLOOKUP([jobnumber],OvalData[],MATCH(Table2[[#Headers],[Number of Insolated Top Slats]],Table2[#Headers],0),0)</f>
        <v>45</v>
      </c>
      <c r="BR518" s="2">
        <f>VLOOKUP([jobnumber],OvalData[],MATCH(Table2[[#Headers],[Insolated Total Slats]],Table2[#Headers],0),0)</f>
        <v>45</v>
      </c>
      <c r="BS518" s="2">
        <f>VLOOKUP([jobnumber],OvalData[],MATCH(Table2[[#Headers],[Number of Slats]],Table2[#Headers],0),0)</f>
        <v>44.69</v>
      </c>
      <c r="BT518" s="2">
        <f>VLOOKUP([jobnumber],OvalData[],MATCH(Table2[[#Headers],[Wrap]],Table2[#Headers],0),0)</f>
        <v>0</v>
      </c>
      <c r="BU518" s="2">
        <f>VLOOKUP([jobnumber],OvalData[],MATCH(Table2[[#Headers],[Wall Angle Thickness]],Table2[#Headers],0),0)</f>
        <v>0</v>
      </c>
      <c r="BV518" s="2">
        <f>VLOOKUP([jobnumber],OvalData[],MATCH(Table2[[#Headers],[windlocks]],Table2[#Headers],0),0)</f>
        <v>0</v>
      </c>
      <c r="BW518" s="2" t="str">
        <f>VLOOKUP([jobnumber],OvalData[],MATCH(Table2[[#Headers],[bottombartype]],Table2[#Headers],0),0)</f>
        <v>SPECIAL</v>
      </c>
      <c r="BX518" s="2">
        <f>VLOOKUP([jobnumber],OvalData[],MATCH(Table2[[#Headers],[endlockweight]],Table2[#Headers],0),0)</f>
        <v>0.17</v>
      </c>
      <c r="BY518" s="2">
        <f>VLOOKUP([jobnumber],OvalData[],MATCH(Table2[[#Headers],[Endlock Total Weight]],Table2[#Headers],0),0)</f>
        <v>7.5972999999999997</v>
      </c>
      <c r="BZ518" s="2">
        <f>VLOOKUP([jobnumber],OvalData[],MATCH(Table2[[#Headers],[Grille Weight]],Table2[#Headers],0),0)</f>
        <v>0</v>
      </c>
      <c r="CA518" s="2">
        <f>VLOOKUP([jobnumber],OvalData[],MATCH(Table2[[#Headers],[barrelrings]],Table2[#Headers],0),0)</f>
        <v>1</v>
      </c>
    </row>
    <row r="519" spans="2:79">
      <c r="B519" s="2" t="str">
        <f>VLOOKUP([jobnumber],OvalData[],MATCH(Table2[[#Headers],[Hand]],Table2[#Headers],0),0)</f>
        <v>RH</v>
      </c>
      <c r="C519" s="2" t="str">
        <f>VLOOKUP([jobnumber],OvalData[],MATCH(Table2[[#Headers],[Model]],Table2[#Headers],0),0)</f>
        <v>SFMPP</v>
      </c>
      <c r="D519" s="2" t="str">
        <f>VLOOKUP([jobnumber],OvalData[],MATCH(Table2[[#Headers],[width]],Table2[#Headers],0),0)</f>
        <v xml:space="preserve"> 18 ft.- 2"</v>
      </c>
      <c r="E519" s="2" t="str">
        <f>VLOOKUP([jobnumber],OvalData[],MATCH(Table2[[#Headers],[stopheight]],Table2[#Headers],0),0)</f>
        <v xml:space="preserve"> 10 ft.- 0"</v>
      </c>
      <c r="F519" s="2" t="str">
        <f>VLOOKUP([jobnumber],OvalData[],MATCH(Table2[[#Headers],[Between Brackets]],Table2[#Headers],0),0)</f>
        <v xml:space="preserve"> 18 ft.- 7 7/ 8"</v>
      </c>
      <c r="G519" s="2" t="str">
        <f>VLOOKUP([jobnumber],OvalData[],MATCH(Table2[[#Headers],[shell]],Table2[#Headers],0),0)</f>
        <v>6 INCH TUBE</v>
      </c>
      <c r="H519" s="2" t="str">
        <f>VLOOKUP([jobnumber],OvalData[],MATCH(Table2[[#Headers],[pipewidth]],Table2[#Headers],0),0)</f>
        <v xml:space="preserve"> 18 ft.- 1 3/ 8"</v>
      </c>
      <c r="I519" s="2">
        <f>VLOOKUP([jobnumber],OvalData[],MATCH(Table2[[#Headers],[Support Tubes]],Table2[#Headers],0),0)</f>
        <v>0</v>
      </c>
      <c r="J519" s="2">
        <f>VLOOKUP([jobnumber],OvalData[],MATCH(Table2[[#Headers],[Upset]],Table2[#Headers],0),0)</f>
        <v>2</v>
      </c>
      <c r="K519" s="2" t="str">
        <f>VLOOKUP([jobnumber],OvalData[],MATCH(Table2[[#Headers],[Guide Type]],Table2[#Headers],0),0)</f>
        <v>SN2-4 5/8-E</v>
      </c>
      <c r="L519" s="2" t="str">
        <f>VLOOKUP([jobnumber],OvalData[],MATCH(Table2[[#Headers],[Wall Angle]],Table2[#Headers],0),0)</f>
        <v xml:space="preserve"> 11 ft.- 8"</v>
      </c>
      <c r="M519" s="2" t="str">
        <f>VLOOKUP([jobnumber],OvalData[],MATCH(Table2[[#Headers],[Middle Angle]],Table2[#Headers],0),0)</f>
        <v xml:space="preserve"> 10 ft.- 4 1/ 2"</v>
      </c>
      <c r="N519" s="2" t="str">
        <f>VLOOKUP([jobnumber],OvalData[],MATCH(Table2[[#Headers],[Front Angle]],Table2[#Headers],0),0)</f>
        <v xml:space="preserve"> 10 ft.- 3"</v>
      </c>
      <c r="O519" s="2">
        <f>VLOOKUP([jobnumber],OvalData[],MATCH(Table2[[#Headers],[Pipe Center Line]],Table2[#Headers],0),0)</f>
        <v>131</v>
      </c>
      <c r="P519" s="2">
        <f>VLOOKUP([jobnumber],OvalData[],MATCH(Table2[[#Headers],[Heat Expansion Gap]],Table2[#Headers],0),0)</f>
        <v>0</v>
      </c>
      <c r="Q519" s="2">
        <f>VLOOKUP([jobnumber],OvalData[],MATCH(Table2[[#Headers],[Hanging Weight Closed]],Table2[#Headers],0),0)</f>
        <v>795</v>
      </c>
      <c r="R519" s="2">
        <f>VLOOKUP([jobnumber],OvalData[],MATCH(Table2[[#Headers],[Hanging Weight Open]],Table2[#Headers],0),0)</f>
        <v>140</v>
      </c>
      <c r="S519" s="2">
        <f>VLOOKUP([jobnumber],OvalData[],MATCH(Table2[[#Headers],[Initial Lever Arm]],Table2[#Headers],0),0)</f>
        <v>4.25</v>
      </c>
      <c r="T519" s="2">
        <f>VLOOKUP([jobnumber],OvalData[],MATCH(Table2[[#Headers],[Turns to Raise]],Table2[#Headers],0),0)</f>
        <v>3.5859999999999999</v>
      </c>
      <c r="U519" s="2">
        <f>VLOOKUP([jobnumber],OvalData[],MATCH(Table2[[#Headers],[Final Lever Arm]],Table2[#Headers],0),0)</f>
        <v>6.37</v>
      </c>
      <c r="V519" s="2">
        <f>VLOOKUP([jobnumber],OvalData[],MATCH(Table2[[#Headers],[Torque Required Closed]],Table2[#Headers],0),0)</f>
        <v>3377.9</v>
      </c>
      <c r="W519" s="2">
        <f>VLOOKUP([jobnumber],OvalData[],MATCH(Table2[[#Headers],[Torque Required Open]],Table2[#Headers],0),0)</f>
        <v>892</v>
      </c>
      <c r="X519" s="2">
        <f>VLOOKUP([jobnumber],OvalData[],MATCH(Table2[[#Headers],[Pre Turns]],Table2[#Headers],0),0)</f>
        <v>1.3332999999999999</v>
      </c>
      <c r="Y519" s="2">
        <f>VLOOKUP([jobnumber],OvalData[],MATCH(Table2[[#Headers],[Required Torque Per Turn]],Table2[#Headers],0),0)</f>
        <v>688</v>
      </c>
      <c r="Z519" s="2">
        <f>VLOOKUP([jobnumber],OvalData[],MATCH(Table2[[#Headers],[Total Turns]],Table2[#Headers],0),0)</f>
        <v>4.91</v>
      </c>
      <c r="AA519" s="2">
        <f>VLOOKUP([jobnumber],OvalData[],MATCH(Table2[[#Headers],[Grille Vision Section]],Table2[#Headers],0),0)</f>
        <v>0</v>
      </c>
      <c r="AB519" s="2">
        <f>VLOOKUP([jobnumber],OvalData[],MATCH(Table2[[#Headers],[Grille Amount]],Table2[#Headers],0),0)</f>
        <v>0</v>
      </c>
      <c r="AC519" s="2">
        <f>VLOOKUP([jobnumber],OvalData[],MATCH(Table2[[#Headers],[Grille Center]],Table2[#Headers],0),0)</f>
        <v>0</v>
      </c>
      <c r="AD519" s="2">
        <f>VLOOKUP([jobnumber],OvalData[],MATCH(Table2[[#Headers],[Grille Pattern]],Table2[#Headers],0),0)</f>
        <v>0</v>
      </c>
      <c r="AE519" s="2">
        <f>VLOOKUP([jobnumber],OvalData[],MATCH(Table2[[#Headers],[Grille First Tube]],Table2[#Headers],0),0)</f>
        <v>0</v>
      </c>
      <c r="AF519" s="2">
        <f>VLOOKUP([jobnumber],OvalData[],MATCH(Table2[[#Headers],[Grille Standard Tube]],Table2[#Headers],0),0)</f>
        <v>0</v>
      </c>
      <c r="AG519" s="2">
        <f>VLOOKUP([jobnumber],OvalData[],MATCH(Table2[[#Headers],[Grille Total Links]],Table2[#Headers],0),0)</f>
        <v>0</v>
      </c>
      <c r="AH519" s="2">
        <f>VLOOKUP([jobnumber],OvalData[],MATCH(Table2[[#Headers],[Grille Rods]],Table2[#Headers],0),0)</f>
        <v>0</v>
      </c>
      <c r="AI519" s="2">
        <f>VLOOKUP([jobnumber],OvalData[],MATCH(Table2[[#Headers],[Grille Rod Length]],Table2[#Headers],0),0)</f>
        <v>0</v>
      </c>
      <c r="AJ519" s="2">
        <f>VLOOKUP([jobnumber],OvalData[],MATCH(Table2[[#Headers],[slattype]],Table2[#Headers],0),0)</f>
        <v>2</v>
      </c>
      <c r="AK519" s="2">
        <f>VLOOKUP([jobnumber],OvalData[],MATCH(Table2[[#Headers],[slatgage]],Table2[#Headers],0),0)</f>
        <v>18</v>
      </c>
      <c r="AL519" s="2">
        <f>VLOOKUP([jobnumber],OvalData[],MATCH(Table2[[#Headers],[Numer of Top Slats]],Table2[#Headers],0),0)</f>
        <v>0</v>
      </c>
      <c r="AM519" s="2">
        <f>VLOOKUP([jobnumber],OvalData[],MATCH(Table2[[#Headers],[Number of Bottom Slats]],Table2[#Headers],0),0)</f>
        <v>0</v>
      </c>
      <c r="AN519" s="2">
        <f>VLOOKUP([jobnumber],OvalData[],MATCH(Table2[[#Headers],[Solid Bottom Height]],Table2[#Headers],0),0)</f>
        <v>0</v>
      </c>
      <c r="AO519" s="2" t="str">
        <f>VLOOKUP([jobnumber],OvalData[],MATCH(Table2[[#Headers],[slatlength]],Table2[#Headers],0),0)</f>
        <v xml:space="preserve"> 18 ft.- 5 7/ 8"</v>
      </c>
      <c r="AP519" s="2">
        <f>VLOOKUP([jobnumber],OvalData[],MATCH(Table2[[#Headers],[Bottom Slat Length]],Table2[#Headers],0),0)</f>
        <v>0</v>
      </c>
      <c r="AQ519" s="2">
        <f>VLOOKUP([jobnumber],OvalData[],MATCH(Table2[[#Headers],[Number of Perferated Slats]],Table2[#Headers],0),0)</f>
        <v>0</v>
      </c>
      <c r="AR519" s="2">
        <f>VLOOKUP([jobnumber],OvalData[],MATCH(Table2[[#Headers],[First Preferated Slat From End]],Table2[#Headers],0),0)</f>
        <v>0</v>
      </c>
      <c r="AS519" s="2">
        <f>VLOOKUP([jobnumber],OvalData[],MATCH(Table2[[#Headers],[First Preferated Slat From Bottom]],Table2[#Headers],0),0)</f>
        <v>0</v>
      </c>
      <c r="AT519" s="2">
        <f>VLOOKUP([jobnumber],OvalData[],MATCH(Table2[[#Headers],[Total Number of Slats]],Table2[#Headers],0),0)</f>
        <v>51</v>
      </c>
      <c r="AU519" s="2">
        <f>VLOOKUP([jobnumber],OvalData[],MATCH(Table2[[#Headers],[Bottom Bar Slope]],Table2[#Headers],0),0)</f>
        <v>0</v>
      </c>
      <c r="AV519" s="2">
        <f>VLOOKUP([jobnumber],OvalData[],MATCH(Table2[[#Headers],[Bottom Bar Weight]],Table2[#Headers],0),0)</f>
        <v>80.5</v>
      </c>
      <c r="AW519" s="2" t="str">
        <f>VLOOKUP([jobnumber],OvalData[],MATCH(Table2[[#Headers],[Outer Spring Gage]],Table2[#Headers],0),0)</f>
        <v>Null</v>
      </c>
      <c r="AX519" s="2" t="str">
        <f>VLOOKUP([jobnumber],OvalData[],MATCH(Table2[[#Headers],[Outer Spring OD]],Table2[#Headers],0),0)</f>
        <v>Null</v>
      </c>
      <c r="AY519" s="2" t="str">
        <f>VLOOKUP([jobnumber],OvalData[],MATCH(Table2[[#Headers],[Outer Spring Length]],Table2[#Headers],0),0)</f>
        <v>Null</v>
      </c>
      <c r="AZ519" s="2" t="str">
        <f>VLOOKUP([jobnumber],OvalData[],MATCH(Table2[[#Headers],[Outer Spring Stretch]],Table2[#Headers],0),0)</f>
        <v>Null</v>
      </c>
      <c r="BA519" s="2" t="str">
        <f>VLOOKUP([jobnumber],OvalData[],MATCH(Table2[[#Headers],[Outer Spring Torque]],Table2[#Headers],0),0)</f>
        <v>Null</v>
      </c>
      <c r="BB519" s="2" t="str">
        <f>VLOOKUP([jobnumber],OvalData[],MATCH(Table2[[#Headers],[Outer Spring Max Turns]],Table2[#Headers],0),0)</f>
        <v>Null</v>
      </c>
      <c r="BC519" s="2" t="str">
        <f>VLOOKUP([jobnumber],OvalData[],MATCH(Table2[[#Headers],[Outer Spring Weight]],Table2[#Headers],0),0)</f>
        <v>Null</v>
      </c>
      <c r="BD519" s="2" t="str">
        <f>VLOOKUP([jobnumber],OvalData[],MATCH(Table2[[#Headers],[Inner Spring Gage]],Table2[#Headers],0),0)</f>
        <v>Null</v>
      </c>
      <c r="BE519" s="2" t="str">
        <f>VLOOKUP([jobnumber],OvalData[],MATCH(Table2[[#Headers],[Inner Spring OD]],Table2[#Headers],0),0)</f>
        <v>Null</v>
      </c>
      <c r="BF519" s="2" t="str">
        <f>VLOOKUP([jobnumber],OvalData[],MATCH(Table2[[#Headers],[Inner Spring Length]],Table2[#Headers],0),0)</f>
        <v>Null</v>
      </c>
      <c r="BG519" s="2" t="str">
        <f>VLOOKUP([jobnumber],OvalData[],MATCH(Table2[[#Headers],[Inner Spring Stretch]],Table2[#Headers],0),0)</f>
        <v>Null</v>
      </c>
      <c r="BH519" s="2" t="str">
        <f>VLOOKUP([jobnumber],OvalData[],MATCH(Table2[[#Headers],[Inner Spring Torque]],Table2[#Headers],0),0)</f>
        <v>Null</v>
      </c>
      <c r="BI519" s="2" t="str">
        <f>VLOOKUP([jobnumber],OvalData[],MATCH(Table2[[#Headers],[Inner Spring Max Turns]],Table2[#Headers],0),0)</f>
        <v>Null</v>
      </c>
      <c r="BJ519" s="2" t="str">
        <f>VLOOKUP([jobnumber],OvalData[],MATCH(Table2[[#Headers],[Inner Spring Weight]],Table2[#Headers],0),0)</f>
        <v>Null</v>
      </c>
      <c r="BK519" s="2">
        <f>VLOOKUP([jobnumber],OvalData[],MATCH(Table2[[#Headers],[Cycles]],Table2[#Headers],0),0)</f>
        <v>0</v>
      </c>
      <c r="BL519" s="2">
        <f>VLOOKUP([jobnumber],OvalData[],MATCH(Table2[[#Headers],[Total Spring Torque]],Table2[#Headers],0),0)</f>
        <v>0</v>
      </c>
      <c r="BM519" s="2">
        <f>VLOOKUP([jobnumber],OvalData[],MATCH(Table2[[#Headers],[Total Spring Weight]],Table2[#Headers],0),0)</f>
        <v>0</v>
      </c>
      <c r="BN519" s="2">
        <f>VLOOKUP([jobnumber],OvalData[],MATCH(Table2[[#Headers],[Pipe Weight]],Table2[#Headers],0),0)</f>
        <v>688.24239999999998</v>
      </c>
      <c r="BO519" s="2">
        <f>VLOOKUP([jobnumber],OvalData[],MATCH(Table2[[#Headers],[Max Pipe Deflection]],Table2[#Headers],0),0)</f>
        <v>2309</v>
      </c>
      <c r="BP519" s="2">
        <f>VLOOKUP([jobnumber],OvalData[],MATCH(Table2[[#Headers],[Number Non-Insulated Wrap Slats]],Table2[#Headers],0),0)</f>
        <v>0</v>
      </c>
      <c r="BQ519" s="2">
        <f>VLOOKUP([jobnumber],OvalData[],MATCH(Table2[[#Headers],[Number of Insolated Top Slats]],Table2[#Headers],0),0)</f>
        <v>45</v>
      </c>
      <c r="BR519" s="2">
        <f>VLOOKUP([jobnumber],OvalData[],MATCH(Table2[[#Headers],[Insolated Total Slats]],Table2[#Headers],0),0)</f>
        <v>45</v>
      </c>
      <c r="BS519" s="2">
        <f>VLOOKUP([jobnumber],OvalData[],MATCH(Table2[[#Headers],[Number of Slats]],Table2[#Headers],0),0)</f>
        <v>44.69</v>
      </c>
      <c r="BT519" s="2">
        <f>VLOOKUP([jobnumber],OvalData[],MATCH(Table2[[#Headers],[Wrap]],Table2[#Headers],0),0)</f>
        <v>0</v>
      </c>
      <c r="BU519" s="2">
        <f>VLOOKUP([jobnumber],OvalData[],MATCH(Table2[[#Headers],[Wall Angle Thickness]],Table2[#Headers],0),0)</f>
        <v>0</v>
      </c>
      <c r="BV519" s="2">
        <f>VLOOKUP([jobnumber],OvalData[],MATCH(Table2[[#Headers],[windlocks]],Table2[#Headers],0),0)</f>
        <v>0</v>
      </c>
      <c r="BW519" s="2" t="str">
        <f>VLOOKUP([jobnumber],OvalData[],MATCH(Table2[[#Headers],[bottombartype]],Table2[#Headers],0),0)</f>
        <v>SPECIAL</v>
      </c>
      <c r="BX519" s="2">
        <f>VLOOKUP([jobnumber],OvalData[],MATCH(Table2[[#Headers],[endlockweight]],Table2[#Headers],0),0)</f>
        <v>0.17</v>
      </c>
      <c r="BY519" s="2">
        <f>VLOOKUP([jobnumber],OvalData[],MATCH(Table2[[#Headers],[Endlock Total Weight]],Table2[#Headers],0),0)</f>
        <v>7.5972999999999997</v>
      </c>
      <c r="BZ519" s="2">
        <f>VLOOKUP([jobnumber],OvalData[],MATCH(Table2[[#Headers],[Grille Weight]],Table2[#Headers],0),0)</f>
        <v>0</v>
      </c>
      <c r="CA519" s="2">
        <f>VLOOKUP([jobnumber],OvalData[],MATCH(Table2[[#Headers],[barrelrings]],Table2[#Headers],0),0)</f>
        <v>1</v>
      </c>
    </row>
    <row r="520" spans="2:79">
      <c r="B520" s="2" t="str">
        <f>VLOOKUP([jobnumber],OvalData[],MATCH(Table2[[#Headers],[Hand]],Table2[#Headers],0),0)</f>
        <v>RH</v>
      </c>
      <c r="C520" s="2" t="str">
        <f>VLOOKUP([jobnumber],OvalData[],MATCH(Table2[[#Headers],[Model]],Table2[#Headers],0),0)</f>
        <v>SFMPP</v>
      </c>
      <c r="D520" s="2" t="str">
        <f>VLOOKUP([jobnumber],OvalData[],MATCH(Table2[[#Headers],[width]],Table2[#Headers],0),0)</f>
        <v xml:space="preserve"> 18 ft.- 2"</v>
      </c>
      <c r="E520" s="2" t="str">
        <f>VLOOKUP([jobnumber],OvalData[],MATCH(Table2[[#Headers],[stopheight]],Table2[#Headers],0),0)</f>
        <v xml:space="preserve"> 10 ft.- 0"</v>
      </c>
      <c r="F520" s="2" t="str">
        <f>VLOOKUP([jobnumber],OvalData[],MATCH(Table2[[#Headers],[Between Brackets]],Table2[#Headers],0),0)</f>
        <v xml:space="preserve"> 18 ft.- 7 7/ 8"</v>
      </c>
      <c r="G520" s="2" t="str">
        <f>VLOOKUP([jobnumber],OvalData[],MATCH(Table2[[#Headers],[shell]],Table2[#Headers],0),0)</f>
        <v>6 INCH TUBE</v>
      </c>
      <c r="H520" s="2" t="str">
        <f>VLOOKUP([jobnumber],OvalData[],MATCH(Table2[[#Headers],[pipewidth]],Table2[#Headers],0),0)</f>
        <v xml:space="preserve"> 18 ft.- 1 3/ 8"</v>
      </c>
      <c r="I520" s="2">
        <f>VLOOKUP([jobnumber],OvalData[],MATCH(Table2[[#Headers],[Support Tubes]],Table2[#Headers],0),0)</f>
        <v>0</v>
      </c>
      <c r="J520" s="2">
        <f>VLOOKUP([jobnumber],OvalData[],MATCH(Table2[[#Headers],[Upset]],Table2[#Headers],0),0)</f>
        <v>2</v>
      </c>
      <c r="K520" s="2" t="str">
        <f>VLOOKUP([jobnumber],OvalData[],MATCH(Table2[[#Headers],[Guide Type]],Table2[#Headers],0),0)</f>
        <v>SN2-4 5/8-E</v>
      </c>
      <c r="L520" s="2" t="str">
        <f>VLOOKUP([jobnumber],OvalData[],MATCH(Table2[[#Headers],[Wall Angle]],Table2[#Headers],0),0)</f>
        <v xml:space="preserve"> 11 ft.- 8"</v>
      </c>
      <c r="M520" s="2" t="str">
        <f>VLOOKUP([jobnumber],OvalData[],MATCH(Table2[[#Headers],[Middle Angle]],Table2[#Headers],0),0)</f>
        <v xml:space="preserve"> 10 ft.- 4 1/ 2"</v>
      </c>
      <c r="N520" s="2" t="str">
        <f>VLOOKUP([jobnumber],OvalData[],MATCH(Table2[[#Headers],[Front Angle]],Table2[#Headers],0),0)</f>
        <v xml:space="preserve"> 10 ft.- 3"</v>
      </c>
      <c r="O520" s="2">
        <f>VLOOKUP([jobnumber],OvalData[],MATCH(Table2[[#Headers],[Pipe Center Line]],Table2[#Headers],0),0)</f>
        <v>131</v>
      </c>
      <c r="P520" s="2">
        <f>VLOOKUP([jobnumber],OvalData[],MATCH(Table2[[#Headers],[Heat Expansion Gap]],Table2[#Headers],0),0)</f>
        <v>0</v>
      </c>
      <c r="Q520" s="2">
        <f>VLOOKUP([jobnumber],OvalData[],MATCH(Table2[[#Headers],[Hanging Weight Closed]],Table2[#Headers],0),0)</f>
        <v>795</v>
      </c>
      <c r="R520" s="2">
        <f>VLOOKUP([jobnumber],OvalData[],MATCH(Table2[[#Headers],[Hanging Weight Open]],Table2[#Headers],0),0)</f>
        <v>140</v>
      </c>
      <c r="S520" s="2">
        <f>VLOOKUP([jobnumber],OvalData[],MATCH(Table2[[#Headers],[Initial Lever Arm]],Table2[#Headers],0),0)</f>
        <v>4.25</v>
      </c>
      <c r="T520" s="2">
        <f>VLOOKUP([jobnumber],OvalData[],MATCH(Table2[[#Headers],[Turns to Raise]],Table2[#Headers],0),0)</f>
        <v>3.5859999999999999</v>
      </c>
      <c r="U520" s="2">
        <f>VLOOKUP([jobnumber],OvalData[],MATCH(Table2[[#Headers],[Final Lever Arm]],Table2[#Headers],0),0)</f>
        <v>6.37</v>
      </c>
      <c r="V520" s="2">
        <f>VLOOKUP([jobnumber],OvalData[],MATCH(Table2[[#Headers],[Torque Required Closed]],Table2[#Headers],0),0)</f>
        <v>3377.9</v>
      </c>
      <c r="W520" s="2">
        <f>VLOOKUP([jobnumber],OvalData[],MATCH(Table2[[#Headers],[Torque Required Open]],Table2[#Headers],0),0)</f>
        <v>892</v>
      </c>
      <c r="X520" s="2">
        <f>VLOOKUP([jobnumber],OvalData[],MATCH(Table2[[#Headers],[Pre Turns]],Table2[#Headers],0),0)</f>
        <v>1.3332999999999999</v>
      </c>
      <c r="Y520" s="2">
        <f>VLOOKUP([jobnumber],OvalData[],MATCH(Table2[[#Headers],[Required Torque Per Turn]],Table2[#Headers],0),0)</f>
        <v>688</v>
      </c>
      <c r="Z520" s="2">
        <f>VLOOKUP([jobnumber],OvalData[],MATCH(Table2[[#Headers],[Total Turns]],Table2[#Headers],0),0)</f>
        <v>4.91</v>
      </c>
      <c r="AA520" s="2">
        <f>VLOOKUP([jobnumber],OvalData[],MATCH(Table2[[#Headers],[Grille Vision Section]],Table2[#Headers],0),0)</f>
        <v>0</v>
      </c>
      <c r="AB520" s="2">
        <f>VLOOKUP([jobnumber],OvalData[],MATCH(Table2[[#Headers],[Grille Amount]],Table2[#Headers],0),0)</f>
        <v>0</v>
      </c>
      <c r="AC520" s="2">
        <f>VLOOKUP([jobnumber],OvalData[],MATCH(Table2[[#Headers],[Grille Center]],Table2[#Headers],0),0)</f>
        <v>0</v>
      </c>
      <c r="AD520" s="2">
        <f>VLOOKUP([jobnumber],OvalData[],MATCH(Table2[[#Headers],[Grille Pattern]],Table2[#Headers],0),0)</f>
        <v>0</v>
      </c>
      <c r="AE520" s="2">
        <f>VLOOKUP([jobnumber],OvalData[],MATCH(Table2[[#Headers],[Grille First Tube]],Table2[#Headers],0),0)</f>
        <v>0</v>
      </c>
      <c r="AF520" s="2">
        <f>VLOOKUP([jobnumber],OvalData[],MATCH(Table2[[#Headers],[Grille Standard Tube]],Table2[#Headers],0),0)</f>
        <v>0</v>
      </c>
      <c r="AG520" s="2">
        <f>VLOOKUP([jobnumber],OvalData[],MATCH(Table2[[#Headers],[Grille Total Links]],Table2[#Headers],0),0)</f>
        <v>0</v>
      </c>
      <c r="AH520" s="2">
        <f>VLOOKUP([jobnumber],OvalData[],MATCH(Table2[[#Headers],[Grille Rods]],Table2[#Headers],0),0)</f>
        <v>0</v>
      </c>
      <c r="AI520" s="2">
        <f>VLOOKUP([jobnumber],OvalData[],MATCH(Table2[[#Headers],[Grille Rod Length]],Table2[#Headers],0),0)</f>
        <v>0</v>
      </c>
      <c r="AJ520" s="2">
        <f>VLOOKUP([jobnumber],OvalData[],MATCH(Table2[[#Headers],[slattype]],Table2[#Headers],0),0)</f>
        <v>2</v>
      </c>
      <c r="AK520" s="2">
        <f>VLOOKUP([jobnumber],OvalData[],MATCH(Table2[[#Headers],[slatgage]],Table2[#Headers],0),0)</f>
        <v>18</v>
      </c>
      <c r="AL520" s="2">
        <f>VLOOKUP([jobnumber],OvalData[],MATCH(Table2[[#Headers],[Numer of Top Slats]],Table2[#Headers],0),0)</f>
        <v>0</v>
      </c>
      <c r="AM520" s="2">
        <f>VLOOKUP([jobnumber],OvalData[],MATCH(Table2[[#Headers],[Number of Bottom Slats]],Table2[#Headers],0),0)</f>
        <v>0</v>
      </c>
      <c r="AN520" s="2">
        <f>VLOOKUP([jobnumber],OvalData[],MATCH(Table2[[#Headers],[Solid Bottom Height]],Table2[#Headers],0),0)</f>
        <v>0</v>
      </c>
      <c r="AO520" s="2" t="str">
        <f>VLOOKUP([jobnumber],OvalData[],MATCH(Table2[[#Headers],[slatlength]],Table2[#Headers],0),0)</f>
        <v xml:space="preserve"> 18 ft.- 5 7/ 8"</v>
      </c>
      <c r="AP520" s="2">
        <f>VLOOKUP([jobnumber],OvalData[],MATCH(Table2[[#Headers],[Bottom Slat Length]],Table2[#Headers],0),0)</f>
        <v>0</v>
      </c>
      <c r="AQ520" s="2">
        <f>VLOOKUP([jobnumber],OvalData[],MATCH(Table2[[#Headers],[Number of Perferated Slats]],Table2[#Headers],0),0)</f>
        <v>0</v>
      </c>
      <c r="AR520" s="2">
        <f>VLOOKUP([jobnumber],OvalData[],MATCH(Table2[[#Headers],[First Preferated Slat From End]],Table2[#Headers],0),0)</f>
        <v>0</v>
      </c>
      <c r="AS520" s="2">
        <f>VLOOKUP([jobnumber],OvalData[],MATCH(Table2[[#Headers],[First Preferated Slat From Bottom]],Table2[#Headers],0),0)</f>
        <v>0</v>
      </c>
      <c r="AT520" s="2">
        <f>VLOOKUP([jobnumber],OvalData[],MATCH(Table2[[#Headers],[Total Number of Slats]],Table2[#Headers],0),0)</f>
        <v>51</v>
      </c>
      <c r="AU520" s="2">
        <f>VLOOKUP([jobnumber],OvalData[],MATCH(Table2[[#Headers],[Bottom Bar Slope]],Table2[#Headers],0),0)</f>
        <v>0</v>
      </c>
      <c r="AV520" s="2">
        <f>VLOOKUP([jobnumber],OvalData[],MATCH(Table2[[#Headers],[Bottom Bar Weight]],Table2[#Headers],0),0)</f>
        <v>80.5</v>
      </c>
      <c r="AW520" s="2" t="str">
        <f>VLOOKUP([jobnumber],OvalData[],MATCH(Table2[[#Headers],[Outer Spring Gage]],Table2[#Headers],0),0)</f>
        <v>Null</v>
      </c>
      <c r="AX520" s="2" t="str">
        <f>VLOOKUP([jobnumber],OvalData[],MATCH(Table2[[#Headers],[Outer Spring OD]],Table2[#Headers],0),0)</f>
        <v>Null</v>
      </c>
      <c r="AY520" s="2" t="str">
        <f>VLOOKUP([jobnumber],OvalData[],MATCH(Table2[[#Headers],[Outer Spring Length]],Table2[#Headers],0),0)</f>
        <v>Null</v>
      </c>
      <c r="AZ520" s="2" t="str">
        <f>VLOOKUP([jobnumber],OvalData[],MATCH(Table2[[#Headers],[Outer Spring Stretch]],Table2[#Headers],0),0)</f>
        <v>Null</v>
      </c>
      <c r="BA520" s="2" t="str">
        <f>VLOOKUP([jobnumber],OvalData[],MATCH(Table2[[#Headers],[Outer Spring Torque]],Table2[#Headers],0),0)</f>
        <v>Null</v>
      </c>
      <c r="BB520" s="2" t="str">
        <f>VLOOKUP([jobnumber],OvalData[],MATCH(Table2[[#Headers],[Outer Spring Max Turns]],Table2[#Headers],0),0)</f>
        <v>Null</v>
      </c>
      <c r="BC520" s="2" t="str">
        <f>VLOOKUP([jobnumber],OvalData[],MATCH(Table2[[#Headers],[Outer Spring Weight]],Table2[#Headers],0),0)</f>
        <v>Null</v>
      </c>
      <c r="BD520" s="2" t="str">
        <f>VLOOKUP([jobnumber],OvalData[],MATCH(Table2[[#Headers],[Inner Spring Gage]],Table2[#Headers],0),0)</f>
        <v>Null</v>
      </c>
      <c r="BE520" s="2" t="str">
        <f>VLOOKUP([jobnumber],OvalData[],MATCH(Table2[[#Headers],[Inner Spring OD]],Table2[#Headers],0),0)</f>
        <v>Null</v>
      </c>
      <c r="BF520" s="2" t="str">
        <f>VLOOKUP([jobnumber],OvalData[],MATCH(Table2[[#Headers],[Inner Spring Length]],Table2[#Headers],0),0)</f>
        <v>Null</v>
      </c>
      <c r="BG520" s="2" t="str">
        <f>VLOOKUP([jobnumber],OvalData[],MATCH(Table2[[#Headers],[Inner Spring Stretch]],Table2[#Headers],0),0)</f>
        <v>Null</v>
      </c>
      <c r="BH520" s="2" t="str">
        <f>VLOOKUP([jobnumber],OvalData[],MATCH(Table2[[#Headers],[Inner Spring Torque]],Table2[#Headers],0),0)</f>
        <v>Null</v>
      </c>
      <c r="BI520" s="2" t="str">
        <f>VLOOKUP([jobnumber],OvalData[],MATCH(Table2[[#Headers],[Inner Spring Max Turns]],Table2[#Headers],0),0)</f>
        <v>Null</v>
      </c>
      <c r="BJ520" s="2" t="str">
        <f>VLOOKUP([jobnumber],OvalData[],MATCH(Table2[[#Headers],[Inner Spring Weight]],Table2[#Headers],0),0)</f>
        <v>Null</v>
      </c>
      <c r="BK520" s="2">
        <f>VLOOKUP([jobnumber],OvalData[],MATCH(Table2[[#Headers],[Cycles]],Table2[#Headers],0),0)</f>
        <v>0</v>
      </c>
      <c r="BL520" s="2">
        <f>VLOOKUP([jobnumber],OvalData[],MATCH(Table2[[#Headers],[Total Spring Torque]],Table2[#Headers],0),0)</f>
        <v>0</v>
      </c>
      <c r="BM520" s="2">
        <f>VLOOKUP([jobnumber],OvalData[],MATCH(Table2[[#Headers],[Total Spring Weight]],Table2[#Headers],0),0)</f>
        <v>0</v>
      </c>
      <c r="BN520" s="2">
        <f>VLOOKUP([jobnumber],OvalData[],MATCH(Table2[[#Headers],[Pipe Weight]],Table2[#Headers],0),0)</f>
        <v>688.24239999999998</v>
      </c>
      <c r="BO520" s="2">
        <f>VLOOKUP([jobnumber],OvalData[],MATCH(Table2[[#Headers],[Max Pipe Deflection]],Table2[#Headers],0),0)</f>
        <v>2309</v>
      </c>
      <c r="BP520" s="2">
        <f>VLOOKUP([jobnumber],OvalData[],MATCH(Table2[[#Headers],[Number Non-Insulated Wrap Slats]],Table2[#Headers],0),0)</f>
        <v>0</v>
      </c>
      <c r="BQ520" s="2">
        <f>VLOOKUP([jobnumber],OvalData[],MATCH(Table2[[#Headers],[Number of Insolated Top Slats]],Table2[#Headers],0),0)</f>
        <v>45</v>
      </c>
      <c r="BR520" s="2">
        <f>VLOOKUP([jobnumber],OvalData[],MATCH(Table2[[#Headers],[Insolated Total Slats]],Table2[#Headers],0),0)</f>
        <v>45</v>
      </c>
      <c r="BS520" s="2">
        <f>VLOOKUP([jobnumber],OvalData[],MATCH(Table2[[#Headers],[Number of Slats]],Table2[#Headers],0),0)</f>
        <v>44.69</v>
      </c>
      <c r="BT520" s="2">
        <f>VLOOKUP([jobnumber],OvalData[],MATCH(Table2[[#Headers],[Wrap]],Table2[#Headers],0),0)</f>
        <v>0</v>
      </c>
      <c r="BU520" s="2">
        <f>VLOOKUP([jobnumber],OvalData[],MATCH(Table2[[#Headers],[Wall Angle Thickness]],Table2[#Headers],0),0)</f>
        <v>0</v>
      </c>
      <c r="BV520" s="2">
        <f>VLOOKUP([jobnumber],OvalData[],MATCH(Table2[[#Headers],[windlocks]],Table2[#Headers],0),0)</f>
        <v>0</v>
      </c>
      <c r="BW520" s="2" t="str">
        <f>VLOOKUP([jobnumber],OvalData[],MATCH(Table2[[#Headers],[bottombartype]],Table2[#Headers],0),0)</f>
        <v>SPECIAL</v>
      </c>
      <c r="BX520" s="2">
        <f>VLOOKUP([jobnumber],OvalData[],MATCH(Table2[[#Headers],[endlockweight]],Table2[#Headers],0),0)</f>
        <v>0.17</v>
      </c>
      <c r="BY520" s="2">
        <f>VLOOKUP([jobnumber],OvalData[],MATCH(Table2[[#Headers],[Endlock Total Weight]],Table2[#Headers],0),0)</f>
        <v>7.5972999999999997</v>
      </c>
      <c r="BZ520" s="2">
        <f>VLOOKUP([jobnumber],OvalData[],MATCH(Table2[[#Headers],[Grille Weight]],Table2[#Headers],0),0)</f>
        <v>0</v>
      </c>
      <c r="CA520" s="2">
        <f>VLOOKUP([jobnumber],OvalData[],MATCH(Table2[[#Headers],[barrelrings]],Table2[#Headers],0),0)</f>
        <v>1</v>
      </c>
    </row>
    <row r="521" spans="2:79">
      <c r="B521" s="2" t="str">
        <f>VLOOKUP([jobnumber],OvalData[],MATCH(Table2[[#Headers],[Hand]],Table2[#Headers],0),0)</f>
        <v>RH</v>
      </c>
      <c r="C521" s="2" t="str">
        <f>VLOOKUP([jobnumber],OvalData[],MATCH(Table2[[#Headers],[Model]],Table2[#Headers],0),0)</f>
        <v>SFMPP</v>
      </c>
      <c r="D521" s="2" t="str">
        <f>VLOOKUP([jobnumber],OvalData[],MATCH(Table2[[#Headers],[width]],Table2[#Headers],0),0)</f>
        <v xml:space="preserve"> 18 ft.- 2"</v>
      </c>
      <c r="E521" s="2" t="str">
        <f>VLOOKUP([jobnumber],OvalData[],MATCH(Table2[[#Headers],[stopheight]],Table2[#Headers],0),0)</f>
        <v xml:space="preserve"> 10 ft.- 0"</v>
      </c>
      <c r="F521" s="2" t="str">
        <f>VLOOKUP([jobnumber],OvalData[],MATCH(Table2[[#Headers],[Between Brackets]],Table2[#Headers],0),0)</f>
        <v xml:space="preserve"> 18 ft.- 7 7/ 8"</v>
      </c>
      <c r="G521" s="2" t="str">
        <f>VLOOKUP([jobnumber],OvalData[],MATCH(Table2[[#Headers],[shell]],Table2[#Headers],0),0)</f>
        <v>6 INCH TUBE</v>
      </c>
      <c r="H521" s="2" t="str">
        <f>VLOOKUP([jobnumber],OvalData[],MATCH(Table2[[#Headers],[pipewidth]],Table2[#Headers],0),0)</f>
        <v xml:space="preserve"> 18 ft.- 1 3/ 8"</v>
      </c>
      <c r="I521" s="2">
        <f>VLOOKUP([jobnumber],OvalData[],MATCH(Table2[[#Headers],[Support Tubes]],Table2[#Headers],0),0)</f>
        <v>0</v>
      </c>
      <c r="J521" s="2">
        <f>VLOOKUP([jobnumber],OvalData[],MATCH(Table2[[#Headers],[Upset]],Table2[#Headers],0),0)</f>
        <v>2</v>
      </c>
      <c r="K521" s="2" t="str">
        <f>VLOOKUP([jobnumber],OvalData[],MATCH(Table2[[#Headers],[Guide Type]],Table2[#Headers],0),0)</f>
        <v>SN2-4 5/8-E</v>
      </c>
      <c r="L521" s="2" t="str">
        <f>VLOOKUP([jobnumber],OvalData[],MATCH(Table2[[#Headers],[Wall Angle]],Table2[#Headers],0),0)</f>
        <v xml:space="preserve"> 11 ft.- 8"</v>
      </c>
      <c r="M521" s="2" t="str">
        <f>VLOOKUP([jobnumber],OvalData[],MATCH(Table2[[#Headers],[Middle Angle]],Table2[#Headers],0),0)</f>
        <v xml:space="preserve"> 10 ft.- 4 1/ 2"</v>
      </c>
      <c r="N521" s="2" t="str">
        <f>VLOOKUP([jobnumber],OvalData[],MATCH(Table2[[#Headers],[Front Angle]],Table2[#Headers],0),0)</f>
        <v xml:space="preserve"> 10 ft.- 3"</v>
      </c>
      <c r="O521" s="2">
        <f>VLOOKUP([jobnumber],OvalData[],MATCH(Table2[[#Headers],[Pipe Center Line]],Table2[#Headers],0),0)</f>
        <v>131</v>
      </c>
      <c r="P521" s="2">
        <f>VLOOKUP([jobnumber],OvalData[],MATCH(Table2[[#Headers],[Heat Expansion Gap]],Table2[#Headers],0),0)</f>
        <v>0</v>
      </c>
      <c r="Q521" s="2">
        <f>VLOOKUP([jobnumber],OvalData[],MATCH(Table2[[#Headers],[Hanging Weight Closed]],Table2[#Headers],0),0)</f>
        <v>795</v>
      </c>
      <c r="R521" s="2">
        <f>VLOOKUP([jobnumber],OvalData[],MATCH(Table2[[#Headers],[Hanging Weight Open]],Table2[#Headers],0),0)</f>
        <v>140</v>
      </c>
      <c r="S521" s="2">
        <f>VLOOKUP([jobnumber],OvalData[],MATCH(Table2[[#Headers],[Initial Lever Arm]],Table2[#Headers],0),0)</f>
        <v>4.25</v>
      </c>
      <c r="T521" s="2">
        <f>VLOOKUP([jobnumber],OvalData[],MATCH(Table2[[#Headers],[Turns to Raise]],Table2[#Headers],0),0)</f>
        <v>3.5859999999999999</v>
      </c>
      <c r="U521" s="2">
        <f>VLOOKUP([jobnumber],OvalData[],MATCH(Table2[[#Headers],[Final Lever Arm]],Table2[#Headers],0),0)</f>
        <v>6.37</v>
      </c>
      <c r="V521" s="2">
        <f>VLOOKUP([jobnumber],OvalData[],MATCH(Table2[[#Headers],[Torque Required Closed]],Table2[#Headers],0),0)</f>
        <v>3377.9</v>
      </c>
      <c r="W521" s="2">
        <f>VLOOKUP([jobnumber],OvalData[],MATCH(Table2[[#Headers],[Torque Required Open]],Table2[#Headers],0),0)</f>
        <v>892</v>
      </c>
      <c r="X521" s="2">
        <f>VLOOKUP([jobnumber],OvalData[],MATCH(Table2[[#Headers],[Pre Turns]],Table2[#Headers],0),0)</f>
        <v>1.3332999999999999</v>
      </c>
      <c r="Y521" s="2">
        <f>VLOOKUP([jobnumber],OvalData[],MATCH(Table2[[#Headers],[Required Torque Per Turn]],Table2[#Headers],0),0)</f>
        <v>688</v>
      </c>
      <c r="Z521" s="2">
        <f>VLOOKUP([jobnumber],OvalData[],MATCH(Table2[[#Headers],[Total Turns]],Table2[#Headers],0),0)</f>
        <v>4.91</v>
      </c>
      <c r="AA521" s="2">
        <f>VLOOKUP([jobnumber],OvalData[],MATCH(Table2[[#Headers],[Grille Vision Section]],Table2[#Headers],0),0)</f>
        <v>0</v>
      </c>
      <c r="AB521" s="2">
        <f>VLOOKUP([jobnumber],OvalData[],MATCH(Table2[[#Headers],[Grille Amount]],Table2[#Headers],0),0)</f>
        <v>0</v>
      </c>
      <c r="AC521" s="2">
        <f>VLOOKUP([jobnumber],OvalData[],MATCH(Table2[[#Headers],[Grille Center]],Table2[#Headers],0),0)</f>
        <v>0</v>
      </c>
      <c r="AD521" s="2">
        <f>VLOOKUP([jobnumber],OvalData[],MATCH(Table2[[#Headers],[Grille Pattern]],Table2[#Headers],0),0)</f>
        <v>0</v>
      </c>
      <c r="AE521" s="2">
        <f>VLOOKUP([jobnumber],OvalData[],MATCH(Table2[[#Headers],[Grille First Tube]],Table2[#Headers],0),0)</f>
        <v>0</v>
      </c>
      <c r="AF521" s="2">
        <f>VLOOKUP([jobnumber],OvalData[],MATCH(Table2[[#Headers],[Grille Standard Tube]],Table2[#Headers],0),0)</f>
        <v>0</v>
      </c>
      <c r="AG521" s="2">
        <f>VLOOKUP([jobnumber],OvalData[],MATCH(Table2[[#Headers],[Grille Total Links]],Table2[#Headers],0),0)</f>
        <v>0</v>
      </c>
      <c r="AH521" s="2">
        <f>VLOOKUP([jobnumber],OvalData[],MATCH(Table2[[#Headers],[Grille Rods]],Table2[#Headers],0),0)</f>
        <v>0</v>
      </c>
      <c r="AI521" s="2">
        <f>VLOOKUP([jobnumber],OvalData[],MATCH(Table2[[#Headers],[Grille Rod Length]],Table2[#Headers],0),0)</f>
        <v>0</v>
      </c>
      <c r="AJ521" s="2">
        <f>VLOOKUP([jobnumber],OvalData[],MATCH(Table2[[#Headers],[slattype]],Table2[#Headers],0),0)</f>
        <v>2</v>
      </c>
      <c r="AK521" s="2">
        <f>VLOOKUP([jobnumber],OvalData[],MATCH(Table2[[#Headers],[slatgage]],Table2[#Headers],0),0)</f>
        <v>18</v>
      </c>
      <c r="AL521" s="2">
        <f>VLOOKUP([jobnumber],OvalData[],MATCH(Table2[[#Headers],[Numer of Top Slats]],Table2[#Headers],0),0)</f>
        <v>0</v>
      </c>
      <c r="AM521" s="2">
        <f>VLOOKUP([jobnumber],OvalData[],MATCH(Table2[[#Headers],[Number of Bottom Slats]],Table2[#Headers],0),0)</f>
        <v>0</v>
      </c>
      <c r="AN521" s="2">
        <f>VLOOKUP([jobnumber],OvalData[],MATCH(Table2[[#Headers],[Solid Bottom Height]],Table2[#Headers],0),0)</f>
        <v>0</v>
      </c>
      <c r="AO521" s="2" t="str">
        <f>VLOOKUP([jobnumber],OvalData[],MATCH(Table2[[#Headers],[slatlength]],Table2[#Headers],0),0)</f>
        <v xml:space="preserve"> 18 ft.- 5 7/ 8"</v>
      </c>
      <c r="AP521" s="2">
        <f>VLOOKUP([jobnumber],OvalData[],MATCH(Table2[[#Headers],[Bottom Slat Length]],Table2[#Headers],0),0)</f>
        <v>0</v>
      </c>
      <c r="AQ521" s="2">
        <f>VLOOKUP([jobnumber],OvalData[],MATCH(Table2[[#Headers],[Number of Perferated Slats]],Table2[#Headers],0),0)</f>
        <v>0</v>
      </c>
      <c r="AR521" s="2">
        <f>VLOOKUP([jobnumber],OvalData[],MATCH(Table2[[#Headers],[First Preferated Slat From End]],Table2[#Headers],0),0)</f>
        <v>0</v>
      </c>
      <c r="AS521" s="2">
        <f>VLOOKUP([jobnumber],OvalData[],MATCH(Table2[[#Headers],[First Preferated Slat From Bottom]],Table2[#Headers],0),0)</f>
        <v>0</v>
      </c>
      <c r="AT521" s="2">
        <f>VLOOKUP([jobnumber],OvalData[],MATCH(Table2[[#Headers],[Total Number of Slats]],Table2[#Headers],0),0)</f>
        <v>51</v>
      </c>
      <c r="AU521" s="2">
        <f>VLOOKUP([jobnumber],OvalData[],MATCH(Table2[[#Headers],[Bottom Bar Slope]],Table2[#Headers],0),0)</f>
        <v>0</v>
      </c>
      <c r="AV521" s="2">
        <f>VLOOKUP([jobnumber],OvalData[],MATCH(Table2[[#Headers],[Bottom Bar Weight]],Table2[#Headers],0),0)</f>
        <v>80.5</v>
      </c>
      <c r="AW521" s="2" t="str">
        <f>VLOOKUP([jobnumber],OvalData[],MATCH(Table2[[#Headers],[Outer Spring Gage]],Table2[#Headers],0),0)</f>
        <v>Null</v>
      </c>
      <c r="AX521" s="2" t="str">
        <f>VLOOKUP([jobnumber],OvalData[],MATCH(Table2[[#Headers],[Outer Spring OD]],Table2[#Headers],0),0)</f>
        <v>Null</v>
      </c>
      <c r="AY521" s="2" t="str">
        <f>VLOOKUP([jobnumber],OvalData[],MATCH(Table2[[#Headers],[Outer Spring Length]],Table2[#Headers],0),0)</f>
        <v>Null</v>
      </c>
      <c r="AZ521" s="2" t="str">
        <f>VLOOKUP([jobnumber],OvalData[],MATCH(Table2[[#Headers],[Outer Spring Stretch]],Table2[#Headers],0),0)</f>
        <v>Null</v>
      </c>
      <c r="BA521" s="2" t="str">
        <f>VLOOKUP([jobnumber],OvalData[],MATCH(Table2[[#Headers],[Outer Spring Torque]],Table2[#Headers],0),0)</f>
        <v>Null</v>
      </c>
      <c r="BB521" s="2" t="str">
        <f>VLOOKUP([jobnumber],OvalData[],MATCH(Table2[[#Headers],[Outer Spring Max Turns]],Table2[#Headers],0),0)</f>
        <v>Null</v>
      </c>
      <c r="BC521" s="2" t="str">
        <f>VLOOKUP([jobnumber],OvalData[],MATCH(Table2[[#Headers],[Outer Spring Weight]],Table2[#Headers],0),0)</f>
        <v>Null</v>
      </c>
      <c r="BD521" s="2" t="str">
        <f>VLOOKUP([jobnumber],OvalData[],MATCH(Table2[[#Headers],[Inner Spring Gage]],Table2[#Headers],0),0)</f>
        <v>Null</v>
      </c>
      <c r="BE521" s="2" t="str">
        <f>VLOOKUP([jobnumber],OvalData[],MATCH(Table2[[#Headers],[Inner Spring OD]],Table2[#Headers],0),0)</f>
        <v>Null</v>
      </c>
      <c r="BF521" s="2" t="str">
        <f>VLOOKUP([jobnumber],OvalData[],MATCH(Table2[[#Headers],[Inner Spring Length]],Table2[#Headers],0),0)</f>
        <v>Null</v>
      </c>
      <c r="BG521" s="2" t="str">
        <f>VLOOKUP([jobnumber],OvalData[],MATCH(Table2[[#Headers],[Inner Spring Stretch]],Table2[#Headers],0),0)</f>
        <v>Null</v>
      </c>
      <c r="BH521" s="2" t="str">
        <f>VLOOKUP([jobnumber],OvalData[],MATCH(Table2[[#Headers],[Inner Spring Torque]],Table2[#Headers],0),0)</f>
        <v>Null</v>
      </c>
      <c r="BI521" s="2" t="str">
        <f>VLOOKUP([jobnumber],OvalData[],MATCH(Table2[[#Headers],[Inner Spring Max Turns]],Table2[#Headers],0),0)</f>
        <v>Null</v>
      </c>
      <c r="BJ521" s="2" t="str">
        <f>VLOOKUP([jobnumber],OvalData[],MATCH(Table2[[#Headers],[Inner Spring Weight]],Table2[#Headers],0),0)</f>
        <v>Null</v>
      </c>
      <c r="BK521" s="2">
        <f>VLOOKUP([jobnumber],OvalData[],MATCH(Table2[[#Headers],[Cycles]],Table2[#Headers],0),0)</f>
        <v>0</v>
      </c>
      <c r="BL521" s="2">
        <f>VLOOKUP([jobnumber],OvalData[],MATCH(Table2[[#Headers],[Total Spring Torque]],Table2[#Headers],0),0)</f>
        <v>0</v>
      </c>
      <c r="BM521" s="2">
        <f>VLOOKUP([jobnumber],OvalData[],MATCH(Table2[[#Headers],[Total Spring Weight]],Table2[#Headers],0),0)</f>
        <v>0</v>
      </c>
      <c r="BN521" s="2">
        <f>VLOOKUP([jobnumber],OvalData[],MATCH(Table2[[#Headers],[Pipe Weight]],Table2[#Headers],0),0)</f>
        <v>688.24239999999998</v>
      </c>
      <c r="BO521" s="2">
        <f>VLOOKUP([jobnumber],OvalData[],MATCH(Table2[[#Headers],[Max Pipe Deflection]],Table2[#Headers],0),0)</f>
        <v>2309</v>
      </c>
      <c r="BP521" s="2">
        <f>VLOOKUP([jobnumber],OvalData[],MATCH(Table2[[#Headers],[Number Non-Insulated Wrap Slats]],Table2[#Headers],0),0)</f>
        <v>0</v>
      </c>
      <c r="BQ521" s="2">
        <f>VLOOKUP([jobnumber],OvalData[],MATCH(Table2[[#Headers],[Number of Insolated Top Slats]],Table2[#Headers],0),0)</f>
        <v>45</v>
      </c>
      <c r="BR521" s="2">
        <f>VLOOKUP([jobnumber],OvalData[],MATCH(Table2[[#Headers],[Insolated Total Slats]],Table2[#Headers],0),0)</f>
        <v>45</v>
      </c>
      <c r="BS521" s="2">
        <f>VLOOKUP([jobnumber],OvalData[],MATCH(Table2[[#Headers],[Number of Slats]],Table2[#Headers],0),0)</f>
        <v>44.69</v>
      </c>
      <c r="BT521" s="2">
        <f>VLOOKUP([jobnumber],OvalData[],MATCH(Table2[[#Headers],[Wrap]],Table2[#Headers],0),0)</f>
        <v>0</v>
      </c>
      <c r="BU521" s="2">
        <f>VLOOKUP([jobnumber],OvalData[],MATCH(Table2[[#Headers],[Wall Angle Thickness]],Table2[#Headers],0),0)</f>
        <v>0</v>
      </c>
      <c r="BV521" s="2">
        <f>VLOOKUP([jobnumber],OvalData[],MATCH(Table2[[#Headers],[windlocks]],Table2[#Headers],0),0)</f>
        <v>0</v>
      </c>
      <c r="BW521" s="2" t="str">
        <f>VLOOKUP([jobnumber],OvalData[],MATCH(Table2[[#Headers],[bottombartype]],Table2[#Headers],0),0)</f>
        <v>SPECIAL</v>
      </c>
      <c r="BX521" s="2">
        <f>VLOOKUP([jobnumber],OvalData[],MATCH(Table2[[#Headers],[endlockweight]],Table2[#Headers],0),0)</f>
        <v>0.17</v>
      </c>
      <c r="BY521" s="2">
        <f>VLOOKUP([jobnumber],OvalData[],MATCH(Table2[[#Headers],[Endlock Total Weight]],Table2[#Headers],0),0)</f>
        <v>7.5972999999999997</v>
      </c>
      <c r="BZ521" s="2">
        <f>VLOOKUP([jobnumber],OvalData[],MATCH(Table2[[#Headers],[Grille Weight]],Table2[#Headers],0),0)</f>
        <v>0</v>
      </c>
      <c r="CA521" s="2">
        <f>VLOOKUP([jobnumber],OvalData[],MATCH(Table2[[#Headers],[barrelrings]],Table2[#Headers],0),0)</f>
        <v>1</v>
      </c>
    </row>
    <row r="522" spans="2:79">
      <c r="B522" s="2" t="str">
        <f>VLOOKUP([jobnumber],OvalData[],MATCH(Table2[[#Headers],[Hand]],Table2[#Headers],0),0)</f>
        <v>RH</v>
      </c>
      <c r="C522" s="2" t="str">
        <f>VLOOKUP([jobnumber],OvalData[],MATCH(Table2[[#Headers],[Model]],Table2[#Headers],0),0)</f>
        <v>SFMPP</v>
      </c>
      <c r="D522" s="2" t="str">
        <f>VLOOKUP([jobnumber],OvalData[],MATCH(Table2[[#Headers],[width]],Table2[#Headers],0),0)</f>
        <v xml:space="preserve"> 18 ft.- 2"</v>
      </c>
      <c r="E522" s="2" t="str">
        <f>VLOOKUP([jobnumber],OvalData[],MATCH(Table2[[#Headers],[stopheight]],Table2[#Headers],0),0)</f>
        <v xml:space="preserve"> 10 ft.- 0"</v>
      </c>
      <c r="F522" s="2" t="str">
        <f>VLOOKUP([jobnumber],OvalData[],MATCH(Table2[[#Headers],[Between Brackets]],Table2[#Headers],0),0)</f>
        <v xml:space="preserve"> 18 ft.- 7 7/ 8"</v>
      </c>
      <c r="G522" s="2" t="str">
        <f>VLOOKUP([jobnumber],OvalData[],MATCH(Table2[[#Headers],[shell]],Table2[#Headers],0),0)</f>
        <v>6 INCH TUBE</v>
      </c>
      <c r="H522" s="2" t="str">
        <f>VLOOKUP([jobnumber],OvalData[],MATCH(Table2[[#Headers],[pipewidth]],Table2[#Headers],0),0)</f>
        <v xml:space="preserve"> 18 ft.- 1 3/ 8"</v>
      </c>
      <c r="I522" s="2">
        <f>VLOOKUP([jobnumber],OvalData[],MATCH(Table2[[#Headers],[Support Tubes]],Table2[#Headers],0),0)</f>
        <v>0</v>
      </c>
      <c r="J522" s="2">
        <f>VLOOKUP([jobnumber],OvalData[],MATCH(Table2[[#Headers],[Upset]],Table2[#Headers],0),0)</f>
        <v>2</v>
      </c>
      <c r="K522" s="2" t="str">
        <f>VLOOKUP([jobnumber],OvalData[],MATCH(Table2[[#Headers],[Guide Type]],Table2[#Headers],0),0)</f>
        <v>SN2-4 5/8-E</v>
      </c>
      <c r="L522" s="2" t="str">
        <f>VLOOKUP([jobnumber],OvalData[],MATCH(Table2[[#Headers],[Wall Angle]],Table2[#Headers],0),0)</f>
        <v xml:space="preserve"> 11 ft.- 8"</v>
      </c>
      <c r="M522" s="2" t="str">
        <f>VLOOKUP([jobnumber],OvalData[],MATCH(Table2[[#Headers],[Middle Angle]],Table2[#Headers],0),0)</f>
        <v xml:space="preserve"> 10 ft.- 4 1/ 2"</v>
      </c>
      <c r="N522" s="2" t="str">
        <f>VLOOKUP([jobnumber],OvalData[],MATCH(Table2[[#Headers],[Front Angle]],Table2[#Headers],0),0)</f>
        <v xml:space="preserve"> 10 ft.- 3"</v>
      </c>
      <c r="O522" s="2">
        <f>VLOOKUP([jobnumber],OvalData[],MATCH(Table2[[#Headers],[Pipe Center Line]],Table2[#Headers],0),0)</f>
        <v>131</v>
      </c>
      <c r="P522" s="2">
        <f>VLOOKUP([jobnumber],OvalData[],MATCH(Table2[[#Headers],[Heat Expansion Gap]],Table2[#Headers],0),0)</f>
        <v>0</v>
      </c>
      <c r="Q522" s="2">
        <f>VLOOKUP([jobnumber],OvalData[],MATCH(Table2[[#Headers],[Hanging Weight Closed]],Table2[#Headers],0),0)</f>
        <v>795</v>
      </c>
      <c r="R522" s="2">
        <f>VLOOKUP([jobnumber],OvalData[],MATCH(Table2[[#Headers],[Hanging Weight Open]],Table2[#Headers],0),0)</f>
        <v>140</v>
      </c>
      <c r="S522" s="2">
        <f>VLOOKUP([jobnumber],OvalData[],MATCH(Table2[[#Headers],[Initial Lever Arm]],Table2[#Headers],0),0)</f>
        <v>4.25</v>
      </c>
      <c r="T522" s="2">
        <f>VLOOKUP([jobnumber],OvalData[],MATCH(Table2[[#Headers],[Turns to Raise]],Table2[#Headers],0),0)</f>
        <v>3.5859999999999999</v>
      </c>
      <c r="U522" s="2">
        <f>VLOOKUP([jobnumber],OvalData[],MATCH(Table2[[#Headers],[Final Lever Arm]],Table2[#Headers],0),0)</f>
        <v>6.37</v>
      </c>
      <c r="V522" s="2">
        <f>VLOOKUP([jobnumber],OvalData[],MATCH(Table2[[#Headers],[Torque Required Closed]],Table2[#Headers],0),0)</f>
        <v>3377.9</v>
      </c>
      <c r="W522" s="2">
        <f>VLOOKUP([jobnumber],OvalData[],MATCH(Table2[[#Headers],[Torque Required Open]],Table2[#Headers],0),0)</f>
        <v>892</v>
      </c>
      <c r="X522" s="2">
        <f>VLOOKUP([jobnumber],OvalData[],MATCH(Table2[[#Headers],[Pre Turns]],Table2[#Headers],0),0)</f>
        <v>1.3332999999999999</v>
      </c>
      <c r="Y522" s="2">
        <f>VLOOKUP([jobnumber],OvalData[],MATCH(Table2[[#Headers],[Required Torque Per Turn]],Table2[#Headers],0),0)</f>
        <v>688</v>
      </c>
      <c r="Z522" s="2">
        <f>VLOOKUP([jobnumber],OvalData[],MATCH(Table2[[#Headers],[Total Turns]],Table2[#Headers],0),0)</f>
        <v>4.91</v>
      </c>
      <c r="AA522" s="2">
        <f>VLOOKUP([jobnumber],OvalData[],MATCH(Table2[[#Headers],[Grille Vision Section]],Table2[#Headers],0),0)</f>
        <v>0</v>
      </c>
      <c r="AB522" s="2">
        <f>VLOOKUP([jobnumber],OvalData[],MATCH(Table2[[#Headers],[Grille Amount]],Table2[#Headers],0),0)</f>
        <v>0</v>
      </c>
      <c r="AC522" s="2">
        <f>VLOOKUP([jobnumber],OvalData[],MATCH(Table2[[#Headers],[Grille Center]],Table2[#Headers],0),0)</f>
        <v>0</v>
      </c>
      <c r="AD522" s="2">
        <f>VLOOKUP([jobnumber],OvalData[],MATCH(Table2[[#Headers],[Grille Pattern]],Table2[#Headers],0),0)</f>
        <v>0</v>
      </c>
      <c r="AE522" s="2">
        <f>VLOOKUP([jobnumber],OvalData[],MATCH(Table2[[#Headers],[Grille First Tube]],Table2[#Headers],0),0)</f>
        <v>0</v>
      </c>
      <c r="AF522" s="2">
        <f>VLOOKUP([jobnumber],OvalData[],MATCH(Table2[[#Headers],[Grille Standard Tube]],Table2[#Headers],0),0)</f>
        <v>0</v>
      </c>
      <c r="AG522" s="2">
        <f>VLOOKUP([jobnumber],OvalData[],MATCH(Table2[[#Headers],[Grille Total Links]],Table2[#Headers],0),0)</f>
        <v>0</v>
      </c>
      <c r="AH522" s="2">
        <f>VLOOKUP([jobnumber],OvalData[],MATCH(Table2[[#Headers],[Grille Rods]],Table2[#Headers],0),0)</f>
        <v>0</v>
      </c>
      <c r="AI522" s="2">
        <f>VLOOKUP([jobnumber],OvalData[],MATCH(Table2[[#Headers],[Grille Rod Length]],Table2[#Headers],0),0)</f>
        <v>0</v>
      </c>
      <c r="AJ522" s="2">
        <f>VLOOKUP([jobnumber],OvalData[],MATCH(Table2[[#Headers],[slattype]],Table2[#Headers],0),0)</f>
        <v>2</v>
      </c>
      <c r="AK522" s="2">
        <f>VLOOKUP([jobnumber],OvalData[],MATCH(Table2[[#Headers],[slatgage]],Table2[#Headers],0),0)</f>
        <v>18</v>
      </c>
      <c r="AL522" s="2">
        <f>VLOOKUP([jobnumber],OvalData[],MATCH(Table2[[#Headers],[Numer of Top Slats]],Table2[#Headers],0),0)</f>
        <v>0</v>
      </c>
      <c r="AM522" s="2">
        <f>VLOOKUP([jobnumber],OvalData[],MATCH(Table2[[#Headers],[Number of Bottom Slats]],Table2[#Headers],0),0)</f>
        <v>0</v>
      </c>
      <c r="AN522" s="2">
        <f>VLOOKUP([jobnumber],OvalData[],MATCH(Table2[[#Headers],[Solid Bottom Height]],Table2[#Headers],0),0)</f>
        <v>0</v>
      </c>
      <c r="AO522" s="2" t="str">
        <f>VLOOKUP([jobnumber],OvalData[],MATCH(Table2[[#Headers],[slatlength]],Table2[#Headers],0),0)</f>
        <v xml:space="preserve"> 18 ft.- 5 7/ 8"</v>
      </c>
      <c r="AP522" s="2">
        <f>VLOOKUP([jobnumber],OvalData[],MATCH(Table2[[#Headers],[Bottom Slat Length]],Table2[#Headers],0),0)</f>
        <v>0</v>
      </c>
      <c r="AQ522" s="2">
        <f>VLOOKUP([jobnumber],OvalData[],MATCH(Table2[[#Headers],[Number of Perferated Slats]],Table2[#Headers],0),0)</f>
        <v>0</v>
      </c>
      <c r="AR522" s="2">
        <f>VLOOKUP([jobnumber],OvalData[],MATCH(Table2[[#Headers],[First Preferated Slat From End]],Table2[#Headers],0),0)</f>
        <v>0</v>
      </c>
      <c r="AS522" s="2">
        <f>VLOOKUP([jobnumber],OvalData[],MATCH(Table2[[#Headers],[First Preferated Slat From Bottom]],Table2[#Headers],0),0)</f>
        <v>0</v>
      </c>
      <c r="AT522" s="2">
        <f>VLOOKUP([jobnumber],OvalData[],MATCH(Table2[[#Headers],[Total Number of Slats]],Table2[#Headers],0),0)</f>
        <v>51</v>
      </c>
      <c r="AU522" s="2">
        <f>VLOOKUP([jobnumber],OvalData[],MATCH(Table2[[#Headers],[Bottom Bar Slope]],Table2[#Headers],0),0)</f>
        <v>0</v>
      </c>
      <c r="AV522" s="2">
        <f>VLOOKUP([jobnumber],OvalData[],MATCH(Table2[[#Headers],[Bottom Bar Weight]],Table2[#Headers],0),0)</f>
        <v>80.5</v>
      </c>
      <c r="AW522" s="2" t="str">
        <f>VLOOKUP([jobnumber],OvalData[],MATCH(Table2[[#Headers],[Outer Spring Gage]],Table2[#Headers],0),0)</f>
        <v>Null</v>
      </c>
      <c r="AX522" s="2" t="str">
        <f>VLOOKUP([jobnumber],OvalData[],MATCH(Table2[[#Headers],[Outer Spring OD]],Table2[#Headers],0),0)</f>
        <v>Null</v>
      </c>
      <c r="AY522" s="2" t="str">
        <f>VLOOKUP([jobnumber],OvalData[],MATCH(Table2[[#Headers],[Outer Spring Length]],Table2[#Headers],0),0)</f>
        <v>Null</v>
      </c>
      <c r="AZ522" s="2" t="str">
        <f>VLOOKUP([jobnumber],OvalData[],MATCH(Table2[[#Headers],[Outer Spring Stretch]],Table2[#Headers],0),0)</f>
        <v>Null</v>
      </c>
      <c r="BA522" s="2" t="str">
        <f>VLOOKUP([jobnumber],OvalData[],MATCH(Table2[[#Headers],[Outer Spring Torque]],Table2[#Headers],0),0)</f>
        <v>Null</v>
      </c>
      <c r="BB522" s="2" t="str">
        <f>VLOOKUP([jobnumber],OvalData[],MATCH(Table2[[#Headers],[Outer Spring Max Turns]],Table2[#Headers],0),0)</f>
        <v>Null</v>
      </c>
      <c r="BC522" s="2" t="str">
        <f>VLOOKUP([jobnumber],OvalData[],MATCH(Table2[[#Headers],[Outer Spring Weight]],Table2[#Headers],0),0)</f>
        <v>Null</v>
      </c>
      <c r="BD522" s="2" t="str">
        <f>VLOOKUP([jobnumber],OvalData[],MATCH(Table2[[#Headers],[Inner Spring Gage]],Table2[#Headers],0),0)</f>
        <v>Null</v>
      </c>
      <c r="BE522" s="2" t="str">
        <f>VLOOKUP([jobnumber],OvalData[],MATCH(Table2[[#Headers],[Inner Spring OD]],Table2[#Headers],0),0)</f>
        <v>Null</v>
      </c>
      <c r="BF522" s="2" t="str">
        <f>VLOOKUP([jobnumber],OvalData[],MATCH(Table2[[#Headers],[Inner Spring Length]],Table2[#Headers],0),0)</f>
        <v>Null</v>
      </c>
      <c r="BG522" s="2" t="str">
        <f>VLOOKUP([jobnumber],OvalData[],MATCH(Table2[[#Headers],[Inner Spring Stretch]],Table2[#Headers],0),0)</f>
        <v>Null</v>
      </c>
      <c r="BH522" s="2" t="str">
        <f>VLOOKUP([jobnumber],OvalData[],MATCH(Table2[[#Headers],[Inner Spring Torque]],Table2[#Headers],0),0)</f>
        <v>Null</v>
      </c>
      <c r="BI522" s="2" t="str">
        <f>VLOOKUP([jobnumber],OvalData[],MATCH(Table2[[#Headers],[Inner Spring Max Turns]],Table2[#Headers],0),0)</f>
        <v>Null</v>
      </c>
      <c r="BJ522" s="2" t="str">
        <f>VLOOKUP([jobnumber],OvalData[],MATCH(Table2[[#Headers],[Inner Spring Weight]],Table2[#Headers],0),0)</f>
        <v>Null</v>
      </c>
      <c r="BK522" s="2">
        <f>VLOOKUP([jobnumber],OvalData[],MATCH(Table2[[#Headers],[Cycles]],Table2[#Headers],0),0)</f>
        <v>0</v>
      </c>
      <c r="BL522" s="2">
        <f>VLOOKUP([jobnumber],OvalData[],MATCH(Table2[[#Headers],[Total Spring Torque]],Table2[#Headers],0),0)</f>
        <v>0</v>
      </c>
      <c r="BM522" s="2">
        <f>VLOOKUP([jobnumber],OvalData[],MATCH(Table2[[#Headers],[Total Spring Weight]],Table2[#Headers],0),0)</f>
        <v>0</v>
      </c>
      <c r="BN522" s="2">
        <f>VLOOKUP([jobnumber],OvalData[],MATCH(Table2[[#Headers],[Pipe Weight]],Table2[#Headers],0),0)</f>
        <v>688.24239999999998</v>
      </c>
      <c r="BO522" s="2">
        <f>VLOOKUP([jobnumber],OvalData[],MATCH(Table2[[#Headers],[Max Pipe Deflection]],Table2[#Headers],0),0)</f>
        <v>2309</v>
      </c>
      <c r="BP522" s="2">
        <f>VLOOKUP([jobnumber],OvalData[],MATCH(Table2[[#Headers],[Number Non-Insulated Wrap Slats]],Table2[#Headers],0),0)</f>
        <v>0</v>
      </c>
      <c r="BQ522" s="2">
        <f>VLOOKUP([jobnumber],OvalData[],MATCH(Table2[[#Headers],[Number of Insolated Top Slats]],Table2[#Headers],0),0)</f>
        <v>45</v>
      </c>
      <c r="BR522" s="2">
        <f>VLOOKUP([jobnumber],OvalData[],MATCH(Table2[[#Headers],[Insolated Total Slats]],Table2[#Headers],0),0)</f>
        <v>45</v>
      </c>
      <c r="BS522" s="2">
        <f>VLOOKUP([jobnumber],OvalData[],MATCH(Table2[[#Headers],[Number of Slats]],Table2[#Headers],0),0)</f>
        <v>44.69</v>
      </c>
      <c r="BT522" s="2">
        <f>VLOOKUP([jobnumber],OvalData[],MATCH(Table2[[#Headers],[Wrap]],Table2[#Headers],0),0)</f>
        <v>0</v>
      </c>
      <c r="BU522" s="2">
        <f>VLOOKUP([jobnumber],OvalData[],MATCH(Table2[[#Headers],[Wall Angle Thickness]],Table2[#Headers],0),0)</f>
        <v>0</v>
      </c>
      <c r="BV522" s="2">
        <f>VLOOKUP([jobnumber],OvalData[],MATCH(Table2[[#Headers],[windlocks]],Table2[#Headers],0),0)</f>
        <v>0</v>
      </c>
      <c r="BW522" s="2" t="str">
        <f>VLOOKUP([jobnumber],OvalData[],MATCH(Table2[[#Headers],[bottombartype]],Table2[#Headers],0),0)</f>
        <v>SPECIAL</v>
      </c>
      <c r="BX522" s="2">
        <f>VLOOKUP([jobnumber],OvalData[],MATCH(Table2[[#Headers],[endlockweight]],Table2[#Headers],0),0)</f>
        <v>0.17</v>
      </c>
      <c r="BY522" s="2">
        <f>VLOOKUP([jobnumber],OvalData[],MATCH(Table2[[#Headers],[Endlock Total Weight]],Table2[#Headers],0),0)</f>
        <v>7.5972999999999997</v>
      </c>
      <c r="BZ522" s="2">
        <f>VLOOKUP([jobnumber],OvalData[],MATCH(Table2[[#Headers],[Grille Weight]],Table2[#Headers],0),0)</f>
        <v>0</v>
      </c>
      <c r="CA522" s="2">
        <f>VLOOKUP([jobnumber],OvalData[],MATCH(Table2[[#Headers],[barrelrings]],Table2[#Headers],0),0)</f>
        <v>1</v>
      </c>
    </row>
    <row r="523" spans="2:79">
      <c r="B523" s="2" t="str">
        <f>VLOOKUP([jobnumber],OvalData[],MATCH(Table2[[#Headers],[Hand]],Table2[#Headers],0),0)</f>
        <v>RH</v>
      </c>
      <c r="C523" s="2" t="str">
        <f>VLOOKUP([jobnumber],OvalData[],MATCH(Table2[[#Headers],[Model]],Table2[#Headers],0),0)</f>
        <v>SFMPP</v>
      </c>
      <c r="D523" s="2" t="str">
        <f>VLOOKUP([jobnumber],OvalData[],MATCH(Table2[[#Headers],[width]],Table2[#Headers],0),0)</f>
        <v xml:space="preserve"> 18 ft.- 2"</v>
      </c>
      <c r="E523" s="2" t="str">
        <f>VLOOKUP([jobnumber],OvalData[],MATCH(Table2[[#Headers],[stopheight]],Table2[#Headers],0),0)</f>
        <v xml:space="preserve"> 10 ft.- 0"</v>
      </c>
      <c r="F523" s="2" t="str">
        <f>VLOOKUP([jobnumber],OvalData[],MATCH(Table2[[#Headers],[Between Brackets]],Table2[#Headers],0),0)</f>
        <v xml:space="preserve"> 18 ft.- 7 7/ 8"</v>
      </c>
      <c r="G523" s="2" t="str">
        <f>VLOOKUP([jobnumber],OvalData[],MATCH(Table2[[#Headers],[shell]],Table2[#Headers],0),0)</f>
        <v>6 INCH TUBE</v>
      </c>
      <c r="H523" s="2" t="str">
        <f>VLOOKUP([jobnumber],OvalData[],MATCH(Table2[[#Headers],[pipewidth]],Table2[#Headers],0),0)</f>
        <v xml:space="preserve"> 18 ft.- 1 3/ 8"</v>
      </c>
      <c r="I523" s="2">
        <f>VLOOKUP([jobnumber],OvalData[],MATCH(Table2[[#Headers],[Support Tubes]],Table2[#Headers],0),0)</f>
        <v>0</v>
      </c>
      <c r="J523" s="2">
        <f>VLOOKUP([jobnumber],OvalData[],MATCH(Table2[[#Headers],[Upset]],Table2[#Headers],0),0)</f>
        <v>2</v>
      </c>
      <c r="K523" s="2" t="str">
        <f>VLOOKUP([jobnumber],OvalData[],MATCH(Table2[[#Headers],[Guide Type]],Table2[#Headers],0),0)</f>
        <v>SN2-4 5/8-E</v>
      </c>
      <c r="L523" s="2" t="str">
        <f>VLOOKUP([jobnumber],OvalData[],MATCH(Table2[[#Headers],[Wall Angle]],Table2[#Headers],0),0)</f>
        <v xml:space="preserve"> 11 ft.- 8"</v>
      </c>
      <c r="M523" s="2" t="str">
        <f>VLOOKUP([jobnumber],OvalData[],MATCH(Table2[[#Headers],[Middle Angle]],Table2[#Headers],0),0)</f>
        <v xml:space="preserve"> 10 ft.- 4 1/ 2"</v>
      </c>
      <c r="N523" s="2" t="str">
        <f>VLOOKUP([jobnumber],OvalData[],MATCH(Table2[[#Headers],[Front Angle]],Table2[#Headers],0),0)</f>
        <v xml:space="preserve"> 10 ft.- 3"</v>
      </c>
      <c r="O523" s="2">
        <f>VLOOKUP([jobnumber],OvalData[],MATCH(Table2[[#Headers],[Pipe Center Line]],Table2[#Headers],0),0)</f>
        <v>131</v>
      </c>
      <c r="P523" s="2">
        <f>VLOOKUP([jobnumber],OvalData[],MATCH(Table2[[#Headers],[Heat Expansion Gap]],Table2[#Headers],0),0)</f>
        <v>0</v>
      </c>
      <c r="Q523" s="2">
        <f>VLOOKUP([jobnumber],OvalData[],MATCH(Table2[[#Headers],[Hanging Weight Closed]],Table2[#Headers],0),0)</f>
        <v>795</v>
      </c>
      <c r="R523" s="2">
        <f>VLOOKUP([jobnumber],OvalData[],MATCH(Table2[[#Headers],[Hanging Weight Open]],Table2[#Headers],0),0)</f>
        <v>140</v>
      </c>
      <c r="S523" s="2">
        <f>VLOOKUP([jobnumber],OvalData[],MATCH(Table2[[#Headers],[Initial Lever Arm]],Table2[#Headers],0),0)</f>
        <v>4.25</v>
      </c>
      <c r="T523" s="2">
        <f>VLOOKUP([jobnumber],OvalData[],MATCH(Table2[[#Headers],[Turns to Raise]],Table2[#Headers],0),0)</f>
        <v>3.5859999999999999</v>
      </c>
      <c r="U523" s="2">
        <f>VLOOKUP([jobnumber],OvalData[],MATCH(Table2[[#Headers],[Final Lever Arm]],Table2[#Headers],0),0)</f>
        <v>6.37</v>
      </c>
      <c r="V523" s="2">
        <f>VLOOKUP([jobnumber],OvalData[],MATCH(Table2[[#Headers],[Torque Required Closed]],Table2[#Headers],0),0)</f>
        <v>3377.9</v>
      </c>
      <c r="W523" s="2">
        <f>VLOOKUP([jobnumber],OvalData[],MATCH(Table2[[#Headers],[Torque Required Open]],Table2[#Headers],0),0)</f>
        <v>892</v>
      </c>
      <c r="X523" s="2">
        <f>VLOOKUP([jobnumber],OvalData[],MATCH(Table2[[#Headers],[Pre Turns]],Table2[#Headers],0),0)</f>
        <v>1.3332999999999999</v>
      </c>
      <c r="Y523" s="2">
        <f>VLOOKUP([jobnumber],OvalData[],MATCH(Table2[[#Headers],[Required Torque Per Turn]],Table2[#Headers],0),0)</f>
        <v>688</v>
      </c>
      <c r="Z523" s="2">
        <f>VLOOKUP([jobnumber],OvalData[],MATCH(Table2[[#Headers],[Total Turns]],Table2[#Headers],0),0)</f>
        <v>4.91</v>
      </c>
      <c r="AA523" s="2">
        <f>VLOOKUP([jobnumber],OvalData[],MATCH(Table2[[#Headers],[Grille Vision Section]],Table2[#Headers],0),0)</f>
        <v>0</v>
      </c>
      <c r="AB523" s="2">
        <f>VLOOKUP([jobnumber],OvalData[],MATCH(Table2[[#Headers],[Grille Amount]],Table2[#Headers],0),0)</f>
        <v>0</v>
      </c>
      <c r="AC523" s="2">
        <f>VLOOKUP([jobnumber],OvalData[],MATCH(Table2[[#Headers],[Grille Center]],Table2[#Headers],0),0)</f>
        <v>0</v>
      </c>
      <c r="AD523" s="2">
        <f>VLOOKUP([jobnumber],OvalData[],MATCH(Table2[[#Headers],[Grille Pattern]],Table2[#Headers],0),0)</f>
        <v>0</v>
      </c>
      <c r="AE523" s="2">
        <f>VLOOKUP([jobnumber],OvalData[],MATCH(Table2[[#Headers],[Grille First Tube]],Table2[#Headers],0),0)</f>
        <v>0</v>
      </c>
      <c r="AF523" s="2">
        <f>VLOOKUP([jobnumber],OvalData[],MATCH(Table2[[#Headers],[Grille Standard Tube]],Table2[#Headers],0),0)</f>
        <v>0</v>
      </c>
      <c r="AG523" s="2">
        <f>VLOOKUP([jobnumber],OvalData[],MATCH(Table2[[#Headers],[Grille Total Links]],Table2[#Headers],0),0)</f>
        <v>0</v>
      </c>
      <c r="AH523" s="2">
        <f>VLOOKUP([jobnumber],OvalData[],MATCH(Table2[[#Headers],[Grille Rods]],Table2[#Headers],0),0)</f>
        <v>0</v>
      </c>
      <c r="AI523" s="2">
        <f>VLOOKUP([jobnumber],OvalData[],MATCH(Table2[[#Headers],[Grille Rod Length]],Table2[#Headers],0),0)</f>
        <v>0</v>
      </c>
      <c r="AJ523" s="2">
        <f>VLOOKUP([jobnumber],OvalData[],MATCH(Table2[[#Headers],[slattype]],Table2[#Headers],0),0)</f>
        <v>2</v>
      </c>
      <c r="AK523" s="2">
        <f>VLOOKUP([jobnumber],OvalData[],MATCH(Table2[[#Headers],[slatgage]],Table2[#Headers],0),0)</f>
        <v>18</v>
      </c>
      <c r="AL523" s="2">
        <f>VLOOKUP([jobnumber],OvalData[],MATCH(Table2[[#Headers],[Numer of Top Slats]],Table2[#Headers],0),0)</f>
        <v>0</v>
      </c>
      <c r="AM523" s="2">
        <f>VLOOKUP([jobnumber],OvalData[],MATCH(Table2[[#Headers],[Number of Bottom Slats]],Table2[#Headers],0),0)</f>
        <v>0</v>
      </c>
      <c r="AN523" s="2">
        <f>VLOOKUP([jobnumber],OvalData[],MATCH(Table2[[#Headers],[Solid Bottom Height]],Table2[#Headers],0),0)</f>
        <v>0</v>
      </c>
      <c r="AO523" s="2" t="str">
        <f>VLOOKUP([jobnumber],OvalData[],MATCH(Table2[[#Headers],[slatlength]],Table2[#Headers],0),0)</f>
        <v xml:space="preserve"> 18 ft.- 5 7/ 8"</v>
      </c>
      <c r="AP523" s="2">
        <f>VLOOKUP([jobnumber],OvalData[],MATCH(Table2[[#Headers],[Bottom Slat Length]],Table2[#Headers],0),0)</f>
        <v>0</v>
      </c>
      <c r="AQ523" s="2">
        <f>VLOOKUP([jobnumber],OvalData[],MATCH(Table2[[#Headers],[Number of Perferated Slats]],Table2[#Headers],0),0)</f>
        <v>0</v>
      </c>
      <c r="AR523" s="2">
        <f>VLOOKUP([jobnumber],OvalData[],MATCH(Table2[[#Headers],[First Preferated Slat From End]],Table2[#Headers],0),0)</f>
        <v>0</v>
      </c>
      <c r="AS523" s="2">
        <f>VLOOKUP([jobnumber],OvalData[],MATCH(Table2[[#Headers],[First Preferated Slat From Bottom]],Table2[#Headers],0),0)</f>
        <v>0</v>
      </c>
      <c r="AT523" s="2">
        <f>VLOOKUP([jobnumber],OvalData[],MATCH(Table2[[#Headers],[Total Number of Slats]],Table2[#Headers],0),0)</f>
        <v>51</v>
      </c>
      <c r="AU523" s="2">
        <f>VLOOKUP([jobnumber],OvalData[],MATCH(Table2[[#Headers],[Bottom Bar Slope]],Table2[#Headers],0),0)</f>
        <v>0</v>
      </c>
      <c r="AV523" s="2">
        <f>VLOOKUP([jobnumber],OvalData[],MATCH(Table2[[#Headers],[Bottom Bar Weight]],Table2[#Headers],0),0)</f>
        <v>80.5</v>
      </c>
      <c r="AW523" s="2" t="str">
        <f>VLOOKUP([jobnumber],OvalData[],MATCH(Table2[[#Headers],[Outer Spring Gage]],Table2[#Headers],0),0)</f>
        <v>Null</v>
      </c>
      <c r="AX523" s="2" t="str">
        <f>VLOOKUP([jobnumber],OvalData[],MATCH(Table2[[#Headers],[Outer Spring OD]],Table2[#Headers],0),0)</f>
        <v>Null</v>
      </c>
      <c r="AY523" s="2" t="str">
        <f>VLOOKUP([jobnumber],OvalData[],MATCH(Table2[[#Headers],[Outer Spring Length]],Table2[#Headers],0),0)</f>
        <v>Null</v>
      </c>
      <c r="AZ523" s="2" t="str">
        <f>VLOOKUP([jobnumber],OvalData[],MATCH(Table2[[#Headers],[Outer Spring Stretch]],Table2[#Headers],0),0)</f>
        <v>Null</v>
      </c>
      <c r="BA523" s="2" t="str">
        <f>VLOOKUP([jobnumber],OvalData[],MATCH(Table2[[#Headers],[Outer Spring Torque]],Table2[#Headers],0),0)</f>
        <v>Null</v>
      </c>
      <c r="BB523" s="2" t="str">
        <f>VLOOKUP([jobnumber],OvalData[],MATCH(Table2[[#Headers],[Outer Spring Max Turns]],Table2[#Headers],0),0)</f>
        <v>Null</v>
      </c>
      <c r="BC523" s="2" t="str">
        <f>VLOOKUP([jobnumber],OvalData[],MATCH(Table2[[#Headers],[Outer Spring Weight]],Table2[#Headers],0),0)</f>
        <v>Null</v>
      </c>
      <c r="BD523" s="2" t="str">
        <f>VLOOKUP([jobnumber],OvalData[],MATCH(Table2[[#Headers],[Inner Spring Gage]],Table2[#Headers],0),0)</f>
        <v>Null</v>
      </c>
      <c r="BE523" s="2" t="str">
        <f>VLOOKUP([jobnumber],OvalData[],MATCH(Table2[[#Headers],[Inner Spring OD]],Table2[#Headers],0),0)</f>
        <v>Null</v>
      </c>
      <c r="BF523" s="2" t="str">
        <f>VLOOKUP([jobnumber],OvalData[],MATCH(Table2[[#Headers],[Inner Spring Length]],Table2[#Headers],0),0)</f>
        <v>Null</v>
      </c>
      <c r="BG523" s="2" t="str">
        <f>VLOOKUP([jobnumber],OvalData[],MATCH(Table2[[#Headers],[Inner Spring Stretch]],Table2[#Headers],0),0)</f>
        <v>Null</v>
      </c>
      <c r="BH523" s="2" t="str">
        <f>VLOOKUP([jobnumber],OvalData[],MATCH(Table2[[#Headers],[Inner Spring Torque]],Table2[#Headers],0),0)</f>
        <v>Null</v>
      </c>
      <c r="BI523" s="2" t="str">
        <f>VLOOKUP([jobnumber],OvalData[],MATCH(Table2[[#Headers],[Inner Spring Max Turns]],Table2[#Headers],0),0)</f>
        <v>Null</v>
      </c>
      <c r="BJ523" s="2" t="str">
        <f>VLOOKUP([jobnumber],OvalData[],MATCH(Table2[[#Headers],[Inner Spring Weight]],Table2[#Headers],0),0)</f>
        <v>Null</v>
      </c>
      <c r="BK523" s="2">
        <f>VLOOKUP([jobnumber],OvalData[],MATCH(Table2[[#Headers],[Cycles]],Table2[#Headers],0),0)</f>
        <v>0</v>
      </c>
      <c r="BL523" s="2">
        <f>VLOOKUP([jobnumber],OvalData[],MATCH(Table2[[#Headers],[Total Spring Torque]],Table2[#Headers],0),0)</f>
        <v>0</v>
      </c>
      <c r="BM523" s="2">
        <f>VLOOKUP([jobnumber],OvalData[],MATCH(Table2[[#Headers],[Total Spring Weight]],Table2[#Headers],0),0)</f>
        <v>0</v>
      </c>
      <c r="BN523" s="2">
        <f>VLOOKUP([jobnumber],OvalData[],MATCH(Table2[[#Headers],[Pipe Weight]],Table2[#Headers],0),0)</f>
        <v>688.24239999999998</v>
      </c>
      <c r="BO523" s="2">
        <f>VLOOKUP([jobnumber],OvalData[],MATCH(Table2[[#Headers],[Max Pipe Deflection]],Table2[#Headers],0),0)</f>
        <v>2309</v>
      </c>
      <c r="BP523" s="2">
        <f>VLOOKUP([jobnumber],OvalData[],MATCH(Table2[[#Headers],[Number Non-Insulated Wrap Slats]],Table2[#Headers],0),0)</f>
        <v>0</v>
      </c>
      <c r="BQ523" s="2">
        <f>VLOOKUP([jobnumber],OvalData[],MATCH(Table2[[#Headers],[Number of Insolated Top Slats]],Table2[#Headers],0),0)</f>
        <v>45</v>
      </c>
      <c r="BR523" s="2">
        <f>VLOOKUP([jobnumber],OvalData[],MATCH(Table2[[#Headers],[Insolated Total Slats]],Table2[#Headers],0),0)</f>
        <v>45</v>
      </c>
      <c r="BS523" s="2">
        <f>VLOOKUP([jobnumber],OvalData[],MATCH(Table2[[#Headers],[Number of Slats]],Table2[#Headers],0),0)</f>
        <v>44.69</v>
      </c>
      <c r="BT523" s="2">
        <f>VLOOKUP([jobnumber],OvalData[],MATCH(Table2[[#Headers],[Wrap]],Table2[#Headers],0),0)</f>
        <v>0</v>
      </c>
      <c r="BU523" s="2">
        <f>VLOOKUP([jobnumber],OvalData[],MATCH(Table2[[#Headers],[Wall Angle Thickness]],Table2[#Headers],0),0)</f>
        <v>0</v>
      </c>
      <c r="BV523" s="2">
        <f>VLOOKUP([jobnumber],OvalData[],MATCH(Table2[[#Headers],[windlocks]],Table2[#Headers],0),0)</f>
        <v>0</v>
      </c>
      <c r="BW523" s="2" t="str">
        <f>VLOOKUP([jobnumber],OvalData[],MATCH(Table2[[#Headers],[bottombartype]],Table2[#Headers],0),0)</f>
        <v>SPECIAL</v>
      </c>
      <c r="BX523" s="2">
        <f>VLOOKUP([jobnumber],OvalData[],MATCH(Table2[[#Headers],[endlockweight]],Table2[#Headers],0),0)</f>
        <v>0.17</v>
      </c>
      <c r="BY523" s="2">
        <f>VLOOKUP([jobnumber],OvalData[],MATCH(Table2[[#Headers],[Endlock Total Weight]],Table2[#Headers],0),0)</f>
        <v>7.5972999999999997</v>
      </c>
      <c r="BZ523" s="2">
        <f>VLOOKUP([jobnumber],OvalData[],MATCH(Table2[[#Headers],[Grille Weight]],Table2[#Headers],0),0)</f>
        <v>0</v>
      </c>
      <c r="CA523" s="2">
        <f>VLOOKUP([jobnumber],OvalData[],MATCH(Table2[[#Headers],[barrelrings]],Table2[#Headers],0),0)</f>
        <v>1</v>
      </c>
    </row>
    <row r="524" spans="2:79">
      <c r="B524" s="2" t="str">
        <f>VLOOKUP([jobnumber],OvalData[],MATCH(Table2[[#Headers],[Hand]],Table2[#Headers],0),0)</f>
        <v>RH</v>
      </c>
      <c r="C524" s="2" t="str">
        <f>VLOOKUP([jobnumber],OvalData[],MATCH(Table2[[#Headers],[Model]],Table2[#Headers],0),0)</f>
        <v>SFMPP</v>
      </c>
      <c r="D524" s="2" t="str">
        <f>VLOOKUP([jobnumber],OvalData[],MATCH(Table2[[#Headers],[width]],Table2[#Headers],0),0)</f>
        <v xml:space="preserve"> 18 ft.- 2"</v>
      </c>
      <c r="E524" s="2" t="str">
        <f>VLOOKUP([jobnumber],OvalData[],MATCH(Table2[[#Headers],[stopheight]],Table2[#Headers],0),0)</f>
        <v xml:space="preserve"> 10 ft.- 0"</v>
      </c>
      <c r="F524" s="2" t="str">
        <f>VLOOKUP([jobnumber],OvalData[],MATCH(Table2[[#Headers],[Between Brackets]],Table2[#Headers],0),0)</f>
        <v xml:space="preserve"> 18 ft.- 7 7/ 8"</v>
      </c>
      <c r="G524" s="2" t="str">
        <f>VLOOKUP([jobnumber],OvalData[],MATCH(Table2[[#Headers],[shell]],Table2[#Headers],0),0)</f>
        <v>6 INCH TUBE</v>
      </c>
      <c r="H524" s="2" t="str">
        <f>VLOOKUP([jobnumber],OvalData[],MATCH(Table2[[#Headers],[pipewidth]],Table2[#Headers],0),0)</f>
        <v xml:space="preserve"> 18 ft.- 1 3/ 8"</v>
      </c>
      <c r="I524" s="2">
        <f>VLOOKUP([jobnumber],OvalData[],MATCH(Table2[[#Headers],[Support Tubes]],Table2[#Headers],0),0)</f>
        <v>0</v>
      </c>
      <c r="J524" s="2">
        <f>VLOOKUP([jobnumber],OvalData[],MATCH(Table2[[#Headers],[Upset]],Table2[#Headers],0),0)</f>
        <v>2</v>
      </c>
      <c r="K524" s="2" t="str">
        <f>VLOOKUP([jobnumber],OvalData[],MATCH(Table2[[#Headers],[Guide Type]],Table2[#Headers],0),0)</f>
        <v>SN2-4 5/8-E</v>
      </c>
      <c r="L524" s="2" t="str">
        <f>VLOOKUP([jobnumber],OvalData[],MATCH(Table2[[#Headers],[Wall Angle]],Table2[#Headers],0),0)</f>
        <v xml:space="preserve"> 11 ft.- 8"</v>
      </c>
      <c r="M524" s="2" t="str">
        <f>VLOOKUP([jobnumber],OvalData[],MATCH(Table2[[#Headers],[Middle Angle]],Table2[#Headers],0),0)</f>
        <v xml:space="preserve"> 10 ft.- 4 1/ 2"</v>
      </c>
      <c r="N524" s="2" t="str">
        <f>VLOOKUP([jobnumber],OvalData[],MATCH(Table2[[#Headers],[Front Angle]],Table2[#Headers],0),0)</f>
        <v xml:space="preserve"> 10 ft.- 3"</v>
      </c>
      <c r="O524" s="2">
        <f>VLOOKUP([jobnumber],OvalData[],MATCH(Table2[[#Headers],[Pipe Center Line]],Table2[#Headers],0),0)</f>
        <v>131</v>
      </c>
      <c r="P524" s="2">
        <f>VLOOKUP([jobnumber],OvalData[],MATCH(Table2[[#Headers],[Heat Expansion Gap]],Table2[#Headers],0),0)</f>
        <v>0</v>
      </c>
      <c r="Q524" s="2">
        <f>VLOOKUP([jobnumber],OvalData[],MATCH(Table2[[#Headers],[Hanging Weight Closed]],Table2[#Headers],0),0)</f>
        <v>795</v>
      </c>
      <c r="R524" s="2">
        <f>VLOOKUP([jobnumber],OvalData[],MATCH(Table2[[#Headers],[Hanging Weight Open]],Table2[#Headers],0),0)</f>
        <v>140</v>
      </c>
      <c r="S524" s="2">
        <f>VLOOKUP([jobnumber],OvalData[],MATCH(Table2[[#Headers],[Initial Lever Arm]],Table2[#Headers],0),0)</f>
        <v>4.25</v>
      </c>
      <c r="T524" s="2">
        <f>VLOOKUP([jobnumber],OvalData[],MATCH(Table2[[#Headers],[Turns to Raise]],Table2[#Headers],0),0)</f>
        <v>3.5859999999999999</v>
      </c>
      <c r="U524" s="2">
        <f>VLOOKUP([jobnumber],OvalData[],MATCH(Table2[[#Headers],[Final Lever Arm]],Table2[#Headers],0),0)</f>
        <v>6.37</v>
      </c>
      <c r="V524" s="2">
        <f>VLOOKUP([jobnumber],OvalData[],MATCH(Table2[[#Headers],[Torque Required Closed]],Table2[#Headers],0),0)</f>
        <v>3377.9</v>
      </c>
      <c r="W524" s="2">
        <f>VLOOKUP([jobnumber],OvalData[],MATCH(Table2[[#Headers],[Torque Required Open]],Table2[#Headers],0),0)</f>
        <v>892</v>
      </c>
      <c r="X524" s="2">
        <f>VLOOKUP([jobnumber],OvalData[],MATCH(Table2[[#Headers],[Pre Turns]],Table2[#Headers],0),0)</f>
        <v>1.3332999999999999</v>
      </c>
      <c r="Y524" s="2">
        <f>VLOOKUP([jobnumber],OvalData[],MATCH(Table2[[#Headers],[Required Torque Per Turn]],Table2[#Headers],0),0)</f>
        <v>688</v>
      </c>
      <c r="Z524" s="2">
        <f>VLOOKUP([jobnumber],OvalData[],MATCH(Table2[[#Headers],[Total Turns]],Table2[#Headers],0),0)</f>
        <v>4.91</v>
      </c>
      <c r="AA524" s="2">
        <f>VLOOKUP([jobnumber],OvalData[],MATCH(Table2[[#Headers],[Grille Vision Section]],Table2[#Headers],0),0)</f>
        <v>0</v>
      </c>
      <c r="AB524" s="2">
        <f>VLOOKUP([jobnumber],OvalData[],MATCH(Table2[[#Headers],[Grille Amount]],Table2[#Headers],0),0)</f>
        <v>0</v>
      </c>
      <c r="AC524" s="2">
        <f>VLOOKUP([jobnumber],OvalData[],MATCH(Table2[[#Headers],[Grille Center]],Table2[#Headers],0),0)</f>
        <v>0</v>
      </c>
      <c r="AD524" s="2">
        <f>VLOOKUP([jobnumber],OvalData[],MATCH(Table2[[#Headers],[Grille Pattern]],Table2[#Headers],0),0)</f>
        <v>0</v>
      </c>
      <c r="AE524" s="2">
        <f>VLOOKUP([jobnumber],OvalData[],MATCH(Table2[[#Headers],[Grille First Tube]],Table2[#Headers],0),0)</f>
        <v>0</v>
      </c>
      <c r="AF524" s="2">
        <f>VLOOKUP([jobnumber],OvalData[],MATCH(Table2[[#Headers],[Grille Standard Tube]],Table2[#Headers],0),0)</f>
        <v>0</v>
      </c>
      <c r="AG524" s="2">
        <f>VLOOKUP([jobnumber],OvalData[],MATCH(Table2[[#Headers],[Grille Total Links]],Table2[#Headers],0),0)</f>
        <v>0</v>
      </c>
      <c r="AH524" s="2">
        <f>VLOOKUP([jobnumber],OvalData[],MATCH(Table2[[#Headers],[Grille Rods]],Table2[#Headers],0),0)</f>
        <v>0</v>
      </c>
      <c r="AI524" s="2">
        <f>VLOOKUP([jobnumber],OvalData[],MATCH(Table2[[#Headers],[Grille Rod Length]],Table2[#Headers],0),0)</f>
        <v>0</v>
      </c>
      <c r="AJ524" s="2">
        <f>VLOOKUP([jobnumber],OvalData[],MATCH(Table2[[#Headers],[slattype]],Table2[#Headers],0),0)</f>
        <v>2</v>
      </c>
      <c r="AK524" s="2">
        <f>VLOOKUP([jobnumber],OvalData[],MATCH(Table2[[#Headers],[slatgage]],Table2[#Headers],0),0)</f>
        <v>18</v>
      </c>
      <c r="AL524" s="2">
        <f>VLOOKUP([jobnumber],OvalData[],MATCH(Table2[[#Headers],[Numer of Top Slats]],Table2[#Headers],0),0)</f>
        <v>0</v>
      </c>
      <c r="AM524" s="2">
        <f>VLOOKUP([jobnumber],OvalData[],MATCH(Table2[[#Headers],[Number of Bottom Slats]],Table2[#Headers],0),0)</f>
        <v>0</v>
      </c>
      <c r="AN524" s="2">
        <f>VLOOKUP([jobnumber],OvalData[],MATCH(Table2[[#Headers],[Solid Bottom Height]],Table2[#Headers],0),0)</f>
        <v>0</v>
      </c>
      <c r="AO524" s="2" t="str">
        <f>VLOOKUP([jobnumber],OvalData[],MATCH(Table2[[#Headers],[slatlength]],Table2[#Headers],0),0)</f>
        <v xml:space="preserve"> 18 ft.- 5 7/ 8"</v>
      </c>
      <c r="AP524" s="2">
        <f>VLOOKUP([jobnumber],OvalData[],MATCH(Table2[[#Headers],[Bottom Slat Length]],Table2[#Headers],0),0)</f>
        <v>0</v>
      </c>
      <c r="AQ524" s="2">
        <f>VLOOKUP([jobnumber],OvalData[],MATCH(Table2[[#Headers],[Number of Perferated Slats]],Table2[#Headers],0),0)</f>
        <v>0</v>
      </c>
      <c r="AR524" s="2">
        <f>VLOOKUP([jobnumber],OvalData[],MATCH(Table2[[#Headers],[First Preferated Slat From End]],Table2[#Headers],0),0)</f>
        <v>0</v>
      </c>
      <c r="AS524" s="2">
        <f>VLOOKUP([jobnumber],OvalData[],MATCH(Table2[[#Headers],[First Preferated Slat From Bottom]],Table2[#Headers],0),0)</f>
        <v>0</v>
      </c>
      <c r="AT524" s="2">
        <f>VLOOKUP([jobnumber],OvalData[],MATCH(Table2[[#Headers],[Total Number of Slats]],Table2[#Headers],0),0)</f>
        <v>51</v>
      </c>
      <c r="AU524" s="2">
        <f>VLOOKUP([jobnumber],OvalData[],MATCH(Table2[[#Headers],[Bottom Bar Slope]],Table2[#Headers],0),0)</f>
        <v>0</v>
      </c>
      <c r="AV524" s="2">
        <f>VLOOKUP([jobnumber],OvalData[],MATCH(Table2[[#Headers],[Bottom Bar Weight]],Table2[#Headers],0),0)</f>
        <v>80.5</v>
      </c>
      <c r="AW524" s="2" t="str">
        <f>VLOOKUP([jobnumber],OvalData[],MATCH(Table2[[#Headers],[Outer Spring Gage]],Table2[#Headers],0),0)</f>
        <v>Null</v>
      </c>
      <c r="AX524" s="2" t="str">
        <f>VLOOKUP([jobnumber],OvalData[],MATCH(Table2[[#Headers],[Outer Spring OD]],Table2[#Headers],0),0)</f>
        <v>Null</v>
      </c>
      <c r="AY524" s="2" t="str">
        <f>VLOOKUP([jobnumber],OvalData[],MATCH(Table2[[#Headers],[Outer Spring Length]],Table2[#Headers],0),0)</f>
        <v>Null</v>
      </c>
      <c r="AZ524" s="2" t="str">
        <f>VLOOKUP([jobnumber],OvalData[],MATCH(Table2[[#Headers],[Outer Spring Stretch]],Table2[#Headers],0),0)</f>
        <v>Null</v>
      </c>
      <c r="BA524" s="2" t="str">
        <f>VLOOKUP([jobnumber],OvalData[],MATCH(Table2[[#Headers],[Outer Spring Torque]],Table2[#Headers],0),0)</f>
        <v>Null</v>
      </c>
      <c r="BB524" s="2" t="str">
        <f>VLOOKUP([jobnumber],OvalData[],MATCH(Table2[[#Headers],[Outer Spring Max Turns]],Table2[#Headers],0),0)</f>
        <v>Null</v>
      </c>
      <c r="BC524" s="2" t="str">
        <f>VLOOKUP([jobnumber],OvalData[],MATCH(Table2[[#Headers],[Outer Spring Weight]],Table2[#Headers],0),0)</f>
        <v>Null</v>
      </c>
      <c r="BD524" s="2" t="str">
        <f>VLOOKUP([jobnumber],OvalData[],MATCH(Table2[[#Headers],[Inner Spring Gage]],Table2[#Headers],0),0)</f>
        <v>Null</v>
      </c>
      <c r="BE524" s="2" t="str">
        <f>VLOOKUP([jobnumber],OvalData[],MATCH(Table2[[#Headers],[Inner Spring OD]],Table2[#Headers],0),0)</f>
        <v>Null</v>
      </c>
      <c r="BF524" s="2" t="str">
        <f>VLOOKUP([jobnumber],OvalData[],MATCH(Table2[[#Headers],[Inner Spring Length]],Table2[#Headers],0),0)</f>
        <v>Null</v>
      </c>
      <c r="BG524" s="2" t="str">
        <f>VLOOKUP([jobnumber],OvalData[],MATCH(Table2[[#Headers],[Inner Spring Stretch]],Table2[#Headers],0),0)</f>
        <v>Null</v>
      </c>
      <c r="BH524" s="2" t="str">
        <f>VLOOKUP([jobnumber],OvalData[],MATCH(Table2[[#Headers],[Inner Spring Torque]],Table2[#Headers],0),0)</f>
        <v>Null</v>
      </c>
      <c r="BI524" s="2" t="str">
        <f>VLOOKUP([jobnumber],OvalData[],MATCH(Table2[[#Headers],[Inner Spring Max Turns]],Table2[#Headers],0),0)</f>
        <v>Null</v>
      </c>
      <c r="BJ524" s="2" t="str">
        <f>VLOOKUP([jobnumber],OvalData[],MATCH(Table2[[#Headers],[Inner Spring Weight]],Table2[#Headers],0),0)</f>
        <v>Null</v>
      </c>
      <c r="BK524" s="2">
        <f>VLOOKUP([jobnumber],OvalData[],MATCH(Table2[[#Headers],[Cycles]],Table2[#Headers],0),0)</f>
        <v>0</v>
      </c>
      <c r="BL524" s="2">
        <f>VLOOKUP([jobnumber],OvalData[],MATCH(Table2[[#Headers],[Total Spring Torque]],Table2[#Headers],0),0)</f>
        <v>0</v>
      </c>
      <c r="BM524" s="2">
        <f>VLOOKUP([jobnumber],OvalData[],MATCH(Table2[[#Headers],[Total Spring Weight]],Table2[#Headers],0),0)</f>
        <v>0</v>
      </c>
      <c r="BN524" s="2">
        <f>VLOOKUP([jobnumber],OvalData[],MATCH(Table2[[#Headers],[Pipe Weight]],Table2[#Headers],0),0)</f>
        <v>688.24239999999998</v>
      </c>
      <c r="BO524" s="2">
        <f>VLOOKUP([jobnumber],OvalData[],MATCH(Table2[[#Headers],[Max Pipe Deflection]],Table2[#Headers],0),0)</f>
        <v>2309</v>
      </c>
      <c r="BP524" s="2">
        <f>VLOOKUP([jobnumber],OvalData[],MATCH(Table2[[#Headers],[Number Non-Insulated Wrap Slats]],Table2[#Headers],0),0)</f>
        <v>0</v>
      </c>
      <c r="BQ524" s="2">
        <f>VLOOKUP([jobnumber],OvalData[],MATCH(Table2[[#Headers],[Number of Insolated Top Slats]],Table2[#Headers],0),0)</f>
        <v>45</v>
      </c>
      <c r="BR524" s="2">
        <f>VLOOKUP([jobnumber],OvalData[],MATCH(Table2[[#Headers],[Insolated Total Slats]],Table2[#Headers],0),0)</f>
        <v>45</v>
      </c>
      <c r="BS524" s="2">
        <f>VLOOKUP([jobnumber],OvalData[],MATCH(Table2[[#Headers],[Number of Slats]],Table2[#Headers],0),0)</f>
        <v>44.69</v>
      </c>
      <c r="BT524" s="2">
        <f>VLOOKUP([jobnumber],OvalData[],MATCH(Table2[[#Headers],[Wrap]],Table2[#Headers],0),0)</f>
        <v>0</v>
      </c>
      <c r="BU524" s="2">
        <f>VLOOKUP([jobnumber],OvalData[],MATCH(Table2[[#Headers],[Wall Angle Thickness]],Table2[#Headers],0),0)</f>
        <v>0</v>
      </c>
      <c r="BV524" s="2">
        <f>VLOOKUP([jobnumber],OvalData[],MATCH(Table2[[#Headers],[windlocks]],Table2[#Headers],0),0)</f>
        <v>0</v>
      </c>
      <c r="BW524" s="2" t="str">
        <f>VLOOKUP([jobnumber],OvalData[],MATCH(Table2[[#Headers],[bottombartype]],Table2[#Headers],0),0)</f>
        <v>SPECIAL</v>
      </c>
      <c r="BX524" s="2">
        <f>VLOOKUP([jobnumber],OvalData[],MATCH(Table2[[#Headers],[endlockweight]],Table2[#Headers],0),0)</f>
        <v>0.17</v>
      </c>
      <c r="BY524" s="2">
        <f>VLOOKUP([jobnumber],OvalData[],MATCH(Table2[[#Headers],[Endlock Total Weight]],Table2[#Headers],0),0)</f>
        <v>7.5972999999999997</v>
      </c>
      <c r="BZ524" s="2">
        <f>VLOOKUP([jobnumber],OvalData[],MATCH(Table2[[#Headers],[Grille Weight]],Table2[#Headers],0),0)</f>
        <v>0</v>
      </c>
      <c r="CA524" s="2">
        <f>VLOOKUP([jobnumber],OvalData[],MATCH(Table2[[#Headers],[barrelrings]],Table2[#Headers],0),0)</f>
        <v>1</v>
      </c>
    </row>
    <row r="525" spans="2:79">
      <c r="B525" s="2" t="str">
        <f>VLOOKUP([jobnumber],OvalData[],MATCH(Table2[[#Headers],[Hand]],Table2[#Headers],0),0)</f>
        <v>RH</v>
      </c>
      <c r="C525" s="2" t="str">
        <f>VLOOKUP([jobnumber],OvalData[],MATCH(Table2[[#Headers],[Model]],Table2[#Headers],0),0)</f>
        <v>SFMPP</v>
      </c>
      <c r="D525" s="2" t="str">
        <f>VLOOKUP([jobnumber],OvalData[],MATCH(Table2[[#Headers],[width]],Table2[#Headers],0),0)</f>
        <v xml:space="preserve"> 18 ft.- 2"</v>
      </c>
      <c r="E525" s="2" t="str">
        <f>VLOOKUP([jobnumber],OvalData[],MATCH(Table2[[#Headers],[stopheight]],Table2[#Headers],0),0)</f>
        <v xml:space="preserve"> 10 ft.- 0"</v>
      </c>
      <c r="F525" s="2" t="str">
        <f>VLOOKUP([jobnumber],OvalData[],MATCH(Table2[[#Headers],[Between Brackets]],Table2[#Headers],0),0)</f>
        <v xml:space="preserve"> 18 ft.- 7 7/ 8"</v>
      </c>
      <c r="G525" s="2" t="str">
        <f>VLOOKUP([jobnumber],OvalData[],MATCH(Table2[[#Headers],[shell]],Table2[#Headers],0),0)</f>
        <v>6 INCH TUBE</v>
      </c>
      <c r="H525" s="2" t="str">
        <f>VLOOKUP([jobnumber],OvalData[],MATCH(Table2[[#Headers],[pipewidth]],Table2[#Headers],0),0)</f>
        <v xml:space="preserve"> 18 ft.- 1 3/ 8"</v>
      </c>
      <c r="I525" s="2">
        <f>VLOOKUP([jobnumber],OvalData[],MATCH(Table2[[#Headers],[Support Tubes]],Table2[#Headers],0),0)</f>
        <v>0</v>
      </c>
      <c r="J525" s="2">
        <f>VLOOKUP([jobnumber],OvalData[],MATCH(Table2[[#Headers],[Upset]],Table2[#Headers],0),0)</f>
        <v>2</v>
      </c>
      <c r="K525" s="2" t="str">
        <f>VLOOKUP([jobnumber],OvalData[],MATCH(Table2[[#Headers],[Guide Type]],Table2[#Headers],0),0)</f>
        <v>SN2-4 5/8-E</v>
      </c>
      <c r="L525" s="2" t="str">
        <f>VLOOKUP([jobnumber],OvalData[],MATCH(Table2[[#Headers],[Wall Angle]],Table2[#Headers],0),0)</f>
        <v xml:space="preserve"> 11 ft.- 8"</v>
      </c>
      <c r="M525" s="2" t="str">
        <f>VLOOKUP([jobnumber],OvalData[],MATCH(Table2[[#Headers],[Middle Angle]],Table2[#Headers],0),0)</f>
        <v xml:space="preserve"> 10 ft.- 4 1/ 2"</v>
      </c>
      <c r="N525" s="2" t="str">
        <f>VLOOKUP([jobnumber],OvalData[],MATCH(Table2[[#Headers],[Front Angle]],Table2[#Headers],0),0)</f>
        <v xml:space="preserve"> 10 ft.- 3"</v>
      </c>
      <c r="O525" s="2">
        <f>VLOOKUP([jobnumber],OvalData[],MATCH(Table2[[#Headers],[Pipe Center Line]],Table2[#Headers],0),0)</f>
        <v>131</v>
      </c>
      <c r="P525" s="2">
        <f>VLOOKUP([jobnumber],OvalData[],MATCH(Table2[[#Headers],[Heat Expansion Gap]],Table2[#Headers],0),0)</f>
        <v>0</v>
      </c>
      <c r="Q525" s="2">
        <f>VLOOKUP([jobnumber],OvalData[],MATCH(Table2[[#Headers],[Hanging Weight Closed]],Table2[#Headers],0),0)</f>
        <v>795</v>
      </c>
      <c r="R525" s="2">
        <f>VLOOKUP([jobnumber],OvalData[],MATCH(Table2[[#Headers],[Hanging Weight Open]],Table2[#Headers],0),0)</f>
        <v>140</v>
      </c>
      <c r="S525" s="2">
        <f>VLOOKUP([jobnumber],OvalData[],MATCH(Table2[[#Headers],[Initial Lever Arm]],Table2[#Headers],0),0)</f>
        <v>4.25</v>
      </c>
      <c r="T525" s="2">
        <f>VLOOKUP([jobnumber],OvalData[],MATCH(Table2[[#Headers],[Turns to Raise]],Table2[#Headers],0),0)</f>
        <v>3.5859999999999999</v>
      </c>
      <c r="U525" s="2">
        <f>VLOOKUP([jobnumber],OvalData[],MATCH(Table2[[#Headers],[Final Lever Arm]],Table2[#Headers],0),0)</f>
        <v>6.37</v>
      </c>
      <c r="V525" s="2">
        <f>VLOOKUP([jobnumber],OvalData[],MATCH(Table2[[#Headers],[Torque Required Closed]],Table2[#Headers],0),0)</f>
        <v>3377.9</v>
      </c>
      <c r="W525" s="2">
        <f>VLOOKUP([jobnumber],OvalData[],MATCH(Table2[[#Headers],[Torque Required Open]],Table2[#Headers],0),0)</f>
        <v>892</v>
      </c>
      <c r="X525" s="2">
        <f>VLOOKUP([jobnumber],OvalData[],MATCH(Table2[[#Headers],[Pre Turns]],Table2[#Headers],0),0)</f>
        <v>1.3332999999999999</v>
      </c>
      <c r="Y525" s="2">
        <f>VLOOKUP([jobnumber],OvalData[],MATCH(Table2[[#Headers],[Required Torque Per Turn]],Table2[#Headers],0),0)</f>
        <v>688</v>
      </c>
      <c r="Z525" s="2">
        <f>VLOOKUP([jobnumber],OvalData[],MATCH(Table2[[#Headers],[Total Turns]],Table2[#Headers],0),0)</f>
        <v>4.91</v>
      </c>
      <c r="AA525" s="2">
        <f>VLOOKUP([jobnumber],OvalData[],MATCH(Table2[[#Headers],[Grille Vision Section]],Table2[#Headers],0),0)</f>
        <v>0</v>
      </c>
      <c r="AB525" s="2">
        <f>VLOOKUP([jobnumber],OvalData[],MATCH(Table2[[#Headers],[Grille Amount]],Table2[#Headers],0),0)</f>
        <v>0</v>
      </c>
      <c r="AC525" s="2">
        <f>VLOOKUP([jobnumber],OvalData[],MATCH(Table2[[#Headers],[Grille Center]],Table2[#Headers],0),0)</f>
        <v>0</v>
      </c>
      <c r="AD525" s="2">
        <f>VLOOKUP([jobnumber],OvalData[],MATCH(Table2[[#Headers],[Grille Pattern]],Table2[#Headers],0),0)</f>
        <v>0</v>
      </c>
      <c r="AE525" s="2">
        <f>VLOOKUP([jobnumber],OvalData[],MATCH(Table2[[#Headers],[Grille First Tube]],Table2[#Headers],0),0)</f>
        <v>0</v>
      </c>
      <c r="AF525" s="2">
        <f>VLOOKUP([jobnumber],OvalData[],MATCH(Table2[[#Headers],[Grille Standard Tube]],Table2[#Headers],0),0)</f>
        <v>0</v>
      </c>
      <c r="AG525" s="2">
        <f>VLOOKUP([jobnumber],OvalData[],MATCH(Table2[[#Headers],[Grille Total Links]],Table2[#Headers],0),0)</f>
        <v>0</v>
      </c>
      <c r="AH525" s="2">
        <f>VLOOKUP([jobnumber],OvalData[],MATCH(Table2[[#Headers],[Grille Rods]],Table2[#Headers],0),0)</f>
        <v>0</v>
      </c>
      <c r="AI525" s="2">
        <f>VLOOKUP([jobnumber],OvalData[],MATCH(Table2[[#Headers],[Grille Rod Length]],Table2[#Headers],0),0)</f>
        <v>0</v>
      </c>
      <c r="AJ525" s="2">
        <f>VLOOKUP([jobnumber],OvalData[],MATCH(Table2[[#Headers],[slattype]],Table2[#Headers],0),0)</f>
        <v>2</v>
      </c>
      <c r="AK525" s="2">
        <f>VLOOKUP([jobnumber],OvalData[],MATCH(Table2[[#Headers],[slatgage]],Table2[#Headers],0),0)</f>
        <v>18</v>
      </c>
      <c r="AL525" s="2">
        <f>VLOOKUP([jobnumber],OvalData[],MATCH(Table2[[#Headers],[Numer of Top Slats]],Table2[#Headers],0),0)</f>
        <v>0</v>
      </c>
      <c r="AM525" s="2">
        <f>VLOOKUP([jobnumber],OvalData[],MATCH(Table2[[#Headers],[Number of Bottom Slats]],Table2[#Headers],0),0)</f>
        <v>0</v>
      </c>
      <c r="AN525" s="2">
        <f>VLOOKUP([jobnumber],OvalData[],MATCH(Table2[[#Headers],[Solid Bottom Height]],Table2[#Headers],0),0)</f>
        <v>0</v>
      </c>
      <c r="AO525" s="2" t="str">
        <f>VLOOKUP([jobnumber],OvalData[],MATCH(Table2[[#Headers],[slatlength]],Table2[#Headers],0),0)</f>
        <v xml:space="preserve"> 18 ft.- 5 7/ 8"</v>
      </c>
      <c r="AP525" s="2">
        <f>VLOOKUP([jobnumber],OvalData[],MATCH(Table2[[#Headers],[Bottom Slat Length]],Table2[#Headers],0),0)</f>
        <v>0</v>
      </c>
      <c r="AQ525" s="2">
        <f>VLOOKUP([jobnumber],OvalData[],MATCH(Table2[[#Headers],[Number of Perferated Slats]],Table2[#Headers],0),0)</f>
        <v>0</v>
      </c>
      <c r="AR525" s="2">
        <f>VLOOKUP([jobnumber],OvalData[],MATCH(Table2[[#Headers],[First Preferated Slat From End]],Table2[#Headers],0),0)</f>
        <v>0</v>
      </c>
      <c r="AS525" s="2">
        <f>VLOOKUP([jobnumber],OvalData[],MATCH(Table2[[#Headers],[First Preferated Slat From Bottom]],Table2[#Headers],0),0)</f>
        <v>0</v>
      </c>
      <c r="AT525" s="2">
        <f>VLOOKUP([jobnumber],OvalData[],MATCH(Table2[[#Headers],[Total Number of Slats]],Table2[#Headers],0),0)</f>
        <v>51</v>
      </c>
      <c r="AU525" s="2">
        <f>VLOOKUP([jobnumber],OvalData[],MATCH(Table2[[#Headers],[Bottom Bar Slope]],Table2[#Headers],0),0)</f>
        <v>0</v>
      </c>
      <c r="AV525" s="2">
        <f>VLOOKUP([jobnumber],OvalData[],MATCH(Table2[[#Headers],[Bottom Bar Weight]],Table2[#Headers],0),0)</f>
        <v>80.5</v>
      </c>
      <c r="AW525" s="2" t="str">
        <f>VLOOKUP([jobnumber],OvalData[],MATCH(Table2[[#Headers],[Outer Spring Gage]],Table2[#Headers],0),0)</f>
        <v>Null</v>
      </c>
      <c r="AX525" s="2" t="str">
        <f>VLOOKUP([jobnumber],OvalData[],MATCH(Table2[[#Headers],[Outer Spring OD]],Table2[#Headers],0),0)</f>
        <v>Null</v>
      </c>
      <c r="AY525" s="2" t="str">
        <f>VLOOKUP([jobnumber],OvalData[],MATCH(Table2[[#Headers],[Outer Spring Length]],Table2[#Headers],0),0)</f>
        <v>Null</v>
      </c>
      <c r="AZ525" s="2" t="str">
        <f>VLOOKUP([jobnumber],OvalData[],MATCH(Table2[[#Headers],[Outer Spring Stretch]],Table2[#Headers],0),0)</f>
        <v>Null</v>
      </c>
      <c r="BA525" s="2" t="str">
        <f>VLOOKUP([jobnumber],OvalData[],MATCH(Table2[[#Headers],[Outer Spring Torque]],Table2[#Headers],0),0)</f>
        <v>Null</v>
      </c>
      <c r="BB525" s="2" t="str">
        <f>VLOOKUP([jobnumber],OvalData[],MATCH(Table2[[#Headers],[Outer Spring Max Turns]],Table2[#Headers],0),0)</f>
        <v>Null</v>
      </c>
      <c r="BC525" s="2" t="str">
        <f>VLOOKUP([jobnumber],OvalData[],MATCH(Table2[[#Headers],[Outer Spring Weight]],Table2[#Headers],0),0)</f>
        <v>Null</v>
      </c>
      <c r="BD525" s="2" t="str">
        <f>VLOOKUP([jobnumber],OvalData[],MATCH(Table2[[#Headers],[Inner Spring Gage]],Table2[#Headers],0),0)</f>
        <v>Null</v>
      </c>
      <c r="BE525" s="2" t="str">
        <f>VLOOKUP([jobnumber],OvalData[],MATCH(Table2[[#Headers],[Inner Spring OD]],Table2[#Headers],0),0)</f>
        <v>Null</v>
      </c>
      <c r="BF525" s="2" t="str">
        <f>VLOOKUP([jobnumber],OvalData[],MATCH(Table2[[#Headers],[Inner Spring Length]],Table2[#Headers],0),0)</f>
        <v>Null</v>
      </c>
      <c r="BG525" s="2" t="str">
        <f>VLOOKUP([jobnumber],OvalData[],MATCH(Table2[[#Headers],[Inner Spring Stretch]],Table2[#Headers],0),0)</f>
        <v>Null</v>
      </c>
      <c r="BH525" s="2" t="str">
        <f>VLOOKUP([jobnumber],OvalData[],MATCH(Table2[[#Headers],[Inner Spring Torque]],Table2[#Headers],0),0)</f>
        <v>Null</v>
      </c>
      <c r="BI525" s="2" t="str">
        <f>VLOOKUP([jobnumber],OvalData[],MATCH(Table2[[#Headers],[Inner Spring Max Turns]],Table2[#Headers],0),0)</f>
        <v>Null</v>
      </c>
      <c r="BJ525" s="2" t="str">
        <f>VLOOKUP([jobnumber],OvalData[],MATCH(Table2[[#Headers],[Inner Spring Weight]],Table2[#Headers],0),0)</f>
        <v>Null</v>
      </c>
      <c r="BK525" s="2">
        <f>VLOOKUP([jobnumber],OvalData[],MATCH(Table2[[#Headers],[Cycles]],Table2[#Headers],0),0)</f>
        <v>0</v>
      </c>
      <c r="BL525" s="2">
        <f>VLOOKUP([jobnumber],OvalData[],MATCH(Table2[[#Headers],[Total Spring Torque]],Table2[#Headers],0),0)</f>
        <v>0</v>
      </c>
      <c r="BM525" s="2">
        <f>VLOOKUP([jobnumber],OvalData[],MATCH(Table2[[#Headers],[Total Spring Weight]],Table2[#Headers],0),0)</f>
        <v>0</v>
      </c>
      <c r="BN525" s="2">
        <f>VLOOKUP([jobnumber],OvalData[],MATCH(Table2[[#Headers],[Pipe Weight]],Table2[#Headers],0),0)</f>
        <v>688.24239999999998</v>
      </c>
      <c r="BO525" s="2">
        <f>VLOOKUP([jobnumber],OvalData[],MATCH(Table2[[#Headers],[Max Pipe Deflection]],Table2[#Headers],0),0)</f>
        <v>2309</v>
      </c>
      <c r="BP525" s="2">
        <f>VLOOKUP([jobnumber],OvalData[],MATCH(Table2[[#Headers],[Number Non-Insulated Wrap Slats]],Table2[#Headers],0),0)</f>
        <v>0</v>
      </c>
      <c r="BQ525" s="2">
        <f>VLOOKUP([jobnumber],OvalData[],MATCH(Table2[[#Headers],[Number of Insolated Top Slats]],Table2[#Headers],0),0)</f>
        <v>45</v>
      </c>
      <c r="BR525" s="2">
        <f>VLOOKUP([jobnumber],OvalData[],MATCH(Table2[[#Headers],[Insolated Total Slats]],Table2[#Headers],0),0)</f>
        <v>45</v>
      </c>
      <c r="BS525" s="2">
        <f>VLOOKUP([jobnumber],OvalData[],MATCH(Table2[[#Headers],[Number of Slats]],Table2[#Headers],0),0)</f>
        <v>44.69</v>
      </c>
      <c r="BT525" s="2">
        <f>VLOOKUP([jobnumber],OvalData[],MATCH(Table2[[#Headers],[Wrap]],Table2[#Headers],0),0)</f>
        <v>0</v>
      </c>
      <c r="BU525" s="2">
        <f>VLOOKUP([jobnumber],OvalData[],MATCH(Table2[[#Headers],[Wall Angle Thickness]],Table2[#Headers],0),0)</f>
        <v>0</v>
      </c>
      <c r="BV525" s="2">
        <f>VLOOKUP([jobnumber],OvalData[],MATCH(Table2[[#Headers],[windlocks]],Table2[#Headers],0),0)</f>
        <v>0</v>
      </c>
      <c r="BW525" s="2" t="str">
        <f>VLOOKUP([jobnumber],OvalData[],MATCH(Table2[[#Headers],[bottombartype]],Table2[#Headers],0),0)</f>
        <v>SPECIAL</v>
      </c>
      <c r="BX525" s="2">
        <f>VLOOKUP([jobnumber],OvalData[],MATCH(Table2[[#Headers],[endlockweight]],Table2[#Headers],0),0)</f>
        <v>0.17</v>
      </c>
      <c r="BY525" s="2">
        <f>VLOOKUP([jobnumber],OvalData[],MATCH(Table2[[#Headers],[Endlock Total Weight]],Table2[#Headers],0),0)</f>
        <v>7.5972999999999997</v>
      </c>
      <c r="BZ525" s="2">
        <f>VLOOKUP([jobnumber],OvalData[],MATCH(Table2[[#Headers],[Grille Weight]],Table2[#Headers],0),0)</f>
        <v>0</v>
      </c>
      <c r="CA525" s="2">
        <f>VLOOKUP([jobnumber],OvalData[],MATCH(Table2[[#Headers],[barrelrings]],Table2[#Headers],0),0)</f>
        <v>1</v>
      </c>
    </row>
    <row r="526" spans="2:79">
      <c r="B526" s="2" t="str">
        <f>VLOOKUP([jobnumber],OvalData[],MATCH(Table2[[#Headers],[Hand]],Table2[#Headers],0),0)</f>
        <v>RH</v>
      </c>
      <c r="C526" s="2" t="str">
        <f>VLOOKUP([jobnumber],OvalData[],MATCH(Table2[[#Headers],[Model]],Table2[#Headers],0),0)</f>
        <v>SFMPP</v>
      </c>
      <c r="D526" s="2" t="str">
        <f>VLOOKUP([jobnumber],OvalData[],MATCH(Table2[[#Headers],[width]],Table2[#Headers],0),0)</f>
        <v xml:space="preserve"> 18 ft.- 2"</v>
      </c>
      <c r="E526" s="2" t="str">
        <f>VLOOKUP([jobnumber],OvalData[],MATCH(Table2[[#Headers],[stopheight]],Table2[#Headers],0),0)</f>
        <v xml:space="preserve"> 10 ft.- 0"</v>
      </c>
      <c r="F526" s="2" t="str">
        <f>VLOOKUP([jobnumber],OvalData[],MATCH(Table2[[#Headers],[Between Brackets]],Table2[#Headers],0),0)</f>
        <v xml:space="preserve"> 18 ft.- 7 7/ 8"</v>
      </c>
      <c r="G526" s="2" t="str">
        <f>VLOOKUP([jobnumber],OvalData[],MATCH(Table2[[#Headers],[shell]],Table2[#Headers],0),0)</f>
        <v>6 INCH TUBE</v>
      </c>
      <c r="H526" s="2" t="str">
        <f>VLOOKUP([jobnumber],OvalData[],MATCH(Table2[[#Headers],[pipewidth]],Table2[#Headers],0),0)</f>
        <v xml:space="preserve"> 18 ft.- 1 3/ 8"</v>
      </c>
      <c r="I526" s="2">
        <f>VLOOKUP([jobnumber],OvalData[],MATCH(Table2[[#Headers],[Support Tubes]],Table2[#Headers],0),0)</f>
        <v>0</v>
      </c>
      <c r="J526" s="2">
        <f>VLOOKUP([jobnumber],OvalData[],MATCH(Table2[[#Headers],[Upset]],Table2[#Headers],0),0)</f>
        <v>2</v>
      </c>
      <c r="K526" s="2" t="str">
        <f>VLOOKUP([jobnumber],OvalData[],MATCH(Table2[[#Headers],[Guide Type]],Table2[#Headers],0),0)</f>
        <v>SN2-4 5/8-E</v>
      </c>
      <c r="L526" s="2" t="str">
        <f>VLOOKUP([jobnumber],OvalData[],MATCH(Table2[[#Headers],[Wall Angle]],Table2[#Headers],0),0)</f>
        <v xml:space="preserve"> 11 ft.- 8"</v>
      </c>
      <c r="M526" s="2" t="str">
        <f>VLOOKUP([jobnumber],OvalData[],MATCH(Table2[[#Headers],[Middle Angle]],Table2[#Headers],0),0)</f>
        <v xml:space="preserve"> 10 ft.- 4 1/ 2"</v>
      </c>
      <c r="N526" s="2" t="str">
        <f>VLOOKUP([jobnumber],OvalData[],MATCH(Table2[[#Headers],[Front Angle]],Table2[#Headers],0),0)</f>
        <v xml:space="preserve"> 10 ft.- 3"</v>
      </c>
      <c r="O526" s="2">
        <f>VLOOKUP([jobnumber],OvalData[],MATCH(Table2[[#Headers],[Pipe Center Line]],Table2[#Headers],0),0)</f>
        <v>131</v>
      </c>
      <c r="P526" s="2">
        <f>VLOOKUP([jobnumber],OvalData[],MATCH(Table2[[#Headers],[Heat Expansion Gap]],Table2[#Headers],0),0)</f>
        <v>0</v>
      </c>
      <c r="Q526" s="2">
        <f>VLOOKUP([jobnumber],OvalData[],MATCH(Table2[[#Headers],[Hanging Weight Closed]],Table2[#Headers],0),0)</f>
        <v>795</v>
      </c>
      <c r="R526" s="2">
        <f>VLOOKUP([jobnumber],OvalData[],MATCH(Table2[[#Headers],[Hanging Weight Open]],Table2[#Headers],0),0)</f>
        <v>140</v>
      </c>
      <c r="S526" s="2">
        <f>VLOOKUP([jobnumber],OvalData[],MATCH(Table2[[#Headers],[Initial Lever Arm]],Table2[#Headers],0),0)</f>
        <v>4.25</v>
      </c>
      <c r="T526" s="2">
        <f>VLOOKUP([jobnumber],OvalData[],MATCH(Table2[[#Headers],[Turns to Raise]],Table2[#Headers],0),0)</f>
        <v>3.5859999999999999</v>
      </c>
      <c r="U526" s="2">
        <f>VLOOKUP([jobnumber],OvalData[],MATCH(Table2[[#Headers],[Final Lever Arm]],Table2[#Headers],0),0)</f>
        <v>6.37</v>
      </c>
      <c r="V526" s="2">
        <f>VLOOKUP([jobnumber],OvalData[],MATCH(Table2[[#Headers],[Torque Required Closed]],Table2[#Headers],0),0)</f>
        <v>3377.9</v>
      </c>
      <c r="W526" s="2">
        <f>VLOOKUP([jobnumber],OvalData[],MATCH(Table2[[#Headers],[Torque Required Open]],Table2[#Headers],0),0)</f>
        <v>892</v>
      </c>
      <c r="X526" s="2">
        <f>VLOOKUP([jobnumber],OvalData[],MATCH(Table2[[#Headers],[Pre Turns]],Table2[#Headers],0),0)</f>
        <v>1.3332999999999999</v>
      </c>
      <c r="Y526" s="2">
        <f>VLOOKUP([jobnumber],OvalData[],MATCH(Table2[[#Headers],[Required Torque Per Turn]],Table2[#Headers],0),0)</f>
        <v>688</v>
      </c>
      <c r="Z526" s="2">
        <f>VLOOKUP([jobnumber],OvalData[],MATCH(Table2[[#Headers],[Total Turns]],Table2[#Headers],0),0)</f>
        <v>4.91</v>
      </c>
      <c r="AA526" s="2">
        <f>VLOOKUP([jobnumber],OvalData[],MATCH(Table2[[#Headers],[Grille Vision Section]],Table2[#Headers],0),0)</f>
        <v>0</v>
      </c>
      <c r="AB526" s="2">
        <f>VLOOKUP([jobnumber],OvalData[],MATCH(Table2[[#Headers],[Grille Amount]],Table2[#Headers],0),0)</f>
        <v>0</v>
      </c>
      <c r="AC526" s="2">
        <f>VLOOKUP([jobnumber],OvalData[],MATCH(Table2[[#Headers],[Grille Center]],Table2[#Headers],0),0)</f>
        <v>0</v>
      </c>
      <c r="AD526" s="2">
        <f>VLOOKUP([jobnumber],OvalData[],MATCH(Table2[[#Headers],[Grille Pattern]],Table2[#Headers],0),0)</f>
        <v>0</v>
      </c>
      <c r="AE526" s="2">
        <f>VLOOKUP([jobnumber],OvalData[],MATCH(Table2[[#Headers],[Grille First Tube]],Table2[#Headers],0),0)</f>
        <v>0</v>
      </c>
      <c r="AF526" s="2">
        <f>VLOOKUP([jobnumber],OvalData[],MATCH(Table2[[#Headers],[Grille Standard Tube]],Table2[#Headers],0),0)</f>
        <v>0</v>
      </c>
      <c r="AG526" s="2">
        <f>VLOOKUP([jobnumber],OvalData[],MATCH(Table2[[#Headers],[Grille Total Links]],Table2[#Headers],0),0)</f>
        <v>0</v>
      </c>
      <c r="AH526" s="2">
        <f>VLOOKUP([jobnumber],OvalData[],MATCH(Table2[[#Headers],[Grille Rods]],Table2[#Headers],0),0)</f>
        <v>0</v>
      </c>
      <c r="AI526" s="2">
        <f>VLOOKUP([jobnumber],OvalData[],MATCH(Table2[[#Headers],[Grille Rod Length]],Table2[#Headers],0),0)</f>
        <v>0</v>
      </c>
      <c r="AJ526" s="2">
        <f>VLOOKUP([jobnumber],OvalData[],MATCH(Table2[[#Headers],[slattype]],Table2[#Headers],0),0)</f>
        <v>2</v>
      </c>
      <c r="AK526" s="2">
        <f>VLOOKUP([jobnumber],OvalData[],MATCH(Table2[[#Headers],[slatgage]],Table2[#Headers],0),0)</f>
        <v>18</v>
      </c>
      <c r="AL526" s="2">
        <f>VLOOKUP([jobnumber],OvalData[],MATCH(Table2[[#Headers],[Numer of Top Slats]],Table2[#Headers],0),0)</f>
        <v>0</v>
      </c>
      <c r="AM526" s="2">
        <f>VLOOKUP([jobnumber],OvalData[],MATCH(Table2[[#Headers],[Number of Bottom Slats]],Table2[#Headers],0),0)</f>
        <v>0</v>
      </c>
      <c r="AN526" s="2">
        <f>VLOOKUP([jobnumber],OvalData[],MATCH(Table2[[#Headers],[Solid Bottom Height]],Table2[#Headers],0),0)</f>
        <v>0</v>
      </c>
      <c r="AO526" s="2" t="str">
        <f>VLOOKUP([jobnumber],OvalData[],MATCH(Table2[[#Headers],[slatlength]],Table2[#Headers],0),0)</f>
        <v xml:space="preserve"> 18 ft.- 5 7/ 8"</v>
      </c>
      <c r="AP526" s="2">
        <f>VLOOKUP([jobnumber],OvalData[],MATCH(Table2[[#Headers],[Bottom Slat Length]],Table2[#Headers],0),0)</f>
        <v>0</v>
      </c>
      <c r="AQ526" s="2">
        <f>VLOOKUP([jobnumber],OvalData[],MATCH(Table2[[#Headers],[Number of Perferated Slats]],Table2[#Headers],0),0)</f>
        <v>0</v>
      </c>
      <c r="AR526" s="2">
        <f>VLOOKUP([jobnumber],OvalData[],MATCH(Table2[[#Headers],[First Preferated Slat From End]],Table2[#Headers],0),0)</f>
        <v>0</v>
      </c>
      <c r="AS526" s="2">
        <f>VLOOKUP([jobnumber],OvalData[],MATCH(Table2[[#Headers],[First Preferated Slat From Bottom]],Table2[#Headers],0),0)</f>
        <v>0</v>
      </c>
      <c r="AT526" s="2">
        <f>VLOOKUP([jobnumber],OvalData[],MATCH(Table2[[#Headers],[Total Number of Slats]],Table2[#Headers],0),0)</f>
        <v>51</v>
      </c>
      <c r="AU526" s="2">
        <f>VLOOKUP([jobnumber],OvalData[],MATCH(Table2[[#Headers],[Bottom Bar Slope]],Table2[#Headers],0),0)</f>
        <v>0</v>
      </c>
      <c r="AV526" s="2">
        <f>VLOOKUP([jobnumber],OvalData[],MATCH(Table2[[#Headers],[Bottom Bar Weight]],Table2[#Headers],0),0)</f>
        <v>80.5</v>
      </c>
      <c r="AW526" s="2" t="str">
        <f>VLOOKUP([jobnumber],OvalData[],MATCH(Table2[[#Headers],[Outer Spring Gage]],Table2[#Headers],0),0)</f>
        <v>Null</v>
      </c>
      <c r="AX526" s="2" t="str">
        <f>VLOOKUP([jobnumber],OvalData[],MATCH(Table2[[#Headers],[Outer Spring OD]],Table2[#Headers],0),0)</f>
        <v>Null</v>
      </c>
      <c r="AY526" s="2" t="str">
        <f>VLOOKUP([jobnumber],OvalData[],MATCH(Table2[[#Headers],[Outer Spring Length]],Table2[#Headers],0),0)</f>
        <v>Null</v>
      </c>
      <c r="AZ526" s="2" t="str">
        <f>VLOOKUP([jobnumber],OvalData[],MATCH(Table2[[#Headers],[Outer Spring Stretch]],Table2[#Headers],0),0)</f>
        <v>Null</v>
      </c>
      <c r="BA526" s="2" t="str">
        <f>VLOOKUP([jobnumber],OvalData[],MATCH(Table2[[#Headers],[Outer Spring Torque]],Table2[#Headers],0),0)</f>
        <v>Null</v>
      </c>
      <c r="BB526" s="2" t="str">
        <f>VLOOKUP([jobnumber],OvalData[],MATCH(Table2[[#Headers],[Outer Spring Max Turns]],Table2[#Headers],0),0)</f>
        <v>Null</v>
      </c>
      <c r="BC526" s="2" t="str">
        <f>VLOOKUP([jobnumber],OvalData[],MATCH(Table2[[#Headers],[Outer Spring Weight]],Table2[#Headers],0),0)</f>
        <v>Null</v>
      </c>
      <c r="BD526" s="2" t="str">
        <f>VLOOKUP([jobnumber],OvalData[],MATCH(Table2[[#Headers],[Inner Spring Gage]],Table2[#Headers],0),0)</f>
        <v>Null</v>
      </c>
      <c r="BE526" s="2" t="str">
        <f>VLOOKUP([jobnumber],OvalData[],MATCH(Table2[[#Headers],[Inner Spring OD]],Table2[#Headers],0),0)</f>
        <v>Null</v>
      </c>
      <c r="BF526" s="2" t="str">
        <f>VLOOKUP([jobnumber],OvalData[],MATCH(Table2[[#Headers],[Inner Spring Length]],Table2[#Headers],0),0)</f>
        <v>Null</v>
      </c>
      <c r="BG526" s="2" t="str">
        <f>VLOOKUP([jobnumber],OvalData[],MATCH(Table2[[#Headers],[Inner Spring Stretch]],Table2[#Headers],0),0)</f>
        <v>Null</v>
      </c>
      <c r="BH526" s="2" t="str">
        <f>VLOOKUP([jobnumber],OvalData[],MATCH(Table2[[#Headers],[Inner Spring Torque]],Table2[#Headers],0),0)</f>
        <v>Null</v>
      </c>
      <c r="BI526" s="2" t="str">
        <f>VLOOKUP([jobnumber],OvalData[],MATCH(Table2[[#Headers],[Inner Spring Max Turns]],Table2[#Headers],0),0)</f>
        <v>Null</v>
      </c>
      <c r="BJ526" s="2" t="str">
        <f>VLOOKUP([jobnumber],OvalData[],MATCH(Table2[[#Headers],[Inner Spring Weight]],Table2[#Headers],0),0)</f>
        <v>Null</v>
      </c>
      <c r="BK526" s="2">
        <f>VLOOKUP([jobnumber],OvalData[],MATCH(Table2[[#Headers],[Cycles]],Table2[#Headers],0),0)</f>
        <v>0</v>
      </c>
      <c r="BL526" s="2">
        <f>VLOOKUP([jobnumber],OvalData[],MATCH(Table2[[#Headers],[Total Spring Torque]],Table2[#Headers],0),0)</f>
        <v>0</v>
      </c>
      <c r="BM526" s="2">
        <f>VLOOKUP([jobnumber],OvalData[],MATCH(Table2[[#Headers],[Total Spring Weight]],Table2[#Headers],0),0)</f>
        <v>0</v>
      </c>
      <c r="BN526" s="2">
        <f>VLOOKUP([jobnumber],OvalData[],MATCH(Table2[[#Headers],[Pipe Weight]],Table2[#Headers],0),0)</f>
        <v>688.24239999999998</v>
      </c>
      <c r="BO526" s="2">
        <f>VLOOKUP([jobnumber],OvalData[],MATCH(Table2[[#Headers],[Max Pipe Deflection]],Table2[#Headers],0),0)</f>
        <v>2309</v>
      </c>
      <c r="BP526" s="2">
        <f>VLOOKUP([jobnumber],OvalData[],MATCH(Table2[[#Headers],[Number Non-Insulated Wrap Slats]],Table2[#Headers],0),0)</f>
        <v>0</v>
      </c>
      <c r="BQ526" s="2">
        <f>VLOOKUP([jobnumber],OvalData[],MATCH(Table2[[#Headers],[Number of Insolated Top Slats]],Table2[#Headers],0),0)</f>
        <v>45</v>
      </c>
      <c r="BR526" s="2">
        <f>VLOOKUP([jobnumber],OvalData[],MATCH(Table2[[#Headers],[Insolated Total Slats]],Table2[#Headers],0),0)</f>
        <v>45</v>
      </c>
      <c r="BS526" s="2">
        <f>VLOOKUP([jobnumber],OvalData[],MATCH(Table2[[#Headers],[Number of Slats]],Table2[#Headers],0),0)</f>
        <v>44.69</v>
      </c>
      <c r="BT526" s="2">
        <f>VLOOKUP([jobnumber],OvalData[],MATCH(Table2[[#Headers],[Wrap]],Table2[#Headers],0),0)</f>
        <v>0</v>
      </c>
      <c r="BU526" s="2">
        <f>VLOOKUP([jobnumber],OvalData[],MATCH(Table2[[#Headers],[Wall Angle Thickness]],Table2[#Headers],0),0)</f>
        <v>0</v>
      </c>
      <c r="BV526" s="2">
        <f>VLOOKUP([jobnumber],OvalData[],MATCH(Table2[[#Headers],[windlocks]],Table2[#Headers],0),0)</f>
        <v>0</v>
      </c>
      <c r="BW526" s="2" t="str">
        <f>VLOOKUP([jobnumber],OvalData[],MATCH(Table2[[#Headers],[bottombartype]],Table2[#Headers],0),0)</f>
        <v>SPECIAL</v>
      </c>
      <c r="BX526" s="2">
        <f>VLOOKUP([jobnumber],OvalData[],MATCH(Table2[[#Headers],[endlockweight]],Table2[#Headers],0),0)</f>
        <v>0.17</v>
      </c>
      <c r="BY526" s="2">
        <f>VLOOKUP([jobnumber],OvalData[],MATCH(Table2[[#Headers],[Endlock Total Weight]],Table2[#Headers],0),0)</f>
        <v>7.5972999999999997</v>
      </c>
      <c r="BZ526" s="2">
        <f>VLOOKUP([jobnumber],OvalData[],MATCH(Table2[[#Headers],[Grille Weight]],Table2[#Headers],0),0)</f>
        <v>0</v>
      </c>
      <c r="CA526" s="2">
        <f>VLOOKUP([jobnumber],OvalData[],MATCH(Table2[[#Headers],[barrelrings]],Table2[#Headers],0),0)</f>
        <v>1</v>
      </c>
    </row>
    <row r="527" spans="2:79">
      <c r="B527" s="2" t="str">
        <f>VLOOKUP([jobnumber],OvalData[],MATCH(Table2[[#Headers],[Hand]],Table2[#Headers],0),0)</f>
        <v>RH</v>
      </c>
      <c r="C527" s="2" t="str">
        <f>VLOOKUP([jobnumber],OvalData[],MATCH(Table2[[#Headers],[Model]],Table2[#Headers],0),0)</f>
        <v>SFMPP</v>
      </c>
      <c r="D527" s="2" t="str">
        <f>VLOOKUP([jobnumber],OvalData[],MATCH(Table2[[#Headers],[width]],Table2[#Headers],0),0)</f>
        <v xml:space="preserve"> 18 ft.- 2"</v>
      </c>
      <c r="E527" s="2" t="str">
        <f>VLOOKUP([jobnumber],OvalData[],MATCH(Table2[[#Headers],[stopheight]],Table2[#Headers],0),0)</f>
        <v xml:space="preserve"> 10 ft.- 0"</v>
      </c>
      <c r="F527" s="2" t="str">
        <f>VLOOKUP([jobnumber],OvalData[],MATCH(Table2[[#Headers],[Between Brackets]],Table2[#Headers],0),0)</f>
        <v xml:space="preserve"> 18 ft.- 7 7/ 8"</v>
      </c>
      <c r="G527" s="2" t="str">
        <f>VLOOKUP([jobnumber],OvalData[],MATCH(Table2[[#Headers],[shell]],Table2[#Headers],0),0)</f>
        <v>6 INCH TUBE</v>
      </c>
      <c r="H527" s="2" t="str">
        <f>VLOOKUP([jobnumber],OvalData[],MATCH(Table2[[#Headers],[pipewidth]],Table2[#Headers],0),0)</f>
        <v xml:space="preserve"> 18 ft.- 1 3/ 8"</v>
      </c>
      <c r="I527" s="2">
        <f>VLOOKUP([jobnumber],OvalData[],MATCH(Table2[[#Headers],[Support Tubes]],Table2[#Headers],0),0)</f>
        <v>0</v>
      </c>
      <c r="J527" s="2">
        <f>VLOOKUP([jobnumber],OvalData[],MATCH(Table2[[#Headers],[Upset]],Table2[#Headers],0),0)</f>
        <v>2</v>
      </c>
      <c r="K527" s="2" t="str">
        <f>VLOOKUP([jobnumber],OvalData[],MATCH(Table2[[#Headers],[Guide Type]],Table2[#Headers],0),0)</f>
        <v>SN2-4 5/8-E</v>
      </c>
      <c r="L527" s="2" t="str">
        <f>VLOOKUP([jobnumber],OvalData[],MATCH(Table2[[#Headers],[Wall Angle]],Table2[#Headers],0),0)</f>
        <v xml:space="preserve"> 11 ft.- 8"</v>
      </c>
      <c r="M527" s="2" t="str">
        <f>VLOOKUP([jobnumber],OvalData[],MATCH(Table2[[#Headers],[Middle Angle]],Table2[#Headers],0),0)</f>
        <v xml:space="preserve"> 10 ft.- 4 1/ 2"</v>
      </c>
      <c r="N527" s="2" t="str">
        <f>VLOOKUP([jobnumber],OvalData[],MATCH(Table2[[#Headers],[Front Angle]],Table2[#Headers],0),0)</f>
        <v xml:space="preserve"> 10 ft.- 3"</v>
      </c>
      <c r="O527" s="2">
        <f>VLOOKUP([jobnumber],OvalData[],MATCH(Table2[[#Headers],[Pipe Center Line]],Table2[#Headers],0),0)</f>
        <v>131</v>
      </c>
      <c r="P527" s="2">
        <f>VLOOKUP([jobnumber],OvalData[],MATCH(Table2[[#Headers],[Heat Expansion Gap]],Table2[#Headers],0),0)</f>
        <v>0</v>
      </c>
      <c r="Q527" s="2">
        <f>VLOOKUP([jobnumber],OvalData[],MATCH(Table2[[#Headers],[Hanging Weight Closed]],Table2[#Headers],0),0)</f>
        <v>795</v>
      </c>
      <c r="R527" s="2">
        <f>VLOOKUP([jobnumber],OvalData[],MATCH(Table2[[#Headers],[Hanging Weight Open]],Table2[#Headers],0),0)</f>
        <v>140</v>
      </c>
      <c r="S527" s="2">
        <f>VLOOKUP([jobnumber],OvalData[],MATCH(Table2[[#Headers],[Initial Lever Arm]],Table2[#Headers],0),0)</f>
        <v>4.25</v>
      </c>
      <c r="T527" s="2">
        <f>VLOOKUP([jobnumber],OvalData[],MATCH(Table2[[#Headers],[Turns to Raise]],Table2[#Headers],0),0)</f>
        <v>3.5859999999999999</v>
      </c>
      <c r="U527" s="2">
        <f>VLOOKUP([jobnumber],OvalData[],MATCH(Table2[[#Headers],[Final Lever Arm]],Table2[#Headers],0),0)</f>
        <v>6.37</v>
      </c>
      <c r="V527" s="2">
        <f>VLOOKUP([jobnumber],OvalData[],MATCH(Table2[[#Headers],[Torque Required Closed]],Table2[#Headers],0),0)</f>
        <v>3377.9</v>
      </c>
      <c r="W527" s="2">
        <f>VLOOKUP([jobnumber],OvalData[],MATCH(Table2[[#Headers],[Torque Required Open]],Table2[#Headers],0),0)</f>
        <v>892</v>
      </c>
      <c r="X527" s="2">
        <f>VLOOKUP([jobnumber],OvalData[],MATCH(Table2[[#Headers],[Pre Turns]],Table2[#Headers],0),0)</f>
        <v>1.3332999999999999</v>
      </c>
      <c r="Y527" s="2">
        <f>VLOOKUP([jobnumber],OvalData[],MATCH(Table2[[#Headers],[Required Torque Per Turn]],Table2[#Headers],0),0)</f>
        <v>688</v>
      </c>
      <c r="Z527" s="2">
        <f>VLOOKUP([jobnumber],OvalData[],MATCH(Table2[[#Headers],[Total Turns]],Table2[#Headers],0),0)</f>
        <v>4.91</v>
      </c>
      <c r="AA527" s="2">
        <f>VLOOKUP([jobnumber],OvalData[],MATCH(Table2[[#Headers],[Grille Vision Section]],Table2[#Headers],0),0)</f>
        <v>0</v>
      </c>
      <c r="AB527" s="2">
        <f>VLOOKUP([jobnumber],OvalData[],MATCH(Table2[[#Headers],[Grille Amount]],Table2[#Headers],0),0)</f>
        <v>0</v>
      </c>
      <c r="AC527" s="2">
        <f>VLOOKUP([jobnumber],OvalData[],MATCH(Table2[[#Headers],[Grille Center]],Table2[#Headers],0),0)</f>
        <v>0</v>
      </c>
      <c r="AD527" s="2">
        <f>VLOOKUP([jobnumber],OvalData[],MATCH(Table2[[#Headers],[Grille Pattern]],Table2[#Headers],0),0)</f>
        <v>0</v>
      </c>
      <c r="AE527" s="2">
        <f>VLOOKUP([jobnumber],OvalData[],MATCH(Table2[[#Headers],[Grille First Tube]],Table2[#Headers],0),0)</f>
        <v>0</v>
      </c>
      <c r="AF527" s="2">
        <f>VLOOKUP([jobnumber],OvalData[],MATCH(Table2[[#Headers],[Grille Standard Tube]],Table2[#Headers],0),0)</f>
        <v>0</v>
      </c>
      <c r="AG527" s="2">
        <f>VLOOKUP([jobnumber],OvalData[],MATCH(Table2[[#Headers],[Grille Total Links]],Table2[#Headers],0),0)</f>
        <v>0</v>
      </c>
      <c r="AH527" s="2">
        <f>VLOOKUP([jobnumber],OvalData[],MATCH(Table2[[#Headers],[Grille Rods]],Table2[#Headers],0),0)</f>
        <v>0</v>
      </c>
      <c r="AI527" s="2">
        <f>VLOOKUP([jobnumber],OvalData[],MATCH(Table2[[#Headers],[Grille Rod Length]],Table2[#Headers],0),0)</f>
        <v>0</v>
      </c>
      <c r="AJ527" s="2">
        <f>VLOOKUP([jobnumber],OvalData[],MATCH(Table2[[#Headers],[slattype]],Table2[#Headers],0),0)</f>
        <v>2</v>
      </c>
      <c r="AK527" s="2">
        <f>VLOOKUP([jobnumber],OvalData[],MATCH(Table2[[#Headers],[slatgage]],Table2[#Headers],0),0)</f>
        <v>18</v>
      </c>
      <c r="AL527" s="2">
        <f>VLOOKUP([jobnumber],OvalData[],MATCH(Table2[[#Headers],[Numer of Top Slats]],Table2[#Headers],0),0)</f>
        <v>0</v>
      </c>
      <c r="AM527" s="2">
        <f>VLOOKUP([jobnumber],OvalData[],MATCH(Table2[[#Headers],[Number of Bottom Slats]],Table2[#Headers],0),0)</f>
        <v>0</v>
      </c>
      <c r="AN527" s="2">
        <f>VLOOKUP([jobnumber],OvalData[],MATCH(Table2[[#Headers],[Solid Bottom Height]],Table2[#Headers],0),0)</f>
        <v>0</v>
      </c>
      <c r="AO527" s="2" t="str">
        <f>VLOOKUP([jobnumber],OvalData[],MATCH(Table2[[#Headers],[slatlength]],Table2[#Headers],0),0)</f>
        <v xml:space="preserve"> 18 ft.- 5 7/ 8"</v>
      </c>
      <c r="AP527" s="2">
        <f>VLOOKUP([jobnumber],OvalData[],MATCH(Table2[[#Headers],[Bottom Slat Length]],Table2[#Headers],0),0)</f>
        <v>0</v>
      </c>
      <c r="AQ527" s="2">
        <f>VLOOKUP([jobnumber],OvalData[],MATCH(Table2[[#Headers],[Number of Perferated Slats]],Table2[#Headers],0),0)</f>
        <v>0</v>
      </c>
      <c r="AR527" s="2">
        <f>VLOOKUP([jobnumber],OvalData[],MATCH(Table2[[#Headers],[First Preferated Slat From End]],Table2[#Headers],0),0)</f>
        <v>0</v>
      </c>
      <c r="AS527" s="2">
        <f>VLOOKUP([jobnumber],OvalData[],MATCH(Table2[[#Headers],[First Preferated Slat From Bottom]],Table2[#Headers],0),0)</f>
        <v>0</v>
      </c>
      <c r="AT527" s="2">
        <f>VLOOKUP([jobnumber],OvalData[],MATCH(Table2[[#Headers],[Total Number of Slats]],Table2[#Headers],0),0)</f>
        <v>51</v>
      </c>
      <c r="AU527" s="2">
        <f>VLOOKUP([jobnumber],OvalData[],MATCH(Table2[[#Headers],[Bottom Bar Slope]],Table2[#Headers],0),0)</f>
        <v>0</v>
      </c>
      <c r="AV527" s="2">
        <f>VLOOKUP([jobnumber],OvalData[],MATCH(Table2[[#Headers],[Bottom Bar Weight]],Table2[#Headers],0),0)</f>
        <v>80.5</v>
      </c>
      <c r="AW527" s="2" t="str">
        <f>VLOOKUP([jobnumber],OvalData[],MATCH(Table2[[#Headers],[Outer Spring Gage]],Table2[#Headers],0),0)</f>
        <v>Null</v>
      </c>
      <c r="AX527" s="2" t="str">
        <f>VLOOKUP([jobnumber],OvalData[],MATCH(Table2[[#Headers],[Outer Spring OD]],Table2[#Headers],0),0)</f>
        <v>Null</v>
      </c>
      <c r="AY527" s="2" t="str">
        <f>VLOOKUP([jobnumber],OvalData[],MATCH(Table2[[#Headers],[Outer Spring Length]],Table2[#Headers],0),0)</f>
        <v>Null</v>
      </c>
      <c r="AZ527" s="2" t="str">
        <f>VLOOKUP([jobnumber],OvalData[],MATCH(Table2[[#Headers],[Outer Spring Stretch]],Table2[#Headers],0),0)</f>
        <v>Null</v>
      </c>
      <c r="BA527" s="2" t="str">
        <f>VLOOKUP([jobnumber],OvalData[],MATCH(Table2[[#Headers],[Outer Spring Torque]],Table2[#Headers],0),0)</f>
        <v>Null</v>
      </c>
      <c r="BB527" s="2" t="str">
        <f>VLOOKUP([jobnumber],OvalData[],MATCH(Table2[[#Headers],[Outer Spring Max Turns]],Table2[#Headers],0),0)</f>
        <v>Null</v>
      </c>
      <c r="BC527" s="2" t="str">
        <f>VLOOKUP([jobnumber],OvalData[],MATCH(Table2[[#Headers],[Outer Spring Weight]],Table2[#Headers],0),0)</f>
        <v>Null</v>
      </c>
      <c r="BD527" s="2" t="str">
        <f>VLOOKUP([jobnumber],OvalData[],MATCH(Table2[[#Headers],[Inner Spring Gage]],Table2[#Headers],0),0)</f>
        <v>Null</v>
      </c>
      <c r="BE527" s="2" t="str">
        <f>VLOOKUP([jobnumber],OvalData[],MATCH(Table2[[#Headers],[Inner Spring OD]],Table2[#Headers],0),0)</f>
        <v>Null</v>
      </c>
      <c r="BF527" s="2" t="str">
        <f>VLOOKUP([jobnumber],OvalData[],MATCH(Table2[[#Headers],[Inner Spring Length]],Table2[#Headers],0),0)</f>
        <v>Null</v>
      </c>
      <c r="BG527" s="2" t="str">
        <f>VLOOKUP([jobnumber],OvalData[],MATCH(Table2[[#Headers],[Inner Spring Stretch]],Table2[#Headers],0),0)</f>
        <v>Null</v>
      </c>
      <c r="BH527" s="2" t="str">
        <f>VLOOKUP([jobnumber],OvalData[],MATCH(Table2[[#Headers],[Inner Spring Torque]],Table2[#Headers],0),0)</f>
        <v>Null</v>
      </c>
      <c r="BI527" s="2" t="str">
        <f>VLOOKUP([jobnumber],OvalData[],MATCH(Table2[[#Headers],[Inner Spring Max Turns]],Table2[#Headers],0),0)</f>
        <v>Null</v>
      </c>
      <c r="BJ527" s="2" t="str">
        <f>VLOOKUP([jobnumber],OvalData[],MATCH(Table2[[#Headers],[Inner Spring Weight]],Table2[#Headers],0),0)</f>
        <v>Null</v>
      </c>
      <c r="BK527" s="2">
        <f>VLOOKUP([jobnumber],OvalData[],MATCH(Table2[[#Headers],[Cycles]],Table2[#Headers],0),0)</f>
        <v>0</v>
      </c>
      <c r="BL527" s="2">
        <f>VLOOKUP([jobnumber],OvalData[],MATCH(Table2[[#Headers],[Total Spring Torque]],Table2[#Headers],0),0)</f>
        <v>0</v>
      </c>
      <c r="BM527" s="2">
        <f>VLOOKUP([jobnumber],OvalData[],MATCH(Table2[[#Headers],[Total Spring Weight]],Table2[#Headers],0),0)</f>
        <v>0</v>
      </c>
      <c r="BN527" s="2">
        <f>VLOOKUP([jobnumber],OvalData[],MATCH(Table2[[#Headers],[Pipe Weight]],Table2[#Headers],0),0)</f>
        <v>688.24239999999998</v>
      </c>
      <c r="BO527" s="2">
        <f>VLOOKUP([jobnumber],OvalData[],MATCH(Table2[[#Headers],[Max Pipe Deflection]],Table2[#Headers],0),0)</f>
        <v>2309</v>
      </c>
      <c r="BP527" s="2">
        <f>VLOOKUP([jobnumber],OvalData[],MATCH(Table2[[#Headers],[Number Non-Insulated Wrap Slats]],Table2[#Headers],0),0)</f>
        <v>0</v>
      </c>
      <c r="BQ527" s="2">
        <f>VLOOKUP([jobnumber],OvalData[],MATCH(Table2[[#Headers],[Number of Insolated Top Slats]],Table2[#Headers],0),0)</f>
        <v>45</v>
      </c>
      <c r="BR527" s="2">
        <f>VLOOKUP([jobnumber],OvalData[],MATCH(Table2[[#Headers],[Insolated Total Slats]],Table2[#Headers],0),0)</f>
        <v>45</v>
      </c>
      <c r="BS527" s="2">
        <f>VLOOKUP([jobnumber],OvalData[],MATCH(Table2[[#Headers],[Number of Slats]],Table2[#Headers],0),0)</f>
        <v>44.69</v>
      </c>
      <c r="BT527" s="2">
        <f>VLOOKUP([jobnumber],OvalData[],MATCH(Table2[[#Headers],[Wrap]],Table2[#Headers],0),0)</f>
        <v>0</v>
      </c>
      <c r="BU527" s="2">
        <f>VLOOKUP([jobnumber],OvalData[],MATCH(Table2[[#Headers],[Wall Angle Thickness]],Table2[#Headers],0),0)</f>
        <v>0</v>
      </c>
      <c r="BV527" s="2">
        <f>VLOOKUP([jobnumber],OvalData[],MATCH(Table2[[#Headers],[windlocks]],Table2[#Headers],0),0)</f>
        <v>0</v>
      </c>
      <c r="BW527" s="2" t="str">
        <f>VLOOKUP([jobnumber],OvalData[],MATCH(Table2[[#Headers],[bottombartype]],Table2[#Headers],0),0)</f>
        <v>SPECIAL</v>
      </c>
      <c r="BX527" s="2">
        <f>VLOOKUP([jobnumber],OvalData[],MATCH(Table2[[#Headers],[endlockweight]],Table2[#Headers],0),0)</f>
        <v>0.17</v>
      </c>
      <c r="BY527" s="2">
        <f>VLOOKUP([jobnumber],OvalData[],MATCH(Table2[[#Headers],[Endlock Total Weight]],Table2[#Headers],0),0)</f>
        <v>7.5972999999999997</v>
      </c>
      <c r="BZ527" s="2">
        <f>VLOOKUP([jobnumber],OvalData[],MATCH(Table2[[#Headers],[Grille Weight]],Table2[#Headers],0),0)</f>
        <v>0</v>
      </c>
      <c r="CA527" s="2">
        <f>VLOOKUP([jobnumber],OvalData[],MATCH(Table2[[#Headers],[barrelrings]],Table2[#Headers],0),0)</f>
        <v>1</v>
      </c>
    </row>
    <row r="528" spans="2:79">
      <c r="B528" s="2" t="str">
        <f>VLOOKUP([jobnumber],OvalData[],MATCH(Table2[[#Headers],[Hand]],Table2[#Headers],0),0)</f>
        <v>RH</v>
      </c>
      <c r="C528" s="2" t="str">
        <f>VLOOKUP([jobnumber],OvalData[],MATCH(Table2[[#Headers],[Model]],Table2[#Headers],0),0)</f>
        <v>SFMPP</v>
      </c>
      <c r="D528" s="2" t="str">
        <f>VLOOKUP([jobnumber],OvalData[],MATCH(Table2[[#Headers],[width]],Table2[#Headers],0),0)</f>
        <v xml:space="preserve"> 18 ft.- 2"</v>
      </c>
      <c r="E528" s="2" t="str">
        <f>VLOOKUP([jobnumber],OvalData[],MATCH(Table2[[#Headers],[stopheight]],Table2[#Headers],0),0)</f>
        <v xml:space="preserve"> 10 ft.- 0"</v>
      </c>
      <c r="F528" s="2" t="str">
        <f>VLOOKUP([jobnumber],OvalData[],MATCH(Table2[[#Headers],[Between Brackets]],Table2[#Headers],0),0)</f>
        <v xml:space="preserve"> 18 ft.- 7 7/ 8"</v>
      </c>
      <c r="G528" s="2" t="str">
        <f>VLOOKUP([jobnumber],OvalData[],MATCH(Table2[[#Headers],[shell]],Table2[#Headers],0),0)</f>
        <v>6 INCH TUBE</v>
      </c>
      <c r="H528" s="2" t="str">
        <f>VLOOKUP([jobnumber],OvalData[],MATCH(Table2[[#Headers],[pipewidth]],Table2[#Headers],0),0)</f>
        <v xml:space="preserve"> 18 ft.- 1 3/ 8"</v>
      </c>
      <c r="I528" s="2">
        <f>VLOOKUP([jobnumber],OvalData[],MATCH(Table2[[#Headers],[Support Tubes]],Table2[#Headers],0),0)</f>
        <v>0</v>
      </c>
      <c r="J528" s="2">
        <f>VLOOKUP([jobnumber],OvalData[],MATCH(Table2[[#Headers],[Upset]],Table2[#Headers],0),0)</f>
        <v>2</v>
      </c>
      <c r="K528" s="2" t="str">
        <f>VLOOKUP([jobnumber],OvalData[],MATCH(Table2[[#Headers],[Guide Type]],Table2[#Headers],0),0)</f>
        <v>SN2-4 5/8-E</v>
      </c>
      <c r="L528" s="2" t="str">
        <f>VLOOKUP([jobnumber],OvalData[],MATCH(Table2[[#Headers],[Wall Angle]],Table2[#Headers],0),0)</f>
        <v xml:space="preserve"> 11 ft.- 8"</v>
      </c>
      <c r="M528" s="2" t="str">
        <f>VLOOKUP([jobnumber],OvalData[],MATCH(Table2[[#Headers],[Middle Angle]],Table2[#Headers],0),0)</f>
        <v xml:space="preserve"> 10 ft.- 4 1/ 2"</v>
      </c>
      <c r="N528" s="2" t="str">
        <f>VLOOKUP([jobnumber],OvalData[],MATCH(Table2[[#Headers],[Front Angle]],Table2[#Headers],0),0)</f>
        <v xml:space="preserve"> 10 ft.- 3"</v>
      </c>
      <c r="O528" s="2">
        <f>VLOOKUP([jobnumber],OvalData[],MATCH(Table2[[#Headers],[Pipe Center Line]],Table2[#Headers],0),0)</f>
        <v>131</v>
      </c>
      <c r="P528" s="2">
        <f>VLOOKUP([jobnumber],OvalData[],MATCH(Table2[[#Headers],[Heat Expansion Gap]],Table2[#Headers],0),0)</f>
        <v>0</v>
      </c>
      <c r="Q528" s="2">
        <f>VLOOKUP([jobnumber],OvalData[],MATCH(Table2[[#Headers],[Hanging Weight Closed]],Table2[#Headers],0),0)</f>
        <v>795</v>
      </c>
      <c r="R528" s="2">
        <f>VLOOKUP([jobnumber],OvalData[],MATCH(Table2[[#Headers],[Hanging Weight Open]],Table2[#Headers],0),0)</f>
        <v>140</v>
      </c>
      <c r="S528" s="2">
        <f>VLOOKUP([jobnumber],OvalData[],MATCH(Table2[[#Headers],[Initial Lever Arm]],Table2[#Headers],0),0)</f>
        <v>4.25</v>
      </c>
      <c r="T528" s="2">
        <f>VLOOKUP([jobnumber],OvalData[],MATCH(Table2[[#Headers],[Turns to Raise]],Table2[#Headers],0),0)</f>
        <v>3.5859999999999999</v>
      </c>
      <c r="U528" s="2">
        <f>VLOOKUP([jobnumber],OvalData[],MATCH(Table2[[#Headers],[Final Lever Arm]],Table2[#Headers],0),0)</f>
        <v>6.37</v>
      </c>
      <c r="V528" s="2">
        <f>VLOOKUP([jobnumber],OvalData[],MATCH(Table2[[#Headers],[Torque Required Closed]],Table2[#Headers],0),0)</f>
        <v>3377.9</v>
      </c>
      <c r="W528" s="2">
        <f>VLOOKUP([jobnumber],OvalData[],MATCH(Table2[[#Headers],[Torque Required Open]],Table2[#Headers],0),0)</f>
        <v>892</v>
      </c>
      <c r="X528" s="2">
        <f>VLOOKUP([jobnumber],OvalData[],MATCH(Table2[[#Headers],[Pre Turns]],Table2[#Headers],0),0)</f>
        <v>1.3332999999999999</v>
      </c>
      <c r="Y528" s="2">
        <f>VLOOKUP([jobnumber],OvalData[],MATCH(Table2[[#Headers],[Required Torque Per Turn]],Table2[#Headers],0),0)</f>
        <v>688</v>
      </c>
      <c r="Z528" s="2">
        <f>VLOOKUP([jobnumber],OvalData[],MATCH(Table2[[#Headers],[Total Turns]],Table2[#Headers],0),0)</f>
        <v>4.91</v>
      </c>
      <c r="AA528" s="2">
        <f>VLOOKUP([jobnumber],OvalData[],MATCH(Table2[[#Headers],[Grille Vision Section]],Table2[#Headers],0),0)</f>
        <v>0</v>
      </c>
      <c r="AB528" s="2">
        <f>VLOOKUP([jobnumber],OvalData[],MATCH(Table2[[#Headers],[Grille Amount]],Table2[#Headers],0),0)</f>
        <v>0</v>
      </c>
      <c r="AC528" s="2">
        <f>VLOOKUP([jobnumber],OvalData[],MATCH(Table2[[#Headers],[Grille Center]],Table2[#Headers],0),0)</f>
        <v>0</v>
      </c>
      <c r="AD528" s="2">
        <f>VLOOKUP([jobnumber],OvalData[],MATCH(Table2[[#Headers],[Grille Pattern]],Table2[#Headers],0),0)</f>
        <v>0</v>
      </c>
      <c r="AE528" s="2">
        <f>VLOOKUP([jobnumber],OvalData[],MATCH(Table2[[#Headers],[Grille First Tube]],Table2[#Headers],0),0)</f>
        <v>0</v>
      </c>
      <c r="AF528" s="2">
        <f>VLOOKUP([jobnumber],OvalData[],MATCH(Table2[[#Headers],[Grille Standard Tube]],Table2[#Headers],0),0)</f>
        <v>0</v>
      </c>
      <c r="AG528" s="2">
        <f>VLOOKUP([jobnumber],OvalData[],MATCH(Table2[[#Headers],[Grille Total Links]],Table2[#Headers],0),0)</f>
        <v>0</v>
      </c>
      <c r="AH528" s="2">
        <f>VLOOKUP([jobnumber],OvalData[],MATCH(Table2[[#Headers],[Grille Rods]],Table2[#Headers],0),0)</f>
        <v>0</v>
      </c>
      <c r="AI528" s="2">
        <f>VLOOKUP([jobnumber],OvalData[],MATCH(Table2[[#Headers],[Grille Rod Length]],Table2[#Headers],0),0)</f>
        <v>0</v>
      </c>
      <c r="AJ528" s="2">
        <f>VLOOKUP([jobnumber],OvalData[],MATCH(Table2[[#Headers],[slattype]],Table2[#Headers],0),0)</f>
        <v>2</v>
      </c>
      <c r="AK528" s="2">
        <f>VLOOKUP([jobnumber],OvalData[],MATCH(Table2[[#Headers],[slatgage]],Table2[#Headers],0),0)</f>
        <v>18</v>
      </c>
      <c r="AL528" s="2">
        <f>VLOOKUP([jobnumber],OvalData[],MATCH(Table2[[#Headers],[Numer of Top Slats]],Table2[#Headers],0),0)</f>
        <v>0</v>
      </c>
      <c r="AM528" s="2">
        <f>VLOOKUP([jobnumber],OvalData[],MATCH(Table2[[#Headers],[Number of Bottom Slats]],Table2[#Headers],0),0)</f>
        <v>0</v>
      </c>
      <c r="AN528" s="2">
        <f>VLOOKUP([jobnumber],OvalData[],MATCH(Table2[[#Headers],[Solid Bottom Height]],Table2[#Headers],0),0)</f>
        <v>0</v>
      </c>
      <c r="AO528" s="2" t="str">
        <f>VLOOKUP([jobnumber],OvalData[],MATCH(Table2[[#Headers],[slatlength]],Table2[#Headers],0),0)</f>
        <v xml:space="preserve"> 18 ft.- 5 7/ 8"</v>
      </c>
      <c r="AP528" s="2">
        <f>VLOOKUP([jobnumber],OvalData[],MATCH(Table2[[#Headers],[Bottom Slat Length]],Table2[#Headers],0),0)</f>
        <v>0</v>
      </c>
      <c r="AQ528" s="2">
        <f>VLOOKUP([jobnumber],OvalData[],MATCH(Table2[[#Headers],[Number of Perferated Slats]],Table2[#Headers],0),0)</f>
        <v>0</v>
      </c>
      <c r="AR528" s="2">
        <f>VLOOKUP([jobnumber],OvalData[],MATCH(Table2[[#Headers],[First Preferated Slat From End]],Table2[#Headers],0),0)</f>
        <v>0</v>
      </c>
      <c r="AS528" s="2">
        <f>VLOOKUP([jobnumber],OvalData[],MATCH(Table2[[#Headers],[First Preferated Slat From Bottom]],Table2[#Headers],0),0)</f>
        <v>0</v>
      </c>
      <c r="AT528" s="2">
        <f>VLOOKUP([jobnumber],OvalData[],MATCH(Table2[[#Headers],[Total Number of Slats]],Table2[#Headers],0),0)</f>
        <v>51</v>
      </c>
      <c r="AU528" s="2">
        <f>VLOOKUP([jobnumber],OvalData[],MATCH(Table2[[#Headers],[Bottom Bar Slope]],Table2[#Headers],0),0)</f>
        <v>0</v>
      </c>
      <c r="AV528" s="2">
        <f>VLOOKUP([jobnumber],OvalData[],MATCH(Table2[[#Headers],[Bottom Bar Weight]],Table2[#Headers],0),0)</f>
        <v>80.5</v>
      </c>
      <c r="AW528" s="2" t="str">
        <f>VLOOKUP([jobnumber],OvalData[],MATCH(Table2[[#Headers],[Outer Spring Gage]],Table2[#Headers],0),0)</f>
        <v>Null</v>
      </c>
      <c r="AX528" s="2" t="str">
        <f>VLOOKUP([jobnumber],OvalData[],MATCH(Table2[[#Headers],[Outer Spring OD]],Table2[#Headers],0),0)</f>
        <v>Null</v>
      </c>
      <c r="AY528" s="2" t="str">
        <f>VLOOKUP([jobnumber],OvalData[],MATCH(Table2[[#Headers],[Outer Spring Length]],Table2[#Headers],0),0)</f>
        <v>Null</v>
      </c>
      <c r="AZ528" s="2" t="str">
        <f>VLOOKUP([jobnumber],OvalData[],MATCH(Table2[[#Headers],[Outer Spring Stretch]],Table2[#Headers],0),0)</f>
        <v>Null</v>
      </c>
      <c r="BA528" s="2" t="str">
        <f>VLOOKUP([jobnumber],OvalData[],MATCH(Table2[[#Headers],[Outer Spring Torque]],Table2[#Headers],0),0)</f>
        <v>Null</v>
      </c>
      <c r="BB528" s="2" t="str">
        <f>VLOOKUP([jobnumber],OvalData[],MATCH(Table2[[#Headers],[Outer Spring Max Turns]],Table2[#Headers],0),0)</f>
        <v>Null</v>
      </c>
      <c r="BC528" s="2" t="str">
        <f>VLOOKUP([jobnumber],OvalData[],MATCH(Table2[[#Headers],[Outer Spring Weight]],Table2[#Headers],0),0)</f>
        <v>Null</v>
      </c>
      <c r="BD528" s="2" t="str">
        <f>VLOOKUP([jobnumber],OvalData[],MATCH(Table2[[#Headers],[Inner Spring Gage]],Table2[#Headers],0),0)</f>
        <v>Null</v>
      </c>
      <c r="BE528" s="2" t="str">
        <f>VLOOKUP([jobnumber],OvalData[],MATCH(Table2[[#Headers],[Inner Spring OD]],Table2[#Headers],0),0)</f>
        <v>Null</v>
      </c>
      <c r="BF528" s="2" t="str">
        <f>VLOOKUP([jobnumber],OvalData[],MATCH(Table2[[#Headers],[Inner Spring Length]],Table2[#Headers],0),0)</f>
        <v>Null</v>
      </c>
      <c r="BG528" s="2" t="str">
        <f>VLOOKUP([jobnumber],OvalData[],MATCH(Table2[[#Headers],[Inner Spring Stretch]],Table2[#Headers],0),0)</f>
        <v>Null</v>
      </c>
      <c r="BH528" s="2" t="str">
        <f>VLOOKUP([jobnumber],OvalData[],MATCH(Table2[[#Headers],[Inner Spring Torque]],Table2[#Headers],0),0)</f>
        <v>Null</v>
      </c>
      <c r="BI528" s="2" t="str">
        <f>VLOOKUP([jobnumber],OvalData[],MATCH(Table2[[#Headers],[Inner Spring Max Turns]],Table2[#Headers],0),0)</f>
        <v>Null</v>
      </c>
      <c r="BJ528" s="2" t="str">
        <f>VLOOKUP([jobnumber],OvalData[],MATCH(Table2[[#Headers],[Inner Spring Weight]],Table2[#Headers],0),0)</f>
        <v>Null</v>
      </c>
      <c r="BK528" s="2">
        <f>VLOOKUP([jobnumber],OvalData[],MATCH(Table2[[#Headers],[Cycles]],Table2[#Headers],0),0)</f>
        <v>0</v>
      </c>
      <c r="BL528" s="2">
        <f>VLOOKUP([jobnumber],OvalData[],MATCH(Table2[[#Headers],[Total Spring Torque]],Table2[#Headers],0),0)</f>
        <v>0</v>
      </c>
      <c r="BM528" s="2">
        <f>VLOOKUP([jobnumber],OvalData[],MATCH(Table2[[#Headers],[Total Spring Weight]],Table2[#Headers],0),0)</f>
        <v>0</v>
      </c>
      <c r="BN528" s="2">
        <f>VLOOKUP([jobnumber],OvalData[],MATCH(Table2[[#Headers],[Pipe Weight]],Table2[#Headers],0),0)</f>
        <v>688.24239999999998</v>
      </c>
      <c r="BO528" s="2">
        <f>VLOOKUP([jobnumber],OvalData[],MATCH(Table2[[#Headers],[Max Pipe Deflection]],Table2[#Headers],0),0)</f>
        <v>2309</v>
      </c>
      <c r="BP528" s="2">
        <f>VLOOKUP([jobnumber],OvalData[],MATCH(Table2[[#Headers],[Number Non-Insulated Wrap Slats]],Table2[#Headers],0),0)</f>
        <v>0</v>
      </c>
      <c r="BQ528" s="2">
        <f>VLOOKUP([jobnumber],OvalData[],MATCH(Table2[[#Headers],[Number of Insolated Top Slats]],Table2[#Headers],0),0)</f>
        <v>45</v>
      </c>
      <c r="BR528" s="2">
        <f>VLOOKUP([jobnumber],OvalData[],MATCH(Table2[[#Headers],[Insolated Total Slats]],Table2[#Headers],0),0)</f>
        <v>45</v>
      </c>
      <c r="BS528" s="2">
        <f>VLOOKUP([jobnumber],OvalData[],MATCH(Table2[[#Headers],[Number of Slats]],Table2[#Headers],0),0)</f>
        <v>44.69</v>
      </c>
      <c r="BT528" s="2">
        <f>VLOOKUP([jobnumber],OvalData[],MATCH(Table2[[#Headers],[Wrap]],Table2[#Headers],0),0)</f>
        <v>0</v>
      </c>
      <c r="BU528" s="2">
        <f>VLOOKUP([jobnumber],OvalData[],MATCH(Table2[[#Headers],[Wall Angle Thickness]],Table2[#Headers],0),0)</f>
        <v>0</v>
      </c>
      <c r="BV528" s="2">
        <f>VLOOKUP([jobnumber],OvalData[],MATCH(Table2[[#Headers],[windlocks]],Table2[#Headers],0),0)</f>
        <v>0</v>
      </c>
      <c r="BW528" s="2" t="str">
        <f>VLOOKUP([jobnumber],OvalData[],MATCH(Table2[[#Headers],[bottombartype]],Table2[#Headers],0),0)</f>
        <v>SPECIAL</v>
      </c>
      <c r="BX528" s="2">
        <f>VLOOKUP([jobnumber],OvalData[],MATCH(Table2[[#Headers],[endlockweight]],Table2[#Headers],0),0)</f>
        <v>0.17</v>
      </c>
      <c r="BY528" s="2">
        <f>VLOOKUP([jobnumber],OvalData[],MATCH(Table2[[#Headers],[Endlock Total Weight]],Table2[#Headers],0),0)</f>
        <v>7.5972999999999997</v>
      </c>
      <c r="BZ528" s="2">
        <f>VLOOKUP([jobnumber],OvalData[],MATCH(Table2[[#Headers],[Grille Weight]],Table2[#Headers],0),0)</f>
        <v>0</v>
      </c>
      <c r="CA528" s="2">
        <f>VLOOKUP([jobnumber],OvalData[],MATCH(Table2[[#Headers],[barrelrings]],Table2[#Headers],0),0)</f>
        <v>1</v>
      </c>
    </row>
    <row r="529" spans="2:79">
      <c r="B529" s="2" t="str">
        <f>VLOOKUP([jobnumber],OvalData[],MATCH(Table2[[#Headers],[Hand]],Table2[#Headers],0),0)</f>
        <v>RH</v>
      </c>
      <c r="C529" s="2" t="str">
        <f>VLOOKUP([jobnumber],OvalData[],MATCH(Table2[[#Headers],[Model]],Table2[#Headers],0),0)</f>
        <v>SFMPP</v>
      </c>
      <c r="D529" s="2" t="str">
        <f>VLOOKUP([jobnumber],OvalData[],MATCH(Table2[[#Headers],[width]],Table2[#Headers],0),0)</f>
        <v xml:space="preserve"> 18 ft.- 2"</v>
      </c>
      <c r="E529" s="2" t="str">
        <f>VLOOKUP([jobnumber],OvalData[],MATCH(Table2[[#Headers],[stopheight]],Table2[#Headers],0),0)</f>
        <v xml:space="preserve"> 10 ft.- 0"</v>
      </c>
      <c r="F529" s="2" t="str">
        <f>VLOOKUP([jobnumber],OvalData[],MATCH(Table2[[#Headers],[Between Brackets]],Table2[#Headers],0),0)</f>
        <v xml:space="preserve"> 18 ft.- 7 7/ 8"</v>
      </c>
      <c r="G529" s="2" t="str">
        <f>VLOOKUP([jobnumber],OvalData[],MATCH(Table2[[#Headers],[shell]],Table2[#Headers],0),0)</f>
        <v>6 INCH TUBE</v>
      </c>
      <c r="H529" s="2" t="str">
        <f>VLOOKUP([jobnumber],OvalData[],MATCH(Table2[[#Headers],[pipewidth]],Table2[#Headers],0),0)</f>
        <v xml:space="preserve"> 18 ft.- 1 3/ 8"</v>
      </c>
      <c r="I529" s="2">
        <f>VLOOKUP([jobnumber],OvalData[],MATCH(Table2[[#Headers],[Support Tubes]],Table2[#Headers],0),0)</f>
        <v>0</v>
      </c>
      <c r="J529" s="2">
        <f>VLOOKUP([jobnumber],OvalData[],MATCH(Table2[[#Headers],[Upset]],Table2[#Headers],0),0)</f>
        <v>2</v>
      </c>
      <c r="K529" s="2" t="str">
        <f>VLOOKUP([jobnumber],OvalData[],MATCH(Table2[[#Headers],[Guide Type]],Table2[#Headers],0),0)</f>
        <v>SN2-4 5/8-E</v>
      </c>
      <c r="L529" s="2" t="str">
        <f>VLOOKUP([jobnumber],OvalData[],MATCH(Table2[[#Headers],[Wall Angle]],Table2[#Headers],0),0)</f>
        <v xml:space="preserve"> 11 ft.- 8"</v>
      </c>
      <c r="M529" s="2" t="str">
        <f>VLOOKUP([jobnumber],OvalData[],MATCH(Table2[[#Headers],[Middle Angle]],Table2[#Headers],0),0)</f>
        <v xml:space="preserve"> 10 ft.- 4 1/ 2"</v>
      </c>
      <c r="N529" s="2" t="str">
        <f>VLOOKUP([jobnumber],OvalData[],MATCH(Table2[[#Headers],[Front Angle]],Table2[#Headers],0),0)</f>
        <v xml:space="preserve"> 10 ft.- 3"</v>
      </c>
      <c r="O529" s="2">
        <f>VLOOKUP([jobnumber],OvalData[],MATCH(Table2[[#Headers],[Pipe Center Line]],Table2[#Headers],0),0)</f>
        <v>131</v>
      </c>
      <c r="P529" s="2">
        <f>VLOOKUP([jobnumber],OvalData[],MATCH(Table2[[#Headers],[Heat Expansion Gap]],Table2[#Headers],0),0)</f>
        <v>0</v>
      </c>
      <c r="Q529" s="2">
        <f>VLOOKUP([jobnumber],OvalData[],MATCH(Table2[[#Headers],[Hanging Weight Closed]],Table2[#Headers],0),0)</f>
        <v>795</v>
      </c>
      <c r="R529" s="2">
        <f>VLOOKUP([jobnumber],OvalData[],MATCH(Table2[[#Headers],[Hanging Weight Open]],Table2[#Headers],0),0)</f>
        <v>140</v>
      </c>
      <c r="S529" s="2">
        <f>VLOOKUP([jobnumber],OvalData[],MATCH(Table2[[#Headers],[Initial Lever Arm]],Table2[#Headers],0),0)</f>
        <v>4.25</v>
      </c>
      <c r="T529" s="2">
        <f>VLOOKUP([jobnumber],OvalData[],MATCH(Table2[[#Headers],[Turns to Raise]],Table2[#Headers],0),0)</f>
        <v>3.5859999999999999</v>
      </c>
      <c r="U529" s="2">
        <f>VLOOKUP([jobnumber],OvalData[],MATCH(Table2[[#Headers],[Final Lever Arm]],Table2[#Headers],0),0)</f>
        <v>6.37</v>
      </c>
      <c r="V529" s="2">
        <f>VLOOKUP([jobnumber],OvalData[],MATCH(Table2[[#Headers],[Torque Required Closed]],Table2[#Headers],0),0)</f>
        <v>3377.9</v>
      </c>
      <c r="W529" s="2">
        <f>VLOOKUP([jobnumber],OvalData[],MATCH(Table2[[#Headers],[Torque Required Open]],Table2[#Headers],0),0)</f>
        <v>892</v>
      </c>
      <c r="X529" s="2">
        <f>VLOOKUP([jobnumber],OvalData[],MATCH(Table2[[#Headers],[Pre Turns]],Table2[#Headers],0),0)</f>
        <v>1.3332999999999999</v>
      </c>
      <c r="Y529" s="2">
        <f>VLOOKUP([jobnumber],OvalData[],MATCH(Table2[[#Headers],[Required Torque Per Turn]],Table2[#Headers],0),0)</f>
        <v>688</v>
      </c>
      <c r="Z529" s="2">
        <f>VLOOKUP([jobnumber],OvalData[],MATCH(Table2[[#Headers],[Total Turns]],Table2[#Headers],0),0)</f>
        <v>4.91</v>
      </c>
      <c r="AA529" s="2">
        <f>VLOOKUP([jobnumber],OvalData[],MATCH(Table2[[#Headers],[Grille Vision Section]],Table2[#Headers],0),0)</f>
        <v>0</v>
      </c>
      <c r="AB529" s="2">
        <f>VLOOKUP([jobnumber],OvalData[],MATCH(Table2[[#Headers],[Grille Amount]],Table2[#Headers],0),0)</f>
        <v>0</v>
      </c>
      <c r="AC529" s="2">
        <f>VLOOKUP([jobnumber],OvalData[],MATCH(Table2[[#Headers],[Grille Center]],Table2[#Headers],0),0)</f>
        <v>0</v>
      </c>
      <c r="AD529" s="2">
        <f>VLOOKUP([jobnumber],OvalData[],MATCH(Table2[[#Headers],[Grille Pattern]],Table2[#Headers],0),0)</f>
        <v>0</v>
      </c>
      <c r="AE529" s="2">
        <f>VLOOKUP([jobnumber],OvalData[],MATCH(Table2[[#Headers],[Grille First Tube]],Table2[#Headers],0),0)</f>
        <v>0</v>
      </c>
      <c r="AF529" s="2">
        <f>VLOOKUP([jobnumber],OvalData[],MATCH(Table2[[#Headers],[Grille Standard Tube]],Table2[#Headers],0),0)</f>
        <v>0</v>
      </c>
      <c r="AG529" s="2">
        <f>VLOOKUP([jobnumber],OvalData[],MATCH(Table2[[#Headers],[Grille Total Links]],Table2[#Headers],0),0)</f>
        <v>0</v>
      </c>
      <c r="AH529" s="2">
        <f>VLOOKUP([jobnumber],OvalData[],MATCH(Table2[[#Headers],[Grille Rods]],Table2[#Headers],0),0)</f>
        <v>0</v>
      </c>
      <c r="AI529" s="2">
        <f>VLOOKUP([jobnumber],OvalData[],MATCH(Table2[[#Headers],[Grille Rod Length]],Table2[#Headers],0),0)</f>
        <v>0</v>
      </c>
      <c r="AJ529" s="2">
        <f>VLOOKUP([jobnumber],OvalData[],MATCH(Table2[[#Headers],[slattype]],Table2[#Headers],0),0)</f>
        <v>2</v>
      </c>
      <c r="AK529" s="2">
        <f>VLOOKUP([jobnumber],OvalData[],MATCH(Table2[[#Headers],[slatgage]],Table2[#Headers],0),0)</f>
        <v>18</v>
      </c>
      <c r="AL529" s="2">
        <f>VLOOKUP([jobnumber],OvalData[],MATCH(Table2[[#Headers],[Numer of Top Slats]],Table2[#Headers],0),0)</f>
        <v>0</v>
      </c>
      <c r="AM529" s="2">
        <f>VLOOKUP([jobnumber],OvalData[],MATCH(Table2[[#Headers],[Number of Bottom Slats]],Table2[#Headers],0),0)</f>
        <v>0</v>
      </c>
      <c r="AN529" s="2">
        <f>VLOOKUP([jobnumber],OvalData[],MATCH(Table2[[#Headers],[Solid Bottom Height]],Table2[#Headers],0),0)</f>
        <v>0</v>
      </c>
      <c r="AO529" s="2" t="str">
        <f>VLOOKUP([jobnumber],OvalData[],MATCH(Table2[[#Headers],[slatlength]],Table2[#Headers],0),0)</f>
        <v xml:space="preserve"> 18 ft.- 5 7/ 8"</v>
      </c>
      <c r="AP529" s="2">
        <f>VLOOKUP([jobnumber],OvalData[],MATCH(Table2[[#Headers],[Bottom Slat Length]],Table2[#Headers],0),0)</f>
        <v>0</v>
      </c>
      <c r="AQ529" s="2">
        <f>VLOOKUP([jobnumber],OvalData[],MATCH(Table2[[#Headers],[Number of Perferated Slats]],Table2[#Headers],0),0)</f>
        <v>0</v>
      </c>
      <c r="AR529" s="2">
        <f>VLOOKUP([jobnumber],OvalData[],MATCH(Table2[[#Headers],[First Preferated Slat From End]],Table2[#Headers],0),0)</f>
        <v>0</v>
      </c>
      <c r="AS529" s="2">
        <f>VLOOKUP([jobnumber],OvalData[],MATCH(Table2[[#Headers],[First Preferated Slat From Bottom]],Table2[#Headers],0),0)</f>
        <v>0</v>
      </c>
      <c r="AT529" s="2">
        <f>VLOOKUP([jobnumber],OvalData[],MATCH(Table2[[#Headers],[Total Number of Slats]],Table2[#Headers],0),0)</f>
        <v>51</v>
      </c>
      <c r="AU529" s="2">
        <f>VLOOKUP([jobnumber],OvalData[],MATCH(Table2[[#Headers],[Bottom Bar Slope]],Table2[#Headers],0),0)</f>
        <v>0</v>
      </c>
      <c r="AV529" s="2">
        <f>VLOOKUP([jobnumber],OvalData[],MATCH(Table2[[#Headers],[Bottom Bar Weight]],Table2[#Headers],0),0)</f>
        <v>80.5</v>
      </c>
      <c r="AW529" s="2" t="str">
        <f>VLOOKUP([jobnumber],OvalData[],MATCH(Table2[[#Headers],[Outer Spring Gage]],Table2[#Headers],0),0)</f>
        <v>Null</v>
      </c>
      <c r="AX529" s="2" t="str">
        <f>VLOOKUP([jobnumber],OvalData[],MATCH(Table2[[#Headers],[Outer Spring OD]],Table2[#Headers],0),0)</f>
        <v>Null</v>
      </c>
      <c r="AY529" s="2" t="str">
        <f>VLOOKUP([jobnumber],OvalData[],MATCH(Table2[[#Headers],[Outer Spring Length]],Table2[#Headers],0),0)</f>
        <v>Null</v>
      </c>
      <c r="AZ529" s="2" t="str">
        <f>VLOOKUP([jobnumber],OvalData[],MATCH(Table2[[#Headers],[Outer Spring Stretch]],Table2[#Headers],0),0)</f>
        <v>Null</v>
      </c>
      <c r="BA529" s="2" t="str">
        <f>VLOOKUP([jobnumber],OvalData[],MATCH(Table2[[#Headers],[Outer Spring Torque]],Table2[#Headers],0),0)</f>
        <v>Null</v>
      </c>
      <c r="BB529" s="2" t="str">
        <f>VLOOKUP([jobnumber],OvalData[],MATCH(Table2[[#Headers],[Outer Spring Max Turns]],Table2[#Headers],0),0)</f>
        <v>Null</v>
      </c>
      <c r="BC529" s="2" t="str">
        <f>VLOOKUP([jobnumber],OvalData[],MATCH(Table2[[#Headers],[Outer Spring Weight]],Table2[#Headers],0),0)</f>
        <v>Null</v>
      </c>
      <c r="BD529" s="2" t="str">
        <f>VLOOKUP([jobnumber],OvalData[],MATCH(Table2[[#Headers],[Inner Spring Gage]],Table2[#Headers],0),0)</f>
        <v>Null</v>
      </c>
      <c r="BE529" s="2" t="str">
        <f>VLOOKUP([jobnumber],OvalData[],MATCH(Table2[[#Headers],[Inner Spring OD]],Table2[#Headers],0),0)</f>
        <v>Null</v>
      </c>
      <c r="BF529" s="2" t="str">
        <f>VLOOKUP([jobnumber],OvalData[],MATCH(Table2[[#Headers],[Inner Spring Length]],Table2[#Headers],0),0)</f>
        <v>Null</v>
      </c>
      <c r="BG529" s="2" t="str">
        <f>VLOOKUP([jobnumber],OvalData[],MATCH(Table2[[#Headers],[Inner Spring Stretch]],Table2[#Headers],0),0)</f>
        <v>Null</v>
      </c>
      <c r="BH529" s="2" t="str">
        <f>VLOOKUP([jobnumber],OvalData[],MATCH(Table2[[#Headers],[Inner Spring Torque]],Table2[#Headers],0),0)</f>
        <v>Null</v>
      </c>
      <c r="BI529" s="2" t="str">
        <f>VLOOKUP([jobnumber],OvalData[],MATCH(Table2[[#Headers],[Inner Spring Max Turns]],Table2[#Headers],0),0)</f>
        <v>Null</v>
      </c>
      <c r="BJ529" s="2" t="str">
        <f>VLOOKUP([jobnumber],OvalData[],MATCH(Table2[[#Headers],[Inner Spring Weight]],Table2[#Headers],0),0)</f>
        <v>Null</v>
      </c>
      <c r="BK529" s="2">
        <f>VLOOKUP([jobnumber],OvalData[],MATCH(Table2[[#Headers],[Cycles]],Table2[#Headers],0),0)</f>
        <v>0</v>
      </c>
      <c r="BL529" s="2">
        <f>VLOOKUP([jobnumber],OvalData[],MATCH(Table2[[#Headers],[Total Spring Torque]],Table2[#Headers],0),0)</f>
        <v>0</v>
      </c>
      <c r="BM529" s="2">
        <f>VLOOKUP([jobnumber],OvalData[],MATCH(Table2[[#Headers],[Total Spring Weight]],Table2[#Headers],0),0)</f>
        <v>0</v>
      </c>
      <c r="BN529" s="2">
        <f>VLOOKUP([jobnumber],OvalData[],MATCH(Table2[[#Headers],[Pipe Weight]],Table2[#Headers],0),0)</f>
        <v>688.24239999999998</v>
      </c>
      <c r="BO529" s="2">
        <f>VLOOKUP([jobnumber],OvalData[],MATCH(Table2[[#Headers],[Max Pipe Deflection]],Table2[#Headers],0),0)</f>
        <v>2309</v>
      </c>
      <c r="BP529" s="2">
        <f>VLOOKUP([jobnumber],OvalData[],MATCH(Table2[[#Headers],[Number Non-Insulated Wrap Slats]],Table2[#Headers],0),0)</f>
        <v>0</v>
      </c>
      <c r="BQ529" s="2">
        <f>VLOOKUP([jobnumber],OvalData[],MATCH(Table2[[#Headers],[Number of Insolated Top Slats]],Table2[#Headers],0),0)</f>
        <v>45</v>
      </c>
      <c r="BR529" s="2">
        <f>VLOOKUP([jobnumber],OvalData[],MATCH(Table2[[#Headers],[Insolated Total Slats]],Table2[#Headers],0),0)</f>
        <v>45</v>
      </c>
      <c r="BS529" s="2">
        <f>VLOOKUP([jobnumber],OvalData[],MATCH(Table2[[#Headers],[Number of Slats]],Table2[#Headers],0),0)</f>
        <v>44.69</v>
      </c>
      <c r="BT529" s="2">
        <f>VLOOKUP([jobnumber],OvalData[],MATCH(Table2[[#Headers],[Wrap]],Table2[#Headers],0),0)</f>
        <v>0</v>
      </c>
      <c r="BU529" s="2">
        <f>VLOOKUP([jobnumber],OvalData[],MATCH(Table2[[#Headers],[Wall Angle Thickness]],Table2[#Headers],0),0)</f>
        <v>0</v>
      </c>
      <c r="BV529" s="2">
        <f>VLOOKUP([jobnumber],OvalData[],MATCH(Table2[[#Headers],[windlocks]],Table2[#Headers],0),0)</f>
        <v>0</v>
      </c>
      <c r="BW529" s="2" t="str">
        <f>VLOOKUP([jobnumber],OvalData[],MATCH(Table2[[#Headers],[bottombartype]],Table2[#Headers],0),0)</f>
        <v>SPECIAL</v>
      </c>
      <c r="BX529" s="2">
        <f>VLOOKUP([jobnumber],OvalData[],MATCH(Table2[[#Headers],[endlockweight]],Table2[#Headers],0),0)</f>
        <v>0.17</v>
      </c>
      <c r="BY529" s="2">
        <f>VLOOKUP([jobnumber],OvalData[],MATCH(Table2[[#Headers],[Endlock Total Weight]],Table2[#Headers],0),0)</f>
        <v>7.5972999999999997</v>
      </c>
      <c r="BZ529" s="2">
        <f>VLOOKUP([jobnumber],OvalData[],MATCH(Table2[[#Headers],[Grille Weight]],Table2[#Headers],0),0)</f>
        <v>0</v>
      </c>
      <c r="CA529" s="2">
        <f>VLOOKUP([jobnumber],OvalData[],MATCH(Table2[[#Headers],[barrelrings]],Table2[#Headers],0),0)</f>
        <v>1</v>
      </c>
    </row>
    <row r="530" spans="2:79">
      <c r="B530" s="2" t="str">
        <f>VLOOKUP([jobnumber],OvalData[],MATCH(Table2[[#Headers],[Hand]],Table2[#Headers],0),0)</f>
        <v>RH</v>
      </c>
      <c r="C530" s="2" t="str">
        <f>VLOOKUP([jobnumber],OvalData[],MATCH(Table2[[#Headers],[Model]],Table2[#Headers],0),0)</f>
        <v>SFMPP</v>
      </c>
      <c r="D530" s="2" t="str">
        <f>VLOOKUP([jobnumber],OvalData[],MATCH(Table2[[#Headers],[width]],Table2[#Headers],0),0)</f>
        <v xml:space="preserve"> 18 ft.- 2"</v>
      </c>
      <c r="E530" s="2" t="str">
        <f>VLOOKUP([jobnumber],OvalData[],MATCH(Table2[[#Headers],[stopheight]],Table2[#Headers],0),0)</f>
        <v xml:space="preserve"> 10 ft.- 0"</v>
      </c>
      <c r="F530" s="2" t="str">
        <f>VLOOKUP([jobnumber],OvalData[],MATCH(Table2[[#Headers],[Between Brackets]],Table2[#Headers],0),0)</f>
        <v xml:space="preserve"> 18 ft.- 7 7/ 8"</v>
      </c>
      <c r="G530" s="2" t="str">
        <f>VLOOKUP([jobnumber],OvalData[],MATCH(Table2[[#Headers],[shell]],Table2[#Headers],0),0)</f>
        <v>6 INCH TUBE</v>
      </c>
      <c r="H530" s="2" t="str">
        <f>VLOOKUP([jobnumber],OvalData[],MATCH(Table2[[#Headers],[pipewidth]],Table2[#Headers],0),0)</f>
        <v xml:space="preserve"> 18 ft.- 1 3/ 8"</v>
      </c>
      <c r="I530" s="2">
        <f>VLOOKUP([jobnumber],OvalData[],MATCH(Table2[[#Headers],[Support Tubes]],Table2[#Headers],0),0)</f>
        <v>0</v>
      </c>
      <c r="J530" s="2">
        <f>VLOOKUP([jobnumber],OvalData[],MATCH(Table2[[#Headers],[Upset]],Table2[#Headers],0),0)</f>
        <v>2</v>
      </c>
      <c r="K530" s="2" t="str">
        <f>VLOOKUP([jobnumber],OvalData[],MATCH(Table2[[#Headers],[Guide Type]],Table2[#Headers],0),0)</f>
        <v>SN2-4 5/8-E</v>
      </c>
      <c r="L530" s="2" t="str">
        <f>VLOOKUP([jobnumber],OvalData[],MATCH(Table2[[#Headers],[Wall Angle]],Table2[#Headers],0),0)</f>
        <v xml:space="preserve"> 11 ft.- 8"</v>
      </c>
      <c r="M530" s="2" t="str">
        <f>VLOOKUP([jobnumber],OvalData[],MATCH(Table2[[#Headers],[Middle Angle]],Table2[#Headers],0),0)</f>
        <v xml:space="preserve"> 10 ft.- 4 1/ 2"</v>
      </c>
      <c r="N530" s="2" t="str">
        <f>VLOOKUP([jobnumber],OvalData[],MATCH(Table2[[#Headers],[Front Angle]],Table2[#Headers],0),0)</f>
        <v xml:space="preserve"> 10 ft.- 3"</v>
      </c>
      <c r="O530" s="2">
        <f>VLOOKUP([jobnumber],OvalData[],MATCH(Table2[[#Headers],[Pipe Center Line]],Table2[#Headers],0),0)</f>
        <v>131</v>
      </c>
      <c r="P530" s="2">
        <f>VLOOKUP([jobnumber],OvalData[],MATCH(Table2[[#Headers],[Heat Expansion Gap]],Table2[#Headers],0),0)</f>
        <v>0</v>
      </c>
      <c r="Q530" s="2">
        <f>VLOOKUP([jobnumber],OvalData[],MATCH(Table2[[#Headers],[Hanging Weight Closed]],Table2[#Headers],0),0)</f>
        <v>795</v>
      </c>
      <c r="R530" s="2">
        <f>VLOOKUP([jobnumber],OvalData[],MATCH(Table2[[#Headers],[Hanging Weight Open]],Table2[#Headers],0),0)</f>
        <v>140</v>
      </c>
      <c r="S530" s="2">
        <f>VLOOKUP([jobnumber],OvalData[],MATCH(Table2[[#Headers],[Initial Lever Arm]],Table2[#Headers],0),0)</f>
        <v>4.25</v>
      </c>
      <c r="T530" s="2">
        <f>VLOOKUP([jobnumber],OvalData[],MATCH(Table2[[#Headers],[Turns to Raise]],Table2[#Headers],0),0)</f>
        <v>3.5859999999999999</v>
      </c>
      <c r="U530" s="2">
        <f>VLOOKUP([jobnumber],OvalData[],MATCH(Table2[[#Headers],[Final Lever Arm]],Table2[#Headers],0),0)</f>
        <v>6.37</v>
      </c>
      <c r="V530" s="2">
        <f>VLOOKUP([jobnumber],OvalData[],MATCH(Table2[[#Headers],[Torque Required Closed]],Table2[#Headers],0),0)</f>
        <v>3377.9</v>
      </c>
      <c r="W530" s="2">
        <f>VLOOKUP([jobnumber],OvalData[],MATCH(Table2[[#Headers],[Torque Required Open]],Table2[#Headers],0),0)</f>
        <v>892</v>
      </c>
      <c r="X530" s="2">
        <f>VLOOKUP([jobnumber],OvalData[],MATCH(Table2[[#Headers],[Pre Turns]],Table2[#Headers],0),0)</f>
        <v>1.3332999999999999</v>
      </c>
      <c r="Y530" s="2">
        <f>VLOOKUP([jobnumber],OvalData[],MATCH(Table2[[#Headers],[Required Torque Per Turn]],Table2[#Headers],0),0)</f>
        <v>688</v>
      </c>
      <c r="Z530" s="2">
        <f>VLOOKUP([jobnumber],OvalData[],MATCH(Table2[[#Headers],[Total Turns]],Table2[#Headers],0),0)</f>
        <v>4.91</v>
      </c>
      <c r="AA530" s="2">
        <f>VLOOKUP([jobnumber],OvalData[],MATCH(Table2[[#Headers],[Grille Vision Section]],Table2[#Headers],0),0)</f>
        <v>0</v>
      </c>
      <c r="AB530" s="2">
        <f>VLOOKUP([jobnumber],OvalData[],MATCH(Table2[[#Headers],[Grille Amount]],Table2[#Headers],0),0)</f>
        <v>0</v>
      </c>
      <c r="AC530" s="2">
        <f>VLOOKUP([jobnumber],OvalData[],MATCH(Table2[[#Headers],[Grille Center]],Table2[#Headers],0),0)</f>
        <v>0</v>
      </c>
      <c r="AD530" s="2">
        <f>VLOOKUP([jobnumber],OvalData[],MATCH(Table2[[#Headers],[Grille Pattern]],Table2[#Headers],0),0)</f>
        <v>0</v>
      </c>
      <c r="AE530" s="2">
        <f>VLOOKUP([jobnumber],OvalData[],MATCH(Table2[[#Headers],[Grille First Tube]],Table2[#Headers],0),0)</f>
        <v>0</v>
      </c>
      <c r="AF530" s="2">
        <f>VLOOKUP([jobnumber],OvalData[],MATCH(Table2[[#Headers],[Grille Standard Tube]],Table2[#Headers],0),0)</f>
        <v>0</v>
      </c>
      <c r="AG530" s="2">
        <f>VLOOKUP([jobnumber],OvalData[],MATCH(Table2[[#Headers],[Grille Total Links]],Table2[#Headers],0),0)</f>
        <v>0</v>
      </c>
      <c r="AH530" s="2">
        <f>VLOOKUP([jobnumber],OvalData[],MATCH(Table2[[#Headers],[Grille Rods]],Table2[#Headers],0),0)</f>
        <v>0</v>
      </c>
      <c r="AI530" s="2">
        <f>VLOOKUP([jobnumber],OvalData[],MATCH(Table2[[#Headers],[Grille Rod Length]],Table2[#Headers],0),0)</f>
        <v>0</v>
      </c>
      <c r="AJ530" s="2">
        <f>VLOOKUP([jobnumber],OvalData[],MATCH(Table2[[#Headers],[slattype]],Table2[#Headers],0),0)</f>
        <v>2</v>
      </c>
      <c r="AK530" s="2">
        <f>VLOOKUP([jobnumber],OvalData[],MATCH(Table2[[#Headers],[slatgage]],Table2[#Headers],0),0)</f>
        <v>18</v>
      </c>
      <c r="AL530" s="2">
        <f>VLOOKUP([jobnumber],OvalData[],MATCH(Table2[[#Headers],[Numer of Top Slats]],Table2[#Headers],0),0)</f>
        <v>0</v>
      </c>
      <c r="AM530" s="2">
        <f>VLOOKUP([jobnumber],OvalData[],MATCH(Table2[[#Headers],[Number of Bottom Slats]],Table2[#Headers],0),0)</f>
        <v>0</v>
      </c>
      <c r="AN530" s="2">
        <f>VLOOKUP([jobnumber],OvalData[],MATCH(Table2[[#Headers],[Solid Bottom Height]],Table2[#Headers],0),0)</f>
        <v>0</v>
      </c>
      <c r="AO530" s="2" t="str">
        <f>VLOOKUP([jobnumber],OvalData[],MATCH(Table2[[#Headers],[slatlength]],Table2[#Headers],0),0)</f>
        <v xml:space="preserve"> 18 ft.- 5 7/ 8"</v>
      </c>
      <c r="AP530" s="2">
        <f>VLOOKUP([jobnumber],OvalData[],MATCH(Table2[[#Headers],[Bottom Slat Length]],Table2[#Headers],0),0)</f>
        <v>0</v>
      </c>
      <c r="AQ530" s="2">
        <f>VLOOKUP([jobnumber],OvalData[],MATCH(Table2[[#Headers],[Number of Perferated Slats]],Table2[#Headers],0),0)</f>
        <v>0</v>
      </c>
      <c r="AR530" s="2">
        <f>VLOOKUP([jobnumber],OvalData[],MATCH(Table2[[#Headers],[First Preferated Slat From End]],Table2[#Headers],0),0)</f>
        <v>0</v>
      </c>
      <c r="AS530" s="2">
        <f>VLOOKUP([jobnumber],OvalData[],MATCH(Table2[[#Headers],[First Preferated Slat From Bottom]],Table2[#Headers],0),0)</f>
        <v>0</v>
      </c>
      <c r="AT530" s="2">
        <f>VLOOKUP([jobnumber],OvalData[],MATCH(Table2[[#Headers],[Total Number of Slats]],Table2[#Headers],0),0)</f>
        <v>51</v>
      </c>
      <c r="AU530" s="2">
        <f>VLOOKUP([jobnumber],OvalData[],MATCH(Table2[[#Headers],[Bottom Bar Slope]],Table2[#Headers],0),0)</f>
        <v>0</v>
      </c>
      <c r="AV530" s="2">
        <f>VLOOKUP([jobnumber],OvalData[],MATCH(Table2[[#Headers],[Bottom Bar Weight]],Table2[#Headers],0),0)</f>
        <v>80.5</v>
      </c>
      <c r="AW530" s="2" t="str">
        <f>VLOOKUP([jobnumber],OvalData[],MATCH(Table2[[#Headers],[Outer Spring Gage]],Table2[#Headers],0),0)</f>
        <v>Null</v>
      </c>
      <c r="AX530" s="2" t="str">
        <f>VLOOKUP([jobnumber],OvalData[],MATCH(Table2[[#Headers],[Outer Spring OD]],Table2[#Headers],0),0)</f>
        <v>Null</v>
      </c>
      <c r="AY530" s="2" t="str">
        <f>VLOOKUP([jobnumber],OvalData[],MATCH(Table2[[#Headers],[Outer Spring Length]],Table2[#Headers],0),0)</f>
        <v>Null</v>
      </c>
      <c r="AZ530" s="2" t="str">
        <f>VLOOKUP([jobnumber],OvalData[],MATCH(Table2[[#Headers],[Outer Spring Stretch]],Table2[#Headers],0),0)</f>
        <v>Null</v>
      </c>
      <c r="BA530" s="2" t="str">
        <f>VLOOKUP([jobnumber],OvalData[],MATCH(Table2[[#Headers],[Outer Spring Torque]],Table2[#Headers],0),0)</f>
        <v>Null</v>
      </c>
      <c r="BB530" s="2" t="str">
        <f>VLOOKUP([jobnumber],OvalData[],MATCH(Table2[[#Headers],[Outer Spring Max Turns]],Table2[#Headers],0),0)</f>
        <v>Null</v>
      </c>
      <c r="BC530" s="2" t="str">
        <f>VLOOKUP([jobnumber],OvalData[],MATCH(Table2[[#Headers],[Outer Spring Weight]],Table2[#Headers],0),0)</f>
        <v>Null</v>
      </c>
      <c r="BD530" s="2" t="str">
        <f>VLOOKUP([jobnumber],OvalData[],MATCH(Table2[[#Headers],[Inner Spring Gage]],Table2[#Headers],0),0)</f>
        <v>Null</v>
      </c>
      <c r="BE530" s="2" t="str">
        <f>VLOOKUP([jobnumber],OvalData[],MATCH(Table2[[#Headers],[Inner Spring OD]],Table2[#Headers],0),0)</f>
        <v>Null</v>
      </c>
      <c r="BF530" s="2" t="str">
        <f>VLOOKUP([jobnumber],OvalData[],MATCH(Table2[[#Headers],[Inner Spring Length]],Table2[#Headers],0),0)</f>
        <v>Null</v>
      </c>
      <c r="BG530" s="2" t="str">
        <f>VLOOKUP([jobnumber],OvalData[],MATCH(Table2[[#Headers],[Inner Spring Stretch]],Table2[#Headers],0),0)</f>
        <v>Null</v>
      </c>
      <c r="BH530" s="2" t="str">
        <f>VLOOKUP([jobnumber],OvalData[],MATCH(Table2[[#Headers],[Inner Spring Torque]],Table2[#Headers],0),0)</f>
        <v>Null</v>
      </c>
      <c r="BI530" s="2" t="str">
        <f>VLOOKUP([jobnumber],OvalData[],MATCH(Table2[[#Headers],[Inner Spring Max Turns]],Table2[#Headers],0),0)</f>
        <v>Null</v>
      </c>
      <c r="BJ530" s="2" t="str">
        <f>VLOOKUP([jobnumber],OvalData[],MATCH(Table2[[#Headers],[Inner Spring Weight]],Table2[#Headers],0),0)</f>
        <v>Null</v>
      </c>
      <c r="BK530" s="2">
        <f>VLOOKUP([jobnumber],OvalData[],MATCH(Table2[[#Headers],[Cycles]],Table2[#Headers],0),0)</f>
        <v>0</v>
      </c>
      <c r="BL530" s="2">
        <f>VLOOKUP([jobnumber],OvalData[],MATCH(Table2[[#Headers],[Total Spring Torque]],Table2[#Headers],0),0)</f>
        <v>0</v>
      </c>
      <c r="BM530" s="2">
        <f>VLOOKUP([jobnumber],OvalData[],MATCH(Table2[[#Headers],[Total Spring Weight]],Table2[#Headers],0),0)</f>
        <v>0</v>
      </c>
      <c r="BN530" s="2">
        <f>VLOOKUP([jobnumber],OvalData[],MATCH(Table2[[#Headers],[Pipe Weight]],Table2[#Headers],0),0)</f>
        <v>688.24239999999998</v>
      </c>
      <c r="BO530" s="2">
        <f>VLOOKUP([jobnumber],OvalData[],MATCH(Table2[[#Headers],[Max Pipe Deflection]],Table2[#Headers],0),0)</f>
        <v>2309</v>
      </c>
      <c r="BP530" s="2">
        <f>VLOOKUP([jobnumber],OvalData[],MATCH(Table2[[#Headers],[Number Non-Insulated Wrap Slats]],Table2[#Headers],0),0)</f>
        <v>0</v>
      </c>
      <c r="BQ530" s="2">
        <f>VLOOKUP([jobnumber],OvalData[],MATCH(Table2[[#Headers],[Number of Insolated Top Slats]],Table2[#Headers],0),0)</f>
        <v>45</v>
      </c>
      <c r="BR530" s="2">
        <f>VLOOKUP([jobnumber],OvalData[],MATCH(Table2[[#Headers],[Insolated Total Slats]],Table2[#Headers],0),0)</f>
        <v>45</v>
      </c>
      <c r="BS530" s="2">
        <f>VLOOKUP([jobnumber],OvalData[],MATCH(Table2[[#Headers],[Number of Slats]],Table2[#Headers],0),0)</f>
        <v>44.69</v>
      </c>
      <c r="BT530" s="2">
        <f>VLOOKUP([jobnumber],OvalData[],MATCH(Table2[[#Headers],[Wrap]],Table2[#Headers],0),0)</f>
        <v>0</v>
      </c>
      <c r="BU530" s="2">
        <f>VLOOKUP([jobnumber],OvalData[],MATCH(Table2[[#Headers],[Wall Angle Thickness]],Table2[#Headers],0),0)</f>
        <v>0</v>
      </c>
      <c r="BV530" s="2">
        <f>VLOOKUP([jobnumber],OvalData[],MATCH(Table2[[#Headers],[windlocks]],Table2[#Headers],0),0)</f>
        <v>0</v>
      </c>
      <c r="BW530" s="2" t="str">
        <f>VLOOKUP([jobnumber],OvalData[],MATCH(Table2[[#Headers],[bottombartype]],Table2[#Headers],0),0)</f>
        <v>SPECIAL</v>
      </c>
      <c r="BX530" s="2">
        <f>VLOOKUP([jobnumber],OvalData[],MATCH(Table2[[#Headers],[endlockweight]],Table2[#Headers],0),0)</f>
        <v>0.17</v>
      </c>
      <c r="BY530" s="2">
        <f>VLOOKUP([jobnumber],OvalData[],MATCH(Table2[[#Headers],[Endlock Total Weight]],Table2[#Headers],0),0)</f>
        <v>7.5972999999999997</v>
      </c>
      <c r="BZ530" s="2">
        <f>VLOOKUP([jobnumber],OvalData[],MATCH(Table2[[#Headers],[Grille Weight]],Table2[#Headers],0),0)</f>
        <v>0</v>
      </c>
      <c r="CA530" s="2">
        <f>VLOOKUP([jobnumber],OvalData[],MATCH(Table2[[#Headers],[barrelrings]],Table2[#Headers],0),0)</f>
        <v>1</v>
      </c>
    </row>
    <row r="531" spans="2:79">
      <c r="B531" s="2" t="str">
        <f>VLOOKUP([jobnumber],OvalData[],MATCH(Table2[[#Headers],[Hand]],Table2[#Headers],0),0)</f>
        <v>RH</v>
      </c>
      <c r="C531" s="2" t="str">
        <f>VLOOKUP([jobnumber],OvalData[],MATCH(Table2[[#Headers],[Model]],Table2[#Headers],0),0)</f>
        <v>SFMPP</v>
      </c>
      <c r="D531" s="2" t="str">
        <f>VLOOKUP([jobnumber],OvalData[],MATCH(Table2[[#Headers],[width]],Table2[#Headers],0),0)</f>
        <v xml:space="preserve"> 18 ft.- 2"</v>
      </c>
      <c r="E531" s="2" t="str">
        <f>VLOOKUP([jobnumber],OvalData[],MATCH(Table2[[#Headers],[stopheight]],Table2[#Headers],0),0)</f>
        <v xml:space="preserve"> 10 ft.- 0"</v>
      </c>
      <c r="F531" s="2" t="str">
        <f>VLOOKUP([jobnumber],OvalData[],MATCH(Table2[[#Headers],[Between Brackets]],Table2[#Headers],0),0)</f>
        <v xml:space="preserve"> 18 ft.- 7 7/ 8"</v>
      </c>
      <c r="G531" s="2" t="str">
        <f>VLOOKUP([jobnumber],OvalData[],MATCH(Table2[[#Headers],[shell]],Table2[#Headers],0),0)</f>
        <v>6 INCH TUBE</v>
      </c>
      <c r="H531" s="2" t="str">
        <f>VLOOKUP([jobnumber],OvalData[],MATCH(Table2[[#Headers],[pipewidth]],Table2[#Headers],0),0)</f>
        <v xml:space="preserve"> 18 ft.- 1 3/ 8"</v>
      </c>
      <c r="I531" s="2">
        <f>VLOOKUP([jobnumber],OvalData[],MATCH(Table2[[#Headers],[Support Tubes]],Table2[#Headers],0),0)</f>
        <v>0</v>
      </c>
      <c r="J531" s="2">
        <f>VLOOKUP([jobnumber],OvalData[],MATCH(Table2[[#Headers],[Upset]],Table2[#Headers],0),0)</f>
        <v>2</v>
      </c>
      <c r="K531" s="2" t="str">
        <f>VLOOKUP([jobnumber],OvalData[],MATCH(Table2[[#Headers],[Guide Type]],Table2[#Headers],0),0)</f>
        <v>SN2-4 5/8-E</v>
      </c>
      <c r="L531" s="2" t="str">
        <f>VLOOKUP([jobnumber],OvalData[],MATCH(Table2[[#Headers],[Wall Angle]],Table2[#Headers],0),0)</f>
        <v xml:space="preserve"> 11 ft.- 8"</v>
      </c>
      <c r="M531" s="2" t="str">
        <f>VLOOKUP([jobnumber],OvalData[],MATCH(Table2[[#Headers],[Middle Angle]],Table2[#Headers],0),0)</f>
        <v xml:space="preserve"> 10 ft.- 4 1/ 2"</v>
      </c>
      <c r="N531" s="2" t="str">
        <f>VLOOKUP([jobnumber],OvalData[],MATCH(Table2[[#Headers],[Front Angle]],Table2[#Headers],0),0)</f>
        <v xml:space="preserve"> 10 ft.- 3"</v>
      </c>
      <c r="O531" s="2">
        <f>VLOOKUP([jobnumber],OvalData[],MATCH(Table2[[#Headers],[Pipe Center Line]],Table2[#Headers],0),0)</f>
        <v>131</v>
      </c>
      <c r="P531" s="2">
        <f>VLOOKUP([jobnumber],OvalData[],MATCH(Table2[[#Headers],[Heat Expansion Gap]],Table2[#Headers],0),0)</f>
        <v>0</v>
      </c>
      <c r="Q531" s="2">
        <f>VLOOKUP([jobnumber],OvalData[],MATCH(Table2[[#Headers],[Hanging Weight Closed]],Table2[#Headers],0),0)</f>
        <v>795</v>
      </c>
      <c r="R531" s="2">
        <f>VLOOKUP([jobnumber],OvalData[],MATCH(Table2[[#Headers],[Hanging Weight Open]],Table2[#Headers],0),0)</f>
        <v>140</v>
      </c>
      <c r="S531" s="2">
        <f>VLOOKUP([jobnumber],OvalData[],MATCH(Table2[[#Headers],[Initial Lever Arm]],Table2[#Headers],0),0)</f>
        <v>4.25</v>
      </c>
      <c r="T531" s="2">
        <f>VLOOKUP([jobnumber],OvalData[],MATCH(Table2[[#Headers],[Turns to Raise]],Table2[#Headers],0),0)</f>
        <v>3.5859999999999999</v>
      </c>
      <c r="U531" s="2">
        <f>VLOOKUP([jobnumber],OvalData[],MATCH(Table2[[#Headers],[Final Lever Arm]],Table2[#Headers],0),0)</f>
        <v>6.37</v>
      </c>
      <c r="V531" s="2">
        <f>VLOOKUP([jobnumber],OvalData[],MATCH(Table2[[#Headers],[Torque Required Closed]],Table2[#Headers],0),0)</f>
        <v>3377.9</v>
      </c>
      <c r="W531" s="2">
        <f>VLOOKUP([jobnumber],OvalData[],MATCH(Table2[[#Headers],[Torque Required Open]],Table2[#Headers],0),0)</f>
        <v>892</v>
      </c>
      <c r="X531" s="2">
        <f>VLOOKUP([jobnumber],OvalData[],MATCH(Table2[[#Headers],[Pre Turns]],Table2[#Headers],0),0)</f>
        <v>1.3332999999999999</v>
      </c>
      <c r="Y531" s="2">
        <f>VLOOKUP([jobnumber],OvalData[],MATCH(Table2[[#Headers],[Required Torque Per Turn]],Table2[#Headers],0),0)</f>
        <v>688</v>
      </c>
      <c r="Z531" s="2">
        <f>VLOOKUP([jobnumber],OvalData[],MATCH(Table2[[#Headers],[Total Turns]],Table2[#Headers],0),0)</f>
        <v>4.91</v>
      </c>
      <c r="AA531" s="2">
        <f>VLOOKUP([jobnumber],OvalData[],MATCH(Table2[[#Headers],[Grille Vision Section]],Table2[#Headers],0),0)</f>
        <v>0</v>
      </c>
      <c r="AB531" s="2">
        <f>VLOOKUP([jobnumber],OvalData[],MATCH(Table2[[#Headers],[Grille Amount]],Table2[#Headers],0),0)</f>
        <v>0</v>
      </c>
      <c r="AC531" s="2">
        <f>VLOOKUP([jobnumber],OvalData[],MATCH(Table2[[#Headers],[Grille Center]],Table2[#Headers],0),0)</f>
        <v>0</v>
      </c>
      <c r="AD531" s="2">
        <f>VLOOKUP([jobnumber],OvalData[],MATCH(Table2[[#Headers],[Grille Pattern]],Table2[#Headers],0),0)</f>
        <v>0</v>
      </c>
      <c r="AE531" s="2">
        <f>VLOOKUP([jobnumber],OvalData[],MATCH(Table2[[#Headers],[Grille First Tube]],Table2[#Headers],0),0)</f>
        <v>0</v>
      </c>
      <c r="AF531" s="2">
        <f>VLOOKUP([jobnumber],OvalData[],MATCH(Table2[[#Headers],[Grille Standard Tube]],Table2[#Headers],0),0)</f>
        <v>0</v>
      </c>
      <c r="AG531" s="2">
        <f>VLOOKUP([jobnumber],OvalData[],MATCH(Table2[[#Headers],[Grille Total Links]],Table2[#Headers],0),0)</f>
        <v>0</v>
      </c>
      <c r="AH531" s="2">
        <f>VLOOKUP([jobnumber],OvalData[],MATCH(Table2[[#Headers],[Grille Rods]],Table2[#Headers],0),0)</f>
        <v>0</v>
      </c>
      <c r="AI531" s="2">
        <f>VLOOKUP([jobnumber],OvalData[],MATCH(Table2[[#Headers],[Grille Rod Length]],Table2[#Headers],0),0)</f>
        <v>0</v>
      </c>
      <c r="AJ531" s="2">
        <f>VLOOKUP([jobnumber],OvalData[],MATCH(Table2[[#Headers],[slattype]],Table2[#Headers],0),0)</f>
        <v>2</v>
      </c>
      <c r="AK531" s="2">
        <f>VLOOKUP([jobnumber],OvalData[],MATCH(Table2[[#Headers],[slatgage]],Table2[#Headers],0),0)</f>
        <v>18</v>
      </c>
      <c r="AL531" s="2">
        <f>VLOOKUP([jobnumber],OvalData[],MATCH(Table2[[#Headers],[Numer of Top Slats]],Table2[#Headers],0),0)</f>
        <v>0</v>
      </c>
      <c r="AM531" s="2">
        <f>VLOOKUP([jobnumber],OvalData[],MATCH(Table2[[#Headers],[Number of Bottom Slats]],Table2[#Headers],0),0)</f>
        <v>0</v>
      </c>
      <c r="AN531" s="2">
        <f>VLOOKUP([jobnumber],OvalData[],MATCH(Table2[[#Headers],[Solid Bottom Height]],Table2[#Headers],0),0)</f>
        <v>0</v>
      </c>
      <c r="AO531" s="2" t="str">
        <f>VLOOKUP([jobnumber],OvalData[],MATCH(Table2[[#Headers],[slatlength]],Table2[#Headers],0),0)</f>
        <v xml:space="preserve"> 18 ft.- 5 7/ 8"</v>
      </c>
      <c r="AP531" s="2">
        <f>VLOOKUP([jobnumber],OvalData[],MATCH(Table2[[#Headers],[Bottom Slat Length]],Table2[#Headers],0),0)</f>
        <v>0</v>
      </c>
      <c r="AQ531" s="2">
        <f>VLOOKUP([jobnumber],OvalData[],MATCH(Table2[[#Headers],[Number of Perferated Slats]],Table2[#Headers],0),0)</f>
        <v>0</v>
      </c>
      <c r="AR531" s="2">
        <f>VLOOKUP([jobnumber],OvalData[],MATCH(Table2[[#Headers],[First Preferated Slat From End]],Table2[#Headers],0),0)</f>
        <v>0</v>
      </c>
      <c r="AS531" s="2">
        <f>VLOOKUP([jobnumber],OvalData[],MATCH(Table2[[#Headers],[First Preferated Slat From Bottom]],Table2[#Headers],0),0)</f>
        <v>0</v>
      </c>
      <c r="AT531" s="2">
        <f>VLOOKUP([jobnumber],OvalData[],MATCH(Table2[[#Headers],[Total Number of Slats]],Table2[#Headers],0),0)</f>
        <v>51</v>
      </c>
      <c r="AU531" s="2">
        <f>VLOOKUP([jobnumber],OvalData[],MATCH(Table2[[#Headers],[Bottom Bar Slope]],Table2[#Headers],0),0)</f>
        <v>0</v>
      </c>
      <c r="AV531" s="2">
        <f>VLOOKUP([jobnumber],OvalData[],MATCH(Table2[[#Headers],[Bottom Bar Weight]],Table2[#Headers],0),0)</f>
        <v>80.5</v>
      </c>
      <c r="AW531" s="2" t="str">
        <f>VLOOKUP([jobnumber],OvalData[],MATCH(Table2[[#Headers],[Outer Spring Gage]],Table2[#Headers],0),0)</f>
        <v>Null</v>
      </c>
      <c r="AX531" s="2" t="str">
        <f>VLOOKUP([jobnumber],OvalData[],MATCH(Table2[[#Headers],[Outer Spring OD]],Table2[#Headers],0),0)</f>
        <v>Null</v>
      </c>
      <c r="AY531" s="2" t="str">
        <f>VLOOKUP([jobnumber],OvalData[],MATCH(Table2[[#Headers],[Outer Spring Length]],Table2[#Headers],0),0)</f>
        <v>Null</v>
      </c>
      <c r="AZ531" s="2" t="str">
        <f>VLOOKUP([jobnumber],OvalData[],MATCH(Table2[[#Headers],[Outer Spring Stretch]],Table2[#Headers],0),0)</f>
        <v>Null</v>
      </c>
      <c r="BA531" s="2" t="str">
        <f>VLOOKUP([jobnumber],OvalData[],MATCH(Table2[[#Headers],[Outer Spring Torque]],Table2[#Headers],0),0)</f>
        <v>Null</v>
      </c>
      <c r="BB531" s="2" t="str">
        <f>VLOOKUP([jobnumber],OvalData[],MATCH(Table2[[#Headers],[Outer Spring Max Turns]],Table2[#Headers],0),0)</f>
        <v>Null</v>
      </c>
      <c r="BC531" s="2" t="str">
        <f>VLOOKUP([jobnumber],OvalData[],MATCH(Table2[[#Headers],[Outer Spring Weight]],Table2[#Headers],0),0)</f>
        <v>Null</v>
      </c>
      <c r="BD531" s="2" t="str">
        <f>VLOOKUP([jobnumber],OvalData[],MATCH(Table2[[#Headers],[Inner Spring Gage]],Table2[#Headers],0),0)</f>
        <v>Null</v>
      </c>
      <c r="BE531" s="2" t="str">
        <f>VLOOKUP([jobnumber],OvalData[],MATCH(Table2[[#Headers],[Inner Spring OD]],Table2[#Headers],0),0)</f>
        <v>Null</v>
      </c>
      <c r="BF531" s="2" t="str">
        <f>VLOOKUP([jobnumber],OvalData[],MATCH(Table2[[#Headers],[Inner Spring Length]],Table2[#Headers],0),0)</f>
        <v>Null</v>
      </c>
      <c r="BG531" s="2" t="str">
        <f>VLOOKUP([jobnumber],OvalData[],MATCH(Table2[[#Headers],[Inner Spring Stretch]],Table2[#Headers],0),0)</f>
        <v>Null</v>
      </c>
      <c r="BH531" s="2" t="str">
        <f>VLOOKUP([jobnumber],OvalData[],MATCH(Table2[[#Headers],[Inner Spring Torque]],Table2[#Headers],0),0)</f>
        <v>Null</v>
      </c>
      <c r="BI531" s="2" t="str">
        <f>VLOOKUP([jobnumber],OvalData[],MATCH(Table2[[#Headers],[Inner Spring Max Turns]],Table2[#Headers],0),0)</f>
        <v>Null</v>
      </c>
      <c r="BJ531" s="2" t="str">
        <f>VLOOKUP([jobnumber],OvalData[],MATCH(Table2[[#Headers],[Inner Spring Weight]],Table2[#Headers],0),0)</f>
        <v>Null</v>
      </c>
      <c r="BK531" s="2">
        <f>VLOOKUP([jobnumber],OvalData[],MATCH(Table2[[#Headers],[Cycles]],Table2[#Headers],0),0)</f>
        <v>0</v>
      </c>
      <c r="BL531" s="2">
        <f>VLOOKUP([jobnumber],OvalData[],MATCH(Table2[[#Headers],[Total Spring Torque]],Table2[#Headers],0),0)</f>
        <v>0</v>
      </c>
      <c r="BM531" s="2">
        <f>VLOOKUP([jobnumber],OvalData[],MATCH(Table2[[#Headers],[Total Spring Weight]],Table2[#Headers],0),0)</f>
        <v>0</v>
      </c>
      <c r="BN531" s="2">
        <f>VLOOKUP([jobnumber],OvalData[],MATCH(Table2[[#Headers],[Pipe Weight]],Table2[#Headers],0),0)</f>
        <v>688.24239999999998</v>
      </c>
      <c r="BO531" s="2">
        <f>VLOOKUP([jobnumber],OvalData[],MATCH(Table2[[#Headers],[Max Pipe Deflection]],Table2[#Headers],0),0)</f>
        <v>2309</v>
      </c>
      <c r="BP531" s="2">
        <f>VLOOKUP([jobnumber],OvalData[],MATCH(Table2[[#Headers],[Number Non-Insulated Wrap Slats]],Table2[#Headers],0),0)</f>
        <v>0</v>
      </c>
      <c r="BQ531" s="2">
        <f>VLOOKUP([jobnumber],OvalData[],MATCH(Table2[[#Headers],[Number of Insolated Top Slats]],Table2[#Headers],0),0)</f>
        <v>45</v>
      </c>
      <c r="BR531" s="2">
        <f>VLOOKUP([jobnumber],OvalData[],MATCH(Table2[[#Headers],[Insolated Total Slats]],Table2[#Headers],0),0)</f>
        <v>45</v>
      </c>
      <c r="BS531" s="2">
        <f>VLOOKUP([jobnumber],OvalData[],MATCH(Table2[[#Headers],[Number of Slats]],Table2[#Headers],0),0)</f>
        <v>44.69</v>
      </c>
      <c r="BT531" s="2">
        <f>VLOOKUP([jobnumber],OvalData[],MATCH(Table2[[#Headers],[Wrap]],Table2[#Headers],0),0)</f>
        <v>0</v>
      </c>
      <c r="BU531" s="2">
        <f>VLOOKUP([jobnumber],OvalData[],MATCH(Table2[[#Headers],[Wall Angle Thickness]],Table2[#Headers],0),0)</f>
        <v>0</v>
      </c>
      <c r="BV531" s="2">
        <f>VLOOKUP([jobnumber],OvalData[],MATCH(Table2[[#Headers],[windlocks]],Table2[#Headers],0),0)</f>
        <v>0</v>
      </c>
      <c r="BW531" s="2" t="str">
        <f>VLOOKUP([jobnumber],OvalData[],MATCH(Table2[[#Headers],[bottombartype]],Table2[#Headers],0),0)</f>
        <v>SPECIAL</v>
      </c>
      <c r="BX531" s="2">
        <f>VLOOKUP([jobnumber],OvalData[],MATCH(Table2[[#Headers],[endlockweight]],Table2[#Headers],0),0)</f>
        <v>0.17</v>
      </c>
      <c r="BY531" s="2">
        <f>VLOOKUP([jobnumber],OvalData[],MATCH(Table2[[#Headers],[Endlock Total Weight]],Table2[#Headers],0),0)</f>
        <v>7.5972999999999997</v>
      </c>
      <c r="BZ531" s="2">
        <f>VLOOKUP([jobnumber],OvalData[],MATCH(Table2[[#Headers],[Grille Weight]],Table2[#Headers],0),0)</f>
        <v>0</v>
      </c>
      <c r="CA531" s="2">
        <f>VLOOKUP([jobnumber],OvalData[],MATCH(Table2[[#Headers],[barrelrings]],Table2[#Headers],0),0)</f>
        <v>1</v>
      </c>
    </row>
    <row r="532" spans="2:79">
      <c r="B532" s="2" t="str">
        <f>VLOOKUP([jobnumber],OvalData[],MATCH(Table2[[#Headers],[Hand]],Table2[#Headers],0),0)</f>
        <v>RH</v>
      </c>
      <c r="C532" s="2" t="str">
        <f>VLOOKUP([jobnumber],OvalData[],MATCH(Table2[[#Headers],[Model]],Table2[#Headers],0),0)</f>
        <v>SFMPP</v>
      </c>
      <c r="D532" s="2" t="str">
        <f>VLOOKUP([jobnumber],OvalData[],MATCH(Table2[[#Headers],[width]],Table2[#Headers],0),0)</f>
        <v xml:space="preserve"> 18 ft.- 2"</v>
      </c>
      <c r="E532" s="2" t="str">
        <f>VLOOKUP([jobnumber],OvalData[],MATCH(Table2[[#Headers],[stopheight]],Table2[#Headers],0),0)</f>
        <v xml:space="preserve"> 10 ft.- 0"</v>
      </c>
      <c r="F532" s="2" t="str">
        <f>VLOOKUP([jobnumber],OvalData[],MATCH(Table2[[#Headers],[Between Brackets]],Table2[#Headers],0),0)</f>
        <v xml:space="preserve"> 18 ft.- 7 7/ 8"</v>
      </c>
      <c r="G532" s="2" t="str">
        <f>VLOOKUP([jobnumber],OvalData[],MATCH(Table2[[#Headers],[shell]],Table2[#Headers],0),0)</f>
        <v>6 INCH TUBE</v>
      </c>
      <c r="H532" s="2" t="str">
        <f>VLOOKUP([jobnumber],OvalData[],MATCH(Table2[[#Headers],[pipewidth]],Table2[#Headers],0),0)</f>
        <v xml:space="preserve"> 18 ft.- 1 3/ 8"</v>
      </c>
      <c r="I532" s="2">
        <f>VLOOKUP([jobnumber],OvalData[],MATCH(Table2[[#Headers],[Support Tubes]],Table2[#Headers],0),0)</f>
        <v>0</v>
      </c>
      <c r="J532" s="2">
        <f>VLOOKUP([jobnumber],OvalData[],MATCH(Table2[[#Headers],[Upset]],Table2[#Headers],0),0)</f>
        <v>2</v>
      </c>
      <c r="K532" s="2" t="str">
        <f>VLOOKUP([jobnumber],OvalData[],MATCH(Table2[[#Headers],[Guide Type]],Table2[#Headers],0),0)</f>
        <v>SN2-4 5/8-E</v>
      </c>
      <c r="L532" s="2" t="str">
        <f>VLOOKUP([jobnumber],OvalData[],MATCH(Table2[[#Headers],[Wall Angle]],Table2[#Headers],0),0)</f>
        <v xml:space="preserve"> 11 ft.- 8"</v>
      </c>
      <c r="M532" s="2" t="str">
        <f>VLOOKUP([jobnumber],OvalData[],MATCH(Table2[[#Headers],[Middle Angle]],Table2[#Headers],0),0)</f>
        <v xml:space="preserve"> 10 ft.- 4 1/ 2"</v>
      </c>
      <c r="N532" s="2" t="str">
        <f>VLOOKUP([jobnumber],OvalData[],MATCH(Table2[[#Headers],[Front Angle]],Table2[#Headers],0),0)</f>
        <v xml:space="preserve"> 10 ft.- 3"</v>
      </c>
      <c r="O532" s="2">
        <f>VLOOKUP([jobnumber],OvalData[],MATCH(Table2[[#Headers],[Pipe Center Line]],Table2[#Headers],0),0)</f>
        <v>131</v>
      </c>
      <c r="P532" s="2">
        <f>VLOOKUP([jobnumber],OvalData[],MATCH(Table2[[#Headers],[Heat Expansion Gap]],Table2[#Headers],0),0)</f>
        <v>0</v>
      </c>
      <c r="Q532" s="2">
        <f>VLOOKUP([jobnumber],OvalData[],MATCH(Table2[[#Headers],[Hanging Weight Closed]],Table2[#Headers],0),0)</f>
        <v>795</v>
      </c>
      <c r="R532" s="2">
        <f>VLOOKUP([jobnumber],OvalData[],MATCH(Table2[[#Headers],[Hanging Weight Open]],Table2[#Headers],0),0)</f>
        <v>140</v>
      </c>
      <c r="S532" s="2">
        <f>VLOOKUP([jobnumber],OvalData[],MATCH(Table2[[#Headers],[Initial Lever Arm]],Table2[#Headers],0),0)</f>
        <v>4.25</v>
      </c>
      <c r="T532" s="2">
        <f>VLOOKUP([jobnumber],OvalData[],MATCH(Table2[[#Headers],[Turns to Raise]],Table2[#Headers],0),0)</f>
        <v>3.5859999999999999</v>
      </c>
      <c r="U532" s="2">
        <f>VLOOKUP([jobnumber],OvalData[],MATCH(Table2[[#Headers],[Final Lever Arm]],Table2[#Headers],0),0)</f>
        <v>6.37</v>
      </c>
      <c r="V532" s="2">
        <f>VLOOKUP([jobnumber],OvalData[],MATCH(Table2[[#Headers],[Torque Required Closed]],Table2[#Headers],0),0)</f>
        <v>3377.9</v>
      </c>
      <c r="W532" s="2">
        <f>VLOOKUP([jobnumber],OvalData[],MATCH(Table2[[#Headers],[Torque Required Open]],Table2[#Headers],0),0)</f>
        <v>892</v>
      </c>
      <c r="X532" s="2">
        <f>VLOOKUP([jobnumber],OvalData[],MATCH(Table2[[#Headers],[Pre Turns]],Table2[#Headers],0),0)</f>
        <v>1.3332999999999999</v>
      </c>
      <c r="Y532" s="2">
        <f>VLOOKUP([jobnumber],OvalData[],MATCH(Table2[[#Headers],[Required Torque Per Turn]],Table2[#Headers],0),0)</f>
        <v>688</v>
      </c>
      <c r="Z532" s="2">
        <f>VLOOKUP([jobnumber],OvalData[],MATCH(Table2[[#Headers],[Total Turns]],Table2[#Headers],0),0)</f>
        <v>4.91</v>
      </c>
      <c r="AA532" s="2">
        <f>VLOOKUP([jobnumber],OvalData[],MATCH(Table2[[#Headers],[Grille Vision Section]],Table2[#Headers],0),0)</f>
        <v>0</v>
      </c>
      <c r="AB532" s="2">
        <f>VLOOKUP([jobnumber],OvalData[],MATCH(Table2[[#Headers],[Grille Amount]],Table2[#Headers],0),0)</f>
        <v>0</v>
      </c>
      <c r="AC532" s="2">
        <f>VLOOKUP([jobnumber],OvalData[],MATCH(Table2[[#Headers],[Grille Center]],Table2[#Headers],0),0)</f>
        <v>0</v>
      </c>
      <c r="AD532" s="2">
        <f>VLOOKUP([jobnumber],OvalData[],MATCH(Table2[[#Headers],[Grille Pattern]],Table2[#Headers],0),0)</f>
        <v>0</v>
      </c>
      <c r="AE532" s="2">
        <f>VLOOKUP([jobnumber],OvalData[],MATCH(Table2[[#Headers],[Grille First Tube]],Table2[#Headers],0),0)</f>
        <v>0</v>
      </c>
      <c r="AF532" s="2">
        <f>VLOOKUP([jobnumber],OvalData[],MATCH(Table2[[#Headers],[Grille Standard Tube]],Table2[#Headers],0),0)</f>
        <v>0</v>
      </c>
      <c r="AG532" s="2">
        <f>VLOOKUP([jobnumber],OvalData[],MATCH(Table2[[#Headers],[Grille Total Links]],Table2[#Headers],0),0)</f>
        <v>0</v>
      </c>
      <c r="AH532" s="2">
        <f>VLOOKUP([jobnumber],OvalData[],MATCH(Table2[[#Headers],[Grille Rods]],Table2[#Headers],0),0)</f>
        <v>0</v>
      </c>
      <c r="AI532" s="2">
        <f>VLOOKUP([jobnumber],OvalData[],MATCH(Table2[[#Headers],[Grille Rod Length]],Table2[#Headers],0),0)</f>
        <v>0</v>
      </c>
      <c r="AJ532" s="2">
        <f>VLOOKUP([jobnumber],OvalData[],MATCH(Table2[[#Headers],[slattype]],Table2[#Headers],0),0)</f>
        <v>2</v>
      </c>
      <c r="AK532" s="2">
        <f>VLOOKUP([jobnumber],OvalData[],MATCH(Table2[[#Headers],[slatgage]],Table2[#Headers],0),0)</f>
        <v>18</v>
      </c>
      <c r="AL532" s="2">
        <f>VLOOKUP([jobnumber],OvalData[],MATCH(Table2[[#Headers],[Numer of Top Slats]],Table2[#Headers],0),0)</f>
        <v>0</v>
      </c>
      <c r="AM532" s="2">
        <f>VLOOKUP([jobnumber],OvalData[],MATCH(Table2[[#Headers],[Number of Bottom Slats]],Table2[#Headers],0),0)</f>
        <v>0</v>
      </c>
      <c r="AN532" s="2">
        <f>VLOOKUP([jobnumber],OvalData[],MATCH(Table2[[#Headers],[Solid Bottom Height]],Table2[#Headers],0),0)</f>
        <v>0</v>
      </c>
      <c r="AO532" s="2" t="str">
        <f>VLOOKUP([jobnumber],OvalData[],MATCH(Table2[[#Headers],[slatlength]],Table2[#Headers],0),0)</f>
        <v xml:space="preserve"> 18 ft.- 5 7/ 8"</v>
      </c>
      <c r="AP532" s="2">
        <f>VLOOKUP([jobnumber],OvalData[],MATCH(Table2[[#Headers],[Bottom Slat Length]],Table2[#Headers],0),0)</f>
        <v>0</v>
      </c>
      <c r="AQ532" s="2">
        <f>VLOOKUP([jobnumber],OvalData[],MATCH(Table2[[#Headers],[Number of Perferated Slats]],Table2[#Headers],0),0)</f>
        <v>0</v>
      </c>
      <c r="AR532" s="2">
        <f>VLOOKUP([jobnumber],OvalData[],MATCH(Table2[[#Headers],[First Preferated Slat From End]],Table2[#Headers],0),0)</f>
        <v>0</v>
      </c>
      <c r="AS532" s="2">
        <f>VLOOKUP([jobnumber],OvalData[],MATCH(Table2[[#Headers],[First Preferated Slat From Bottom]],Table2[#Headers],0),0)</f>
        <v>0</v>
      </c>
      <c r="AT532" s="2">
        <f>VLOOKUP([jobnumber],OvalData[],MATCH(Table2[[#Headers],[Total Number of Slats]],Table2[#Headers],0),0)</f>
        <v>51</v>
      </c>
      <c r="AU532" s="2">
        <f>VLOOKUP([jobnumber],OvalData[],MATCH(Table2[[#Headers],[Bottom Bar Slope]],Table2[#Headers],0),0)</f>
        <v>0</v>
      </c>
      <c r="AV532" s="2">
        <f>VLOOKUP([jobnumber],OvalData[],MATCH(Table2[[#Headers],[Bottom Bar Weight]],Table2[#Headers],0),0)</f>
        <v>80.5</v>
      </c>
      <c r="AW532" s="2" t="str">
        <f>VLOOKUP([jobnumber],OvalData[],MATCH(Table2[[#Headers],[Outer Spring Gage]],Table2[#Headers],0),0)</f>
        <v>Null</v>
      </c>
      <c r="AX532" s="2" t="str">
        <f>VLOOKUP([jobnumber],OvalData[],MATCH(Table2[[#Headers],[Outer Spring OD]],Table2[#Headers],0),0)</f>
        <v>Null</v>
      </c>
      <c r="AY532" s="2" t="str">
        <f>VLOOKUP([jobnumber],OvalData[],MATCH(Table2[[#Headers],[Outer Spring Length]],Table2[#Headers],0),0)</f>
        <v>Null</v>
      </c>
      <c r="AZ532" s="2" t="str">
        <f>VLOOKUP([jobnumber],OvalData[],MATCH(Table2[[#Headers],[Outer Spring Stretch]],Table2[#Headers],0),0)</f>
        <v>Null</v>
      </c>
      <c r="BA532" s="2" t="str">
        <f>VLOOKUP([jobnumber],OvalData[],MATCH(Table2[[#Headers],[Outer Spring Torque]],Table2[#Headers],0),0)</f>
        <v>Null</v>
      </c>
      <c r="BB532" s="2" t="str">
        <f>VLOOKUP([jobnumber],OvalData[],MATCH(Table2[[#Headers],[Outer Spring Max Turns]],Table2[#Headers],0),0)</f>
        <v>Null</v>
      </c>
      <c r="BC532" s="2" t="str">
        <f>VLOOKUP([jobnumber],OvalData[],MATCH(Table2[[#Headers],[Outer Spring Weight]],Table2[#Headers],0),0)</f>
        <v>Null</v>
      </c>
      <c r="BD532" s="2" t="str">
        <f>VLOOKUP([jobnumber],OvalData[],MATCH(Table2[[#Headers],[Inner Spring Gage]],Table2[#Headers],0),0)</f>
        <v>Null</v>
      </c>
      <c r="BE532" s="2" t="str">
        <f>VLOOKUP([jobnumber],OvalData[],MATCH(Table2[[#Headers],[Inner Spring OD]],Table2[#Headers],0),0)</f>
        <v>Null</v>
      </c>
      <c r="BF532" s="2" t="str">
        <f>VLOOKUP([jobnumber],OvalData[],MATCH(Table2[[#Headers],[Inner Spring Length]],Table2[#Headers],0),0)</f>
        <v>Null</v>
      </c>
      <c r="BG532" s="2" t="str">
        <f>VLOOKUP([jobnumber],OvalData[],MATCH(Table2[[#Headers],[Inner Spring Stretch]],Table2[#Headers],0),0)</f>
        <v>Null</v>
      </c>
      <c r="BH532" s="2" t="str">
        <f>VLOOKUP([jobnumber],OvalData[],MATCH(Table2[[#Headers],[Inner Spring Torque]],Table2[#Headers],0),0)</f>
        <v>Null</v>
      </c>
      <c r="BI532" s="2" t="str">
        <f>VLOOKUP([jobnumber],OvalData[],MATCH(Table2[[#Headers],[Inner Spring Max Turns]],Table2[#Headers],0),0)</f>
        <v>Null</v>
      </c>
      <c r="BJ532" s="2" t="str">
        <f>VLOOKUP([jobnumber],OvalData[],MATCH(Table2[[#Headers],[Inner Spring Weight]],Table2[#Headers],0),0)</f>
        <v>Null</v>
      </c>
      <c r="BK532" s="2">
        <f>VLOOKUP([jobnumber],OvalData[],MATCH(Table2[[#Headers],[Cycles]],Table2[#Headers],0),0)</f>
        <v>0</v>
      </c>
      <c r="BL532" s="2">
        <f>VLOOKUP([jobnumber],OvalData[],MATCH(Table2[[#Headers],[Total Spring Torque]],Table2[#Headers],0),0)</f>
        <v>0</v>
      </c>
      <c r="BM532" s="2">
        <f>VLOOKUP([jobnumber],OvalData[],MATCH(Table2[[#Headers],[Total Spring Weight]],Table2[#Headers],0),0)</f>
        <v>0</v>
      </c>
      <c r="BN532" s="2">
        <f>VLOOKUP([jobnumber],OvalData[],MATCH(Table2[[#Headers],[Pipe Weight]],Table2[#Headers],0),0)</f>
        <v>688.24239999999998</v>
      </c>
      <c r="BO532" s="2">
        <f>VLOOKUP([jobnumber],OvalData[],MATCH(Table2[[#Headers],[Max Pipe Deflection]],Table2[#Headers],0),0)</f>
        <v>2309</v>
      </c>
      <c r="BP532" s="2">
        <f>VLOOKUP([jobnumber],OvalData[],MATCH(Table2[[#Headers],[Number Non-Insulated Wrap Slats]],Table2[#Headers],0),0)</f>
        <v>0</v>
      </c>
      <c r="BQ532" s="2">
        <f>VLOOKUP([jobnumber],OvalData[],MATCH(Table2[[#Headers],[Number of Insolated Top Slats]],Table2[#Headers],0),0)</f>
        <v>45</v>
      </c>
      <c r="BR532" s="2">
        <f>VLOOKUP([jobnumber],OvalData[],MATCH(Table2[[#Headers],[Insolated Total Slats]],Table2[#Headers],0),0)</f>
        <v>45</v>
      </c>
      <c r="BS532" s="2">
        <f>VLOOKUP([jobnumber],OvalData[],MATCH(Table2[[#Headers],[Number of Slats]],Table2[#Headers],0),0)</f>
        <v>44.69</v>
      </c>
      <c r="BT532" s="2">
        <f>VLOOKUP([jobnumber],OvalData[],MATCH(Table2[[#Headers],[Wrap]],Table2[#Headers],0),0)</f>
        <v>0</v>
      </c>
      <c r="BU532" s="2">
        <f>VLOOKUP([jobnumber],OvalData[],MATCH(Table2[[#Headers],[Wall Angle Thickness]],Table2[#Headers],0),0)</f>
        <v>0</v>
      </c>
      <c r="BV532" s="2">
        <f>VLOOKUP([jobnumber],OvalData[],MATCH(Table2[[#Headers],[windlocks]],Table2[#Headers],0),0)</f>
        <v>0</v>
      </c>
      <c r="BW532" s="2" t="str">
        <f>VLOOKUP([jobnumber],OvalData[],MATCH(Table2[[#Headers],[bottombartype]],Table2[#Headers],0),0)</f>
        <v>SPECIAL</v>
      </c>
      <c r="BX532" s="2">
        <f>VLOOKUP([jobnumber],OvalData[],MATCH(Table2[[#Headers],[endlockweight]],Table2[#Headers],0),0)</f>
        <v>0.17</v>
      </c>
      <c r="BY532" s="2">
        <f>VLOOKUP([jobnumber],OvalData[],MATCH(Table2[[#Headers],[Endlock Total Weight]],Table2[#Headers],0),0)</f>
        <v>7.5972999999999997</v>
      </c>
      <c r="BZ532" s="2">
        <f>VLOOKUP([jobnumber],OvalData[],MATCH(Table2[[#Headers],[Grille Weight]],Table2[#Headers],0),0)</f>
        <v>0</v>
      </c>
      <c r="CA532" s="2">
        <f>VLOOKUP([jobnumber],OvalData[],MATCH(Table2[[#Headers],[barrelrings]],Table2[#Headers],0),0)</f>
        <v>1</v>
      </c>
    </row>
    <row r="533" spans="2:79">
      <c r="B533" s="2" t="str">
        <f>VLOOKUP([jobnumber],OvalData[],MATCH(Table2[[#Headers],[Hand]],Table2[#Headers],0),0)</f>
        <v>RH</v>
      </c>
      <c r="C533" s="2" t="str">
        <f>VLOOKUP([jobnumber],OvalData[],MATCH(Table2[[#Headers],[Model]],Table2[#Headers],0),0)</f>
        <v>SFMPP</v>
      </c>
      <c r="D533" s="2" t="str">
        <f>VLOOKUP([jobnumber],OvalData[],MATCH(Table2[[#Headers],[width]],Table2[#Headers],0),0)</f>
        <v xml:space="preserve"> 18 ft.- 2"</v>
      </c>
      <c r="E533" s="2" t="str">
        <f>VLOOKUP([jobnumber],OvalData[],MATCH(Table2[[#Headers],[stopheight]],Table2[#Headers],0),0)</f>
        <v xml:space="preserve"> 10 ft.- 0"</v>
      </c>
      <c r="F533" s="2" t="str">
        <f>VLOOKUP([jobnumber],OvalData[],MATCH(Table2[[#Headers],[Between Brackets]],Table2[#Headers],0),0)</f>
        <v xml:space="preserve"> 18 ft.- 7 7/ 8"</v>
      </c>
      <c r="G533" s="2" t="str">
        <f>VLOOKUP([jobnumber],OvalData[],MATCH(Table2[[#Headers],[shell]],Table2[#Headers],0),0)</f>
        <v>6 INCH TUBE</v>
      </c>
      <c r="H533" s="2" t="str">
        <f>VLOOKUP([jobnumber],OvalData[],MATCH(Table2[[#Headers],[pipewidth]],Table2[#Headers],0),0)</f>
        <v xml:space="preserve"> 18 ft.- 1 3/ 8"</v>
      </c>
      <c r="I533" s="2">
        <f>VLOOKUP([jobnumber],OvalData[],MATCH(Table2[[#Headers],[Support Tubes]],Table2[#Headers],0),0)</f>
        <v>0</v>
      </c>
      <c r="J533" s="2">
        <f>VLOOKUP([jobnumber],OvalData[],MATCH(Table2[[#Headers],[Upset]],Table2[#Headers],0),0)</f>
        <v>2</v>
      </c>
      <c r="K533" s="2" t="str">
        <f>VLOOKUP([jobnumber],OvalData[],MATCH(Table2[[#Headers],[Guide Type]],Table2[#Headers],0),0)</f>
        <v>SN2-4 5/8-E</v>
      </c>
      <c r="L533" s="2" t="str">
        <f>VLOOKUP([jobnumber],OvalData[],MATCH(Table2[[#Headers],[Wall Angle]],Table2[#Headers],0),0)</f>
        <v xml:space="preserve"> 11 ft.- 8"</v>
      </c>
      <c r="M533" s="2" t="str">
        <f>VLOOKUP([jobnumber],OvalData[],MATCH(Table2[[#Headers],[Middle Angle]],Table2[#Headers],0),0)</f>
        <v xml:space="preserve"> 10 ft.- 4 1/ 2"</v>
      </c>
      <c r="N533" s="2" t="str">
        <f>VLOOKUP([jobnumber],OvalData[],MATCH(Table2[[#Headers],[Front Angle]],Table2[#Headers],0),0)</f>
        <v xml:space="preserve"> 10 ft.- 3"</v>
      </c>
      <c r="O533" s="2">
        <f>VLOOKUP([jobnumber],OvalData[],MATCH(Table2[[#Headers],[Pipe Center Line]],Table2[#Headers],0),0)</f>
        <v>131</v>
      </c>
      <c r="P533" s="2">
        <f>VLOOKUP([jobnumber],OvalData[],MATCH(Table2[[#Headers],[Heat Expansion Gap]],Table2[#Headers],0),0)</f>
        <v>0</v>
      </c>
      <c r="Q533" s="2">
        <f>VLOOKUP([jobnumber],OvalData[],MATCH(Table2[[#Headers],[Hanging Weight Closed]],Table2[#Headers],0),0)</f>
        <v>795</v>
      </c>
      <c r="R533" s="2">
        <f>VLOOKUP([jobnumber],OvalData[],MATCH(Table2[[#Headers],[Hanging Weight Open]],Table2[#Headers],0),0)</f>
        <v>140</v>
      </c>
      <c r="S533" s="2">
        <f>VLOOKUP([jobnumber],OvalData[],MATCH(Table2[[#Headers],[Initial Lever Arm]],Table2[#Headers],0),0)</f>
        <v>4.25</v>
      </c>
      <c r="T533" s="2">
        <f>VLOOKUP([jobnumber],OvalData[],MATCH(Table2[[#Headers],[Turns to Raise]],Table2[#Headers],0),0)</f>
        <v>3.5859999999999999</v>
      </c>
      <c r="U533" s="2">
        <f>VLOOKUP([jobnumber],OvalData[],MATCH(Table2[[#Headers],[Final Lever Arm]],Table2[#Headers],0),0)</f>
        <v>6.37</v>
      </c>
      <c r="V533" s="2">
        <f>VLOOKUP([jobnumber],OvalData[],MATCH(Table2[[#Headers],[Torque Required Closed]],Table2[#Headers],0),0)</f>
        <v>3377.9</v>
      </c>
      <c r="W533" s="2">
        <f>VLOOKUP([jobnumber],OvalData[],MATCH(Table2[[#Headers],[Torque Required Open]],Table2[#Headers],0),0)</f>
        <v>892</v>
      </c>
      <c r="X533" s="2">
        <f>VLOOKUP([jobnumber],OvalData[],MATCH(Table2[[#Headers],[Pre Turns]],Table2[#Headers],0),0)</f>
        <v>1.3332999999999999</v>
      </c>
      <c r="Y533" s="2">
        <f>VLOOKUP([jobnumber],OvalData[],MATCH(Table2[[#Headers],[Required Torque Per Turn]],Table2[#Headers],0),0)</f>
        <v>688</v>
      </c>
      <c r="Z533" s="2">
        <f>VLOOKUP([jobnumber],OvalData[],MATCH(Table2[[#Headers],[Total Turns]],Table2[#Headers],0),0)</f>
        <v>4.91</v>
      </c>
      <c r="AA533" s="2">
        <f>VLOOKUP([jobnumber],OvalData[],MATCH(Table2[[#Headers],[Grille Vision Section]],Table2[#Headers],0),0)</f>
        <v>0</v>
      </c>
      <c r="AB533" s="2">
        <f>VLOOKUP([jobnumber],OvalData[],MATCH(Table2[[#Headers],[Grille Amount]],Table2[#Headers],0),0)</f>
        <v>0</v>
      </c>
      <c r="AC533" s="2">
        <f>VLOOKUP([jobnumber],OvalData[],MATCH(Table2[[#Headers],[Grille Center]],Table2[#Headers],0),0)</f>
        <v>0</v>
      </c>
      <c r="AD533" s="2">
        <f>VLOOKUP([jobnumber],OvalData[],MATCH(Table2[[#Headers],[Grille Pattern]],Table2[#Headers],0),0)</f>
        <v>0</v>
      </c>
      <c r="AE533" s="2">
        <f>VLOOKUP([jobnumber],OvalData[],MATCH(Table2[[#Headers],[Grille First Tube]],Table2[#Headers],0),0)</f>
        <v>0</v>
      </c>
      <c r="AF533" s="2">
        <f>VLOOKUP([jobnumber],OvalData[],MATCH(Table2[[#Headers],[Grille Standard Tube]],Table2[#Headers],0),0)</f>
        <v>0</v>
      </c>
      <c r="AG533" s="2">
        <f>VLOOKUP([jobnumber],OvalData[],MATCH(Table2[[#Headers],[Grille Total Links]],Table2[#Headers],0),0)</f>
        <v>0</v>
      </c>
      <c r="AH533" s="2">
        <f>VLOOKUP([jobnumber],OvalData[],MATCH(Table2[[#Headers],[Grille Rods]],Table2[#Headers],0),0)</f>
        <v>0</v>
      </c>
      <c r="AI533" s="2">
        <f>VLOOKUP([jobnumber],OvalData[],MATCH(Table2[[#Headers],[Grille Rod Length]],Table2[#Headers],0),0)</f>
        <v>0</v>
      </c>
      <c r="AJ533" s="2">
        <f>VLOOKUP([jobnumber],OvalData[],MATCH(Table2[[#Headers],[slattype]],Table2[#Headers],0),0)</f>
        <v>2</v>
      </c>
      <c r="AK533" s="2">
        <f>VLOOKUP([jobnumber],OvalData[],MATCH(Table2[[#Headers],[slatgage]],Table2[#Headers],0),0)</f>
        <v>18</v>
      </c>
      <c r="AL533" s="2">
        <f>VLOOKUP([jobnumber],OvalData[],MATCH(Table2[[#Headers],[Numer of Top Slats]],Table2[#Headers],0),0)</f>
        <v>0</v>
      </c>
      <c r="AM533" s="2">
        <f>VLOOKUP([jobnumber],OvalData[],MATCH(Table2[[#Headers],[Number of Bottom Slats]],Table2[#Headers],0),0)</f>
        <v>0</v>
      </c>
      <c r="AN533" s="2">
        <f>VLOOKUP([jobnumber],OvalData[],MATCH(Table2[[#Headers],[Solid Bottom Height]],Table2[#Headers],0),0)</f>
        <v>0</v>
      </c>
      <c r="AO533" s="2" t="str">
        <f>VLOOKUP([jobnumber],OvalData[],MATCH(Table2[[#Headers],[slatlength]],Table2[#Headers],0),0)</f>
        <v xml:space="preserve"> 18 ft.- 5 7/ 8"</v>
      </c>
      <c r="AP533" s="2">
        <f>VLOOKUP([jobnumber],OvalData[],MATCH(Table2[[#Headers],[Bottom Slat Length]],Table2[#Headers],0),0)</f>
        <v>0</v>
      </c>
      <c r="AQ533" s="2">
        <f>VLOOKUP([jobnumber],OvalData[],MATCH(Table2[[#Headers],[Number of Perferated Slats]],Table2[#Headers],0),0)</f>
        <v>0</v>
      </c>
      <c r="AR533" s="2">
        <f>VLOOKUP([jobnumber],OvalData[],MATCH(Table2[[#Headers],[First Preferated Slat From End]],Table2[#Headers],0),0)</f>
        <v>0</v>
      </c>
      <c r="AS533" s="2">
        <f>VLOOKUP([jobnumber],OvalData[],MATCH(Table2[[#Headers],[First Preferated Slat From Bottom]],Table2[#Headers],0),0)</f>
        <v>0</v>
      </c>
      <c r="AT533" s="2">
        <f>VLOOKUP([jobnumber],OvalData[],MATCH(Table2[[#Headers],[Total Number of Slats]],Table2[#Headers],0),0)</f>
        <v>51</v>
      </c>
      <c r="AU533" s="2">
        <f>VLOOKUP([jobnumber],OvalData[],MATCH(Table2[[#Headers],[Bottom Bar Slope]],Table2[#Headers],0),0)</f>
        <v>0</v>
      </c>
      <c r="AV533" s="2">
        <f>VLOOKUP([jobnumber],OvalData[],MATCH(Table2[[#Headers],[Bottom Bar Weight]],Table2[#Headers],0),0)</f>
        <v>80.5</v>
      </c>
      <c r="AW533" s="2" t="str">
        <f>VLOOKUP([jobnumber],OvalData[],MATCH(Table2[[#Headers],[Outer Spring Gage]],Table2[#Headers],0),0)</f>
        <v>Null</v>
      </c>
      <c r="AX533" s="2" t="str">
        <f>VLOOKUP([jobnumber],OvalData[],MATCH(Table2[[#Headers],[Outer Spring OD]],Table2[#Headers],0),0)</f>
        <v>Null</v>
      </c>
      <c r="AY533" s="2" t="str">
        <f>VLOOKUP([jobnumber],OvalData[],MATCH(Table2[[#Headers],[Outer Spring Length]],Table2[#Headers],0),0)</f>
        <v>Null</v>
      </c>
      <c r="AZ533" s="2" t="str">
        <f>VLOOKUP([jobnumber],OvalData[],MATCH(Table2[[#Headers],[Outer Spring Stretch]],Table2[#Headers],0),0)</f>
        <v>Null</v>
      </c>
      <c r="BA533" s="2" t="str">
        <f>VLOOKUP([jobnumber],OvalData[],MATCH(Table2[[#Headers],[Outer Spring Torque]],Table2[#Headers],0),0)</f>
        <v>Null</v>
      </c>
      <c r="BB533" s="2" t="str">
        <f>VLOOKUP([jobnumber],OvalData[],MATCH(Table2[[#Headers],[Outer Spring Max Turns]],Table2[#Headers],0),0)</f>
        <v>Null</v>
      </c>
      <c r="BC533" s="2" t="str">
        <f>VLOOKUP([jobnumber],OvalData[],MATCH(Table2[[#Headers],[Outer Spring Weight]],Table2[#Headers],0),0)</f>
        <v>Null</v>
      </c>
      <c r="BD533" s="2" t="str">
        <f>VLOOKUP([jobnumber],OvalData[],MATCH(Table2[[#Headers],[Inner Spring Gage]],Table2[#Headers],0),0)</f>
        <v>Null</v>
      </c>
      <c r="BE533" s="2" t="str">
        <f>VLOOKUP([jobnumber],OvalData[],MATCH(Table2[[#Headers],[Inner Spring OD]],Table2[#Headers],0),0)</f>
        <v>Null</v>
      </c>
      <c r="BF533" s="2" t="str">
        <f>VLOOKUP([jobnumber],OvalData[],MATCH(Table2[[#Headers],[Inner Spring Length]],Table2[#Headers],0),0)</f>
        <v>Null</v>
      </c>
      <c r="BG533" s="2" t="str">
        <f>VLOOKUP([jobnumber],OvalData[],MATCH(Table2[[#Headers],[Inner Spring Stretch]],Table2[#Headers],0),0)</f>
        <v>Null</v>
      </c>
      <c r="BH533" s="2" t="str">
        <f>VLOOKUP([jobnumber],OvalData[],MATCH(Table2[[#Headers],[Inner Spring Torque]],Table2[#Headers],0),0)</f>
        <v>Null</v>
      </c>
      <c r="BI533" s="2" t="str">
        <f>VLOOKUP([jobnumber],OvalData[],MATCH(Table2[[#Headers],[Inner Spring Max Turns]],Table2[#Headers],0),0)</f>
        <v>Null</v>
      </c>
      <c r="BJ533" s="2" t="str">
        <f>VLOOKUP([jobnumber],OvalData[],MATCH(Table2[[#Headers],[Inner Spring Weight]],Table2[#Headers],0),0)</f>
        <v>Null</v>
      </c>
      <c r="BK533" s="2">
        <f>VLOOKUP([jobnumber],OvalData[],MATCH(Table2[[#Headers],[Cycles]],Table2[#Headers],0),0)</f>
        <v>0</v>
      </c>
      <c r="BL533" s="2">
        <f>VLOOKUP([jobnumber],OvalData[],MATCH(Table2[[#Headers],[Total Spring Torque]],Table2[#Headers],0),0)</f>
        <v>0</v>
      </c>
      <c r="BM533" s="2">
        <f>VLOOKUP([jobnumber],OvalData[],MATCH(Table2[[#Headers],[Total Spring Weight]],Table2[#Headers],0),0)</f>
        <v>0</v>
      </c>
      <c r="BN533" s="2">
        <f>VLOOKUP([jobnumber],OvalData[],MATCH(Table2[[#Headers],[Pipe Weight]],Table2[#Headers],0),0)</f>
        <v>688.24239999999998</v>
      </c>
      <c r="BO533" s="2">
        <f>VLOOKUP([jobnumber],OvalData[],MATCH(Table2[[#Headers],[Max Pipe Deflection]],Table2[#Headers],0),0)</f>
        <v>2309</v>
      </c>
      <c r="BP533" s="2">
        <f>VLOOKUP([jobnumber],OvalData[],MATCH(Table2[[#Headers],[Number Non-Insulated Wrap Slats]],Table2[#Headers],0),0)</f>
        <v>0</v>
      </c>
      <c r="BQ533" s="2">
        <f>VLOOKUP([jobnumber],OvalData[],MATCH(Table2[[#Headers],[Number of Insolated Top Slats]],Table2[#Headers],0),0)</f>
        <v>45</v>
      </c>
      <c r="BR533" s="2">
        <f>VLOOKUP([jobnumber],OvalData[],MATCH(Table2[[#Headers],[Insolated Total Slats]],Table2[#Headers],0),0)</f>
        <v>45</v>
      </c>
      <c r="BS533" s="2">
        <f>VLOOKUP([jobnumber],OvalData[],MATCH(Table2[[#Headers],[Number of Slats]],Table2[#Headers],0),0)</f>
        <v>44.69</v>
      </c>
      <c r="BT533" s="2">
        <f>VLOOKUP([jobnumber],OvalData[],MATCH(Table2[[#Headers],[Wrap]],Table2[#Headers],0),0)</f>
        <v>0</v>
      </c>
      <c r="BU533" s="2">
        <f>VLOOKUP([jobnumber],OvalData[],MATCH(Table2[[#Headers],[Wall Angle Thickness]],Table2[#Headers],0),0)</f>
        <v>0</v>
      </c>
      <c r="BV533" s="2">
        <f>VLOOKUP([jobnumber],OvalData[],MATCH(Table2[[#Headers],[windlocks]],Table2[#Headers],0),0)</f>
        <v>0</v>
      </c>
      <c r="BW533" s="2" t="str">
        <f>VLOOKUP([jobnumber],OvalData[],MATCH(Table2[[#Headers],[bottombartype]],Table2[#Headers],0),0)</f>
        <v>SPECIAL</v>
      </c>
      <c r="BX533" s="2">
        <f>VLOOKUP([jobnumber],OvalData[],MATCH(Table2[[#Headers],[endlockweight]],Table2[#Headers],0),0)</f>
        <v>0.17</v>
      </c>
      <c r="BY533" s="2">
        <f>VLOOKUP([jobnumber],OvalData[],MATCH(Table2[[#Headers],[Endlock Total Weight]],Table2[#Headers],0),0)</f>
        <v>7.5972999999999997</v>
      </c>
      <c r="BZ533" s="2">
        <f>VLOOKUP([jobnumber],OvalData[],MATCH(Table2[[#Headers],[Grille Weight]],Table2[#Headers],0),0)</f>
        <v>0</v>
      </c>
      <c r="CA533" s="2">
        <f>VLOOKUP([jobnumber],OvalData[],MATCH(Table2[[#Headers],[barrelrings]],Table2[#Headers],0),0)</f>
        <v>1</v>
      </c>
    </row>
    <row r="534" spans="2:79">
      <c r="B534" s="2" t="str">
        <f>VLOOKUP([jobnumber],OvalData[],MATCH(Table2[[#Headers],[Hand]],Table2[#Headers],0),0)</f>
        <v>RH</v>
      </c>
      <c r="C534" s="2" t="str">
        <f>VLOOKUP([jobnumber],OvalData[],MATCH(Table2[[#Headers],[Model]],Table2[#Headers],0),0)</f>
        <v>SFMPP</v>
      </c>
      <c r="D534" s="2" t="str">
        <f>VLOOKUP([jobnumber],OvalData[],MATCH(Table2[[#Headers],[width]],Table2[#Headers],0),0)</f>
        <v xml:space="preserve"> 18 ft.- 2"</v>
      </c>
      <c r="E534" s="2" t="str">
        <f>VLOOKUP([jobnumber],OvalData[],MATCH(Table2[[#Headers],[stopheight]],Table2[#Headers],0),0)</f>
        <v xml:space="preserve"> 10 ft.- 0"</v>
      </c>
      <c r="F534" s="2" t="str">
        <f>VLOOKUP([jobnumber],OvalData[],MATCH(Table2[[#Headers],[Between Brackets]],Table2[#Headers],0),0)</f>
        <v xml:space="preserve"> 18 ft.- 7 7/ 8"</v>
      </c>
      <c r="G534" s="2" t="str">
        <f>VLOOKUP([jobnumber],OvalData[],MATCH(Table2[[#Headers],[shell]],Table2[#Headers],0),0)</f>
        <v>6 INCH TUBE</v>
      </c>
      <c r="H534" s="2" t="str">
        <f>VLOOKUP([jobnumber],OvalData[],MATCH(Table2[[#Headers],[pipewidth]],Table2[#Headers],0),0)</f>
        <v xml:space="preserve"> 18 ft.- 1 3/ 8"</v>
      </c>
      <c r="I534" s="2">
        <f>VLOOKUP([jobnumber],OvalData[],MATCH(Table2[[#Headers],[Support Tubes]],Table2[#Headers],0),0)</f>
        <v>0</v>
      </c>
      <c r="J534" s="2">
        <f>VLOOKUP([jobnumber],OvalData[],MATCH(Table2[[#Headers],[Upset]],Table2[#Headers],0),0)</f>
        <v>2</v>
      </c>
      <c r="K534" s="2" t="str">
        <f>VLOOKUP([jobnumber],OvalData[],MATCH(Table2[[#Headers],[Guide Type]],Table2[#Headers],0),0)</f>
        <v>SN2-4 5/8-E</v>
      </c>
      <c r="L534" s="2" t="str">
        <f>VLOOKUP([jobnumber],OvalData[],MATCH(Table2[[#Headers],[Wall Angle]],Table2[#Headers],0),0)</f>
        <v xml:space="preserve"> 11 ft.- 8"</v>
      </c>
      <c r="M534" s="2" t="str">
        <f>VLOOKUP([jobnumber],OvalData[],MATCH(Table2[[#Headers],[Middle Angle]],Table2[#Headers],0),0)</f>
        <v xml:space="preserve"> 10 ft.- 4 1/ 2"</v>
      </c>
      <c r="N534" s="2" t="str">
        <f>VLOOKUP([jobnumber],OvalData[],MATCH(Table2[[#Headers],[Front Angle]],Table2[#Headers],0),0)</f>
        <v xml:space="preserve"> 10 ft.- 3"</v>
      </c>
      <c r="O534" s="2">
        <f>VLOOKUP([jobnumber],OvalData[],MATCH(Table2[[#Headers],[Pipe Center Line]],Table2[#Headers],0),0)</f>
        <v>131</v>
      </c>
      <c r="P534" s="2">
        <f>VLOOKUP([jobnumber],OvalData[],MATCH(Table2[[#Headers],[Heat Expansion Gap]],Table2[#Headers],0),0)</f>
        <v>0</v>
      </c>
      <c r="Q534" s="2">
        <f>VLOOKUP([jobnumber],OvalData[],MATCH(Table2[[#Headers],[Hanging Weight Closed]],Table2[#Headers],0),0)</f>
        <v>795</v>
      </c>
      <c r="R534" s="2">
        <f>VLOOKUP([jobnumber],OvalData[],MATCH(Table2[[#Headers],[Hanging Weight Open]],Table2[#Headers],0),0)</f>
        <v>140</v>
      </c>
      <c r="S534" s="2">
        <f>VLOOKUP([jobnumber],OvalData[],MATCH(Table2[[#Headers],[Initial Lever Arm]],Table2[#Headers],0),0)</f>
        <v>4.25</v>
      </c>
      <c r="T534" s="2">
        <f>VLOOKUP([jobnumber],OvalData[],MATCH(Table2[[#Headers],[Turns to Raise]],Table2[#Headers],0),0)</f>
        <v>3.5859999999999999</v>
      </c>
      <c r="U534" s="2">
        <f>VLOOKUP([jobnumber],OvalData[],MATCH(Table2[[#Headers],[Final Lever Arm]],Table2[#Headers],0),0)</f>
        <v>6.37</v>
      </c>
      <c r="V534" s="2">
        <f>VLOOKUP([jobnumber],OvalData[],MATCH(Table2[[#Headers],[Torque Required Closed]],Table2[#Headers],0),0)</f>
        <v>3377.9</v>
      </c>
      <c r="W534" s="2">
        <f>VLOOKUP([jobnumber],OvalData[],MATCH(Table2[[#Headers],[Torque Required Open]],Table2[#Headers],0),0)</f>
        <v>892</v>
      </c>
      <c r="X534" s="2">
        <f>VLOOKUP([jobnumber],OvalData[],MATCH(Table2[[#Headers],[Pre Turns]],Table2[#Headers],0),0)</f>
        <v>1.3332999999999999</v>
      </c>
      <c r="Y534" s="2">
        <f>VLOOKUP([jobnumber],OvalData[],MATCH(Table2[[#Headers],[Required Torque Per Turn]],Table2[#Headers],0),0)</f>
        <v>688</v>
      </c>
      <c r="Z534" s="2">
        <f>VLOOKUP([jobnumber],OvalData[],MATCH(Table2[[#Headers],[Total Turns]],Table2[#Headers],0),0)</f>
        <v>4.91</v>
      </c>
      <c r="AA534" s="2">
        <f>VLOOKUP([jobnumber],OvalData[],MATCH(Table2[[#Headers],[Grille Vision Section]],Table2[#Headers],0),0)</f>
        <v>0</v>
      </c>
      <c r="AB534" s="2">
        <f>VLOOKUP([jobnumber],OvalData[],MATCH(Table2[[#Headers],[Grille Amount]],Table2[#Headers],0),0)</f>
        <v>0</v>
      </c>
      <c r="AC534" s="2">
        <f>VLOOKUP([jobnumber],OvalData[],MATCH(Table2[[#Headers],[Grille Center]],Table2[#Headers],0),0)</f>
        <v>0</v>
      </c>
      <c r="AD534" s="2">
        <f>VLOOKUP([jobnumber],OvalData[],MATCH(Table2[[#Headers],[Grille Pattern]],Table2[#Headers],0),0)</f>
        <v>0</v>
      </c>
      <c r="AE534" s="2">
        <f>VLOOKUP([jobnumber],OvalData[],MATCH(Table2[[#Headers],[Grille First Tube]],Table2[#Headers],0),0)</f>
        <v>0</v>
      </c>
      <c r="AF534" s="2">
        <f>VLOOKUP([jobnumber],OvalData[],MATCH(Table2[[#Headers],[Grille Standard Tube]],Table2[#Headers],0),0)</f>
        <v>0</v>
      </c>
      <c r="AG534" s="2">
        <f>VLOOKUP([jobnumber],OvalData[],MATCH(Table2[[#Headers],[Grille Total Links]],Table2[#Headers],0),0)</f>
        <v>0</v>
      </c>
      <c r="AH534" s="2">
        <f>VLOOKUP([jobnumber],OvalData[],MATCH(Table2[[#Headers],[Grille Rods]],Table2[#Headers],0),0)</f>
        <v>0</v>
      </c>
      <c r="AI534" s="2">
        <f>VLOOKUP([jobnumber],OvalData[],MATCH(Table2[[#Headers],[Grille Rod Length]],Table2[#Headers],0),0)</f>
        <v>0</v>
      </c>
      <c r="AJ534" s="2">
        <f>VLOOKUP([jobnumber],OvalData[],MATCH(Table2[[#Headers],[slattype]],Table2[#Headers],0),0)</f>
        <v>2</v>
      </c>
      <c r="AK534" s="2">
        <f>VLOOKUP([jobnumber],OvalData[],MATCH(Table2[[#Headers],[slatgage]],Table2[#Headers],0),0)</f>
        <v>18</v>
      </c>
      <c r="AL534" s="2">
        <f>VLOOKUP([jobnumber],OvalData[],MATCH(Table2[[#Headers],[Numer of Top Slats]],Table2[#Headers],0),0)</f>
        <v>0</v>
      </c>
      <c r="AM534" s="2">
        <f>VLOOKUP([jobnumber],OvalData[],MATCH(Table2[[#Headers],[Number of Bottom Slats]],Table2[#Headers],0),0)</f>
        <v>0</v>
      </c>
      <c r="AN534" s="2">
        <f>VLOOKUP([jobnumber],OvalData[],MATCH(Table2[[#Headers],[Solid Bottom Height]],Table2[#Headers],0),0)</f>
        <v>0</v>
      </c>
      <c r="AO534" s="2" t="str">
        <f>VLOOKUP([jobnumber],OvalData[],MATCH(Table2[[#Headers],[slatlength]],Table2[#Headers],0),0)</f>
        <v xml:space="preserve"> 18 ft.- 5 7/ 8"</v>
      </c>
      <c r="AP534" s="2">
        <f>VLOOKUP([jobnumber],OvalData[],MATCH(Table2[[#Headers],[Bottom Slat Length]],Table2[#Headers],0),0)</f>
        <v>0</v>
      </c>
      <c r="AQ534" s="2">
        <f>VLOOKUP([jobnumber],OvalData[],MATCH(Table2[[#Headers],[Number of Perferated Slats]],Table2[#Headers],0),0)</f>
        <v>0</v>
      </c>
      <c r="AR534" s="2">
        <f>VLOOKUP([jobnumber],OvalData[],MATCH(Table2[[#Headers],[First Preferated Slat From End]],Table2[#Headers],0),0)</f>
        <v>0</v>
      </c>
      <c r="AS534" s="2">
        <f>VLOOKUP([jobnumber],OvalData[],MATCH(Table2[[#Headers],[First Preferated Slat From Bottom]],Table2[#Headers],0),0)</f>
        <v>0</v>
      </c>
      <c r="AT534" s="2">
        <f>VLOOKUP([jobnumber],OvalData[],MATCH(Table2[[#Headers],[Total Number of Slats]],Table2[#Headers],0),0)</f>
        <v>51</v>
      </c>
      <c r="AU534" s="2">
        <f>VLOOKUP([jobnumber],OvalData[],MATCH(Table2[[#Headers],[Bottom Bar Slope]],Table2[#Headers],0),0)</f>
        <v>0</v>
      </c>
      <c r="AV534" s="2">
        <f>VLOOKUP([jobnumber],OvalData[],MATCH(Table2[[#Headers],[Bottom Bar Weight]],Table2[#Headers],0),0)</f>
        <v>80.5</v>
      </c>
      <c r="AW534" s="2" t="str">
        <f>VLOOKUP([jobnumber],OvalData[],MATCH(Table2[[#Headers],[Outer Spring Gage]],Table2[#Headers],0),0)</f>
        <v>Null</v>
      </c>
      <c r="AX534" s="2" t="str">
        <f>VLOOKUP([jobnumber],OvalData[],MATCH(Table2[[#Headers],[Outer Spring OD]],Table2[#Headers],0),0)</f>
        <v>Null</v>
      </c>
      <c r="AY534" s="2" t="str">
        <f>VLOOKUP([jobnumber],OvalData[],MATCH(Table2[[#Headers],[Outer Spring Length]],Table2[#Headers],0),0)</f>
        <v>Null</v>
      </c>
      <c r="AZ534" s="2" t="str">
        <f>VLOOKUP([jobnumber],OvalData[],MATCH(Table2[[#Headers],[Outer Spring Stretch]],Table2[#Headers],0),0)</f>
        <v>Null</v>
      </c>
      <c r="BA534" s="2" t="str">
        <f>VLOOKUP([jobnumber],OvalData[],MATCH(Table2[[#Headers],[Outer Spring Torque]],Table2[#Headers],0),0)</f>
        <v>Null</v>
      </c>
      <c r="BB534" s="2" t="str">
        <f>VLOOKUP([jobnumber],OvalData[],MATCH(Table2[[#Headers],[Outer Spring Max Turns]],Table2[#Headers],0),0)</f>
        <v>Null</v>
      </c>
      <c r="BC534" s="2" t="str">
        <f>VLOOKUP([jobnumber],OvalData[],MATCH(Table2[[#Headers],[Outer Spring Weight]],Table2[#Headers],0),0)</f>
        <v>Null</v>
      </c>
      <c r="BD534" s="2" t="str">
        <f>VLOOKUP([jobnumber],OvalData[],MATCH(Table2[[#Headers],[Inner Spring Gage]],Table2[#Headers],0),0)</f>
        <v>Null</v>
      </c>
      <c r="BE534" s="2" t="str">
        <f>VLOOKUP([jobnumber],OvalData[],MATCH(Table2[[#Headers],[Inner Spring OD]],Table2[#Headers],0),0)</f>
        <v>Null</v>
      </c>
      <c r="BF534" s="2" t="str">
        <f>VLOOKUP([jobnumber],OvalData[],MATCH(Table2[[#Headers],[Inner Spring Length]],Table2[#Headers],0),0)</f>
        <v>Null</v>
      </c>
      <c r="BG534" s="2" t="str">
        <f>VLOOKUP([jobnumber],OvalData[],MATCH(Table2[[#Headers],[Inner Spring Stretch]],Table2[#Headers],0),0)</f>
        <v>Null</v>
      </c>
      <c r="BH534" s="2" t="str">
        <f>VLOOKUP([jobnumber],OvalData[],MATCH(Table2[[#Headers],[Inner Spring Torque]],Table2[#Headers],0),0)</f>
        <v>Null</v>
      </c>
      <c r="BI534" s="2" t="str">
        <f>VLOOKUP([jobnumber],OvalData[],MATCH(Table2[[#Headers],[Inner Spring Max Turns]],Table2[#Headers],0),0)</f>
        <v>Null</v>
      </c>
      <c r="BJ534" s="2" t="str">
        <f>VLOOKUP([jobnumber],OvalData[],MATCH(Table2[[#Headers],[Inner Spring Weight]],Table2[#Headers],0),0)</f>
        <v>Null</v>
      </c>
      <c r="BK534" s="2">
        <f>VLOOKUP([jobnumber],OvalData[],MATCH(Table2[[#Headers],[Cycles]],Table2[#Headers],0),0)</f>
        <v>0</v>
      </c>
      <c r="BL534" s="2">
        <f>VLOOKUP([jobnumber],OvalData[],MATCH(Table2[[#Headers],[Total Spring Torque]],Table2[#Headers],0),0)</f>
        <v>0</v>
      </c>
      <c r="BM534" s="2">
        <f>VLOOKUP([jobnumber],OvalData[],MATCH(Table2[[#Headers],[Total Spring Weight]],Table2[#Headers],0),0)</f>
        <v>0</v>
      </c>
      <c r="BN534" s="2">
        <f>VLOOKUP([jobnumber],OvalData[],MATCH(Table2[[#Headers],[Pipe Weight]],Table2[#Headers],0),0)</f>
        <v>688.24239999999998</v>
      </c>
      <c r="BO534" s="2">
        <f>VLOOKUP([jobnumber],OvalData[],MATCH(Table2[[#Headers],[Max Pipe Deflection]],Table2[#Headers],0),0)</f>
        <v>2309</v>
      </c>
      <c r="BP534" s="2">
        <f>VLOOKUP([jobnumber],OvalData[],MATCH(Table2[[#Headers],[Number Non-Insulated Wrap Slats]],Table2[#Headers],0),0)</f>
        <v>0</v>
      </c>
      <c r="BQ534" s="2">
        <f>VLOOKUP([jobnumber],OvalData[],MATCH(Table2[[#Headers],[Number of Insolated Top Slats]],Table2[#Headers],0),0)</f>
        <v>45</v>
      </c>
      <c r="BR534" s="2">
        <f>VLOOKUP([jobnumber],OvalData[],MATCH(Table2[[#Headers],[Insolated Total Slats]],Table2[#Headers],0),0)</f>
        <v>45</v>
      </c>
      <c r="BS534" s="2">
        <f>VLOOKUP([jobnumber],OvalData[],MATCH(Table2[[#Headers],[Number of Slats]],Table2[#Headers],0),0)</f>
        <v>44.69</v>
      </c>
      <c r="BT534" s="2">
        <f>VLOOKUP([jobnumber],OvalData[],MATCH(Table2[[#Headers],[Wrap]],Table2[#Headers],0),0)</f>
        <v>0</v>
      </c>
      <c r="BU534" s="2">
        <f>VLOOKUP([jobnumber],OvalData[],MATCH(Table2[[#Headers],[Wall Angle Thickness]],Table2[#Headers],0),0)</f>
        <v>0</v>
      </c>
      <c r="BV534" s="2">
        <f>VLOOKUP([jobnumber],OvalData[],MATCH(Table2[[#Headers],[windlocks]],Table2[#Headers],0),0)</f>
        <v>0</v>
      </c>
      <c r="BW534" s="2" t="str">
        <f>VLOOKUP([jobnumber],OvalData[],MATCH(Table2[[#Headers],[bottombartype]],Table2[#Headers],0),0)</f>
        <v>SPECIAL</v>
      </c>
      <c r="BX534" s="2">
        <f>VLOOKUP([jobnumber],OvalData[],MATCH(Table2[[#Headers],[endlockweight]],Table2[#Headers],0),0)</f>
        <v>0.17</v>
      </c>
      <c r="BY534" s="2">
        <f>VLOOKUP([jobnumber],OvalData[],MATCH(Table2[[#Headers],[Endlock Total Weight]],Table2[#Headers],0),0)</f>
        <v>7.5972999999999997</v>
      </c>
      <c r="BZ534" s="2">
        <f>VLOOKUP([jobnumber],OvalData[],MATCH(Table2[[#Headers],[Grille Weight]],Table2[#Headers],0),0)</f>
        <v>0</v>
      </c>
      <c r="CA534" s="2">
        <f>VLOOKUP([jobnumber],OvalData[],MATCH(Table2[[#Headers],[barrelrings]],Table2[#Headers],0),0)</f>
        <v>1</v>
      </c>
    </row>
    <row r="535" spans="2:79">
      <c r="B535" s="2" t="str">
        <f>VLOOKUP([jobnumber],OvalData[],MATCH(Table2[[#Headers],[Hand]],Table2[#Headers],0),0)</f>
        <v>RH</v>
      </c>
      <c r="C535" s="2" t="str">
        <f>VLOOKUP([jobnumber],OvalData[],MATCH(Table2[[#Headers],[Model]],Table2[#Headers],0),0)</f>
        <v>SFMPP</v>
      </c>
      <c r="D535" s="2" t="str">
        <f>VLOOKUP([jobnumber],OvalData[],MATCH(Table2[[#Headers],[width]],Table2[#Headers],0),0)</f>
        <v xml:space="preserve"> 18 ft.- 2"</v>
      </c>
      <c r="E535" s="2" t="str">
        <f>VLOOKUP([jobnumber],OvalData[],MATCH(Table2[[#Headers],[stopheight]],Table2[#Headers],0),0)</f>
        <v xml:space="preserve"> 10 ft.- 0"</v>
      </c>
      <c r="F535" s="2" t="str">
        <f>VLOOKUP([jobnumber],OvalData[],MATCH(Table2[[#Headers],[Between Brackets]],Table2[#Headers],0),0)</f>
        <v xml:space="preserve"> 18 ft.- 7 7/ 8"</v>
      </c>
      <c r="G535" s="2" t="str">
        <f>VLOOKUP([jobnumber],OvalData[],MATCH(Table2[[#Headers],[shell]],Table2[#Headers],0),0)</f>
        <v>6 INCH TUBE</v>
      </c>
      <c r="H535" s="2" t="str">
        <f>VLOOKUP([jobnumber],OvalData[],MATCH(Table2[[#Headers],[pipewidth]],Table2[#Headers],0),0)</f>
        <v xml:space="preserve"> 18 ft.- 1 3/ 8"</v>
      </c>
      <c r="I535" s="2">
        <f>VLOOKUP([jobnumber],OvalData[],MATCH(Table2[[#Headers],[Support Tubes]],Table2[#Headers],0),0)</f>
        <v>0</v>
      </c>
      <c r="J535" s="2">
        <f>VLOOKUP([jobnumber],OvalData[],MATCH(Table2[[#Headers],[Upset]],Table2[#Headers],0),0)</f>
        <v>2</v>
      </c>
      <c r="K535" s="2" t="str">
        <f>VLOOKUP([jobnumber],OvalData[],MATCH(Table2[[#Headers],[Guide Type]],Table2[#Headers],0),0)</f>
        <v>SN2-4 5/8-E</v>
      </c>
      <c r="L535" s="2" t="str">
        <f>VLOOKUP([jobnumber],OvalData[],MATCH(Table2[[#Headers],[Wall Angle]],Table2[#Headers],0),0)</f>
        <v xml:space="preserve"> 11 ft.- 8"</v>
      </c>
      <c r="M535" s="2" t="str">
        <f>VLOOKUP([jobnumber],OvalData[],MATCH(Table2[[#Headers],[Middle Angle]],Table2[#Headers],0),0)</f>
        <v xml:space="preserve"> 10 ft.- 4 1/ 2"</v>
      </c>
      <c r="N535" s="2" t="str">
        <f>VLOOKUP([jobnumber],OvalData[],MATCH(Table2[[#Headers],[Front Angle]],Table2[#Headers],0),0)</f>
        <v xml:space="preserve"> 10 ft.- 3"</v>
      </c>
      <c r="O535" s="2">
        <f>VLOOKUP([jobnumber],OvalData[],MATCH(Table2[[#Headers],[Pipe Center Line]],Table2[#Headers],0),0)</f>
        <v>131</v>
      </c>
      <c r="P535" s="2">
        <f>VLOOKUP([jobnumber],OvalData[],MATCH(Table2[[#Headers],[Heat Expansion Gap]],Table2[#Headers],0),0)</f>
        <v>0</v>
      </c>
      <c r="Q535" s="2">
        <f>VLOOKUP([jobnumber],OvalData[],MATCH(Table2[[#Headers],[Hanging Weight Closed]],Table2[#Headers],0),0)</f>
        <v>795</v>
      </c>
      <c r="R535" s="2">
        <f>VLOOKUP([jobnumber],OvalData[],MATCH(Table2[[#Headers],[Hanging Weight Open]],Table2[#Headers],0),0)</f>
        <v>140</v>
      </c>
      <c r="S535" s="2">
        <f>VLOOKUP([jobnumber],OvalData[],MATCH(Table2[[#Headers],[Initial Lever Arm]],Table2[#Headers],0),0)</f>
        <v>4.25</v>
      </c>
      <c r="T535" s="2">
        <f>VLOOKUP([jobnumber],OvalData[],MATCH(Table2[[#Headers],[Turns to Raise]],Table2[#Headers],0),0)</f>
        <v>3.5859999999999999</v>
      </c>
      <c r="U535" s="2">
        <f>VLOOKUP([jobnumber],OvalData[],MATCH(Table2[[#Headers],[Final Lever Arm]],Table2[#Headers],0),0)</f>
        <v>6.37</v>
      </c>
      <c r="V535" s="2">
        <f>VLOOKUP([jobnumber],OvalData[],MATCH(Table2[[#Headers],[Torque Required Closed]],Table2[#Headers],0),0)</f>
        <v>3377.9</v>
      </c>
      <c r="W535" s="2">
        <f>VLOOKUP([jobnumber],OvalData[],MATCH(Table2[[#Headers],[Torque Required Open]],Table2[#Headers],0),0)</f>
        <v>892</v>
      </c>
      <c r="X535" s="2">
        <f>VLOOKUP([jobnumber],OvalData[],MATCH(Table2[[#Headers],[Pre Turns]],Table2[#Headers],0),0)</f>
        <v>1.3332999999999999</v>
      </c>
      <c r="Y535" s="2">
        <f>VLOOKUP([jobnumber],OvalData[],MATCH(Table2[[#Headers],[Required Torque Per Turn]],Table2[#Headers],0),0)</f>
        <v>688</v>
      </c>
      <c r="Z535" s="2">
        <f>VLOOKUP([jobnumber],OvalData[],MATCH(Table2[[#Headers],[Total Turns]],Table2[#Headers],0),0)</f>
        <v>4.91</v>
      </c>
      <c r="AA535" s="2">
        <f>VLOOKUP([jobnumber],OvalData[],MATCH(Table2[[#Headers],[Grille Vision Section]],Table2[#Headers],0),0)</f>
        <v>0</v>
      </c>
      <c r="AB535" s="2">
        <f>VLOOKUP([jobnumber],OvalData[],MATCH(Table2[[#Headers],[Grille Amount]],Table2[#Headers],0),0)</f>
        <v>0</v>
      </c>
      <c r="AC535" s="2">
        <f>VLOOKUP([jobnumber],OvalData[],MATCH(Table2[[#Headers],[Grille Center]],Table2[#Headers],0),0)</f>
        <v>0</v>
      </c>
      <c r="AD535" s="2">
        <f>VLOOKUP([jobnumber],OvalData[],MATCH(Table2[[#Headers],[Grille Pattern]],Table2[#Headers],0),0)</f>
        <v>0</v>
      </c>
      <c r="AE535" s="2">
        <f>VLOOKUP([jobnumber],OvalData[],MATCH(Table2[[#Headers],[Grille First Tube]],Table2[#Headers],0),0)</f>
        <v>0</v>
      </c>
      <c r="AF535" s="2">
        <f>VLOOKUP([jobnumber],OvalData[],MATCH(Table2[[#Headers],[Grille Standard Tube]],Table2[#Headers],0),0)</f>
        <v>0</v>
      </c>
      <c r="AG535" s="2">
        <f>VLOOKUP([jobnumber],OvalData[],MATCH(Table2[[#Headers],[Grille Total Links]],Table2[#Headers],0),0)</f>
        <v>0</v>
      </c>
      <c r="AH535" s="2">
        <f>VLOOKUP([jobnumber],OvalData[],MATCH(Table2[[#Headers],[Grille Rods]],Table2[#Headers],0),0)</f>
        <v>0</v>
      </c>
      <c r="AI535" s="2">
        <f>VLOOKUP([jobnumber],OvalData[],MATCH(Table2[[#Headers],[Grille Rod Length]],Table2[#Headers],0),0)</f>
        <v>0</v>
      </c>
      <c r="AJ535" s="2">
        <f>VLOOKUP([jobnumber],OvalData[],MATCH(Table2[[#Headers],[slattype]],Table2[#Headers],0),0)</f>
        <v>2</v>
      </c>
      <c r="AK535" s="2">
        <f>VLOOKUP([jobnumber],OvalData[],MATCH(Table2[[#Headers],[slatgage]],Table2[#Headers],0),0)</f>
        <v>18</v>
      </c>
      <c r="AL535" s="2">
        <f>VLOOKUP([jobnumber],OvalData[],MATCH(Table2[[#Headers],[Numer of Top Slats]],Table2[#Headers],0),0)</f>
        <v>0</v>
      </c>
      <c r="AM535" s="2">
        <f>VLOOKUP([jobnumber],OvalData[],MATCH(Table2[[#Headers],[Number of Bottom Slats]],Table2[#Headers],0),0)</f>
        <v>0</v>
      </c>
      <c r="AN535" s="2">
        <f>VLOOKUP([jobnumber],OvalData[],MATCH(Table2[[#Headers],[Solid Bottom Height]],Table2[#Headers],0),0)</f>
        <v>0</v>
      </c>
      <c r="AO535" s="2" t="str">
        <f>VLOOKUP([jobnumber],OvalData[],MATCH(Table2[[#Headers],[slatlength]],Table2[#Headers],0),0)</f>
        <v xml:space="preserve"> 18 ft.- 5 7/ 8"</v>
      </c>
      <c r="AP535" s="2">
        <f>VLOOKUP([jobnumber],OvalData[],MATCH(Table2[[#Headers],[Bottom Slat Length]],Table2[#Headers],0),0)</f>
        <v>0</v>
      </c>
      <c r="AQ535" s="2">
        <f>VLOOKUP([jobnumber],OvalData[],MATCH(Table2[[#Headers],[Number of Perferated Slats]],Table2[#Headers],0),0)</f>
        <v>0</v>
      </c>
      <c r="AR535" s="2">
        <f>VLOOKUP([jobnumber],OvalData[],MATCH(Table2[[#Headers],[First Preferated Slat From End]],Table2[#Headers],0),0)</f>
        <v>0</v>
      </c>
      <c r="AS535" s="2">
        <f>VLOOKUP([jobnumber],OvalData[],MATCH(Table2[[#Headers],[First Preferated Slat From Bottom]],Table2[#Headers],0),0)</f>
        <v>0</v>
      </c>
      <c r="AT535" s="2">
        <f>VLOOKUP([jobnumber],OvalData[],MATCH(Table2[[#Headers],[Total Number of Slats]],Table2[#Headers],0),0)</f>
        <v>51</v>
      </c>
      <c r="AU535" s="2">
        <f>VLOOKUP([jobnumber],OvalData[],MATCH(Table2[[#Headers],[Bottom Bar Slope]],Table2[#Headers],0),0)</f>
        <v>0</v>
      </c>
      <c r="AV535" s="2">
        <f>VLOOKUP([jobnumber],OvalData[],MATCH(Table2[[#Headers],[Bottom Bar Weight]],Table2[#Headers],0),0)</f>
        <v>80.5</v>
      </c>
      <c r="AW535" s="2" t="str">
        <f>VLOOKUP([jobnumber],OvalData[],MATCH(Table2[[#Headers],[Outer Spring Gage]],Table2[#Headers],0),0)</f>
        <v>Null</v>
      </c>
      <c r="AX535" s="2" t="str">
        <f>VLOOKUP([jobnumber],OvalData[],MATCH(Table2[[#Headers],[Outer Spring OD]],Table2[#Headers],0),0)</f>
        <v>Null</v>
      </c>
      <c r="AY535" s="2" t="str">
        <f>VLOOKUP([jobnumber],OvalData[],MATCH(Table2[[#Headers],[Outer Spring Length]],Table2[#Headers],0),0)</f>
        <v>Null</v>
      </c>
      <c r="AZ535" s="2" t="str">
        <f>VLOOKUP([jobnumber],OvalData[],MATCH(Table2[[#Headers],[Outer Spring Stretch]],Table2[#Headers],0),0)</f>
        <v>Null</v>
      </c>
      <c r="BA535" s="2" t="str">
        <f>VLOOKUP([jobnumber],OvalData[],MATCH(Table2[[#Headers],[Outer Spring Torque]],Table2[#Headers],0),0)</f>
        <v>Null</v>
      </c>
      <c r="BB535" s="2" t="str">
        <f>VLOOKUP([jobnumber],OvalData[],MATCH(Table2[[#Headers],[Outer Spring Max Turns]],Table2[#Headers],0),0)</f>
        <v>Null</v>
      </c>
      <c r="BC535" s="2" t="str">
        <f>VLOOKUP([jobnumber],OvalData[],MATCH(Table2[[#Headers],[Outer Spring Weight]],Table2[#Headers],0),0)</f>
        <v>Null</v>
      </c>
      <c r="BD535" s="2" t="str">
        <f>VLOOKUP([jobnumber],OvalData[],MATCH(Table2[[#Headers],[Inner Spring Gage]],Table2[#Headers],0),0)</f>
        <v>Null</v>
      </c>
      <c r="BE535" s="2" t="str">
        <f>VLOOKUP([jobnumber],OvalData[],MATCH(Table2[[#Headers],[Inner Spring OD]],Table2[#Headers],0),0)</f>
        <v>Null</v>
      </c>
      <c r="BF535" s="2" t="str">
        <f>VLOOKUP([jobnumber],OvalData[],MATCH(Table2[[#Headers],[Inner Spring Length]],Table2[#Headers],0),0)</f>
        <v>Null</v>
      </c>
      <c r="BG535" s="2" t="str">
        <f>VLOOKUP([jobnumber],OvalData[],MATCH(Table2[[#Headers],[Inner Spring Stretch]],Table2[#Headers],0),0)</f>
        <v>Null</v>
      </c>
      <c r="BH535" s="2" t="str">
        <f>VLOOKUP([jobnumber],OvalData[],MATCH(Table2[[#Headers],[Inner Spring Torque]],Table2[#Headers],0),0)</f>
        <v>Null</v>
      </c>
      <c r="BI535" s="2" t="str">
        <f>VLOOKUP([jobnumber],OvalData[],MATCH(Table2[[#Headers],[Inner Spring Max Turns]],Table2[#Headers],0),0)</f>
        <v>Null</v>
      </c>
      <c r="BJ535" s="2" t="str">
        <f>VLOOKUP([jobnumber],OvalData[],MATCH(Table2[[#Headers],[Inner Spring Weight]],Table2[#Headers],0),0)</f>
        <v>Null</v>
      </c>
      <c r="BK535" s="2">
        <f>VLOOKUP([jobnumber],OvalData[],MATCH(Table2[[#Headers],[Cycles]],Table2[#Headers],0),0)</f>
        <v>0</v>
      </c>
      <c r="BL535" s="2">
        <f>VLOOKUP([jobnumber],OvalData[],MATCH(Table2[[#Headers],[Total Spring Torque]],Table2[#Headers],0),0)</f>
        <v>0</v>
      </c>
      <c r="BM535" s="2">
        <f>VLOOKUP([jobnumber],OvalData[],MATCH(Table2[[#Headers],[Total Spring Weight]],Table2[#Headers],0),0)</f>
        <v>0</v>
      </c>
      <c r="BN535" s="2">
        <f>VLOOKUP([jobnumber],OvalData[],MATCH(Table2[[#Headers],[Pipe Weight]],Table2[#Headers],0),0)</f>
        <v>688.24239999999998</v>
      </c>
      <c r="BO535" s="2">
        <f>VLOOKUP([jobnumber],OvalData[],MATCH(Table2[[#Headers],[Max Pipe Deflection]],Table2[#Headers],0),0)</f>
        <v>2309</v>
      </c>
      <c r="BP535" s="2">
        <f>VLOOKUP([jobnumber],OvalData[],MATCH(Table2[[#Headers],[Number Non-Insulated Wrap Slats]],Table2[#Headers],0),0)</f>
        <v>0</v>
      </c>
      <c r="BQ535" s="2">
        <f>VLOOKUP([jobnumber],OvalData[],MATCH(Table2[[#Headers],[Number of Insolated Top Slats]],Table2[#Headers],0),0)</f>
        <v>45</v>
      </c>
      <c r="BR535" s="2">
        <f>VLOOKUP([jobnumber],OvalData[],MATCH(Table2[[#Headers],[Insolated Total Slats]],Table2[#Headers],0),0)</f>
        <v>45</v>
      </c>
      <c r="BS535" s="2">
        <f>VLOOKUP([jobnumber],OvalData[],MATCH(Table2[[#Headers],[Number of Slats]],Table2[#Headers],0),0)</f>
        <v>44.69</v>
      </c>
      <c r="BT535" s="2">
        <f>VLOOKUP([jobnumber],OvalData[],MATCH(Table2[[#Headers],[Wrap]],Table2[#Headers],0),0)</f>
        <v>0</v>
      </c>
      <c r="BU535" s="2">
        <f>VLOOKUP([jobnumber],OvalData[],MATCH(Table2[[#Headers],[Wall Angle Thickness]],Table2[#Headers],0),0)</f>
        <v>0</v>
      </c>
      <c r="BV535" s="2">
        <f>VLOOKUP([jobnumber],OvalData[],MATCH(Table2[[#Headers],[windlocks]],Table2[#Headers],0),0)</f>
        <v>0</v>
      </c>
      <c r="BW535" s="2" t="str">
        <f>VLOOKUP([jobnumber],OvalData[],MATCH(Table2[[#Headers],[bottombartype]],Table2[#Headers],0),0)</f>
        <v>SPECIAL</v>
      </c>
      <c r="BX535" s="2">
        <f>VLOOKUP([jobnumber],OvalData[],MATCH(Table2[[#Headers],[endlockweight]],Table2[#Headers],0),0)</f>
        <v>0.17</v>
      </c>
      <c r="BY535" s="2">
        <f>VLOOKUP([jobnumber],OvalData[],MATCH(Table2[[#Headers],[Endlock Total Weight]],Table2[#Headers],0),0)</f>
        <v>7.5972999999999997</v>
      </c>
      <c r="BZ535" s="2">
        <f>VLOOKUP([jobnumber],OvalData[],MATCH(Table2[[#Headers],[Grille Weight]],Table2[#Headers],0),0)</f>
        <v>0</v>
      </c>
      <c r="CA535" s="2">
        <f>VLOOKUP([jobnumber],OvalData[],MATCH(Table2[[#Headers],[barrelrings]],Table2[#Headers],0),0)</f>
        <v>1</v>
      </c>
    </row>
    <row r="536" spans="2:79">
      <c r="B536" s="2" t="str">
        <f>VLOOKUP([jobnumber],OvalData[],MATCH(Table2[[#Headers],[Hand]],Table2[#Headers],0),0)</f>
        <v>RH</v>
      </c>
      <c r="C536" s="2" t="str">
        <f>VLOOKUP([jobnumber],OvalData[],MATCH(Table2[[#Headers],[Model]],Table2[#Headers],0),0)</f>
        <v>SFMPP</v>
      </c>
      <c r="D536" s="2" t="str">
        <f>VLOOKUP([jobnumber],OvalData[],MATCH(Table2[[#Headers],[width]],Table2[#Headers],0),0)</f>
        <v xml:space="preserve"> 18 ft.- 2"</v>
      </c>
      <c r="E536" s="2" t="str">
        <f>VLOOKUP([jobnumber],OvalData[],MATCH(Table2[[#Headers],[stopheight]],Table2[#Headers],0),0)</f>
        <v xml:space="preserve"> 10 ft.- 0"</v>
      </c>
      <c r="F536" s="2" t="str">
        <f>VLOOKUP([jobnumber],OvalData[],MATCH(Table2[[#Headers],[Between Brackets]],Table2[#Headers],0),0)</f>
        <v xml:space="preserve"> 18 ft.- 7 7/ 8"</v>
      </c>
      <c r="G536" s="2" t="str">
        <f>VLOOKUP([jobnumber],OvalData[],MATCH(Table2[[#Headers],[shell]],Table2[#Headers],0),0)</f>
        <v>6 INCH TUBE</v>
      </c>
      <c r="H536" s="2" t="str">
        <f>VLOOKUP([jobnumber],OvalData[],MATCH(Table2[[#Headers],[pipewidth]],Table2[#Headers],0),0)</f>
        <v xml:space="preserve"> 18 ft.- 1 3/ 8"</v>
      </c>
      <c r="I536" s="2">
        <f>VLOOKUP([jobnumber],OvalData[],MATCH(Table2[[#Headers],[Support Tubes]],Table2[#Headers],0),0)</f>
        <v>0</v>
      </c>
      <c r="J536" s="2">
        <f>VLOOKUP([jobnumber],OvalData[],MATCH(Table2[[#Headers],[Upset]],Table2[#Headers],0),0)</f>
        <v>2</v>
      </c>
      <c r="K536" s="2" t="str">
        <f>VLOOKUP([jobnumber],OvalData[],MATCH(Table2[[#Headers],[Guide Type]],Table2[#Headers],0),0)</f>
        <v>SN2-4 5/8-E</v>
      </c>
      <c r="L536" s="2" t="str">
        <f>VLOOKUP([jobnumber],OvalData[],MATCH(Table2[[#Headers],[Wall Angle]],Table2[#Headers],0),0)</f>
        <v xml:space="preserve"> 11 ft.- 8"</v>
      </c>
      <c r="M536" s="2" t="str">
        <f>VLOOKUP([jobnumber],OvalData[],MATCH(Table2[[#Headers],[Middle Angle]],Table2[#Headers],0),0)</f>
        <v xml:space="preserve"> 10 ft.- 4 1/ 2"</v>
      </c>
      <c r="N536" s="2" t="str">
        <f>VLOOKUP([jobnumber],OvalData[],MATCH(Table2[[#Headers],[Front Angle]],Table2[#Headers],0),0)</f>
        <v xml:space="preserve"> 10 ft.- 3"</v>
      </c>
      <c r="O536" s="2">
        <f>VLOOKUP([jobnumber],OvalData[],MATCH(Table2[[#Headers],[Pipe Center Line]],Table2[#Headers],0),0)</f>
        <v>131</v>
      </c>
      <c r="P536" s="2">
        <f>VLOOKUP([jobnumber],OvalData[],MATCH(Table2[[#Headers],[Heat Expansion Gap]],Table2[#Headers],0),0)</f>
        <v>0</v>
      </c>
      <c r="Q536" s="2">
        <f>VLOOKUP([jobnumber],OvalData[],MATCH(Table2[[#Headers],[Hanging Weight Closed]],Table2[#Headers],0),0)</f>
        <v>795</v>
      </c>
      <c r="R536" s="2">
        <f>VLOOKUP([jobnumber],OvalData[],MATCH(Table2[[#Headers],[Hanging Weight Open]],Table2[#Headers],0),0)</f>
        <v>140</v>
      </c>
      <c r="S536" s="2">
        <f>VLOOKUP([jobnumber],OvalData[],MATCH(Table2[[#Headers],[Initial Lever Arm]],Table2[#Headers],0),0)</f>
        <v>4.25</v>
      </c>
      <c r="T536" s="2">
        <f>VLOOKUP([jobnumber],OvalData[],MATCH(Table2[[#Headers],[Turns to Raise]],Table2[#Headers],0),0)</f>
        <v>3.5859999999999999</v>
      </c>
      <c r="U536" s="2">
        <f>VLOOKUP([jobnumber],OvalData[],MATCH(Table2[[#Headers],[Final Lever Arm]],Table2[#Headers],0),0)</f>
        <v>6.37</v>
      </c>
      <c r="V536" s="2">
        <f>VLOOKUP([jobnumber],OvalData[],MATCH(Table2[[#Headers],[Torque Required Closed]],Table2[#Headers],0),0)</f>
        <v>3377.9</v>
      </c>
      <c r="W536" s="2">
        <f>VLOOKUP([jobnumber],OvalData[],MATCH(Table2[[#Headers],[Torque Required Open]],Table2[#Headers],0),0)</f>
        <v>892</v>
      </c>
      <c r="X536" s="2">
        <f>VLOOKUP([jobnumber],OvalData[],MATCH(Table2[[#Headers],[Pre Turns]],Table2[#Headers],0),0)</f>
        <v>1.3332999999999999</v>
      </c>
      <c r="Y536" s="2">
        <f>VLOOKUP([jobnumber],OvalData[],MATCH(Table2[[#Headers],[Required Torque Per Turn]],Table2[#Headers],0),0)</f>
        <v>688</v>
      </c>
      <c r="Z536" s="2">
        <f>VLOOKUP([jobnumber],OvalData[],MATCH(Table2[[#Headers],[Total Turns]],Table2[#Headers],0),0)</f>
        <v>4.91</v>
      </c>
      <c r="AA536" s="2">
        <f>VLOOKUP([jobnumber],OvalData[],MATCH(Table2[[#Headers],[Grille Vision Section]],Table2[#Headers],0),0)</f>
        <v>0</v>
      </c>
      <c r="AB536" s="2">
        <f>VLOOKUP([jobnumber],OvalData[],MATCH(Table2[[#Headers],[Grille Amount]],Table2[#Headers],0),0)</f>
        <v>0</v>
      </c>
      <c r="AC536" s="2">
        <f>VLOOKUP([jobnumber],OvalData[],MATCH(Table2[[#Headers],[Grille Center]],Table2[#Headers],0),0)</f>
        <v>0</v>
      </c>
      <c r="AD536" s="2">
        <f>VLOOKUP([jobnumber],OvalData[],MATCH(Table2[[#Headers],[Grille Pattern]],Table2[#Headers],0),0)</f>
        <v>0</v>
      </c>
      <c r="AE536" s="2">
        <f>VLOOKUP([jobnumber],OvalData[],MATCH(Table2[[#Headers],[Grille First Tube]],Table2[#Headers],0),0)</f>
        <v>0</v>
      </c>
      <c r="AF536" s="2">
        <f>VLOOKUP([jobnumber],OvalData[],MATCH(Table2[[#Headers],[Grille Standard Tube]],Table2[#Headers],0),0)</f>
        <v>0</v>
      </c>
      <c r="AG536" s="2">
        <f>VLOOKUP([jobnumber],OvalData[],MATCH(Table2[[#Headers],[Grille Total Links]],Table2[#Headers],0),0)</f>
        <v>0</v>
      </c>
      <c r="AH536" s="2">
        <f>VLOOKUP([jobnumber],OvalData[],MATCH(Table2[[#Headers],[Grille Rods]],Table2[#Headers],0),0)</f>
        <v>0</v>
      </c>
      <c r="AI536" s="2">
        <f>VLOOKUP([jobnumber],OvalData[],MATCH(Table2[[#Headers],[Grille Rod Length]],Table2[#Headers],0),0)</f>
        <v>0</v>
      </c>
      <c r="AJ536" s="2">
        <f>VLOOKUP([jobnumber],OvalData[],MATCH(Table2[[#Headers],[slattype]],Table2[#Headers],0),0)</f>
        <v>2</v>
      </c>
      <c r="AK536" s="2">
        <f>VLOOKUP([jobnumber],OvalData[],MATCH(Table2[[#Headers],[slatgage]],Table2[#Headers],0),0)</f>
        <v>18</v>
      </c>
      <c r="AL536" s="2">
        <f>VLOOKUP([jobnumber],OvalData[],MATCH(Table2[[#Headers],[Numer of Top Slats]],Table2[#Headers],0),0)</f>
        <v>0</v>
      </c>
      <c r="AM536" s="2">
        <f>VLOOKUP([jobnumber],OvalData[],MATCH(Table2[[#Headers],[Number of Bottom Slats]],Table2[#Headers],0),0)</f>
        <v>0</v>
      </c>
      <c r="AN536" s="2">
        <f>VLOOKUP([jobnumber],OvalData[],MATCH(Table2[[#Headers],[Solid Bottom Height]],Table2[#Headers],0),0)</f>
        <v>0</v>
      </c>
      <c r="AO536" s="2" t="str">
        <f>VLOOKUP([jobnumber],OvalData[],MATCH(Table2[[#Headers],[slatlength]],Table2[#Headers],0),0)</f>
        <v xml:space="preserve"> 18 ft.- 5 7/ 8"</v>
      </c>
      <c r="AP536" s="2">
        <f>VLOOKUP([jobnumber],OvalData[],MATCH(Table2[[#Headers],[Bottom Slat Length]],Table2[#Headers],0),0)</f>
        <v>0</v>
      </c>
      <c r="AQ536" s="2">
        <f>VLOOKUP([jobnumber],OvalData[],MATCH(Table2[[#Headers],[Number of Perferated Slats]],Table2[#Headers],0),0)</f>
        <v>0</v>
      </c>
      <c r="AR536" s="2">
        <f>VLOOKUP([jobnumber],OvalData[],MATCH(Table2[[#Headers],[First Preferated Slat From End]],Table2[#Headers],0),0)</f>
        <v>0</v>
      </c>
      <c r="AS536" s="2">
        <f>VLOOKUP([jobnumber],OvalData[],MATCH(Table2[[#Headers],[First Preferated Slat From Bottom]],Table2[#Headers],0),0)</f>
        <v>0</v>
      </c>
      <c r="AT536" s="2">
        <f>VLOOKUP([jobnumber],OvalData[],MATCH(Table2[[#Headers],[Total Number of Slats]],Table2[#Headers],0),0)</f>
        <v>51</v>
      </c>
      <c r="AU536" s="2">
        <f>VLOOKUP([jobnumber],OvalData[],MATCH(Table2[[#Headers],[Bottom Bar Slope]],Table2[#Headers],0),0)</f>
        <v>0</v>
      </c>
      <c r="AV536" s="2">
        <f>VLOOKUP([jobnumber],OvalData[],MATCH(Table2[[#Headers],[Bottom Bar Weight]],Table2[#Headers],0),0)</f>
        <v>80.5</v>
      </c>
      <c r="AW536" s="2" t="str">
        <f>VLOOKUP([jobnumber],OvalData[],MATCH(Table2[[#Headers],[Outer Spring Gage]],Table2[#Headers],0),0)</f>
        <v>Null</v>
      </c>
      <c r="AX536" s="2" t="str">
        <f>VLOOKUP([jobnumber],OvalData[],MATCH(Table2[[#Headers],[Outer Spring OD]],Table2[#Headers],0),0)</f>
        <v>Null</v>
      </c>
      <c r="AY536" s="2" t="str">
        <f>VLOOKUP([jobnumber],OvalData[],MATCH(Table2[[#Headers],[Outer Spring Length]],Table2[#Headers],0),0)</f>
        <v>Null</v>
      </c>
      <c r="AZ536" s="2" t="str">
        <f>VLOOKUP([jobnumber],OvalData[],MATCH(Table2[[#Headers],[Outer Spring Stretch]],Table2[#Headers],0),0)</f>
        <v>Null</v>
      </c>
      <c r="BA536" s="2" t="str">
        <f>VLOOKUP([jobnumber],OvalData[],MATCH(Table2[[#Headers],[Outer Spring Torque]],Table2[#Headers],0),0)</f>
        <v>Null</v>
      </c>
      <c r="BB536" s="2" t="str">
        <f>VLOOKUP([jobnumber],OvalData[],MATCH(Table2[[#Headers],[Outer Spring Max Turns]],Table2[#Headers],0),0)</f>
        <v>Null</v>
      </c>
      <c r="BC536" s="2" t="str">
        <f>VLOOKUP([jobnumber],OvalData[],MATCH(Table2[[#Headers],[Outer Spring Weight]],Table2[#Headers],0),0)</f>
        <v>Null</v>
      </c>
      <c r="BD536" s="2" t="str">
        <f>VLOOKUP([jobnumber],OvalData[],MATCH(Table2[[#Headers],[Inner Spring Gage]],Table2[#Headers],0),0)</f>
        <v>Null</v>
      </c>
      <c r="BE536" s="2" t="str">
        <f>VLOOKUP([jobnumber],OvalData[],MATCH(Table2[[#Headers],[Inner Spring OD]],Table2[#Headers],0),0)</f>
        <v>Null</v>
      </c>
      <c r="BF536" s="2" t="str">
        <f>VLOOKUP([jobnumber],OvalData[],MATCH(Table2[[#Headers],[Inner Spring Length]],Table2[#Headers],0),0)</f>
        <v>Null</v>
      </c>
      <c r="BG536" s="2" t="str">
        <f>VLOOKUP([jobnumber],OvalData[],MATCH(Table2[[#Headers],[Inner Spring Stretch]],Table2[#Headers],0),0)</f>
        <v>Null</v>
      </c>
      <c r="BH536" s="2" t="str">
        <f>VLOOKUP([jobnumber],OvalData[],MATCH(Table2[[#Headers],[Inner Spring Torque]],Table2[#Headers],0),0)</f>
        <v>Null</v>
      </c>
      <c r="BI536" s="2" t="str">
        <f>VLOOKUP([jobnumber],OvalData[],MATCH(Table2[[#Headers],[Inner Spring Max Turns]],Table2[#Headers],0),0)</f>
        <v>Null</v>
      </c>
      <c r="BJ536" s="2" t="str">
        <f>VLOOKUP([jobnumber],OvalData[],MATCH(Table2[[#Headers],[Inner Spring Weight]],Table2[#Headers],0),0)</f>
        <v>Null</v>
      </c>
      <c r="BK536" s="2">
        <f>VLOOKUP([jobnumber],OvalData[],MATCH(Table2[[#Headers],[Cycles]],Table2[#Headers],0),0)</f>
        <v>0</v>
      </c>
      <c r="BL536" s="2">
        <f>VLOOKUP([jobnumber],OvalData[],MATCH(Table2[[#Headers],[Total Spring Torque]],Table2[#Headers],0),0)</f>
        <v>0</v>
      </c>
      <c r="BM536" s="2">
        <f>VLOOKUP([jobnumber],OvalData[],MATCH(Table2[[#Headers],[Total Spring Weight]],Table2[#Headers],0),0)</f>
        <v>0</v>
      </c>
      <c r="BN536" s="2">
        <f>VLOOKUP([jobnumber],OvalData[],MATCH(Table2[[#Headers],[Pipe Weight]],Table2[#Headers],0),0)</f>
        <v>688.24239999999998</v>
      </c>
      <c r="BO536" s="2">
        <f>VLOOKUP([jobnumber],OvalData[],MATCH(Table2[[#Headers],[Max Pipe Deflection]],Table2[#Headers],0),0)</f>
        <v>2309</v>
      </c>
      <c r="BP536" s="2">
        <f>VLOOKUP([jobnumber],OvalData[],MATCH(Table2[[#Headers],[Number Non-Insulated Wrap Slats]],Table2[#Headers],0),0)</f>
        <v>0</v>
      </c>
      <c r="BQ536" s="2">
        <f>VLOOKUP([jobnumber],OvalData[],MATCH(Table2[[#Headers],[Number of Insolated Top Slats]],Table2[#Headers],0),0)</f>
        <v>45</v>
      </c>
      <c r="BR536" s="2">
        <f>VLOOKUP([jobnumber],OvalData[],MATCH(Table2[[#Headers],[Insolated Total Slats]],Table2[#Headers],0),0)</f>
        <v>45</v>
      </c>
      <c r="BS536" s="2">
        <f>VLOOKUP([jobnumber],OvalData[],MATCH(Table2[[#Headers],[Number of Slats]],Table2[#Headers],0),0)</f>
        <v>44.69</v>
      </c>
      <c r="BT536" s="2">
        <f>VLOOKUP([jobnumber],OvalData[],MATCH(Table2[[#Headers],[Wrap]],Table2[#Headers],0),0)</f>
        <v>0</v>
      </c>
      <c r="BU536" s="2">
        <f>VLOOKUP([jobnumber],OvalData[],MATCH(Table2[[#Headers],[Wall Angle Thickness]],Table2[#Headers],0),0)</f>
        <v>0</v>
      </c>
      <c r="BV536" s="2">
        <f>VLOOKUP([jobnumber],OvalData[],MATCH(Table2[[#Headers],[windlocks]],Table2[#Headers],0),0)</f>
        <v>0</v>
      </c>
      <c r="BW536" s="2" t="str">
        <f>VLOOKUP([jobnumber],OvalData[],MATCH(Table2[[#Headers],[bottombartype]],Table2[#Headers],0),0)</f>
        <v>SPECIAL</v>
      </c>
      <c r="BX536" s="2">
        <f>VLOOKUP([jobnumber],OvalData[],MATCH(Table2[[#Headers],[endlockweight]],Table2[#Headers],0),0)</f>
        <v>0.17</v>
      </c>
      <c r="BY536" s="2">
        <f>VLOOKUP([jobnumber],OvalData[],MATCH(Table2[[#Headers],[Endlock Total Weight]],Table2[#Headers],0),0)</f>
        <v>7.5972999999999997</v>
      </c>
      <c r="BZ536" s="2">
        <f>VLOOKUP([jobnumber],OvalData[],MATCH(Table2[[#Headers],[Grille Weight]],Table2[#Headers],0),0)</f>
        <v>0</v>
      </c>
      <c r="CA536" s="2">
        <f>VLOOKUP([jobnumber],OvalData[],MATCH(Table2[[#Headers],[barrelrings]],Table2[#Headers],0),0)</f>
        <v>1</v>
      </c>
    </row>
    <row r="537" spans="2:79">
      <c r="B537" s="2" t="str">
        <f>VLOOKUP([jobnumber],OvalData[],MATCH(Table2[[#Headers],[Hand]],Table2[#Headers],0),0)</f>
        <v>RH</v>
      </c>
      <c r="C537" s="2" t="str">
        <f>VLOOKUP([jobnumber],OvalData[],MATCH(Table2[[#Headers],[Model]],Table2[#Headers],0),0)</f>
        <v>SFMPP</v>
      </c>
      <c r="D537" s="2" t="str">
        <f>VLOOKUP([jobnumber],OvalData[],MATCH(Table2[[#Headers],[width]],Table2[#Headers],0),0)</f>
        <v xml:space="preserve"> 18 ft.- 2"</v>
      </c>
      <c r="E537" s="2" t="str">
        <f>VLOOKUP([jobnumber],OvalData[],MATCH(Table2[[#Headers],[stopheight]],Table2[#Headers],0),0)</f>
        <v xml:space="preserve"> 10 ft.- 0"</v>
      </c>
      <c r="F537" s="2" t="str">
        <f>VLOOKUP([jobnumber],OvalData[],MATCH(Table2[[#Headers],[Between Brackets]],Table2[#Headers],0),0)</f>
        <v xml:space="preserve"> 18 ft.- 7 7/ 8"</v>
      </c>
      <c r="G537" s="2" t="str">
        <f>VLOOKUP([jobnumber],OvalData[],MATCH(Table2[[#Headers],[shell]],Table2[#Headers],0),0)</f>
        <v>6 INCH TUBE</v>
      </c>
      <c r="H537" s="2" t="str">
        <f>VLOOKUP([jobnumber],OvalData[],MATCH(Table2[[#Headers],[pipewidth]],Table2[#Headers],0),0)</f>
        <v xml:space="preserve"> 18 ft.- 1 3/ 8"</v>
      </c>
      <c r="I537" s="2">
        <f>VLOOKUP([jobnumber],OvalData[],MATCH(Table2[[#Headers],[Support Tubes]],Table2[#Headers],0),0)</f>
        <v>0</v>
      </c>
      <c r="J537" s="2">
        <f>VLOOKUP([jobnumber],OvalData[],MATCH(Table2[[#Headers],[Upset]],Table2[#Headers],0),0)</f>
        <v>2</v>
      </c>
      <c r="K537" s="2" t="str">
        <f>VLOOKUP([jobnumber],OvalData[],MATCH(Table2[[#Headers],[Guide Type]],Table2[#Headers],0),0)</f>
        <v>SN2-4 5/8-E</v>
      </c>
      <c r="L537" s="2" t="str">
        <f>VLOOKUP([jobnumber],OvalData[],MATCH(Table2[[#Headers],[Wall Angle]],Table2[#Headers],0),0)</f>
        <v xml:space="preserve"> 11 ft.- 8"</v>
      </c>
      <c r="M537" s="2" t="str">
        <f>VLOOKUP([jobnumber],OvalData[],MATCH(Table2[[#Headers],[Middle Angle]],Table2[#Headers],0),0)</f>
        <v xml:space="preserve"> 10 ft.- 4 1/ 2"</v>
      </c>
      <c r="N537" s="2" t="str">
        <f>VLOOKUP([jobnumber],OvalData[],MATCH(Table2[[#Headers],[Front Angle]],Table2[#Headers],0),0)</f>
        <v xml:space="preserve"> 10 ft.- 3"</v>
      </c>
      <c r="O537" s="2">
        <f>VLOOKUP([jobnumber],OvalData[],MATCH(Table2[[#Headers],[Pipe Center Line]],Table2[#Headers],0),0)</f>
        <v>131</v>
      </c>
      <c r="P537" s="2">
        <f>VLOOKUP([jobnumber],OvalData[],MATCH(Table2[[#Headers],[Heat Expansion Gap]],Table2[#Headers],0),0)</f>
        <v>0</v>
      </c>
      <c r="Q537" s="2">
        <f>VLOOKUP([jobnumber],OvalData[],MATCH(Table2[[#Headers],[Hanging Weight Closed]],Table2[#Headers],0),0)</f>
        <v>795</v>
      </c>
      <c r="R537" s="2">
        <f>VLOOKUP([jobnumber],OvalData[],MATCH(Table2[[#Headers],[Hanging Weight Open]],Table2[#Headers],0),0)</f>
        <v>140</v>
      </c>
      <c r="S537" s="2">
        <f>VLOOKUP([jobnumber],OvalData[],MATCH(Table2[[#Headers],[Initial Lever Arm]],Table2[#Headers],0),0)</f>
        <v>4.25</v>
      </c>
      <c r="T537" s="2">
        <f>VLOOKUP([jobnumber],OvalData[],MATCH(Table2[[#Headers],[Turns to Raise]],Table2[#Headers],0),0)</f>
        <v>3.5859999999999999</v>
      </c>
      <c r="U537" s="2">
        <f>VLOOKUP([jobnumber],OvalData[],MATCH(Table2[[#Headers],[Final Lever Arm]],Table2[#Headers],0),0)</f>
        <v>6.37</v>
      </c>
      <c r="V537" s="2">
        <f>VLOOKUP([jobnumber],OvalData[],MATCH(Table2[[#Headers],[Torque Required Closed]],Table2[#Headers],0),0)</f>
        <v>3377.9</v>
      </c>
      <c r="W537" s="2">
        <f>VLOOKUP([jobnumber],OvalData[],MATCH(Table2[[#Headers],[Torque Required Open]],Table2[#Headers],0),0)</f>
        <v>892</v>
      </c>
      <c r="X537" s="2">
        <f>VLOOKUP([jobnumber],OvalData[],MATCH(Table2[[#Headers],[Pre Turns]],Table2[#Headers],0),0)</f>
        <v>1.3332999999999999</v>
      </c>
      <c r="Y537" s="2">
        <f>VLOOKUP([jobnumber],OvalData[],MATCH(Table2[[#Headers],[Required Torque Per Turn]],Table2[#Headers],0),0)</f>
        <v>688</v>
      </c>
      <c r="Z537" s="2">
        <f>VLOOKUP([jobnumber],OvalData[],MATCH(Table2[[#Headers],[Total Turns]],Table2[#Headers],0),0)</f>
        <v>4.91</v>
      </c>
      <c r="AA537" s="2">
        <f>VLOOKUP([jobnumber],OvalData[],MATCH(Table2[[#Headers],[Grille Vision Section]],Table2[#Headers],0),0)</f>
        <v>0</v>
      </c>
      <c r="AB537" s="2">
        <f>VLOOKUP([jobnumber],OvalData[],MATCH(Table2[[#Headers],[Grille Amount]],Table2[#Headers],0),0)</f>
        <v>0</v>
      </c>
      <c r="AC537" s="2">
        <f>VLOOKUP([jobnumber],OvalData[],MATCH(Table2[[#Headers],[Grille Center]],Table2[#Headers],0),0)</f>
        <v>0</v>
      </c>
      <c r="AD537" s="2">
        <f>VLOOKUP([jobnumber],OvalData[],MATCH(Table2[[#Headers],[Grille Pattern]],Table2[#Headers],0),0)</f>
        <v>0</v>
      </c>
      <c r="AE537" s="2">
        <f>VLOOKUP([jobnumber],OvalData[],MATCH(Table2[[#Headers],[Grille First Tube]],Table2[#Headers],0),0)</f>
        <v>0</v>
      </c>
      <c r="AF537" s="2">
        <f>VLOOKUP([jobnumber],OvalData[],MATCH(Table2[[#Headers],[Grille Standard Tube]],Table2[#Headers],0),0)</f>
        <v>0</v>
      </c>
      <c r="AG537" s="2">
        <f>VLOOKUP([jobnumber],OvalData[],MATCH(Table2[[#Headers],[Grille Total Links]],Table2[#Headers],0),0)</f>
        <v>0</v>
      </c>
      <c r="AH537" s="2">
        <f>VLOOKUP([jobnumber],OvalData[],MATCH(Table2[[#Headers],[Grille Rods]],Table2[#Headers],0),0)</f>
        <v>0</v>
      </c>
      <c r="AI537" s="2">
        <f>VLOOKUP([jobnumber],OvalData[],MATCH(Table2[[#Headers],[Grille Rod Length]],Table2[#Headers],0),0)</f>
        <v>0</v>
      </c>
      <c r="AJ537" s="2">
        <f>VLOOKUP([jobnumber],OvalData[],MATCH(Table2[[#Headers],[slattype]],Table2[#Headers],0),0)</f>
        <v>2</v>
      </c>
      <c r="AK537" s="2">
        <f>VLOOKUP([jobnumber],OvalData[],MATCH(Table2[[#Headers],[slatgage]],Table2[#Headers],0),0)</f>
        <v>18</v>
      </c>
      <c r="AL537" s="2">
        <f>VLOOKUP([jobnumber],OvalData[],MATCH(Table2[[#Headers],[Numer of Top Slats]],Table2[#Headers],0),0)</f>
        <v>0</v>
      </c>
      <c r="AM537" s="2">
        <f>VLOOKUP([jobnumber],OvalData[],MATCH(Table2[[#Headers],[Number of Bottom Slats]],Table2[#Headers],0),0)</f>
        <v>0</v>
      </c>
      <c r="AN537" s="2">
        <f>VLOOKUP([jobnumber],OvalData[],MATCH(Table2[[#Headers],[Solid Bottom Height]],Table2[#Headers],0),0)</f>
        <v>0</v>
      </c>
      <c r="AO537" s="2" t="str">
        <f>VLOOKUP([jobnumber],OvalData[],MATCH(Table2[[#Headers],[slatlength]],Table2[#Headers],0),0)</f>
        <v xml:space="preserve"> 18 ft.- 5 7/ 8"</v>
      </c>
      <c r="AP537" s="2">
        <f>VLOOKUP([jobnumber],OvalData[],MATCH(Table2[[#Headers],[Bottom Slat Length]],Table2[#Headers],0),0)</f>
        <v>0</v>
      </c>
      <c r="AQ537" s="2">
        <f>VLOOKUP([jobnumber],OvalData[],MATCH(Table2[[#Headers],[Number of Perferated Slats]],Table2[#Headers],0),0)</f>
        <v>0</v>
      </c>
      <c r="AR537" s="2">
        <f>VLOOKUP([jobnumber],OvalData[],MATCH(Table2[[#Headers],[First Preferated Slat From End]],Table2[#Headers],0),0)</f>
        <v>0</v>
      </c>
      <c r="AS537" s="2">
        <f>VLOOKUP([jobnumber],OvalData[],MATCH(Table2[[#Headers],[First Preferated Slat From Bottom]],Table2[#Headers],0),0)</f>
        <v>0</v>
      </c>
      <c r="AT537" s="2">
        <f>VLOOKUP([jobnumber],OvalData[],MATCH(Table2[[#Headers],[Total Number of Slats]],Table2[#Headers],0),0)</f>
        <v>51</v>
      </c>
      <c r="AU537" s="2">
        <f>VLOOKUP([jobnumber],OvalData[],MATCH(Table2[[#Headers],[Bottom Bar Slope]],Table2[#Headers],0),0)</f>
        <v>0</v>
      </c>
      <c r="AV537" s="2">
        <f>VLOOKUP([jobnumber],OvalData[],MATCH(Table2[[#Headers],[Bottom Bar Weight]],Table2[#Headers],0),0)</f>
        <v>80.5</v>
      </c>
      <c r="AW537" s="2" t="str">
        <f>VLOOKUP([jobnumber],OvalData[],MATCH(Table2[[#Headers],[Outer Spring Gage]],Table2[#Headers],0),0)</f>
        <v>Null</v>
      </c>
      <c r="AX537" s="2" t="str">
        <f>VLOOKUP([jobnumber],OvalData[],MATCH(Table2[[#Headers],[Outer Spring OD]],Table2[#Headers],0),0)</f>
        <v>Null</v>
      </c>
      <c r="AY537" s="2" t="str">
        <f>VLOOKUP([jobnumber],OvalData[],MATCH(Table2[[#Headers],[Outer Spring Length]],Table2[#Headers],0),0)</f>
        <v>Null</v>
      </c>
      <c r="AZ537" s="2" t="str">
        <f>VLOOKUP([jobnumber],OvalData[],MATCH(Table2[[#Headers],[Outer Spring Stretch]],Table2[#Headers],0),0)</f>
        <v>Null</v>
      </c>
      <c r="BA537" s="2" t="str">
        <f>VLOOKUP([jobnumber],OvalData[],MATCH(Table2[[#Headers],[Outer Spring Torque]],Table2[#Headers],0),0)</f>
        <v>Null</v>
      </c>
      <c r="BB537" s="2" t="str">
        <f>VLOOKUP([jobnumber],OvalData[],MATCH(Table2[[#Headers],[Outer Spring Max Turns]],Table2[#Headers],0),0)</f>
        <v>Null</v>
      </c>
      <c r="BC537" s="2" t="str">
        <f>VLOOKUP([jobnumber],OvalData[],MATCH(Table2[[#Headers],[Outer Spring Weight]],Table2[#Headers],0),0)</f>
        <v>Null</v>
      </c>
      <c r="BD537" s="2" t="str">
        <f>VLOOKUP([jobnumber],OvalData[],MATCH(Table2[[#Headers],[Inner Spring Gage]],Table2[#Headers],0),0)</f>
        <v>Null</v>
      </c>
      <c r="BE537" s="2" t="str">
        <f>VLOOKUP([jobnumber],OvalData[],MATCH(Table2[[#Headers],[Inner Spring OD]],Table2[#Headers],0),0)</f>
        <v>Null</v>
      </c>
      <c r="BF537" s="2" t="str">
        <f>VLOOKUP([jobnumber],OvalData[],MATCH(Table2[[#Headers],[Inner Spring Length]],Table2[#Headers],0),0)</f>
        <v>Null</v>
      </c>
      <c r="BG537" s="2" t="str">
        <f>VLOOKUP([jobnumber],OvalData[],MATCH(Table2[[#Headers],[Inner Spring Stretch]],Table2[#Headers],0),0)</f>
        <v>Null</v>
      </c>
      <c r="BH537" s="2" t="str">
        <f>VLOOKUP([jobnumber],OvalData[],MATCH(Table2[[#Headers],[Inner Spring Torque]],Table2[#Headers],0),0)</f>
        <v>Null</v>
      </c>
      <c r="BI537" s="2" t="str">
        <f>VLOOKUP([jobnumber],OvalData[],MATCH(Table2[[#Headers],[Inner Spring Max Turns]],Table2[#Headers],0),0)</f>
        <v>Null</v>
      </c>
      <c r="BJ537" s="2" t="str">
        <f>VLOOKUP([jobnumber],OvalData[],MATCH(Table2[[#Headers],[Inner Spring Weight]],Table2[#Headers],0),0)</f>
        <v>Null</v>
      </c>
      <c r="BK537" s="2">
        <f>VLOOKUP([jobnumber],OvalData[],MATCH(Table2[[#Headers],[Cycles]],Table2[#Headers],0),0)</f>
        <v>0</v>
      </c>
      <c r="BL537" s="2">
        <f>VLOOKUP([jobnumber],OvalData[],MATCH(Table2[[#Headers],[Total Spring Torque]],Table2[#Headers],0),0)</f>
        <v>0</v>
      </c>
      <c r="BM537" s="2">
        <f>VLOOKUP([jobnumber],OvalData[],MATCH(Table2[[#Headers],[Total Spring Weight]],Table2[#Headers],0),0)</f>
        <v>0</v>
      </c>
      <c r="BN537" s="2">
        <f>VLOOKUP([jobnumber],OvalData[],MATCH(Table2[[#Headers],[Pipe Weight]],Table2[#Headers],0),0)</f>
        <v>688.24239999999998</v>
      </c>
      <c r="BO537" s="2">
        <f>VLOOKUP([jobnumber],OvalData[],MATCH(Table2[[#Headers],[Max Pipe Deflection]],Table2[#Headers],0),0)</f>
        <v>2309</v>
      </c>
      <c r="BP537" s="2">
        <f>VLOOKUP([jobnumber],OvalData[],MATCH(Table2[[#Headers],[Number Non-Insulated Wrap Slats]],Table2[#Headers],0),0)</f>
        <v>0</v>
      </c>
      <c r="BQ537" s="2">
        <f>VLOOKUP([jobnumber],OvalData[],MATCH(Table2[[#Headers],[Number of Insolated Top Slats]],Table2[#Headers],0),0)</f>
        <v>45</v>
      </c>
      <c r="BR537" s="2">
        <f>VLOOKUP([jobnumber],OvalData[],MATCH(Table2[[#Headers],[Insolated Total Slats]],Table2[#Headers],0),0)</f>
        <v>45</v>
      </c>
      <c r="BS537" s="2">
        <f>VLOOKUP([jobnumber],OvalData[],MATCH(Table2[[#Headers],[Number of Slats]],Table2[#Headers],0),0)</f>
        <v>44.69</v>
      </c>
      <c r="BT537" s="2">
        <f>VLOOKUP([jobnumber],OvalData[],MATCH(Table2[[#Headers],[Wrap]],Table2[#Headers],0),0)</f>
        <v>0</v>
      </c>
      <c r="BU537" s="2">
        <f>VLOOKUP([jobnumber],OvalData[],MATCH(Table2[[#Headers],[Wall Angle Thickness]],Table2[#Headers],0),0)</f>
        <v>0</v>
      </c>
      <c r="BV537" s="2">
        <f>VLOOKUP([jobnumber],OvalData[],MATCH(Table2[[#Headers],[windlocks]],Table2[#Headers],0),0)</f>
        <v>0</v>
      </c>
      <c r="BW537" s="2" t="str">
        <f>VLOOKUP([jobnumber],OvalData[],MATCH(Table2[[#Headers],[bottombartype]],Table2[#Headers],0),0)</f>
        <v>SPECIAL</v>
      </c>
      <c r="BX537" s="2">
        <f>VLOOKUP([jobnumber],OvalData[],MATCH(Table2[[#Headers],[endlockweight]],Table2[#Headers],0),0)</f>
        <v>0.17</v>
      </c>
      <c r="BY537" s="2">
        <f>VLOOKUP([jobnumber],OvalData[],MATCH(Table2[[#Headers],[Endlock Total Weight]],Table2[#Headers],0),0)</f>
        <v>7.5972999999999997</v>
      </c>
      <c r="BZ537" s="2">
        <f>VLOOKUP([jobnumber],OvalData[],MATCH(Table2[[#Headers],[Grille Weight]],Table2[#Headers],0),0)</f>
        <v>0</v>
      </c>
      <c r="CA537" s="2">
        <f>VLOOKUP([jobnumber],OvalData[],MATCH(Table2[[#Headers],[barrelrings]],Table2[#Headers],0),0)</f>
        <v>1</v>
      </c>
    </row>
    <row r="538" spans="2:79">
      <c r="B538" s="2" t="str">
        <f>VLOOKUP([jobnumber],OvalData[],MATCH(Table2[[#Headers],[Hand]],Table2[#Headers],0),0)</f>
        <v>RH</v>
      </c>
      <c r="C538" s="2" t="str">
        <f>VLOOKUP([jobnumber],OvalData[],MATCH(Table2[[#Headers],[Model]],Table2[#Headers],0),0)</f>
        <v>SFMPP</v>
      </c>
      <c r="D538" s="2" t="str">
        <f>VLOOKUP([jobnumber],OvalData[],MATCH(Table2[[#Headers],[width]],Table2[#Headers],0),0)</f>
        <v xml:space="preserve"> 18 ft.- 2"</v>
      </c>
      <c r="E538" s="2" t="str">
        <f>VLOOKUP([jobnumber],OvalData[],MATCH(Table2[[#Headers],[stopheight]],Table2[#Headers],0),0)</f>
        <v xml:space="preserve"> 10 ft.- 0"</v>
      </c>
      <c r="F538" s="2" t="str">
        <f>VLOOKUP([jobnumber],OvalData[],MATCH(Table2[[#Headers],[Between Brackets]],Table2[#Headers],0),0)</f>
        <v xml:space="preserve"> 18 ft.- 7 7/ 8"</v>
      </c>
      <c r="G538" s="2" t="str">
        <f>VLOOKUP([jobnumber],OvalData[],MATCH(Table2[[#Headers],[shell]],Table2[#Headers],0),0)</f>
        <v>6 INCH TUBE</v>
      </c>
      <c r="H538" s="2" t="str">
        <f>VLOOKUP([jobnumber],OvalData[],MATCH(Table2[[#Headers],[pipewidth]],Table2[#Headers],0),0)</f>
        <v xml:space="preserve"> 18 ft.- 1 3/ 8"</v>
      </c>
      <c r="I538" s="2">
        <f>VLOOKUP([jobnumber],OvalData[],MATCH(Table2[[#Headers],[Support Tubes]],Table2[#Headers],0),0)</f>
        <v>0</v>
      </c>
      <c r="J538" s="2">
        <f>VLOOKUP([jobnumber],OvalData[],MATCH(Table2[[#Headers],[Upset]],Table2[#Headers],0),0)</f>
        <v>2</v>
      </c>
      <c r="K538" s="2" t="str">
        <f>VLOOKUP([jobnumber],OvalData[],MATCH(Table2[[#Headers],[Guide Type]],Table2[#Headers],0),0)</f>
        <v>SN2-4 5/8-E</v>
      </c>
      <c r="L538" s="2" t="str">
        <f>VLOOKUP([jobnumber],OvalData[],MATCH(Table2[[#Headers],[Wall Angle]],Table2[#Headers],0),0)</f>
        <v xml:space="preserve"> 11 ft.- 8"</v>
      </c>
      <c r="M538" s="2" t="str">
        <f>VLOOKUP([jobnumber],OvalData[],MATCH(Table2[[#Headers],[Middle Angle]],Table2[#Headers],0),0)</f>
        <v xml:space="preserve"> 10 ft.- 4 1/ 2"</v>
      </c>
      <c r="N538" s="2" t="str">
        <f>VLOOKUP([jobnumber],OvalData[],MATCH(Table2[[#Headers],[Front Angle]],Table2[#Headers],0),0)</f>
        <v xml:space="preserve"> 10 ft.- 3"</v>
      </c>
      <c r="O538" s="2">
        <f>VLOOKUP([jobnumber],OvalData[],MATCH(Table2[[#Headers],[Pipe Center Line]],Table2[#Headers],0),0)</f>
        <v>131</v>
      </c>
      <c r="P538" s="2">
        <f>VLOOKUP([jobnumber],OvalData[],MATCH(Table2[[#Headers],[Heat Expansion Gap]],Table2[#Headers],0),0)</f>
        <v>0</v>
      </c>
      <c r="Q538" s="2">
        <f>VLOOKUP([jobnumber],OvalData[],MATCH(Table2[[#Headers],[Hanging Weight Closed]],Table2[#Headers],0),0)</f>
        <v>795</v>
      </c>
      <c r="R538" s="2">
        <f>VLOOKUP([jobnumber],OvalData[],MATCH(Table2[[#Headers],[Hanging Weight Open]],Table2[#Headers],0),0)</f>
        <v>140</v>
      </c>
      <c r="S538" s="2">
        <f>VLOOKUP([jobnumber],OvalData[],MATCH(Table2[[#Headers],[Initial Lever Arm]],Table2[#Headers],0),0)</f>
        <v>4.25</v>
      </c>
      <c r="T538" s="2">
        <f>VLOOKUP([jobnumber],OvalData[],MATCH(Table2[[#Headers],[Turns to Raise]],Table2[#Headers],0),0)</f>
        <v>3.5859999999999999</v>
      </c>
      <c r="U538" s="2">
        <f>VLOOKUP([jobnumber],OvalData[],MATCH(Table2[[#Headers],[Final Lever Arm]],Table2[#Headers],0),0)</f>
        <v>6.37</v>
      </c>
      <c r="V538" s="2">
        <f>VLOOKUP([jobnumber],OvalData[],MATCH(Table2[[#Headers],[Torque Required Closed]],Table2[#Headers],0),0)</f>
        <v>3377.9</v>
      </c>
      <c r="W538" s="2">
        <f>VLOOKUP([jobnumber],OvalData[],MATCH(Table2[[#Headers],[Torque Required Open]],Table2[#Headers],0),0)</f>
        <v>892</v>
      </c>
      <c r="X538" s="2">
        <f>VLOOKUP([jobnumber],OvalData[],MATCH(Table2[[#Headers],[Pre Turns]],Table2[#Headers],0),0)</f>
        <v>1.3332999999999999</v>
      </c>
      <c r="Y538" s="2">
        <f>VLOOKUP([jobnumber],OvalData[],MATCH(Table2[[#Headers],[Required Torque Per Turn]],Table2[#Headers],0),0)</f>
        <v>688</v>
      </c>
      <c r="Z538" s="2">
        <f>VLOOKUP([jobnumber],OvalData[],MATCH(Table2[[#Headers],[Total Turns]],Table2[#Headers],0),0)</f>
        <v>4.91</v>
      </c>
      <c r="AA538" s="2">
        <f>VLOOKUP([jobnumber],OvalData[],MATCH(Table2[[#Headers],[Grille Vision Section]],Table2[#Headers],0),0)</f>
        <v>0</v>
      </c>
      <c r="AB538" s="2">
        <f>VLOOKUP([jobnumber],OvalData[],MATCH(Table2[[#Headers],[Grille Amount]],Table2[#Headers],0),0)</f>
        <v>0</v>
      </c>
      <c r="AC538" s="2">
        <f>VLOOKUP([jobnumber],OvalData[],MATCH(Table2[[#Headers],[Grille Center]],Table2[#Headers],0),0)</f>
        <v>0</v>
      </c>
      <c r="AD538" s="2">
        <f>VLOOKUP([jobnumber],OvalData[],MATCH(Table2[[#Headers],[Grille Pattern]],Table2[#Headers],0),0)</f>
        <v>0</v>
      </c>
      <c r="AE538" s="2">
        <f>VLOOKUP([jobnumber],OvalData[],MATCH(Table2[[#Headers],[Grille First Tube]],Table2[#Headers],0),0)</f>
        <v>0</v>
      </c>
      <c r="AF538" s="2">
        <f>VLOOKUP([jobnumber],OvalData[],MATCH(Table2[[#Headers],[Grille Standard Tube]],Table2[#Headers],0),0)</f>
        <v>0</v>
      </c>
      <c r="AG538" s="2">
        <f>VLOOKUP([jobnumber],OvalData[],MATCH(Table2[[#Headers],[Grille Total Links]],Table2[#Headers],0),0)</f>
        <v>0</v>
      </c>
      <c r="AH538" s="2">
        <f>VLOOKUP([jobnumber],OvalData[],MATCH(Table2[[#Headers],[Grille Rods]],Table2[#Headers],0),0)</f>
        <v>0</v>
      </c>
      <c r="AI538" s="2">
        <f>VLOOKUP([jobnumber],OvalData[],MATCH(Table2[[#Headers],[Grille Rod Length]],Table2[#Headers],0),0)</f>
        <v>0</v>
      </c>
      <c r="AJ538" s="2">
        <f>VLOOKUP([jobnumber],OvalData[],MATCH(Table2[[#Headers],[slattype]],Table2[#Headers],0),0)</f>
        <v>2</v>
      </c>
      <c r="AK538" s="2">
        <f>VLOOKUP([jobnumber],OvalData[],MATCH(Table2[[#Headers],[slatgage]],Table2[#Headers],0),0)</f>
        <v>18</v>
      </c>
      <c r="AL538" s="2">
        <f>VLOOKUP([jobnumber],OvalData[],MATCH(Table2[[#Headers],[Numer of Top Slats]],Table2[#Headers],0),0)</f>
        <v>0</v>
      </c>
      <c r="AM538" s="2">
        <f>VLOOKUP([jobnumber],OvalData[],MATCH(Table2[[#Headers],[Number of Bottom Slats]],Table2[#Headers],0),0)</f>
        <v>0</v>
      </c>
      <c r="AN538" s="2">
        <f>VLOOKUP([jobnumber],OvalData[],MATCH(Table2[[#Headers],[Solid Bottom Height]],Table2[#Headers],0),0)</f>
        <v>0</v>
      </c>
      <c r="AO538" s="2" t="str">
        <f>VLOOKUP([jobnumber],OvalData[],MATCH(Table2[[#Headers],[slatlength]],Table2[#Headers],0),0)</f>
        <v xml:space="preserve"> 18 ft.- 5 7/ 8"</v>
      </c>
      <c r="AP538" s="2">
        <f>VLOOKUP([jobnumber],OvalData[],MATCH(Table2[[#Headers],[Bottom Slat Length]],Table2[#Headers],0),0)</f>
        <v>0</v>
      </c>
      <c r="AQ538" s="2">
        <f>VLOOKUP([jobnumber],OvalData[],MATCH(Table2[[#Headers],[Number of Perferated Slats]],Table2[#Headers],0),0)</f>
        <v>0</v>
      </c>
      <c r="AR538" s="2">
        <f>VLOOKUP([jobnumber],OvalData[],MATCH(Table2[[#Headers],[First Preferated Slat From End]],Table2[#Headers],0),0)</f>
        <v>0</v>
      </c>
      <c r="AS538" s="2">
        <f>VLOOKUP([jobnumber],OvalData[],MATCH(Table2[[#Headers],[First Preferated Slat From Bottom]],Table2[#Headers],0),0)</f>
        <v>0</v>
      </c>
      <c r="AT538" s="2">
        <f>VLOOKUP([jobnumber],OvalData[],MATCH(Table2[[#Headers],[Total Number of Slats]],Table2[#Headers],0),0)</f>
        <v>51</v>
      </c>
      <c r="AU538" s="2">
        <f>VLOOKUP([jobnumber],OvalData[],MATCH(Table2[[#Headers],[Bottom Bar Slope]],Table2[#Headers],0),0)</f>
        <v>0</v>
      </c>
      <c r="AV538" s="2">
        <f>VLOOKUP([jobnumber],OvalData[],MATCH(Table2[[#Headers],[Bottom Bar Weight]],Table2[#Headers],0),0)</f>
        <v>80.5</v>
      </c>
      <c r="AW538" s="2" t="str">
        <f>VLOOKUP([jobnumber],OvalData[],MATCH(Table2[[#Headers],[Outer Spring Gage]],Table2[#Headers],0),0)</f>
        <v>Null</v>
      </c>
      <c r="AX538" s="2" t="str">
        <f>VLOOKUP([jobnumber],OvalData[],MATCH(Table2[[#Headers],[Outer Spring OD]],Table2[#Headers],0),0)</f>
        <v>Null</v>
      </c>
      <c r="AY538" s="2" t="str">
        <f>VLOOKUP([jobnumber],OvalData[],MATCH(Table2[[#Headers],[Outer Spring Length]],Table2[#Headers],0),0)</f>
        <v>Null</v>
      </c>
      <c r="AZ538" s="2" t="str">
        <f>VLOOKUP([jobnumber],OvalData[],MATCH(Table2[[#Headers],[Outer Spring Stretch]],Table2[#Headers],0),0)</f>
        <v>Null</v>
      </c>
      <c r="BA538" s="2" t="str">
        <f>VLOOKUP([jobnumber],OvalData[],MATCH(Table2[[#Headers],[Outer Spring Torque]],Table2[#Headers],0),0)</f>
        <v>Null</v>
      </c>
      <c r="BB538" s="2" t="str">
        <f>VLOOKUP([jobnumber],OvalData[],MATCH(Table2[[#Headers],[Outer Spring Max Turns]],Table2[#Headers],0),0)</f>
        <v>Null</v>
      </c>
      <c r="BC538" s="2" t="str">
        <f>VLOOKUP([jobnumber],OvalData[],MATCH(Table2[[#Headers],[Outer Spring Weight]],Table2[#Headers],0),0)</f>
        <v>Null</v>
      </c>
      <c r="BD538" s="2" t="str">
        <f>VLOOKUP([jobnumber],OvalData[],MATCH(Table2[[#Headers],[Inner Spring Gage]],Table2[#Headers],0),0)</f>
        <v>Null</v>
      </c>
      <c r="BE538" s="2" t="str">
        <f>VLOOKUP([jobnumber],OvalData[],MATCH(Table2[[#Headers],[Inner Spring OD]],Table2[#Headers],0),0)</f>
        <v>Null</v>
      </c>
      <c r="BF538" s="2" t="str">
        <f>VLOOKUP([jobnumber],OvalData[],MATCH(Table2[[#Headers],[Inner Spring Length]],Table2[#Headers],0),0)</f>
        <v>Null</v>
      </c>
      <c r="BG538" s="2" t="str">
        <f>VLOOKUP([jobnumber],OvalData[],MATCH(Table2[[#Headers],[Inner Spring Stretch]],Table2[#Headers],0),0)</f>
        <v>Null</v>
      </c>
      <c r="BH538" s="2" t="str">
        <f>VLOOKUP([jobnumber],OvalData[],MATCH(Table2[[#Headers],[Inner Spring Torque]],Table2[#Headers],0),0)</f>
        <v>Null</v>
      </c>
      <c r="BI538" s="2" t="str">
        <f>VLOOKUP([jobnumber],OvalData[],MATCH(Table2[[#Headers],[Inner Spring Max Turns]],Table2[#Headers],0),0)</f>
        <v>Null</v>
      </c>
      <c r="BJ538" s="2" t="str">
        <f>VLOOKUP([jobnumber],OvalData[],MATCH(Table2[[#Headers],[Inner Spring Weight]],Table2[#Headers],0),0)</f>
        <v>Null</v>
      </c>
      <c r="BK538" s="2">
        <f>VLOOKUP([jobnumber],OvalData[],MATCH(Table2[[#Headers],[Cycles]],Table2[#Headers],0),0)</f>
        <v>0</v>
      </c>
      <c r="BL538" s="2">
        <f>VLOOKUP([jobnumber],OvalData[],MATCH(Table2[[#Headers],[Total Spring Torque]],Table2[#Headers],0),0)</f>
        <v>0</v>
      </c>
      <c r="BM538" s="2">
        <f>VLOOKUP([jobnumber],OvalData[],MATCH(Table2[[#Headers],[Total Spring Weight]],Table2[#Headers],0),0)</f>
        <v>0</v>
      </c>
      <c r="BN538" s="2">
        <f>VLOOKUP([jobnumber],OvalData[],MATCH(Table2[[#Headers],[Pipe Weight]],Table2[#Headers],0),0)</f>
        <v>688.24239999999998</v>
      </c>
      <c r="BO538" s="2">
        <f>VLOOKUP([jobnumber],OvalData[],MATCH(Table2[[#Headers],[Max Pipe Deflection]],Table2[#Headers],0),0)</f>
        <v>2309</v>
      </c>
      <c r="BP538" s="2">
        <f>VLOOKUP([jobnumber],OvalData[],MATCH(Table2[[#Headers],[Number Non-Insulated Wrap Slats]],Table2[#Headers],0),0)</f>
        <v>0</v>
      </c>
      <c r="BQ538" s="2">
        <f>VLOOKUP([jobnumber],OvalData[],MATCH(Table2[[#Headers],[Number of Insolated Top Slats]],Table2[#Headers],0),0)</f>
        <v>45</v>
      </c>
      <c r="BR538" s="2">
        <f>VLOOKUP([jobnumber],OvalData[],MATCH(Table2[[#Headers],[Insolated Total Slats]],Table2[#Headers],0),0)</f>
        <v>45</v>
      </c>
      <c r="BS538" s="2">
        <f>VLOOKUP([jobnumber],OvalData[],MATCH(Table2[[#Headers],[Number of Slats]],Table2[#Headers],0),0)</f>
        <v>44.69</v>
      </c>
      <c r="BT538" s="2">
        <f>VLOOKUP([jobnumber],OvalData[],MATCH(Table2[[#Headers],[Wrap]],Table2[#Headers],0),0)</f>
        <v>0</v>
      </c>
      <c r="BU538" s="2">
        <f>VLOOKUP([jobnumber],OvalData[],MATCH(Table2[[#Headers],[Wall Angle Thickness]],Table2[#Headers],0),0)</f>
        <v>0</v>
      </c>
      <c r="BV538" s="2">
        <f>VLOOKUP([jobnumber],OvalData[],MATCH(Table2[[#Headers],[windlocks]],Table2[#Headers],0),0)</f>
        <v>0</v>
      </c>
      <c r="BW538" s="2" t="str">
        <f>VLOOKUP([jobnumber],OvalData[],MATCH(Table2[[#Headers],[bottombartype]],Table2[#Headers],0),0)</f>
        <v>SPECIAL</v>
      </c>
      <c r="BX538" s="2">
        <f>VLOOKUP([jobnumber],OvalData[],MATCH(Table2[[#Headers],[endlockweight]],Table2[#Headers],0),0)</f>
        <v>0.17</v>
      </c>
      <c r="BY538" s="2">
        <f>VLOOKUP([jobnumber],OvalData[],MATCH(Table2[[#Headers],[Endlock Total Weight]],Table2[#Headers],0),0)</f>
        <v>7.5972999999999997</v>
      </c>
      <c r="BZ538" s="2">
        <f>VLOOKUP([jobnumber],OvalData[],MATCH(Table2[[#Headers],[Grille Weight]],Table2[#Headers],0),0)</f>
        <v>0</v>
      </c>
      <c r="CA538" s="2">
        <f>VLOOKUP([jobnumber],OvalData[],MATCH(Table2[[#Headers],[barrelrings]],Table2[#Headers],0),0)</f>
        <v>1</v>
      </c>
    </row>
    <row r="539" spans="2:79">
      <c r="B539" s="2" t="str">
        <f>VLOOKUP([jobnumber],OvalData[],MATCH(Table2[[#Headers],[Hand]],Table2[#Headers],0),0)</f>
        <v>RH</v>
      </c>
      <c r="C539" s="2" t="str">
        <f>VLOOKUP([jobnumber],OvalData[],MATCH(Table2[[#Headers],[Model]],Table2[#Headers],0),0)</f>
        <v>SFMPP</v>
      </c>
      <c r="D539" s="2" t="str">
        <f>VLOOKUP([jobnumber],OvalData[],MATCH(Table2[[#Headers],[width]],Table2[#Headers],0),0)</f>
        <v xml:space="preserve"> 18 ft.- 2"</v>
      </c>
      <c r="E539" s="2" t="str">
        <f>VLOOKUP([jobnumber],OvalData[],MATCH(Table2[[#Headers],[stopheight]],Table2[#Headers],0),0)</f>
        <v xml:space="preserve"> 10 ft.- 0"</v>
      </c>
      <c r="F539" s="2" t="str">
        <f>VLOOKUP([jobnumber],OvalData[],MATCH(Table2[[#Headers],[Between Brackets]],Table2[#Headers],0),0)</f>
        <v xml:space="preserve"> 18 ft.- 7 7/ 8"</v>
      </c>
      <c r="G539" s="2" t="str">
        <f>VLOOKUP([jobnumber],OvalData[],MATCH(Table2[[#Headers],[shell]],Table2[#Headers],0),0)</f>
        <v>6 INCH TUBE</v>
      </c>
      <c r="H539" s="2" t="str">
        <f>VLOOKUP([jobnumber],OvalData[],MATCH(Table2[[#Headers],[pipewidth]],Table2[#Headers],0),0)</f>
        <v xml:space="preserve"> 18 ft.- 1 3/ 8"</v>
      </c>
      <c r="I539" s="2">
        <f>VLOOKUP([jobnumber],OvalData[],MATCH(Table2[[#Headers],[Support Tubes]],Table2[#Headers],0),0)</f>
        <v>0</v>
      </c>
      <c r="J539" s="2">
        <f>VLOOKUP([jobnumber],OvalData[],MATCH(Table2[[#Headers],[Upset]],Table2[#Headers],0),0)</f>
        <v>2</v>
      </c>
      <c r="K539" s="2" t="str">
        <f>VLOOKUP([jobnumber],OvalData[],MATCH(Table2[[#Headers],[Guide Type]],Table2[#Headers],0),0)</f>
        <v>SN2-4 5/8-E</v>
      </c>
      <c r="L539" s="2" t="str">
        <f>VLOOKUP([jobnumber],OvalData[],MATCH(Table2[[#Headers],[Wall Angle]],Table2[#Headers],0),0)</f>
        <v xml:space="preserve"> 11 ft.- 8"</v>
      </c>
      <c r="M539" s="2" t="str">
        <f>VLOOKUP([jobnumber],OvalData[],MATCH(Table2[[#Headers],[Middle Angle]],Table2[#Headers],0),0)</f>
        <v xml:space="preserve"> 10 ft.- 4 1/ 2"</v>
      </c>
      <c r="N539" s="2" t="str">
        <f>VLOOKUP([jobnumber],OvalData[],MATCH(Table2[[#Headers],[Front Angle]],Table2[#Headers],0),0)</f>
        <v xml:space="preserve"> 10 ft.- 3"</v>
      </c>
      <c r="O539" s="2">
        <f>VLOOKUP([jobnumber],OvalData[],MATCH(Table2[[#Headers],[Pipe Center Line]],Table2[#Headers],0),0)</f>
        <v>131</v>
      </c>
      <c r="P539" s="2">
        <f>VLOOKUP([jobnumber],OvalData[],MATCH(Table2[[#Headers],[Heat Expansion Gap]],Table2[#Headers],0),0)</f>
        <v>0</v>
      </c>
      <c r="Q539" s="2">
        <f>VLOOKUP([jobnumber],OvalData[],MATCH(Table2[[#Headers],[Hanging Weight Closed]],Table2[#Headers],0),0)</f>
        <v>795</v>
      </c>
      <c r="R539" s="2">
        <f>VLOOKUP([jobnumber],OvalData[],MATCH(Table2[[#Headers],[Hanging Weight Open]],Table2[#Headers],0),0)</f>
        <v>140</v>
      </c>
      <c r="S539" s="2">
        <f>VLOOKUP([jobnumber],OvalData[],MATCH(Table2[[#Headers],[Initial Lever Arm]],Table2[#Headers],0),0)</f>
        <v>4.25</v>
      </c>
      <c r="T539" s="2">
        <f>VLOOKUP([jobnumber],OvalData[],MATCH(Table2[[#Headers],[Turns to Raise]],Table2[#Headers],0),0)</f>
        <v>3.5859999999999999</v>
      </c>
      <c r="U539" s="2">
        <f>VLOOKUP([jobnumber],OvalData[],MATCH(Table2[[#Headers],[Final Lever Arm]],Table2[#Headers],0),0)</f>
        <v>6.37</v>
      </c>
      <c r="V539" s="2">
        <f>VLOOKUP([jobnumber],OvalData[],MATCH(Table2[[#Headers],[Torque Required Closed]],Table2[#Headers],0),0)</f>
        <v>3377.9</v>
      </c>
      <c r="W539" s="2">
        <f>VLOOKUP([jobnumber],OvalData[],MATCH(Table2[[#Headers],[Torque Required Open]],Table2[#Headers],0),0)</f>
        <v>892</v>
      </c>
      <c r="X539" s="2">
        <f>VLOOKUP([jobnumber],OvalData[],MATCH(Table2[[#Headers],[Pre Turns]],Table2[#Headers],0),0)</f>
        <v>1.3332999999999999</v>
      </c>
      <c r="Y539" s="2">
        <f>VLOOKUP([jobnumber],OvalData[],MATCH(Table2[[#Headers],[Required Torque Per Turn]],Table2[#Headers],0),0)</f>
        <v>688</v>
      </c>
      <c r="Z539" s="2">
        <f>VLOOKUP([jobnumber],OvalData[],MATCH(Table2[[#Headers],[Total Turns]],Table2[#Headers],0),0)</f>
        <v>4.91</v>
      </c>
      <c r="AA539" s="2">
        <f>VLOOKUP([jobnumber],OvalData[],MATCH(Table2[[#Headers],[Grille Vision Section]],Table2[#Headers],0),0)</f>
        <v>0</v>
      </c>
      <c r="AB539" s="2">
        <f>VLOOKUP([jobnumber],OvalData[],MATCH(Table2[[#Headers],[Grille Amount]],Table2[#Headers],0),0)</f>
        <v>0</v>
      </c>
      <c r="AC539" s="2">
        <f>VLOOKUP([jobnumber],OvalData[],MATCH(Table2[[#Headers],[Grille Center]],Table2[#Headers],0),0)</f>
        <v>0</v>
      </c>
      <c r="AD539" s="2">
        <f>VLOOKUP([jobnumber],OvalData[],MATCH(Table2[[#Headers],[Grille Pattern]],Table2[#Headers],0),0)</f>
        <v>0</v>
      </c>
      <c r="AE539" s="2">
        <f>VLOOKUP([jobnumber],OvalData[],MATCH(Table2[[#Headers],[Grille First Tube]],Table2[#Headers],0),0)</f>
        <v>0</v>
      </c>
      <c r="AF539" s="2">
        <f>VLOOKUP([jobnumber],OvalData[],MATCH(Table2[[#Headers],[Grille Standard Tube]],Table2[#Headers],0),0)</f>
        <v>0</v>
      </c>
      <c r="AG539" s="2">
        <f>VLOOKUP([jobnumber],OvalData[],MATCH(Table2[[#Headers],[Grille Total Links]],Table2[#Headers],0),0)</f>
        <v>0</v>
      </c>
      <c r="AH539" s="2">
        <f>VLOOKUP([jobnumber],OvalData[],MATCH(Table2[[#Headers],[Grille Rods]],Table2[#Headers],0),0)</f>
        <v>0</v>
      </c>
      <c r="AI539" s="2">
        <f>VLOOKUP([jobnumber],OvalData[],MATCH(Table2[[#Headers],[Grille Rod Length]],Table2[#Headers],0),0)</f>
        <v>0</v>
      </c>
      <c r="AJ539" s="2">
        <f>VLOOKUP([jobnumber],OvalData[],MATCH(Table2[[#Headers],[slattype]],Table2[#Headers],0),0)</f>
        <v>2</v>
      </c>
      <c r="AK539" s="2">
        <f>VLOOKUP([jobnumber],OvalData[],MATCH(Table2[[#Headers],[slatgage]],Table2[#Headers],0),0)</f>
        <v>18</v>
      </c>
      <c r="AL539" s="2">
        <f>VLOOKUP([jobnumber],OvalData[],MATCH(Table2[[#Headers],[Numer of Top Slats]],Table2[#Headers],0),0)</f>
        <v>0</v>
      </c>
      <c r="AM539" s="2">
        <f>VLOOKUP([jobnumber],OvalData[],MATCH(Table2[[#Headers],[Number of Bottom Slats]],Table2[#Headers],0),0)</f>
        <v>0</v>
      </c>
      <c r="AN539" s="2">
        <f>VLOOKUP([jobnumber],OvalData[],MATCH(Table2[[#Headers],[Solid Bottom Height]],Table2[#Headers],0),0)</f>
        <v>0</v>
      </c>
      <c r="AO539" s="2" t="str">
        <f>VLOOKUP([jobnumber],OvalData[],MATCH(Table2[[#Headers],[slatlength]],Table2[#Headers],0),0)</f>
        <v xml:space="preserve"> 18 ft.- 5 7/ 8"</v>
      </c>
      <c r="AP539" s="2">
        <f>VLOOKUP([jobnumber],OvalData[],MATCH(Table2[[#Headers],[Bottom Slat Length]],Table2[#Headers],0),0)</f>
        <v>0</v>
      </c>
      <c r="AQ539" s="2">
        <f>VLOOKUP([jobnumber],OvalData[],MATCH(Table2[[#Headers],[Number of Perferated Slats]],Table2[#Headers],0),0)</f>
        <v>0</v>
      </c>
      <c r="AR539" s="2">
        <f>VLOOKUP([jobnumber],OvalData[],MATCH(Table2[[#Headers],[First Preferated Slat From End]],Table2[#Headers],0),0)</f>
        <v>0</v>
      </c>
      <c r="AS539" s="2">
        <f>VLOOKUP([jobnumber],OvalData[],MATCH(Table2[[#Headers],[First Preferated Slat From Bottom]],Table2[#Headers],0),0)</f>
        <v>0</v>
      </c>
      <c r="AT539" s="2">
        <f>VLOOKUP([jobnumber],OvalData[],MATCH(Table2[[#Headers],[Total Number of Slats]],Table2[#Headers],0),0)</f>
        <v>51</v>
      </c>
      <c r="AU539" s="2">
        <f>VLOOKUP([jobnumber],OvalData[],MATCH(Table2[[#Headers],[Bottom Bar Slope]],Table2[#Headers],0),0)</f>
        <v>0</v>
      </c>
      <c r="AV539" s="2">
        <f>VLOOKUP([jobnumber],OvalData[],MATCH(Table2[[#Headers],[Bottom Bar Weight]],Table2[#Headers],0),0)</f>
        <v>80.5</v>
      </c>
      <c r="AW539" s="2" t="str">
        <f>VLOOKUP([jobnumber],OvalData[],MATCH(Table2[[#Headers],[Outer Spring Gage]],Table2[#Headers],0),0)</f>
        <v>Null</v>
      </c>
      <c r="AX539" s="2" t="str">
        <f>VLOOKUP([jobnumber],OvalData[],MATCH(Table2[[#Headers],[Outer Spring OD]],Table2[#Headers],0),0)</f>
        <v>Null</v>
      </c>
      <c r="AY539" s="2" t="str">
        <f>VLOOKUP([jobnumber],OvalData[],MATCH(Table2[[#Headers],[Outer Spring Length]],Table2[#Headers],0),0)</f>
        <v>Null</v>
      </c>
      <c r="AZ539" s="2" t="str">
        <f>VLOOKUP([jobnumber],OvalData[],MATCH(Table2[[#Headers],[Outer Spring Stretch]],Table2[#Headers],0),0)</f>
        <v>Null</v>
      </c>
      <c r="BA539" s="2" t="str">
        <f>VLOOKUP([jobnumber],OvalData[],MATCH(Table2[[#Headers],[Outer Spring Torque]],Table2[#Headers],0),0)</f>
        <v>Null</v>
      </c>
      <c r="BB539" s="2" t="str">
        <f>VLOOKUP([jobnumber],OvalData[],MATCH(Table2[[#Headers],[Outer Spring Max Turns]],Table2[#Headers],0),0)</f>
        <v>Null</v>
      </c>
      <c r="BC539" s="2" t="str">
        <f>VLOOKUP([jobnumber],OvalData[],MATCH(Table2[[#Headers],[Outer Spring Weight]],Table2[#Headers],0),0)</f>
        <v>Null</v>
      </c>
      <c r="BD539" s="2" t="str">
        <f>VLOOKUP([jobnumber],OvalData[],MATCH(Table2[[#Headers],[Inner Spring Gage]],Table2[#Headers],0),0)</f>
        <v>Null</v>
      </c>
      <c r="BE539" s="2" t="str">
        <f>VLOOKUP([jobnumber],OvalData[],MATCH(Table2[[#Headers],[Inner Spring OD]],Table2[#Headers],0),0)</f>
        <v>Null</v>
      </c>
      <c r="BF539" s="2" t="str">
        <f>VLOOKUP([jobnumber],OvalData[],MATCH(Table2[[#Headers],[Inner Spring Length]],Table2[#Headers],0),0)</f>
        <v>Null</v>
      </c>
      <c r="BG539" s="2" t="str">
        <f>VLOOKUP([jobnumber],OvalData[],MATCH(Table2[[#Headers],[Inner Spring Stretch]],Table2[#Headers],0),0)</f>
        <v>Null</v>
      </c>
      <c r="BH539" s="2" t="str">
        <f>VLOOKUP([jobnumber],OvalData[],MATCH(Table2[[#Headers],[Inner Spring Torque]],Table2[#Headers],0),0)</f>
        <v>Null</v>
      </c>
      <c r="BI539" s="2" t="str">
        <f>VLOOKUP([jobnumber],OvalData[],MATCH(Table2[[#Headers],[Inner Spring Max Turns]],Table2[#Headers],0),0)</f>
        <v>Null</v>
      </c>
      <c r="BJ539" s="2" t="str">
        <f>VLOOKUP([jobnumber],OvalData[],MATCH(Table2[[#Headers],[Inner Spring Weight]],Table2[#Headers],0),0)</f>
        <v>Null</v>
      </c>
      <c r="BK539" s="2">
        <f>VLOOKUP([jobnumber],OvalData[],MATCH(Table2[[#Headers],[Cycles]],Table2[#Headers],0),0)</f>
        <v>0</v>
      </c>
      <c r="BL539" s="2">
        <f>VLOOKUP([jobnumber],OvalData[],MATCH(Table2[[#Headers],[Total Spring Torque]],Table2[#Headers],0),0)</f>
        <v>0</v>
      </c>
      <c r="BM539" s="2">
        <f>VLOOKUP([jobnumber],OvalData[],MATCH(Table2[[#Headers],[Total Spring Weight]],Table2[#Headers],0),0)</f>
        <v>0</v>
      </c>
      <c r="BN539" s="2">
        <f>VLOOKUP([jobnumber],OvalData[],MATCH(Table2[[#Headers],[Pipe Weight]],Table2[#Headers],0),0)</f>
        <v>688.24239999999998</v>
      </c>
      <c r="BO539" s="2">
        <f>VLOOKUP([jobnumber],OvalData[],MATCH(Table2[[#Headers],[Max Pipe Deflection]],Table2[#Headers],0),0)</f>
        <v>2309</v>
      </c>
      <c r="BP539" s="2">
        <f>VLOOKUP([jobnumber],OvalData[],MATCH(Table2[[#Headers],[Number Non-Insulated Wrap Slats]],Table2[#Headers],0),0)</f>
        <v>0</v>
      </c>
      <c r="BQ539" s="2">
        <f>VLOOKUP([jobnumber],OvalData[],MATCH(Table2[[#Headers],[Number of Insolated Top Slats]],Table2[#Headers],0),0)</f>
        <v>45</v>
      </c>
      <c r="BR539" s="2">
        <f>VLOOKUP([jobnumber],OvalData[],MATCH(Table2[[#Headers],[Insolated Total Slats]],Table2[#Headers],0),0)</f>
        <v>45</v>
      </c>
      <c r="BS539" s="2">
        <f>VLOOKUP([jobnumber],OvalData[],MATCH(Table2[[#Headers],[Number of Slats]],Table2[#Headers],0),0)</f>
        <v>44.69</v>
      </c>
      <c r="BT539" s="2">
        <f>VLOOKUP([jobnumber],OvalData[],MATCH(Table2[[#Headers],[Wrap]],Table2[#Headers],0),0)</f>
        <v>0</v>
      </c>
      <c r="BU539" s="2">
        <f>VLOOKUP([jobnumber],OvalData[],MATCH(Table2[[#Headers],[Wall Angle Thickness]],Table2[#Headers],0),0)</f>
        <v>0</v>
      </c>
      <c r="BV539" s="2">
        <f>VLOOKUP([jobnumber],OvalData[],MATCH(Table2[[#Headers],[windlocks]],Table2[#Headers],0),0)</f>
        <v>0</v>
      </c>
      <c r="BW539" s="2" t="str">
        <f>VLOOKUP([jobnumber],OvalData[],MATCH(Table2[[#Headers],[bottombartype]],Table2[#Headers],0),0)</f>
        <v>SPECIAL</v>
      </c>
      <c r="BX539" s="2">
        <f>VLOOKUP([jobnumber],OvalData[],MATCH(Table2[[#Headers],[endlockweight]],Table2[#Headers],0),0)</f>
        <v>0.17</v>
      </c>
      <c r="BY539" s="2">
        <f>VLOOKUP([jobnumber],OvalData[],MATCH(Table2[[#Headers],[Endlock Total Weight]],Table2[#Headers],0),0)</f>
        <v>7.5972999999999997</v>
      </c>
      <c r="BZ539" s="2">
        <f>VLOOKUP([jobnumber],OvalData[],MATCH(Table2[[#Headers],[Grille Weight]],Table2[#Headers],0),0)</f>
        <v>0</v>
      </c>
      <c r="CA539" s="2">
        <f>VLOOKUP([jobnumber],OvalData[],MATCH(Table2[[#Headers],[barrelrings]],Table2[#Headers],0),0)</f>
        <v>1</v>
      </c>
    </row>
    <row r="540" spans="2:79">
      <c r="B540" s="2" t="str">
        <f>VLOOKUP([jobnumber],OvalData[],MATCH(Table2[[#Headers],[Hand]],Table2[#Headers],0),0)</f>
        <v>RH</v>
      </c>
      <c r="C540" s="2" t="str">
        <f>VLOOKUP([jobnumber],OvalData[],MATCH(Table2[[#Headers],[Model]],Table2[#Headers],0),0)</f>
        <v>SFMPP</v>
      </c>
      <c r="D540" s="2" t="str">
        <f>VLOOKUP([jobnumber],OvalData[],MATCH(Table2[[#Headers],[width]],Table2[#Headers],0),0)</f>
        <v xml:space="preserve"> 18 ft.- 2"</v>
      </c>
      <c r="E540" s="2" t="str">
        <f>VLOOKUP([jobnumber],OvalData[],MATCH(Table2[[#Headers],[stopheight]],Table2[#Headers],0),0)</f>
        <v xml:space="preserve"> 10 ft.- 0"</v>
      </c>
      <c r="F540" s="2" t="str">
        <f>VLOOKUP([jobnumber],OvalData[],MATCH(Table2[[#Headers],[Between Brackets]],Table2[#Headers],0),0)</f>
        <v xml:space="preserve"> 18 ft.- 7 7/ 8"</v>
      </c>
      <c r="G540" s="2" t="str">
        <f>VLOOKUP([jobnumber],OvalData[],MATCH(Table2[[#Headers],[shell]],Table2[#Headers],0),0)</f>
        <v>6 INCH TUBE</v>
      </c>
      <c r="H540" s="2" t="str">
        <f>VLOOKUP([jobnumber],OvalData[],MATCH(Table2[[#Headers],[pipewidth]],Table2[#Headers],0),0)</f>
        <v xml:space="preserve"> 18 ft.- 1 3/ 8"</v>
      </c>
      <c r="I540" s="2">
        <f>VLOOKUP([jobnumber],OvalData[],MATCH(Table2[[#Headers],[Support Tubes]],Table2[#Headers],0),0)</f>
        <v>0</v>
      </c>
      <c r="J540" s="2">
        <f>VLOOKUP([jobnumber],OvalData[],MATCH(Table2[[#Headers],[Upset]],Table2[#Headers],0),0)</f>
        <v>2</v>
      </c>
      <c r="K540" s="2" t="str">
        <f>VLOOKUP([jobnumber],OvalData[],MATCH(Table2[[#Headers],[Guide Type]],Table2[#Headers],0),0)</f>
        <v>SN2-4 5/8-E</v>
      </c>
      <c r="L540" s="2" t="str">
        <f>VLOOKUP([jobnumber],OvalData[],MATCH(Table2[[#Headers],[Wall Angle]],Table2[#Headers],0),0)</f>
        <v xml:space="preserve"> 11 ft.- 8"</v>
      </c>
      <c r="M540" s="2" t="str">
        <f>VLOOKUP([jobnumber],OvalData[],MATCH(Table2[[#Headers],[Middle Angle]],Table2[#Headers],0),0)</f>
        <v xml:space="preserve"> 10 ft.- 4 1/ 2"</v>
      </c>
      <c r="N540" s="2" t="str">
        <f>VLOOKUP([jobnumber],OvalData[],MATCH(Table2[[#Headers],[Front Angle]],Table2[#Headers],0),0)</f>
        <v xml:space="preserve"> 10 ft.- 3"</v>
      </c>
      <c r="O540" s="2">
        <f>VLOOKUP([jobnumber],OvalData[],MATCH(Table2[[#Headers],[Pipe Center Line]],Table2[#Headers],0),0)</f>
        <v>131</v>
      </c>
      <c r="P540" s="2">
        <f>VLOOKUP([jobnumber],OvalData[],MATCH(Table2[[#Headers],[Heat Expansion Gap]],Table2[#Headers],0),0)</f>
        <v>0</v>
      </c>
      <c r="Q540" s="2">
        <f>VLOOKUP([jobnumber],OvalData[],MATCH(Table2[[#Headers],[Hanging Weight Closed]],Table2[#Headers],0),0)</f>
        <v>795</v>
      </c>
      <c r="R540" s="2">
        <f>VLOOKUP([jobnumber],OvalData[],MATCH(Table2[[#Headers],[Hanging Weight Open]],Table2[#Headers],0),0)</f>
        <v>140</v>
      </c>
      <c r="S540" s="2">
        <f>VLOOKUP([jobnumber],OvalData[],MATCH(Table2[[#Headers],[Initial Lever Arm]],Table2[#Headers],0),0)</f>
        <v>4.25</v>
      </c>
      <c r="T540" s="2">
        <f>VLOOKUP([jobnumber],OvalData[],MATCH(Table2[[#Headers],[Turns to Raise]],Table2[#Headers],0),0)</f>
        <v>3.5859999999999999</v>
      </c>
      <c r="U540" s="2">
        <f>VLOOKUP([jobnumber],OvalData[],MATCH(Table2[[#Headers],[Final Lever Arm]],Table2[#Headers],0),0)</f>
        <v>6.37</v>
      </c>
      <c r="V540" s="2">
        <f>VLOOKUP([jobnumber],OvalData[],MATCH(Table2[[#Headers],[Torque Required Closed]],Table2[#Headers],0),0)</f>
        <v>3377.9</v>
      </c>
      <c r="W540" s="2">
        <f>VLOOKUP([jobnumber],OvalData[],MATCH(Table2[[#Headers],[Torque Required Open]],Table2[#Headers],0),0)</f>
        <v>892</v>
      </c>
      <c r="X540" s="2">
        <f>VLOOKUP([jobnumber],OvalData[],MATCH(Table2[[#Headers],[Pre Turns]],Table2[#Headers],0),0)</f>
        <v>1.3332999999999999</v>
      </c>
      <c r="Y540" s="2">
        <f>VLOOKUP([jobnumber],OvalData[],MATCH(Table2[[#Headers],[Required Torque Per Turn]],Table2[#Headers],0),0)</f>
        <v>688</v>
      </c>
      <c r="Z540" s="2">
        <f>VLOOKUP([jobnumber],OvalData[],MATCH(Table2[[#Headers],[Total Turns]],Table2[#Headers],0),0)</f>
        <v>4.91</v>
      </c>
      <c r="AA540" s="2">
        <f>VLOOKUP([jobnumber],OvalData[],MATCH(Table2[[#Headers],[Grille Vision Section]],Table2[#Headers],0),0)</f>
        <v>0</v>
      </c>
      <c r="AB540" s="2">
        <f>VLOOKUP([jobnumber],OvalData[],MATCH(Table2[[#Headers],[Grille Amount]],Table2[#Headers],0),0)</f>
        <v>0</v>
      </c>
      <c r="AC540" s="2">
        <f>VLOOKUP([jobnumber],OvalData[],MATCH(Table2[[#Headers],[Grille Center]],Table2[#Headers],0),0)</f>
        <v>0</v>
      </c>
      <c r="AD540" s="2">
        <f>VLOOKUP([jobnumber],OvalData[],MATCH(Table2[[#Headers],[Grille Pattern]],Table2[#Headers],0),0)</f>
        <v>0</v>
      </c>
      <c r="AE540" s="2">
        <f>VLOOKUP([jobnumber],OvalData[],MATCH(Table2[[#Headers],[Grille First Tube]],Table2[#Headers],0),0)</f>
        <v>0</v>
      </c>
      <c r="AF540" s="2">
        <f>VLOOKUP([jobnumber],OvalData[],MATCH(Table2[[#Headers],[Grille Standard Tube]],Table2[#Headers],0),0)</f>
        <v>0</v>
      </c>
      <c r="AG540" s="2">
        <f>VLOOKUP([jobnumber],OvalData[],MATCH(Table2[[#Headers],[Grille Total Links]],Table2[#Headers],0),0)</f>
        <v>0</v>
      </c>
      <c r="AH540" s="2">
        <f>VLOOKUP([jobnumber],OvalData[],MATCH(Table2[[#Headers],[Grille Rods]],Table2[#Headers],0),0)</f>
        <v>0</v>
      </c>
      <c r="AI540" s="2">
        <f>VLOOKUP([jobnumber],OvalData[],MATCH(Table2[[#Headers],[Grille Rod Length]],Table2[#Headers],0),0)</f>
        <v>0</v>
      </c>
      <c r="AJ540" s="2">
        <f>VLOOKUP([jobnumber],OvalData[],MATCH(Table2[[#Headers],[slattype]],Table2[#Headers],0),0)</f>
        <v>2</v>
      </c>
      <c r="AK540" s="2">
        <f>VLOOKUP([jobnumber],OvalData[],MATCH(Table2[[#Headers],[slatgage]],Table2[#Headers],0),0)</f>
        <v>18</v>
      </c>
      <c r="AL540" s="2">
        <f>VLOOKUP([jobnumber],OvalData[],MATCH(Table2[[#Headers],[Numer of Top Slats]],Table2[#Headers],0),0)</f>
        <v>0</v>
      </c>
      <c r="AM540" s="2">
        <f>VLOOKUP([jobnumber],OvalData[],MATCH(Table2[[#Headers],[Number of Bottom Slats]],Table2[#Headers],0),0)</f>
        <v>0</v>
      </c>
      <c r="AN540" s="2">
        <f>VLOOKUP([jobnumber],OvalData[],MATCH(Table2[[#Headers],[Solid Bottom Height]],Table2[#Headers],0),0)</f>
        <v>0</v>
      </c>
      <c r="AO540" s="2" t="str">
        <f>VLOOKUP([jobnumber],OvalData[],MATCH(Table2[[#Headers],[slatlength]],Table2[#Headers],0),0)</f>
        <v xml:space="preserve"> 18 ft.- 5 7/ 8"</v>
      </c>
      <c r="AP540" s="2">
        <f>VLOOKUP([jobnumber],OvalData[],MATCH(Table2[[#Headers],[Bottom Slat Length]],Table2[#Headers],0),0)</f>
        <v>0</v>
      </c>
      <c r="AQ540" s="2">
        <f>VLOOKUP([jobnumber],OvalData[],MATCH(Table2[[#Headers],[Number of Perferated Slats]],Table2[#Headers],0),0)</f>
        <v>0</v>
      </c>
      <c r="AR540" s="2">
        <f>VLOOKUP([jobnumber],OvalData[],MATCH(Table2[[#Headers],[First Preferated Slat From End]],Table2[#Headers],0),0)</f>
        <v>0</v>
      </c>
      <c r="AS540" s="2">
        <f>VLOOKUP([jobnumber],OvalData[],MATCH(Table2[[#Headers],[First Preferated Slat From Bottom]],Table2[#Headers],0),0)</f>
        <v>0</v>
      </c>
      <c r="AT540" s="2">
        <f>VLOOKUP([jobnumber],OvalData[],MATCH(Table2[[#Headers],[Total Number of Slats]],Table2[#Headers],0),0)</f>
        <v>51</v>
      </c>
      <c r="AU540" s="2">
        <f>VLOOKUP([jobnumber],OvalData[],MATCH(Table2[[#Headers],[Bottom Bar Slope]],Table2[#Headers],0),0)</f>
        <v>0</v>
      </c>
      <c r="AV540" s="2">
        <f>VLOOKUP([jobnumber],OvalData[],MATCH(Table2[[#Headers],[Bottom Bar Weight]],Table2[#Headers],0),0)</f>
        <v>80.5</v>
      </c>
      <c r="AW540" s="2" t="str">
        <f>VLOOKUP([jobnumber],OvalData[],MATCH(Table2[[#Headers],[Outer Spring Gage]],Table2[#Headers],0),0)</f>
        <v>Null</v>
      </c>
      <c r="AX540" s="2" t="str">
        <f>VLOOKUP([jobnumber],OvalData[],MATCH(Table2[[#Headers],[Outer Spring OD]],Table2[#Headers],0),0)</f>
        <v>Null</v>
      </c>
      <c r="AY540" s="2" t="str">
        <f>VLOOKUP([jobnumber],OvalData[],MATCH(Table2[[#Headers],[Outer Spring Length]],Table2[#Headers],0),0)</f>
        <v>Null</v>
      </c>
      <c r="AZ540" s="2" t="str">
        <f>VLOOKUP([jobnumber],OvalData[],MATCH(Table2[[#Headers],[Outer Spring Stretch]],Table2[#Headers],0),0)</f>
        <v>Null</v>
      </c>
      <c r="BA540" s="2" t="str">
        <f>VLOOKUP([jobnumber],OvalData[],MATCH(Table2[[#Headers],[Outer Spring Torque]],Table2[#Headers],0),0)</f>
        <v>Null</v>
      </c>
      <c r="BB540" s="2" t="str">
        <f>VLOOKUP([jobnumber],OvalData[],MATCH(Table2[[#Headers],[Outer Spring Max Turns]],Table2[#Headers],0),0)</f>
        <v>Null</v>
      </c>
      <c r="BC540" s="2" t="str">
        <f>VLOOKUP([jobnumber],OvalData[],MATCH(Table2[[#Headers],[Outer Spring Weight]],Table2[#Headers],0),0)</f>
        <v>Null</v>
      </c>
      <c r="BD540" s="2" t="str">
        <f>VLOOKUP([jobnumber],OvalData[],MATCH(Table2[[#Headers],[Inner Spring Gage]],Table2[#Headers],0),0)</f>
        <v>Null</v>
      </c>
      <c r="BE540" s="2" t="str">
        <f>VLOOKUP([jobnumber],OvalData[],MATCH(Table2[[#Headers],[Inner Spring OD]],Table2[#Headers],0),0)</f>
        <v>Null</v>
      </c>
      <c r="BF540" s="2" t="str">
        <f>VLOOKUP([jobnumber],OvalData[],MATCH(Table2[[#Headers],[Inner Spring Length]],Table2[#Headers],0),0)</f>
        <v>Null</v>
      </c>
      <c r="BG540" s="2" t="str">
        <f>VLOOKUP([jobnumber],OvalData[],MATCH(Table2[[#Headers],[Inner Spring Stretch]],Table2[#Headers],0),0)</f>
        <v>Null</v>
      </c>
      <c r="BH540" s="2" t="str">
        <f>VLOOKUP([jobnumber],OvalData[],MATCH(Table2[[#Headers],[Inner Spring Torque]],Table2[#Headers],0),0)</f>
        <v>Null</v>
      </c>
      <c r="BI540" s="2" t="str">
        <f>VLOOKUP([jobnumber],OvalData[],MATCH(Table2[[#Headers],[Inner Spring Max Turns]],Table2[#Headers],0),0)</f>
        <v>Null</v>
      </c>
      <c r="BJ540" s="2" t="str">
        <f>VLOOKUP([jobnumber],OvalData[],MATCH(Table2[[#Headers],[Inner Spring Weight]],Table2[#Headers],0),0)</f>
        <v>Null</v>
      </c>
      <c r="BK540" s="2">
        <f>VLOOKUP([jobnumber],OvalData[],MATCH(Table2[[#Headers],[Cycles]],Table2[#Headers],0),0)</f>
        <v>0</v>
      </c>
      <c r="BL540" s="2">
        <f>VLOOKUP([jobnumber],OvalData[],MATCH(Table2[[#Headers],[Total Spring Torque]],Table2[#Headers],0),0)</f>
        <v>0</v>
      </c>
      <c r="BM540" s="2">
        <f>VLOOKUP([jobnumber],OvalData[],MATCH(Table2[[#Headers],[Total Spring Weight]],Table2[#Headers],0),0)</f>
        <v>0</v>
      </c>
      <c r="BN540" s="2">
        <f>VLOOKUP([jobnumber],OvalData[],MATCH(Table2[[#Headers],[Pipe Weight]],Table2[#Headers],0),0)</f>
        <v>688.24239999999998</v>
      </c>
      <c r="BO540" s="2">
        <f>VLOOKUP([jobnumber],OvalData[],MATCH(Table2[[#Headers],[Max Pipe Deflection]],Table2[#Headers],0),0)</f>
        <v>2309</v>
      </c>
      <c r="BP540" s="2">
        <f>VLOOKUP([jobnumber],OvalData[],MATCH(Table2[[#Headers],[Number Non-Insulated Wrap Slats]],Table2[#Headers],0),0)</f>
        <v>0</v>
      </c>
      <c r="BQ540" s="2">
        <f>VLOOKUP([jobnumber],OvalData[],MATCH(Table2[[#Headers],[Number of Insolated Top Slats]],Table2[#Headers],0),0)</f>
        <v>45</v>
      </c>
      <c r="BR540" s="2">
        <f>VLOOKUP([jobnumber],OvalData[],MATCH(Table2[[#Headers],[Insolated Total Slats]],Table2[#Headers],0),0)</f>
        <v>45</v>
      </c>
      <c r="BS540" s="2">
        <f>VLOOKUP([jobnumber],OvalData[],MATCH(Table2[[#Headers],[Number of Slats]],Table2[#Headers],0),0)</f>
        <v>44.69</v>
      </c>
      <c r="BT540" s="2">
        <f>VLOOKUP([jobnumber],OvalData[],MATCH(Table2[[#Headers],[Wrap]],Table2[#Headers],0),0)</f>
        <v>0</v>
      </c>
      <c r="BU540" s="2">
        <f>VLOOKUP([jobnumber],OvalData[],MATCH(Table2[[#Headers],[Wall Angle Thickness]],Table2[#Headers],0),0)</f>
        <v>0</v>
      </c>
      <c r="BV540" s="2">
        <f>VLOOKUP([jobnumber],OvalData[],MATCH(Table2[[#Headers],[windlocks]],Table2[#Headers],0),0)</f>
        <v>0</v>
      </c>
      <c r="BW540" s="2" t="str">
        <f>VLOOKUP([jobnumber],OvalData[],MATCH(Table2[[#Headers],[bottombartype]],Table2[#Headers],0),0)</f>
        <v>SPECIAL</v>
      </c>
      <c r="BX540" s="2">
        <f>VLOOKUP([jobnumber],OvalData[],MATCH(Table2[[#Headers],[endlockweight]],Table2[#Headers],0),0)</f>
        <v>0.17</v>
      </c>
      <c r="BY540" s="2">
        <f>VLOOKUP([jobnumber],OvalData[],MATCH(Table2[[#Headers],[Endlock Total Weight]],Table2[#Headers],0),0)</f>
        <v>7.5972999999999997</v>
      </c>
      <c r="BZ540" s="2">
        <f>VLOOKUP([jobnumber],OvalData[],MATCH(Table2[[#Headers],[Grille Weight]],Table2[#Headers],0),0)</f>
        <v>0</v>
      </c>
      <c r="CA540" s="2">
        <f>VLOOKUP([jobnumber],OvalData[],MATCH(Table2[[#Headers],[barrelrings]],Table2[#Headers],0),0)</f>
        <v>1</v>
      </c>
    </row>
    <row r="541" spans="2:79">
      <c r="B541" s="2" t="str">
        <f>VLOOKUP([jobnumber],OvalData[],MATCH(Table2[[#Headers],[Hand]],Table2[#Headers],0),0)</f>
        <v>RH</v>
      </c>
      <c r="C541" s="2" t="str">
        <f>VLOOKUP([jobnumber],OvalData[],MATCH(Table2[[#Headers],[Model]],Table2[#Headers],0),0)</f>
        <v>SFMPP</v>
      </c>
      <c r="D541" s="2" t="str">
        <f>VLOOKUP([jobnumber],OvalData[],MATCH(Table2[[#Headers],[width]],Table2[#Headers],0),0)</f>
        <v xml:space="preserve"> 18 ft.- 2"</v>
      </c>
      <c r="E541" s="2" t="str">
        <f>VLOOKUP([jobnumber],OvalData[],MATCH(Table2[[#Headers],[stopheight]],Table2[#Headers],0),0)</f>
        <v xml:space="preserve"> 10 ft.- 0"</v>
      </c>
      <c r="F541" s="2" t="str">
        <f>VLOOKUP([jobnumber],OvalData[],MATCH(Table2[[#Headers],[Between Brackets]],Table2[#Headers],0),0)</f>
        <v xml:space="preserve"> 18 ft.- 7 7/ 8"</v>
      </c>
      <c r="G541" s="2" t="str">
        <f>VLOOKUP([jobnumber],OvalData[],MATCH(Table2[[#Headers],[shell]],Table2[#Headers],0),0)</f>
        <v>6 INCH TUBE</v>
      </c>
      <c r="H541" s="2" t="str">
        <f>VLOOKUP([jobnumber],OvalData[],MATCH(Table2[[#Headers],[pipewidth]],Table2[#Headers],0),0)</f>
        <v xml:space="preserve"> 18 ft.- 1 3/ 8"</v>
      </c>
      <c r="I541" s="2">
        <f>VLOOKUP([jobnumber],OvalData[],MATCH(Table2[[#Headers],[Support Tubes]],Table2[#Headers],0),0)</f>
        <v>0</v>
      </c>
      <c r="J541" s="2">
        <f>VLOOKUP([jobnumber],OvalData[],MATCH(Table2[[#Headers],[Upset]],Table2[#Headers],0),0)</f>
        <v>2</v>
      </c>
      <c r="K541" s="2" t="str">
        <f>VLOOKUP([jobnumber],OvalData[],MATCH(Table2[[#Headers],[Guide Type]],Table2[#Headers],0),0)</f>
        <v>SN2-4 5/8-E</v>
      </c>
      <c r="L541" s="2" t="str">
        <f>VLOOKUP([jobnumber],OvalData[],MATCH(Table2[[#Headers],[Wall Angle]],Table2[#Headers],0),0)</f>
        <v xml:space="preserve"> 11 ft.- 8"</v>
      </c>
      <c r="M541" s="2" t="str">
        <f>VLOOKUP([jobnumber],OvalData[],MATCH(Table2[[#Headers],[Middle Angle]],Table2[#Headers],0),0)</f>
        <v xml:space="preserve"> 10 ft.- 4 1/ 2"</v>
      </c>
      <c r="N541" s="2" t="str">
        <f>VLOOKUP([jobnumber],OvalData[],MATCH(Table2[[#Headers],[Front Angle]],Table2[#Headers],0),0)</f>
        <v xml:space="preserve"> 10 ft.- 3"</v>
      </c>
      <c r="O541" s="2">
        <f>VLOOKUP([jobnumber],OvalData[],MATCH(Table2[[#Headers],[Pipe Center Line]],Table2[#Headers],0),0)</f>
        <v>131</v>
      </c>
      <c r="P541" s="2">
        <f>VLOOKUP([jobnumber],OvalData[],MATCH(Table2[[#Headers],[Heat Expansion Gap]],Table2[#Headers],0),0)</f>
        <v>0</v>
      </c>
      <c r="Q541" s="2">
        <f>VLOOKUP([jobnumber],OvalData[],MATCH(Table2[[#Headers],[Hanging Weight Closed]],Table2[#Headers],0),0)</f>
        <v>795</v>
      </c>
      <c r="R541" s="2">
        <f>VLOOKUP([jobnumber],OvalData[],MATCH(Table2[[#Headers],[Hanging Weight Open]],Table2[#Headers],0),0)</f>
        <v>140</v>
      </c>
      <c r="S541" s="2">
        <f>VLOOKUP([jobnumber],OvalData[],MATCH(Table2[[#Headers],[Initial Lever Arm]],Table2[#Headers],0),0)</f>
        <v>4.25</v>
      </c>
      <c r="T541" s="2">
        <f>VLOOKUP([jobnumber],OvalData[],MATCH(Table2[[#Headers],[Turns to Raise]],Table2[#Headers],0),0)</f>
        <v>3.5859999999999999</v>
      </c>
      <c r="U541" s="2">
        <f>VLOOKUP([jobnumber],OvalData[],MATCH(Table2[[#Headers],[Final Lever Arm]],Table2[#Headers],0),0)</f>
        <v>6.37</v>
      </c>
      <c r="V541" s="2">
        <f>VLOOKUP([jobnumber],OvalData[],MATCH(Table2[[#Headers],[Torque Required Closed]],Table2[#Headers],0),0)</f>
        <v>3377.9</v>
      </c>
      <c r="W541" s="2">
        <f>VLOOKUP([jobnumber],OvalData[],MATCH(Table2[[#Headers],[Torque Required Open]],Table2[#Headers],0),0)</f>
        <v>892</v>
      </c>
      <c r="X541" s="2">
        <f>VLOOKUP([jobnumber],OvalData[],MATCH(Table2[[#Headers],[Pre Turns]],Table2[#Headers],0),0)</f>
        <v>1.3332999999999999</v>
      </c>
      <c r="Y541" s="2">
        <f>VLOOKUP([jobnumber],OvalData[],MATCH(Table2[[#Headers],[Required Torque Per Turn]],Table2[#Headers],0),0)</f>
        <v>688</v>
      </c>
      <c r="Z541" s="2">
        <f>VLOOKUP([jobnumber],OvalData[],MATCH(Table2[[#Headers],[Total Turns]],Table2[#Headers],0),0)</f>
        <v>4.91</v>
      </c>
      <c r="AA541" s="2">
        <f>VLOOKUP([jobnumber],OvalData[],MATCH(Table2[[#Headers],[Grille Vision Section]],Table2[#Headers],0),0)</f>
        <v>0</v>
      </c>
      <c r="AB541" s="2">
        <f>VLOOKUP([jobnumber],OvalData[],MATCH(Table2[[#Headers],[Grille Amount]],Table2[#Headers],0),0)</f>
        <v>0</v>
      </c>
      <c r="AC541" s="2">
        <f>VLOOKUP([jobnumber],OvalData[],MATCH(Table2[[#Headers],[Grille Center]],Table2[#Headers],0),0)</f>
        <v>0</v>
      </c>
      <c r="AD541" s="2">
        <f>VLOOKUP([jobnumber],OvalData[],MATCH(Table2[[#Headers],[Grille Pattern]],Table2[#Headers],0),0)</f>
        <v>0</v>
      </c>
      <c r="AE541" s="2">
        <f>VLOOKUP([jobnumber],OvalData[],MATCH(Table2[[#Headers],[Grille First Tube]],Table2[#Headers],0),0)</f>
        <v>0</v>
      </c>
      <c r="AF541" s="2">
        <f>VLOOKUP([jobnumber],OvalData[],MATCH(Table2[[#Headers],[Grille Standard Tube]],Table2[#Headers],0),0)</f>
        <v>0</v>
      </c>
      <c r="AG541" s="2">
        <f>VLOOKUP([jobnumber],OvalData[],MATCH(Table2[[#Headers],[Grille Total Links]],Table2[#Headers],0),0)</f>
        <v>0</v>
      </c>
      <c r="AH541" s="2">
        <f>VLOOKUP([jobnumber],OvalData[],MATCH(Table2[[#Headers],[Grille Rods]],Table2[#Headers],0),0)</f>
        <v>0</v>
      </c>
      <c r="AI541" s="2">
        <f>VLOOKUP([jobnumber],OvalData[],MATCH(Table2[[#Headers],[Grille Rod Length]],Table2[#Headers],0),0)</f>
        <v>0</v>
      </c>
      <c r="AJ541" s="2">
        <f>VLOOKUP([jobnumber],OvalData[],MATCH(Table2[[#Headers],[slattype]],Table2[#Headers],0),0)</f>
        <v>2</v>
      </c>
      <c r="AK541" s="2">
        <f>VLOOKUP([jobnumber],OvalData[],MATCH(Table2[[#Headers],[slatgage]],Table2[#Headers],0),0)</f>
        <v>18</v>
      </c>
      <c r="AL541" s="2">
        <f>VLOOKUP([jobnumber],OvalData[],MATCH(Table2[[#Headers],[Numer of Top Slats]],Table2[#Headers],0),0)</f>
        <v>0</v>
      </c>
      <c r="AM541" s="2">
        <f>VLOOKUP([jobnumber],OvalData[],MATCH(Table2[[#Headers],[Number of Bottom Slats]],Table2[#Headers],0),0)</f>
        <v>0</v>
      </c>
      <c r="AN541" s="2">
        <f>VLOOKUP([jobnumber],OvalData[],MATCH(Table2[[#Headers],[Solid Bottom Height]],Table2[#Headers],0),0)</f>
        <v>0</v>
      </c>
      <c r="AO541" s="2" t="str">
        <f>VLOOKUP([jobnumber],OvalData[],MATCH(Table2[[#Headers],[slatlength]],Table2[#Headers],0),0)</f>
        <v xml:space="preserve"> 18 ft.- 5 7/ 8"</v>
      </c>
      <c r="AP541" s="2">
        <f>VLOOKUP([jobnumber],OvalData[],MATCH(Table2[[#Headers],[Bottom Slat Length]],Table2[#Headers],0),0)</f>
        <v>0</v>
      </c>
      <c r="AQ541" s="2">
        <f>VLOOKUP([jobnumber],OvalData[],MATCH(Table2[[#Headers],[Number of Perferated Slats]],Table2[#Headers],0),0)</f>
        <v>0</v>
      </c>
      <c r="AR541" s="2">
        <f>VLOOKUP([jobnumber],OvalData[],MATCH(Table2[[#Headers],[First Preferated Slat From End]],Table2[#Headers],0),0)</f>
        <v>0</v>
      </c>
      <c r="AS541" s="2">
        <f>VLOOKUP([jobnumber],OvalData[],MATCH(Table2[[#Headers],[First Preferated Slat From Bottom]],Table2[#Headers],0),0)</f>
        <v>0</v>
      </c>
      <c r="AT541" s="2">
        <f>VLOOKUP([jobnumber],OvalData[],MATCH(Table2[[#Headers],[Total Number of Slats]],Table2[#Headers],0),0)</f>
        <v>51</v>
      </c>
      <c r="AU541" s="2">
        <f>VLOOKUP([jobnumber],OvalData[],MATCH(Table2[[#Headers],[Bottom Bar Slope]],Table2[#Headers],0),0)</f>
        <v>0</v>
      </c>
      <c r="AV541" s="2">
        <f>VLOOKUP([jobnumber],OvalData[],MATCH(Table2[[#Headers],[Bottom Bar Weight]],Table2[#Headers],0),0)</f>
        <v>80.5</v>
      </c>
      <c r="AW541" s="2" t="str">
        <f>VLOOKUP([jobnumber],OvalData[],MATCH(Table2[[#Headers],[Outer Spring Gage]],Table2[#Headers],0),0)</f>
        <v>Null</v>
      </c>
      <c r="AX541" s="2" t="str">
        <f>VLOOKUP([jobnumber],OvalData[],MATCH(Table2[[#Headers],[Outer Spring OD]],Table2[#Headers],0),0)</f>
        <v>Null</v>
      </c>
      <c r="AY541" s="2" t="str">
        <f>VLOOKUP([jobnumber],OvalData[],MATCH(Table2[[#Headers],[Outer Spring Length]],Table2[#Headers],0),0)</f>
        <v>Null</v>
      </c>
      <c r="AZ541" s="2" t="str">
        <f>VLOOKUP([jobnumber],OvalData[],MATCH(Table2[[#Headers],[Outer Spring Stretch]],Table2[#Headers],0),0)</f>
        <v>Null</v>
      </c>
      <c r="BA541" s="2" t="str">
        <f>VLOOKUP([jobnumber],OvalData[],MATCH(Table2[[#Headers],[Outer Spring Torque]],Table2[#Headers],0),0)</f>
        <v>Null</v>
      </c>
      <c r="BB541" s="2" t="str">
        <f>VLOOKUP([jobnumber],OvalData[],MATCH(Table2[[#Headers],[Outer Spring Max Turns]],Table2[#Headers],0),0)</f>
        <v>Null</v>
      </c>
      <c r="BC541" s="2" t="str">
        <f>VLOOKUP([jobnumber],OvalData[],MATCH(Table2[[#Headers],[Outer Spring Weight]],Table2[#Headers],0),0)</f>
        <v>Null</v>
      </c>
      <c r="BD541" s="2" t="str">
        <f>VLOOKUP([jobnumber],OvalData[],MATCH(Table2[[#Headers],[Inner Spring Gage]],Table2[#Headers],0),0)</f>
        <v>Null</v>
      </c>
      <c r="BE541" s="2" t="str">
        <f>VLOOKUP([jobnumber],OvalData[],MATCH(Table2[[#Headers],[Inner Spring OD]],Table2[#Headers],0),0)</f>
        <v>Null</v>
      </c>
      <c r="BF541" s="2" t="str">
        <f>VLOOKUP([jobnumber],OvalData[],MATCH(Table2[[#Headers],[Inner Spring Length]],Table2[#Headers],0),0)</f>
        <v>Null</v>
      </c>
      <c r="BG541" s="2" t="str">
        <f>VLOOKUP([jobnumber],OvalData[],MATCH(Table2[[#Headers],[Inner Spring Stretch]],Table2[#Headers],0),0)</f>
        <v>Null</v>
      </c>
      <c r="BH541" s="2" t="str">
        <f>VLOOKUP([jobnumber],OvalData[],MATCH(Table2[[#Headers],[Inner Spring Torque]],Table2[#Headers],0),0)</f>
        <v>Null</v>
      </c>
      <c r="BI541" s="2" t="str">
        <f>VLOOKUP([jobnumber],OvalData[],MATCH(Table2[[#Headers],[Inner Spring Max Turns]],Table2[#Headers],0),0)</f>
        <v>Null</v>
      </c>
      <c r="BJ541" s="2" t="str">
        <f>VLOOKUP([jobnumber],OvalData[],MATCH(Table2[[#Headers],[Inner Spring Weight]],Table2[#Headers],0),0)</f>
        <v>Null</v>
      </c>
      <c r="BK541" s="2">
        <f>VLOOKUP([jobnumber],OvalData[],MATCH(Table2[[#Headers],[Cycles]],Table2[#Headers],0),0)</f>
        <v>0</v>
      </c>
      <c r="BL541" s="2">
        <f>VLOOKUP([jobnumber],OvalData[],MATCH(Table2[[#Headers],[Total Spring Torque]],Table2[#Headers],0),0)</f>
        <v>0</v>
      </c>
      <c r="BM541" s="2">
        <f>VLOOKUP([jobnumber],OvalData[],MATCH(Table2[[#Headers],[Total Spring Weight]],Table2[#Headers],0),0)</f>
        <v>0</v>
      </c>
      <c r="BN541" s="2">
        <f>VLOOKUP([jobnumber],OvalData[],MATCH(Table2[[#Headers],[Pipe Weight]],Table2[#Headers],0),0)</f>
        <v>688.24239999999998</v>
      </c>
      <c r="BO541" s="2">
        <f>VLOOKUP([jobnumber],OvalData[],MATCH(Table2[[#Headers],[Max Pipe Deflection]],Table2[#Headers],0),0)</f>
        <v>2309</v>
      </c>
      <c r="BP541" s="2">
        <f>VLOOKUP([jobnumber],OvalData[],MATCH(Table2[[#Headers],[Number Non-Insulated Wrap Slats]],Table2[#Headers],0),0)</f>
        <v>0</v>
      </c>
      <c r="BQ541" s="2">
        <f>VLOOKUP([jobnumber],OvalData[],MATCH(Table2[[#Headers],[Number of Insolated Top Slats]],Table2[#Headers],0),0)</f>
        <v>45</v>
      </c>
      <c r="BR541" s="2">
        <f>VLOOKUP([jobnumber],OvalData[],MATCH(Table2[[#Headers],[Insolated Total Slats]],Table2[#Headers],0),0)</f>
        <v>45</v>
      </c>
      <c r="BS541" s="2">
        <f>VLOOKUP([jobnumber],OvalData[],MATCH(Table2[[#Headers],[Number of Slats]],Table2[#Headers],0),0)</f>
        <v>44.69</v>
      </c>
      <c r="BT541" s="2">
        <f>VLOOKUP([jobnumber],OvalData[],MATCH(Table2[[#Headers],[Wrap]],Table2[#Headers],0),0)</f>
        <v>0</v>
      </c>
      <c r="BU541" s="2">
        <f>VLOOKUP([jobnumber],OvalData[],MATCH(Table2[[#Headers],[Wall Angle Thickness]],Table2[#Headers],0),0)</f>
        <v>0</v>
      </c>
      <c r="BV541" s="2">
        <f>VLOOKUP([jobnumber],OvalData[],MATCH(Table2[[#Headers],[windlocks]],Table2[#Headers],0),0)</f>
        <v>0</v>
      </c>
      <c r="BW541" s="2" t="str">
        <f>VLOOKUP([jobnumber],OvalData[],MATCH(Table2[[#Headers],[bottombartype]],Table2[#Headers],0),0)</f>
        <v>SPECIAL</v>
      </c>
      <c r="BX541" s="2">
        <f>VLOOKUP([jobnumber],OvalData[],MATCH(Table2[[#Headers],[endlockweight]],Table2[#Headers],0),0)</f>
        <v>0.17</v>
      </c>
      <c r="BY541" s="2">
        <f>VLOOKUP([jobnumber],OvalData[],MATCH(Table2[[#Headers],[Endlock Total Weight]],Table2[#Headers],0),0)</f>
        <v>7.5972999999999997</v>
      </c>
      <c r="BZ541" s="2">
        <f>VLOOKUP([jobnumber],OvalData[],MATCH(Table2[[#Headers],[Grille Weight]],Table2[#Headers],0),0)</f>
        <v>0</v>
      </c>
      <c r="CA541" s="2">
        <f>VLOOKUP([jobnumber],OvalData[],MATCH(Table2[[#Headers],[barrelrings]],Table2[#Headers],0),0)</f>
        <v>1</v>
      </c>
    </row>
    <row r="542" spans="2:79">
      <c r="B542" s="2" t="str">
        <f>VLOOKUP([jobnumber],OvalData[],MATCH(Table2[[#Headers],[Hand]],Table2[#Headers],0),0)</f>
        <v>RH</v>
      </c>
      <c r="C542" s="2" t="str">
        <f>VLOOKUP([jobnumber],OvalData[],MATCH(Table2[[#Headers],[Model]],Table2[#Headers],0),0)</f>
        <v>SFMPP</v>
      </c>
      <c r="D542" s="2" t="str">
        <f>VLOOKUP([jobnumber],OvalData[],MATCH(Table2[[#Headers],[width]],Table2[#Headers],0),0)</f>
        <v xml:space="preserve"> 18 ft.- 2"</v>
      </c>
      <c r="E542" s="2" t="str">
        <f>VLOOKUP([jobnumber],OvalData[],MATCH(Table2[[#Headers],[stopheight]],Table2[#Headers],0),0)</f>
        <v xml:space="preserve"> 10 ft.- 0"</v>
      </c>
      <c r="F542" s="2" t="str">
        <f>VLOOKUP([jobnumber],OvalData[],MATCH(Table2[[#Headers],[Between Brackets]],Table2[#Headers],0),0)</f>
        <v xml:space="preserve"> 18 ft.- 7 7/ 8"</v>
      </c>
      <c r="G542" s="2" t="str">
        <f>VLOOKUP([jobnumber],OvalData[],MATCH(Table2[[#Headers],[shell]],Table2[#Headers],0),0)</f>
        <v>6 INCH TUBE</v>
      </c>
      <c r="H542" s="2" t="str">
        <f>VLOOKUP([jobnumber],OvalData[],MATCH(Table2[[#Headers],[pipewidth]],Table2[#Headers],0),0)</f>
        <v xml:space="preserve"> 18 ft.- 1 3/ 8"</v>
      </c>
      <c r="I542" s="2">
        <f>VLOOKUP([jobnumber],OvalData[],MATCH(Table2[[#Headers],[Support Tubes]],Table2[#Headers],0),0)</f>
        <v>0</v>
      </c>
      <c r="J542" s="2">
        <f>VLOOKUP([jobnumber],OvalData[],MATCH(Table2[[#Headers],[Upset]],Table2[#Headers],0),0)</f>
        <v>2</v>
      </c>
      <c r="K542" s="2" t="str">
        <f>VLOOKUP([jobnumber],OvalData[],MATCH(Table2[[#Headers],[Guide Type]],Table2[#Headers],0),0)</f>
        <v>SN2-4 5/8-E</v>
      </c>
      <c r="L542" s="2" t="str">
        <f>VLOOKUP([jobnumber],OvalData[],MATCH(Table2[[#Headers],[Wall Angle]],Table2[#Headers],0),0)</f>
        <v xml:space="preserve"> 11 ft.- 8"</v>
      </c>
      <c r="M542" s="2" t="str">
        <f>VLOOKUP([jobnumber],OvalData[],MATCH(Table2[[#Headers],[Middle Angle]],Table2[#Headers],0),0)</f>
        <v xml:space="preserve"> 10 ft.- 4 1/ 2"</v>
      </c>
      <c r="N542" s="2" t="str">
        <f>VLOOKUP([jobnumber],OvalData[],MATCH(Table2[[#Headers],[Front Angle]],Table2[#Headers],0),0)</f>
        <v xml:space="preserve"> 10 ft.- 3"</v>
      </c>
      <c r="O542" s="2">
        <f>VLOOKUP([jobnumber],OvalData[],MATCH(Table2[[#Headers],[Pipe Center Line]],Table2[#Headers],0),0)</f>
        <v>131</v>
      </c>
      <c r="P542" s="2">
        <f>VLOOKUP([jobnumber],OvalData[],MATCH(Table2[[#Headers],[Heat Expansion Gap]],Table2[#Headers],0),0)</f>
        <v>0</v>
      </c>
      <c r="Q542" s="2">
        <f>VLOOKUP([jobnumber],OvalData[],MATCH(Table2[[#Headers],[Hanging Weight Closed]],Table2[#Headers],0),0)</f>
        <v>795</v>
      </c>
      <c r="R542" s="2">
        <f>VLOOKUP([jobnumber],OvalData[],MATCH(Table2[[#Headers],[Hanging Weight Open]],Table2[#Headers],0),0)</f>
        <v>140</v>
      </c>
      <c r="S542" s="2">
        <f>VLOOKUP([jobnumber],OvalData[],MATCH(Table2[[#Headers],[Initial Lever Arm]],Table2[#Headers],0),0)</f>
        <v>4.25</v>
      </c>
      <c r="T542" s="2">
        <f>VLOOKUP([jobnumber],OvalData[],MATCH(Table2[[#Headers],[Turns to Raise]],Table2[#Headers],0),0)</f>
        <v>3.5859999999999999</v>
      </c>
      <c r="U542" s="2">
        <f>VLOOKUP([jobnumber],OvalData[],MATCH(Table2[[#Headers],[Final Lever Arm]],Table2[#Headers],0),0)</f>
        <v>6.37</v>
      </c>
      <c r="V542" s="2">
        <f>VLOOKUP([jobnumber],OvalData[],MATCH(Table2[[#Headers],[Torque Required Closed]],Table2[#Headers],0),0)</f>
        <v>3377.9</v>
      </c>
      <c r="W542" s="2">
        <f>VLOOKUP([jobnumber],OvalData[],MATCH(Table2[[#Headers],[Torque Required Open]],Table2[#Headers],0),0)</f>
        <v>892</v>
      </c>
      <c r="X542" s="2">
        <f>VLOOKUP([jobnumber],OvalData[],MATCH(Table2[[#Headers],[Pre Turns]],Table2[#Headers],0),0)</f>
        <v>1.3332999999999999</v>
      </c>
      <c r="Y542" s="2">
        <f>VLOOKUP([jobnumber],OvalData[],MATCH(Table2[[#Headers],[Required Torque Per Turn]],Table2[#Headers],0),0)</f>
        <v>688</v>
      </c>
      <c r="Z542" s="2">
        <f>VLOOKUP([jobnumber],OvalData[],MATCH(Table2[[#Headers],[Total Turns]],Table2[#Headers],0),0)</f>
        <v>4.91</v>
      </c>
      <c r="AA542" s="2">
        <f>VLOOKUP([jobnumber],OvalData[],MATCH(Table2[[#Headers],[Grille Vision Section]],Table2[#Headers],0),0)</f>
        <v>0</v>
      </c>
      <c r="AB542" s="2">
        <f>VLOOKUP([jobnumber],OvalData[],MATCH(Table2[[#Headers],[Grille Amount]],Table2[#Headers],0),0)</f>
        <v>0</v>
      </c>
      <c r="AC542" s="2">
        <f>VLOOKUP([jobnumber],OvalData[],MATCH(Table2[[#Headers],[Grille Center]],Table2[#Headers],0),0)</f>
        <v>0</v>
      </c>
      <c r="AD542" s="2">
        <f>VLOOKUP([jobnumber],OvalData[],MATCH(Table2[[#Headers],[Grille Pattern]],Table2[#Headers],0),0)</f>
        <v>0</v>
      </c>
      <c r="AE542" s="2">
        <f>VLOOKUP([jobnumber],OvalData[],MATCH(Table2[[#Headers],[Grille First Tube]],Table2[#Headers],0),0)</f>
        <v>0</v>
      </c>
      <c r="AF542" s="2">
        <f>VLOOKUP([jobnumber],OvalData[],MATCH(Table2[[#Headers],[Grille Standard Tube]],Table2[#Headers],0),0)</f>
        <v>0</v>
      </c>
      <c r="AG542" s="2">
        <f>VLOOKUP([jobnumber],OvalData[],MATCH(Table2[[#Headers],[Grille Total Links]],Table2[#Headers],0),0)</f>
        <v>0</v>
      </c>
      <c r="AH542" s="2">
        <f>VLOOKUP([jobnumber],OvalData[],MATCH(Table2[[#Headers],[Grille Rods]],Table2[#Headers],0),0)</f>
        <v>0</v>
      </c>
      <c r="AI542" s="2">
        <f>VLOOKUP([jobnumber],OvalData[],MATCH(Table2[[#Headers],[Grille Rod Length]],Table2[#Headers],0),0)</f>
        <v>0</v>
      </c>
      <c r="AJ542" s="2">
        <f>VLOOKUP([jobnumber],OvalData[],MATCH(Table2[[#Headers],[slattype]],Table2[#Headers],0),0)</f>
        <v>2</v>
      </c>
      <c r="AK542" s="2">
        <f>VLOOKUP([jobnumber],OvalData[],MATCH(Table2[[#Headers],[slatgage]],Table2[#Headers],0),0)</f>
        <v>18</v>
      </c>
      <c r="AL542" s="2">
        <f>VLOOKUP([jobnumber],OvalData[],MATCH(Table2[[#Headers],[Numer of Top Slats]],Table2[#Headers],0),0)</f>
        <v>0</v>
      </c>
      <c r="AM542" s="2">
        <f>VLOOKUP([jobnumber],OvalData[],MATCH(Table2[[#Headers],[Number of Bottom Slats]],Table2[#Headers],0),0)</f>
        <v>0</v>
      </c>
      <c r="AN542" s="2">
        <f>VLOOKUP([jobnumber],OvalData[],MATCH(Table2[[#Headers],[Solid Bottom Height]],Table2[#Headers],0),0)</f>
        <v>0</v>
      </c>
      <c r="AO542" s="2" t="str">
        <f>VLOOKUP([jobnumber],OvalData[],MATCH(Table2[[#Headers],[slatlength]],Table2[#Headers],0),0)</f>
        <v xml:space="preserve"> 18 ft.- 5 7/ 8"</v>
      </c>
      <c r="AP542" s="2">
        <f>VLOOKUP([jobnumber],OvalData[],MATCH(Table2[[#Headers],[Bottom Slat Length]],Table2[#Headers],0),0)</f>
        <v>0</v>
      </c>
      <c r="AQ542" s="2">
        <f>VLOOKUP([jobnumber],OvalData[],MATCH(Table2[[#Headers],[Number of Perferated Slats]],Table2[#Headers],0),0)</f>
        <v>0</v>
      </c>
      <c r="AR542" s="2">
        <f>VLOOKUP([jobnumber],OvalData[],MATCH(Table2[[#Headers],[First Preferated Slat From End]],Table2[#Headers],0),0)</f>
        <v>0</v>
      </c>
      <c r="AS542" s="2">
        <f>VLOOKUP([jobnumber],OvalData[],MATCH(Table2[[#Headers],[First Preferated Slat From Bottom]],Table2[#Headers],0),0)</f>
        <v>0</v>
      </c>
      <c r="AT542" s="2">
        <f>VLOOKUP([jobnumber],OvalData[],MATCH(Table2[[#Headers],[Total Number of Slats]],Table2[#Headers],0),0)</f>
        <v>51</v>
      </c>
      <c r="AU542" s="2">
        <f>VLOOKUP([jobnumber],OvalData[],MATCH(Table2[[#Headers],[Bottom Bar Slope]],Table2[#Headers],0),0)</f>
        <v>0</v>
      </c>
      <c r="AV542" s="2">
        <f>VLOOKUP([jobnumber],OvalData[],MATCH(Table2[[#Headers],[Bottom Bar Weight]],Table2[#Headers],0),0)</f>
        <v>80.5</v>
      </c>
      <c r="AW542" s="2" t="str">
        <f>VLOOKUP([jobnumber],OvalData[],MATCH(Table2[[#Headers],[Outer Spring Gage]],Table2[#Headers],0),0)</f>
        <v>Null</v>
      </c>
      <c r="AX542" s="2" t="str">
        <f>VLOOKUP([jobnumber],OvalData[],MATCH(Table2[[#Headers],[Outer Spring OD]],Table2[#Headers],0),0)</f>
        <v>Null</v>
      </c>
      <c r="AY542" s="2" t="str">
        <f>VLOOKUP([jobnumber],OvalData[],MATCH(Table2[[#Headers],[Outer Spring Length]],Table2[#Headers],0),0)</f>
        <v>Null</v>
      </c>
      <c r="AZ542" s="2" t="str">
        <f>VLOOKUP([jobnumber],OvalData[],MATCH(Table2[[#Headers],[Outer Spring Stretch]],Table2[#Headers],0),0)</f>
        <v>Null</v>
      </c>
      <c r="BA542" s="2" t="str">
        <f>VLOOKUP([jobnumber],OvalData[],MATCH(Table2[[#Headers],[Outer Spring Torque]],Table2[#Headers],0),0)</f>
        <v>Null</v>
      </c>
      <c r="BB542" s="2" t="str">
        <f>VLOOKUP([jobnumber],OvalData[],MATCH(Table2[[#Headers],[Outer Spring Max Turns]],Table2[#Headers],0),0)</f>
        <v>Null</v>
      </c>
      <c r="BC542" s="2" t="str">
        <f>VLOOKUP([jobnumber],OvalData[],MATCH(Table2[[#Headers],[Outer Spring Weight]],Table2[#Headers],0),0)</f>
        <v>Null</v>
      </c>
      <c r="BD542" s="2" t="str">
        <f>VLOOKUP([jobnumber],OvalData[],MATCH(Table2[[#Headers],[Inner Spring Gage]],Table2[#Headers],0),0)</f>
        <v>Null</v>
      </c>
      <c r="BE542" s="2" t="str">
        <f>VLOOKUP([jobnumber],OvalData[],MATCH(Table2[[#Headers],[Inner Spring OD]],Table2[#Headers],0),0)</f>
        <v>Null</v>
      </c>
      <c r="BF542" s="2" t="str">
        <f>VLOOKUP([jobnumber],OvalData[],MATCH(Table2[[#Headers],[Inner Spring Length]],Table2[#Headers],0),0)</f>
        <v>Null</v>
      </c>
      <c r="BG542" s="2" t="str">
        <f>VLOOKUP([jobnumber],OvalData[],MATCH(Table2[[#Headers],[Inner Spring Stretch]],Table2[#Headers],0),0)</f>
        <v>Null</v>
      </c>
      <c r="BH542" s="2" t="str">
        <f>VLOOKUP([jobnumber],OvalData[],MATCH(Table2[[#Headers],[Inner Spring Torque]],Table2[#Headers],0),0)</f>
        <v>Null</v>
      </c>
      <c r="BI542" s="2" t="str">
        <f>VLOOKUP([jobnumber],OvalData[],MATCH(Table2[[#Headers],[Inner Spring Max Turns]],Table2[#Headers],0),0)</f>
        <v>Null</v>
      </c>
      <c r="BJ542" s="2" t="str">
        <f>VLOOKUP([jobnumber],OvalData[],MATCH(Table2[[#Headers],[Inner Spring Weight]],Table2[#Headers],0),0)</f>
        <v>Null</v>
      </c>
      <c r="BK542" s="2">
        <f>VLOOKUP([jobnumber],OvalData[],MATCH(Table2[[#Headers],[Cycles]],Table2[#Headers],0),0)</f>
        <v>0</v>
      </c>
      <c r="BL542" s="2">
        <f>VLOOKUP([jobnumber],OvalData[],MATCH(Table2[[#Headers],[Total Spring Torque]],Table2[#Headers],0),0)</f>
        <v>0</v>
      </c>
      <c r="BM542" s="2">
        <f>VLOOKUP([jobnumber],OvalData[],MATCH(Table2[[#Headers],[Total Spring Weight]],Table2[#Headers],0),0)</f>
        <v>0</v>
      </c>
      <c r="BN542" s="2">
        <f>VLOOKUP([jobnumber],OvalData[],MATCH(Table2[[#Headers],[Pipe Weight]],Table2[#Headers],0),0)</f>
        <v>688.24239999999998</v>
      </c>
      <c r="BO542" s="2">
        <f>VLOOKUP([jobnumber],OvalData[],MATCH(Table2[[#Headers],[Max Pipe Deflection]],Table2[#Headers],0),0)</f>
        <v>2309</v>
      </c>
      <c r="BP542" s="2">
        <f>VLOOKUP([jobnumber],OvalData[],MATCH(Table2[[#Headers],[Number Non-Insulated Wrap Slats]],Table2[#Headers],0),0)</f>
        <v>0</v>
      </c>
      <c r="BQ542" s="2">
        <f>VLOOKUP([jobnumber],OvalData[],MATCH(Table2[[#Headers],[Number of Insolated Top Slats]],Table2[#Headers],0),0)</f>
        <v>45</v>
      </c>
      <c r="BR542" s="2">
        <f>VLOOKUP([jobnumber],OvalData[],MATCH(Table2[[#Headers],[Insolated Total Slats]],Table2[#Headers],0),0)</f>
        <v>45</v>
      </c>
      <c r="BS542" s="2">
        <f>VLOOKUP([jobnumber],OvalData[],MATCH(Table2[[#Headers],[Number of Slats]],Table2[#Headers],0),0)</f>
        <v>44.69</v>
      </c>
      <c r="BT542" s="2">
        <f>VLOOKUP([jobnumber],OvalData[],MATCH(Table2[[#Headers],[Wrap]],Table2[#Headers],0),0)</f>
        <v>0</v>
      </c>
      <c r="BU542" s="2">
        <f>VLOOKUP([jobnumber],OvalData[],MATCH(Table2[[#Headers],[Wall Angle Thickness]],Table2[#Headers],0),0)</f>
        <v>0</v>
      </c>
      <c r="BV542" s="2">
        <f>VLOOKUP([jobnumber],OvalData[],MATCH(Table2[[#Headers],[windlocks]],Table2[#Headers],0),0)</f>
        <v>0</v>
      </c>
      <c r="BW542" s="2" t="str">
        <f>VLOOKUP([jobnumber],OvalData[],MATCH(Table2[[#Headers],[bottombartype]],Table2[#Headers],0),0)</f>
        <v>SPECIAL</v>
      </c>
      <c r="BX542" s="2">
        <f>VLOOKUP([jobnumber],OvalData[],MATCH(Table2[[#Headers],[endlockweight]],Table2[#Headers],0),0)</f>
        <v>0.17</v>
      </c>
      <c r="BY542" s="2">
        <f>VLOOKUP([jobnumber],OvalData[],MATCH(Table2[[#Headers],[Endlock Total Weight]],Table2[#Headers],0),0)</f>
        <v>7.5972999999999997</v>
      </c>
      <c r="BZ542" s="2">
        <f>VLOOKUP([jobnumber],OvalData[],MATCH(Table2[[#Headers],[Grille Weight]],Table2[#Headers],0),0)</f>
        <v>0</v>
      </c>
      <c r="CA542" s="2">
        <f>VLOOKUP([jobnumber],OvalData[],MATCH(Table2[[#Headers],[barrelrings]],Table2[#Headers],0),0)</f>
        <v>1</v>
      </c>
    </row>
    <row r="543" spans="2:79">
      <c r="B543" s="2" t="str">
        <f>VLOOKUP([jobnumber],OvalData[],MATCH(Table2[[#Headers],[Hand]],Table2[#Headers],0),0)</f>
        <v>RH</v>
      </c>
      <c r="C543" s="2" t="str">
        <f>VLOOKUP([jobnumber],OvalData[],MATCH(Table2[[#Headers],[Model]],Table2[#Headers],0),0)</f>
        <v>SFMPP</v>
      </c>
      <c r="D543" s="2" t="str">
        <f>VLOOKUP([jobnumber],OvalData[],MATCH(Table2[[#Headers],[width]],Table2[#Headers],0),0)</f>
        <v xml:space="preserve"> 18 ft.- 2"</v>
      </c>
      <c r="E543" s="2" t="str">
        <f>VLOOKUP([jobnumber],OvalData[],MATCH(Table2[[#Headers],[stopheight]],Table2[#Headers],0),0)</f>
        <v xml:space="preserve"> 10 ft.- 0"</v>
      </c>
      <c r="F543" s="2" t="str">
        <f>VLOOKUP([jobnumber],OvalData[],MATCH(Table2[[#Headers],[Between Brackets]],Table2[#Headers],0),0)</f>
        <v xml:space="preserve"> 18 ft.- 7 7/ 8"</v>
      </c>
      <c r="G543" s="2" t="str">
        <f>VLOOKUP([jobnumber],OvalData[],MATCH(Table2[[#Headers],[shell]],Table2[#Headers],0),0)</f>
        <v>6 INCH TUBE</v>
      </c>
      <c r="H543" s="2" t="str">
        <f>VLOOKUP([jobnumber],OvalData[],MATCH(Table2[[#Headers],[pipewidth]],Table2[#Headers],0),0)</f>
        <v xml:space="preserve"> 18 ft.- 1 3/ 8"</v>
      </c>
      <c r="I543" s="2">
        <f>VLOOKUP([jobnumber],OvalData[],MATCH(Table2[[#Headers],[Support Tubes]],Table2[#Headers],0),0)</f>
        <v>0</v>
      </c>
      <c r="J543" s="2">
        <f>VLOOKUP([jobnumber],OvalData[],MATCH(Table2[[#Headers],[Upset]],Table2[#Headers],0),0)</f>
        <v>2</v>
      </c>
      <c r="K543" s="2" t="str">
        <f>VLOOKUP([jobnumber],OvalData[],MATCH(Table2[[#Headers],[Guide Type]],Table2[#Headers],0),0)</f>
        <v>SN2-4 5/8-E</v>
      </c>
      <c r="L543" s="2" t="str">
        <f>VLOOKUP([jobnumber],OvalData[],MATCH(Table2[[#Headers],[Wall Angle]],Table2[#Headers],0),0)</f>
        <v xml:space="preserve"> 11 ft.- 8"</v>
      </c>
      <c r="M543" s="2" t="str">
        <f>VLOOKUP([jobnumber],OvalData[],MATCH(Table2[[#Headers],[Middle Angle]],Table2[#Headers],0),0)</f>
        <v xml:space="preserve"> 10 ft.- 4 1/ 2"</v>
      </c>
      <c r="N543" s="2" t="str">
        <f>VLOOKUP([jobnumber],OvalData[],MATCH(Table2[[#Headers],[Front Angle]],Table2[#Headers],0),0)</f>
        <v xml:space="preserve"> 10 ft.- 3"</v>
      </c>
      <c r="O543" s="2">
        <f>VLOOKUP([jobnumber],OvalData[],MATCH(Table2[[#Headers],[Pipe Center Line]],Table2[#Headers],0),0)</f>
        <v>131</v>
      </c>
      <c r="P543" s="2">
        <f>VLOOKUP([jobnumber],OvalData[],MATCH(Table2[[#Headers],[Heat Expansion Gap]],Table2[#Headers],0),0)</f>
        <v>0</v>
      </c>
      <c r="Q543" s="2">
        <f>VLOOKUP([jobnumber],OvalData[],MATCH(Table2[[#Headers],[Hanging Weight Closed]],Table2[#Headers],0),0)</f>
        <v>795</v>
      </c>
      <c r="R543" s="2">
        <f>VLOOKUP([jobnumber],OvalData[],MATCH(Table2[[#Headers],[Hanging Weight Open]],Table2[#Headers],0),0)</f>
        <v>140</v>
      </c>
      <c r="S543" s="2">
        <f>VLOOKUP([jobnumber],OvalData[],MATCH(Table2[[#Headers],[Initial Lever Arm]],Table2[#Headers],0),0)</f>
        <v>4.25</v>
      </c>
      <c r="T543" s="2">
        <f>VLOOKUP([jobnumber],OvalData[],MATCH(Table2[[#Headers],[Turns to Raise]],Table2[#Headers],0),0)</f>
        <v>3.5859999999999999</v>
      </c>
      <c r="U543" s="2">
        <f>VLOOKUP([jobnumber],OvalData[],MATCH(Table2[[#Headers],[Final Lever Arm]],Table2[#Headers],0),0)</f>
        <v>6.37</v>
      </c>
      <c r="V543" s="2">
        <f>VLOOKUP([jobnumber],OvalData[],MATCH(Table2[[#Headers],[Torque Required Closed]],Table2[#Headers],0),0)</f>
        <v>3377.9</v>
      </c>
      <c r="W543" s="2">
        <f>VLOOKUP([jobnumber],OvalData[],MATCH(Table2[[#Headers],[Torque Required Open]],Table2[#Headers],0),0)</f>
        <v>892</v>
      </c>
      <c r="X543" s="2">
        <f>VLOOKUP([jobnumber],OvalData[],MATCH(Table2[[#Headers],[Pre Turns]],Table2[#Headers],0),0)</f>
        <v>1.3332999999999999</v>
      </c>
      <c r="Y543" s="2">
        <f>VLOOKUP([jobnumber],OvalData[],MATCH(Table2[[#Headers],[Required Torque Per Turn]],Table2[#Headers],0),0)</f>
        <v>688</v>
      </c>
      <c r="Z543" s="2">
        <f>VLOOKUP([jobnumber],OvalData[],MATCH(Table2[[#Headers],[Total Turns]],Table2[#Headers],0),0)</f>
        <v>4.91</v>
      </c>
      <c r="AA543" s="2">
        <f>VLOOKUP([jobnumber],OvalData[],MATCH(Table2[[#Headers],[Grille Vision Section]],Table2[#Headers],0),0)</f>
        <v>0</v>
      </c>
      <c r="AB543" s="2">
        <f>VLOOKUP([jobnumber],OvalData[],MATCH(Table2[[#Headers],[Grille Amount]],Table2[#Headers],0),0)</f>
        <v>0</v>
      </c>
      <c r="AC543" s="2">
        <f>VLOOKUP([jobnumber],OvalData[],MATCH(Table2[[#Headers],[Grille Center]],Table2[#Headers],0),0)</f>
        <v>0</v>
      </c>
      <c r="AD543" s="2">
        <f>VLOOKUP([jobnumber],OvalData[],MATCH(Table2[[#Headers],[Grille Pattern]],Table2[#Headers],0),0)</f>
        <v>0</v>
      </c>
      <c r="AE543" s="2">
        <f>VLOOKUP([jobnumber],OvalData[],MATCH(Table2[[#Headers],[Grille First Tube]],Table2[#Headers],0),0)</f>
        <v>0</v>
      </c>
      <c r="AF543" s="2">
        <f>VLOOKUP([jobnumber],OvalData[],MATCH(Table2[[#Headers],[Grille Standard Tube]],Table2[#Headers],0),0)</f>
        <v>0</v>
      </c>
      <c r="AG543" s="2">
        <f>VLOOKUP([jobnumber],OvalData[],MATCH(Table2[[#Headers],[Grille Total Links]],Table2[#Headers],0),0)</f>
        <v>0</v>
      </c>
      <c r="AH543" s="2">
        <f>VLOOKUP([jobnumber],OvalData[],MATCH(Table2[[#Headers],[Grille Rods]],Table2[#Headers],0),0)</f>
        <v>0</v>
      </c>
      <c r="AI543" s="2">
        <f>VLOOKUP([jobnumber],OvalData[],MATCH(Table2[[#Headers],[Grille Rod Length]],Table2[#Headers],0),0)</f>
        <v>0</v>
      </c>
      <c r="AJ543" s="2">
        <f>VLOOKUP([jobnumber],OvalData[],MATCH(Table2[[#Headers],[slattype]],Table2[#Headers],0),0)</f>
        <v>2</v>
      </c>
      <c r="AK543" s="2">
        <f>VLOOKUP([jobnumber],OvalData[],MATCH(Table2[[#Headers],[slatgage]],Table2[#Headers],0),0)</f>
        <v>18</v>
      </c>
      <c r="AL543" s="2">
        <f>VLOOKUP([jobnumber],OvalData[],MATCH(Table2[[#Headers],[Numer of Top Slats]],Table2[#Headers],0),0)</f>
        <v>0</v>
      </c>
      <c r="AM543" s="2">
        <f>VLOOKUP([jobnumber],OvalData[],MATCH(Table2[[#Headers],[Number of Bottom Slats]],Table2[#Headers],0),0)</f>
        <v>0</v>
      </c>
      <c r="AN543" s="2">
        <f>VLOOKUP([jobnumber],OvalData[],MATCH(Table2[[#Headers],[Solid Bottom Height]],Table2[#Headers],0),0)</f>
        <v>0</v>
      </c>
      <c r="AO543" s="2" t="str">
        <f>VLOOKUP([jobnumber],OvalData[],MATCH(Table2[[#Headers],[slatlength]],Table2[#Headers],0),0)</f>
        <v xml:space="preserve"> 18 ft.- 5 7/ 8"</v>
      </c>
      <c r="AP543" s="2">
        <f>VLOOKUP([jobnumber],OvalData[],MATCH(Table2[[#Headers],[Bottom Slat Length]],Table2[#Headers],0),0)</f>
        <v>0</v>
      </c>
      <c r="AQ543" s="2">
        <f>VLOOKUP([jobnumber],OvalData[],MATCH(Table2[[#Headers],[Number of Perferated Slats]],Table2[#Headers],0),0)</f>
        <v>0</v>
      </c>
      <c r="AR543" s="2">
        <f>VLOOKUP([jobnumber],OvalData[],MATCH(Table2[[#Headers],[First Preferated Slat From End]],Table2[#Headers],0),0)</f>
        <v>0</v>
      </c>
      <c r="AS543" s="2">
        <f>VLOOKUP([jobnumber],OvalData[],MATCH(Table2[[#Headers],[First Preferated Slat From Bottom]],Table2[#Headers],0),0)</f>
        <v>0</v>
      </c>
      <c r="AT543" s="2">
        <f>VLOOKUP([jobnumber],OvalData[],MATCH(Table2[[#Headers],[Total Number of Slats]],Table2[#Headers],0),0)</f>
        <v>51</v>
      </c>
      <c r="AU543" s="2">
        <f>VLOOKUP([jobnumber],OvalData[],MATCH(Table2[[#Headers],[Bottom Bar Slope]],Table2[#Headers],0),0)</f>
        <v>0</v>
      </c>
      <c r="AV543" s="2">
        <f>VLOOKUP([jobnumber],OvalData[],MATCH(Table2[[#Headers],[Bottom Bar Weight]],Table2[#Headers],0),0)</f>
        <v>80.5</v>
      </c>
      <c r="AW543" s="2" t="str">
        <f>VLOOKUP([jobnumber],OvalData[],MATCH(Table2[[#Headers],[Outer Spring Gage]],Table2[#Headers],0),0)</f>
        <v>Null</v>
      </c>
      <c r="AX543" s="2" t="str">
        <f>VLOOKUP([jobnumber],OvalData[],MATCH(Table2[[#Headers],[Outer Spring OD]],Table2[#Headers],0),0)</f>
        <v>Null</v>
      </c>
      <c r="AY543" s="2" t="str">
        <f>VLOOKUP([jobnumber],OvalData[],MATCH(Table2[[#Headers],[Outer Spring Length]],Table2[#Headers],0),0)</f>
        <v>Null</v>
      </c>
      <c r="AZ543" s="2" t="str">
        <f>VLOOKUP([jobnumber],OvalData[],MATCH(Table2[[#Headers],[Outer Spring Stretch]],Table2[#Headers],0),0)</f>
        <v>Null</v>
      </c>
      <c r="BA543" s="2" t="str">
        <f>VLOOKUP([jobnumber],OvalData[],MATCH(Table2[[#Headers],[Outer Spring Torque]],Table2[#Headers],0),0)</f>
        <v>Null</v>
      </c>
      <c r="BB543" s="2" t="str">
        <f>VLOOKUP([jobnumber],OvalData[],MATCH(Table2[[#Headers],[Outer Spring Max Turns]],Table2[#Headers],0),0)</f>
        <v>Null</v>
      </c>
      <c r="BC543" s="2" t="str">
        <f>VLOOKUP([jobnumber],OvalData[],MATCH(Table2[[#Headers],[Outer Spring Weight]],Table2[#Headers],0),0)</f>
        <v>Null</v>
      </c>
      <c r="BD543" s="2" t="str">
        <f>VLOOKUP([jobnumber],OvalData[],MATCH(Table2[[#Headers],[Inner Spring Gage]],Table2[#Headers],0),0)</f>
        <v>Null</v>
      </c>
      <c r="BE543" s="2" t="str">
        <f>VLOOKUP([jobnumber],OvalData[],MATCH(Table2[[#Headers],[Inner Spring OD]],Table2[#Headers],0),0)</f>
        <v>Null</v>
      </c>
      <c r="BF543" s="2" t="str">
        <f>VLOOKUP([jobnumber],OvalData[],MATCH(Table2[[#Headers],[Inner Spring Length]],Table2[#Headers],0),0)</f>
        <v>Null</v>
      </c>
      <c r="BG543" s="2" t="str">
        <f>VLOOKUP([jobnumber],OvalData[],MATCH(Table2[[#Headers],[Inner Spring Stretch]],Table2[#Headers],0),0)</f>
        <v>Null</v>
      </c>
      <c r="BH543" s="2" t="str">
        <f>VLOOKUP([jobnumber],OvalData[],MATCH(Table2[[#Headers],[Inner Spring Torque]],Table2[#Headers],0),0)</f>
        <v>Null</v>
      </c>
      <c r="BI543" s="2" t="str">
        <f>VLOOKUP([jobnumber],OvalData[],MATCH(Table2[[#Headers],[Inner Spring Max Turns]],Table2[#Headers],0),0)</f>
        <v>Null</v>
      </c>
      <c r="BJ543" s="2" t="str">
        <f>VLOOKUP([jobnumber],OvalData[],MATCH(Table2[[#Headers],[Inner Spring Weight]],Table2[#Headers],0),0)</f>
        <v>Null</v>
      </c>
      <c r="BK543" s="2">
        <f>VLOOKUP([jobnumber],OvalData[],MATCH(Table2[[#Headers],[Cycles]],Table2[#Headers],0),0)</f>
        <v>0</v>
      </c>
      <c r="BL543" s="2">
        <f>VLOOKUP([jobnumber],OvalData[],MATCH(Table2[[#Headers],[Total Spring Torque]],Table2[#Headers],0),0)</f>
        <v>0</v>
      </c>
      <c r="BM543" s="2">
        <f>VLOOKUP([jobnumber],OvalData[],MATCH(Table2[[#Headers],[Total Spring Weight]],Table2[#Headers],0),0)</f>
        <v>0</v>
      </c>
      <c r="BN543" s="2">
        <f>VLOOKUP([jobnumber],OvalData[],MATCH(Table2[[#Headers],[Pipe Weight]],Table2[#Headers],0),0)</f>
        <v>688.24239999999998</v>
      </c>
      <c r="BO543" s="2">
        <f>VLOOKUP([jobnumber],OvalData[],MATCH(Table2[[#Headers],[Max Pipe Deflection]],Table2[#Headers],0),0)</f>
        <v>2309</v>
      </c>
      <c r="BP543" s="2">
        <f>VLOOKUP([jobnumber],OvalData[],MATCH(Table2[[#Headers],[Number Non-Insulated Wrap Slats]],Table2[#Headers],0),0)</f>
        <v>0</v>
      </c>
      <c r="BQ543" s="2">
        <f>VLOOKUP([jobnumber],OvalData[],MATCH(Table2[[#Headers],[Number of Insolated Top Slats]],Table2[#Headers],0),0)</f>
        <v>45</v>
      </c>
      <c r="BR543" s="2">
        <f>VLOOKUP([jobnumber],OvalData[],MATCH(Table2[[#Headers],[Insolated Total Slats]],Table2[#Headers],0),0)</f>
        <v>45</v>
      </c>
      <c r="BS543" s="2">
        <f>VLOOKUP([jobnumber],OvalData[],MATCH(Table2[[#Headers],[Number of Slats]],Table2[#Headers],0),0)</f>
        <v>44.69</v>
      </c>
      <c r="BT543" s="2">
        <f>VLOOKUP([jobnumber],OvalData[],MATCH(Table2[[#Headers],[Wrap]],Table2[#Headers],0),0)</f>
        <v>0</v>
      </c>
      <c r="BU543" s="2">
        <f>VLOOKUP([jobnumber],OvalData[],MATCH(Table2[[#Headers],[Wall Angle Thickness]],Table2[#Headers],0),0)</f>
        <v>0</v>
      </c>
      <c r="BV543" s="2">
        <f>VLOOKUP([jobnumber],OvalData[],MATCH(Table2[[#Headers],[windlocks]],Table2[#Headers],0),0)</f>
        <v>0</v>
      </c>
      <c r="BW543" s="2" t="str">
        <f>VLOOKUP([jobnumber],OvalData[],MATCH(Table2[[#Headers],[bottombartype]],Table2[#Headers],0),0)</f>
        <v>SPECIAL</v>
      </c>
      <c r="BX543" s="2">
        <f>VLOOKUP([jobnumber],OvalData[],MATCH(Table2[[#Headers],[endlockweight]],Table2[#Headers],0),0)</f>
        <v>0.17</v>
      </c>
      <c r="BY543" s="2">
        <f>VLOOKUP([jobnumber],OvalData[],MATCH(Table2[[#Headers],[Endlock Total Weight]],Table2[#Headers],0),0)</f>
        <v>7.5972999999999997</v>
      </c>
      <c r="BZ543" s="2">
        <f>VLOOKUP([jobnumber],OvalData[],MATCH(Table2[[#Headers],[Grille Weight]],Table2[#Headers],0),0)</f>
        <v>0</v>
      </c>
      <c r="CA543" s="2">
        <f>VLOOKUP([jobnumber],OvalData[],MATCH(Table2[[#Headers],[barrelrings]],Table2[#Headers],0),0)</f>
        <v>1</v>
      </c>
    </row>
    <row r="544" spans="2:79">
      <c r="B544" s="2" t="str">
        <f>VLOOKUP([jobnumber],OvalData[],MATCH(Table2[[#Headers],[Hand]],Table2[#Headers],0),0)</f>
        <v>RH</v>
      </c>
      <c r="C544" s="2" t="str">
        <f>VLOOKUP([jobnumber],OvalData[],MATCH(Table2[[#Headers],[Model]],Table2[#Headers],0),0)</f>
        <v>SFMPP</v>
      </c>
      <c r="D544" s="2" t="str">
        <f>VLOOKUP([jobnumber],OvalData[],MATCH(Table2[[#Headers],[width]],Table2[#Headers],0),0)</f>
        <v xml:space="preserve"> 18 ft.- 2"</v>
      </c>
      <c r="E544" s="2" t="str">
        <f>VLOOKUP([jobnumber],OvalData[],MATCH(Table2[[#Headers],[stopheight]],Table2[#Headers],0),0)</f>
        <v xml:space="preserve"> 10 ft.- 0"</v>
      </c>
      <c r="F544" s="2" t="str">
        <f>VLOOKUP([jobnumber],OvalData[],MATCH(Table2[[#Headers],[Between Brackets]],Table2[#Headers],0),0)</f>
        <v xml:space="preserve"> 18 ft.- 7 7/ 8"</v>
      </c>
      <c r="G544" s="2" t="str">
        <f>VLOOKUP([jobnumber],OvalData[],MATCH(Table2[[#Headers],[shell]],Table2[#Headers],0),0)</f>
        <v>6 INCH TUBE</v>
      </c>
      <c r="H544" s="2" t="str">
        <f>VLOOKUP([jobnumber],OvalData[],MATCH(Table2[[#Headers],[pipewidth]],Table2[#Headers],0),0)</f>
        <v xml:space="preserve"> 18 ft.- 1 3/ 8"</v>
      </c>
      <c r="I544" s="2">
        <f>VLOOKUP([jobnumber],OvalData[],MATCH(Table2[[#Headers],[Support Tubes]],Table2[#Headers],0),0)</f>
        <v>0</v>
      </c>
      <c r="J544" s="2">
        <f>VLOOKUP([jobnumber],OvalData[],MATCH(Table2[[#Headers],[Upset]],Table2[#Headers],0),0)</f>
        <v>2</v>
      </c>
      <c r="K544" s="2" t="str">
        <f>VLOOKUP([jobnumber],OvalData[],MATCH(Table2[[#Headers],[Guide Type]],Table2[#Headers],0),0)</f>
        <v>SN2-4 5/8-E</v>
      </c>
      <c r="L544" s="2" t="str">
        <f>VLOOKUP([jobnumber],OvalData[],MATCH(Table2[[#Headers],[Wall Angle]],Table2[#Headers],0),0)</f>
        <v xml:space="preserve"> 11 ft.- 8"</v>
      </c>
      <c r="M544" s="2" t="str">
        <f>VLOOKUP([jobnumber],OvalData[],MATCH(Table2[[#Headers],[Middle Angle]],Table2[#Headers],0),0)</f>
        <v xml:space="preserve"> 10 ft.- 4 1/ 2"</v>
      </c>
      <c r="N544" s="2" t="str">
        <f>VLOOKUP([jobnumber],OvalData[],MATCH(Table2[[#Headers],[Front Angle]],Table2[#Headers],0),0)</f>
        <v xml:space="preserve"> 10 ft.- 3"</v>
      </c>
      <c r="O544" s="2">
        <f>VLOOKUP([jobnumber],OvalData[],MATCH(Table2[[#Headers],[Pipe Center Line]],Table2[#Headers],0),0)</f>
        <v>131</v>
      </c>
      <c r="P544" s="2">
        <f>VLOOKUP([jobnumber],OvalData[],MATCH(Table2[[#Headers],[Heat Expansion Gap]],Table2[#Headers],0),0)</f>
        <v>0</v>
      </c>
      <c r="Q544" s="2">
        <f>VLOOKUP([jobnumber],OvalData[],MATCH(Table2[[#Headers],[Hanging Weight Closed]],Table2[#Headers],0),0)</f>
        <v>795</v>
      </c>
      <c r="R544" s="2">
        <f>VLOOKUP([jobnumber],OvalData[],MATCH(Table2[[#Headers],[Hanging Weight Open]],Table2[#Headers],0),0)</f>
        <v>140</v>
      </c>
      <c r="S544" s="2">
        <f>VLOOKUP([jobnumber],OvalData[],MATCH(Table2[[#Headers],[Initial Lever Arm]],Table2[#Headers],0),0)</f>
        <v>4.25</v>
      </c>
      <c r="T544" s="2">
        <f>VLOOKUP([jobnumber],OvalData[],MATCH(Table2[[#Headers],[Turns to Raise]],Table2[#Headers],0),0)</f>
        <v>3.5859999999999999</v>
      </c>
      <c r="U544" s="2">
        <f>VLOOKUP([jobnumber],OvalData[],MATCH(Table2[[#Headers],[Final Lever Arm]],Table2[#Headers],0),0)</f>
        <v>6.37</v>
      </c>
      <c r="V544" s="2">
        <f>VLOOKUP([jobnumber],OvalData[],MATCH(Table2[[#Headers],[Torque Required Closed]],Table2[#Headers],0),0)</f>
        <v>3377.9</v>
      </c>
      <c r="W544" s="2">
        <f>VLOOKUP([jobnumber],OvalData[],MATCH(Table2[[#Headers],[Torque Required Open]],Table2[#Headers],0),0)</f>
        <v>892</v>
      </c>
      <c r="X544" s="2">
        <f>VLOOKUP([jobnumber],OvalData[],MATCH(Table2[[#Headers],[Pre Turns]],Table2[#Headers],0),0)</f>
        <v>1.3332999999999999</v>
      </c>
      <c r="Y544" s="2">
        <f>VLOOKUP([jobnumber],OvalData[],MATCH(Table2[[#Headers],[Required Torque Per Turn]],Table2[#Headers],0),0)</f>
        <v>688</v>
      </c>
      <c r="Z544" s="2">
        <f>VLOOKUP([jobnumber],OvalData[],MATCH(Table2[[#Headers],[Total Turns]],Table2[#Headers],0),0)</f>
        <v>4.91</v>
      </c>
      <c r="AA544" s="2">
        <f>VLOOKUP([jobnumber],OvalData[],MATCH(Table2[[#Headers],[Grille Vision Section]],Table2[#Headers],0),0)</f>
        <v>0</v>
      </c>
      <c r="AB544" s="2">
        <f>VLOOKUP([jobnumber],OvalData[],MATCH(Table2[[#Headers],[Grille Amount]],Table2[#Headers],0),0)</f>
        <v>0</v>
      </c>
      <c r="AC544" s="2">
        <f>VLOOKUP([jobnumber],OvalData[],MATCH(Table2[[#Headers],[Grille Center]],Table2[#Headers],0),0)</f>
        <v>0</v>
      </c>
      <c r="AD544" s="2">
        <f>VLOOKUP([jobnumber],OvalData[],MATCH(Table2[[#Headers],[Grille Pattern]],Table2[#Headers],0),0)</f>
        <v>0</v>
      </c>
      <c r="AE544" s="2">
        <f>VLOOKUP([jobnumber],OvalData[],MATCH(Table2[[#Headers],[Grille First Tube]],Table2[#Headers],0),0)</f>
        <v>0</v>
      </c>
      <c r="AF544" s="2">
        <f>VLOOKUP([jobnumber],OvalData[],MATCH(Table2[[#Headers],[Grille Standard Tube]],Table2[#Headers],0),0)</f>
        <v>0</v>
      </c>
      <c r="AG544" s="2">
        <f>VLOOKUP([jobnumber],OvalData[],MATCH(Table2[[#Headers],[Grille Total Links]],Table2[#Headers],0),0)</f>
        <v>0</v>
      </c>
      <c r="AH544" s="2">
        <f>VLOOKUP([jobnumber],OvalData[],MATCH(Table2[[#Headers],[Grille Rods]],Table2[#Headers],0),0)</f>
        <v>0</v>
      </c>
      <c r="AI544" s="2">
        <f>VLOOKUP([jobnumber],OvalData[],MATCH(Table2[[#Headers],[Grille Rod Length]],Table2[#Headers],0),0)</f>
        <v>0</v>
      </c>
      <c r="AJ544" s="2">
        <f>VLOOKUP([jobnumber],OvalData[],MATCH(Table2[[#Headers],[slattype]],Table2[#Headers],0),0)</f>
        <v>2</v>
      </c>
      <c r="AK544" s="2">
        <f>VLOOKUP([jobnumber],OvalData[],MATCH(Table2[[#Headers],[slatgage]],Table2[#Headers],0),0)</f>
        <v>18</v>
      </c>
      <c r="AL544" s="2">
        <f>VLOOKUP([jobnumber],OvalData[],MATCH(Table2[[#Headers],[Numer of Top Slats]],Table2[#Headers],0),0)</f>
        <v>0</v>
      </c>
      <c r="AM544" s="2">
        <f>VLOOKUP([jobnumber],OvalData[],MATCH(Table2[[#Headers],[Number of Bottom Slats]],Table2[#Headers],0),0)</f>
        <v>0</v>
      </c>
      <c r="AN544" s="2">
        <f>VLOOKUP([jobnumber],OvalData[],MATCH(Table2[[#Headers],[Solid Bottom Height]],Table2[#Headers],0),0)</f>
        <v>0</v>
      </c>
      <c r="AO544" s="2" t="str">
        <f>VLOOKUP([jobnumber],OvalData[],MATCH(Table2[[#Headers],[slatlength]],Table2[#Headers],0),0)</f>
        <v xml:space="preserve"> 18 ft.- 5 7/ 8"</v>
      </c>
      <c r="AP544" s="2">
        <f>VLOOKUP([jobnumber],OvalData[],MATCH(Table2[[#Headers],[Bottom Slat Length]],Table2[#Headers],0),0)</f>
        <v>0</v>
      </c>
      <c r="AQ544" s="2">
        <f>VLOOKUP([jobnumber],OvalData[],MATCH(Table2[[#Headers],[Number of Perferated Slats]],Table2[#Headers],0),0)</f>
        <v>0</v>
      </c>
      <c r="AR544" s="2">
        <f>VLOOKUP([jobnumber],OvalData[],MATCH(Table2[[#Headers],[First Preferated Slat From End]],Table2[#Headers],0),0)</f>
        <v>0</v>
      </c>
      <c r="AS544" s="2">
        <f>VLOOKUP([jobnumber],OvalData[],MATCH(Table2[[#Headers],[First Preferated Slat From Bottom]],Table2[#Headers],0),0)</f>
        <v>0</v>
      </c>
      <c r="AT544" s="2">
        <f>VLOOKUP([jobnumber],OvalData[],MATCH(Table2[[#Headers],[Total Number of Slats]],Table2[#Headers],0),0)</f>
        <v>51</v>
      </c>
      <c r="AU544" s="2">
        <f>VLOOKUP([jobnumber],OvalData[],MATCH(Table2[[#Headers],[Bottom Bar Slope]],Table2[#Headers],0),0)</f>
        <v>0</v>
      </c>
      <c r="AV544" s="2">
        <f>VLOOKUP([jobnumber],OvalData[],MATCH(Table2[[#Headers],[Bottom Bar Weight]],Table2[#Headers],0),0)</f>
        <v>80.5</v>
      </c>
      <c r="AW544" s="2" t="str">
        <f>VLOOKUP([jobnumber],OvalData[],MATCH(Table2[[#Headers],[Outer Spring Gage]],Table2[#Headers],0),0)</f>
        <v>Null</v>
      </c>
      <c r="AX544" s="2" t="str">
        <f>VLOOKUP([jobnumber],OvalData[],MATCH(Table2[[#Headers],[Outer Spring OD]],Table2[#Headers],0),0)</f>
        <v>Null</v>
      </c>
      <c r="AY544" s="2" t="str">
        <f>VLOOKUP([jobnumber],OvalData[],MATCH(Table2[[#Headers],[Outer Spring Length]],Table2[#Headers],0),0)</f>
        <v>Null</v>
      </c>
      <c r="AZ544" s="2" t="str">
        <f>VLOOKUP([jobnumber],OvalData[],MATCH(Table2[[#Headers],[Outer Spring Stretch]],Table2[#Headers],0),0)</f>
        <v>Null</v>
      </c>
      <c r="BA544" s="2" t="str">
        <f>VLOOKUP([jobnumber],OvalData[],MATCH(Table2[[#Headers],[Outer Spring Torque]],Table2[#Headers],0),0)</f>
        <v>Null</v>
      </c>
      <c r="BB544" s="2" t="str">
        <f>VLOOKUP([jobnumber],OvalData[],MATCH(Table2[[#Headers],[Outer Spring Max Turns]],Table2[#Headers],0),0)</f>
        <v>Null</v>
      </c>
      <c r="BC544" s="2" t="str">
        <f>VLOOKUP([jobnumber],OvalData[],MATCH(Table2[[#Headers],[Outer Spring Weight]],Table2[#Headers],0),0)</f>
        <v>Null</v>
      </c>
      <c r="BD544" s="2" t="str">
        <f>VLOOKUP([jobnumber],OvalData[],MATCH(Table2[[#Headers],[Inner Spring Gage]],Table2[#Headers],0),0)</f>
        <v>Null</v>
      </c>
      <c r="BE544" s="2" t="str">
        <f>VLOOKUP([jobnumber],OvalData[],MATCH(Table2[[#Headers],[Inner Spring OD]],Table2[#Headers],0),0)</f>
        <v>Null</v>
      </c>
      <c r="BF544" s="2" t="str">
        <f>VLOOKUP([jobnumber],OvalData[],MATCH(Table2[[#Headers],[Inner Spring Length]],Table2[#Headers],0),0)</f>
        <v>Null</v>
      </c>
      <c r="BG544" s="2" t="str">
        <f>VLOOKUP([jobnumber],OvalData[],MATCH(Table2[[#Headers],[Inner Spring Stretch]],Table2[#Headers],0),0)</f>
        <v>Null</v>
      </c>
      <c r="BH544" s="2" t="str">
        <f>VLOOKUP([jobnumber],OvalData[],MATCH(Table2[[#Headers],[Inner Spring Torque]],Table2[#Headers],0),0)</f>
        <v>Null</v>
      </c>
      <c r="BI544" s="2" t="str">
        <f>VLOOKUP([jobnumber],OvalData[],MATCH(Table2[[#Headers],[Inner Spring Max Turns]],Table2[#Headers],0),0)</f>
        <v>Null</v>
      </c>
      <c r="BJ544" s="2" t="str">
        <f>VLOOKUP([jobnumber],OvalData[],MATCH(Table2[[#Headers],[Inner Spring Weight]],Table2[#Headers],0),0)</f>
        <v>Null</v>
      </c>
      <c r="BK544" s="2">
        <f>VLOOKUP([jobnumber],OvalData[],MATCH(Table2[[#Headers],[Cycles]],Table2[#Headers],0),0)</f>
        <v>0</v>
      </c>
      <c r="BL544" s="2">
        <f>VLOOKUP([jobnumber],OvalData[],MATCH(Table2[[#Headers],[Total Spring Torque]],Table2[#Headers],0),0)</f>
        <v>0</v>
      </c>
      <c r="BM544" s="2">
        <f>VLOOKUP([jobnumber],OvalData[],MATCH(Table2[[#Headers],[Total Spring Weight]],Table2[#Headers],0),0)</f>
        <v>0</v>
      </c>
      <c r="BN544" s="2">
        <f>VLOOKUP([jobnumber],OvalData[],MATCH(Table2[[#Headers],[Pipe Weight]],Table2[#Headers],0),0)</f>
        <v>688.24239999999998</v>
      </c>
      <c r="BO544" s="2">
        <f>VLOOKUP([jobnumber],OvalData[],MATCH(Table2[[#Headers],[Max Pipe Deflection]],Table2[#Headers],0),0)</f>
        <v>2309</v>
      </c>
      <c r="BP544" s="2">
        <f>VLOOKUP([jobnumber],OvalData[],MATCH(Table2[[#Headers],[Number Non-Insulated Wrap Slats]],Table2[#Headers],0),0)</f>
        <v>0</v>
      </c>
      <c r="BQ544" s="2">
        <f>VLOOKUP([jobnumber],OvalData[],MATCH(Table2[[#Headers],[Number of Insolated Top Slats]],Table2[#Headers],0),0)</f>
        <v>45</v>
      </c>
      <c r="BR544" s="2">
        <f>VLOOKUP([jobnumber],OvalData[],MATCH(Table2[[#Headers],[Insolated Total Slats]],Table2[#Headers],0),0)</f>
        <v>45</v>
      </c>
      <c r="BS544" s="2">
        <f>VLOOKUP([jobnumber],OvalData[],MATCH(Table2[[#Headers],[Number of Slats]],Table2[#Headers],0),0)</f>
        <v>44.69</v>
      </c>
      <c r="BT544" s="2">
        <f>VLOOKUP([jobnumber],OvalData[],MATCH(Table2[[#Headers],[Wrap]],Table2[#Headers],0),0)</f>
        <v>0</v>
      </c>
      <c r="BU544" s="2">
        <f>VLOOKUP([jobnumber],OvalData[],MATCH(Table2[[#Headers],[Wall Angle Thickness]],Table2[#Headers],0),0)</f>
        <v>0</v>
      </c>
      <c r="BV544" s="2">
        <f>VLOOKUP([jobnumber],OvalData[],MATCH(Table2[[#Headers],[windlocks]],Table2[#Headers],0),0)</f>
        <v>0</v>
      </c>
      <c r="BW544" s="2" t="str">
        <f>VLOOKUP([jobnumber],OvalData[],MATCH(Table2[[#Headers],[bottombartype]],Table2[#Headers],0),0)</f>
        <v>SPECIAL</v>
      </c>
      <c r="BX544" s="2">
        <f>VLOOKUP([jobnumber],OvalData[],MATCH(Table2[[#Headers],[endlockweight]],Table2[#Headers],0),0)</f>
        <v>0.17</v>
      </c>
      <c r="BY544" s="2">
        <f>VLOOKUP([jobnumber],OvalData[],MATCH(Table2[[#Headers],[Endlock Total Weight]],Table2[#Headers],0),0)</f>
        <v>7.5972999999999997</v>
      </c>
      <c r="BZ544" s="2">
        <f>VLOOKUP([jobnumber],OvalData[],MATCH(Table2[[#Headers],[Grille Weight]],Table2[#Headers],0),0)</f>
        <v>0</v>
      </c>
      <c r="CA544" s="2">
        <f>VLOOKUP([jobnumber],OvalData[],MATCH(Table2[[#Headers],[barrelrings]],Table2[#Headers],0),0)</f>
        <v>1</v>
      </c>
    </row>
    <row r="545" spans="2:79">
      <c r="B545" s="2" t="str">
        <f>VLOOKUP([jobnumber],OvalData[],MATCH(Table2[[#Headers],[Hand]],Table2[#Headers],0),0)</f>
        <v>RH</v>
      </c>
      <c r="C545" s="2" t="str">
        <f>VLOOKUP([jobnumber],OvalData[],MATCH(Table2[[#Headers],[Model]],Table2[#Headers],0),0)</f>
        <v>SFMPP</v>
      </c>
      <c r="D545" s="2" t="str">
        <f>VLOOKUP([jobnumber],OvalData[],MATCH(Table2[[#Headers],[width]],Table2[#Headers],0),0)</f>
        <v xml:space="preserve"> 18 ft.- 2"</v>
      </c>
      <c r="E545" s="2" t="str">
        <f>VLOOKUP([jobnumber],OvalData[],MATCH(Table2[[#Headers],[stopheight]],Table2[#Headers],0),0)</f>
        <v xml:space="preserve"> 10 ft.- 0"</v>
      </c>
      <c r="F545" s="2" t="str">
        <f>VLOOKUP([jobnumber],OvalData[],MATCH(Table2[[#Headers],[Between Brackets]],Table2[#Headers],0),0)</f>
        <v xml:space="preserve"> 18 ft.- 7 7/ 8"</v>
      </c>
      <c r="G545" s="2" t="str">
        <f>VLOOKUP([jobnumber],OvalData[],MATCH(Table2[[#Headers],[shell]],Table2[#Headers],0),0)</f>
        <v>6 INCH TUBE</v>
      </c>
      <c r="H545" s="2" t="str">
        <f>VLOOKUP([jobnumber],OvalData[],MATCH(Table2[[#Headers],[pipewidth]],Table2[#Headers],0),0)</f>
        <v xml:space="preserve"> 18 ft.- 1 3/ 8"</v>
      </c>
      <c r="I545" s="2">
        <f>VLOOKUP([jobnumber],OvalData[],MATCH(Table2[[#Headers],[Support Tubes]],Table2[#Headers],0),0)</f>
        <v>0</v>
      </c>
      <c r="J545" s="2">
        <f>VLOOKUP([jobnumber],OvalData[],MATCH(Table2[[#Headers],[Upset]],Table2[#Headers],0),0)</f>
        <v>2</v>
      </c>
      <c r="K545" s="2" t="str">
        <f>VLOOKUP([jobnumber],OvalData[],MATCH(Table2[[#Headers],[Guide Type]],Table2[#Headers],0),0)</f>
        <v>SN2-4 5/8-E</v>
      </c>
      <c r="L545" s="2" t="str">
        <f>VLOOKUP([jobnumber],OvalData[],MATCH(Table2[[#Headers],[Wall Angle]],Table2[#Headers],0),0)</f>
        <v xml:space="preserve"> 11 ft.- 8"</v>
      </c>
      <c r="M545" s="2" t="str">
        <f>VLOOKUP([jobnumber],OvalData[],MATCH(Table2[[#Headers],[Middle Angle]],Table2[#Headers],0),0)</f>
        <v xml:space="preserve"> 10 ft.- 4 1/ 2"</v>
      </c>
      <c r="N545" s="2" t="str">
        <f>VLOOKUP([jobnumber],OvalData[],MATCH(Table2[[#Headers],[Front Angle]],Table2[#Headers],0),0)</f>
        <v xml:space="preserve"> 10 ft.- 3"</v>
      </c>
      <c r="O545" s="2">
        <f>VLOOKUP([jobnumber],OvalData[],MATCH(Table2[[#Headers],[Pipe Center Line]],Table2[#Headers],0),0)</f>
        <v>131</v>
      </c>
      <c r="P545" s="2">
        <f>VLOOKUP([jobnumber],OvalData[],MATCH(Table2[[#Headers],[Heat Expansion Gap]],Table2[#Headers],0),0)</f>
        <v>0</v>
      </c>
      <c r="Q545" s="2">
        <f>VLOOKUP([jobnumber],OvalData[],MATCH(Table2[[#Headers],[Hanging Weight Closed]],Table2[#Headers],0),0)</f>
        <v>795</v>
      </c>
      <c r="R545" s="2">
        <f>VLOOKUP([jobnumber],OvalData[],MATCH(Table2[[#Headers],[Hanging Weight Open]],Table2[#Headers],0),0)</f>
        <v>140</v>
      </c>
      <c r="S545" s="2">
        <f>VLOOKUP([jobnumber],OvalData[],MATCH(Table2[[#Headers],[Initial Lever Arm]],Table2[#Headers],0),0)</f>
        <v>4.25</v>
      </c>
      <c r="T545" s="2">
        <f>VLOOKUP([jobnumber],OvalData[],MATCH(Table2[[#Headers],[Turns to Raise]],Table2[#Headers],0),0)</f>
        <v>3.5859999999999999</v>
      </c>
      <c r="U545" s="2">
        <f>VLOOKUP([jobnumber],OvalData[],MATCH(Table2[[#Headers],[Final Lever Arm]],Table2[#Headers],0),0)</f>
        <v>6.37</v>
      </c>
      <c r="V545" s="2">
        <f>VLOOKUP([jobnumber],OvalData[],MATCH(Table2[[#Headers],[Torque Required Closed]],Table2[#Headers],0),0)</f>
        <v>3377.9</v>
      </c>
      <c r="W545" s="2">
        <f>VLOOKUP([jobnumber],OvalData[],MATCH(Table2[[#Headers],[Torque Required Open]],Table2[#Headers],0),0)</f>
        <v>892</v>
      </c>
      <c r="X545" s="2">
        <f>VLOOKUP([jobnumber],OvalData[],MATCH(Table2[[#Headers],[Pre Turns]],Table2[#Headers],0),0)</f>
        <v>1.3332999999999999</v>
      </c>
      <c r="Y545" s="2">
        <f>VLOOKUP([jobnumber],OvalData[],MATCH(Table2[[#Headers],[Required Torque Per Turn]],Table2[#Headers],0),0)</f>
        <v>688</v>
      </c>
      <c r="Z545" s="2">
        <f>VLOOKUP([jobnumber],OvalData[],MATCH(Table2[[#Headers],[Total Turns]],Table2[#Headers],0),0)</f>
        <v>4.91</v>
      </c>
      <c r="AA545" s="2">
        <f>VLOOKUP([jobnumber],OvalData[],MATCH(Table2[[#Headers],[Grille Vision Section]],Table2[#Headers],0),0)</f>
        <v>0</v>
      </c>
      <c r="AB545" s="2">
        <f>VLOOKUP([jobnumber],OvalData[],MATCH(Table2[[#Headers],[Grille Amount]],Table2[#Headers],0),0)</f>
        <v>0</v>
      </c>
      <c r="AC545" s="2">
        <f>VLOOKUP([jobnumber],OvalData[],MATCH(Table2[[#Headers],[Grille Center]],Table2[#Headers],0),0)</f>
        <v>0</v>
      </c>
      <c r="AD545" s="2">
        <f>VLOOKUP([jobnumber],OvalData[],MATCH(Table2[[#Headers],[Grille Pattern]],Table2[#Headers],0),0)</f>
        <v>0</v>
      </c>
      <c r="AE545" s="2">
        <f>VLOOKUP([jobnumber],OvalData[],MATCH(Table2[[#Headers],[Grille First Tube]],Table2[#Headers],0),0)</f>
        <v>0</v>
      </c>
      <c r="AF545" s="2">
        <f>VLOOKUP([jobnumber],OvalData[],MATCH(Table2[[#Headers],[Grille Standard Tube]],Table2[#Headers],0),0)</f>
        <v>0</v>
      </c>
      <c r="AG545" s="2">
        <f>VLOOKUP([jobnumber],OvalData[],MATCH(Table2[[#Headers],[Grille Total Links]],Table2[#Headers],0),0)</f>
        <v>0</v>
      </c>
      <c r="AH545" s="2">
        <f>VLOOKUP([jobnumber],OvalData[],MATCH(Table2[[#Headers],[Grille Rods]],Table2[#Headers],0),0)</f>
        <v>0</v>
      </c>
      <c r="AI545" s="2">
        <f>VLOOKUP([jobnumber],OvalData[],MATCH(Table2[[#Headers],[Grille Rod Length]],Table2[#Headers],0),0)</f>
        <v>0</v>
      </c>
      <c r="AJ545" s="2">
        <f>VLOOKUP([jobnumber],OvalData[],MATCH(Table2[[#Headers],[slattype]],Table2[#Headers],0),0)</f>
        <v>2</v>
      </c>
      <c r="AK545" s="2">
        <f>VLOOKUP([jobnumber],OvalData[],MATCH(Table2[[#Headers],[slatgage]],Table2[#Headers],0),0)</f>
        <v>18</v>
      </c>
      <c r="AL545" s="2">
        <f>VLOOKUP([jobnumber],OvalData[],MATCH(Table2[[#Headers],[Numer of Top Slats]],Table2[#Headers],0),0)</f>
        <v>0</v>
      </c>
      <c r="AM545" s="2">
        <f>VLOOKUP([jobnumber],OvalData[],MATCH(Table2[[#Headers],[Number of Bottom Slats]],Table2[#Headers],0),0)</f>
        <v>0</v>
      </c>
      <c r="AN545" s="2">
        <f>VLOOKUP([jobnumber],OvalData[],MATCH(Table2[[#Headers],[Solid Bottom Height]],Table2[#Headers],0),0)</f>
        <v>0</v>
      </c>
      <c r="AO545" s="2" t="str">
        <f>VLOOKUP([jobnumber],OvalData[],MATCH(Table2[[#Headers],[slatlength]],Table2[#Headers],0),0)</f>
        <v xml:space="preserve"> 18 ft.- 5 7/ 8"</v>
      </c>
      <c r="AP545" s="2">
        <f>VLOOKUP([jobnumber],OvalData[],MATCH(Table2[[#Headers],[Bottom Slat Length]],Table2[#Headers],0),0)</f>
        <v>0</v>
      </c>
      <c r="AQ545" s="2">
        <f>VLOOKUP([jobnumber],OvalData[],MATCH(Table2[[#Headers],[Number of Perferated Slats]],Table2[#Headers],0),0)</f>
        <v>0</v>
      </c>
      <c r="AR545" s="2">
        <f>VLOOKUP([jobnumber],OvalData[],MATCH(Table2[[#Headers],[First Preferated Slat From End]],Table2[#Headers],0),0)</f>
        <v>0</v>
      </c>
      <c r="AS545" s="2">
        <f>VLOOKUP([jobnumber],OvalData[],MATCH(Table2[[#Headers],[First Preferated Slat From Bottom]],Table2[#Headers],0),0)</f>
        <v>0</v>
      </c>
      <c r="AT545" s="2">
        <f>VLOOKUP([jobnumber],OvalData[],MATCH(Table2[[#Headers],[Total Number of Slats]],Table2[#Headers],0),0)</f>
        <v>51</v>
      </c>
      <c r="AU545" s="2">
        <f>VLOOKUP([jobnumber],OvalData[],MATCH(Table2[[#Headers],[Bottom Bar Slope]],Table2[#Headers],0),0)</f>
        <v>0</v>
      </c>
      <c r="AV545" s="2">
        <f>VLOOKUP([jobnumber],OvalData[],MATCH(Table2[[#Headers],[Bottom Bar Weight]],Table2[#Headers],0),0)</f>
        <v>80.5</v>
      </c>
      <c r="AW545" s="2" t="str">
        <f>VLOOKUP([jobnumber],OvalData[],MATCH(Table2[[#Headers],[Outer Spring Gage]],Table2[#Headers],0),0)</f>
        <v>Null</v>
      </c>
      <c r="AX545" s="2" t="str">
        <f>VLOOKUP([jobnumber],OvalData[],MATCH(Table2[[#Headers],[Outer Spring OD]],Table2[#Headers],0),0)</f>
        <v>Null</v>
      </c>
      <c r="AY545" s="2" t="str">
        <f>VLOOKUP([jobnumber],OvalData[],MATCH(Table2[[#Headers],[Outer Spring Length]],Table2[#Headers],0),0)</f>
        <v>Null</v>
      </c>
      <c r="AZ545" s="2" t="str">
        <f>VLOOKUP([jobnumber],OvalData[],MATCH(Table2[[#Headers],[Outer Spring Stretch]],Table2[#Headers],0),0)</f>
        <v>Null</v>
      </c>
      <c r="BA545" s="2" t="str">
        <f>VLOOKUP([jobnumber],OvalData[],MATCH(Table2[[#Headers],[Outer Spring Torque]],Table2[#Headers],0),0)</f>
        <v>Null</v>
      </c>
      <c r="BB545" s="2" t="str">
        <f>VLOOKUP([jobnumber],OvalData[],MATCH(Table2[[#Headers],[Outer Spring Max Turns]],Table2[#Headers],0),0)</f>
        <v>Null</v>
      </c>
      <c r="BC545" s="2" t="str">
        <f>VLOOKUP([jobnumber],OvalData[],MATCH(Table2[[#Headers],[Outer Spring Weight]],Table2[#Headers],0),0)</f>
        <v>Null</v>
      </c>
      <c r="BD545" s="2" t="str">
        <f>VLOOKUP([jobnumber],OvalData[],MATCH(Table2[[#Headers],[Inner Spring Gage]],Table2[#Headers],0),0)</f>
        <v>Null</v>
      </c>
      <c r="BE545" s="2" t="str">
        <f>VLOOKUP([jobnumber],OvalData[],MATCH(Table2[[#Headers],[Inner Spring OD]],Table2[#Headers],0),0)</f>
        <v>Null</v>
      </c>
      <c r="BF545" s="2" t="str">
        <f>VLOOKUP([jobnumber],OvalData[],MATCH(Table2[[#Headers],[Inner Spring Length]],Table2[#Headers],0),0)</f>
        <v>Null</v>
      </c>
      <c r="BG545" s="2" t="str">
        <f>VLOOKUP([jobnumber],OvalData[],MATCH(Table2[[#Headers],[Inner Spring Stretch]],Table2[#Headers],0),0)</f>
        <v>Null</v>
      </c>
      <c r="BH545" s="2" t="str">
        <f>VLOOKUP([jobnumber],OvalData[],MATCH(Table2[[#Headers],[Inner Spring Torque]],Table2[#Headers],0),0)</f>
        <v>Null</v>
      </c>
      <c r="BI545" s="2" t="str">
        <f>VLOOKUP([jobnumber],OvalData[],MATCH(Table2[[#Headers],[Inner Spring Max Turns]],Table2[#Headers],0),0)</f>
        <v>Null</v>
      </c>
      <c r="BJ545" s="2" t="str">
        <f>VLOOKUP([jobnumber],OvalData[],MATCH(Table2[[#Headers],[Inner Spring Weight]],Table2[#Headers],0),0)</f>
        <v>Null</v>
      </c>
      <c r="BK545" s="2">
        <f>VLOOKUP([jobnumber],OvalData[],MATCH(Table2[[#Headers],[Cycles]],Table2[#Headers],0),0)</f>
        <v>0</v>
      </c>
      <c r="BL545" s="2">
        <f>VLOOKUP([jobnumber],OvalData[],MATCH(Table2[[#Headers],[Total Spring Torque]],Table2[#Headers],0),0)</f>
        <v>0</v>
      </c>
      <c r="BM545" s="2">
        <f>VLOOKUP([jobnumber],OvalData[],MATCH(Table2[[#Headers],[Total Spring Weight]],Table2[#Headers],0),0)</f>
        <v>0</v>
      </c>
      <c r="BN545" s="2">
        <f>VLOOKUP([jobnumber],OvalData[],MATCH(Table2[[#Headers],[Pipe Weight]],Table2[#Headers],0),0)</f>
        <v>688.24239999999998</v>
      </c>
      <c r="BO545" s="2">
        <f>VLOOKUP([jobnumber],OvalData[],MATCH(Table2[[#Headers],[Max Pipe Deflection]],Table2[#Headers],0),0)</f>
        <v>2309</v>
      </c>
      <c r="BP545" s="2">
        <f>VLOOKUP([jobnumber],OvalData[],MATCH(Table2[[#Headers],[Number Non-Insulated Wrap Slats]],Table2[#Headers],0),0)</f>
        <v>0</v>
      </c>
      <c r="BQ545" s="2">
        <f>VLOOKUP([jobnumber],OvalData[],MATCH(Table2[[#Headers],[Number of Insolated Top Slats]],Table2[#Headers],0),0)</f>
        <v>45</v>
      </c>
      <c r="BR545" s="2">
        <f>VLOOKUP([jobnumber],OvalData[],MATCH(Table2[[#Headers],[Insolated Total Slats]],Table2[#Headers],0),0)</f>
        <v>45</v>
      </c>
      <c r="BS545" s="2">
        <f>VLOOKUP([jobnumber],OvalData[],MATCH(Table2[[#Headers],[Number of Slats]],Table2[#Headers],0),0)</f>
        <v>44.69</v>
      </c>
      <c r="BT545" s="2">
        <f>VLOOKUP([jobnumber],OvalData[],MATCH(Table2[[#Headers],[Wrap]],Table2[#Headers],0),0)</f>
        <v>0</v>
      </c>
      <c r="BU545" s="2">
        <f>VLOOKUP([jobnumber],OvalData[],MATCH(Table2[[#Headers],[Wall Angle Thickness]],Table2[#Headers],0),0)</f>
        <v>0</v>
      </c>
      <c r="BV545" s="2">
        <f>VLOOKUP([jobnumber],OvalData[],MATCH(Table2[[#Headers],[windlocks]],Table2[#Headers],0),0)</f>
        <v>0</v>
      </c>
      <c r="BW545" s="2" t="str">
        <f>VLOOKUP([jobnumber],OvalData[],MATCH(Table2[[#Headers],[bottombartype]],Table2[#Headers],0),0)</f>
        <v>SPECIAL</v>
      </c>
      <c r="BX545" s="2">
        <f>VLOOKUP([jobnumber],OvalData[],MATCH(Table2[[#Headers],[endlockweight]],Table2[#Headers],0),0)</f>
        <v>0.17</v>
      </c>
      <c r="BY545" s="2">
        <f>VLOOKUP([jobnumber],OvalData[],MATCH(Table2[[#Headers],[Endlock Total Weight]],Table2[#Headers],0),0)</f>
        <v>7.5972999999999997</v>
      </c>
      <c r="BZ545" s="2">
        <f>VLOOKUP([jobnumber],OvalData[],MATCH(Table2[[#Headers],[Grille Weight]],Table2[#Headers],0),0)</f>
        <v>0</v>
      </c>
      <c r="CA545" s="2">
        <f>VLOOKUP([jobnumber],OvalData[],MATCH(Table2[[#Headers],[barrelrings]],Table2[#Headers],0),0)</f>
        <v>1</v>
      </c>
    </row>
    <row r="546" spans="2:79">
      <c r="B546" s="2" t="str">
        <f>VLOOKUP([jobnumber],OvalData[],MATCH(Table2[[#Headers],[Hand]],Table2[#Headers],0),0)</f>
        <v>RH</v>
      </c>
      <c r="C546" s="2" t="str">
        <f>VLOOKUP([jobnumber],OvalData[],MATCH(Table2[[#Headers],[Model]],Table2[#Headers],0),0)</f>
        <v>SFMPP</v>
      </c>
      <c r="D546" s="2" t="str">
        <f>VLOOKUP([jobnumber],OvalData[],MATCH(Table2[[#Headers],[width]],Table2[#Headers],0),0)</f>
        <v xml:space="preserve"> 18 ft.- 2"</v>
      </c>
      <c r="E546" s="2" t="str">
        <f>VLOOKUP([jobnumber],OvalData[],MATCH(Table2[[#Headers],[stopheight]],Table2[#Headers],0),0)</f>
        <v xml:space="preserve"> 10 ft.- 0"</v>
      </c>
      <c r="F546" s="2" t="str">
        <f>VLOOKUP([jobnumber],OvalData[],MATCH(Table2[[#Headers],[Between Brackets]],Table2[#Headers],0),0)</f>
        <v xml:space="preserve"> 18 ft.- 7 7/ 8"</v>
      </c>
      <c r="G546" s="2" t="str">
        <f>VLOOKUP([jobnumber],OvalData[],MATCH(Table2[[#Headers],[shell]],Table2[#Headers],0),0)</f>
        <v>6 INCH TUBE</v>
      </c>
      <c r="H546" s="2" t="str">
        <f>VLOOKUP([jobnumber],OvalData[],MATCH(Table2[[#Headers],[pipewidth]],Table2[#Headers],0),0)</f>
        <v xml:space="preserve"> 18 ft.- 1 3/ 8"</v>
      </c>
      <c r="I546" s="2">
        <f>VLOOKUP([jobnumber],OvalData[],MATCH(Table2[[#Headers],[Support Tubes]],Table2[#Headers],0),0)</f>
        <v>0</v>
      </c>
      <c r="J546" s="2">
        <f>VLOOKUP([jobnumber],OvalData[],MATCH(Table2[[#Headers],[Upset]],Table2[#Headers],0),0)</f>
        <v>2</v>
      </c>
      <c r="K546" s="2" t="str">
        <f>VLOOKUP([jobnumber],OvalData[],MATCH(Table2[[#Headers],[Guide Type]],Table2[#Headers],0),0)</f>
        <v>SN2-4 5/8-E</v>
      </c>
      <c r="L546" s="2" t="str">
        <f>VLOOKUP([jobnumber],OvalData[],MATCH(Table2[[#Headers],[Wall Angle]],Table2[#Headers],0),0)</f>
        <v xml:space="preserve"> 11 ft.- 8"</v>
      </c>
      <c r="M546" s="2" t="str">
        <f>VLOOKUP([jobnumber],OvalData[],MATCH(Table2[[#Headers],[Middle Angle]],Table2[#Headers],0),0)</f>
        <v xml:space="preserve"> 10 ft.- 4 1/ 2"</v>
      </c>
      <c r="N546" s="2" t="str">
        <f>VLOOKUP([jobnumber],OvalData[],MATCH(Table2[[#Headers],[Front Angle]],Table2[#Headers],0),0)</f>
        <v xml:space="preserve"> 10 ft.- 3"</v>
      </c>
      <c r="O546" s="2">
        <f>VLOOKUP([jobnumber],OvalData[],MATCH(Table2[[#Headers],[Pipe Center Line]],Table2[#Headers],0),0)</f>
        <v>131</v>
      </c>
      <c r="P546" s="2">
        <f>VLOOKUP([jobnumber],OvalData[],MATCH(Table2[[#Headers],[Heat Expansion Gap]],Table2[#Headers],0),0)</f>
        <v>0</v>
      </c>
      <c r="Q546" s="2">
        <f>VLOOKUP([jobnumber],OvalData[],MATCH(Table2[[#Headers],[Hanging Weight Closed]],Table2[#Headers],0),0)</f>
        <v>795</v>
      </c>
      <c r="R546" s="2">
        <f>VLOOKUP([jobnumber],OvalData[],MATCH(Table2[[#Headers],[Hanging Weight Open]],Table2[#Headers],0),0)</f>
        <v>140</v>
      </c>
      <c r="S546" s="2">
        <f>VLOOKUP([jobnumber],OvalData[],MATCH(Table2[[#Headers],[Initial Lever Arm]],Table2[#Headers],0),0)</f>
        <v>4.25</v>
      </c>
      <c r="T546" s="2">
        <f>VLOOKUP([jobnumber],OvalData[],MATCH(Table2[[#Headers],[Turns to Raise]],Table2[#Headers],0),0)</f>
        <v>3.5859999999999999</v>
      </c>
      <c r="U546" s="2">
        <f>VLOOKUP([jobnumber],OvalData[],MATCH(Table2[[#Headers],[Final Lever Arm]],Table2[#Headers],0),0)</f>
        <v>6.37</v>
      </c>
      <c r="V546" s="2">
        <f>VLOOKUP([jobnumber],OvalData[],MATCH(Table2[[#Headers],[Torque Required Closed]],Table2[#Headers],0),0)</f>
        <v>3377.9</v>
      </c>
      <c r="W546" s="2">
        <f>VLOOKUP([jobnumber],OvalData[],MATCH(Table2[[#Headers],[Torque Required Open]],Table2[#Headers],0),0)</f>
        <v>892</v>
      </c>
      <c r="X546" s="2">
        <f>VLOOKUP([jobnumber],OvalData[],MATCH(Table2[[#Headers],[Pre Turns]],Table2[#Headers],0),0)</f>
        <v>1.3332999999999999</v>
      </c>
      <c r="Y546" s="2">
        <f>VLOOKUP([jobnumber],OvalData[],MATCH(Table2[[#Headers],[Required Torque Per Turn]],Table2[#Headers],0),0)</f>
        <v>688</v>
      </c>
      <c r="Z546" s="2">
        <f>VLOOKUP([jobnumber],OvalData[],MATCH(Table2[[#Headers],[Total Turns]],Table2[#Headers],0),0)</f>
        <v>4.91</v>
      </c>
      <c r="AA546" s="2">
        <f>VLOOKUP([jobnumber],OvalData[],MATCH(Table2[[#Headers],[Grille Vision Section]],Table2[#Headers],0),0)</f>
        <v>0</v>
      </c>
      <c r="AB546" s="2">
        <f>VLOOKUP([jobnumber],OvalData[],MATCH(Table2[[#Headers],[Grille Amount]],Table2[#Headers],0),0)</f>
        <v>0</v>
      </c>
      <c r="AC546" s="2">
        <f>VLOOKUP([jobnumber],OvalData[],MATCH(Table2[[#Headers],[Grille Center]],Table2[#Headers],0),0)</f>
        <v>0</v>
      </c>
      <c r="AD546" s="2">
        <f>VLOOKUP([jobnumber],OvalData[],MATCH(Table2[[#Headers],[Grille Pattern]],Table2[#Headers],0),0)</f>
        <v>0</v>
      </c>
      <c r="AE546" s="2">
        <f>VLOOKUP([jobnumber],OvalData[],MATCH(Table2[[#Headers],[Grille First Tube]],Table2[#Headers],0),0)</f>
        <v>0</v>
      </c>
      <c r="AF546" s="2">
        <f>VLOOKUP([jobnumber],OvalData[],MATCH(Table2[[#Headers],[Grille Standard Tube]],Table2[#Headers],0),0)</f>
        <v>0</v>
      </c>
      <c r="AG546" s="2">
        <f>VLOOKUP([jobnumber],OvalData[],MATCH(Table2[[#Headers],[Grille Total Links]],Table2[#Headers],0),0)</f>
        <v>0</v>
      </c>
      <c r="AH546" s="2">
        <f>VLOOKUP([jobnumber],OvalData[],MATCH(Table2[[#Headers],[Grille Rods]],Table2[#Headers],0),0)</f>
        <v>0</v>
      </c>
      <c r="AI546" s="2">
        <f>VLOOKUP([jobnumber],OvalData[],MATCH(Table2[[#Headers],[Grille Rod Length]],Table2[#Headers],0),0)</f>
        <v>0</v>
      </c>
      <c r="AJ546" s="2">
        <f>VLOOKUP([jobnumber],OvalData[],MATCH(Table2[[#Headers],[slattype]],Table2[#Headers],0),0)</f>
        <v>2</v>
      </c>
      <c r="AK546" s="2">
        <f>VLOOKUP([jobnumber],OvalData[],MATCH(Table2[[#Headers],[slatgage]],Table2[#Headers],0),0)</f>
        <v>18</v>
      </c>
      <c r="AL546" s="2">
        <f>VLOOKUP([jobnumber],OvalData[],MATCH(Table2[[#Headers],[Numer of Top Slats]],Table2[#Headers],0),0)</f>
        <v>0</v>
      </c>
      <c r="AM546" s="2">
        <f>VLOOKUP([jobnumber],OvalData[],MATCH(Table2[[#Headers],[Number of Bottom Slats]],Table2[#Headers],0),0)</f>
        <v>0</v>
      </c>
      <c r="AN546" s="2">
        <f>VLOOKUP([jobnumber],OvalData[],MATCH(Table2[[#Headers],[Solid Bottom Height]],Table2[#Headers],0),0)</f>
        <v>0</v>
      </c>
      <c r="AO546" s="2" t="str">
        <f>VLOOKUP([jobnumber],OvalData[],MATCH(Table2[[#Headers],[slatlength]],Table2[#Headers],0),0)</f>
        <v xml:space="preserve"> 18 ft.- 5 7/ 8"</v>
      </c>
      <c r="AP546" s="2">
        <f>VLOOKUP([jobnumber],OvalData[],MATCH(Table2[[#Headers],[Bottom Slat Length]],Table2[#Headers],0),0)</f>
        <v>0</v>
      </c>
      <c r="AQ546" s="2">
        <f>VLOOKUP([jobnumber],OvalData[],MATCH(Table2[[#Headers],[Number of Perferated Slats]],Table2[#Headers],0),0)</f>
        <v>0</v>
      </c>
      <c r="AR546" s="2">
        <f>VLOOKUP([jobnumber],OvalData[],MATCH(Table2[[#Headers],[First Preferated Slat From End]],Table2[#Headers],0),0)</f>
        <v>0</v>
      </c>
      <c r="AS546" s="2">
        <f>VLOOKUP([jobnumber],OvalData[],MATCH(Table2[[#Headers],[First Preferated Slat From Bottom]],Table2[#Headers],0),0)</f>
        <v>0</v>
      </c>
      <c r="AT546" s="2">
        <f>VLOOKUP([jobnumber],OvalData[],MATCH(Table2[[#Headers],[Total Number of Slats]],Table2[#Headers],0),0)</f>
        <v>51</v>
      </c>
      <c r="AU546" s="2">
        <f>VLOOKUP([jobnumber],OvalData[],MATCH(Table2[[#Headers],[Bottom Bar Slope]],Table2[#Headers],0),0)</f>
        <v>0</v>
      </c>
      <c r="AV546" s="2">
        <f>VLOOKUP([jobnumber],OvalData[],MATCH(Table2[[#Headers],[Bottom Bar Weight]],Table2[#Headers],0),0)</f>
        <v>80.5</v>
      </c>
      <c r="AW546" s="2" t="str">
        <f>VLOOKUP([jobnumber],OvalData[],MATCH(Table2[[#Headers],[Outer Spring Gage]],Table2[#Headers],0),0)</f>
        <v>Null</v>
      </c>
      <c r="AX546" s="2" t="str">
        <f>VLOOKUP([jobnumber],OvalData[],MATCH(Table2[[#Headers],[Outer Spring OD]],Table2[#Headers],0),0)</f>
        <v>Null</v>
      </c>
      <c r="AY546" s="2" t="str">
        <f>VLOOKUP([jobnumber],OvalData[],MATCH(Table2[[#Headers],[Outer Spring Length]],Table2[#Headers],0),0)</f>
        <v>Null</v>
      </c>
      <c r="AZ546" s="2" t="str">
        <f>VLOOKUP([jobnumber],OvalData[],MATCH(Table2[[#Headers],[Outer Spring Stretch]],Table2[#Headers],0),0)</f>
        <v>Null</v>
      </c>
      <c r="BA546" s="2" t="str">
        <f>VLOOKUP([jobnumber],OvalData[],MATCH(Table2[[#Headers],[Outer Spring Torque]],Table2[#Headers],0),0)</f>
        <v>Null</v>
      </c>
      <c r="BB546" s="2" t="str">
        <f>VLOOKUP([jobnumber],OvalData[],MATCH(Table2[[#Headers],[Outer Spring Max Turns]],Table2[#Headers],0),0)</f>
        <v>Null</v>
      </c>
      <c r="BC546" s="2" t="str">
        <f>VLOOKUP([jobnumber],OvalData[],MATCH(Table2[[#Headers],[Outer Spring Weight]],Table2[#Headers],0),0)</f>
        <v>Null</v>
      </c>
      <c r="BD546" s="2" t="str">
        <f>VLOOKUP([jobnumber],OvalData[],MATCH(Table2[[#Headers],[Inner Spring Gage]],Table2[#Headers],0),0)</f>
        <v>Null</v>
      </c>
      <c r="BE546" s="2" t="str">
        <f>VLOOKUP([jobnumber],OvalData[],MATCH(Table2[[#Headers],[Inner Spring OD]],Table2[#Headers],0),0)</f>
        <v>Null</v>
      </c>
      <c r="BF546" s="2" t="str">
        <f>VLOOKUP([jobnumber],OvalData[],MATCH(Table2[[#Headers],[Inner Spring Length]],Table2[#Headers],0),0)</f>
        <v>Null</v>
      </c>
      <c r="BG546" s="2" t="str">
        <f>VLOOKUP([jobnumber],OvalData[],MATCH(Table2[[#Headers],[Inner Spring Stretch]],Table2[#Headers],0),0)</f>
        <v>Null</v>
      </c>
      <c r="BH546" s="2" t="str">
        <f>VLOOKUP([jobnumber],OvalData[],MATCH(Table2[[#Headers],[Inner Spring Torque]],Table2[#Headers],0),0)</f>
        <v>Null</v>
      </c>
      <c r="BI546" s="2" t="str">
        <f>VLOOKUP([jobnumber],OvalData[],MATCH(Table2[[#Headers],[Inner Spring Max Turns]],Table2[#Headers],0),0)</f>
        <v>Null</v>
      </c>
      <c r="BJ546" s="2" t="str">
        <f>VLOOKUP([jobnumber],OvalData[],MATCH(Table2[[#Headers],[Inner Spring Weight]],Table2[#Headers],0),0)</f>
        <v>Null</v>
      </c>
      <c r="BK546" s="2">
        <f>VLOOKUP([jobnumber],OvalData[],MATCH(Table2[[#Headers],[Cycles]],Table2[#Headers],0),0)</f>
        <v>0</v>
      </c>
      <c r="BL546" s="2">
        <f>VLOOKUP([jobnumber],OvalData[],MATCH(Table2[[#Headers],[Total Spring Torque]],Table2[#Headers],0),0)</f>
        <v>0</v>
      </c>
      <c r="BM546" s="2">
        <f>VLOOKUP([jobnumber],OvalData[],MATCH(Table2[[#Headers],[Total Spring Weight]],Table2[#Headers],0),0)</f>
        <v>0</v>
      </c>
      <c r="BN546" s="2">
        <f>VLOOKUP([jobnumber],OvalData[],MATCH(Table2[[#Headers],[Pipe Weight]],Table2[#Headers],0),0)</f>
        <v>688.24239999999998</v>
      </c>
      <c r="BO546" s="2">
        <f>VLOOKUP([jobnumber],OvalData[],MATCH(Table2[[#Headers],[Max Pipe Deflection]],Table2[#Headers],0),0)</f>
        <v>2309</v>
      </c>
      <c r="BP546" s="2">
        <f>VLOOKUP([jobnumber],OvalData[],MATCH(Table2[[#Headers],[Number Non-Insulated Wrap Slats]],Table2[#Headers],0),0)</f>
        <v>0</v>
      </c>
      <c r="BQ546" s="2">
        <f>VLOOKUP([jobnumber],OvalData[],MATCH(Table2[[#Headers],[Number of Insolated Top Slats]],Table2[#Headers],0),0)</f>
        <v>45</v>
      </c>
      <c r="BR546" s="2">
        <f>VLOOKUP([jobnumber],OvalData[],MATCH(Table2[[#Headers],[Insolated Total Slats]],Table2[#Headers],0),0)</f>
        <v>45</v>
      </c>
      <c r="BS546" s="2">
        <f>VLOOKUP([jobnumber],OvalData[],MATCH(Table2[[#Headers],[Number of Slats]],Table2[#Headers],0),0)</f>
        <v>44.69</v>
      </c>
      <c r="BT546" s="2">
        <f>VLOOKUP([jobnumber],OvalData[],MATCH(Table2[[#Headers],[Wrap]],Table2[#Headers],0),0)</f>
        <v>0</v>
      </c>
      <c r="BU546" s="2">
        <f>VLOOKUP([jobnumber],OvalData[],MATCH(Table2[[#Headers],[Wall Angle Thickness]],Table2[#Headers],0),0)</f>
        <v>0</v>
      </c>
      <c r="BV546" s="2">
        <f>VLOOKUP([jobnumber],OvalData[],MATCH(Table2[[#Headers],[windlocks]],Table2[#Headers],0),0)</f>
        <v>0</v>
      </c>
      <c r="BW546" s="2" t="str">
        <f>VLOOKUP([jobnumber],OvalData[],MATCH(Table2[[#Headers],[bottombartype]],Table2[#Headers],0),0)</f>
        <v>SPECIAL</v>
      </c>
      <c r="BX546" s="2">
        <f>VLOOKUP([jobnumber],OvalData[],MATCH(Table2[[#Headers],[endlockweight]],Table2[#Headers],0),0)</f>
        <v>0.17</v>
      </c>
      <c r="BY546" s="2">
        <f>VLOOKUP([jobnumber],OvalData[],MATCH(Table2[[#Headers],[Endlock Total Weight]],Table2[#Headers],0),0)</f>
        <v>7.5972999999999997</v>
      </c>
      <c r="BZ546" s="2">
        <f>VLOOKUP([jobnumber],OvalData[],MATCH(Table2[[#Headers],[Grille Weight]],Table2[#Headers],0),0)</f>
        <v>0</v>
      </c>
      <c r="CA546" s="2">
        <f>VLOOKUP([jobnumber],OvalData[],MATCH(Table2[[#Headers],[barrelrings]],Table2[#Headers],0),0)</f>
        <v>1</v>
      </c>
    </row>
    <row r="547" spans="2:79">
      <c r="B547" s="2" t="str">
        <f>VLOOKUP([jobnumber],OvalData[],MATCH(Table2[[#Headers],[Hand]],Table2[#Headers],0),0)</f>
        <v>RH</v>
      </c>
      <c r="C547" s="2" t="str">
        <f>VLOOKUP([jobnumber],OvalData[],MATCH(Table2[[#Headers],[Model]],Table2[#Headers],0),0)</f>
        <v>SFMPP</v>
      </c>
      <c r="D547" s="2" t="str">
        <f>VLOOKUP([jobnumber],OvalData[],MATCH(Table2[[#Headers],[width]],Table2[#Headers],0),0)</f>
        <v xml:space="preserve"> 18 ft.- 2"</v>
      </c>
      <c r="E547" s="2" t="str">
        <f>VLOOKUP([jobnumber],OvalData[],MATCH(Table2[[#Headers],[stopheight]],Table2[#Headers],0),0)</f>
        <v xml:space="preserve"> 10 ft.- 0"</v>
      </c>
      <c r="F547" s="2" t="str">
        <f>VLOOKUP([jobnumber],OvalData[],MATCH(Table2[[#Headers],[Between Brackets]],Table2[#Headers],0),0)</f>
        <v xml:space="preserve"> 18 ft.- 7 7/ 8"</v>
      </c>
      <c r="G547" s="2" t="str">
        <f>VLOOKUP([jobnumber],OvalData[],MATCH(Table2[[#Headers],[shell]],Table2[#Headers],0),0)</f>
        <v>6 INCH TUBE</v>
      </c>
      <c r="H547" s="2" t="str">
        <f>VLOOKUP([jobnumber],OvalData[],MATCH(Table2[[#Headers],[pipewidth]],Table2[#Headers],0),0)</f>
        <v xml:space="preserve"> 18 ft.- 1 3/ 8"</v>
      </c>
      <c r="I547" s="2">
        <f>VLOOKUP([jobnumber],OvalData[],MATCH(Table2[[#Headers],[Support Tubes]],Table2[#Headers],0),0)</f>
        <v>0</v>
      </c>
      <c r="J547" s="2">
        <f>VLOOKUP([jobnumber],OvalData[],MATCH(Table2[[#Headers],[Upset]],Table2[#Headers],0),0)</f>
        <v>2</v>
      </c>
      <c r="K547" s="2" t="str">
        <f>VLOOKUP([jobnumber],OvalData[],MATCH(Table2[[#Headers],[Guide Type]],Table2[#Headers],0),0)</f>
        <v>SN2-4 5/8-E</v>
      </c>
      <c r="L547" s="2" t="str">
        <f>VLOOKUP([jobnumber],OvalData[],MATCH(Table2[[#Headers],[Wall Angle]],Table2[#Headers],0),0)</f>
        <v xml:space="preserve"> 11 ft.- 8"</v>
      </c>
      <c r="M547" s="2" t="str">
        <f>VLOOKUP([jobnumber],OvalData[],MATCH(Table2[[#Headers],[Middle Angle]],Table2[#Headers],0),0)</f>
        <v xml:space="preserve"> 10 ft.- 4 1/ 2"</v>
      </c>
      <c r="N547" s="2" t="str">
        <f>VLOOKUP([jobnumber],OvalData[],MATCH(Table2[[#Headers],[Front Angle]],Table2[#Headers],0),0)</f>
        <v xml:space="preserve"> 10 ft.- 3"</v>
      </c>
      <c r="O547" s="2">
        <f>VLOOKUP([jobnumber],OvalData[],MATCH(Table2[[#Headers],[Pipe Center Line]],Table2[#Headers],0),0)</f>
        <v>131</v>
      </c>
      <c r="P547" s="2">
        <f>VLOOKUP([jobnumber],OvalData[],MATCH(Table2[[#Headers],[Heat Expansion Gap]],Table2[#Headers],0),0)</f>
        <v>0</v>
      </c>
      <c r="Q547" s="2">
        <f>VLOOKUP([jobnumber],OvalData[],MATCH(Table2[[#Headers],[Hanging Weight Closed]],Table2[#Headers],0),0)</f>
        <v>795</v>
      </c>
      <c r="R547" s="2">
        <f>VLOOKUP([jobnumber],OvalData[],MATCH(Table2[[#Headers],[Hanging Weight Open]],Table2[#Headers],0),0)</f>
        <v>140</v>
      </c>
      <c r="S547" s="2">
        <f>VLOOKUP([jobnumber],OvalData[],MATCH(Table2[[#Headers],[Initial Lever Arm]],Table2[#Headers],0),0)</f>
        <v>4.25</v>
      </c>
      <c r="T547" s="2">
        <f>VLOOKUP([jobnumber],OvalData[],MATCH(Table2[[#Headers],[Turns to Raise]],Table2[#Headers],0),0)</f>
        <v>3.5859999999999999</v>
      </c>
      <c r="U547" s="2">
        <f>VLOOKUP([jobnumber],OvalData[],MATCH(Table2[[#Headers],[Final Lever Arm]],Table2[#Headers],0),0)</f>
        <v>6.37</v>
      </c>
      <c r="V547" s="2">
        <f>VLOOKUP([jobnumber],OvalData[],MATCH(Table2[[#Headers],[Torque Required Closed]],Table2[#Headers],0),0)</f>
        <v>3377.9</v>
      </c>
      <c r="W547" s="2">
        <f>VLOOKUP([jobnumber],OvalData[],MATCH(Table2[[#Headers],[Torque Required Open]],Table2[#Headers],0),0)</f>
        <v>892</v>
      </c>
      <c r="X547" s="2">
        <f>VLOOKUP([jobnumber],OvalData[],MATCH(Table2[[#Headers],[Pre Turns]],Table2[#Headers],0),0)</f>
        <v>1.3332999999999999</v>
      </c>
      <c r="Y547" s="2">
        <f>VLOOKUP([jobnumber],OvalData[],MATCH(Table2[[#Headers],[Required Torque Per Turn]],Table2[#Headers],0),0)</f>
        <v>688</v>
      </c>
      <c r="Z547" s="2">
        <f>VLOOKUP([jobnumber],OvalData[],MATCH(Table2[[#Headers],[Total Turns]],Table2[#Headers],0),0)</f>
        <v>4.91</v>
      </c>
      <c r="AA547" s="2">
        <f>VLOOKUP([jobnumber],OvalData[],MATCH(Table2[[#Headers],[Grille Vision Section]],Table2[#Headers],0),0)</f>
        <v>0</v>
      </c>
      <c r="AB547" s="2">
        <f>VLOOKUP([jobnumber],OvalData[],MATCH(Table2[[#Headers],[Grille Amount]],Table2[#Headers],0),0)</f>
        <v>0</v>
      </c>
      <c r="AC547" s="2">
        <f>VLOOKUP([jobnumber],OvalData[],MATCH(Table2[[#Headers],[Grille Center]],Table2[#Headers],0),0)</f>
        <v>0</v>
      </c>
      <c r="AD547" s="2">
        <f>VLOOKUP([jobnumber],OvalData[],MATCH(Table2[[#Headers],[Grille Pattern]],Table2[#Headers],0),0)</f>
        <v>0</v>
      </c>
      <c r="AE547" s="2">
        <f>VLOOKUP([jobnumber],OvalData[],MATCH(Table2[[#Headers],[Grille First Tube]],Table2[#Headers],0),0)</f>
        <v>0</v>
      </c>
      <c r="AF547" s="2">
        <f>VLOOKUP([jobnumber],OvalData[],MATCH(Table2[[#Headers],[Grille Standard Tube]],Table2[#Headers],0),0)</f>
        <v>0</v>
      </c>
      <c r="AG547" s="2">
        <f>VLOOKUP([jobnumber],OvalData[],MATCH(Table2[[#Headers],[Grille Total Links]],Table2[#Headers],0),0)</f>
        <v>0</v>
      </c>
      <c r="AH547" s="2">
        <f>VLOOKUP([jobnumber],OvalData[],MATCH(Table2[[#Headers],[Grille Rods]],Table2[#Headers],0),0)</f>
        <v>0</v>
      </c>
      <c r="AI547" s="2">
        <f>VLOOKUP([jobnumber],OvalData[],MATCH(Table2[[#Headers],[Grille Rod Length]],Table2[#Headers],0),0)</f>
        <v>0</v>
      </c>
      <c r="AJ547" s="2">
        <f>VLOOKUP([jobnumber],OvalData[],MATCH(Table2[[#Headers],[slattype]],Table2[#Headers],0),0)</f>
        <v>2</v>
      </c>
      <c r="AK547" s="2">
        <f>VLOOKUP([jobnumber],OvalData[],MATCH(Table2[[#Headers],[slatgage]],Table2[#Headers],0),0)</f>
        <v>18</v>
      </c>
      <c r="AL547" s="2">
        <f>VLOOKUP([jobnumber],OvalData[],MATCH(Table2[[#Headers],[Numer of Top Slats]],Table2[#Headers],0),0)</f>
        <v>0</v>
      </c>
      <c r="AM547" s="2">
        <f>VLOOKUP([jobnumber],OvalData[],MATCH(Table2[[#Headers],[Number of Bottom Slats]],Table2[#Headers],0),0)</f>
        <v>0</v>
      </c>
      <c r="AN547" s="2">
        <f>VLOOKUP([jobnumber],OvalData[],MATCH(Table2[[#Headers],[Solid Bottom Height]],Table2[#Headers],0),0)</f>
        <v>0</v>
      </c>
      <c r="AO547" s="2" t="str">
        <f>VLOOKUP([jobnumber],OvalData[],MATCH(Table2[[#Headers],[slatlength]],Table2[#Headers],0),0)</f>
        <v xml:space="preserve"> 18 ft.- 5 7/ 8"</v>
      </c>
      <c r="AP547" s="2">
        <f>VLOOKUP([jobnumber],OvalData[],MATCH(Table2[[#Headers],[Bottom Slat Length]],Table2[#Headers],0),0)</f>
        <v>0</v>
      </c>
      <c r="AQ547" s="2">
        <f>VLOOKUP([jobnumber],OvalData[],MATCH(Table2[[#Headers],[Number of Perferated Slats]],Table2[#Headers],0),0)</f>
        <v>0</v>
      </c>
      <c r="AR547" s="2">
        <f>VLOOKUP([jobnumber],OvalData[],MATCH(Table2[[#Headers],[First Preferated Slat From End]],Table2[#Headers],0),0)</f>
        <v>0</v>
      </c>
      <c r="AS547" s="2">
        <f>VLOOKUP([jobnumber],OvalData[],MATCH(Table2[[#Headers],[First Preferated Slat From Bottom]],Table2[#Headers],0),0)</f>
        <v>0</v>
      </c>
      <c r="AT547" s="2">
        <f>VLOOKUP([jobnumber],OvalData[],MATCH(Table2[[#Headers],[Total Number of Slats]],Table2[#Headers],0),0)</f>
        <v>51</v>
      </c>
      <c r="AU547" s="2">
        <f>VLOOKUP([jobnumber],OvalData[],MATCH(Table2[[#Headers],[Bottom Bar Slope]],Table2[#Headers],0),0)</f>
        <v>0</v>
      </c>
      <c r="AV547" s="2">
        <f>VLOOKUP([jobnumber],OvalData[],MATCH(Table2[[#Headers],[Bottom Bar Weight]],Table2[#Headers],0),0)</f>
        <v>80.5</v>
      </c>
      <c r="AW547" s="2" t="str">
        <f>VLOOKUP([jobnumber],OvalData[],MATCH(Table2[[#Headers],[Outer Spring Gage]],Table2[#Headers],0),0)</f>
        <v>Null</v>
      </c>
      <c r="AX547" s="2" t="str">
        <f>VLOOKUP([jobnumber],OvalData[],MATCH(Table2[[#Headers],[Outer Spring OD]],Table2[#Headers],0),0)</f>
        <v>Null</v>
      </c>
      <c r="AY547" s="2" t="str">
        <f>VLOOKUP([jobnumber],OvalData[],MATCH(Table2[[#Headers],[Outer Spring Length]],Table2[#Headers],0),0)</f>
        <v>Null</v>
      </c>
      <c r="AZ547" s="2" t="str">
        <f>VLOOKUP([jobnumber],OvalData[],MATCH(Table2[[#Headers],[Outer Spring Stretch]],Table2[#Headers],0),0)</f>
        <v>Null</v>
      </c>
      <c r="BA547" s="2" t="str">
        <f>VLOOKUP([jobnumber],OvalData[],MATCH(Table2[[#Headers],[Outer Spring Torque]],Table2[#Headers],0),0)</f>
        <v>Null</v>
      </c>
      <c r="BB547" s="2" t="str">
        <f>VLOOKUP([jobnumber],OvalData[],MATCH(Table2[[#Headers],[Outer Spring Max Turns]],Table2[#Headers],0),0)</f>
        <v>Null</v>
      </c>
      <c r="BC547" s="2" t="str">
        <f>VLOOKUP([jobnumber],OvalData[],MATCH(Table2[[#Headers],[Outer Spring Weight]],Table2[#Headers],0),0)</f>
        <v>Null</v>
      </c>
      <c r="BD547" s="2" t="str">
        <f>VLOOKUP([jobnumber],OvalData[],MATCH(Table2[[#Headers],[Inner Spring Gage]],Table2[#Headers],0),0)</f>
        <v>Null</v>
      </c>
      <c r="BE547" s="2" t="str">
        <f>VLOOKUP([jobnumber],OvalData[],MATCH(Table2[[#Headers],[Inner Spring OD]],Table2[#Headers],0),0)</f>
        <v>Null</v>
      </c>
      <c r="BF547" s="2" t="str">
        <f>VLOOKUP([jobnumber],OvalData[],MATCH(Table2[[#Headers],[Inner Spring Length]],Table2[#Headers],0),0)</f>
        <v>Null</v>
      </c>
      <c r="BG547" s="2" t="str">
        <f>VLOOKUP([jobnumber],OvalData[],MATCH(Table2[[#Headers],[Inner Spring Stretch]],Table2[#Headers],0),0)</f>
        <v>Null</v>
      </c>
      <c r="BH547" s="2" t="str">
        <f>VLOOKUP([jobnumber],OvalData[],MATCH(Table2[[#Headers],[Inner Spring Torque]],Table2[#Headers],0),0)</f>
        <v>Null</v>
      </c>
      <c r="BI547" s="2" t="str">
        <f>VLOOKUP([jobnumber],OvalData[],MATCH(Table2[[#Headers],[Inner Spring Max Turns]],Table2[#Headers],0),0)</f>
        <v>Null</v>
      </c>
      <c r="BJ547" s="2" t="str">
        <f>VLOOKUP([jobnumber],OvalData[],MATCH(Table2[[#Headers],[Inner Spring Weight]],Table2[#Headers],0),0)</f>
        <v>Null</v>
      </c>
      <c r="BK547" s="2">
        <f>VLOOKUP([jobnumber],OvalData[],MATCH(Table2[[#Headers],[Cycles]],Table2[#Headers],0),0)</f>
        <v>0</v>
      </c>
      <c r="BL547" s="2">
        <f>VLOOKUP([jobnumber],OvalData[],MATCH(Table2[[#Headers],[Total Spring Torque]],Table2[#Headers],0),0)</f>
        <v>0</v>
      </c>
      <c r="BM547" s="2">
        <f>VLOOKUP([jobnumber],OvalData[],MATCH(Table2[[#Headers],[Total Spring Weight]],Table2[#Headers],0),0)</f>
        <v>0</v>
      </c>
      <c r="BN547" s="2">
        <f>VLOOKUP([jobnumber],OvalData[],MATCH(Table2[[#Headers],[Pipe Weight]],Table2[#Headers],0),0)</f>
        <v>688.24239999999998</v>
      </c>
      <c r="BO547" s="2">
        <f>VLOOKUP([jobnumber],OvalData[],MATCH(Table2[[#Headers],[Max Pipe Deflection]],Table2[#Headers],0),0)</f>
        <v>2309</v>
      </c>
      <c r="BP547" s="2">
        <f>VLOOKUP([jobnumber],OvalData[],MATCH(Table2[[#Headers],[Number Non-Insulated Wrap Slats]],Table2[#Headers],0),0)</f>
        <v>0</v>
      </c>
      <c r="BQ547" s="2">
        <f>VLOOKUP([jobnumber],OvalData[],MATCH(Table2[[#Headers],[Number of Insolated Top Slats]],Table2[#Headers],0),0)</f>
        <v>45</v>
      </c>
      <c r="BR547" s="2">
        <f>VLOOKUP([jobnumber],OvalData[],MATCH(Table2[[#Headers],[Insolated Total Slats]],Table2[#Headers],0),0)</f>
        <v>45</v>
      </c>
      <c r="BS547" s="2">
        <f>VLOOKUP([jobnumber],OvalData[],MATCH(Table2[[#Headers],[Number of Slats]],Table2[#Headers],0),0)</f>
        <v>44.69</v>
      </c>
      <c r="BT547" s="2">
        <f>VLOOKUP([jobnumber],OvalData[],MATCH(Table2[[#Headers],[Wrap]],Table2[#Headers],0),0)</f>
        <v>0</v>
      </c>
      <c r="BU547" s="2">
        <f>VLOOKUP([jobnumber],OvalData[],MATCH(Table2[[#Headers],[Wall Angle Thickness]],Table2[#Headers],0),0)</f>
        <v>0</v>
      </c>
      <c r="BV547" s="2">
        <f>VLOOKUP([jobnumber],OvalData[],MATCH(Table2[[#Headers],[windlocks]],Table2[#Headers],0),0)</f>
        <v>0</v>
      </c>
      <c r="BW547" s="2" t="str">
        <f>VLOOKUP([jobnumber],OvalData[],MATCH(Table2[[#Headers],[bottombartype]],Table2[#Headers],0),0)</f>
        <v>SPECIAL</v>
      </c>
      <c r="BX547" s="2">
        <f>VLOOKUP([jobnumber],OvalData[],MATCH(Table2[[#Headers],[endlockweight]],Table2[#Headers],0),0)</f>
        <v>0.17</v>
      </c>
      <c r="BY547" s="2">
        <f>VLOOKUP([jobnumber],OvalData[],MATCH(Table2[[#Headers],[Endlock Total Weight]],Table2[#Headers],0),0)</f>
        <v>7.5972999999999997</v>
      </c>
      <c r="BZ547" s="2">
        <f>VLOOKUP([jobnumber],OvalData[],MATCH(Table2[[#Headers],[Grille Weight]],Table2[#Headers],0),0)</f>
        <v>0</v>
      </c>
      <c r="CA547" s="2">
        <f>VLOOKUP([jobnumber],OvalData[],MATCH(Table2[[#Headers],[barrelrings]],Table2[#Headers],0),0)</f>
        <v>1</v>
      </c>
    </row>
    <row r="548" spans="2:79">
      <c r="B548" s="2" t="str">
        <f>VLOOKUP([jobnumber],OvalData[],MATCH(Table2[[#Headers],[Hand]],Table2[#Headers],0),0)</f>
        <v>RH</v>
      </c>
      <c r="C548" s="2" t="str">
        <f>VLOOKUP([jobnumber],OvalData[],MATCH(Table2[[#Headers],[Model]],Table2[#Headers],0),0)</f>
        <v>SFMPP</v>
      </c>
      <c r="D548" s="2" t="str">
        <f>VLOOKUP([jobnumber],OvalData[],MATCH(Table2[[#Headers],[width]],Table2[#Headers],0),0)</f>
        <v xml:space="preserve"> 18 ft.- 2"</v>
      </c>
      <c r="E548" s="2" t="str">
        <f>VLOOKUP([jobnumber],OvalData[],MATCH(Table2[[#Headers],[stopheight]],Table2[#Headers],0),0)</f>
        <v xml:space="preserve"> 10 ft.- 0"</v>
      </c>
      <c r="F548" s="2" t="str">
        <f>VLOOKUP([jobnumber],OvalData[],MATCH(Table2[[#Headers],[Between Brackets]],Table2[#Headers],0),0)</f>
        <v xml:space="preserve"> 18 ft.- 7 7/ 8"</v>
      </c>
      <c r="G548" s="2" t="str">
        <f>VLOOKUP([jobnumber],OvalData[],MATCH(Table2[[#Headers],[shell]],Table2[#Headers],0),0)</f>
        <v>6 INCH TUBE</v>
      </c>
      <c r="H548" s="2" t="str">
        <f>VLOOKUP([jobnumber],OvalData[],MATCH(Table2[[#Headers],[pipewidth]],Table2[#Headers],0),0)</f>
        <v xml:space="preserve"> 18 ft.- 1 3/ 8"</v>
      </c>
      <c r="I548" s="2">
        <f>VLOOKUP([jobnumber],OvalData[],MATCH(Table2[[#Headers],[Support Tubes]],Table2[#Headers],0),0)</f>
        <v>0</v>
      </c>
      <c r="J548" s="2">
        <f>VLOOKUP([jobnumber],OvalData[],MATCH(Table2[[#Headers],[Upset]],Table2[#Headers],0),0)</f>
        <v>2</v>
      </c>
      <c r="K548" s="2" t="str">
        <f>VLOOKUP([jobnumber],OvalData[],MATCH(Table2[[#Headers],[Guide Type]],Table2[#Headers],0),0)</f>
        <v>SN2-4 5/8-E</v>
      </c>
      <c r="L548" s="2" t="str">
        <f>VLOOKUP([jobnumber],OvalData[],MATCH(Table2[[#Headers],[Wall Angle]],Table2[#Headers],0),0)</f>
        <v xml:space="preserve"> 11 ft.- 8"</v>
      </c>
      <c r="M548" s="2" t="str">
        <f>VLOOKUP([jobnumber],OvalData[],MATCH(Table2[[#Headers],[Middle Angle]],Table2[#Headers],0),0)</f>
        <v xml:space="preserve"> 10 ft.- 4 1/ 2"</v>
      </c>
      <c r="N548" s="2" t="str">
        <f>VLOOKUP([jobnumber],OvalData[],MATCH(Table2[[#Headers],[Front Angle]],Table2[#Headers],0),0)</f>
        <v xml:space="preserve"> 10 ft.- 3"</v>
      </c>
      <c r="O548" s="2">
        <f>VLOOKUP([jobnumber],OvalData[],MATCH(Table2[[#Headers],[Pipe Center Line]],Table2[#Headers],0),0)</f>
        <v>131</v>
      </c>
      <c r="P548" s="2">
        <f>VLOOKUP([jobnumber],OvalData[],MATCH(Table2[[#Headers],[Heat Expansion Gap]],Table2[#Headers],0),0)</f>
        <v>0</v>
      </c>
      <c r="Q548" s="2">
        <f>VLOOKUP([jobnumber],OvalData[],MATCH(Table2[[#Headers],[Hanging Weight Closed]],Table2[#Headers],0),0)</f>
        <v>795</v>
      </c>
      <c r="R548" s="2">
        <f>VLOOKUP([jobnumber],OvalData[],MATCH(Table2[[#Headers],[Hanging Weight Open]],Table2[#Headers],0),0)</f>
        <v>140</v>
      </c>
      <c r="S548" s="2">
        <f>VLOOKUP([jobnumber],OvalData[],MATCH(Table2[[#Headers],[Initial Lever Arm]],Table2[#Headers],0),0)</f>
        <v>4.25</v>
      </c>
      <c r="T548" s="2">
        <f>VLOOKUP([jobnumber],OvalData[],MATCH(Table2[[#Headers],[Turns to Raise]],Table2[#Headers],0),0)</f>
        <v>3.5859999999999999</v>
      </c>
      <c r="U548" s="2">
        <f>VLOOKUP([jobnumber],OvalData[],MATCH(Table2[[#Headers],[Final Lever Arm]],Table2[#Headers],0),0)</f>
        <v>6.37</v>
      </c>
      <c r="V548" s="2">
        <f>VLOOKUP([jobnumber],OvalData[],MATCH(Table2[[#Headers],[Torque Required Closed]],Table2[#Headers],0),0)</f>
        <v>3377.9</v>
      </c>
      <c r="W548" s="2">
        <f>VLOOKUP([jobnumber],OvalData[],MATCH(Table2[[#Headers],[Torque Required Open]],Table2[#Headers],0),0)</f>
        <v>892</v>
      </c>
      <c r="X548" s="2">
        <f>VLOOKUP([jobnumber],OvalData[],MATCH(Table2[[#Headers],[Pre Turns]],Table2[#Headers],0),0)</f>
        <v>1.3332999999999999</v>
      </c>
      <c r="Y548" s="2">
        <f>VLOOKUP([jobnumber],OvalData[],MATCH(Table2[[#Headers],[Required Torque Per Turn]],Table2[#Headers],0),0)</f>
        <v>688</v>
      </c>
      <c r="Z548" s="2">
        <f>VLOOKUP([jobnumber],OvalData[],MATCH(Table2[[#Headers],[Total Turns]],Table2[#Headers],0),0)</f>
        <v>4.91</v>
      </c>
      <c r="AA548" s="2">
        <f>VLOOKUP([jobnumber],OvalData[],MATCH(Table2[[#Headers],[Grille Vision Section]],Table2[#Headers],0),0)</f>
        <v>0</v>
      </c>
      <c r="AB548" s="2">
        <f>VLOOKUP([jobnumber],OvalData[],MATCH(Table2[[#Headers],[Grille Amount]],Table2[#Headers],0),0)</f>
        <v>0</v>
      </c>
      <c r="AC548" s="2">
        <f>VLOOKUP([jobnumber],OvalData[],MATCH(Table2[[#Headers],[Grille Center]],Table2[#Headers],0),0)</f>
        <v>0</v>
      </c>
      <c r="AD548" s="2">
        <f>VLOOKUP([jobnumber],OvalData[],MATCH(Table2[[#Headers],[Grille Pattern]],Table2[#Headers],0),0)</f>
        <v>0</v>
      </c>
      <c r="AE548" s="2">
        <f>VLOOKUP([jobnumber],OvalData[],MATCH(Table2[[#Headers],[Grille First Tube]],Table2[#Headers],0),0)</f>
        <v>0</v>
      </c>
      <c r="AF548" s="2">
        <f>VLOOKUP([jobnumber],OvalData[],MATCH(Table2[[#Headers],[Grille Standard Tube]],Table2[#Headers],0),0)</f>
        <v>0</v>
      </c>
      <c r="AG548" s="2">
        <f>VLOOKUP([jobnumber],OvalData[],MATCH(Table2[[#Headers],[Grille Total Links]],Table2[#Headers],0),0)</f>
        <v>0</v>
      </c>
      <c r="AH548" s="2">
        <f>VLOOKUP([jobnumber],OvalData[],MATCH(Table2[[#Headers],[Grille Rods]],Table2[#Headers],0),0)</f>
        <v>0</v>
      </c>
      <c r="AI548" s="2">
        <f>VLOOKUP([jobnumber],OvalData[],MATCH(Table2[[#Headers],[Grille Rod Length]],Table2[#Headers],0),0)</f>
        <v>0</v>
      </c>
      <c r="AJ548" s="2">
        <f>VLOOKUP([jobnumber],OvalData[],MATCH(Table2[[#Headers],[slattype]],Table2[#Headers],0),0)</f>
        <v>2</v>
      </c>
      <c r="AK548" s="2">
        <f>VLOOKUP([jobnumber],OvalData[],MATCH(Table2[[#Headers],[slatgage]],Table2[#Headers],0),0)</f>
        <v>18</v>
      </c>
      <c r="AL548" s="2">
        <f>VLOOKUP([jobnumber],OvalData[],MATCH(Table2[[#Headers],[Numer of Top Slats]],Table2[#Headers],0),0)</f>
        <v>0</v>
      </c>
      <c r="AM548" s="2">
        <f>VLOOKUP([jobnumber],OvalData[],MATCH(Table2[[#Headers],[Number of Bottom Slats]],Table2[#Headers],0),0)</f>
        <v>0</v>
      </c>
      <c r="AN548" s="2">
        <f>VLOOKUP([jobnumber],OvalData[],MATCH(Table2[[#Headers],[Solid Bottom Height]],Table2[#Headers],0),0)</f>
        <v>0</v>
      </c>
      <c r="AO548" s="2" t="str">
        <f>VLOOKUP([jobnumber],OvalData[],MATCH(Table2[[#Headers],[slatlength]],Table2[#Headers],0),0)</f>
        <v xml:space="preserve"> 18 ft.- 5 7/ 8"</v>
      </c>
      <c r="AP548" s="2">
        <f>VLOOKUP([jobnumber],OvalData[],MATCH(Table2[[#Headers],[Bottom Slat Length]],Table2[#Headers],0),0)</f>
        <v>0</v>
      </c>
      <c r="AQ548" s="2">
        <f>VLOOKUP([jobnumber],OvalData[],MATCH(Table2[[#Headers],[Number of Perferated Slats]],Table2[#Headers],0),0)</f>
        <v>0</v>
      </c>
      <c r="AR548" s="2">
        <f>VLOOKUP([jobnumber],OvalData[],MATCH(Table2[[#Headers],[First Preferated Slat From End]],Table2[#Headers],0),0)</f>
        <v>0</v>
      </c>
      <c r="AS548" s="2">
        <f>VLOOKUP([jobnumber],OvalData[],MATCH(Table2[[#Headers],[First Preferated Slat From Bottom]],Table2[#Headers],0),0)</f>
        <v>0</v>
      </c>
      <c r="AT548" s="2">
        <f>VLOOKUP([jobnumber],OvalData[],MATCH(Table2[[#Headers],[Total Number of Slats]],Table2[#Headers],0),0)</f>
        <v>51</v>
      </c>
      <c r="AU548" s="2">
        <f>VLOOKUP([jobnumber],OvalData[],MATCH(Table2[[#Headers],[Bottom Bar Slope]],Table2[#Headers],0),0)</f>
        <v>0</v>
      </c>
      <c r="AV548" s="2">
        <f>VLOOKUP([jobnumber],OvalData[],MATCH(Table2[[#Headers],[Bottom Bar Weight]],Table2[#Headers],0),0)</f>
        <v>80.5</v>
      </c>
      <c r="AW548" s="2" t="str">
        <f>VLOOKUP([jobnumber],OvalData[],MATCH(Table2[[#Headers],[Outer Spring Gage]],Table2[#Headers],0),0)</f>
        <v>Null</v>
      </c>
      <c r="AX548" s="2" t="str">
        <f>VLOOKUP([jobnumber],OvalData[],MATCH(Table2[[#Headers],[Outer Spring OD]],Table2[#Headers],0),0)</f>
        <v>Null</v>
      </c>
      <c r="AY548" s="2" t="str">
        <f>VLOOKUP([jobnumber],OvalData[],MATCH(Table2[[#Headers],[Outer Spring Length]],Table2[#Headers],0),0)</f>
        <v>Null</v>
      </c>
      <c r="AZ548" s="2" t="str">
        <f>VLOOKUP([jobnumber],OvalData[],MATCH(Table2[[#Headers],[Outer Spring Stretch]],Table2[#Headers],0),0)</f>
        <v>Null</v>
      </c>
      <c r="BA548" s="2" t="str">
        <f>VLOOKUP([jobnumber],OvalData[],MATCH(Table2[[#Headers],[Outer Spring Torque]],Table2[#Headers],0),0)</f>
        <v>Null</v>
      </c>
      <c r="BB548" s="2" t="str">
        <f>VLOOKUP([jobnumber],OvalData[],MATCH(Table2[[#Headers],[Outer Spring Max Turns]],Table2[#Headers],0),0)</f>
        <v>Null</v>
      </c>
      <c r="BC548" s="2" t="str">
        <f>VLOOKUP([jobnumber],OvalData[],MATCH(Table2[[#Headers],[Outer Spring Weight]],Table2[#Headers],0),0)</f>
        <v>Null</v>
      </c>
      <c r="BD548" s="2" t="str">
        <f>VLOOKUP([jobnumber],OvalData[],MATCH(Table2[[#Headers],[Inner Spring Gage]],Table2[#Headers],0),0)</f>
        <v>Null</v>
      </c>
      <c r="BE548" s="2" t="str">
        <f>VLOOKUP([jobnumber],OvalData[],MATCH(Table2[[#Headers],[Inner Spring OD]],Table2[#Headers],0),0)</f>
        <v>Null</v>
      </c>
      <c r="BF548" s="2" t="str">
        <f>VLOOKUP([jobnumber],OvalData[],MATCH(Table2[[#Headers],[Inner Spring Length]],Table2[#Headers],0),0)</f>
        <v>Null</v>
      </c>
      <c r="BG548" s="2" t="str">
        <f>VLOOKUP([jobnumber],OvalData[],MATCH(Table2[[#Headers],[Inner Spring Stretch]],Table2[#Headers],0),0)</f>
        <v>Null</v>
      </c>
      <c r="BH548" s="2" t="str">
        <f>VLOOKUP([jobnumber],OvalData[],MATCH(Table2[[#Headers],[Inner Spring Torque]],Table2[#Headers],0),0)</f>
        <v>Null</v>
      </c>
      <c r="BI548" s="2" t="str">
        <f>VLOOKUP([jobnumber],OvalData[],MATCH(Table2[[#Headers],[Inner Spring Max Turns]],Table2[#Headers],0),0)</f>
        <v>Null</v>
      </c>
      <c r="BJ548" s="2" t="str">
        <f>VLOOKUP([jobnumber],OvalData[],MATCH(Table2[[#Headers],[Inner Spring Weight]],Table2[#Headers],0),0)</f>
        <v>Null</v>
      </c>
      <c r="BK548" s="2">
        <f>VLOOKUP([jobnumber],OvalData[],MATCH(Table2[[#Headers],[Cycles]],Table2[#Headers],0),0)</f>
        <v>0</v>
      </c>
      <c r="BL548" s="2">
        <f>VLOOKUP([jobnumber],OvalData[],MATCH(Table2[[#Headers],[Total Spring Torque]],Table2[#Headers],0),0)</f>
        <v>0</v>
      </c>
      <c r="BM548" s="2">
        <f>VLOOKUP([jobnumber],OvalData[],MATCH(Table2[[#Headers],[Total Spring Weight]],Table2[#Headers],0),0)</f>
        <v>0</v>
      </c>
      <c r="BN548" s="2">
        <f>VLOOKUP([jobnumber],OvalData[],MATCH(Table2[[#Headers],[Pipe Weight]],Table2[#Headers],0),0)</f>
        <v>688.24239999999998</v>
      </c>
      <c r="BO548" s="2">
        <f>VLOOKUP([jobnumber],OvalData[],MATCH(Table2[[#Headers],[Max Pipe Deflection]],Table2[#Headers],0),0)</f>
        <v>2309</v>
      </c>
      <c r="BP548" s="2">
        <f>VLOOKUP([jobnumber],OvalData[],MATCH(Table2[[#Headers],[Number Non-Insulated Wrap Slats]],Table2[#Headers],0),0)</f>
        <v>0</v>
      </c>
      <c r="BQ548" s="2">
        <f>VLOOKUP([jobnumber],OvalData[],MATCH(Table2[[#Headers],[Number of Insolated Top Slats]],Table2[#Headers],0),0)</f>
        <v>45</v>
      </c>
      <c r="BR548" s="2">
        <f>VLOOKUP([jobnumber],OvalData[],MATCH(Table2[[#Headers],[Insolated Total Slats]],Table2[#Headers],0),0)</f>
        <v>45</v>
      </c>
      <c r="BS548" s="2">
        <f>VLOOKUP([jobnumber],OvalData[],MATCH(Table2[[#Headers],[Number of Slats]],Table2[#Headers],0),0)</f>
        <v>44.69</v>
      </c>
      <c r="BT548" s="2">
        <f>VLOOKUP([jobnumber],OvalData[],MATCH(Table2[[#Headers],[Wrap]],Table2[#Headers],0),0)</f>
        <v>0</v>
      </c>
      <c r="BU548" s="2">
        <f>VLOOKUP([jobnumber],OvalData[],MATCH(Table2[[#Headers],[Wall Angle Thickness]],Table2[#Headers],0),0)</f>
        <v>0</v>
      </c>
      <c r="BV548" s="2">
        <f>VLOOKUP([jobnumber],OvalData[],MATCH(Table2[[#Headers],[windlocks]],Table2[#Headers],0),0)</f>
        <v>0</v>
      </c>
      <c r="BW548" s="2" t="str">
        <f>VLOOKUP([jobnumber],OvalData[],MATCH(Table2[[#Headers],[bottombartype]],Table2[#Headers],0),0)</f>
        <v>SPECIAL</v>
      </c>
      <c r="BX548" s="2">
        <f>VLOOKUP([jobnumber],OvalData[],MATCH(Table2[[#Headers],[endlockweight]],Table2[#Headers],0),0)</f>
        <v>0.17</v>
      </c>
      <c r="BY548" s="2">
        <f>VLOOKUP([jobnumber],OvalData[],MATCH(Table2[[#Headers],[Endlock Total Weight]],Table2[#Headers],0),0)</f>
        <v>7.5972999999999997</v>
      </c>
      <c r="BZ548" s="2">
        <f>VLOOKUP([jobnumber],OvalData[],MATCH(Table2[[#Headers],[Grille Weight]],Table2[#Headers],0),0)</f>
        <v>0</v>
      </c>
      <c r="CA548" s="2">
        <f>VLOOKUP([jobnumber],OvalData[],MATCH(Table2[[#Headers],[barrelrings]],Table2[#Headers],0),0)</f>
        <v>1</v>
      </c>
    </row>
    <row r="549" spans="2:79">
      <c r="B549" s="2" t="str">
        <f>VLOOKUP([jobnumber],OvalData[],MATCH(Table2[[#Headers],[Hand]],Table2[#Headers],0),0)</f>
        <v>RH</v>
      </c>
      <c r="C549" s="2" t="str">
        <f>VLOOKUP([jobnumber],OvalData[],MATCH(Table2[[#Headers],[Model]],Table2[#Headers],0),0)</f>
        <v>SFMPP</v>
      </c>
      <c r="D549" s="2" t="str">
        <f>VLOOKUP([jobnumber],OvalData[],MATCH(Table2[[#Headers],[width]],Table2[#Headers],0),0)</f>
        <v xml:space="preserve"> 18 ft.- 2"</v>
      </c>
      <c r="E549" s="2" t="str">
        <f>VLOOKUP([jobnumber],OvalData[],MATCH(Table2[[#Headers],[stopheight]],Table2[#Headers],0),0)</f>
        <v xml:space="preserve"> 10 ft.- 0"</v>
      </c>
      <c r="F549" s="2" t="str">
        <f>VLOOKUP([jobnumber],OvalData[],MATCH(Table2[[#Headers],[Between Brackets]],Table2[#Headers],0),0)</f>
        <v xml:space="preserve"> 18 ft.- 7 7/ 8"</v>
      </c>
      <c r="G549" s="2" t="str">
        <f>VLOOKUP([jobnumber],OvalData[],MATCH(Table2[[#Headers],[shell]],Table2[#Headers],0),0)</f>
        <v>6 INCH TUBE</v>
      </c>
      <c r="H549" s="2" t="str">
        <f>VLOOKUP([jobnumber],OvalData[],MATCH(Table2[[#Headers],[pipewidth]],Table2[#Headers],0),0)</f>
        <v xml:space="preserve"> 18 ft.- 1 3/ 8"</v>
      </c>
      <c r="I549" s="2">
        <f>VLOOKUP([jobnumber],OvalData[],MATCH(Table2[[#Headers],[Support Tubes]],Table2[#Headers],0),0)</f>
        <v>0</v>
      </c>
      <c r="J549" s="2">
        <f>VLOOKUP([jobnumber],OvalData[],MATCH(Table2[[#Headers],[Upset]],Table2[#Headers],0),0)</f>
        <v>2</v>
      </c>
      <c r="K549" s="2" t="str">
        <f>VLOOKUP([jobnumber],OvalData[],MATCH(Table2[[#Headers],[Guide Type]],Table2[#Headers],0),0)</f>
        <v>SN2-4 5/8-E</v>
      </c>
      <c r="L549" s="2" t="str">
        <f>VLOOKUP([jobnumber],OvalData[],MATCH(Table2[[#Headers],[Wall Angle]],Table2[#Headers],0),0)</f>
        <v xml:space="preserve"> 11 ft.- 8"</v>
      </c>
      <c r="M549" s="2" t="str">
        <f>VLOOKUP([jobnumber],OvalData[],MATCH(Table2[[#Headers],[Middle Angle]],Table2[#Headers],0),0)</f>
        <v xml:space="preserve"> 10 ft.- 4 1/ 2"</v>
      </c>
      <c r="N549" s="2" t="str">
        <f>VLOOKUP([jobnumber],OvalData[],MATCH(Table2[[#Headers],[Front Angle]],Table2[#Headers],0),0)</f>
        <v xml:space="preserve"> 10 ft.- 3"</v>
      </c>
      <c r="O549" s="2">
        <f>VLOOKUP([jobnumber],OvalData[],MATCH(Table2[[#Headers],[Pipe Center Line]],Table2[#Headers],0),0)</f>
        <v>131</v>
      </c>
      <c r="P549" s="2">
        <f>VLOOKUP([jobnumber],OvalData[],MATCH(Table2[[#Headers],[Heat Expansion Gap]],Table2[#Headers],0),0)</f>
        <v>0</v>
      </c>
      <c r="Q549" s="2">
        <f>VLOOKUP([jobnumber],OvalData[],MATCH(Table2[[#Headers],[Hanging Weight Closed]],Table2[#Headers],0),0)</f>
        <v>795</v>
      </c>
      <c r="R549" s="2">
        <f>VLOOKUP([jobnumber],OvalData[],MATCH(Table2[[#Headers],[Hanging Weight Open]],Table2[#Headers],0),0)</f>
        <v>140</v>
      </c>
      <c r="S549" s="2">
        <f>VLOOKUP([jobnumber],OvalData[],MATCH(Table2[[#Headers],[Initial Lever Arm]],Table2[#Headers],0),0)</f>
        <v>4.25</v>
      </c>
      <c r="T549" s="2">
        <f>VLOOKUP([jobnumber],OvalData[],MATCH(Table2[[#Headers],[Turns to Raise]],Table2[#Headers],0),0)</f>
        <v>3.5859999999999999</v>
      </c>
      <c r="U549" s="2">
        <f>VLOOKUP([jobnumber],OvalData[],MATCH(Table2[[#Headers],[Final Lever Arm]],Table2[#Headers],0),0)</f>
        <v>6.37</v>
      </c>
      <c r="V549" s="2">
        <f>VLOOKUP([jobnumber],OvalData[],MATCH(Table2[[#Headers],[Torque Required Closed]],Table2[#Headers],0),0)</f>
        <v>3377.9</v>
      </c>
      <c r="W549" s="2">
        <f>VLOOKUP([jobnumber],OvalData[],MATCH(Table2[[#Headers],[Torque Required Open]],Table2[#Headers],0),0)</f>
        <v>892</v>
      </c>
      <c r="X549" s="2">
        <f>VLOOKUP([jobnumber],OvalData[],MATCH(Table2[[#Headers],[Pre Turns]],Table2[#Headers],0),0)</f>
        <v>1.3332999999999999</v>
      </c>
      <c r="Y549" s="2">
        <f>VLOOKUP([jobnumber],OvalData[],MATCH(Table2[[#Headers],[Required Torque Per Turn]],Table2[#Headers],0),0)</f>
        <v>688</v>
      </c>
      <c r="Z549" s="2">
        <f>VLOOKUP([jobnumber],OvalData[],MATCH(Table2[[#Headers],[Total Turns]],Table2[#Headers],0),0)</f>
        <v>4.91</v>
      </c>
      <c r="AA549" s="2">
        <f>VLOOKUP([jobnumber],OvalData[],MATCH(Table2[[#Headers],[Grille Vision Section]],Table2[#Headers],0),0)</f>
        <v>0</v>
      </c>
      <c r="AB549" s="2">
        <f>VLOOKUP([jobnumber],OvalData[],MATCH(Table2[[#Headers],[Grille Amount]],Table2[#Headers],0),0)</f>
        <v>0</v>
      </c>
      <c r="AC549" s="2">
        <f>VLOOKUP([jobnumber],OvalData[],MATCH(Table2[[#Headers],[Grille Center]],Table2[#Headers],0),0)</f>
        <v>0</v>
      </c>
      <c r="AD549" s="2">
        <f>VLOOKUP([jobnumber],OvalData[],MATCH(Table2[[#Headers],[Grille Pattern]],Table2[#Headers],0),0)</f>
        <v>0</v>
      </c>
      <c r="AE549" s="2">
        <f>VLOOKUP([jobnumber],OvalData[],MATCH(Table2[[#Headers],[Grille First Tube]],Table2[#Headers],0),0)</f>
        <v>0</v>
      </c>
      <c r="AF549" s="2">
        <f>VLOOKUP([jobnumber],OvalData[],MATCH(Table2[[#Headers],[Grille Standard Tube]],Table2[#Headers],0),0)</f>
        <v>0</v>
      </c>
      <c r="AG549" s="2">
        <f>VLOOKUP([jobnumber],OvalData[],MATCH(Table2[[#Headers],[Grille Total Links]],Table2[#Headers],0),0)</f>
        <v>0</v>
      </c>
      <c r="AH549" s="2">
        <f>VLOOKUP([jobnumber],OvalData[],MATCH(Table2[[#Headers],[Grille Rods]],Table2[#Headers],0),0)</f>
        <v>0</v>
      </c>
      <c r="AI549" s="2">
        <f>VLOOKUP([jobnumber],OvalData[],MATCH(Table2[[#Headers],[Grille Rod Length]],Table2[#Headers],0),0)</f>
        <v>0</v>
      </c>
      <c r="AJ549" s="2">
        <f>VLOOKUP([jobnumber],OvalData[],MATCH(Table2[[#Headers],[slattype]],Table2[#Headers],0),0)</f>
        <v>2</v>
      </c>
      <c r="AK549" s="2">
        <f>VLOOKUP([jobnumber],OvalData[],MATCH(Table2[[#Headers],[slatgage]],Table2[#Headers],0),0)</f>
        <v>18</v>
      </c>
      <c r="AL549" s="2">
        <f>VLOOKUP([jobnumber],OvalData[],MATCH(Table2[[#Headers],[Numer of Top Slats]],Table2[#Headers],0),0)</f>
        <v>0</v>
      </c>
      <c r="AM549" s="2">
        <f>VLOOKUP([jobnumber],OvalData[],MATCH(Table2[[#Headers],[Number of Bottom Slats]],Table2[#Headers],0),0)</f>
        <v>0</v>
      </c>
      <c r="AN549" s="2">
        <f>VLOOKUP([jobnumber],OvalData[],MATCH(Table2[[#Headers],[Solid Bottom Height]],Table2[#Headers],0),0)</f>
        <v>0</v>
      </c>
      <c r="AO549" s="2" t="str">
        <f>VLOOKUP([jobnumber],OvalData[],MATCH(Table2[[#Headers],[slatlength]],Table2[#Headers],0),0)</f>
        <v xml:space="preserve"> 18 ft.- 5 7/ 8"</v>
      </c>
      <c r="AP549" s="2">
        <f>VLOOKUP([jobnumber],OvalData[],MATCH(Table2[[#Headers],[Bottom Slat Length]],Table2[#Headers],0),0)</f>
        <v>0</v>
      </c>
      <c r="AQ549" s="2">
        <f>VLOOKUP([jobnumber],OvalData[],MATCH(Table2[[#Headers],[Number of Perferated Slats]],Table2[#Headers],0),0)</f>
        <v>0</v>
      </c>
      <c r="AR549" s="2">
        <f>VLOOKUP([jobnumber],OvalData[],MATCH(Table2[[#Headers],[First Preferated Slat From End]],Table2[#Headers],0),0)</f>
        <v>0</v>
      </c>
      <c r="AS549" s="2">
        <f>VLOOKUP([jobnumber],OvalData[],MATCH(Table2[[#Headers],[First Preferated Slat From Bottom]],Table2[#Headers],0),0)</f>
        <v>0</v>
      </c>
      <c r="AT549" s="2">
        <f>VLOOKUP([jobnumber],OvalData[],MATCH(Table2[[#Headers],[Total Number of Slats]],Table2[#Headers],0),0)</f>
        <v>51</v>
      </c>
      <c r="AU549" s="2">
        <f>VLOOKUP([jobnumber],OvalData[],MATCH(Table2[[#Headers],[Bottom Bar Slope]],Table2[#Headers],0),0)</f>
        <v>0</v>
      </c>
      <c r="AV549" s="2">
        <f>VLOOKUP([jobnumber],OvalData[],MATCH(Table2[[#Headers],[Bottom Bar Weight]],Table2[#Headers],0),0)</f>
        <v>80.5</v>
      </c>
      <c r="AW549" s="2" t="str">
        <f>VLOOKUP([jobnumber],OvalData[],MATCH(Table2[[#Headers],[Outer Spring Gage]],Table2[#Headers],0),0)</f>
        <v>Null</v>
      </c>
      <c r="AX549" s="2" t="str">
        <f>VLOOKUP([jobnumber],OvalData[],MATCH(Table2[[#Headers],[Outer Spring OD]],Table2[#Headers],0),0)</f>
        <v>Null</v>
      </c>
      <c r="AY549" s="2" t="str">
        <f>VLOOKUP([jobnumber],OvalData[],MATCH(Table2[[#Headers],[Outer Spring Length]],Table2[#Headers],0),0)</f>
        <v>Null</v>
      </c>
      <c r="AZ549" s="2" t="str">
        <f>VLOOKUP([jobnumber],OvalData[],MATCH(Table2[[#Headers],[Outer Spring Stretch]],Table2[#Headers],0),0)</f>
        <v>Null</v>
      </c>
      <c r="BA549" s="2" t="str">
        <f>VLOOKUP([jobnumber],OvalData[],MATCH(Table2[[#Headers],[Outer Spring Torque]],Table2[#Headers],0),0)</f>
        <v>Null</v>
      </c>
      <c r="BB549" s="2" t="str">
        <f>VLOOKUP([jobnumber],OvalData[],MATCH(Table2[[#Headers],[Outer Spring Max Turns]],Table2[#Headers],0),0)</f>
        <v>Null</v>
      </c>
      <c r="BC549" s="2" t="str">
        <f>VLOOKUP([jobnumber],OvalData[],MATCH(Table2[[#Headers],[Outer Spring Weight]],Table2[#Headers],0),0)</f>
        <v>Null</v>
      </c>
      <c r="BD549" s="2" t="str">
        <f>VLOOKUP([jobnumber],OvalData[],MATCH(Table2[[#Headers],[Inner Spring Gage]],Table2[#Headers],0),0)</f>
        <v>Null</v>
      </c>
      <c r="BE549" s="2" t="str">
        <f>VLOOKUP([jobnumber],OvalData[],MATCH(Table2[[#Headers],[Inner Spring OD]],Table2[#Headers],0),0)</f>
        <v>Null</v>
      </c>
      <c r="BF549" s="2" t="str">
        <f>VLOOKUP([jobnumber],OvalData[],MATCH(Table2[[#Headers],[Inner Spring Length]],Table2[#Headers],0),0)</f>
        <v>Null</v>
      </c>
      <c r="BG549" s="2" t="str">
        <f>VLOOKUP([jobnumber],OvalData[],MATCH(Table2[[#Headers],[Inner Spring Stretch]],Table2[#Headers],0),0)</f>
        <v>Null</v>
      </c>
      <c r="BH549" s="2" t="str">
        <f>VLOOKUP([jobnumber],OvalData[],MATCH(Table2[[#Headers],[Inner Spring Torque]],Table2[#Headers],0),0)</f>
        <v>Null</v>
      </c>
      <c r="BI549" s="2" t="str">
        <f>VLOOKUP([jobnumber],OvalData[],MATCH(Table2[[#Headers],[Inner Spring Max Turns]],Table2[#Headers],0),0)</f>
        <v>Null</v>
      </c>
      <c r="BJ549" s="2" t="str">
        <f>VLOOKUP([jobnumber],OvalData[],MATCH(Table2[[#Headers],[Inner Spring Weight]],Table2[#Headers],0),0)</f>
        <v>Null</v>
      </c>
      <c r="BK549" s="2">
        <f>VLOOKUP([jobnumber],OvalData[],MATCH(Table2[[#Headers],[Cycles]],Table2[#Headers],0),0)</f>
        <v>0</v>
      </c>
      <c r="BL549" s="2">
        <f>VLOOKUP([jobnumber],OvalData[],MATCH(Table2[[#Headers],[Total Spring Torque]],Table2[#Headers],0),0)</f>
        <v>0</v>
      </c>
      <c r="BM549" s="2">
        <f>VLOOKUP([jobnumber],OvalData[],MATCH(Table2[[#Headers],[Total Spring Weight]],Table2[#Headers],0),0)</f>
        <v>0</v>
      </c>
      <c r="BN549" s="2">
        <f>VLOOKUP([jobnumber],OvalData[],MATCH(Table2[[#Headers],[Pipe Weight]],Table2[#Headers],0),0)</f>
        <v>688.24239999999998</v>
      </c>
      <c r="BO549" s="2">
        <f>VLOOKUP([jobnumber],OvalData[],MATCH(Table2[[#Headers],[Max Pipe Deflection]],Table2[#Headers],0),0)</f>
        <v>2309</v>
      </c>
      <c r="BP549" s="2">
        <f>VLOOKUP([jobnumber],OvalData[],MATCH(Table2[[#Headers],[Number Non-Insulated Wrap Slats]],Table2[#Headers],0),0)</f>
        <v>0</v>
      </c>
      <c r="BQ549" s="2">
        <f>VLOOKUP([jobnumber],OvalData[],MATCH(Table2[[#Headers],[Number of Insolated Top Slats]],Table2[#Headers],0),0)</f>
        <v>45</v>
      </c>
      <c r="BR549" s="2">
        <f>VLOOKUP([jobnumber],OvalData[],MATCH(Table2[[#Headers],[Insolated Total Slats]],Table2[#Headers],0),0)</f>
        <v>45</v>
      </c>
      <c r="BS549" s="2">
        <f>VLOOKUP([jobnumber],OvalData[],MATCH(Table2[[#Headers],[Number of Slats]],Table2[#Headers],0),0)</f>
        <v>44.69</v>
      </c>
      <c r="BT549" s="2">
        <f>VLOOKUP([jobnumber],OvalData[],MATCH(Table2[[#Headers],[Wrap]],Table2[#Headers],0),0)</f>
        <v>0</v>
      </c>
      <c r="BU549" s="2">
        <f>VLOOKUP([jobnumber],OvalData[],MATCH(Table2[[#Headers],[Wall Angle Thickness]],Table2[#Headers],0),0)</f>
        <v>0</v>
      </c>
      <c r="BV549" s="2">
        <f>VLOOKUP([jobnumber],OvalData[],MATCH(Table2[[#Headers],[windlocks]],Table2[#Headers],0),0)</f>
        <v>0</v>
      </c>
      <c r="BW549" s="2" t="str">
        <f>VLOOKUP([jobnumber],OvalData[],MATCH(Table2[[#Headers],[bottombartype]],Table2[#Headers],0),0)</f>
        <v>SPECIAL</v>
      </c>
      <c r="BX549" s="2">
        <f>VLOOKUP([jobnumber],OvalData[],MATCH(Table2[[#Headers],[endlockweight]],Table2[#Headers],0),0)</f>
        <v>0.17</v>
      </c>
      <c r="BY549" s="2">
        <f>VLOOKUP([jobnumber],OvalData[],MATCH(Table2[[#Headers],[Endlock Total Weight]],Table2[#Headers],0),0)</f>
        <v>7.5972999999999997</v>
      </c>
      <c r="BZ549" s="2">
        <f>VLOOKUP([jobnumber],OvalData[],MATCH(Table2[[#Headers],[Grille Weight]],Table2[#Headers],0),0)</f>
        <v>0</v>
      </c>
      <c r="CA549" s="2">
        <f>VLOOKUP([jobnumber],OvalData[],MATCH(Table2[[#Headers],[barrelrings]],Table2[#Headers],0),0)</f>
        <v>1</v>
      </c>
    </row>
    <row r="550" spans="2:79">
      <c r="B550" s="2" t="str">
        <f>VLOOKUP([jobnumber],OvalData[],MATCH(Table2[[#Headers],[Hand]],Table2[#Headers],0),0)</f>
        <v>RH</v>
      </c>
      <c r="C550" s="2" t="str">
        <f>VLOOKUP([jobnumber],OvalData[],MATCH(Table2[[#Headers],[Model]],Table2[#Headers],0),0)</f>
        <v>SFMPP</v>
      </c>
      <c r="D550" s="2" t="str">
        <f>VLOOKUP([jobnumber],OvalData[],MATCH(Table2[[#Headers],[width]],Table2[#Headers],0),0)</f>
        <v xml:space="preserve"> 18 ft.- 2"</v>
      </c>
      <c r="E550" s="2" t="str">
        <f>VLOOKUP([jobnumber],OvalData[],MATCH(Table2[[#Headers],[stopheight]],Table2[#Headers],0),0)</f>
        <v xml:space="preserve"> 10 ft.- 0"</v>
      </c>
      <c r="F550" s="2" t="str">
        <f>VLOOKUP([jobnumber],OvalData[],MATCH(Table2[[#Headers],[Between Brackets]],Table2[#Headers],0),0)</f>
        <v xml:space="preserve"> 18 ft.- 7 7/ 8"</v>
      </c>
      <c r="G550" s="2" t="str">
        <f>VLOOKUP([jobnumber],OvalData[],MATCH(Table2[[#Headers],[shell]],Table2[#Headers],0),0)</f>
        <v>6 INCH TUBE</v>
      </c>
      <c r="H550" s="2" t="str">
        <f>VLOOKUP([jobnumber],OvalData[],MATCH(Table2[[#Headers],[pipewidth]],Table2[#Headers],0),0)</f>
        <v xml:space="preserve"> 18 ft.- 1 3/ 8"</v>
      </c>
      <c r="I550" s="2">
        <f>VLOOKUP([jobnumber],OvalData[],MATCH(Table2[[#Headers],[Support Tubes]],Table2[#Headers],0),0)</f>
        <v>0</v>
      </c>
      <c r="J550" s="2">
        <f>VLOOKUP([jobnumber],OvalData[],MATCH(Table2[[#Headers],[Upset]],Table2[#Headers],0),0)</f>
        <v>2</v>
      </c>
      <c r="K550" s="2" t="str">
        <f>VLOOKUP([jobnumber],OvalData[],MATCH(Table2[[#Headers],[Guide Type]],Table2[#Headers],0),0)</f>
        <v>SN2-4 5/8-E</v>
      </c>
      <c r="L550" s="2" t="str">
        <f>VLOOKUP([jobnumber],OvalData[],MATCH(Table2[[#Headers],[Wall Angle]],Table2[#Headers],0),0)</f>
        <v xml:space="preserve"> 11 ft.- 8"</v>
      </c>
      <c r="M550" s="2" t="str">
        <f>VLOOKUP([jobnumber],OvalData[],MATCH(Table2[[#Headers],[Middle Angle]],Table2[#Headers],0),0)</f>
        <v xml:space="preserve"> 10 ft.- 4 1/ 2"</v>
      </c>
      <c r="N550" s="2" t="str">
        <f>VLOOKUP([jobnumber],OvalData[],MATCH(Table2[[#Headers],[Front Angle]],Table2[#Headers],0),0)</f>
        <v xml:space="preserve"> 10 ft.- 3"</v>
      </c>
      <c r="O550" s="2">
        <f>VLOOKUP([jobnumber],OvalData[],MATCH(Table2[[#Headers],[Pipe Center Line]],Table2[#Headers],0),0)</f>
        <v>131</v>
      </c>
      <c r="P550" s="2">
        <f>VLOOKUP([jobnumber],OvalData[],MATCH(Table2[[#Headers],[Heat Expansion Gap]],Table2[#Headers],0),0)</f>
        <v>0</v>
      </c>
      <c r="Q550" s="2">
        <f>VLOOKUP([jobnumber],OvalData[],MATCH(Table2[[#Headers],[Hanging Weight Closed]],Table2[#Headers],0),0)</f>
        <v>795</v>
      </c>
      <c r="R550" s="2">
        <f>VLOOKUP([jobnumber],OvalData[],MATCH(Table2[[#Headers],[Hanging Weight Open]],Table2[#Headers],0),0)</f>
        <v>140</v>
      </c>
      <c r="S550" s="2">
        <f>VLOOKUP([jobnumber],OvalData[],MATCH(Table2[[#Headers],[Initial Lever Arm]],Table2[#Headers],0),0)</f>
        <v>4.25</v>
      </c>
      <c r="T550" s="2">
        <f>VLOOKUP([jobnumber],OvalData[],MATCH(Table2[[#Headers],[Turns to Raise]],Table2[#Headers],0),0)</f>
        <v>3.5859999999999999</v>
      </c>
      <c r="U550" s="2">
        <f>VLOOKUP([jobnumber],OvalData[],MATCH(Table2[[#Headers],[Final Lever Arm]],Table2[#Headers],0),0)</f>
        <v>6.37</v>
      </c>
      <c r="V550" s="2">
        <f>VLOOKUP([jobnumber],OvalData[],MATCH(Table2[[#Headers],[Torque Required Closed]],Table2[#Headers],0),0)</f>
        <v>3377.9</v>
      </c>
      <c r="W550" s="2">
        <f>VLOOKUP([jobnumber],OvalData[],MATCH(Table2[[#Headers],[Torque Required Open]],Table2[#Headers],0),0)</f>
        <v>892</v>
      </c>
      <c r="X550" s="2">
        <f>VLOOKUP([jobnumber],OvalData[],MATCH(Table2[[#Headers],[Pre Turns]],Table2[#Headers],0),0)</f>
        <v>1.3332999999999999</v>
      </c>
      <c r="Y550" s="2">
        <f>VLOOKUP([jobnumber],OvalData[],MATCH(Table2[[#Headers],[Required Torque Per Turn]],Table2[#Headers],0),0)</f>
        <v>688</v>
      </c>
      <c r="Z550" s="2">
        <f>VLOOKUP([jobnumber],OvalData[],MATCH(Table2[[#Headers],[Total Turns]],Table2[#Headers],0),0)</f>
        <v>4.91</v>
      </c>
      <c r="AA550" s="2">
        <f>VLOOKUP([jobnumber],OvalData[],MATCH(Table2[[#Headers],[Grille Vision Section]],Table2[#Headers],0),0)</f>
        <v>0</v>
      </c>
      <c r="AB550" s="2">
        <f>VLOOKUP([jobnumber],OvalData[],MATCH(Table2[[#Headers],[Grille Amount]],Table2[#Headers],0),0)</f>
        <v>0</v>
      </c>
      <c r="AC550" s="2">
        <f>VLOOKUP([jobnumber],OvalData[],MATCH(Table2[[#Headers],[Grille Center]],Table2[#Headers],0),0)</f>
        <v>0</v>
      </c>
      <c r="AD550" s="2">
        <f>VLOOKUP([jobnumber],OvalData[],MATCH(Table2[[#Headers],[Grille Pattern]],Table2[#Headers],0),0)</f>
        <v>0</v>
      </c>
      <c r="AE550" s="2">
        <f>VLOOKUP([jobnumber],OvalData[],MATCH(Table2[[#Headers],[Grille First Tube]],Table2[#Headers],0),0)</f>
        <v>0</v>
      </c>
      <c r="AF550" s="2">
        <f>VLOOKUP([jobnumber],OvalData[],MATCH(Table2[[#Headers],[Grille Standard Tube]],Table2[#Headers],0),0)</f>
        <v>0</v>
      </c>
      <c r="AG550" s="2">
        <f>VLOOKUP([jobnumber],OvalData[],MATCH(Table2[[#Headers],[Grille Total Links]],Table2[#Headers],0),0)</f>
        <v>0</v>
      </c>
      <c r="AH550" s="2">
        <f>VLOOKUP([jobnumber],OvalData[],MATCH(Table2[[#Headers],[Grille Rods]],Table2[#Headers],0),0)</f>
        <v>0</v>
      </c>
      <c r="AI550" s="2">
        <f>VLOOKUP([jobnumber],OvalData[],MATCH(Table2[[#Headers],[Grille Rod Length]],Table2[#Headers],0),0)</f>
        <v>0</v>
      </c>
      <c r="AJ550" s="2">
        <f>VLOOKUP([jobnumber],OvalData[],MATCH(Table2[[#Headers],[slattype]],Table2[#Headers],0),0)</f>
        <v>2</v>
      </c>
      <c r="AK550" s="2">
        <f>VLOOKUP([jobnumber],OvalData[],MATCH(Table2[[#Headers],[slatgage]],Table2[#Headers],0),0)</f>
        <v>18</v>
      </c>
      <c r="AL550" s="2">
        <f>VLOOKUP([jobnumber],OvalData[],MATCH(Table2[[#Headers],[Numer of Top Slats]],Table2[#Headers],0),0)</f>
        <v>0</v>
      </c>
      <c r="AM550" s="2">
        <f>VLOOKUP([jobnumber],OvalData[],MATCH(Table2[[#Headers],[Number of Bottom Slats]],Table2[#Headers],0),0)</f>
        <v>0</v>
      </c>
      <c r="AN550" s="2">
        <f>VLOOKUP([jobnumber],OvalData[],MATCH(Table2[[#Headers],[Solid Bottom Height]],Table2[#Headers],0),0)</f>
        <v>0</v>
      </c>
      <c r="AO550" s="2" t="str">
        <f>VLOOKUP([jobnumber],OvalData[],MATCH(Table2[[#Headers],[slatlength]],Table2[#Headers],0),0)</f>
        <v xml:space="preserve"> 18 ft.- 5 7/ 8"</v>
      </c>
      <c r="AP550" s="2">
        <f>VLOOKUP([jobnumber],OvalData[],MATCH(Table2[[#Headers],[Bottom Slat Length]],Table2[#Headers],0),0)</f>
        <v>0</v>
      </c>
      <c r="AQ550" s="2">
        <f>VLOOKUP([jobnumber],OvalData[],MATCH(Table2[[#Headers],[Number of Perferated Slats]],Table2[#Headers],0),0)</f>
        <v>0</v>
      </c>
      <c r="AR550" s="2">
        <f>VLOOKUP([jobnumber],OvalData[],MATCH(Table2[[#Headers],[First Preferated Slat From End]],Table2[#Headers],0),0)</f>
        <v>0</v>
      </c>
      <c r="AS550" s="2">
        <f>VLOOKUP([jobnumber],OvalData[],MATCH(Table2[[#Headers],[First Preferated Slat From Bottom]],Table2[#Headers],0),0)</f>
        <v>0</v>
      </c>
      <c r="AT550" s="2">
        <f>VLOOKUP([jobnumber],OvalData[],MATCH(Table2[[#Headers],[Total Number of Slats]],Table2[#Headers],0),0)</f>
        <v>51</v>
      </c>
      <c r="AU550" s="2">
        <f>VLOOKUP([jobnumber],OvalData[],MATCH(Table2[[#Headers],[Bottom Bar Slope]],Table2[#Headers],0),0)</f>
        <v>0</v>
      </c>
      <c r="AV550" s="2">
        <f>VLOOKUP([jobnumber],OvalData[],MATCH(Table2[[#Headers],[Bottom Bar Weight]],Table2[#Headers],0),0)</f>
        <v>80.5</v>
      </c>
      <c r="AW550" s="2" t="str">
        <f>VLOOKUP([jobnumber],OvalData[],MATCH(Table2[[#Headers],[Outer Spring Gage]],Table2[#Headers],0),0)</f>
        <v>Null</v>
      </c>
      <c r="AX550" s="2" t="str">
        <f>VLOOKUP([jobnumber],OvalData[],MATCH(Table2[[#Headers],[Outer Spring OD]],Table2[#Headers],0),0)</f>
        <v>Null</v>
      </c>
      <c r="AY550" s="2" t="str">
        <f>VLOOKUP([jobnumber],OvalData[],MATCH(Table2[[#Headers],[Outer Spring Length]],Table2[#Headers],0),0)</f>
        <v>Null</v>
      </c>
      <c r="AZ550" s="2" t="str">
        <f>VLOOKUP([jobnumber],OvalData[],MATCH(Table2[[#Headers],[Outer Spring Stretch]],Table2[#Headers],0),0)</f>
        <v>Null</v>
      </c>
      <c r="BA550" s="2" t="str">
        <f>VLOOKUP([jobnumber],OvalData[],MATCH(Table2[[#Headers],[Outer Spring Torque]],Table2[#Headers],0),0)</f>
        <v>Null</v>
      </c>
      <c r="BB550" s="2" t="str">
        <f>VLOOKUP([jobnumber],OvalData[],MATCH(Table2[[#Headers],[Outer Spring Max Turns]],Table2[#Headers],0),0)</f>
        <v>Null</v>
      </c>
      <c r="BC550" s="2" t="str">
        <f>VLOOKUP([jobnumber],OvalData[],MATCH(Table2[[#Headers],[Outer Spring Weight]],Table2[#Headers],0),0)</f>
        <v>Null</v>
      </c>
      <c r="BD550" s="2" t="str">
        <f>VLOOKUP([jobnumber],OvalData[],MATCH(Table2[[#Headers],[Inner Spring Gage]],Table2[#Headers],0),0)</f>
        <v>Null</v>
      </c>
      <c r="BE550" s="2" t="str">
        <f>VLOOKUP([jobnumber],OvalData[],MATCH(Table2[[#Headers],[Inner Spring OD]],Table2[#Headers],0),0)</f>
        <v>Null</v>
      </c>
      <c r="BF550" s="2" t="str">
        <f>VLOOKUP([jobnumber],OvalData[],MATCH(Table2[[#Headers],[Inner Spring Length]],Table2[#Headers],0),0)</f>
        <v>Null</v>
      </c>
      <c r="BG550" s="2" t="str">
        <f>VLOOKUP([jobnumber],OvalData[],MATCH(Table2[[#Headers],[Inner Spring Stretch]],Table2[#Headers],0),0)</f>
        <v>Null</v>
      </c>
      <c r="BH550" s="2" t="str">
        <f>VLOOKUP([jobnumber],OvalData[],MATCH(Table2[[#Headers],[Inner Spring Torque]],Table2[#Headers],0),0)</f>
        <v>Null</v>
      </c>
      <c r="BI550" s="2" t="str">
        <f>VLOOKUP([jobnumber],OvalData[],MATCH(Table2[[#Headers],[Inner Spring Max Turns]],Table2[#Headers],0),0)</f>
        <v>Null</v>
      </c>
      <c r="BJ550" s="2" t="str">
        <f>VLOOKUP([jobnumber],OvalData[],MATCH(Table2[[#Headers],[Inner Spring Weight]],Table2[#Headers],0),0)</f>
        <v>Null</v>
      </c>
      <c r="BK550" s="2">
        <f>VLOOKUP([jobnumber],OvalData[],MATCH(Table2[[#Headers],[Cycles]],Table2[#Headers],0),0)</f>
        <v>0</v>
      </c>
      <c r="BL550" s="2">
        <f>VLOOKUP([jobnumber],OvalData[],MATCH(Table2[[#Headers],[Total Spring Torque]],Table2[#Headers],0),0)</f>
        <v>0</v>
      </c>
      <c r="BM550" s="2">
        <f>VLOOKUP([jobnumber],OvalData[],MATCH(Table2[[#Headers],[Total Spring Weight]],Table2[#Headers],0),0)</f>
        <v>0</v>
      </c>
      <c r="BN550" s="2">
        <f>VLOOKUP([jobnumber],OvalData[],MATCH(Table2[[#Headers],[Pipe Weight]],Table2[#Headers],0),0)</f>
        <v>688.24239999999998</v>
      </c>
      <c r="BO550" s="2">
        <f>VLOOKUP([jobnumber],OvalData[],MATCH(Table2[[#Headers],[Max Pipe Deflection]],Table2[#Headers],0),0)</f>
        <v>2309</v>
      </c>
      <c r="BP550" s="2">
        <f>VLOOKUP([jobnumber],OvalData[],MATCH(Table2[[#Headers],[Number Non-Insulated Wrap Slats]],Table2[#Headers],0),0)</f>
        <v>0</v>
      </c>
      <c r="BQ550" s="2">
        <f>VLOOKUP([jobnumber],OvalData[],MATCH(Table2[[#Headers],[Number of Insolated Top Slats]],Table2[#Headers],0),0)</f>
        <v>45</v>
      </c>
      <c r="BR550" s="2">
        <f>VLOOKUP([jobnumber],OvalData[],MATCH(Table2[[#Headers],[Insolated Total Slats]],Table2[#Headers],0),0)</f>
        <v>45</v>
      </c>
      <c r="BS550" s="2">
        <f>VLOOKUP([jobnumber],OvalData[],MATCH(Table2[[#Headers],[Number of Slats]],Table2[#Headers],0),0)</f>
        <v>44.69</v>
      </c>
      <c r="BT550" s="2">
        <f>VLOOKUP([jobnumber],OvalData[],MATCH(Table2[[#Headers],[Wrap]],Table2[#Headers],0),0)</f>
        <v>0</v>
      </c>
      <c r="BU550" s="2">
        <f>VLOOKUP([jobnumber],OvalData[],MATCH(Table2[[#Headers],[Wall Angle Thickness]],Table2[#Headers],0),0)</f>
        <v>0</v>
      </c>
      <c r="BV550" s="2">
        <f>VLOOKUP([jobnumber],OvalData[],MATCH(Table2[[#Headers],[windlocks]],Table2[#Headers],0),0)</f>
        <v>0</v>
      </c>
      <c r="BW550" s="2" t="str">
        <f>VLOOKUP([jobnumber],OvalData[],MATCH(Table2[[#Headers],[bottombartype]],Table2[#Headers],0),0)</f>
        <v>SPECIAL</v>
      </c>
      <c r="BX550" s="2">
        <f>VLOOKUP([jobnumber],OvalData[],MATCH(Table2[[#Headers],[endlockweight]],Table2[#Headers],0),0)</f>
        <v>0.17</v>
      </c>
      <c r="BY550" s="2">
        <f>VLOOKUP([jobnumber],OvalData[],MATCH(Table2[[#Headers],[Endlock Total Weight]],Table2[#Headers],0),0)</f>
        <v>7.5972999999999997</v>
      </c>
      <c r="BZ550" s="2">
        <f>VLOOKUP([jobnumber],OvalData[],MATCH(Table2[[#Headers],[Grille Weight]],Table2[#Headers],0),0)</f>
        <v>0</v>
      </c>
      <c r="CA550" s="2">
        <f>VLOOKUP([jobnumber],OvalData[],MATCH(Table2[[#Headers],[barrelrings]],Table2[#Headers],0),0)</f>
        <v>1</v>
      </c>
    </row>
    <row r="551" spans="2:79">
      <c r="B551" s="2" t="str">
        <f>VLOOKUP([jobnumber],OvalData[],MATCH(Table2[[#Headers],[Hand]],Table2[#Headers],0),0)</f>
        <v>RH</v>
      </c>
      <c r="C551" s="2" t="str">
        <f>VLOOKUP([jobnumber],OvalData[],MATCH(Table2[[#Headers],[Model]],Table2[#Headers],0),0)</f>
        <v>SFMPP</v>
      </c>
      <c r="D551" s="2" t="str">
        <f>VLOOKUP([jobnumber],OvalData[],MATCH(Table2[[#Headers],[width]],Table2[#Headers],0),0)</f>
        <v xml:space="preserve"> 18 ft.- 2"</v>
      </c>
      <c r="E551" s="2" t="str">
        <f>VLOOKUP([jobnumber],OvalData[],MATCH(Table2[[#Headers],[stopheight]],Table2[#Headers],0),0)</f>
        <v xml:space="preserve"> 10 ft.- 0"</v>
      </c>
      <c r="F551" s="2" t="str">
        <f>VLOOKUP([jobnumber],OvalData[],MATCH(Table2[[#Headers],[Between Brackets]],Table2[#Headers],0),0)</f>
        <v xml:space="preserve"> 18 ft.- 7 7/ 8"</v>
      </c>
      <c r="G551" s="2" t="str">
        <f>VLOOKUP([jobnumber],OvalData[],MATCH(Table2[[#Headers],[shell]],Table2[#Headers],0),0)</f>
        <v>6 INCH TUBE</v>
      </c>
      <c r="H551" s="2" t="str">
        <f>VLOOKUP([jobnumber],OvalData[],MATCH(Table2[[#Headers],[pipewidth]],Table2[#Headers],0),0)</f>
        <v xml:space="preserve"> 18 ft.- 1 3/ 8"</v>
      </c>
      <c r="I551" s="2">
        <f>VLOOKUP([jobnumber],OvalData[],MATCH(Table2[[#Headers],[Support Tubes]],Table2[#Headers],0),0)</f>
        <v>0</v>
      </c>
      <c r="J551" s="2">
        <f>VLOOKUP([jobnumber],OvalData[],MATCH(Table2[[#Headers],[Upset]],Table2[#Headers],0),0)</f>
        <v>2</v>
      </c>
      <c r="K551" s="2" t="str">
        <f>VLOOKUP([jobnumber],OvalData[],MATCH(Table2[[#Headers],[Guide Type]],Table2[#Headers],0),0)</f>
        <v>SN2-4 5/8-E</v>
      </c>
      <c r="L551" s="2" t="str">
        <f>VLOOKUP([jobnumber],OvalData[],MATCH(Table2[[#Headers],[Wall Angle]],Table2[#Headers],0),0)</f>
        <v xml:space="preserve"> 11 ft.- 8"</v>
      </c>
      <c r="M551" s="2" t="str">
        <f>VLOOKUP([jobnumber],OvalData[],MATCH(Table2[[#Headers],[Middle Angle]],Table2[#Headers],0),0)</f>
        <v xml:space="preserve"> 10 ft.- 4 1/ 2"</v>
      </c>
      <c r="N551" s="2" t="str">
        <f>VLOOKUP([jobnumber],OvalData[],MATCH(Table2[[#Headers],[Front Angle]],Table2[#Headers],0),0)</f>
        <v xml:space="preserve"> 10 ft.- 3"</v>
      </c>
      <c r="O551" s="2">
        <f>VLOOKUP([jobnumber],OvalData[],MATCH(Table2[[#Headers],[Pipe Center Line]],Table2[#Headers],0),0)</f>
        <v>131</v>
      </c>
      <c r="P551" s="2">
        <f>VLOOKUP([jobnumber],OvalData[],MATCH(Table2[[#Headers],[Heat Expansion Gap]],Table2[#Headers],0),0)</f>
        <v>0</v>
      </c>
      <c r="Q551" s="2">
        <f>VLOOKUP([jobnumber],OvalData[],MATCH(Table2[[#Headers],[Hanging Weight Closed]],Table2[#Headers],0),0)</f>
        <v>795</v>
      </c>
      <c r="R551" s="2">
        <f>VLOOKUP([jobnumber],OvalData[],MATCH(Table2[[#Headers],[Hanging Weight Open]],Table2[#Headers],0),0)</f>
        <v>140</v>
      </c>
      <c r="S551" s="2">
        <f>VLOOKUP([jobnumber],OvalData[],MATCH(Table2[[#Headers],[Initial Lever Arm]],Table2[#Headers],0),0)</f>
        <v>4.25</v>
      </c>
      <c r="T551" s="2">
        <f>VLOOKUP([jobnumber],OvalData[],MATCH(Table2[[#Headers],[Turns to Raise]],Table2[#Headers],0),0)</f>
        <v>3.5859999999999999</v>
      </c>
      <c r="U551" s="2">
        <f>VLOOKUP([jobnumber],OvalData[],MATCH(Table2[[#Headers],[Final Lever Arm]],Table2[#Headers],0),0)</f>
        <v>6.37</v>
      </c>
      <c r="V551" s="2">
        <f>VLOOKUP([jobnumber],OvalData[],MATCH(Table2[[#Headers],[Torque Required Closed]],Table2[#Headers],0),0)</f>
        <v>3377.9</v>
      </c>
      <c r="W551" s="2">
        <f>VLOOKUP([jobnumber],OvalData[],MATCH(Table2[[#Headers],[Torque Required Open]],Table2[#Headers],0),0)</f>
        <v>892</v>
      </c>
      <c r="X551" s="2">
        <f>VLOOKUP([jobnumber],OvalData[],MATCH(Table2[[#Headers],[Pre Turns]],Table2[#Headers],0),0)</f>
        <v>1.3332999999999999</v>
      </c>
      <c r="Y551" s="2">
        <f>VLOOKUP([jobnumber],OvalData[],MATCH(Table2[[#Headers],[Required Torque Per Turn]],Table2[#Headers],0),0)</f>
        <v>688</v>
      </c>
      <c r="Z551" s="2">
        <f>VLOOKUP([jobnumber],OvalData[],MATCH(Table2[[#Headers],[Total Turns]],Table2[#Headers],0),0)</f>
        <v>4.91</v>
      </c>
      <c r="AA551" s="2">
        <f>VLOOKUP([jobnumber],OvalData[],MATCH(Table2[[#Headers],[Grille Vision Section]],Table2[#Headers],0),0)</f>
        <v>0</v>
      </c>
      <c r="AB551" s="2">
        <f>VLOOKUP([jobnumber],OvalData[],MATCH(Table2[[#Headers],[Grille Amount]],Table2[#Headers],0),0)</f>
        <v>0</v>
      </c>
      <c r="AC551" s="2">
        <f>VLOOKUP([jobnumber],OvalData[],MATCH(Table2[[#Headers],[Grille Center]],Table2[#Headers],0),0)</f>
        <v>0</v>
      </c>
      <c r="AD551" s="2">
        <f>VLOOKUP([jobnumber],OvalData[],MATCH(Table2[[#Headers],[Grille Pattern]],Table2[#Headers],0),0)</f>
        <v>0</v>
      </c>
      <c r="AE551" s="2">
        <f>VLOOKUP([jobnumber],OvalData[],MATCH(Table2[[#Headers],[Grille First Tube]],Table2[#Headers],0),0)</f>
        <v>0</v>
      </c>
      <c r="AF551" s="2">
        <f>VLOOKUP([jobnumber],OvalData[],MATCH(Table2[[#Headers],[Grille Standard Tube]],Table2[#Headers],0),0)</f>
        <v>0</v>
      </c>
      <c r="AG551" s="2">
        <f>VLOOKUP([jobnumber],OvalData[],MATCH(Table2[[#Headers],[Grille Total Links]],Table2[#Headers],0),0)</f>
        <v>0</v>
      </c>
      <c r="AH551" s="2">
        <f>VLOOKUP([jobnumber],OvalData[],MATCH(Table2[[#Headers],[Grille Rods]],Table2[#Headers],0),0)</f>
        <v>0</v>
      </c>
      <c r="AI551" s="2">
        <f>VLOOKUP([jobnumber],OvalData[],MATCH(Table2[[#Headers],[Grille Rod Length]],Table2[#Headers],0),0)</f>
        <v>0</v>
      </c>
      <c r="AJ551" s="2">
        <f>VLOOKUP([jobnumber],OvalData[],MATCH(Table2[[#Headers],[slattype]],Table2[#Headers],0),0)</f>
        <v>2</v>
      </c>
      <c r="AK551" s="2">
        <f>VLOOKUP([jobnumber],OvalData[],MATCH(Table2[[#Headers],[slatgage]],Table2[#Headers],0),0)</f>
        <v>18</v>
      </c>
      <c r="AL551" s="2">
        <f>VLOOKUP([jobnumber],OvalData[],MATCH(Table2[[#Headers],[Numer of Top Slats]],Table2[#Headers],0),0)</f>
        <v>0</v>
      </c>
      <c r="AM551" s="2">
        <f>VLOOKUP([jobnumber],OvalData[],MATCH(Table2[[#Headers],[Number of Bottom Slats]],Table2[#Headers],0),0)</f>
        <v>0</v>
      </c>
      <c r="AN551" s="2">
        <f>VLOOKUP([jobnumber],OvalData[],MATCH(Table2[[#Headers],[Solid Bottom Height]],Table2[#Headers],0),0)</f>
        <v>0</v>
      </c>
      <c r="AO551" s="2" t="str">
        <f>VLOOKUP([jobnumber],OvalData[],MATCH(Table2[[#Headers],[slatlength]],Table2[#Headers],0),0)</f>
        <v xml:space="preserve"> 18 ft.- 5 7/ 8"</v>
      </c>
      <c r="AP551" s="2">
        <f>VLOOKUP([jobnumber],OvalData[],MATCH(Table2[[#Headers],[Bottom Slat Length]],Table2[#Headers],0),0)</f>
        <v>0</v>
      </c>
      <c r="AQ551" s="2">
        <f>VLOOKUP([jobnumber],OvalData[],MATCH(Table2[[#Headers],[Number of Perferated Slats]],Table2[#Headers],0),0)</f>
        <v>0</v>
      </c>
      <c r="AR551" s="2">
        <f>VLOOKUP([jobnumber],OvalData[],MATCH(Table2[[#Headers],[First Preferated Slat From End]],Table2[#Headers],0),0)</f>
        <v>0</v>
      </c>
      <c r="AS551" s="2">
        <f>VLOOKUP([jobnumber],OvalData[],MATCH(Table2[[#Headers],[First Preferated Slat From Bottom]],Table2[#Headers],0),0)</f>
        <v>0</v>
      </c>
      <c r="AT551" s="2">
        <f>VLOOKUP([jobnumber],OvalData[],MATCH(Table2[[#Headers],[Total Number of Slats]],Table2[#Headers],0),0)</f>
        <v>51</v>
      </c>
      <c r="AU551" s="2">
        <f>VLOOKUP([jobnumber],OvalData[],MATCH(Table2[[#Headers],[Bottom Bar Slope]],Table2[#Headers],0),0)</f>
        <v>0</v>
      </c>
      <c r="AV551" s="2">
        <f>VLOOKUP([jobnumber],OvalData[],MATCH(Table2[[#Headers],[Bottom Bar Weight]],Table2[#Headers],0),0)</f>
        <v>80.5</v>
      </c>
      <c r="AW551" s="2" t="str">
        <f>VLOOKUP([jobnumber],OvalData[],MATCH(Table2[[#Headers],[Outer Spring Gage]],Table2[#Headers],0),0)</f>
        <v>Null</v>
      </c>
      <c r="AX551" s="2" t="str">
        <f>VLOOKUP([jobnumber],OvalData[],MATCH(Table2[[#Headers],[Outer Spring OD]],Table2[#Headers],0),0)</f>
        <v>Null</v>
      </c>
      <c r="AY551" s="2" t="str">
        <f>VLOOKUP([jobnumber],OvalData[],MATCH(Table2[[#Headers],[Outer Spring Length]],Table2[#Headers],0),0)</f>
        <v>Null</v>
      </c>
      <c r="AZ551" s="2" t="str">
        <f>VLOOKUP([jobnumber],OvalData[],MATCH(Table2[[#Headers],[Outer Spring Stretch]],Table2[#Headers],0),0)</f>
        <v>Null</v>
      </c>
      <c r="BA551" s="2" t="str">
        <f>VLOOKUP([jobnumber],OvalData[],MATCH(Table2[[#Headers],[Outer Spring Torque]],Table2[#Headers],0),0)</f>
        <v>Null</v>
      </c>
      <c r="BB551" s="2" t="str">
        <f>VLOOKUP([jobnumber],OvalData[],MATCH(Table2[[#Headers],[Outer Spring Max Turns]],Table2[#Headers],0),0)</f>
        <v>Null</v>
      </c>
      <c r="BC551" s="2" t="str">
        <f>VLOOKUP([jobnumber],OvalData[],MATCH(Table2[[#Headers],[Outer Spring Weight]],Table2[#Headers],0),0)</f>
        <v>Null</v>
      </c>
      <c r="BD551" s="2" t="str">
        <f>VLOOKUP([jobnumber],OvalData[],MATCH(Table2[[#Headers],[Inner Spring Gage]],Table2[#Headers],0),0)</f>
        <v>Null</v>
      </c>
      <c r="BE551" s="2" t="str">
        <f>VLOOKUP([jobnumber],OvalData[],MATCH(Table2[[#Headers],[Inner Spring OD]],Table2[#Headers],0),0)</f>
        <v>Null</v>
      </c>
      <c r="BF551" s="2" t="str">
        <f>VLOOKUP([jobnumber],OvalData[],MATCH(Table2[[#Headers],[Inner Spring Length]],Table2[#Headers],0),0)</f>
        <v>Null</v>
      </c>
      <c r="BG551" s="2" t="str">
        <f>VLOOKUP([jobnumber],OvalData[],MATCH(Table2[[#Headers],[Inner Spring Stretch]],Table2[#Headers],0),0)</f>
        <v>Null</v>
      </c>
      <c r="BH551" s="2" t="str">
        <f>VLOOKUP([jobnumber],OvalData[],MATCH(Table2[[#Headers],[Inner Spring Torque]],Table2[#Headers],0),0)</f>
        <v>Null</v>
      </c>
      <c r="BI551" s="2" t="str">
        <f>VLOOKUP([jobnumber],OvalData[],MATCH(Table2[[#Headers],[Inner Spring Max Turns]],Table2[#Headers],0),0)</f>
        <v>Null</v>
      </c>
      <c r="BJ551" s="2" t="str">
        <f>VLOOKUP([jobnumber],OvalData[],MATCH(Table2[[#Headers],[Inner Spring Weight]],Table2[#Headers],0),0)</f>
        <v>Null</v>
      </c>
      <c r="BK551" s="2">
        <f>VLOOKUP([jobnumber],OvalData[],MATCH(Table2[[#Headers],[Cycles]],Table2[#Headers],0),0)</f>
        <v>0</v>
      </c>
      <c r="BL551" s="2">
        <f>VLOOKUP([jobnumber],OvalData[],MATCH(Table2[[#Headers],[Total Spring Torque]],Table2[#Headers],0),0)</f>
        <v>0</v>
      </c>
      <c r="BM551" s="2">
        <f>VLOOKUP([jobnumber],OvalData[],MATCH(Table2[[#Headers],[Total Spring Weight]],Table2[#Headers],0),0)</f>
        <v>0</v>
      </c>
      <c r="BN551" s="2">
        <f>VLOOKUP([jobnumber],OvalData[],MATCH(Table2[[#Headers],[Pipe Weight]],Table2[#Headers],0),0)</f>
        <v>688.24239999999998</v>
      </c>
      <c r="BO551" s="2">
        <f>VLOOKUP([jobnumber],OvalData[],MATCH(Table2[[#Headers],[Max Pipe Deflection]],Table2[#Headers],0),0)</f>
        <v>2309</v>
      </c>
      <c r="BP551" s="2">
        <f>VLOOKUP([jobnumber],OvalData[],MATCH(Table2[[#Headers],[Number Non-Insulated Wrap Slats]],Table2[#Headers],0),0)</f>
        <v>0</v>
      </c>
      <c r="BQ551" s="2">
        <f>VLOOKUP([jobnumber],OvalData[],MATCH(Table2[[#Headers],[Number of Insolated Top Slats]],Table2[#Headers],0),0)</f>
        <v>45</v>
      </c>
      <c r="BR551" s="2">
        <f>VLOOKUP([jobnumber],OvalData[],MATCH(Table2[[#Headers],[Insolated Total Slats]],Table2[#Headers],0),0)</f>
        <v>45</v>
      </c>
      <c r="BS551" s="2">
        <f>VLOOKUP([jobnumber],OvalData[],MATCH(Table2[[#Headers],[Number of Slats]],Table2[#Headers],0),0)</f>
        <v>44.69</v>
      </c>
      <c r="BT551" s="2">
        <f>VLOOKUP([jobnumber],OvalData[],MATCH(Table2[[#Headers],[Wrap]],Table2[#Headers],0),0)</f>
        <v>0</v>
      </c>
      <c r="BU551" s="2">
        <f>VLOOKUP([jobnumber],OvalData[],MATCH(Table2[[#Headers],[Wall Angle Thickness]],Table2[#Headers],0),0)</f>
        <v>0</v>
      </c>
      <c r="BV551" s="2">
        <f>VLOOKUP([jobnumber],OvalData[],MATCH(Table2[[#Headers],[windlocks]],Table2[#Headers],0),0)</f>
        <v>0</v>
      </c>
      <c r="BW551" s="2" t="str">
        <f>VLOOKUP([jobnumber],OvalData[],MATCH(Table2[[#Headers],[bottombartype]],Table2[#Headers],0),0)</f>
        <v>SPECIAL</v>
      </c>
      <c r="BX551" s="2">
        <f>VLOOKUP([jobnumber],OvalData[],MATCH(Table2[[#Headers],[endlockweight]],Table2[#Headers],0),0)</f>
        <v>0.17</v>
      </c>
      <c r="BY551" s="2">
        <f>VLOOKUP([jobnumber],OvalData[],MATCH(Table2[[#Headers],[Endlock Total Weight]],Table2[#Headers],0),0)</f>
        <v>7.5972999999999997</v>
      </c>
      <c r="BZ551" s="2">
        <f>VLOOKUP([jobnumber],OvalData[],MATCH(Table2[[#Headers],[Grille Weight]],Table2[#Headers],0),0)</f>
        <v>0</v>
      </c>
      <c r="CA551" s="2">
        <f>VLOOKUP([jobnumber],OvalData[],MATCH(Table2[[#Headers],[barrelrings]],Table2[#Headers],0),0)</f>
        <v>1</v>
      </c>
    </row>
    <row r="552" spans="2:79">
      <c r="B552" s="2" t="str">
        <f>VLOOKUP([jobnumber],OvalData[],MATCH(Table2[[#Headers],[Hand]],Table2[#Headers],0),0)</f>
        <v>RH</v>
      </c>
      <c r="C552" s="2" t="str">
        <f>VLOOKUP([jobnumber],OvalData[],MATCH(Table2[[#Headers],[Model]],Table2[#Headers],0),0)</f>
        <v>SFMPP</v>
      </c>
      <c r="D552" s="2" t="str">
        <f>VLOOKUP([jobnumber],OvalData[],MATCH(Table2[[#Headers],[width]],Table2[#Headers],0),0)</f>
        <v xml:space="preserve"> 18 ft.- 2"</v>
      </c>
      <c r="E552" s="2" t="str">
        <f>VLOOKUP([jobnumber],OvalData[],MATCH(Table2[[#Headers],[stopheight]],Table2[#Headers],0),0)</f>
        <v xml:space="preserve"> 10 ft.- 0"</v>
      </c>
      <c r="F552" s="2" t="str">
        <f>VLOOKUP([jobnumber],OvalData[],MATCH(Table2[[#Headers],[Between Brackets]],Table2[#Headers],0),0)</f>
        <v xml:space="preserve"> 18 ft.- 7 7/ 8"</v>
      </c>
      <c r="G552" s="2" t="str">
        <f>VLOOKUP([jobnumber],OvalData[],MATCH(Table2[[#Headers],[shell]],Table2[#Headers],0),0)</f>
        <v>6 INCH TUBE</v>
      </c>
      <c r="H552" s="2" t="str">
        <f>VLOOKUP([jobnumber],OvalData[],MATCH(Table2[[#Headers],[pipewidth]],Table2[#Headers],0),0)</f>
        <v xml:space="preserve"> 18 ft.- 1 3/ 8"</v>
      </c>
      <c r="I552" s="2">
        <f>VLOOKUP([jobnumber],OvalData[],MATCH(Table2[[#Headers],[Support Tubes]],Table2[#Headers],0),0)</f>
        <v>0</v>
      </c>
      <c r="J552" s="2">
        <f>VLOOKUP([jobnumber],OvalData[],MATCH(Table2[[#Headers],[Upset]],Table2[#Headers],0),0)</f>
        <v>2</v>
      </c>
      <c r="K552" s="2" t="str">
        <f>VLOOKUP([jobnumber],OvalData[],MATCH(Table2[[#Headers],[Guide Type]],Table2[#Headers],0),0)</f>
        <v>SN2-4 5/8-E</v>
      </c>
      <c r="L552" s="2" t="str">
        <f>VLOOKUP([jobnumber],OvalData[],MATCH(Table2[[#Headers],[Wall Angle]],Table2[#Headers],0),0)</f>
        <v xml:space="preserve"> 11 ft.- 8"</v>
      </c>
      <c r="M552" s="2" t="str">
        <f>VLOOKUP([jobnumber],OvalData[],MATCH(Table2[[#Headers],[Middle Angle]],Table2[#Headers],0),0)</f>
        <v xml:space="preserve"> 10 ft.- 4 1/ 2"</v>
      </c>
      <c r="N552" s="2" t="str">
        <f>VLOOKUP([jobnumber],OvalData[],MATCH(Table2[[#Headers],[Front Angle]],Table2[#Headers],0),0)</f>
        <v xml:space="preserve"> 10 ft.- 3"</v>
      </c>
      <c r="O552" s="2">
        <f>VLOOKUP([jobnumber],OvalData[],MATCH(Table2[[#Headers],[Pipe Center Line]],Table2[#Headers],0),0)</f>
        <v>131</v>
      </c>
      <c r="P552" s="2">
        <f>VLOOKUP([jobnumber],OvalData[],MATCH(Table2[[#Headers],[Heat Expansion Gap]],Table2[#Headers],0),0)</f>
        <v>0</v>
      </c>
      <c r="Q552" s="2">
        <f>VLOOKUP([jobnumber],OvalData[],MATCH(Table2[[#Headers],[Hanging Weight Closed]],Table2[#Headers],0),0)</f>
        <v>795</v>
      </c>
      <c r="R552" s="2">
        <f>VLOOKUP([jobnumber],OvalData[],MATCH(Table2[[#Headers],[Hanging Weight Open]],Table2[#Headers],0),0)</f>
        <v>140</v>
      </c>
      <c r="S552" s="2">
        <f>VLOOKUP([jobnumber],OvalData[],MATCH(Table2[[#Headers],[Initial Lever Arm]],Table2[#Headers],0),0)</f>
        <v>4.25</v>
      </c>
      <c r="T552" s="2">
        <f>VLOOKUP([jobnumber],OvalData[],MATCH(Table2[[#Headers],[Turns to Raise]],Table2[#Headers],0),0)</f>
        <v>3.5859999999999999</v>
      </c>
      <c r="U552" s="2">
        <f>VLOOKUP([jobnumber],OvalData[],MATCH(Table2[[#Headers],[Final Lever Arm]],Table2[#Headers],0),0)</f>
        <v>6.37</v>
      </c>
      <c r="V552" s="2">
        <f>VLOOKUP([jobnumber],OvalData[],MATCH(Table2[[#Headers],[Torque Required Closed]],Table2[#Headers],0),0)</f>
        <v>3377.9</v>
      </c>
      <c r="W552" s="2">
        <f>VLOOKUP([jobnumber],OvalData[],MATCH(Table2[[#Headers],[Torque Required Open]],Table2[#Headers],0),0)</f>
        <v>892</v>
      </c>
      <c r="X552" s="2">
        <f>VLOOKUP([jobnumber],OvalData[],MATCH(Table2[[#Headers],[Pre Turns]],Table2[#Headers],0),0)</f>
        <v>1.3332999999999999</v>
      </c>
      <c r="Y552" s="2">
        <f>VLOOKUP([jobnumber],OvalData[],MATCH(Table2[[#Headers],[Required Torque Per Turn]],Table2[#Headers],0),0)</f>
        <v>688</v>
      </c>
      <c r="Z552" s="2">
        <f>VLOOKUP([jobnumber],OvalData[],MATCH(Table2[[#Headers],[Total Turns]],Table2[#Headers],0),0)</f>
        <v>4.91</v>
      </c>
      <c r="AA552" s="2">
        <f>VLOOKUP([jobnumber],OvalData[],MATCH(Table2[[#Headers],[Grille Vision Section]],Table2[#Headers],0),0)</f>
        <v>0</v>
      </c>
      <c r="AB552" s="2">
        <f>VLOOKUP([jobnumber],OvalData[],MATCH(Table2[[#Headers],[Grille Amount]],Table2[#Headers],0),0)</f>
        <v>0</v>
      </c>
      <c r="AC552" s="2">
        <f>VLOOKUP([jobnumber],OvalData[],MATCH(Table2[[#Headers],[Grille Center]],Table2[#Headers],0),0)</f>
        <v>0</v>
      </c>
      <c r="AD552" s="2">
        <f>VLOOKUP([jobnumber],OvalData[],MATCH(Table2[[#Headers],[Grille Pattern]],Table2[#Headers],0),0)</f>
        <v>0</v>
      </c>
      <c r="AE552" s="2">
        <f>VLOOKUP([jobnumber],OvalData[],MATCH(Table2[[#Headers],[Grille First Tube]],Table2[#Headers],0),0)</f>
        <v>0</v>
      </c>
      <c r="AF552" s="2">
        <f>VLOOKUP([jobnumber],OvalData[],MATCH(Table2[[#Headers],[Grille Standard Tube]],Table2[#Headers],0),0)</f>
        <v>0</v>
      </c>
      <c r="AG552" s="2">
        <f>VLOOKUP([jobnumber],OvalData[],MATCH(Table2[[#Headers],[Grille Total Links]],Table2[#Headers],0),0)</f>
        <v>0</v>
      </c>
      <c r="AH552" s="2">
        <f>VLOOKUP([jobnumber],OvalData[],MATCH(Table2[[#Headers],[Grille Rods]],Table2[#Headers],0),0)</f>
        <v>0</v>
      </c>
      <c r="AI552" s="2">
        <f>VLOOKUP([jobnumber],OvalData[],MATCH(Table2[[#Headers],[Grille Rod Length]],Table2[#Headers],0),0)</f>
        <v>0</v>
      </c>
      <c r="AJ552" s="2">
        <f>VLOOKUP([jobnumber],OvalData[],MATCH(Table2[[#Headers],[slattype]],Table2[#Headers],0),0)</f>
        <v>2</v>
      </c>
      <c r="AK552" s="2">
        <f>VLOOKUP([jobnumber],OvalData[],MATCH(Table2[[#Headers],[slatgage]],Table2[#Headers],0),0)</f>
        <v>18</v>
      </c>
      <c r="AL552" s="2">
        <f>VLOOKUP([jobnumber],OvalData[],MATCH(Table2[[#Headers],[Numer of Top Slats]],Table2[#Headers],0),0)</f>
        <v>0</v>
      </c>
      <c r="AM552" s="2">
        <f>VLOOKUP([jobnumber],OvalData[],MATCH(Table2[[#Headers],[Number of Bottom Slats]],Table2[#Headers],0),0)</f>
        <v>0</v>
      </c>
      <c r="AN552" s="2">
        <f>VLOOKUP([jobnumber],OvalData[],MATCH(Table2[[#Headers],[Solid Bottom Height]],Table2[#Headers],0),0)</f>
        <v>0</v>
      </c>
      <c r="AO552" s="2" t="str">
        <f>VLOOKUP([jobnumber],OvalData[],MATCH(Table2[[#Headers],[slatlength]],Table2[#Headers],0),0)</f>
        <v xml:space="preserve"> 18 ft.- 5 7/ 8"</v>
      </c>
      <c r="AP552" s="2">
        <f>VLOOKUP([jobnumber],OvalData[],MATCH(Table2[[#Headers],[Bottom Slat Length]],Table2[#Headers],0),0)</f>
        <v>0</v>
      </c>
      <c r="AQ552" s="2">
        <f>VLOOKUP([jobnumber],OvalData[],MATCH(Table2[[#Headers],[Number of Perferated Slats]],Table2[#Headers],0),0)</f>
        <v>0</v>
      </c>
      <c r="AR552" s="2">
        <f>VLOOKUP([jobnumber],OvalData[],MATCH(Table2[[#Headers],[First Preferated Slat From End]],Table2[#Headers],0),0)</f>
        <v>0</v>
      </c>
      <c r="AS552" s="2">
        <f>VLOOKUP([jobnumber],OvalData[],MATCH(Table2[[#Headers],[First Preferated Slat From Bottom]],Table2[#Headers],0),0)</f>
        <v>0</v>
      </c>
      <c r="AT552" s="2">
        <f>VLOOKUP([jobnumber],OvalData[],MATCH(Table2[[#Headers],[Total Number of Slats]],Table2[#Headers],0),0)</f>
        <v>51</v>
      </c>
      <c r="AU552" s="2">
        <f>VLOOKUP([jobnumber],OvalData[],MATCH(Table2[[#Headers],[Bottom Bar Slope]],Table2[#Headers],0),0)</f>
        <v>0</v>
      </c>
      <c r="AV552" s="2">
        <f>VLOOKUP([jobnumber],OvalData[],MATCH(Table2[[#Headers],[Bottom Bar Weight]],Table2[#Headers],0),0)</f>
        <v>80.5</v>
      </c>
      <c r="AW552" s="2" t="str">
        <f>VLOOKUP([jobnumber],OvalData[],MATCH(Table2[[#Headers],[Outer Spring Gage]],Table2[#Headers],0),0)</f>
        <v>Null</v>
      </c>
      <c r="AX552" s="2" t="str">
        <f>VLOOKUP([jobnumber],OvalData[],MATCH(Table2[[#Headers],[Outer Spring OD]],Table2[#Headers],0),0)</f>
        <v>Null</v>
      </c>
      <c r="AY552" s="2" t="str">
        <f>VLOOKUP([jobnumber],OvalData[],MATCH(Table2[[#Headers],[Outer Spring Length]],Table2[#Headers],0),0)</f>
        <v>Null</v>
      </c>
      <c r="AZ552" s="2" t="str">
        <f>VLOOKUP([jobnumber],OvalData[],MATCH(Table2[[#Headers],[Outer Spring Stretch]],Table2[#Headers],0),0)</f>
        <v>Null</v>
      </c>
      <c r="BA552" s="2" t="str">
        <f>VLOOKUP([jobnumber],OvalData[],MATCH(Table2[[#Headers],[Outer Spring Torque]],Table2[#Headers],0),0)</f>
        <v>Null</v>
      </c>
      <c r="BB552" s="2" t="str">
        <f>VLOOKUP([jobnumber],OvalData[],MATCH(Table2[[#Headers],[Outer Spring Max Turns]],Table2[#Headers],0),0)</f>
        <v>Null</v>
      </c>
      <c r="BC552" s="2" t="str">
        <f>VLOOKUP([jobnumber],OvalData[],MATCH(Table2[[#Headers],[Outer Spring Weight]],Table2[#Headers],0),0)</f>
        <v>Null</v>
      </c>
      <c r="BD552" s="2" t="str">
        <f>VLOOKUP([jobnumber],OvalData[],MATCH(Table2[[#Headers],[Inner Spring Gage]],Table2[#Headers],0),0)</f>
        <v>Null</v>
      </c>
      <c r="BE552" s="2" t="str">
        <f>VLOOKUP([jobnumber],OvalData[],MATCH(Table2[[#Headers],[Inner Spring OD]],Table2[#Headers],0),0)</f>
        <v>Null</v>
      </c>
      <c r="BF552" s="2" t="str">
        <f>VLOOKUP([jobnumber],OvalData[],MATCH(Table2[[#Headers],[Inner Spring Length]],Table2[#Headers],0),0)</f>
        <v>Null</v>
      </c>
      <c r="BG552" s="2" t="str">
        <f>VLOOKUP([jobnumber],OvalData[],MATCH(Table2[[#Headers],[Inner Spring Stretch]],Table2[#Headers],0),0)</f>
        <v>Null</v>
      </c>
      <c r="BH552" s="2" t="str">
        <f>VLOOKUP([jobnumber],OvalData[],MATCH(Table2[[#Headers],[Inner Spring Torque]],Table2[#Headers],0),0)</f>
        <v>Null</v>
      </c>
      <c r="BI552" s="2" t="str">
        <f>VLOOKUP([jobnumber],OvalData[],MATCH(Table2[[#Headers],[Inner Spring Max Turns]],Table2[#Headers],0),0)</f>
        <v>Null</v>
      </c>
      <c r="BJ552" s="2" t="str">
        <f>VLOOKUP([jobnumber],OvalData[],MATCH(Table2[[#Headers],[Inner Spring Weight]],Table2[#Headers],0),0)</f>
        <v>Null</v>
      </c>
      <c r="BK552" s="2">
        <f>VLOOKUP([jobnumber],OvalData[],MATCH(Table2[[#Headers],[Cycles]],Table2[#Headers],0),0)</f>
        <v>0</v>
      </c>
      <c r="BL552" s="2">
        <f>VLOOKUP([jobnumber],OvalData[],MATCH(Table2[[#Headers],[Total Spring Torque]],Table2[#Headers],0),0)</f>
        <v>0</v>
      </c>
      <c r="BM552" s="2">
        <f>VLOOKUP([jobnumber],OvalData[],MATCH(Table2[[#Headers],[Total Spring Weight]],Table2[#Headers],0),0)</f>
        <v>0</v>
      </c>
      <c r="BN552" s="2">
        <f>VLOOKUP([jobnumber],OvalData[],MATCH(Table2[[#Headers],[Pipe Weight]],Table2[#Headers],0),0)</f>
        <v>688.24239999999998</v>
      </c>
      <c r="BO552" s="2">
        <f>VLOOKUP([jobnumber],OvalData[],MATCH(Table2[[#Headers],[Max Pipe Deflection]],Table2[#Headers],0),0)</f>
        <v>2309</v>
      </c>
      <c r="BP552" s="2">
        <f>VLOOKUP([jobnumber],OvalData[],MATCH(Table2[[#Headers],[Number Non-Insulated Wrap Slats]],Table2[#Headers],0),0)</f>
        <v>0</v>
      </c>
      <c r="BQ552" s="2">
        <f>VLOOKUP([jobnumber],OvalData[],MATCH(Table2[[#Headers],[Number of Insolated Top Slats]],Table2[#Headers],0),0)</f>
        <v>45</v>
      </c>
      <c r="BR552" s="2">
        <f>VLOOKUP([jobnumber],OvalData[],MATCH(Table2[[#Headers],[Insolated Total Slats]],Table2[#Headers],0),0)</f>
        <v>45</v>
      </c>
      <c r="BS552" s="2">
        <f>VLOOKUP([jobnumber],OvalData[],MATCH(Table2[[#Headers],[Number of Slats]],Table2[#Headers],0),0)</f>
        <v>44.69</v>
      </c>
      <c r="BT552" s="2">
        <f>VLOOKUP([jobnumber],OvalData[],MATCH(Table2[[#Headers],[Wrap]],Table2[#Headers],0),0)</f>
        <v>0</v>
      </c>
      <c r="BU552" s="2">
        <f>VLOOKUP([jobnumber],OvalData[],MATCH(Table2[[#Headers],[Wall Angle Thickness]],Table2[#Headers],0),0)</f>
        <v>0</v>
      </c>
      <c r="BV552" s="2">
        <f>VLOOKUP([jobnumber],OvalData[],MATCH(Table2[[#Headers],[windlocks]],Table2[#Headers],0),0)</f>
        <v>0</v>
      </c>
      <c r="BW552" s="2" t="str">
        <f>VLOOKUP([jobnumber],OvalData[],MATCH(Table2[[#Headers],[bottombartype]],Table2[#Headers],0),0)</f>
        <v>SPECIAL</v>
      </c>
      <c r="BX552" s="2">
        <f>VLOOKUP([jobnumber],OvalData[],MATCH(Table2[[#Headers],[endlockweight]],Table2[#Headers],0),0)</f>
        <v>0.17</v>
      </c>
      <c r="BY552" s="2">
        <f>VLOOKUP([jobnumber],OvalData[],MATCH(Table2[[#Headers],[Endlock Total Weight]],Table2[#Headers],0),0)</f>
        <v>7.5972999999999997</v>
      </c>
      <c r="BZ552" s="2">
        <f>VLOOKUP([jobnumber],OvalData[],MATCH(Table2[[#Headers],[Grille Weight]],Table2[#Headers],0),0)</f>
        <v>0</v>
      </c>
      <c r="CA552" s="2">
        <f>VLOOKUP([jobnumber],OvalData[],MATCH(Table2[[#Headers],[barrelrings]],Table2[#Headers],0),0)</f>
        <v>1</v>
      </c>
    </row>
    <row r="553" spans="2:79">
      <c r="B553" s="2" t="str">
        <f>VLOOKUP([jobnumber],OvalData[],MATCH(Table2[[#Headers],[Hand]],Table2[#Headers],0),0)</f>
        <v>RH</v>
      </c>
      <c r="C553" s="2" t="str">
        <f>VLOOKUP([jobnumber],OvalData[],MATCH(Table2[[#Headers],[Model]],Table2[#Headers],0),0)</f>
        <v>SFMPP</v>
      </c>
      <c r="D553" s="2" t="str">
        <f>VLOOKUP([jobnumber],OvalData[],MATCH(Table2[[#Headers],[width]],Table2[#Headers],0),0)</f>
        <v xml:space="preserve"> 18 ft.- 2"</v>
      </c>
      <c r="E553" s="2" t="str">
        <f>VLOOKUP([jobnumber],OvalData[],MATCH(Table2[[#Headers],[stopheight]],Table2[#Headers],0),0)</f>
        <v xml:space="preserve"> 10 ft.- 0"</v>
      </c>
      <c r="F553" s="2" t="str">
        <f>VLOOKUP([jobnumber],OvalData[],MATCH(Table2[[#Headers],[Between Brackets]],Table2[#Headers],0),0)</f>
        <v xml:space="preserve"> 18 ft.- 7 7/ 8"</v>
      </c>
      <c r="G553" s="2" t="str">
        <f>VLOOKUP([jobnumber],OvalData[],MATCH(Table2[[#Headers],[shell]],Table2[#Headers],0),0)</f>
        <v>6 INCH TUBE</v>
      </c>
      <c r="H553" s="2" t="str">
        <f>VLOOKUP([jobnumber],OvalData[],MATCH(Table2[[#Headers],[pipewidth]],Table2[#Headers],0),0)</f>
        <v xml:space="preserve"> 18 ft.- 1 3/ 8"</v>
      </c>
      <c r="I553" s="2">
        <f>VLOOKUP([jobnumber],OvalData[],MATCH(Table2[[#Headers],[Support Tubes]],Table2[#Headers],0),0)</f>
        <v>0</v>
      </c>
      <c r="J553" s="2">
        <f>VLOOKUP([jobnumber],OvalData[],MATCH(Table2[[#Headers],[Upset]],Table2[#Headers],0),0)</f>
        <v>2</v>
      </c>
      <c r="K553" s="2" t="str">
        <f>VLOOKUP([jobnumber],OvalData[],MATCH(Table2[[#Headers],[Guide Type]],Table2[#Headers],0),0)</f>
        <v>SN2-4 5/8-E</v>
      </c>
      <c r="L553" s="2" t="str">
        <f>VLOOKUP([jobnumber],OvalData[],MATCH(Table2[[#Headers],[Wall Angle]],Table2[#Headers],0),0)</f>
        <v xml:space="preserve"> 11 ft.- 8"</v>
      </c>
      <c r="M553" s="2" t="str">
        <f>VLOOKUP([jobnumber],OvalData[],MATCH(Table2[[#Headers],[Middle Angle]],Table2[#Headers],0),0)</f>
        <v xml:space="preserve"> 10 ft.- 4 1/ 2"</v>
      </c>
      <c r="N553" s="2" t="str">
        <f>VLOOKUP([jobnumber],OvalData[],MATCH(Table2[[#Headers],[Front Angle]],Table2[#Headers],0),0)</f>
        <v xml:space="preserve"> 10 ft.- 3"</v>
      </c>
      <c r="O553" s="2">
        <f>VLOOKUP([jobnumber],OvalData[],MATCH(Table2[[#Headers],[Pipe Center Line]],Table2[#Headers],0),0)</f>
        <v>131</v>
      </c>
      <c r="P553" s="2">
        <f>VLOOKUP([jobnumber],OvalData[],MATCH(Table2[[#Headers],[Heat Expansion Gap]],Table2[#Headers],0),0)</f>
        <v>0</v>
      </c>
      <c r="Q553" s="2">
        <f>VLOOKUP([jobnumber],OvalData[],MATCH(Table2[[#Headers],[Hanging Weight Closed]],Table2[#Headers],0),0)</f>
        <v>795</v>
      </c>
      <c r="R553" s="2">
        <f>VLOOKUP([jobnumber],OvalData[],MATCH(Table2[[#Headers],[Hanging Weight Open]],Table2[#Headers],0),0)</f>
        <v>140</v>
      </c>
      <c r="S553" s="2">
        <f>VLOOKUP([jobnumber],OvalData[],MATCH(Table2[[#Headers],[Initial Lever Arm]],Table2[#Headers],0),0)</f>
        <v>4.25</v>
      </c>
      <c r="T553" s="2">
        <f>VLOOKUP([jobnumber],OvalData[],MATCH(Table2[[#Headers],[Turns to Raise]],Table2[#Headers],0),0)</f>
        <v>3.5859999999999999</v>
      </c>
      <c r="U553" s="2">
        <f>VLOOKUP([jobnumber],OvalData[],MATCH(Table2[[#Headers],[Final Lever Arm]],Table2[#Headers],0),0)</f>
        <v>6.37</v>
      </c>
      <c r="V553" s="2">
        <f>VLOOKUP([jobnumber],OvalData[],MATCH(Table2[[#Headers],[Torque Required Closed]],Table2[#Headers],0),0)</f>
        <v>3377.9</v>
      </c>
      <c r="W553" s="2">
        <f>VLOOKUP([jobnumber],OvalData[],MATCH(Table2[[#Headers],[Torque Required Open]],Table2[#Headers],0),0)</f>
        <v>892</v>
      </c>
      <c r="X553" s="2">
        <f>VLOOKUP([jobnumber],OvalData[],MATCH(Table2[[#Headers],[Pre Turns]],Table2[#Headers],0),0)</f>
        <v>1.3332999999999999</v>
      </c>
      <c r="Y553" s="2">
        <f>VLOOKUP([jobnumber],OvalData[],MATCH(Table2[[#Headers],[Required Torque Per Turn]],Table2[#Headers],0),0)</f>
        <v>688</v>
      </c>
      <c r="Z553" s="2">
        <f>VLOOKUP([jobnumber],OvalData[],MATCH(Table2[[#Headers],[Total Turns]],Table2[#Headers],0),0)</f>
        <v>4.91</v>
      </c>
      <c r="AA553" s="2">
        <f>VLOOKUP([jobnumber],OvalData[],MATCH(Table2[[#Headers],[Grille Vision Section]],Table2[#Headers],0),0)</f>
        <v>0</v>
      </c>
      <c r="AB553" s="2">
        <f>VLOOKUP([jobnumber],OvalData[],MATCH(Table2[[#Headers],[Grille Amount]],Table2[#Headers],0),0)</f>
        <v>0</v>
      </c>
      <c r="AC553" s="2">
        <f>VLOOKUP([jobnumber],OvalData[],MATCH(Table2[[#Headers],[Grille Center]],Table2[#Headers],0),0)</f>
        <v>0</v>
      </c>
      <c r="AD553" s="2">
        <f>VLOOKUP([jobnumber],OvalData[],MATCH(Table2[[#Headers],[Grille Pattern]],Table2[#Headers],0),0)</f>
        <v>0</v>
      </c>
      <c r="AE553" s="2">
        <f>VLOOKUP([jobnumber],OvalData[],MATCH(Table2[[#Headers],[Grille First Tube]],Table2[#Headers],0),0)</f>
        <v>0</v>
      </c>
      <c r="AF553" s="2">
        <f>VLOOKUP([jobnumber],OvalData[],MATCH(Table2[[#Headers],[Grille Standard Tube]],Table2[#Headers],0),0)</f>
        <v>0</v>
      </c>
      <c r="AG553" s="2">
        <f>VLOOKUP([jobnumber],OvalData[],MATCH(Table2[[#Headers],[Grille Total Links]],Table2[#Headers],0),0)</f>
        <v>0</v>
      </c>
      <c r="AH553" s="2">
        <f>VLOOKUP([jobnumber],OvalData[],MATCH(Table2[[#Headers],[Grille Rods]],Table2[#Headers],0),0)</f>
        <v>0</v>
      </c>
      <c r="AI553" s="2">
        <f>VLOOKUP([jobnumber],OvalData[],MATCH(Table2[[#Headers],[Grille Rod Length]],Table2[#Headers],0),0)</f>
        <v>0</v>
      </c>
      <c r="AJ553" s="2">
        <f>VLOOKUP([jobnumber],OvalData[],MATCH(Table2[[#Headers],[slattype]],Table2[#Headers],0),0)</f>
        <v>2</v>
      </c>
      <c r="AK553" s="2">
        <f>VLOOKUP([jobnumber],OvalData[],MATCH(Table2[[#Headers],[slatgage]],Table2[#Headers],0),0)</f>
        <v>18</v>
      </c>
      <c r="AL553" s="2">
        <f>VLOOKUP([jobnumber],OvalData[],MATCH(Table2[[#Headers],[Numer of Top Slats]],Table2[#Headers],0),0)</f>
        <v>0</v>
      </c>
      <c r="AM553" s="2">
        <f>VLOOKUP([jobnumber],OvalData[],MATCH(Table2[[#Headers],[Number of Bottom Slats]],Table2[#Headers],0),0)</f>
        <v>0</v>
      </c>
      <c r="AN553" s="2">
        <f>VLOOKUP([jobnumber],OvalData[],MATCH(Table2[[#Headers],[Solid Bottom Height]],Table2[#Headers],0),0)</f>
        <v>0</v>
      </c>
      <c r="AO553" s="2" t="str">
        <f>VLOOKUP([jobnumber],OvalData[],MATCH(Table2[[#Headers],[slatlength]],Table2[#Headers],0),0)</f>
        <v xml:space="preserve"> 18 ft.- 5 7/ 8"</v>
      </c>
      <c r="AP553" s="2">
        <f>VLOOKUP([jobnumber],OvalData[],MATCH(Table2[[#Headers],[Bottom Slat Length]],Table2[#Headers],0),0)</f>
        <v>0</v>
      </c>
      <c r="AQ553" s="2">
        <f>VLOOKUP([jobnumber],OvalData[],MATCH(Table2[[#Headers],[Number of Perferated Slats]],Table2[#Headers],0),0)</f>
        <v>0</v>
      </c>
      <c r="AR553" s="2">
        <f>VLOOKUP([jobnumber],OvalData[],MATCH(Table2[[#Headers],[First Preferated Slat From End]],Table2[#Headers],0),0)</f>
        <v>0</v>
      </c>
      <c r="AS553" s="2">
        <f>VLOOKUP([jobnumber],OvalData[],MATCH(Table2[[#Headers],[First Preferated Slat From Bottom]],Table2[#Headers],0),0)</f>
        <v>0</v>
      </c>
      <c r="AT553" s="2">
        <f>VLOOKUP([jobnumber],OvalData[],MATCH(Table2[[#Headers],[Total Number of Slats]],Table2[#Headers],0),0)</f>
        <v>51</v>
      </c>
      <c r="AU553" s="2">
        <f>VLOOKUP([jobnumber],OvalData[],MATCH(Table2[[#Headers],[Bottom Bar Slope]],Table2[#Headers],0),0)</f>
        <v>0</v>
      </c>
      <c r="AV553" s="2">
        <f>VLOOKUP([jobnumber],OvalData[],MATCH(Table2[[#Headers],[Bottom Bar Weight]],Table2[#Headers],0),0)</f>
        <v>80.5</v>
      </c>
      <c r="AW553" s="2" t="str">
        <f>VLOOKUP([jobnumber],OvalData[],MATCH(Table2[[#Headers],[Outer Spring Gage]],Table2[#Headers],0),0)</f>
        <v>Null</v>
      </c>
      <c r="AX553" s="2" t="str">
        <f>VLOOKUP([jobnumber],OvalData[],MATCH(Table2[[#Headers],[Outer Spring OD]],Table2[#Headers],0),0)</f>
        <v>Null</v>
      </c>
      <c r="AY553" s="2" t="str">
        <f>VLOOKUP([jobnumber],OvalData[],MATCH(Table2[[#Headers],[Outer Spring Length]],Table2[#Headers],0),0)</f>
        <v>Null</v>
      </c>
      <c r="AZ553" s="2" t="str">
        <f>VLOOKUP([jobnumber],OvalData[],MATCH(Table2[[#Headers],[Outer Spring Stretch]],Table2[#Headers],0),0)</f>
        <v>Null</v>
      </c>
      <c r="BA553" s="2" t="str">
        <f>VLOOKUP([jobnumber],OvalData[],MATCH(Table2[[#Headers],[Outer Spring Torque]],Table2[#Headers],0),0)</f>
        <v>Null</v>
      </c>
      <c r="BB553" s="2" t="str">
        <f>VLOOKUP([jobnumber],OvalData[],MATCH(Table2[[#Headers],[Outer Spring Max Turns]],Table2[#Headers],0),0)</f>
        <v>Null</v>
      </c>
      <c r="BC553" s="2" t="str">
        <f>VLOOKUP([jobnumber],OvalData[],MATCH(Table2[[#Headers],[Outer Spring Weight]],Table2[#Headers],0),0)</f>
        <v>Null</v>
      </c>
      <c r="BD553" s="2" t="str">
        <f>VLOOKUP([jobnumber],OvalData[],MATCH(Table2[[#Headers],[Inner Spring Gage]],Table2[#Headers],0),0)</f>
        <v>Null</v>
      </c>
      <c r="BE553" s="2" t="str">
        <f>VLOOKUP([jobnumber],OvalData[],MATCH(Table2[[#Headers],[Inner Spring OD]],Table2[#Headers],0),0)</f>
        <v>Null</v>
      </c>
      <c r="BF553" s="2" t="str">
        <f>VLOOKUP([jobnumber],OvalData[],MATCH(Table2[[#Headers],[Inner Spring Length]],Table2[#Headers],0),0)</f>
        <v>Null</v>
      </c>
      <c r="BG553" s="2" t="str">
        <f>VLOOKUP([jobnumber],OvalData[],MATCH(Table2[[#Headers],[Inner Spring Stretch]],Table2[#Headers],0),0)</f>
        <v>Null</v>
      </c>
      <c r="BH553" s="2" t="str">
        <f>VLOOKUP([jobnumber],OvalData[],MATCH(Table2[[#Headers],[Inner Spring Torque]],Table2[#Headers],0),0)</f>
        <v>Null</v>
      </c>
      <c r="BI553" s="2" t="str">
        <f>VLOOKUP([jobnumber],OvalData[],MATCH(Table2[[#Headers],[Inner Spring Max Turns]],Table2[#Headers],0),0)</f>
        <v>Null</v>
      </c>
      <c r="BJ553" s="2" t="str">
        <f>VLOOKUP([jobnumber],OvalData[],MATCH(Table2[[#Headers],[Inner Spring Weight]],Table2[#Headers],0),0)</f>
        <v>Null</v>
      </c>
      <c r="BK553" s="2">
        <f>VLOOKUP([jobnumber],OvalData[],MATCH(Table2[[#Headers],[Cycles]],Table2[#Headers],0),0)</f>
        <v>0</v>
      </c>
      <c r="BL553" s="2">
        <f>VLOOKUP([jobnumber],OvalData[],MATCH(Table2[[#Headers],[Total Spring Torque]],Table2[#Headers],0),0)</f>
        <v>0</v>
      </c>
      <c r="BM553" s="2">
        <f>VLOOKUP([jobnumber],OvalData[],MATCH(Table2[[#Headers],[Total Spring Weight]],Table2[#Headers],0),0)</f>
        <v>0</v>
      </c>
      <c r="BN553" s="2">
        <f>VLOOKUP([jobnumber],OvalData[],MATCH(Table2[[#Headers],[Pipe Weight]],Table2[#Headers],0),0)</f>
        <v>688.24239999999998</v>
      </c>
      <c r="BO553" s="2">
        <f>VLOOKUP([jobnumber],OvalData[],MATCH(Table2[[#Headers],[Max Pipe Deflection]],Table2[#Headers],0),0)</f>
        <v>2309</v>
      </c>
      <c r="BP553" s="2">
        <f>VLOOKUP([jobnumber],OvalData[],MATCH(Table2[[#Headers],[Number Non-Insulated Wrap Slats]],Table2[#Headers],0),0)</f>
        <v>0</v>
      </c>
      <c r="BQ553" s="2">
        <f>VLOOKUP([jobnumber],OvalData[],MATCH(Table2[[#Headers],[Number of Insolated Top Slats]],Table2[#Headers],0),0)</f>
        <v>45</v>
      </c>
      <c r="BR553" s="2">
        <f>VLOOKUP([jobnumber],OvalData[],MATCH(Table2[[#Headers],[Insolated Total Slats]],Table2[#Headers],0),0)</f>
        <v>45</v>
      </c>
      <c r="BS553" s="2">
        <f>VLOOKUP([jobnumber],OvalData[],MATCH(Table2[[#Headers],[Number of Slats]],Table2[#Headers],0),0)</f>
        <v>44.69</v>
      </c>
      <c r="BT553" s="2">
        <f>VLOOKUP([jobnumber],OvalData[],MATCH(Table2[[#Headers],[Wrap]],Table2[#Headers],0),0)</f>
        <v>0</v>
      </c>
      <c r="BU553" s="2">
        <f>VLOOKUP([jobnumber],OvalData[],MATCH(Table2[[#Headers],[Wall Angle Thickness]],Table2[#Headers],0),0)</f>
        <v>0</v>
      </c>
      <c r="BV553" s="2">
        <f>VLOOKUP([jobnumber],OvalData[],MATCH(Table2[[#Headers],[windlocks]],Table2[#Headers],0),0)</f>
        <v>0</v>
      </c>
      <c r="BW553" s="2" t="str">
        <f>VLOOKUP([jobnumber],OvalData[],MATCH(Table2[[#Headers],[bottombartype]],Table2[#Headers],0),0)</f>
        <v>SPECIAL</v>
      </c>
      <c r="BX553" s="2">
        <f>VLOOKUP([jobnumber],OvalData[],MATCH(Table2[[#Headers],[endlockweight]],Table2[#Headers],0),0)</f>
        <v>0.17</v>
      </c>
      <c r="BY553" s="2">
        <f>VLOOKUP([jobnumber],OvalData[],MATCH(Table2[[#Headers],[Endlock Total Weight]],Table2[#Headers],0),0)</f>
        <v>7.5972999999999997</v>
      </c>
      <c r="BZ553" s="2">
        <f>VLOOKUP([jobnumber],OvalData[],MATCH(Table2[[#Headers],[Grille Weight]],Table2[#Headers],0),0)</f>
        <v>0</v>
      </c>
      <c r="CA553" s="2">
        <f>VLOOKUP([jobnumber],OvalData[],MATCH(Table2[[#Headers],[barrelrings]],Table2[#Headers],0),0)</f>
        <v>1</v>
      </c>
    </row>
    <row r="554" spans="2:79">
      <c r="B554" s="2" t="str">
        <f>VLOOKUP([jobnumber],OvalData[],MATCH(Table2[[#Headers],[Hand]],Table2[#Headers],0),0)</f>
        <v>RH</v>
      </c>
      <c r="C554" s="2" t="str">
        <f>VLOOKUP([jobnumber],OvalData[],MATCH(Table2[[#Headers],[Model]],Table2[#Headers],0),0)</f>
        <v>SFMPP</v>
      </c>
      <c r="D554" s="2" t="str">
        <f>VLOOKUP([jobnumber],OvalData[],MATCH(Table2[[#Headers],[width]],Table2[#Headers],0),0)</f>
        <v xml:space="preserve"> 18 ft.- 2"</v>
      </c>
      <c r="E554" s="2" t="str">
        <f>VLOOKUP([jobnumber],OvalData[],MATCH(Table2[[#Headers],[stopheight]],Table2[#Headers],0),0)</f>
        <v xml:space="preserve"> 10 ft.- 0"</v>
      </c>
      <c r="F554" s="2" t="str">
        <f>VLOOKUP([jobnumber],OvalData[],MATCH(Table2[[#Headers],[Between Brackets]],Table2[#Headers],0),0)</f>
        <v xml:space="preserve"> 18 ft.- 7 7/ 8"</v>
      </c>
      <c r="G554" s="2" t="str">
        <f>VLOOKUP([jobnumber],OvalData[],MATCH(Table2[[#Headers],[shell]],Table2[#Headers],0),0)</f>
        <v>6 INCH TUBE</v>
      </c>
      <c r="H554" s="2" t="str">
        <f>VLOOKUP([jobnumber],OvalData[],MATCH(Table2[[#Headers],[pipewidth]],Table2[#Headers],0),0)</f>
        <v xml:space="preserve"> 18 ft.- 1 3/ 8"</v>
      </c>
      <c r="I554" s="2">
        <f>VLOOKUP([jobnumber],OvalData[],MATCH(Table2[[#Headers],[Support Tubes]],Table2[#Headers],0),0)</f>
        <v>0</v>
      </c>
      <c r="J554" s="2">
        <f>VLOOKUP([jobnumber],OvalData[],MATCH(Table2[[#Headers],[Upset]],Table2[#Headers],0),0)</f>
        <v>2</v>
      </c>
      <c r="K554" s="2" t="str">
        <f>VLOOKUP([jobnumber],OvalData[],MATCH(Table2[[#Headers],[Guide Type]],Table2[#Headers],0),0)</f>
        <v>SN2-4 5/8-E</v>
      </c>
      <c r="L554" s="2" t="str">
        <f>VLOOKUP([jobnumber],OvalData[],MATCH(Table2[[#Headers],[Wall Angle]],Table2[#Headers],0),0)</f>
        <v xml:space="preserve"> 11 ft.- 8"</v>
      </c>
      <c r="M554" s="2" t="str">
        <f>VLOOKUP([jobnumber],OvalData[],MATCH(Table2[[#Headers],[Middle Angle]],Table2[#Headers],0),0)</f>
        <v xml:space="preserve"> 10 ft.- 4 1/ 2"</v>
      </c>
      <c r="N554" s="2" t="str">
        <f>VLOOKUP([jobnumber],OvalData[],MATCH(Table2[[#Headers],[Front Angle]],Table2[#Headers],0),0)</f>
        <v xml:space="preserve"> 10 ft.- 3"</v>
      </c>
      <c r="O554" s="2">
        <f>VLOOKUP([jobnumber],OvalData[],MATCH(Table2[[#Headers],[Pipe Center Line]],Table2[#Headers],0),0)</f>
        <v>131</v>
      </c>
      <c r="P554" s="2">
        <f>VLOOKUP([jobnumber],OvalData[],MATCH(Table2[[#Headers],[Heat Expansion Gap]],Table2[#Headers],0),0)</f>
        <v>0</v>
      </c>
      <c r="Q554" s="2">
        <f>VLOOKUP([jobnumber],OvalData[],MATCH(Table2[[#Headers],[Hanging Weight Closed]],Table2[#Headers],0),0)</f>
        <v>795</v>
      </c>
      <c r="R554" s="2">
        <f>VLOOKUP([jobnumber],OvalData[],MATCH(Table2[[#Headers],[Hanging Weight Open]],Table2[#Headers],0),0)</f>
        <v>140</v>
      </c>
      <c r="S554" s="2">
        <f>VLOOKUP([jobnumber],OvalData[],MATCH(Table2[[#Headers],[Initial Lever Arm]],Table2[#Headers],0),0)</f>
        <v>4.25</v>
      </c>
      <c r="T554" s="2">
        <f>VLOOKUP([jobnumber],OvalData[],MATCH(Table2[[#Headers],[Turns to Raise]],Table2[#Headers],0),0)</f>
        <v>3.5859999999999999</v>
      </c>
      <c r="U554" s="2">
        <f>VLOOKUP([jobnumber],OvalData[],MATCH(Table2[[#Headers],[Final Lever Arm]],Table2[#Headers],0),0)</f>
        <v>6.37</v>
      </c>
      <c r="V554" s="2">
        <f>VLOOKUP([jobnumber],OvalData[],MATCH(Table2[[#Headers],[Torque Required Closed]],Table2[#Headers],0),0)</f>
        <v>3377.9</v>
      </c>
      <c r="W554" s="2">
        <f>VLOOKUP([jobnumber],OvalData[],MATCH(Table2[[#Headers],[Torque Required Open]],Table2[#Headers],0),0)</f>
        <v>892</v>
      </c>
      <c r="X554" s="2">
        <f>VLOOKUP([jobnumber],OvalData[],MATCH(Table2[[#Headers],[Pre Turns]],Table2[#Headers],0),0)</f>
        <v>1.3332999999999999</v>
      </c>
      <c r="Y554" s="2">
        <f>VLOOKUP([jobnumber],OvalData[],MATCH(Table2[[#Headers],[Required Torque Per Turn]],Table2[#Headers],0),0)</f>
        <v>688</v>
      </c>
      <c r="Z554" s="2">
        <f>VLOOKUP([jobnumber],OvalData[],MATCH(Table2[[#Headers],[Total Turns]],Table2[#Headers],0),0)</f>
        <v>4.91</v>
      </c>
      <c r="AA554" s="2">
        <f>VLOOKUP([jobnumber],OvalData[],MATCH(Table2[[#Headers],[Grille Vision Section]],Table2[#Headers],0),0)</f>
        <v>0</v>
      </c>
      <c r="AB554" s="2">
        <f>VLOOKUP([jobnumber],OvalData[],MATCH(Table2[[#Headers],[Grille Amount]],Table2[#Headers],0),0)</f>
        <v>0</v>
      </c>
      <c r="AC554" s="2">
        <f>VLOOKUP([jobnumber],OvalData[],MATCH(Table2[[#Headers],[Grille Center]],Table2[#Headers],0),0)</f>
        <v>0</v>
      </c>
      <c r="AD554" s="2">
        <f>VLOOKUP([jobnumber],OvalData[],MATCH(Table2[[#Headers],[Grille Pattern]],Table2[#Headers],0),0)</f>
        <v>0</v>
      </c>
      <c r="AE554" s="2">
        <f>VLOOKUP([jobnumber],OvalData[],MATCH(Table2[[#Headers],[Grille First Tube]],Table2[#Headers],0),0)</f>
        <v>0</v>
      </c>
      <c r="AF554" s="2">
        <f>VLOOKUP([jobnumber],OvalData[],MATCH(Table2[[#Headers],[Grille Standard Tube]],Table2[#Headers],0),0)</f>
        <v>0</v>
      </c>
      <c r="AG554" s="2">
        <f>VLOOKUP([jobnumber],OvalData[],MATCH(Table2[[#Headers],[Grille Total Links]],Table2[#Headers],0),0)</f>
        <v>0</v>
      </c>
      <c r="AH554" s="2">
        <f>VLOOKUP([jobnumber],OvalData[],MATCH(Table2[[#Headers],[Grille Rods]],Table2[#Headers],0),0)</f>
        <v>0</v>
      </c>
      <c r="AI554" s="2">
        <f>VLOOKUP([jobnumber],OvalData[],MATCH(Table2[[#Headers],[Grille Rod Length]],Table2[#Headers],0),0)</f>
        <v>0</v>
      </c>
      <c r="AJ554" s="2">
        <f>VLOOKUP([jobnumber],OvalData[],MATCH(Table2[[#Headers],[slattype]],Table2[#Headers],0),0)</f>
        <v>2</v>
      </c>
      <c r="AK554" s="2">
        <f>VLOOKUP([jobnumber],OvalData[],MATCH(Table2[[#Headers],[slatgage]],Table2[#Headers],0),0)</f>
        <v>18</v>
      </c>
      <c r="AL554" s="2">
        <f>VLOOKUP([jobnumber],OvalData[],MATCH(Table2[[#Headers],[Numer of Top Slats]],Table2[#Headers],0),0)</f>
        <v>0</v>
      </c>
      <c r="AM554" s="2">
        <f>VLOOKUP([jobnumber],OvalData[],MATCH(Table2[[#Headers],[Number of Bottom Slats]],Table2[#Headers],0),0)</f>
        <v>0</v>
      </c>
      <c r="AN554" s="2">
        <f>VLOOKUP([jobnumber],OvalData[],MATCH(Table2[[#Headers],[Solid Bottom Height]],Table2[#Headers],0),0)</f>
        <v>0</v>
      </c>
      <c r="AO554" s="2" t="str">
        <f>VLOOKUP([jobnumber],OvalData[],MATCH(Table2[[#Headers],[slatlength]],Table2[#Headers],0),0)</f>
        <v xml:space="preserve"> 18 ft.- 5 7/ 8"</v>
      </c>
      <c r="AP554" s="2">
        <f>VLOOKUP([jobnumber],OvalData[],MATCH(Table2[[#Headers],[Bottom Slat Length]],Table2[#Headers],0),0)</f>
        <v>0</v>
      </c>
      <c r="AQ554" s="2">
        <f>VLOOKUP([jobnumber],OvalData[],MATCH(Table2[[#Headers],[Number of Perferated Slats]],Table2[#Headers],0),0)</f>
        <v>0</v>
      </c>
      <c r="AR554" s="2">
        <f>VLOOKUP([jobnumber],OvalData[],MATCH(Table2[[#Headers],[First Preferated Slat From End]],Table2[#Headers],0),0)</f>
        <v>0</v>
      </c>
      <c r="AS554" s="2">
        <f>VLOOKUP([jobnumber],OvalData[],MATCH(Table2[[#Headers],[First Preferated Slat From Bottom]],Table2[#Headers],0),0)</f>
        <v>0</v>
      </c>
      <c r="AT554" s="2">
        <f>VLOOKUP([jobnumber],OvalData[],MATCH(Table2[[#Headers],[Total Number of Slats]],Table2[#Headers],0),0)</f>
        <v>51</v>
      </c>
      <c r="AU554" s="2">
        <f>VLOOKUP([jobnumber],OvalData[],MATCH(Table2[[#Headers],[Bottom Bar Slope]],Table2[#Headers],0),0)</f>
        <v>0</v>
      </c>
      <c r="AV554" s="2">
        <f>VLOOKUP([jobnumber],OvalData[],MATCH(Table2[[#Headers],[Bottom Bar Weight]],Table2[#Headers],0),0)</f>
        <v>80.5</v>
      </c>
      <c r="AW554" s="2" t="str">
        <f>VLOOKUP([jobnumber],OvalData[],MATCH(Table2[[#Headers],[Outer Spring Gage]],Table2[#Headers],0),0)</f>
        <v>Null</v>
      </c>
      <c r="AX554" s="2" t="str">
        <f>VLOOKUP([jobnumber],OvalData[],MATCH(Table2[[#Headers],[Outer Spring OD]],Table2[#Headers],0),0)</f>
        <v>Null</v>
      </c>
      <c r="AY554" s="2" t="str">
        <f>VLOOKUP([jobnumber],OvalData[],MATCH(Table2[[#Headers],[Outer Spring Length]],Table2[#Headers],0),0)</f>
        <v>Null</v>
      </c>
      <c r="AZ554" s="2" t="str">
        <f>VLOOKUP([jobnumber],OvalData[],MATCH(Table2[[#Headers],[Outer Spring Stretch]],Table2[#Headers],0),0)</f>
        <v>Null</v>
      </c>
      <c r="BA554" s="2" t="str">
        <f>VLOOKUP([jobnumber],OvalData[],MATCH(Table2[[#Headers],[Outer Spring Torque]],Table2[#Headers],0),0)</f>
        <v>Null</v>
      </c>
      <c r="BB554" s="2" t="str">
        <f>VLOOKUP([jobnumber],OvalData[],MATCH(Table2[[#Headers],[Outer Spring Max Turns]],Table2[#Headers],0),0)</f>
        <v>Null</v>
      </c>
      <c r="BC554" s="2" t="str">
        <f>VLOOKUP([jobnumber],OvalData[],MATCH(Table2[[#Headers],[Outer Spring Weight]],Table2[#Headers],0),0)</f>
        <v>Null</v>
      </c>
      <c r="BD554" s="2" t="str">
        <f>VLOOKUP([jobnumber],OvalData[],MATCH(Table2[[#Headers],[Inner Spring Gage]],Table2[#Headers],0),0)</f>
        <v>Null</v>
      </c>
      <c r="BE554" s="2" t="str">
        <f>VLOOKUP([jobnumber],OvalData[],MATCH(Table2[[#Headers],[Inner Spring OD]],Table2[#Headers],0),0)</f>
        <v>Null</v>
      </c>
      <c r="BF554" s="2" t="str">
        <f>VLOOKUP([jobnumber],OvalData[],MATCH(Table2[[#Headers],[Inner Spring Length]],Table2[#Headers],0),0)</f>
        <v>Null</v>
      </c>
      <c r="BG554" s="2" t="str">
        <f>VLOOKUP([jobnumber],OvalData[],MATCH(Table2[[#Headers],[Inner Spring Stretch]],Table2[#Headers],0),0)</f>
        <v>Null</v>
      </c>
      <c r="BH554" s="2" t="str">
        <f>VLOOKUP([jobnumber],OvalData[],MATCH(Table2[[#Headers],[Inner Spring Torque]],Table2[#Headers],0),0)</f>
        <v>Null</v>
      </c>
      <c r="BI554" s="2" t="str">
        <f>VLOOKUP([jobnumber],OvalData[],MATCH(Table2[[#Headers],[Inner Spring Max Turns]],Table2[#Headers],0),0)</f>
        <v>Null</v>
      </c>
      <c r="BJ554" s="2" t="str">
        <f>VLOOKUP([jobnumber],OvalData[],MATCH(Table2[[#Headers],[Inner Spring Weight]],Table2[#Headers],0),0)</f>
        <v>Null</v>
      </c>
      <c r="BK554" s="2">
        <f>VLOOKUP([jobnumber],OvalData[],MATCH(Table2[[#Headers],[Cycles]],Table2[#Headers],0),0)</f>
        <v>0</v>
      </c>
      <c r="BL554" s="2">
        <f>VLOOKUP([jobnumber],OvalData[],MATCH(Table2[[#Headers],[Total Spring Torque]],Table2[#Headers],0),0)</f>
        <v>0</v>
      </c>
      <c r="BM554" s="2">
        <f>VLOOKUP([jobnumber],OvalData[],MATCH(Table2[[#Headers],[Total Spring Weight]],Table2[#Headers],0),0)</f>
        <v>0</v>
      </c>
      <c r="BN554" s="2">
        <f>VLOOKUP([jobnumber],OvalData[],MATCH(Table2[[#Headers],[Pipe Weight]],Table2[#Headers],0),0)</f>
        <v>688.24239999999998</v>
      </c>
      <c r="BO554" s="2">
        <f>VLOOKUP([jobnumber],OvalData[],MATCH(Table2[[#Headers],[Max Pipe Deflection]],Table2[#Headers],0),0)</f>
        <v>2309</v>
      </c>
      <c r="BP554" s="2">
        <f>VLOOKUP([jobnumber],OvalData[],MATCH(Table2[[#Headers],[Number Non-Insulated Wrap Slats]],Table2[#Headers],0),0)</f>
        <v>0</v>
      </c>
      <c r="BQ554" s="2">
        <f>VLOOKUP([jobnumber],OvalData[],MATCH(Table2[[#Headers],[Number of Insolated Top Slats]],Table2[#Headers],0),0)</f>
        <v>45</v>
      </c>
      <c r="BR554" s="2">
        <f>VLOOKUP([jobnumber],OvalData[],MATCH(Table2[[#Headers],[Insolated Total Slats]],Table2[#Headers],0),0)</f>
        <v>45</v>
      </c>
      <c r="BS554" s="2">
        <f>VLOOKUP([jobnumber],OvalData[],MATCH(Table2[[#Headers],[Number of Slats]],Table2[#Headers],0),0)</f>
        <v>44.69</v>
      </c>
      <c r="BT554" s="2">
        <f>VLOOKUP([jobnumber],OvalData[],MATCH(Table2[[#Headers],[Wrap]],Table2[#Headers],0),0)</f>
        <v>0</v>
      </c>
      <c r="BU554" s="2">
        <f>VLOOKUP([jobnumber],OvalData[],MATCH(Table2[[#Headers],[Wall Angle Thickness]],Table2[#Headers],0),0)</f>
        <v>0</v>
      </c>
      <c r="BV554" s="2">
        <f>VLOOKUP([jobnumber],OvalData[],MATCH(Table2[[#Headers],[windlocks]],Table2[#Headers],0),0)</f>
        <v>0</v>
      </c>
      <c r="BW554" s="2" t="str">
        <f>VLOOKUP([jobnumber],OvalData[],MATCH(Table2[[#Headers],[bottombartype]],Table2[#Headers],0),0)</f>
        <v>SPECIAL</v>
      </c>
      <c r="BX554" s="2">
        <f>VLOOKUP([jobnumber],OvalData[],MATCH(Table2[[#Headers],[endlockweight]],Table2[#Headers],0),0)</f>
        <v>0.17</v>
      </c>
      <c r="BY554" s="2">
        <f>VLOOKUP([jobnumber],OvalData[],MATCH(Table2[[#Headers],[Endlock Total Weight]],Table2[#Headers],0),0)</f>
        <v>7.5972999999999997</v>
      </c>
      <c r="BZ554" s="2">
        <f>VLOOKUP([jobnumber],OvalData[],MATCH(Table2[[#Headers],[Grille Weight]],Table2[#Headers],0),0)</f>
        <v>0</v>
      </c>
      <c r="CA554" s="2">
        <f>VLOOKUP([jobnumber],OvalData[],MATCH(Table2[[#Headers],[barrelrings]],Table2[#Headers],0),0)</f>
        <v>1</v>
      </c>
    </row>
    <row r="555" spans="2:79">
      <c r="B555" s="2" t="str">
        <f>VLOOKUP([jobnumber],OvalData[],MATCH(Table2[[#Headers],[Hand]],Table2[#Headers],0),0)</f>
        <v>RH</v>
      </c>
      <c r="C555" s="2" t="str">
        <f>VLOOKUP([jobnumber],OvalData[],MATCH(Table2[[#Headers],[Model]],Table2[#Headers],0),0)</f>
        <v>SFMPP</v>
      </c>
      <c r="D555" s="2" t="str">
        <f>VLOOKUP([jobnumber],OvalData[],MATCH(Table2[[#Headers],[width]],Table2[#Headers],0),0)</f>
        <v xml:space="preserve"> 18 ft.- 2"</v>
      </c>
      <c r="E555" s="2" t="str">
        <f>VLOOKUP([jobnumber],OvalData[],MATCH(Table2[[#Headers],[stopheight]],Table2[#Headers],0),0)</f>
        <v xml:space="preserve"> 10 ft.- 0"</v>
      </c>
      <c r="F555" s="2" t="str">
        <f>VLOOKUP([jobnumber],OvalData[],MATCH(Table2[[#Headers],[Between Brackets]],Table2[#Headers],0),0)</f>
        <v xml:space="preserve"> 18 ft.- 7 7/ 8"</v>
      </c>
      <c r="G555" s="2" t="str">
        <f>VLOOKUP([jobnumber],OvalData[],MATCH(Table2[[#Headers],[shell]],Table2[#Headers],0),0)</f>
        <v>6 INCH TUBE</v>
      </c>
      <c r="H555" s="2" t="str">
        <f>VLOOKUP([jobnumber],OvalData[],MATCH(Table2[[#Headers],[pipewidth]],Table2[#Headers],0),0)</f>
        <v xml:space="preserve"> 18 ft.- 1 3/ 8"</v>
      </c>
      <c r="I555" s="2">
        <f>VLOOKUP([jobnumber],OvalData[],MATCH(Table2[[#Headers],[Support Tubes]],Table2[#Headers],0),0)</f>
        <v>0</v>
      </c>
      <c r="J555" s="2">
        <f>VLOOKUP([jobnumber],OvalData[],MATCH(Table2[[#Headers],[Upset]],Table2[#Headers],0),0)</f>
        <v>2</v>
      </c>
      <c r="K555" s="2" t="str">
        <f>VLOOKUP([jobnumber],OvalData[],MATCH(Table2[[#Headers],[Guide Type]],Table2[#Headers],0),0)</f>
        <v>SN2-4 5/8-E</v>
      </c>
      <c r="L555" s="2" t="str">
        <f>VLOOKUP([jobnumber],OvalData[],MATCH(Table2[[#Headers],[Wall Angle]],Table2[#Headers],0),0)</f>
        <v xml:space="preserve"> 11 ft.- 8"</v>
      </c>
      <c r="M555" s="2" t="str">
        <f>VLOOKUP([jobnumber],OvalData[],MATCH(Table2[[#Headers],[Middle Angle]],Table2[#Headers],0),0)</f>
        <v xml:space="preserve"> 10 ft.- 4 1/ 2"</v>
      </c>
      <c r="N555" s="2" t="str">
        <f>VLOOKUP([jobnumber],OvalData[],MATCH(Table2[[#Headers],[Front Angle]],Table2[#Headers],0),0)</f>
        <v xml:space="preserve"> 10 ft.- 3"</v>
      </c>
      <c r="O555" s="2">
        <f>VLOOKUP([jobnumber],OvalData[],MATCH(Table2[[#Headers],[Pipe Center Line]],Table2[#Headers],0),0)</f>
        <v>131</v>
      </c>
      <c r="P555" s="2">
        <f>VLOOKUP([jobnumber],OvalData[],MATCH(Table2[[#Headers],[Heat Expansion Gap]],Table2[#Headers],0),0)</f>
        <v>0</v>
      </c>
      <c r="Q555" s="2">
        <f>VLOOKUP([jobnumber],OvalData[],MATCH(Table2[[#Headers],[Hanging Weight Closed]],Table2[#Headers],0),0)</f>
        <v>795</v>
      </c>
      <c r="R555" s="2">
        <f>VLOOKUP([jobnumber],OvalData[],MATCH(Table2[[#Headers],[Hanging Weight Open]],Table2[#Headers],0),0)</f>
        <v>140</v>
      </c>
      <c r="S555" s="2">
        <f>VLOOKUP([jobnumber],OvalData[],MATCH(Table2[[#Headers],[Initial Lever Arm]],Table2[#Headers],0),0)</f>
        <v>4.25</v>
      </c>
      <c r="T555" s="2">
        <f>VLOOKUP([jobnumber],OvalData[],MATCH(Table2[[#Headers],[Turns to Raise]],Table2[#Headers],0),0)</f>
        <v>3.5859999999999999</v>
      </c>
      <c r="U555" s="2">
        <f>VLOOKUP([jobnumber],OvalData[],MATCH(Table2[[#Headers],[Final Lever Arm]],Table2[#Headers],0),0)</f>
        <v>6.37</v>
      </c>
      <c r="V555" s="2">
        <f>VLOOKUP([jobnumber],OvalData[],MATCH(Table2[[#Headers],[Torque Required Closed]],Table2[#Headers],0),0)</f>
        <v>3377.9</v>
      </c>
      <c r="W555" s="2">
        <f>VLOOKUP([jobnumber],OvalData[],MATCH(Table2[[#Headers],[Torque Required Open]],Table2[#Headers],0),0)</f>
        <v>892</v>
      </c>
      <c r="X555" s="2">
        <f>VLOOKUP([jobnumber],OvalData[],MATCH(Table2[[#Headers],[Pre Turns]],Table2[#Headers],0),0)</f>
        <v>1.3332999999999999</v>
      </c>
      <c r="Y555" s="2">
        <f>VLOOKUP([jobnumber],OvalData[],MATCH(Table2[[#Headers],[Required Torque Per Turn]],Table2[#Headers],0),0)</f>
        <v>688</v>
      </c>
      <c r="Z555" s="2">
        <f>VLOOKUP([jobnumber],OvalData[],MATCH(Table2[[#Headers],[Total Turns]],Table2[#Headers],0),0)</f>
        <v>4.91</v>
      </c>
      <c r="AA555" s="2">
        <f>VLOOKUP([jobnumber],OvalData[],MATCH(Table2[[#Headers],[Grille Vision Section]],Table2[#Headers],0),0)</f>
        <v>0</v>
      </c>
      <c r="AB555" s="2">
        <f>VLOOKUP([jobnumber],OvalData[],MATCH(Table2[[#Headers],[Grille Amount]],Table2[#Headers],0),0)</f>
        <v>0</v>
      </c>
      <c r="AC555" s="2">
        <f>VLOOKUP([jobnumber],OvalData[],MATCH(Table2[[#Headers],[Grille Center]],Table2[#Headers],0),0)</f>
        <v>0</v>
      </c>
      <c r="AD555" s="2">
        <f>VLOOKUP([jobnumber],OvalData[],MATCH(Table2[[#Headers],[Grille Pattern]],Table2[#Headers],0),0)</f>
        <v>0</v>
      </c>
      <c r="AE555" s="2">
        <f>VLOOKUP([jobnumber],OvalData[],MATCH(Table2[[#Headers],[Grille First Tube]],Table2[#Headers],0),0)</f>
        <v>0</v>
      </c>
      <c r="AF555" s="2">
        <f>VLOOKUP([jobnumber],OvalData[],MATCH(Table2[[#Headers],[Grille Standard Tube]],Table2[#Headers],0),0)</f>
        <v>0</v>
      </c>
      <c r="AG555" s="2">
        <f>VLOOKUP([jobnumber],OvalData[],MATCH(Table2[[#Headers],[Grille Total Links]],Table2[#Headers],0),0)</f>
        <v>0</v>
      </c>
      <c r="AH555" s="2">
        <f>VLOOKUP([jobnumber],OvalData[],MATCH(Table2[[#Headers],[Grille Rods]],Table2[#Headers],0),0)</f>
        <v>0</v>
      </c>
      <c r="AI555" s="2">
        <f>VLOOKUP([jobnumber],OvalData[],MATCH(Table2[[#Headers],[Grille Rod Length]],Table2[#Headers],0),0)</f>
        <v>0</v>
      </c>
      <c r="AJ555" s="2">
        <f>VLOOKUP([jobnumber],OvalData[],MATCH(Table2[[#Headers],[slattype]],Table2[#Headers],0),0)</f>
        <v>2</v>
      </c>
      <c r="AK555" s="2">
        <f>VLOOKUP([jobnumber],OvalData[],MATCH(Table2[[#Headers],[slatgage]],Table2[#Headers],0),0)</f>
        <v>18</v>
      </c>
      <c r="AL555" s="2">
        <f>VLOOKUP([jobnumber],OvalData[],MATCH(Table2[[#Headers],[Numer of Top Slats]],Table2[#Headers],0),0)</f>
        <v>0</v>
      </c>
      <c r="AM555" s="2">
        <f>VLOOKUP([jobnumber],OvalData[],MATCH(Table2[[#Headers],[Number of Bottom Slats]],Table2[#Headers],0),0)</f>
        <v>0</v>
      </c>
      <c r="AN555" s="2">
        <f>VLOOKUP([jobnumber],OvalData[],MATCH(Table2[[#Headers],[Solid Bottom Height]],Table2[#Headers],0),0)</f>
        <v>0</v>
      </c>
      <c r="AO555" s="2" t="str">
        <f>VLOOKUP([jobnumber],OvalData[],MATCH(Table2[[#Headers],[slatlength]],Table2[#Headers],0),0)</f>
        <v xml:space="preserve"> 18 ft.- 5 7/ 8"</v>
      </c>
      <c r="AP555" s="2">
        <f>VLOOKUP([jobnumber],OvalData[],MATCH(Table2[[#Headers],[Bottom Slat Length]],Table2[#Headers],0),0)</f>
        <v>0</v>
      </c>
      <c r="AQ555" s="2">
        <f>VLOOKUP([jobnumber],OvalData[],MATCH(Table2[[#Headers],[Number of Perferated Slats]],Table2[#Headers],0),0)</f>
        <v>0</v>
      </c>
      <c r="AR555" s="2">
        <f>VLOOKUP([jobnumber],OvalData[],MATCH(Table2[[#Headers],[First Preferated Slat From End]],Table2[#Headers],0),0)</f>
        <v>0</v>
      </c>
      <c r="AS555" s="2">
        <f>VLOOKUP([jobnumber],OvalData[],MATCH(Table2[[#Headers],[First Preferated Slat From Bottom]],Table2[#Headers],0),0)</f>
        <v>0</v>
      </c>
      <c r="AT555" s="2">
        <f>VLOOKUP([jobnumber],OvalData[],MATCH(Table2[[#Headers],[Total Number of Slats]],Table2[#Headers],0),0)</f>
        <v>51</v>
      </c>
      <c r="AU555" s="2">
        <f>VLOOKUP([jobnumber],OvalData[],MATCH(Table2[[#Headers],[Bottom Bar Slope]],Table2[#Headers],0),0)</f>
        <v>0</v>
      </c>
      <c r="AV555" s="2">
        <f>VLOOKUP([jobnumber],OvalData[],MATCH(Table2[[#Headers],[Bottom Bar Weight]],Table2[#Headers],0),0)</f>
        <v>80.5</v>
      </c>
      <c r="AW555" s="2" t="str">
        <f>VLOOKUP([jobnumber],OvalData[],MATCH(Table2[[#Headers],[Outer Spring Gage]],Table2[#Headers],0),0)</f>
        <v>Null</v>
      </c>
      <c r="AX555" s="2" t="str">
        <f>VLOOKUP([jobnumber],OvalData[],MATCH(Table2[[#Headers],[Outer Spring OD]],Table2[#Headers],0),0)</f>
        <v>Null</v>
      </c>
      <c r="AY555" s="2" t="str">
        <f>VLOOKUP([jobnumber],OvalData[],MATCH(Table2[[#Headers],[Outer Spring Length]],Table2[#Headers],0),0)</f>
        <v>Null</v>
      </c>
      <c r="AZ555" s="2" t="str">
        <f>VLOOKUP([jobnumber],OvalData[],MATCH(Table2[[#Headers],[Outer Spring Stretch]],Table2[#Headers],0),0)</f>
        <v>Null</v>
      </c>
      <c r="BA555" s="2" t="str">
        <f>VLOOKUP([jobnumber],OvalData[],MATCH(Table2[[#Headers],[Outer Spring Torque]],Table2[#Headers],0),0)</f>
        <v>Null</v>
      </c>
      <c r="BB555" s="2" t="str">
        <f>VLOOKUP([jobnumber],OvalData[],MATCH(Table2[[#Headers],[Outer Spring Max Turns]],Table2[#Headers],0),0)</f>
        <v>Null</v>
      </c>
      <c r="BC555" s="2" t="str">
        <f>VLOOKUP([jobnumber],OvalData[],MATCH(Table2[[#Headers],[Outer Spring Weight]],Table2[#Headers],0),0)</f>
        <v>Null</v>
      </c>
      <c r="BD555" s="2" t="str">
        <f>VLOOKUP([jobnumber],OvalData[],MATCH(Table2[[#Headers],[Inner Spring Gage]],Table2[#Headers],0),0)</f>
        <v>Null</v>
      </c>
      <c r="BE555" s="2" t="str">
        <f>VLOOKUP([jobnumber],OvalData[],MATCH(Table2[[#Headers],[Inner Spring OD]],Table2[#Headers],0),0)</f>
        <v>Null</v>
      </c>
      <c r="BF555" s="2" t="str">
        <f>VLOOKUP([jobnumber],OvalData[],MATCH(Table2[[#Headers],[Inner Spring Length]],Table2[#Headers],0),0)</f>
        <v>Null</v>
      </c>
      <c r="BG555" s="2" t="str">
        <f>VLOOKUP([jobnumber],OvalData[],MATCH(Table2[[#Headers],[Inner Spring Stretch]],Table2[#Headers],0),0)</f>
        <v>Null</v>
      </c>
      <c r="BH555" s="2" t="str">
        <f>VLOOKUP([jobnumber],OvalData[],MATCH(Table2[[#Headers],[Inner Spring Torque]],Table2[#Headers],0),0)</f>
        <v>Null</v>
      </c>
      <c r="BI555" s="2" t="str">
        <f>VLOOKUP([jobnumber],OvalData[],MATCH(Table2[[#Headers],[Inner Spring Max Turns]],Table2[#Headers],0),0)</f>
        <v>Null</v>
      </c>
      <c r="BJ555" s="2" t="str">
        <f>VLOOKUP([jobnumber],OvalData[],MATCH(Table2[[#Headers],[Inner Spring Weight]],Table2[#Headers],0),0)</f>
        <v>Null</v>
      </c>
      <c r="BK555" s="2">
        <f>VLOOKUP([jobnumber],OvalData[],MATCH(Table2[[#Headers],[Cycles]],Table2[#Headers],0),0)</f>
        <v>0</v>
      </c>
      <c r="BL555" s="2">
        <f>VLOOKUP([jobnumber],OvalData[],MATCH(Table2[[#Headers],[Total Spring Torque]],Table2[#Headers],0),0)</f>
        <v>0</v>
      </c>
      <c r="BM555" s="2">
        <f>VLOOKUP([jobnumber],OvalData[],MATCH(Table2[[#Headers],[Total Spring Weight]],Table2[#Headers],0),0)</f>
        <v>0</v>
      </c>
      <c r="BN555" s="2">
        <f>VLOOKUP([jobnumber],OvalData[],MATCH(Table2[[#Headers],[Pipe Weight]],Table2[#Headers],0),0)</f>
        <v>688.24239999999998</v>
      </c>
      <c r="BO555" s="2">
        <f>VLOOKUP([jobnumber],OvalData[],MATCH(Table2[[#Headers],[Max Pipe Deflection]],Table2[#Headers],0),0)</f>
        <v>2309</v>
      </c>
      <c r="BP555" s="2">
        <f>VLOOKUP([jobnumber],OvalData[],MATCH(Table2[[#Headers],[Number Non-Insulated Wrap Slats]],Table2[#Headers],0),0)</f>
        <v>0</v>
      </c>
      <c r="BQ555" s="2">
        <f>VLOOKUP([jobnumber],OvalData[],MATCH(Table2[[#Headers],[Number of Insolated Top Slats]],Table2[#Headers],0),0)</f>
        <v>45</v>
      </c>
      <c r="BR555" s="2">
        <f>VLOOKUP([jobnumber],OvalData[],MATCH(Table2[[#Headers],[Insolated Total Slats]],Table2[#Headers],0),0)</f>
        <v>45</v>
      </c>
      <c r="BS555" s="2">
        <f>VLOOKUP([jobnumber],OvalData[],MATCH(Table2[[#Headers],[Number of Slats]],Table2[#Headers],0),0)</f>
        <v>44.69</v>
      </c>
      <c r="BT555" s="2">
        <f>VLOOKUP([jobnumber],OvalData[],MATCH(Table2[[#Headers],[Wrap]],Table2[#Headers],0),0)</f>
        <v>0</v>
      </c>
      <c r="BU555" s="2">
        <f>VLOOKUP([jobnumber],OvalData[],MATCH(Table2[[#Headers],[Wall Angle Thickness]],Table2[#Headers],0),0)</f>
        <v>0</v>
      </c>
      <c r="BV555" s="2">
        <f>VLOOKUP([jobnumber],OvalData[],MATCH(Table2[[#Headers],[windlocks]],Table2[#Headers],0),0)</f>
        <v>0</v>
      </c>
      <c r="BW555" s="2" t="str">
        <f>VLOOKUP([jobnumber],OvalData[],MATCH(Table2[[#Headers],[bottombartype]],Table2[#Headers],0),0)</f>
        <v>SPECIAL</v>
      </c>
      <c r="BX555" s="2">
        <f>VLOOKUP([jobnumber],OvalData[],MATCH(Table2[[#Headers],[endlockweight]],Table2[#Headers],0),0)</f>
        <v>0.17</v>
      </c>
      <c r="BY555" s="2">
        <f>VLOOKUP([jobnumber],OvalData[],MATCH(Table2[[#Headers],[Endlock Total Weight]],Table2[#Headers],0),0)</f>
        <v>7.5972999999999997</v>
      </c>
      <c r="BZ555" s="2">
        <f>VLOOKUP([jobnumber],OvalData[],MATCH(Table2[[#Headers],[Grille Weight]],Table2[#Headers],0),0)</f>
        <v>0</v>
      </c>
      <c r="CA555" s="2">
        <f>VLOOKUP([jobnumber],OvalData[],MATCH(Table2[[#Headers],[barrelrings]],Table2[#Headers],0),0)</f>
        <v>1</v>
      </c>
    </row>
    <row r="556" spans="2:79">
      <c r="B556" s="2" t="str">
        <f>VLOOKUP([jobnumber],OvalData[],MATCH(Table2[[#Headers],[Hand]],Table2[#Headers],0),0)</f>
        <v>RH</v>
      </c>
      <c r="C556" s="2" t="str">
        <f>VLOOKUP([jobnumber],OvalData[],MATCH(Table2[[#Headers],[Model]],Table2[#Headers],0),0)</f>
        <v>SFMPP</v>
      </c>
      <c r="D556" s="2" t="str">
        <f>VLOOKUP([jobnumber],OvalData[],MATCH(Table2[[#Headers],[width]],Table2[#Headers],0),0)</f>
        <v xml:space="preserve"> 18 ft.- 2"</v>
      </c>
      <c r="E556" s="2" t="str">
        <f>VLOOKUP([jobnumber],OvalData[],MATCH(Table2[[#Headers],[stopheight]],Table2[#Headers],0),0)</f>
        <v xml:space="preserve"> 10 ft.- 0"</v>
      </c>
      <c r="F556" s="2" t="str">
        <f>VLOOKUP([jobnumber],OvalData[],MATCH(Table2[[#Headers],[Between Brackets]],Table2[#Headers],0),0)</f>
        <v xml:space="preserve"> 18 ft.- 7 7/ 8"</v>
      </c>
      <c r="G556" s="2" t="str">
        <f>VLOOKUP([jobnumber],OvalData[],MATCH(Table2[[#Headers],[shell]],Table2[#Headers],0),0)</f>
        <v>6 INCH TUBE</v>
      </c>
      <c r="H556" s="2" t="str">
        <f>VLOOKUP([jobnumber],OvalData[],MATCH(Table2[[#Headers],[pipewidth]],Table2[#Headers],0),0)</f>
        <v xml:space="preserve"> 18 ft.- 1 3/ 8"</v>
      </c>
      <c r="I556" s="2">
        <f>VLOOKUP([jobnumber],OvalData[],MATCH(Table2[[#Headers],[Support Tubes]],Table2[#Headers],0),0)</f>
        <v>0</v>
      </c>
      <c r="J556" s="2">
        <f>VLOOKUP([jobnumber],OvalData[],MATCH(Table2[[#Headers],[Upset]],Table2[#Headers],0),0)</f>
        <v>2</v>
      </c>
      <c r="K556" s="2" t="str">
        <f>VLOOKUP([jobnumber],OvalData[],MATCH(Table2[[#Headers],[Guide Type]],Table2[#Headers],0),0)</f>
        <v>SN2-4 5/8-E</v>
      </c>
      <c r="L556" s="2" t="str">
        <f>VLOOKUP([jobnumber],OvalData[],MATCH(Table2[[#Headers],[Wall Angle]],Table2[#Headers],0),0)</f>
        <v xml:space="preserve"> 11 ft.- 8"</v>
      </c>
      <c r="M556" s="2" t="str">
        <f>VLOOKUP([jobnumber],OvalData[],MATCH(Table2[[#Headers],[Middle Angle]],Table2[#Headers],0),0)</f>
        <v xml:space="preserve"> 10 ft.- 4 1/ 2"</v>
      </c>
      <c r="N556" s="2" t="str">
        <f>VLOOKUP([jobnumber],OvalData[],MATCH(Table2[[#Headers],[Front Angle]],Table2[#Headers],0),0)</f>
        <v xml:space="preserve"> 10 ft.- 3"</v>
      </c>
      <c r="O556" s="2">
        <f>VLOOKUP([jobnumber],OvalData[],MATCH(Table2[[#Headers],[Pipe Center Line]],Table2[#Headers],0),0)</f>
        <v>131</v>
      </c>
      <c r="P556" s="2">
        <f>VLOOKUP([jobnumber],OvalData[],MATCH(Table2[[#Headers],[Heat Expansion Gap]],Table2[#Headers],0),0)</f>
        <v>0</v>
      </c>
      <c r="Q556" s="2">
        <f>VLOOKUP([jobnumber],OvalData[],MATCH(Table2[[#Headers],[Hanging Weight Closed]],Table2[#Headers],0),0)</f>
        <v>795</v>
      </c>
      <c r="R556" s="2">
        <f>VLOOKUP([jobnumber],OvalData[],MATCH(Table2[[#Headers],[Hanging Weight Open]],Table2[#Headers],0),0)</f>
        <v>140</v>
      </c>
      <c r="S556" s="2">
        <f>VLOOKUP([jobnumber],OvalData[],MATCH(Table2[[#Headers],[Initial Lever Arm]],Table2[#Headers],0),0)</f>
        <v>4.25</v>
      </c>
      <c r="T556" s="2">
        <f>VLOOKUP([jobnumber],OvalData[],MATCH(Table2[[#Headers],[Turns to Raise]],Table2[#Headers],0),0)</f>
        <v>3.5859999999999999</v>
      </c>
      <c r="U556" s="2">
        <f>VLOOKUP([jobnumber],OvalData[],MATCH(Table2[[#Headers],[Final Lever Arm]],Table2[#Headers],0),0)</f>
        <v>6.37</v>
      </c>
      <c r="V556" s="2">
        <f>VLOOKUP([jobnumber],OvalData[],MATCH(Table2[[#Headers],[Torque Required Closed]],Table2[#Headers],0),0)</f>
        <v>3377.9</v>
      </c>
      <c r="W556" s="2">
        <f>VLOOKUP([jobnumber],OvalData[],MATCH(Table2[[#Headers],[Torque Required Open]],Table2[#Headers],0),0)</f>
        <v>892</v>
      </c>
      <c r="X556" s="2">
        <f>VLOOKUP([jobnumber],OvalData[],MATCH(Table2[[#Headers],[Pre Turns]],Table2[#Headers],0),0)</f>
        <v>1.3332999999999999</v>
      </c>
      <c r="Y556" s="2">
        <f>VLOOKUP([jobnumber],OvalData[],MATCH(Table2[[#Headers],[Required Torque Per Turn]],Table2[#Headers],0),0)</f>
        <v>688</v>
      </c>
      <c r="Z556" s="2">
        <f>VLOOKUP([jobnumber],OvalData[],MATCH(Table2[[#Headers],[Total Turns]],Table2[#Headers],0),0)</f>
        <v>4.91</v>
      </c>
      <c r="AA556" s="2">
        <f>VLOOKUP([jobnumber],OvalData[],MATCH(Table2[[#Headers],[Grille Vision Section]],Table2[#Headers],0),0)</f>
        <v>0</v>
      </c>
      <c r="AB556" s="2">
        <f>VLOOKUP([jobnumber],OvalData[],MATCH(Table2[[#Headers],[Grille Amount]],Table2[#Headers],0),0)</f>
        <v>0</v>
      </c>
      <c r="AC556" s="2">
        <f>VLOOKUP([jobnumber],OvalData[],MATCH(Table2[[#Headers],[Grille Center]],Table2[#Headers],0),0)</f>
        <v>0</v>
      </c>
      <c r="AD556" s="2">
        <f>VLOOKUP([jobnumber],OvalData[],MATCH(Table2[[#Headers],[Grille Pattern]],Table2[#Headers],0),0)</f>
        <v>0</v>
      </c>
      <c r="AE556" s="2">
        <f>VLOOKUP([jobnumber],OvalData[],MATCH(Table2[[#Headers],[Grille First Tube]],Table2[#Headers],0),0)</f>
        <v>0</v>
      </c>
      <c r="AF556" s="2">
        <f>VLOOKUP([jobnumber],OvalData[],MATCH(Table2[[#Headers],[Grille Standard Tube]],Table2[#Headers],0),0)</f>
        <v>0</v>
      </c>
      <c r="AG556" s="2">
        <f>VLOOKUP([jobnumber],OvalData[],MATCH(Table2[[#Headers],[Grille Total Links]],Table2[#Headers],0),0)</f>
        <v>0</v>
      </c>
      <c r="AH556" s="2">
        <f>VLOOKUP([jobnumber],OvalData[],MATCH(Table2[[#Headers],[Grille Rods]],Table2[#Headers],0),0)</f>
        <v>0</v>
      </c>
      <c r="AI556" s="2">
        <f>VLOOKUP([jobnumber],OvalData[],MATCH(Table2[[#Headers],[Grille Rod Length]],Table2[#Headers],0),0)</f>
        <v>0</v>
      </c>
      <c r="AJ556" s="2">
        <f>VLOOKUP([jobnumber],OvalData[],MATCH(Table2[[#Headers],[slattype]],Table2[#Headers],0),0)</f>
        <v>2</v>
      </c>
      <c r="AK556" s="2">
        <f>VLOOKUP([jobnumber],OvalData[],MATCH(Table2[[#Headers],[slatgage]],Table2[#Headers],0),0)</f>
        <v>18</v>
      </c>
      <c r="AL556" s="2">
        <f>VLOOKUP([jobnumber],OvalData[],MATCH(Table2[[#Headers],[Numer of Top Slats]],Table2[#Headers],0),0)</f>
        <v>0</v>
      </c>
      <c r="AM556" s="2">
        <f>VLOOKUP([jobnumber],OvalData[],MATCH(Table2[[#Headers],[Number of Bottom Slats]],Table2[#Headers],0),0)</f>
        <v>0</v>
      </c>
      <c r="AN556" s="2">
        <f>VLOOKUP([jobnumber],OvalData[],MATCH(Table2[[#Headers],[Solid Bottom Height]],Table2[#Headers],0),0)</f>
        <v>0</v>
      </c>
      <c r="AO556" s="2" t="str">
        <f>VLOOKUP([jobnumber],OvalData[],MATCH(Table2[[#Headers],[slatlength]],Table2[#Headers],0),0)</f>
        <v xml:space="preserve"> 18 ft.- 5 7/ 8"</v>
      </c>
      <c r="AP556" s="2">
        <f>VLOOKUP([jobnumber],OvalData[],MATCH(Table2[[#Headers],[Bottom Slat Length]],Table2[#Headers],0),0)</f>
        <v>0</v>
      </c>
      <c r="AQ556" s="2">
        <f>VLOOKUP([jobnumber],OvalData[],MATCH(Table2[[#Headers],[Number of Perferated Slats]],Table2[#Headers],0),0)</f>
        <v>0</v>
      </c>
      <c r="AR556" s="2">
        <f>VLOOKUP([jobnumber],OvalData[],MATCH(Table2[[#Headers],[First Preferated Slat From End]],Table2[#Headers],0),0)</f>
        <v>0</v>
      </c>
      <c r="AS556" s="2">
        <f>VLOOKUP([jobnumber],OvalData[],MATCH(Table2[[#Headers],[First Preferated Slat From Bottom]],Table2[#Headers],0),0)</f>
        <v>0</v>
      </c>
      <c r="AT556" s="2">
        <f>VLOOKUP([jobnumber],OvalData[],MATCH(Table2[[#Headers],[Total Number of Slats]],Table2[#Headers],0),0)</f>
        <v>51</v>
      </c>
      <c r="AU556" s="2">
        <f>VLOOKUP([jobnumber],OvalData[],MATCH(Table2[[#Headers],[Bottom Bar Slope]],Table2[#Headers],0),0)</f>
        <v>0</v>
      </c>
      <c r="AV556" s="2">
        <f>VLOOKUP([jobnumber],OvalData[],MATCH(Table2[[#Headers],[Bottom Bar Weight]],Table2[#Headers],0),0)</f>
        <v>80.5</v>
      </c>
      <c r="AW556" s="2" t="str">
        <f>VLOOKUP([jobnumber],OvalData[],MATCH(Table2[[#Headers],[Outer Spring Gage]],Table2[#Headers],0),0)</f>
        <v>Null</v>
      </c>
      <c r="AX556" s="2" t="str">
        <f>VLOOKUP([jobnumber],OvalData[],MATCH(Table2[[#Headers],[Outer Spring OD]],Table2[#Headers],0),0)</f>
        <v>Null</v>
      </c>
      <c r="AY556" s="2" t="str">
        <f>VLOOKUP([jobnumber],OvalData[],MATCH(Table2[[#Headers],[Outer Spring Length]],Table2[#Headers],0),0)</f>
        <v>Null</v>
      </c>
      <c r="AZ556" s="2" t="str">
        <f>VLOOKUP([jobnumber],OvalData[],MATCH(Table2[[#Headers],[Outer Spring Stretch]],Table2[#Headers],0),0)</f>
        <v>Null</v>
      </c>
      <c r="BA556" s="2" t="str">
        <f>VLOOKUP([jobnumber],OvalData[],MATCH(Table2[[#Headers],[Outer Spring Torque]],Table2[#Headers],0),0)</f>
        <v>Null</v>
      </c>
      <c r="BB556" s="2" t="str">
        <f>VLOOKUP([jobnumber],OvalData[],MATCH(Table2[[#Headers],[Outer Spring Max Turns]],Table2[#Headers],0),0)</f>
        <v>Null</v>
      </c>
      <c r="BC556" s="2" t="str">
        <f>VLOOKUP([jobnumber],OvalData[],MATCH(Table2[[#Headers],[Outer Spring Weight]],Table2[#Headers],0),0)</f>
        <v>Null</v>
      </c>
      <c r="BD556" s="2" t="str">
        <f>VLOOKUP([jobnumber],OvalData[],MATCH(Table2[[#Headers],[Inner Spring Gage]],Table2[#Headers],0),0)</f>
        <v>Null</v>
      </c>
      <c r="BE556" s="2" t="str">
        <f>VLOOKUP([jobnumber],OvalData[],MATCH(Table2[[#Headers],[Inner Spring OD]],Table2[#Headers],0),0)</f>
        <v>Null</v>
      </c>
      <c r="BF556" s="2" t="str">
        <f>VLOOKUP([jobnumber],OvalData[],MATCH(Table2[[#Headers],[Inner Spring Length]],Table2[#Headers],0),0)</f>
        <v>Null</v>
      </c>
      <c r="BG556" s="2" t="str">
        <f>VLOOKUP([jobnumber],OvalData[],MATCH(Table2[[#Headers],[Inner Spring Stretch]],Table2[#Headers],0),0)</f>
        <v>Null</v>
      </c>
      <c r="BH556" s="2" t="str">
        <f>VLOOKUP([jobnumber],OvalData[],MATCH(Table2[[#Headers],[Inner Spring Torque]],Table2[#Headers],0),0)</f>
        <v>Null</v>
      </c>
      <c r="BI556" s="2" t="str">
        <f>VLOOKUP([jobnumber],OvalData[],MATCH(Table2[[#Headers],[Inner Spring Max Turns]],Table2[#Headers],0),0)</f>
        <v>Null</v>
      </c>
      <c r="BJ556" s="2" t="str">
        <f>VLOOKUP([jobnumber],OvalData[],MATCH(Table2[[#Headers],[Inner Spring Weight]],Table2[#Headers],0),0)</f>
        <v>Null</v>
      </c>
      <c r="BK556" s="2">
        <f>VLOOKUP([jobnumber],OvalData[],MATCH(Table2[[#Headers],[Cycles]],Table2[#Headers],0),0)</f>
        <v>0</v>
      </c>
      <c r="BL556" s="2">
        <f>VLOOKUP([jobnumber],OvalData[],MATCH(Table2[[#Headers],[Total Spring Torque]],Table2[#Headers],0),0)</f>
        <v>0</v>
      </c>
      <c r="BM556" s="2">
        <f>VLOOKUP([jobnumber],OvalData[],MATCH(Table2[[#Headers],[Total Spring Weight]],Table2[#Headers],0),0)</f>
        <v>0</v>
      </c>
      <c r="BN556" s="2">
        <f>VLOOKUP([jobnumber],OvalData[],MATCH(Table2[[#Headers],[Pipe Weight]],Table2[#Headers],0),0)</f>
        <v>688.24239999999998</v>
      </c>
      <c r="BO556" s="2">
        <f>VLOOKUP([jobnumber],OvalData[],MATCH(Table2[[#Headers],[Max Pipe Deflection]],Table2[#Headers],0),0)</f>
        <v>2309</v>
      </c>
      <c r="BP556" s="2">
        <f>VLOOKUP([jobnumber],OvalData[],MATCH(Table2[[#Headers],[Number Non-Insulated Wrap Slats]],Table2[#Headers],0),0)</f>
        <v>0</v>
      </c>
      <c r="BQ556" s="2">
        <f>VLOOKUP([jobnumber],OvalData[],MATCH(Table2[[#Headers],[Number of Insolated Top Slats]],Table2[#Headers],0),0)</f>
        <v>45</v>
      </c>
      <c r="BR556" s="2">
        <f>VLOOKUP([jobnumber],OvalData[],MATCH(Table2[[#Headers],[Insolated Total Slats]],Table2[#Headers],0),0)</f>
        <v>45</v>
      </c>
      <c r="BS556" s="2">
        <f>VLOOKUP([jobnumber],OvalData[],MATCH(Table2[[#Headers],[Number of Slats]],Table2[#Headers],0),0)</f>
        <v>44.69</v>
      </c>
      <c r="BT556" s="2">
        <f>VLOOKUP([jobnumber],OvalData[],MATCH(Table2[[#Headers],[Wrap]],Table2[#Headers],0),0)</f>
        <v>0</v>
      </c>
      <c r="BU556" s="2">
        <f>VLOOKUP([jobnumber],OvalData[],MATCH(Table2[[#Headers],[Wall Angle Thickness]],Table2[#Headers],0),0)</f>
        <v>0</v>
      </c>
      <c r="BV556" s="2">
        <f>VLOOKUP([jobnumber],OvalData[],MATCH(Table2[[#Headers],[windlocks]],Table2[#Headers],0),0)</f>
        <v>0</v>
      </c>
      <c r="BW556" s="2" t="str">
        <f>VLOOKUP([jobnumber],OvalData[],MATCH(Table2[[#Headers],[bottombartype]],Table2[#Headers],0),0)</f>
        <v>SPECIAL</v>
      </c>
      <c r="BX556" s="2">
        <f>VLOOKUP([jobnumber],OvalData[],MATCH(Table2[[#Headers],[endlockweight]],Table2[#Headers],0),0)</f>
        <v>0.17</v>
      </c>
      <c r="BY556" s="2">
        <f>VLOOKUP([jobnumber],OvalData[],MATCH(Table2[[#Headers],[Endlock Total Weight]],Table2[#Headers],0),0)</f>
        <v>7.5972999999999997</v>
      </c>
      <c r="BZ556" s="2">
        <f>VLOOKUP([jobnumber],OvalData[],MATCH(Table2[[#Headers],[Grille Weight]],Table2[#Headers],0),0)</f>
        <v>0</v>
      </c>
      <c r="CA556" s="2">
        <f>VLOOKUP([jobnumber],OvalData[],MATCH(Table2[[#Headers],[barrelrings]],Table2[#Headers],0),0)</f>
        <v>1</v>
      </c>
    </row>
    <row r="557" spans="2:79">
      <c r="B557" s="2" t="str">
        <f>VLOOKUP([jobnumber],OvalData[],MATCH(Table2[[#Headers],[Hand]],Table2[#Headers],0),0)</f>
        <v>RH</v>
      </c>
      <c r="C557" s="2" t="str">
        <f>VLOOKUP([jobnumber],OvalData[],MATCH(Table2[[#Headers],[Model]],Table2[#Headers],0),0)</f>
        <v>SFMPP</v>
      </c>
      <c r="D557" s="2" t="str">
        <f>VLOOKUP([jobnumber],OvalData[],MATCH(Table2[[#Headers],[width]],Table2[#Headers],0),0)</f>
        <v xml:space="preserve"> 18 ft.- 2"</v>
      </c>
      <c r="E557" s="2" t="str">
        <f>VLOOKUP([jobnumber],OvalData[],MATCH(Table2[[#Headers],[stopheight]],Table2[#Headers],0),0)</f>
        <v xml:space="preserve"> 10 ft.- 0"</v>
      </c>
      <c r="F557" s="2" t="str">
        <f>VLOOKUP([jobnumber],OvalData[],MATCH(Table2[[#Headers],[Between Brackets]],Table2[#Headers],0),0)</f>
        <v xml:space="preserve"> 18 ft.- 7 7/ 8"</v>
      </c>
      <c r="G557" s="2" t="str">
        <f>VLOOKUP([jobnumber],OvalData[],MATCH(Table2[[#Headers],[shell]],Table2[#Headers],0),0)</f>
        <v>6 INCH TUBE</v>
      </c>
      <c r="H557" s="2" t="str">
        <f>VLOOKUP([jobnumber],OvalData[],MATCH(Table2[[#Headers],[pipewidth]],Table2[#Headers],0),0)</f>
        <v xml:space="preserve"> 18 ft.- 1 3/ 8"</v>
      </c>
      <c r="I557" s="2">
        <f>VLOOKUP([jobnumber],OvalData[],MATCH(Table2[[#Headers],[Support Tubes]],Table2[#Headers],0),0)</f>
        <v>0</v>
      </c>
      <c r="J557" s="2">
        <f>VLOOKUP([jobnumber],OvalData[],MATCH(Table2[[#Headers],[Upset]],Table2[#Headers],0),0)</f>
        <v>2</v>
      </c>
      <c r="K557" s="2" t="str">
        <f>VLOOKUP([jobnumber],OvalData[],MATCH(Table2[[#Headers],[Guide Type]],Table2[#Headers],0),0)</f>
        <v>SN2-4 5/8-E</v>
      </c>
      <c r="L557" s="2" t="str">
        <f>VLOOKUP([jobnumber],OvalData[],MATCH(Table2[[#Headers],[Wall Angle]],Table2[#Headers],0),0)</f>
        <v xml:space="preserve"> 11 ft.- 8"</v>
      </c>
      <c r="M557" s="2" t="str">
        <f>VLOOKUP([jobnumber],OvalData[],MATCH(Table2[[#Headers],[Middle Angle]],Table2[#Headers],0),0)</f>
        <v xml:space="preserve"> 10 ft.- 4 1/ 2"</v>
      </c>
      <c r="N557" s="2" t="str">
        <f>VLOOKUP([jobnumber],OvalData[],MATCH(Table2[[#Headers],[Front Angle]],Table2[#Headers],0),0)</f>
        <v xml:space="preserve"> 10 ft.- 3"</v>
      </c>
      <c r="O557" s="2">
        <f>VLOOKUP([jobnumber],OvalData[],MATCH(Table2[[#Headers],[Pipe Center Line]],Table2[#Headers],0),0)</f>
        <v>131</v>
      </c>
      <c r="P557" s="2">
        <f>VLOOKUP([jobnumber],OvalData[],MATCH(Table2[[#Headers],[Heat Expansion Gap]],Table2[#Headers],0),0)</f>
        <v>0</v>
      </c>
      <c r="Q557" s="2">
        <f>VLOOKUP([jobnumber],OvalData[],MATCH(Table2[[#Headers],[Hanging Weight Closed]],Table2[#Headers],0),0)</f>
        <v>795</v>
      </c>
      <c r="R557" s="2">
        <f>VLOOKUP([jobnumber],OvalData[],MATCH(Table2[[#Headers],[Hanging Weight Open]],Table2[#Headers],0),0)</f>
        <v>140</v>
      </c>
      <c r="S557" s="2">
        <f>VLOOKUP([jobnumber],OvalData[],MATCH(Table2[[#Headers],[Initial Lever Arm]],Table2[#Headers],0),0)</f>
        <v>4.25</v>
      </c>
      <c r="T557" s="2">
        <f>VLOOKUP([jobnumber],OvalData[],MATCH(Table2[[#Headers],[Turns to Raise]],Table2[#Headers],0),0)</f>
        <v>3.5859999999999999</v>
      </c>
      <c r="U557" s="2">
        <f>VLOOKUP([jobnumber],OvalData[],MATCH(Table2[[#Headers],[Final Lever Arm]],Table2[#Headers],0),0)</f>
        <v>6.37</v>
      </c>
      <c r="V557" s="2">
        <f>VLOOKUP([jobnumber],OvalData[],MATCH(Table2[[#Headers],[Torque Required Closed]],Table2[#Headers],0),0)</f>
        <v>3377.9</v>
      </c>
      <c r="W557" s="2">
        <f>VLOOKUP([jobnumber],OvalData[],MATCH(Table2[[#Headers],[Torque Required Open]],Table2[#Headers],0),0)</f>
        <v>892</v>
      </c>
      <c r="X557" s="2">
        <f>VLOOKUP([jobnumber],OvalData[],MATCH(Table2[[#Headers],[Pre Turns]],Table2[#Headers],0),0)</f>
        <v>1.3332999999999999</v>
      </c>
      <c r="Y557" s="2">
        <f>VLOOKUP([jobnumber],OvalData[],MATCH(Table2[[#Headers],[Required Torque Per Turn]],Table2[#Headers],0),0)</f>
        <v>688</v>
      </c>
      <c r="Z557" s="2">
        <f>VLOOKUP([jobnumber],OvalData[],MATCH(Table2[[#Headers],[Total Turns]],Table2[#Headers],0),0)</f>
        <v>4.91</v>
      </c>
      <c r="AA557" s="2">
        <f>VLOOKUP([jobnumber],OvalData[],MATCH(Table2[[#Headers],[Grille Vision Section]],Table2[#Headers],0),0)</f>
        <v>0</v>
      </c>
      <c r="AB557" s="2">
        <f>VLOOKUP([jobnumber],OvalData[],MATCH(Table2[[#Headers],[Grille Amount]],Table2[#Headers],0),0)</f>
        <v>0</v>
      </c>
      <c r="AC557" s="2">
        <f>VLOOKUP([jobnumber],OvalData[],MATCH(Table2[[#Headers],[Grille Center]],Table2[#Headers],0),0)</f>
        <v>0</v>
      </c>
      <c r="AD557" s="2">
        <f>VLOOKUP([jobnumber],OvalData[],MATCH(Table2[[#Headers],[Grille Pattern]],Table2[#Headers],0),0)</f>
        <v>0</v>
      </c>
      <c r="AE557" s="2">
        <f>VLOOKUP([jobnumber],OvalData[],MATCH(Table2[[#Headers],[Grille First Tube]],Table2[#Headers],0),0)</f>
        <v>0</v>
      </c>
      <c r="AF557" s="2">
        <f>VLOOKUP([jobnumber],OvalData[],MATCH(Table2[[#Headers],[Grille Standard Tube]],Table2[#Headers],0),0)</f>
        <v>0</v>
      </c>
      <c r="AG557" s="2">
        <f>VLOOKUP([jobnumber],OvalData[],MATCH(Table2[[#Headers],[Grille Total Links]],Table2[#Headers],0),0)</f>
        <v>0</v>
      </c>
      <c r="AH557" s="2">
        <f>VLOOKUP([jobnumber],OvalData[],MATCH(Table2[[#Headers],[Grille Rods]],Table2[#Headers],0),0)</f>
        <v>0</v>
      </c>
      <c r="AI557" s="2">
        <f>VLOOKUP([jobnumber],OvalData[],MATCH(Table2[[#Headers],[Grille Rod Length]],Table2[#Headers],0),0)</f>
        <v>0</v>
      </c>
      <c r="AJ557" s="2">
        <f>VLOOKUP([jobnumber],OvalData[],MATCH(Table2[[#Headers],[slattype]],Table2[#Headers],0),0)</f>
        <v>2</v>
      </c>
      <c r="AK557" s="2">
        <f>VLOOKUP([jobnumber],OvalData[],MATCH(Table2[[#Headers],[slatgage]],Table2[#Headers],0),0)</f>
        <v>18</v>
      </c>
      <c r="AL557" s="2">
        <f>VLOOKUP([jobnumber],OvalData[],MATCH(Table2[[#Headers],[Numer of Top Slats]],Table2[#Headers],0),0)</f>
        <v>0</v>
      </c>
      <c r="AM557" s="2">
        <f>VLOOKUP([jobnumber],OvalData[],MATCH(Table2[[#Headers],[Number of Bottom Slats]],Table2[#Headers],0),0)</f>
        <v>0</v>
      </c>
      <c r="AN557" s="2">
        <f>VLOOKUP([jobnumber],OvalData[],MATCH(Table2[[#Headers],[Solid Bottom Height]],Table2[#Headers],0),0)</f>
        <v>0</v>
      </c>
      <c r="AO557" s="2" t="str">
        <f>VLOOKUP([jobnumber],OvalData[],MATCH(Table2[[#Headers],[slatlength]],Table2[#Headers],0),0)</f>
        <v xml:space="preserve"> 18 ft.- 5 7/ 8"</v>
      </c>
      <c r="AP557" s="2">
        <f>VLOOKUP([jobnumber],OvalData[],MATCH(Table2[[#Headers],[Bottom Slat Length]],Table2[#Headers],0),0)</f>
        <v>0</v>
      </c>
      <c r="AQ557" s="2">
        <f>VLOOKUP([jobnumber],OvalData[],MATCH(Table2[[#Headers],[Number of Perferated Slats]],Table2[#Headers],0),0)</f>
        <v>0</v>
      </c>
      <c r="AR557" s="2">
        <f>VLOOKUP([jobnumber],OvalData[],MATCH(Table2[[#Headers],[First Preferated Slat From End]],Table2[#Headers],0),0)</f>
        <v>0</v>
      </c>
      <c r="AS557" s="2">
        <f>VLOOKUP([jobnumber],OvalData[],MATCH(Table2[[#Headers],[First Preferated Slat From Bottom]],Table2[#Headers],0),0)</f>
        <v>0</v>
      </c>
      <c r="AT557" s="2">
        <f>VLOOKUP([jobnumber],OvalData[],MATCH(Table2[[#Headers],[Total Number of Slats]],Table2[#Headers],0),0)</f>
        <v>51</v>
      </c>
      <c r="AU557" s="2">
        <f>VLOOKUP([jobnumber],OvalData[],MATCH(Table2[[#Headers],[Bottom Bar Slope]],Table2[#Headers],0),0)</f>
        <v>0</v>
      </c>
      <c r="AV557" s="2">
        <f>VLOOKUP([jobnumber],OvalData[],MATCH(Table2[[#Headers],[Bottom Bar Weight]],Table2[#Headers],0),0)</f>
        <v>80.5</v>
      </c>
      <c r="AW557" s="2" t="str">
        <f>VLOOKUP([jobnumber],OvalData[],MATCH(Table2[[#Headers],[Outer Spring Gage]],Table2[#Headers],0),0)</f>
        <v>Null</v>
      </c>
      <c r="AX557" s="2" t="str">
        <f>VLOOKUP([jobnumber],OvalData[],MATCH(Table2[[#Headers],[Outer Spring OD]],Table2[#Headers],0),0)</f>
        <v>Null</v>
      </c>
      <c r="AY557" s="2" t="str">
        <f>VLOOKUP([jobnumber],OvalData[],MATCH(Table2[[#Headers],[Outer Spring Length]],Table2[#Headers],0),0)</f>
        <v>Null</v>
      </c>
      <c r="AZ557" s="2" t="str">
        <f>VLOOKUP([jobnumber],OvalData[],MATCH(Table2[[#Headers],[Outer Spring Stretch]],Table2[#Headers],0),0)</f>
        <v>Null</v>
      </c>
      <c r="BA557" s="2" t="str">
        <f>VLOOKUP([jobnumber],OvalData[],MATCH(Table2[[#Headers],[Outer Spring Torque]],Table2[#Headers],0),0)</f>
        <v>Null</v>
      </c>
      <c r="BB557" s="2" t="str">
        <f>VLOOKUP([jobnumber],OvalData[],MATCH(Table2[[#Headers],[Outer Spring Max Turns]],Table2[#Headers],0),0)</f>
        <v>Null</v>
      </c>
      <c r="BC557" s="2" t="str">
        <f>VLOOKUP([jobnumber],OvalData[],MATCH(Table2[[#Headers],[Outer Spring Weight]],Table2[#Headers],0),0)</f>
        <v>Null</v>
      </c>
      <c r="BD557" s="2" t="str">
        <f>VLOOKUP([jobnumber],OvalData[],MATCH(Table2[[#Headers],[Inner Spring Gage]],Table2[#Headers],0),0)</f>
        <v>Null</v>
      </c>
      <c r="BE557" s="2" t="str">
        <f>VLOOKUP([jobnumber],OvalData[],MATCH(Table2[[#Headers],[Inner Spring OD]],Table2[#Headers],0),0)</f>
        <v>Null</v>
      </c>
      <c r="BF557" s="2" t="str">
        <f>VLOOKUP([jobnumber],OvalData[],MATCH(Table2[[#Headers],[Inner Spring Length]],Table2[#Headers],0),0)</f>
        <v>Null</v>
      </c>
      <c r="BG557" s="2" t="str">
        <f>VLOOKUP([jobnumber],OvalData[],MATCH(Table2[[#Headers],[Inner Spring Stretch]],Table2[#Headers],0),0)</f>
        <v>Null</v>
      </c>
      <c r="BH557" s="2" t="str">
        <f>VLOOKUP([jobnumber],OvalData[],MATCH(Table2[[#Headers],[Inner Spring Torque]],Table2[#Headers],0),0)</f>
        <v>Null</v>
      </c>
      <c r="BI557" s="2" t="str">
        <f>VLOOKUP([jobnumber],OvalData[],MATCH(Table2[[#Headers],[Inner Spring Max Turns]],Table2[#Headers],0),0)</f>
        <v>Null</v>
      </c>
      <c r="BJ557" s="2" t="str">
        <f>VLOOKUP([jobnumber],OvalData[],MATCH(Table2[[#Headers],[Inner Spring Weight]],Table2[#Headers],0),0)</f>
        <v>Null</v>
      </c>
      <c r="BK557" s="2">
        <f>VLOOKUP([jobnumber],OvalData[],MATCH(Table2[[#Headers],[Cycles]],Table2[#Headers],0),0)</f>
        <v>0</v>
      </c>
      <c r="BL557" s="2">
        <f>VLOOKUP([jobnumber],OvalData[],MATCH(Table2[[#Headers],[Total Spring Torque]],Table2[#Headers],0),0)</f>
        <v>0</v>
      </c>
      <c r="BM557" s="2">
        <f>VLOOKUP([jobnumber],OvalData[],MATCH(Table2[[#Headers],[Total Spring Weight]],Table2[#Headers],0),0)</f>
        <v>0</v>
      </c>
      <c r="BN557" s="2">
        <f>VLOOKUP([jobnumber],OvalData[],MATCH(Table2[[#Headers],[Pipe Weight]],Table2[#Headers],0),0)</f>
        <v>688.24239999999998</v>
      </c>
      <c r="BO557" s="2">
        <f>VLOOKUP([jobnumber],OvalData[],MATCH(Table2[[#Headers],[Max Pipe Deflection]],Table2[#Headers],0),0)</f>
        <v>2309</v>
      </c>
      <c r="BP557" s="2">
        <f>VLOOKUP([jobnumber],OvalData[],MATCH(Table2[[#Headers],[Number Non-Insulated Wrap Slats]],Table2[#Headers],0),0)</f>
        <v>0</v>
      </c>
      <c r="BQ557" s="2">
        <f>VLOOKUP([jobnumber],OvalData[],MATCH(Table2[[#Headers],[Number of Insolated Top Slats]],Table2[#Headers],0),0)</f>
        <v>45</v>
      </c>
      <c r="BR557" s="2">
        <f>VLOOKUP([jobnumber],OvalData[],MATCH(Table2[[#Headers],[Insolated Total Slats]],Table2[#Headers],0),0)</f>
        <v>45</v>
      </c>
      <c r="BS557" s="2">
        <f>VLOOKUP([jobnumber],OvalData[],MATCH(Table2[[#Headers],[Number of Slats]],Table2[#Headers],0),0)</f>
        <v>44.69</v>
      </c>
      <c r="BT557" s="2">
        <f>VLOOKUP([jobnumber],OvalData[],MATCH(Table2[[#Headers],[Wrap]],Table2[#Headers],0),0)</f>
        <v>0</v>
      </c>
      <c r="BU557" s="2">
        <f>VLOOKUP([jobnumber],OvalData[],MATCH(Table2[[#Headers],[Wall Angle Thickness]],Table2[#Headers],0),0)</f>
        <v>0</v>
      </c>
      <c r="BV557" s="2">
        <f>VLOOKUP([jobnumber],OvalData[],MATCH(Table2[[#Headers],[windlocks]],Table2[#Headers],0),0)</f>
        <v>0</v>
      </c>
      <c r="BW557" s="2" t="str">
        <f>VLOOKUP([jobnumber],OvalData[],MATCH(Table2[[#Headers],[bottombartype]],Table2[#Headers],0),0)</f>
        <v>SPECIAL</v>
      </c>
      <c r="BX557" s="2">
        <f>VLOOKUP([jobnumber],OvalData[],MATCH(Table2[[#Headers],[endlockweight]],Table2[#Headers],0),0)</f>
        <v>0.17</v>
      </c>
      <c r="BY557" s="2">
        <f>VLOOKUP([jobnumber],OvalData[],MATCH(Table2[[#Headers],[Endlock Total Weight]],Table2[#Headers],0),0)</f>
        <v>7.5972999999999997</v>
      </c>
      <c r="BZ557" s="2">
        <f>VLOOKUP([jobnumber],OvalData[],MATCH(Table2[[#Headers],[Grille Weight]],Table2[#Headers],0),0)</f>
        <v>0</v>
      </c>
      <c r="CA557" s="2">
        <f>VLOOKUP([jobnumber],OvalData[],MATCH(Table2[[#Headers],[barrelrings]],Table2[#Headers],0),0)</f>
        <v>1</v>
      </c>
    </row>
    <row r="558" spans="2:79">
      <c r="B558" s="2" t="str">
        <f>VLOOKUP([jobnumber],OvalData[],MATCH(Table2[[#Headers],[Hand]],Table2[#Headers],0),0)</f>
        <v>RH</v>
      </c>
      <c r="C558" s="2" t="str">
        <f>VLOOKUP([jobnumber],OvalData[],MATCH(Table2[[#Headers],[Model]],Table2[#Headers],0),0)</f>
        <v>SFMPP</v>
      </c>
      <c r="D558" s="2" t="str">
        <f>VLOOKUP([jobnumber],OvalData[],MATCH(Table2[[#Headers],[width]],Table2[#Headers],0),0)</f>
        <v xml:space="preserve"> 18 ft.- 2"</v>
      </c>
      <c r="E558" s="2" t="str">
        <f>VLOOKUP([jobnumber],OvalData[],MATCH(Table2[[#Headers],[stopheight]],Table2[#Headers],0),0)</f>
        <v xml:space="preserve"> 10 ft.- 0"</v>
      </c>
      <c r="F558" s="2" t="str">
        <f>VLOOKUP([jobnumber],OvalData[],MATCH(Table2[[#Headers],[Between Brackets]],Table2[#Headers],0),0)</f>
        <v xml:space="preserve"> 18 ft.- 7 7/ 8"</v>
      </c>
      <c r="G558" s="2" t="str">
        <f>VLOOKUP([jobnumber],OvalData[],MATCH(Table2[[#Headers],[shell]],Table2[#Headers],0),0)</f>
        <v>6 INCH TUBE</v>
      </c>
      <c r="H558" s="2" t="str">
        <f>VLOOKUP([jobnumber],OvalData[],MATCH(Table2[[#Headers],[pipewidth]],Table2[#Headers],0),0)</f>
        <v xml:space="preserve"> 18 ft.- 1 3/ 8"</v>
      </c>
      <c r="I558" s="2">
        <f>VLOOKUP([jobnumber],OvalData[],MATCH(Table2[[#Headers],[Support Tubes]],Table2[#Headers],0),0)</f>
        <v>0</v>
      </c>
      <c r="J558" s="2">
        <f>VLOOKUP([jobnumber],OvalData[],MATCH(Table2[[#Headers],[Upset]],Table2[#Headers],0),0)</f>
        <v>2</v>
      </c>
      <c r="K558" s="2" t="str">
        <f>VLOOKUP([jobnumber],OvalData[],MATCH(Table2[[#Headers],[Guide Type]],Table2[#Headers],0),0)</f>
        <v>SN2-4 5/8-E</v>
      </c>
      <c r="L558" s="2" t="str">
        <f>VLOOKUP([jobnumber],OvalData[],MATCH(Table2[[#Headers],[Wall Angle]],Table2[#Headers],0),0)</f>
        <v xml:space="preserve"> 11 ft.- 8"</v>
      </c>
      <c r="M558" s="2" t="str">
        <f>VLOOKUP([jobnumber],OvalData[],MATCH(Table2[[#Headers],[Middle Angle]],Table2[#Headers],0),0)</f>
        <v xml:space="preserve"> 10 ft.- 4 1/ 2"</v>
      </c>
      <c r="N558" s="2" t="str">
        <f>VLOOKUP([jobnumber],OvalData[],MATCH(Table2[[#Headers],[Front Angle]],Table2[#Headers],0),0)</f>
        <v xml:space="preserve"> 10 ft.- 3"</v>
      </c>
      <c r="O558" s="2">
        <f>VLOOKUP([jobnumber],OvalData[],MATCH(Table2[[#Headers],[Pipe Center Line]],Table2[#Headers],0),0)</f>
        <v>131</v>
      </c>
      <c r="P558" s="2">
        <f>VLOOKUP([jobnumber],OvalData[],MATCH(Table2[[#Headers],[Heat Expansion Gap]],Table2[#Headers],0),0)</f>
        <v>0</v>
      </c>
      <c r="Q558" s="2">
        <f>VLOOKUP([jobnumber],OvalData[],MATCH(Table2[[#Headers],[Hanging Weight Closed]],Table2[#Headers],0),0)</f>
        <v>795</v>
      </c>
      <c r="R558" s="2">
        <f>VLOOKUP([jobnumber],OvalData[],MATCH(Table2[[#Headers],[Hanging Weight Open]],Table2[#Headers],0),0)</f>
        <v>140</v>
      </c>
      <c r="S558" s="2">
        <f>VLOOKUP([jobnumber],OvalData[],MATCH(Table2[[#Headers],[Initial Lever Arm]],Table2[#Headers],0),0)</f>
        <v>4.25</v>
      </c>
      <c r="T558" s="2">
        <f>VLOOKUP([jobnumber],OvalData[],MATCH(Table2[[#Headers],[Turns to Raise]],Table2[#Headers],0),0)</f>
        <v>3.5859999999999999</v>
      </c>
      <c r="U558" s="2">
        <f>VLOOKUP([jobnumber],OvalData[],MATCH(Table2[[#Headers],[Final Lever Arm]],Table2[#Headers],0),0)</f>
        <v>6.37</v>
      </c>
      <c r="V558" s="2">
        <f>VLOOKUP([jobnumber],OvalData[],MATCH(Table2[[#Headers],[Torque Required Closed]],Table2[#Headers],0),0)</f>
        <v>3377.9</v>
      </c>
      <c r="W558" s="2">
        <f>VLOOKUP([jobnumber],OvalData[],MATCH(Table2[[#Headers],[Torque Required Open]],Table2[#Headers],0),0)</f>
        <v>892</v>
      </c>
      <c r="X558" s="2">
        <f>VLOOKUP([jobnumber],OvalData[],MATCH(Table2[[#Headers],[Pre Turns]],Table2[#Headers],0),0)</f>
        <v>1.3332999999999999</v>
      </c>
      <c r="Y558" s="2">
        <f>VLOOKUP([jobnumber],OvalData[],MATCH(Table2[[#Headers],[Required Torque Per Turn]],Table2[#Headers],0),0)</f>
        <v>688</v>
      </c>
      <c r="Z558" s="2">
        <f>VLOOKUP([jobnumber],OvalData[],MATCH(Table2[[#Headers],[Total Turns]],Table2[#Headers],0),0)</f>
        <v>4.91</v>
      </c>
      <c r="AA558" s="2">
        <f>VLOOKUP([jobnumber],OvalData[],MATCH(Table2[[#Headers],[Grille Vision Section]],Table2[#Headers],0),0)</f>
        <v>0</v>
      </c>
      <c r="AB558" s="2">
        <f>VLOOKUP([jobnumber],OvalData[],MATCH(Table2[[#Headers],[Grille Amount]],Table2[#Headers],0),0)</f>
        <v>0</v>
      </c>
      <c r="AC558" s="2">
        <f>VLOOKUP([jobnumber],OvalData[],MATCH(Table2[[#Headers],[Grille Center]],Table2[#Headers],0),0)</f>
        <v>0</v>
      </c>
      <c r="AD558" s="2">
        <f>VLOOKUP([jobnumber],OvalData[],MATCH(Table2[[#Headers],[Grille Pattern]],Table2[#Headers],0),0)</f>
        <v>0</v>
      </c>
      <c r="AE558" s="2">
        <f>VLOOKUP([jobnumber],OvalData[],MATCH(Table2[[#Headers],[Grille First Tube]],Table2[#Headers],0),0)</f>
        <v>0</v>
      </c>
      <c r="AF558" s="2">
        <f>VLOOKUP([jobnumber],OvalData[],MATCH(Table2[[#Headers],[Grille Standard Tube]],Table2[#Headers],0),0)</f>
        <v>0</v>
      </c>
      <c r="AG558" s="2">
        <f>VLOOKUP([jobnumber],OvalData[],MATCH(Table2[[#Headers],[Grille Total Links]],Table2[#Headers],0),0)</f>
        <v>0</v>
      </c>
      <c r="AH558" s="2">
        <f>VLOOKUP([jobnumber],OvalData[],MATCH(Table2[[#Headers],[Grille Rods]],Table2[#Headers],0),0)</f>
        <v>0</v>
      </c>
      <c r="AI558" s="2">
        <f>VLOOKUP([jobnumber],OvalData[],MATCH(Table2[[#Headers],[Grille Rod Length]],Table2[#Headers],0),0)</f>
        <v>0</v>
      </c>
      <c r="AJ558" s="2">
        <f>VLOOKUP([jobnumber],OvalData[],MATCH(Table2[[#Headers],[slattype]],Table2[#Headers],0),0)</f>
        <v>2</v>
      </c>
      <c r="AK558" s="2">
        <f>VLOOKUP([jobnumber],OvalData[],MATCH(Table2[[#Headers],[slatgage]],Table2[#Headers],0),0)</f>
        <v>18</v>
      </c>
      <c r="AL558" s="2">
        <f>VLOOKUP([jobnumber],OvalData[],MATCH(Table2[[#Headers],[Numer of Top Slats]],Table2[#Headers],0),0)</f>
        <v>0</v>
      </c>
      <c r="AM558" s="2">
        <f>VLOOKUP([jobnumber],OvalData[],MATCH(Table2[[#Headers],[Number of Bottom Slats]],Table2[#Headers],0),0)</f>
        <v>0</v>
      </c>
      <c r="AN558" s="2">
        <f>VLOOKUP([jobnumber],OvalData[],MATCH(Table2[[#Headers],[Solid Bottom Height]],Table2[#Headers],0),0)</f>
        <v>0</v>
      </c>
      <c r="AO558" s="2" t="str">
        <f>VLOOKUP([jobnumber],OvalData[],MATCH(Table2[[#Headers],[slatlength]],Table2[#Headers],0),0)</f>
        <v xml:space="preserve"> 18 ft.- 5 7/ 8"</v>
      </c>
      <c r="AP558" s="2">
        <f>VLOOKUP([jobnumber],OvalData[],MATCH(Table2[[#Headers],[Bottom Slat Length]],Table2[#Headers],0),0)</f>
        <v>0</v>
      </c>
      <c r="AQ558" s="2">
        <f>VLOOKUP([jobnumber],OvalData[],MATCH(Table2[[#Headers],[Number of Perferated Slats]],Table2[#Headers],0),0)</f>
        <v>0</v>
      </c>
      <c r="AR558" s="2">
        <f>VLOOKUP([jobnumber],OvalData[],MATCH(Table2[[#Headers],[First Preferated Slat From End]],Table2[#Headers],0),0)</f>
        <v>0</v>
      </c>
      <c r="AS558" s="2">
        <f>VLOOKUP([jobnumber],OvalData[],MATCH(Table2[[#Headers],[First Preferated Slat From Bottom]],Table2[#Headers],0),0)</f>
        <v>0</v>
      </c>
      <c r="AT558" s="2">
        <f>VLOOKUP([jobnumber],OvalData[],MATCH(Table2[[#Headers],[Total Number of Slats]],Table2[#Headers],0),0)</f>
        <v>51</v>
      </c>
      <c r="AU558" s="2">
        <f>VLOOKUP([jobnumber],OvalData[],MATCH(Table2[[#Headers],[Bottom Bar Slope]],Table2[#Headers],0),0)</f>
        <v>0</v>
      </c>
      <c r="AV558" s="2">
        <f>VLOOKUP([jobnumber],OvalData[],MATCH(Table2[[#Headers],[Bottom Bar Weight]],Table2[#Headers],0),0)</f>
        <v>80.5</v>
      </c>
      <c r="AW558" s="2" t="str">
        <f>VLOOKUP([jobnumber],OvalData[],MATCH(Table2[[#Headers],[Outer Spring Gage]],Table2[#Headers],0),0)</f>
        <v>Null</v>
      </c>
      <c r="AX558" s="2" t="str">
        <f>VLOOKUP([jobnumber],OvalData[],MATCH(Table2[[#Headers],[Outer Spring OD]],Table2[#Headers],0),0)</f>
        <v>Null</v>
      </c>
      <c r="AY558" s="2" t="str">
        <f>VLOOKUP([jobnumber],OvalData[],MATCH(Table2[[#Headers],[Outer Spring Length]],Table2[#Headers],0),0)</f>
        <v>Null</v>
      </c>
      <c r="AZ558" s="2" t="str">
        <f>VLOOKUP([jobnumber],OvalData[],MATCH(Table2[[#Headers],[Outer Spring Stretch]],Table2[#Headers],0),0)</f>
        <v>Null</v>
      </c>
      <c r="BA558" s="2" t="str">
        <f>VLOOKUP([jobnumber],OvalData[],MATCH(Table2[[#Headers],[Outer Spring Torque]],Table2[#Headers],0),0)</f>
        <v>Null</v>
      </c>
      <c r="BB558" s="2" t="str">
        <f>VLOOKUP([jobnumber],OvalData[],MATCH(Table2[[#Headers],[Outer Spring Max Turns]],Table2[#Headers],0),0)</f>
        <v>Null</v>
      </c>
      <c r="BC558" s="2" t="str">
        <f>VLOOKUP([jobnumber],OvalData[],MATCH(Table2[[#Headers],[Outer Spring Weight]],Table2[#Headers],0),0)</f>
        <v>Null</v>
      </c>
      <c r="BD558" s="2" t="str">
        <f>VLOOKUP([jobnumber],OvalData[],MATCH(Table2[[#Headers],[Inner Spring Gage]],Table2[#Headers],0),0)</f>
        <v>Null</v>
      </c>
      <c r="BE558" s="2" t="str">
        <f>VLOOKUP([jobnumber],OvalData[],MATCH(Table2[[#Headers],[Inner Spring OD]],Table2[#Headers],0),0)</f>
        <v>Null</v>
      </c>
      <c r="BF558" s="2" t="str">
        <f>VLOOKUP([jobnumber],OvalData[],MATCH(Table2[[#Headers],[Inner Spring Length]],Table2[#Headers],0),0)</f>
        <v>Null</v>
      </c>
      <c r="BG558" s="2" t="str">
        <f>VLOOKUP([jobnumber],OvalData[],MATCH(Table2[[#Headers],[Inner Spring Stretch]],Table2[#Headers],0),0)</f>
        <v>Null</v>
      </c>
      <c r="BH558" s="2" t="str">
        <f>VLOOKUP([jobnumber],OvalData[],MATCH(Table2[[#Headers],[Inner Spring Torque]],Table2[#Headers],0),0)</f>
        <v>Null</v>
      </c>
      <c r="BI558" s="2" t="str">
        <f>VLOOKUP([jobnumber],OvalData[],MATCH(Table2[[#Headers],[Inner Spring Max Turns]],Table2[#Headers],0),0)</f>
        <v>Null</v>
      </c>
      <c r="BJ558" s="2" t="str">
        <f>VLOOKUP([jobnumber],OvalData[],MATCH(Table2[[#Headers],[Inner Spring Weight]],Table2[#Headers],0),0)</f>
        <v>Null</v>
      </c>
      <c r="BK558" s="2">
        <f>VLOOKUP([jobnumber],OvalData[],MATCH(Table2[[#Headers],[Cycles]],Table2[#Headers],0),0)</f>
        <v>0</v>
      </c>
      <c r="BL558" s="2">
        <f>VLOOKUP([jobnumber],OvalData[],MATCH(Table2[[#Headers],[Total Spring Torque]],Table2[#Headers],0),0)</f>
        <v>0</v>
      </c>
      <c r="BM558" s="2">
        <f>VLOOKUP([jobnumber],OvalData[],MATCH(Table2[[#Headers],[Total Spring Weight]],Table2[#Headers],0),0)</f>
        <v>0</v>
      </c>
      <c r="BN558" s="2">
        <f>VLOOKUP([jobnumber],OvalData[],MATCH(Table2[[#Headers],[Pipe Weight]],Table2[#Headers],0),0)</f>
        <v>688.24239999999998</v>
      </c>
      <c r="BO558" s="2">
        <f>VLOOKUP([jobnumber],OvalData[],MATCH(Table2[[#Headers],[Max Pipe Deflection]],Table2[#Headers],0),0)</f>
        <v>2309</v>
      </c>
      <c r="BP558" s="2">
        <f>VLOOKUP([jobnumber],OvalData[],MATCH(Table2[[#Headers],[Number Non-Insulated Wrap Slats]],Table2[#Headers],0),0)</f>
        <v>0</v>
      </c>
      <c r="BQ558" s="2">
        <f>VLOOKUP([jobnumber],OvalData[],MATCH(Table2[[#Headers],[Number of Insolated Top Slats]],Table2[#Headers],0),0)</f>
        <v>45</v>
      </c>
      <c r="BR558" s="2">
        <f>VLOOKUP([jobnumber],OvalData[],MATCH(Table2[[#Headers],[Insolated Total Slats]],Table2[#Headers],0),0)</f>
        <v>45</v>
      </c>
      <c r="BS558" s="2">
        <f>VLOOKUP([jobnumber],OvalData[],MATCH(Table2[[#Headers],[Number of Slats]],Table2[#Headers],0),0)</f>
        <v>44.69</v>
      </c>
      <c r="BT558" s="2">
        <f>VLOOKUP([jobnumber],OvalData[],MATCH(Table2[[#Headers],[Wrap]],Table2[#Headers],0),0)</f>
        <v>0</v>
      </c>
      <c r="BU558" s="2">
        <f>VLOOKUP([jobnumber],OvalData[],MATCH(Table2[[#Headers],[Wall Angle Thickness]],Table2[#Headers],0),0)</f>
        <v>0</v>
      </c>
      <c r="BV558" s="2">
        <f>VLOOKUP([jobnumber],OvalData[],MATCH(Table2[[#Headers],[windlocks]],Table2[#Headers],0),0)</f>
        <v>0</v>
      </c>
      <c r="BW558" s="2" t="str">
        <f>VLOOKUP([jobnumber],OvalData[],MATCH(Table2[[#Headers],[bottombartype]],Table2[#Headers],0),0)</f>
        <v>SPECIAL</v>
      </c>
      <c r="BX558" s="2">
        <f>VLOOKUP([jobnumber],OvalData[],MATCH(Table2[[#Headers],[endlockweight]],Table2[#Headers],0),0)</f>
        <v>0.17</v>
      </c>
      <c r="BY558" s="2">
        <f>VLOOKUP([jobnumber],OvalData[],MATCH(Table2[[#Headers],[Endlock Total Weight]],Table2[#Headers],0),0)</f>
        <v>7.5972999999999997</v>
      </c>
      <c r="BZ558" s="2">
        <f>VLOOKUP([jobnumber],OvalData[],MATCH(Table2[[#Headers],[Grille Weight]],Table2[#Headers],0),0)</f>
        <v>0</v>
      </c>
      <c r="CA558" s="2">
        <f>VLOOKUP([jobnumber],OvalData[],MATCH(Table2[[#Headers],[barrelrings]],Table2[#Headers],0),0)</f>
        <v>1</v>
      </c>
    </row>
    <row r="559" spans="2:79">
      <c r="B559" s="2" t="str">
        <f>VLOOKUP([jobnumber],OvalData[],MATCH(Table2[[#Headers],[Hand]],Table2[#Headers],0),0)</f>
        <v>RH</v>
      </c>
      <c r="C559" s="2" t="str">
        <f>VLOOKUP([jobnumber],OvalData[],MATCH(Table2[[#Headers],[Model]],Table2[#Headers],0),0)</f>
        <v>SFMPP</v>
      </c>
      <c r="D559" s="2" t="str">
        <f>VLOOKUP([jobnumber],OvalData[],MATCH(Table2[[#Headers],[width]],Table2[#Headers],0),0)</f>
        <v xml:space="preserve"> 18 ft.- 2"</v>
      </c>
      <c r="E559" s="2" t="str">
        <f>VLOOKUP([jobnumber],OvalData[],MATCH(Table2[[#Headers],[stopheight]],Table2[#Headers],0),0)</f>
        <v xml:space="preserve"> 10 ft.- 0"</v>
      </c>
      <c r="F559" s="2" t="str">
        <f>VLOOKUP([jobnumber],OvalData[],MATCH(Table2[[#Headers],[Between Brackets]],Table2[#Headers],0),0)</f>
        <v xml:space="preserve"> 18 ft.- 7 7/ 8"</v>
      </c>
      <c r="G559" s="2" t="str">
        <f>VLOOKUP([jobnumber],OvalData[],MATCH(Table2[[#Headers],[shell]],Table2[#Headers],0),0)</f>
        <v>6 INCH TUBE</v>
      </c>
      <c r="H559" s="2" t="str">
        <f>VLOOKUP([jobnumber],OvalData[],MATCH(Table2[[#Headers],[pipewidth]],Table2[#Headers],0),0)</f>
        <v xml:space="preserve"> 18 ft.- 1 3/ 8"</v>
      </c>
      <c r="I559" s="2">
        <f>VLOOKUP([jobnumber],OvalData[],MATCH(Table2[[#Headers],[Support Tubes]],Table2[#Headers],0),0)</f>
        <v>0</v>
      </c>
      <c r="J559" s="2">
        <f>VLOOKUP([jobnumber],OvalData[],MATCH(Table2[[#Headers],[Upset]],Table2[#Headers],0),0)</f>
        <v>2</v>
      </c>
      <c r="K559" s="2" t="str">
        <f>VLOOKUP([jobnumber],OvalData[],MATCH(Table2[[#Headers],[Guide Type]],Table2[#Headers],0),0)</f>
        <v>SN2-4 5/8-E</v>
      </c>
      <c r="L559" s="2" t="str">
        <f>VLOOKUP([jobnumber],OvalData[],MATCH(Table2[[#Headers],[Wall Angle]],Table2[#Headers],0),0)</f>
        <v xml:space="preserve"> 11 ft.- 8"</v>
      </c>
      <c r="M559" s="2" t="str">
        <f>VLOOKUP([jobnumber],OvalData[],MATCH(Table2[[#Headers],[Middle Angle]],Table2[#Headers],0),0)</f>
        <v xml:space="preserve"> 10 ft.- 4 1/ 2"</v>
      </c>
      <c r="N559" s="2" t="str">
        <f>VLOOKUP([jobnumber],OvalData[],MATCH(Table2[[#Headers],[Front Angle]],Table2[#Headers],0),0)</f>
        <v xml:space="preserve"> 10 ft.- 3"</v>
      </c>
      <c r="O559" s="2">
        <f>VLOOKUP([jobnumber],OvalData[],MATCH(Table2[[#Headers],[Pipe Center Line]],Table2[#Headers],0),0)</f>
        <v>131</v>
      </c>
      <c r="P559" s="2">
        <f>VLOOKUP([jobnumber],OvalData[],MATCH(Table2[[#Headers],[Heat Expansion Gap]],Table2[#Headers],0),0)</f>
        <v>0</v>
      </c>
      <c r="Q559" s="2">
        <f>VLOOKUP([jobnumber],OvalData[],MATCH(Table2[[#Headers],[Hanging Weight Closed]],Table2[#Headers],0),0)</f>
        <v>795</v>
      </c>
      <c r="R559" s="2">
        <f>VLOOKUP([jobnumber],OvalData[],MATCH(Table2[[#Headers],[Hanging Weight Open]],Table2[#Headers],0),0)</f>
        <v>140</v>
      </c>
      <c r="S559" s="2">
        <f>VLOOKUP([jobnumber],OvalData[],MATCH(Table2[[#Headers],[Initial Lever Arm]],Table2[#Headers],0),0)</f>
        <v>4.25</v>
      </c>
      <c r="T559" s="2">
        <f>VLOOKUP([jobnumber],OvalData[],MATCH(Table2[[#Headers],[Turns to Raise]],Table2[#Headers],0),0)</f>
        <v>3.5859999999999999</v>
      </c>
      <c r="U559" s="2">
        <f>VLOOKUP([jobnumber],OvalData[],MATCH(Table2[[#Headers],[Final Lever Arm]],Table2[#Headers],0),0)</f>
        <v>6.37</v>
      </c>
      <c r="V559" s="2">
        <f>VLOOKUP([jobnumber],OvalData[],MATCH(Table2[[#Headers],[Torque Required Closed]],Table2[#Headers],0),0)</f>
        <v>3377.9</v>
      </c>
      <c r="W559" s="2">
        <f>VLOOKUP([jobnumber],OvalData[],MATCH(Table2[[#Headers],[Torque Required Open]],Table2[#Headers],0),0)</f>
        <v>892</v>
      </c>
      <c r="X559" s="2">
        <f>VLOOKUP([jobnumber],OvalData[],MATCH(Table2[[#Headers],[Pre Turns]],Table2[#Headers],0),0)</f>
        <v>1.3332999999999999</v>
      </c>
      <c r="Y559" s="2">
        <f>VLOOKUP([jobnumber],OvalData[],MATCH(Table2[[#Headers],[Required Torque Per Turn]],Table2[#Headers],0),0)</f>
        <v>688</v>
      </c>
      <c r="Z559" s="2">
        <f>VLOOKUP([jobnumber],OvalData[],MATCH(Table2[[#Headers],[Total Turns]],Table2[#Headers],0),0)</f>
        <v>4.91</v>
      </c>
      <c r="AA559" s="2">
        <f>VLOOKUP([jobnumber],OvalData[],MATCH(Table2[[#Headers],[Grille Vision Section]],Table2[#Headers],0),0)</f>
        <v>0</v>
      </c>
      <c r="AB559" s="2">
        <f>VLOOKUP([jobnumber],OvalData[],MATCH(Table2[[#Headers],[Grille Amount]],Table2[#Headers],0),0)</f>
        <v>0</v>
      </c>
      <c r="AC559" s="2">
        <f>VLOOKUP([jobnumber],OvalData[],MATCH(Table2[[#Headers],[Grille Center]],Table2[#Headers],0),0)</f>
        <v>0</v>
      </c>
      <c r="AD559" s="2">
        <f>VLOOKUP([jobnumber],OvalData[],MATCH(Table2[[#Headers],[Grille Pattern]],Table2[#Headers],0),0)</f>
        <v>0</v>
      </c>
      <c r="AE559" s="2">
        <f>VLOOKUP([jobnumber],OvalData[],MATCH(Table2[[#Headers],[Grille First Tube]],Table2[#Headers],0),0)</f>
        <v>0</v>
      </c>
      <c r="AF559" s="2">
        <f>VLOOKUP([jobnumber],OvalData[],MATCH(Table2[[#Headers],[Grille Standard Tube]],Table2[#Headers],0),0)</f>
        <v>0</v>
      </c>
      <c r="AG559" s="2">
        <f>VLOOKUP([jobnumber],OvalData[],MATCH(Table2[[#Headers],[Grille Total Links]],Table2[#Headers],0),0)</f>
        <v>0</v>
      </c>
      <c r="AH559" s="2">
        <f>VLOOKUP([jobnumber],OvalData[],MATCH(Table2[[#Headers],[Grille Rods]],Table2[#Headers],0),0)</f>
        <v>0</v>
      </c>
      <c r="AI559" s="2">
        <f>VLOOKUP([jobnumber],OvalData[],MATCH(Table2[[#Headers],[Grille Rod Length]],Table2[#Headers],0),0)</f>
        <v>0</v>
      </c>
      <c r="AJ559" s="2">
        <f>VLOOKUP([jobnumber],OvalData[],MATCH(Table2[[#Headers],[slattype]],Table2[#Headers],0),0)</f>
        <v>2</v>
      </c>
      <c r="AK559" s="2">
        <f>VLOOKUP([jobnumber],OvalData[],MATCH(Table2[[#Headers],[slatgage]],Table2[#Headers],0),0)</f>
        <v>18</v>
      </c>
      <c r="AL559" s="2">
        <f>VLOOKUP([jobnumber],OvalData[],MATCH(Table2[[#Headers],[Numer of Top Slats]],Table2[#Headers],0),0)</f>
        <v>0</v>
      </c>
      <c r="AM559" s="2">
        <f>VLOOKUP([jobnumber],OvalData[],MATCH(Table2[[#Headers],[Number of Bottom Slats]],Table2[#Headers],0),0)</f>
        <v>0</v>
      </c>
      <c r="AN559" s="2">
        <f>VLOOKUP([jobnumber],OvalData[],MATCH(Table2[[#Headers],[Solid Bottom Height]],Table2[#Headers],0),0)</f>
        <v>0</v>
      </c>
      <c r="AO559" s="2" t="str">
        <f>VLOOKUP([jobnumber],OvalData[],MATCH(Table2[[#Headers],[slatlength]],Table2[#Headers],0),0)</f>
        <v xml:space="preserve"> 18 ft.- 5 7/ 8"</v>
      </c>
      <c r="AP559" s="2">
        <f>VLOOKUP([jobnumber],OvalData[],MATCH(Table2[[#Headers],[Bottom Slat Length]],Table2[#Headers],0),0)</f>
        <v>0</v>
      </c>
      <c r="AQ559" s="2">
        <f>VLOOKUP([jobnumber],OvalData[],MATCH(Table2[[#Headers],[Number of Perferated Slats]],Table2[#Headers],0),0)</f>
        <v>0</v>
      </c>
      <c r="AR559" s="2">
        <f>VLOOKUP([jobnumber],OvalData[],MATCH(Table2[[#Headers],[First Preferated Slat From End]],Table2[#Headers],0),0)</f>
        <v>0</v>
      </c>
      <c r="AS559" s="2">
        <f>VLOOKUP([jobnumber],OvalData[],MATCH(Table2[[#Headers],[First Preferated Slat From Bottom]],Table2[#Headers],0),0)</f>
        <v>0</v>
      </c>
      <c r="AT559" s="2">
        <f>VLOOKUP([jobnumber],OvalData[],MATCH(Table2[[#Headers],[Total Number of Slats]],Table2[#Headers],0),0)</f>
        <v>51</v>
      </c>
      <c r="AU559" s="2">
        <f>VLOOKUP([jobnumber],OvalData[],MATCH(Table2[[#Headers],[Bottom Bar Slope]],Table2[#Headers],0),0)</f>
        <v>0</v>
      </c>
      <c r="AV559" s="2">
        <f>VLOOKUP([jobnumber],OvalData[],MATCH(Table2[[#Headers],[Bottom Bar Weight]],Table2[#Headers],0),0)</f>
        <v>80.5</v>
      </c>
      <c r="AW559" s="2" t="str">
        <f>VLOOKUP([jobnumber],OvalData[],MATCH(Table2[[#Headers],[Outer Spring Gage]],Table2[#Headers],0),0)</f>
        <v>Null</v>
      </c>
      <c r="AX559" s="2" t="str">
        <f>VLOOKUP([jobnumber],OvalData[],MATCH(Table2[[#Headers],[Outer Spring OD]],Table2[#Headers],0),0)</f>
        <v>Null</v>
      </c>
      <c r="AY559" s="2" t="str">
        <f>VLOOKUP([jobnumber],OvalData[],MATCH(Table2[[#Headers],[Outer Spring Length]],Table2[#Headers],0),0)</f>
        <v>Null</v>
      </c>
      <c r="AZ559" s="2" t="str">
        <f>VLOOKUP([jobnumber],OvalData[],MATCH(Table2[[#Headers],[Outer Spring Stretch]],Table2[#Headers],0),0)</f>
        <v>Null</v>
      </c>
      <c r="BA559" s="2" t="str">
        <f>VLOOKUP([jobnumber],OvalData[],MATCH(Table2[[#Headers],[Outer Spring Torque]],Table2[#Headers],0),0)</f>
        <v>Null</v>
      </c>
      <c r="BB559" s="2" t="str">
        <f>VLOOKUP([jobnumber],OvalData[],MATCH(Table2[[#Headers],[Outer Spring Max Turns]],Table2[#Headers],0),0)</f>
        <v>Null</v>
      </c>
      <c r="BC559" s="2" t="str">
        <f>VLOOKUP([jobnumber],OvalData[],MATCH(Table2[[#Headers],[Outer Spring Weight]],Table2[#Headers],0),0)</f>
        <v>Null</v>
      </c>
      <c r="BD559" s="2" t="str">
        <f>VLOOKUP([jobnumber],OvalData[],MATCH(Table2[[#Headers],[Inner Spring Gage]],Table2[#Headers],0),0)</f>
        <v>Null</v>
      </c>
      <c r="BE559" s="2" t="str">
        <f>VLOOKUP([jobnumber],OvalData[],MATCH(Table2[[#Headers],[Inner Spring OD]],Table2[#Headers],0),0)</f>
        <v>Null</v>
      </c>
      <c r="BF559" s="2" t="str">
        <f>VLOOKUP([jobnumber],OvalData[],MATCH(Table2[[#Headers],[Inner Spring Length]],Table2[#Headers],0),0)</f>
        <v>Null</v>
      </c>
      <c r="BG559" s="2" t="str">
        <f>VLOOKUP([jobnumber],OvalData[],MATCH(Table2[[#Headers],[Inner Spring Stretch]],Table2[#Headers],0),0)</f>
        <v>Null</v>
      </c>
      <c r="BH559" s="2" t="str">
        <f>VLOOKUP([jobnumber],OvalData[],MATCH(Table2[[#Headers],[Inner Spring Torque]],Table2[#Headers],0),0)</f>
        <v>Null</v>
      </c>
      <c r="BI559" s="2" t="str">
        <f>VLOOKUP([jobnumber],OvalData[],MATCH(Table2[[#Headers],[Inner Spring Max Turns]],Table2[#Headers],0),0)</f>
        <v>Null</v>
      </c>
      <c r="BJ559" s="2" t="str">
        <f>VLOOKUP([jobnumber],OvalData[],MATCH(Table2[[#Headers],[Inner Spring Weight]],Table2[#Headers],0),0)</f>
        <v>Null</v>
      </c>
      <c r="BK559" s="2">
        <f>VLOOKUP([jobnumber],OvalData[],MATCH(Table2[[#Headers],[Cycles]],Table2[#Headers],0),0)</f>
        <v>0</v>
      </c>
      <c r="BL559" s="2">
        <f>VLOOKUP([jobnumber],OvalData[],MATCH(Table2[[#Headers],[Total Spring Torque]],Table2[#Headers],0),0)</f>
        <v>0</v>
      </c>
      <c r="BM559" s="2">
        <f>VLOOKUP([jobnumber],OvalData[],MATCH(Table2[[#Headers],[Total Spring Weight]],Table2[#Headers],0),0)</f>
        <v>0</v>
      </c>
      <c r="BN559" s="2">
        <f>VLOOKUP([jobnumber],OvalData[],MATCH(Table2[[#Headers],[Pipe Weight]],Table2[#Headers],0),0)</f>
        <v>688.24239999999998</v>
      </c>
      <c r="BO559" s="2">
        <f>VLOOKUP([jobnumber],OvalData[],MATCH(Table2[[#Headers],[Max Pipe Deflection]],Table2[#Headers],0),0)</f>
        <v>2309</v>
      </c>
      <c r="BP559" s="2">
        <f>VLOOKUP([jobnumber],OvalData[],MATCH(Table2[[#Headers],[Number Non-Insulated Wrap Slats]],Table2[#Headers],0),0)</f>
        <v>0</v>
      </c>
      <c r="BQ559" s="2">
        <f>VLOOKUP([jobnumber],OvalData[],MATCH(Table2[[#Headers],[Number of Insolated Top Slats]],Table2[#Headers],0),0)</f>
        <v>45</v>
      </c>
      <c r="BR559" s="2">
        <f>VLOOKUP([jobnumber],OvalData[],MATCH(Table2[[#Headers],[Insolated Total Slats]],Table2[#Headers],0),0)</f>
        <v>45</v>
      </c>
      <c r="BS559" s="2">
        <f>VLOOKUP([jobnumber],OvalData[],MATCH(Table2[[#Headers],[Number of Slats]],Table2[#Headers],0),0)</f>
        <v>44.69</v>
      </c>
      <c r="BT559" s="2">
        <f>VLOOKUP([jobnumber],OvalData[],MATCH(Table2[[#Headers],[Wrap]],Table2[#Headers],0),0)</f>
        <v>0</v>
      </c>
      <c r="BU559" s="2">
        <f>VLOOKUP([jobnumber],OvalData[],MATCH(Table2[[#Headers],[Wall Angle Thickness]],Table2[#Headers],0),0)</f>
        <v>0</v>
      </c>
      <c r="BV559" s="2">
        <f>VLOOKUP([jobnumber],OvalData[],MATCH(Table2[[#Headers],[windlocks]],Table2[#Headers],0),0)</f>
        <v>0</v>
      </c>
      <c r="BW559" s="2" t="str">
        <f>VLOOKUP([jobnumber],OvalData[],MATCH(Table2[[#Headers],[bottombartype]],Table2[#Headers],0),0)</f>
        <v>SPECIAL</v>
      </c>
      <c r="BX559" s="2">
        <f>VLOOKUP([jobnumber],OvalData[],MATCH(Table2[[#Headers],[endlockweight]],Table2[#Headers],0),0)</f>
        <v>0.17</v>
      </c>
      <c r="BY559" s="2">
        <f>VLOOKUP([jobnumber],OvalData[],MATCH(Table2[[#Headers],[Endlock Total Weight]],Table2[#Headers],0),0)</f>
        <v>7.5972999999999997</v>
      </c>
      <c r="BZ559" s="2">
        <f>VLOOKUP([jobnumber],OvalData[],MATCH(Table2[[#Headers],[Grille Weight]],Table2[#Headers],0),0)</f>
        <v>0</v>
      </c>
      <c r="CA559" s="2">
        <f>VLOOKUP([jobnumber],OvalData[],MATCH(Table2[[#Headers],[barrelrings]],Table2[#Headers],0),0)</f>
        <v>1</v>
      </c>
    </row>
    <row r="560" spans="2:79">
      <c r="B560" s="2" t="str">
        <f>VLOOKUP([jobnumber],OvalData[],MATCH(Table2[[#Headers],[Hand]],Table2[#Headers],0),0)</f>
        <v>RH</v>
      </c>
      <c r="C560" s="2" t="str">
        <f>VLOOKUP([jobnumber],OvalData[],MATCH(Table2[[#Headers],[Model]],Table2[#Headers],0),0)</f>
        <v>SFMPP</v>
      </c>
      <c r="D560" s="2" t="str">
        <f>VLOOKUP([jobnumber],OvalData[],MATCH(Table2[[#Headers],[width]],Table2[#Headers],0),0)</f>
        <v xml:space="preserve"> 18 ft.- 2"</v>
      </c>
      <c r="E560" s="2" t="str">
        <f>VLOOKUP([jobnumber],OvalData[],MATCH(Table2[[#Headers],[stopheight]],Table2[#Headers],0),0)</f>
        <v xml:space="preserve"> 10 ft.- 0"</v>
      </c>
      <c r="F560" s="2" t="str">
        <f>VLOOKUP([jobnumber],OvalData[],MATCH(Table2[[#Headers],[Between Brackets]],Table2[#Headers],0),0)</f>
        <v xml:space="preserve"> 18 ft.- 7 7/ 8"</v>
      </c>
      <c r="G560" s="2" t="str">
        <f>VLOOKUP([jobnumber],OvalData[],MATCH(Table2[[#Headers],[shell]],Table2[#Headers],0),0)</f>
        <v>6 INCH TUBE</v>
      </c>
      <c r="H560" s="2" t="str">
        <f>VLOOKUP([jobnumber],OvalData[],MATCH(Table2[[#Headers],[pipewidth]],Table2[#Headers],0),0)</f>
        <v xml:space="preserve"> 18 ft.- 1 3/ 8"</v>
      </c>
      <c r="I560" s="2">
        <f>VLOOKUP([jobnumber],OvalData[],MATCH(Table2[[#Headers],[Support Tubes]],Table2[#Headers],0),0)</f>
        <v>0</v>
      </c>
      <c r="J560" s="2">
        <f>VLOOKUP([jobnumber],OvalData[],MATCH(Table2[[#Headers],[Upset]],Table2[#Headers],0),0)</f>
        <v>2</v>
      </c>
      <c r="K560" s="2" t="str">
        <f>VLOOKUP([jobnumber],OvalData[],MATCH(Table2[[#Headers],[Guide Type]],Table2[#Headers],0),0)</f>
        <v>SN2-4 5/8-E</v>
      </c>
      <c r="L560" s="2" t="str">
        <f>VLOOKUP([jobnumber],OvalData[],MATCH(Table2[[#Headers],[Wall Angle]],Table2[#Headers],0),0)</f>
        <v xml:space="preserve"> 11 ft.- 8"</v>
      </c>
      <c r="M560" s="2" t="str">
        <f>VLOOKUP([jobnumber],OvalData[],MATCH(Table2[[#Headers],[Middle Angle]],Table2[#Headers],0),0)</f>
        <v xml:space="preserve"> 10 ft.- 4 1/ 2"</v>
      </c>
      <c r="N560" s="2" t="str">
        <f>VLOOKUP([jobnumber],OvalData[],MATCH(Table2[[#Headers],[Front Angle]],Table2[#Headers],0),0)</f>
        <v xml:space="preserve"> 10 ft.- 3"</v>
      </c>
      <c r="O560" s="2">
        <f>VLOOKUP([jobnumber],OvalData[],MATCH(Table2[[#Headers],[Pipe Center Line]],Table2[#Headers],0),0)</f>
        <v>131</v>
      </c>
      <c r="P560" s="2">
        <f>VLOOKUP([jobnumber],OvalData[],MATCH(Table2[[#Headers],[Heat Expansion Gap]],Table2[#Headers],0),0)</f>
        <v>0</v>
      </c>
      <c r="Q560" s="2">
        <f>VLOOKUP([jobnumber],OvalData[],MATCH(Table2[[#Headers],[Hanging Weight Closed]],Table2[#Headers],0),0)</f>
        <v>795</v>
      </c>
      <c r="R560" s="2">
        <f>VLOOKUP([jobnumber],OvalData[],MATCH(Table2[[#Headers],[Hanging Weight Open]],Table2[#Headers],0),0)</f>
        <v>140</v>
      </c>
      <c r="S560" s="2">
        <f>VLOOKUP([jobnumber],OvalData[],MATCH(Table2[[#Headers],[Initial Lever Arm]],Table2[#Headers],0),0)</f>
        <v>4.25</v>
      </c>
      <c r="T560" s="2">
        <f>VLOOKUP([jobnumber],OvalData[],MATCH(Table2[[#Headers],[Turns to Raise]],Table2[#Headers],0),0)</f>
        <v>3.5859999999999999</v>
      </c>
      <c r="U560" s="2">
        <f>VLOOKUP([jobnumber],OvalData[],MATCH(Table2[[#Headers],[Final Lever Arm]],Table2[#Headers],0),0)</f>
        <v>6.37</v>
      </c>
      <c r="V560" s="2">
        <f>VLOOKUP([jobnumber],OvalData[],MATCH(Table2[[#Headers],[Torque Required Closed]],Table2[#Headers],0),0)</f>
        <v>3377.9</v>
      </c>
      <c r="W560" s="2">
        <f>VLOOKUP([jobnumber],OvalData[],MATCH(Table2[[#Headers],[Torque Required Open]],Table2[#Headers],0),0)</f>
        <v>892</v>
      </c>
      <c r="X560" s="2">
        <f>VLOOKUP([jobnumber],OvalData[],MATCH(Table2[[#Headers],[Pre Turns]],Table2[#Headers],0),0)</f>
        <v>1.3332999999999999</v>
      </c>
      <c r="Y560" s="2">
        <f>VLOOKUP([jobnumber],OvalData[],MATCH(Table2[[#Headers],[Required Torque Per Turn]],Table2[#Headers],0),0)</f>
        <v>688</v>
      </c>
      <c r="Z560" s="2">
        <f>VLOOKUP([jobnumber],OvalData[],MATCH(Table2[[#Headers],[Total Turns]],Table2[#Headers],0),0)</f>
        <v>4.91</v>
      </c>
      <c r="AA560" s="2">
        <f>VLOOKUP([jobnumber],OvalData[],MATCH(Table2[[#Headers],[Grille Vision Section]],Table2[#Headers],0),0)</f>
        <v>0</v>
      </c>
      <c r="AB560" s="2">
        <f>VLOOKUP([jobnumber],OvalData[],MATCH(Table2[[#Headers],[Grille Amount]],Table2[#Headers],0),0)</f>
        <v>0</v>
      </c>
      <c r="AC560" s="2">
        <f>VLOOKUP([jobnumber],OvalData[],MATCH(Table2[[#Headers],[Grille Center]],Table2[#Headers],0),0)</f>
        <v>0</v>
      </c>
      <c r="AD560" s="2">
        <f>VLOOKUP([jobnumber],OvalData[],MATCH(Table2[[#Headers],[Grille Pattern]],Table2[#Headers],0),0)</f>
        <v>0</v>
      </c>
      <c r="AE560" s="2">
        <f>VLOOKUP([jobnumber],OvalData[],MATCH(Table2[[#Headers],[Grille First Tube]],Table2[#Headers],0),0)</f>
        <v>0</v>
      </c>
      <c r="AF560" s="2">
        <f>VLOOKUP([jobnumber],OvalData[],MATCH(Table2[[#Headers],[Grille Standard Tube]],Table2[#Headers],0),0)</f>
        <v>0</v>
      </c>
      <c r="AG560" s="2">
        <f>VLOOKUP([jobnumber],OvalData[],MATCH(Table2[[#Headers],[Grille Total Links]],Table2[#Headers],0),0)</f>
        <v>0</v>
      </c>
      <c r="AH560" s="2">
        <f>VLOOKUP([jobnumber],OvalData[],MATCH(Table2[[#Headers],[Grille Rods]],Table2[#Headers],0),0)</f>
        <v>0</v>
      </c>
      <c r="AI560" s="2">
        <f>VLOOKUP([jobnumber],OvalData[],MATCH(Table2[[#Headers],[Grille Rod Length]],Table2[#Headers],0),0)</f>
        <v>0</v>
      </c>
      <c r="AJ560" s="2">
        <f>VLOOKUP([jobnumber],OvalData[],MATCH(Table2[[#Headers],[slattype]],Table2[#Headers],0),0)</f>
        <v>2</v>
      </c>
      <c r="AK560" s="2">
        <f>VLOOKUP([jobnumber],OvalData[],MATCH(Table2[[#Headers],[slatgage]],Table2[#Headers],0),0)</f>
        <v>18</v>
      </c>
      <c r="AL560" s="2">
        <f>VLOOKUP([jobnumber],OvalData[],MATCH(Table2[[#Headers],[Numer of Top Slats]],Table2[#Headers],0),0)</f>
        <v>0</v>
      </c>
      <c r="AM560" s="2">
        <f>VLOOKUP([jobnumber],OvalData[],MATCH(Table2[[#Headers],[Number of Bottom Slats]],Table2[#Headers],0),0)</f>
        <v>0</v>
      </c>
      <c r="AN560" s="2">
        <f>VLOOKUP([jobnumber],OvalData[],MATCH(Table2[[#Headers],[Solid Bottom Height]],Table2[#Headers],0),0)</f>
        <v>0</v>
      </c>
      <c r="AO560" s="2" t="str">
        <f>VLOOKUP([jobnumber],OvalData[],MATCH(Table2[[#Headers],[slatlength]],Table2[#Headers],0),0)</f>
        <v xml:space="preserve"> 18 ft.- 5 7/ 8"</v>
      </c>
      <c r="AP560" s="2">
        <f>VLOOKUP([jobnumber],OvalData[],MATCH(Table2[[#Headers],[Bottom Slat Length]],Table2[#Headers],0),0)</f>
        <v>0</v>
      </c>
      <c r="AQ560" s="2">
        <f>VLOOKUP([jobnumber],OvalData[],MATCH(Table2[[#Headers],[Number of Perferated Slats]],Table2[#Headers],0),0)</f>
        <v>0</v>
      </c>
      <c r="AR560" s="2">
        <f>VLOOKUP([jobnumber],OvalData[],MATCH(Table2[[#Headers],[First Preferated Slat From End]],Table2[#Headers],0),0)</f>
        <v>0</v>
      </c>
      <c r="AS560" s="2">
        <f>VLOOKUP([jobnumber],OvalData[],MATCH(Table2[[#Headers],[First Preferated Slat From Bottom]],Table2[#Headers],0),0)</f>
        <v>0</v>
      </c>
      <c r="AT560" s="2">
        <f>VLOOKUP([jobnumber],OvalData[],MATCH(Table2[[#Headers],[Total Number of Slats]],Table2[#Headers],0),0)</f>
        <v>51</v>
      </c>
      <c r="AU560" s="2">
        <f>VLOOKUP([jobnumber],OvalData[],MATCH(Table2[[#Headers],[Bottom Bar Slope]],Table2[#Headers],0),0)</f>
        <v>0</v>
      </c>
      <c r="AV560" s="2">
        <f>VLOOKUP([jobnumber],OvalData[],MATCH(Table2[[#Headers],[Bottom Bar Weight]],Table2[#Headers],0),0)</f>
        <v>80.5</v>
      </c>
      <c r="AW560" s="2" t="str">
        <f>VLOOKUP([jobnumber],OvalData[],MATCH(Table2[[#Headers],[Outer Spring Gage]],Table2[#Headers],0),0)</f>
        <v>Null</v>
      </c>
      <c r="AX560" s="2" t="str">
        <f>VLOOKUP([jobnumber],OvalData[],MATCH(Table2[[#Headers],[Outer Spring OD]],Table2[#Headers],0),0)</f>
        <v>Null</v>
      </c>
      <c r="AY560" s="2" t="str">
        <f>VLOOKUP([jobnumber],OvalData[],MATCH(Table2[[#Headers],[Outer Spring Length]],Table2[#Headers],0),0)</f>
        <v>Null</v>
      </c>
      <c r="AZ560" s="2" t="str">
        <f>VLOOKUP([jobnumber],OvalData[],MATCH(Table2[[#Headers],[Outer Spring Stretch]],Table2[#Headers],0),0)</f>
        <v>Null</v>
      </c>
      <c r="BA560" s="2" t="str">
        <f>VLOOKUP([jobnumber],OvalData[],MATCH(Table2[[#Headers],[Outer Spring Torque]],Table2[#Headers],0),0)</f>
        <v>Null</v>
      </c>
      <c r="BB560" s="2" t="str">
        <f>VLOOKUP([jobnumber],OvalData[],MATCH(Table2[[#Headers],[Outer Spring Max Turns]],Table2[#Headers],0),0)</f>
        <v>Null</v>
      </c>
      <c r="BC560" s="2" t="str">
        <f>VLOOKUP([jobnumber],OvalData[],MATCH(Table2[[#Headers],[Outer Spring Weight]],Table2[#Headers],0),0)</f>
        <v>Null</v>
      </c>
      <c r="BD560" s="2" t="str">
        <f>VLOOKUP([jobnumber],OvalData[],MATCH(Table2[[#Headers],[Inner Spring Gage]],Table2[#Headers],0),0)</f>
        <v>Null</v>
      </c>
      <c r="BE560" s="2" t="str">
        <f>VLOOKUP([jobnumber],OvalData[],MATCH(Table2[[#Headers],[Inner Spring OD]],Table2[#Headers],0),0)</f>
        <v>Null</v>
      </c>
      <c r="BF560" s="2" t="str">
        <f>VLOOKUP([jobnumber],OvalData[],MATCH(Table2[[#Headers],[Inner Spring Length]],Table2[#Headers],0),0)</f>
        <v>Null</v>
      </c>
      <c r="BG560" s="2" t="str">
        <f>VLOOKUP([jobnumber],OvalData[],MATCH(Table2[[#Headers],[Inner Spring Stretch]],Table2[#Headers],0),0)</f>
        <v>Null</v>
      </c>
      <c r="BH560" s="2" t="str">
        <f>VLOOKUP([jobnumber],OvalData[],MATCH(Table2[[#Headers],[Inner Spring Torque]],Table2[#Headers],0),0)</f>
        <v>Null</v>
      </c>
      <c r="BI560" s="2" t="str">
        <f>VLOOKUP([jobnumber],OvalData[],MATCH(Table2[[#Headers],[Inner Spring Max Turns]],Table2[#Headers],0),0)</f>
        <v>Null</v>
      </c>
      <c r="BJ560" s="2" t="str">
        <f>VLOOKUP([jobnumber],OvalData[],MATCH(Table2[[#Headers],[Inner Spring Weight]],Table2[#Headers],0),0)</f>
        <v>Null</v>
      </c>
      <c r="BK560" s="2">
        <f>VLOOKUP([jobnumber],OvalData[],MATCH(Table2[[#Headers],[Cycles]],Table2[#Headers],0),0)</f>
        <v>0</v>
      </c>
      <c r="BL560" s="2">
        <f>VLOOKUP([jobnumber],OvalData[],MATCH(Table2[[#Headers],[Total Spring Torque]],Table2[#Headers],0),0)</f>
        <v>0</v>
      </c>
      <c r="BM560" s="2">
        <f>VLOOKUP([jobnumber],OvalData[],MATCH(Table2[[#Headers],[Total Spring Weight]],Table2[#Headers],0),0)</f>
        <v>0</v>
      </c>
      <c r="BN560" s="2">
        <f>VLOOKUP([jobnumber],OvalData[],MATCH(Table2[[#Headers],[Pipe Weight]],Table2[#Headers],0),0)</f>
        <v>688.24239999999998</v>
      </c>
      <c r="BO560" s="2">
        <f>VLOOKUP([jobnumber],OvalData[],MATCH(Table2[[#Headers],[Max Pipe Deflection]],Table2[#Headers],0),0)</f>
        <v>2309</v>
      </c>
      <c r="BP560" s="2">
        <f>VLOOKUP([jobnumber],OvalData[],MATCH(Table2[[#Headers],[Number Non-Insulated Wrap Slats]],Table2[#Headers],0),0)</f>
        <v>0</v>
      </c>
      <c r="BQ560" s="2">
        <f>VLOOKUP([jobnumber],OvalData[],MATCH(Table2[[#Headers],[Number of Insolated Top Slats]],Table2[#Headers],0),0)</f>
        <v>45</v>
      </c>
      <c r="BR560" s="2">
        <f>VLOOKUP([jobnumber],OvalData[],MATCH(Table2[[#Headers],[Insolated Total Slats]],Table2[#Headers],0),0)</f>
        <v>45</v>
      </c>
      <c r="BS560" s="2">
        <f>VLOOKUP([jobnumber],OvalData[],MATCH(Table2[[#Headers],[Number of Slats]],Table2[#Headers],0),0)</f>
        <v>44.69</v>
      </c>
      <c r="BT560" s="2">
        <f>VLOOKUP([jobnumber],OvalData[],MATCH(Table2[[#Headers],[Wrap]],Table2[#Headers],0),0)</f>
        <v>0</v>
      </c>
      <c r="BU560" s="2">
        <f>VLOOKUP([jobnumber],OvalData[],MATCH(Table2[[#Headers],[Wall Angle Thickness]],Table2[#Headers],0),0)</f>
        <v>0</v>
      </c>
      <c r="BV560" s="2">
        <f>VLOOKUP([jobnumber],OvalData[],MATCH(Table2[[#Headers],[windlocks]],Table2[#Headers],0),0)</f>
        <v>0</v>
      </c>
      <c r="BW560" s="2" t="str">
        <f>VLOOKUP([jobnumber],OvalData[],MATCH(Table2[[#Headers],[bottombartype]],Table2[#Headers],0),0)</f>
        <v>SPECIAL</v>
      </c>
      <c r="BX560" s="2">
        <f>VLOOKUP([jobnumber],OvalData[],MATCH(Table2[[#Headers],[endlockweight]],Table2[#Headers],0),0)</f>
        <v>0.17</v>
      </c>
      <c r="BY560" s="2">
        <f>VLOOKUP([jobnumber],OvalData[],MATCH(Table2[[#Headers],[Endlock Total Weight]],Table2[#Headers],0),0)</f>
        <v>7.5972999999999997</v>
      </c>
      <c r="BZ560" s="2">
        <f>VLOOKUP([jobnumber],OvalData[],MATCH(Table2[[#Headers],[Grille Weight]],Table2[#Headers],0),0)</f>
        <v>0</v>
      </c>
      <c r="CA560" s="2">
        <f>VLOOKUP([jobnumber],OvalData[],MATCH(Table2[[#Headers],[barrelrings]],Table2[#Headers],0),0)</f>
        <v>1</v>
      </c>
    </row>
    <row r="561" spans="2:79">
      <c r="B561" s="2" t="str">
        <f>VLOOKUP([jobnumber],OvalData[],MATCH(Table2[[#Headers],[Hand]],Table2[#Headers],0),0)</f>
        <v>RH</v>
      </c>
      <c r="C561" s="2" t="str">
        <f>VLOOKUP([jobnumber],OvalData[],MATCH(Table2[[#Headers],[Model]],Table2[#Headers],0),0)</f>
        <v>SFMPP</v>
      </c>
      <c r="D561" s="2" t="str">
        <f>VLOOKUP([jobnumber],OvalData[],MATCH(Table2[[#Headers],[width]],Table2[#Headers],0),0)</f>
        <v xml:space="preserve"> 18 ft.- 2"</v>
      </c>
      <c r="E561" s="2" t="str">
        <f>VLOOKUP([jobnumber],OvalData[],MATCH(Table2[[#Headers],[stopheight]],Table2[#Headers],0),0)</f>
        <v xml:space="preserve"> 10 ft.- 0"</v>
      </c>
      <c r="F561" s="2" t="str">
        <f>VLOOKUP([jobnumber],OvalData[],MATCH(Table2[[#Headers],[Between Brackets]],Table2[#Headers],0),0)</f>
        <v xml:space="preserve"> 18 ft.- 7 7/ 8"</v>
      </c>
      <c r="G561" s="2" t="str">
        <f>VLOOKUP([jobnumber],OvalData[],MATCH(Table2[[#Headers],[shell]],Table2[#Headers],0),0)</f>
        <v>6 INCH TUBE</v>
      </c>
      <c r="H561" s="2" t="str">
        <f>VLOOKUP([jobnumber],OvalData[],MATCH(Table2[[#Headers],[pipewidth]],Table2[#Headers],0),0)</f>
        <v xml:space="preserve"> 18 ft.- 1 3/ 8"</v>
      </c>
      <c r="I561" s="2">
        <f>VLOOKUP([jobnumber],OvalData[],MATCH(Table2[[#Headers],[Support Tubes]],Table2[#Headers],0),0)</f>
        <v>0</v>
      </c>
      <c r="J561" s="2">
        <f>VLOOKUP([jobnumber],OvalData[],MATCH(Table2[[#Headers],[Upset]],Table2[#Headers],0),0)</f>
        <v>2</v>
      </c>
      <c r="K561" s="2" t="str">
        <f>VLOOKUP([jobnumber],OvalData[],MATCH(Table2[[#Headers],[Guide Type]],Table2[#Headers],0),0)</f>
        <v>SN2-4 5/8-E</v>
      </c>
      <c r="L561" s="2" t="str">
        <f>VLOOKUP([jobnumber],OvalData[],MATCH(Table2[[#Headers],[Wall Angle]],Table2[#Headers],0),0)</f>
        <v xml:space="preserve"> 11 ft.- 8"</v>
      </c>
      <c r="M561" s="2" t="str">
        <f>VLOOKUP([jobnumber],OvalData[],MATCH(Table2[[#Headers],[Middle Angle]],Table2[#Headers],0),0)</f>
        <v xml:space="preserve"> 10 ft.- 4 1/ 2"</v>
      </c>
      <c r="N561" s="2" t="str">
        <f>VLOOKUP([jobnumber],OvalData[],MATCH(Table2[[#Headers],[Front Angle]],Table2[#Headers],0),0)</f>
        <v xml:space="preserve"> 10 ft.- 3"</v>
      </c>
      <c r="O561" s="2">
        <f>VLOOKUP([jobnumber],OvalData[],MATCH(Table2[[#Headers],[Pipe Center Line]],Table2[#Headers],0),0)</f>
        <v>131</v>
      </c>
      <c r="P561" s="2">
        <f>VLOOKUP([jobnumber],OvalData[],MATCH(Table2[[#Headers],[Heat Expansion Gap]],Table2[#Headers],0),0)</f>
        <v>0</v>
      </c>
      <c r="Q561" s="2">
        <f>VLOOKUP([jobnumber],OvalData[],MATCH(Table2[[#Headers],[Hanging Weight Closed]],Table2[#Headers],0),0)</f>
        <v>795</v>
      </c>
      <c r="R561" s="2">
        <f>VLOOKUP([jobnumber],OvalData[],MATCH(Table2[[#Headers],[Hanging Weight Open]],Table2[#Headers],0),0)</f>
        <v>140</v>
      </c>
      <c r="S561" s="2">
        <f>VLOOKUP([jobnumber],OvalData[],MATCH(Table2[[#Headers],[Initial Lever Arm]],Table2[#Headers],0),0)</f>
        <v>4.25</v>
      </c>
      <c r="T561" s="2">
        <f>VLOOKUP([jobnumber],OvalData[],MATCH(Table2[[#Headers],[Turns to Raise]],Table2[#Headers],0),0)</f>
        <v>3.5859999999999999</v>
      </c>
      <c r="U561" s="2">
        <f>VLOOKUP([jobnumber],OvalData[],MATCH(Table2[[#Headers],[Final Lever Arm]],Table2[#Headers],0),0)</f>
        <v>6.37</v>
      </c>
      <c r="V561" s="2">
        <f>VLOOKUP([jobnumber],OvalData[],MATCH(Table2[[#Headers],[Torque Required Closed]],Table2[#Headers],0),0)</f>
        <v>3377.9</v>
      </c>
      <c r="W561" s="2">
        <f>VLOOKUP([jobnumber],OvalData[],MATCH(Table2[[#Headers],[Torque Required Open]],Table2[#Headers],0),0)</f>
        <v>892</v>
      </c>
      <c r="X561" s="2">
        <f>VLOOKUP([jobnumber],OvalData[],MATCH(Table2[[#Headers],[Pre Turns]],Table2[#Headers],0),0)</f>
        <v>1.3332999999999999</v>
      </c>
      <c r="Y561" s="2">
        <f>VLOOKUP([jobnumber],OvalData[],MATCH(Table2[[#Headers],[Required Torque Per Turn]],Table2[#Headers],0),0)</f>
        <v>688</v>
      </c>
      <c r="Z561" s="2">
        <f>VLOOKUP([jobnumber],OvalData[],MATCH(Table2[[#Headers],[Total Turns]],Table2[#Headers],0),0)</f>
        <v>4.91</v>
      </c>
      <c r="AA561" s="2">
        <f>VLOOKUP([jobnumber],OvalData[],MATCH(Table2[[#Headers],[Grille Vision Section]],Table2[#Headers],0),0)</f>
        <v>0</v>
      </c>
      <c r="AB561" s="2">
        <f>VLOOKUP([jobnumber],OvalData[],MATCH(Table2[[#Headers],[Grille Amount]],Table2[#Headers],0),0)</f>
        <v>0</v>
      </c>
      <c r="AC561" s="2">
        <f>VLOOKUP([jobnumber],OvalData[],MATCH(Table2[[#Headers],[Grille Center]],Table2[#Headers],0),0)</f>
        <v>0</v>
      </c>
      <c r="AD561" s="2">
        <f>VLOOKUP([jobnumber],OvalData[],MATCH(Table2[[#Headers],[Grille Pattern]],Table2[#Headers],0),0)</f>
        <v>0</v>
      </c>
      <c r="AE561" s="2">
        <f>VLOOKUP([jobnumber],OvalData[],MATCH(Table2[[#Headers],[Grille First Tube]],Table2[#Headers],0),0)</f>
        <v>0</v>
      </c>
      <c r="AF561" s="2">
        <f>VLOOKUP([jobnumber],OvalData[],MATCH(Table2[[#Headers],[Grille Standard Tube]],Table2[#Headers],0),0)</f>
        <v>0</v>
      </c>
      <c r="AG561" s="2">
        <f>VLOOKUP([jobnumber],OvalData[],MATCH(Table2[[#Headers],[Grille Total Links]],Table2[#Headers],0),0)</f>
        <v>0</v>
      </c>
      <c r="AH561" s="2">
        <f>VLOOKUP([jobnumber],OvalData[],MATCH(Table2[[#Headers],[Grille Rods]],Table2[#Headers],0),0)</f>
        <v>0</v>
      </c>
      <c r="AI561" s="2">
        <f>VLOOKUP([jobnumber],OvalData[],MATCH(Table2[[#Headers],[Grille Rod Length]],Table2[#Headers],0),0)</f>
        <v>0</v>
      </c>
      <c r="AJ561" s="2">
        <f>VLOOKUP([jobnumber],OvalData[],MATCH(Table2[[#Headers],[slattype]],Table2[#Headers],0),0)</f>
        <v>2</v>
      </c>
      <c r="AK561" s="2">
        <f>VLOOKUP([jobnumber],OvalData[],MATCH(Table2[[#Headers],[slatgage]],Table2[#Headers],0),0)</f>
        <v>18</v>
      </c>
      <c r="AL561" s="2">
        <f>VLOOKUP([jobnumber],OvalData[],MATCH(Table2[[#Headers],[Numer of Top Slats]],Table2[#Headers],0),0)</f>
        <v>0</v>
      </c>
      <c r="AM561" s="2">
        <f>VLOOKUP([jobnumber],OvalData[],MATCH(Table2[[#Headers],[Number of Bottom Slats]],Table2[#Headers],0),0)</f>
        <v>0</v>
      </c>
      <c r="AN561" s="2">
        <f>VLOOKUP([jobnumber],OvalData[],MATCH(Table2[[#Headers],[Solid Bottom Height]],Table2[#Headers],0),0)</f>
        <v>0</v>
      </c>
      <c r="AO561" s="2" t="str">
        <f>VLOOKUP([jobnumber],OvalData[],MATCH(Table2[[#Headers],[slatlength]],Table2[#Headers],0),0)</f>
        <v xml:space="preserve"> 18 ft.- 5 7/ 8"</v>
      </c>
      <c r="AP561" s="2">
        <f>VLOOKUP([jobnumber],OvalData[],MATCH(Table2[[#Headers],[Bottom Slat Length]],Table2[#Headers],0),0)</f>
        <v>0</v>
      </c>
      <c r="AQ561" s="2">
        <f>VLOOKUP([jobnumber],OvalData[],MATCH(Table2[[#Headers],[Number of Perferated Slats]],Table2[#Headers],0),0)</f>
        <v>0</v>
      </c>
      <c r="AR561" s="2">
        <f>VLOOKUP([jobnumber],OvalData[],MATCH(Table2[[#Headers],[First Preferated Slat From End]],Table2[#Headers],0),0)</f>
        <v>0</v>
      </c>
      <c r="AS561" s="2">
        <f>VLOOKUP([jobnumber],OvalData[],MATCH(Table2[[#Headers],[First Preferated Slat From Bottom]],Table2[#Headers],0),0)</f>
        <v>0</v>
      </c>
      <c r="AT561" s="2">
        <f>VLOOKUP([jobnumber],OvalData[],MATCH(Table2[[#Headers],[Total Number of Slats]],Table2[#Headers],0),0)</f>
        <v>51</v>
      </c>
      <c r="AU561" s="2">
        <f>VLOOKUP([jobnumber],OvalData[],MATCH(Table2[[#Headers],[Bottom Bar Slope]],Table2[#Headers],0),0)</f>
        <v>0</v>
      </c>
      <c r="AV561" s="2">
        <f>VLOOKUP([jobnumber],OvalData[],MATCH(Table2[[#Headers],[Bottom Bar Weight]],Table2[#Headers],0),0)</f>
        <v>80.5</v>
      </c>
      <c r="AW561" s="2" t="str">
        <f>VLOOKUP([jobnumber],OvalData[],MATCH(Table2[[#Headers],[Outer Spring Gage]],Table2[#Headers],0),0)</f>
        <v>Null</v>
      </c>
      <c r="AX561" s="2" t="str">
        <f>VLOOKUP([jobnumber],OvalData[],MATCH(Table2[[#Headers],[Outer Spring OD]],Table2[#Headers],0),0)</f>
        <v>Null</v>
      </c>
      <c r="AY561" s="2" t="str">
        <f>VLOOKUP([jobnumber],OvalData[],MATCH(Table2[[#Headers],[Outer Spring Length]],Table2[#Headers],0),0)</f>
        <v>Null</v>
      </c>
      <c r="AZ561" s="2" t="str">
        <f>VLOOKUP([jobnumber],OvalData[],MATCH(Table2[[#Headers],[Outer Spring Stretch]],Table2[#Headers],0),0)</f>
        <v>Null</v>
      </c>
      <c r="BA561" s="2" t="str">
        <f>VLOOKUP([jobnumber],OvalData[],MATCH(Table2[[#Headers],[Outer Spring Torque]],Table2[#Headers],0),0)</f>
        <v>Null</v>
      </c>
      <c r="BB561" s="2" t="str">
        <f>VLOOKUP([jobnumber],OvalData[],MATCH(Table2[[#Headers],[Outer Spring Max Turns]],Table2[#Headers],0),0)</f>
        <v>Null</v>
      </c>
      <c r="BC561" s="2" t="str">
        <f>VLOOKUP([jobnumber],OvalData[],MATCH(Table2[[#Headers],[Outer Spring Weight]],Table2[#Headers],0),0)</f>
        <v>Null</v>
      </c>
      <c r="BD561" s="2" t="str">
        <f>VLOOKUP([jobnumber],OvalData[],MATCH(Table2[[#Headers],[Inner Spring Gage]],Table2[#Headers],0),0)</f>
        <v>Null</v>
      </c>
      <c r="BE561" s="2" t="str">
        <f>VLOOKUP([jobnumber],OvalData[],MATCH(Table2[[#Headers],[Inner Spring OD]],Table2[#Headers],0),0)</f>
        <v>Null</v>
      </c>
      <c r="BF561" s="2" t="str">
        <f>VLOOKUP([jobnumber],OvalData[],MATCH(Table2[[#Headers],[Inner Spring Length]],Table2[#Headers],0),0)</f>
        <v>Null</v>
      </c>
      <c r="BG561" s="2" t="str">
        <f>VLOOKUP([jobnumber],OvalData[],MATCH(Table2[[#Headers],[Inner Spring Stretch]],Table2[#Headers],0),0)</f>
        <v>Null</v>
      </c>
      <c r="BH561" s="2" t="str">
        <f>VLOOKUP([jobnumber],OvalData[],MATCH(Table2[[#Headers],[Inner Spring Torque]],Table2[#Headers],0),0)</f>
        <v>Null</v>
      </c>
      <c r="BI561" s="2" t="str">
        <f>VLOOKUP([jobnumber],OvalData[],MATCH(Table2[[#Headers],[Inner Spring Max Turns]],Table2[#Headers],0),0)</f>
        <v>Null</v>
      </c>
      <c r="BJ561" s="2" t="str">
        <f>VLOOKUP([jobnumber],OvalData[],MATCH(Table2[[#Headers],[Inner Spring Weight]],Table2[#Headers],0),0)</f>
        <v>Null</v>
      </c>
      <c r="BK561" s="2">
        <f>VLOOKUP([jobnumber],OvalData[],MATCH(Table2[[#Headers],[Cycles]],Table2[#Headers],0),0)</f>
        <v>0</v>
      </c>
      <c r="BL561" s="2">
        <f>VLOOKUP([jobnumber],OvalData[],MATCH(Table2[[#Headers],[Total Spring Torque]],Table2[#Headers],0),0)</f>
        <v>0</v>
      </c>
      <c r="BM561" s="2">
        <f>VLOOKUP([jobnumber],OvalData[],MATCH(Table2[[#Headers],[Total Spring Weight]],Table2[#Headers],0),0)</f>
        <v>0</v>
      </c>
      <c r="BN561" s="2">
        <f>VLOOKUP([jobnumber],OvalData[],MATCH(Table2[[#Headers],[Pipe Weight]],Table2[#Headers],0),0)</f>
        <v>688.24239999999998</v>
      </c>
      <c r="BO561" s="2">
        <f>VLOOKUP([jobnumber],OvalData[],MATCH(Table2[[#Headers],[Max Pipe Deflection]],Table2[#Headers],0),0)</f>
        <v>2309</v>
      </c>
      <c r="BP561" s="2">
        <f>VLOOKUP([jobnumber],OvalData[],MATCH(Table2[[#Headers],[Number Non-Insulated Wrap Slats]],Table2[#Headers],0),0)</f>
        <v>0</v>
      </c>
      <c r="BQ561" s="2">
        <f>VLOOKUP([jobnumber],OvalData[],MATCH(Table2[[#Headers],[Number of Insolated Top Slats]],Table2[#Headers],0),0)</f>
        <v>45</v>
      </c>
      <c r="BR561" s="2">
        <f>VLOOKUP([jobnumber],OvalData[],MATCH(Table2[[#Headers],[Insolated Total Slats]],Table2[#Headers],0),0)</f>
        <v>45</v>
      </c>
      <c r="BS561" s="2">
        <f>VLOOKUP([jobnumber],OvalData[],MATCH(Table2[[#Headers],[Number of Slats]],Table2[#Headers],0),0)</f>
        <v>44.69</v>
      </c>
      <c r="BT561" s="2">
        <f>VLOOKUP([jobnumber],OvalData[],MATCH(Table2[[#Headers],[Wrap]],Table2[#Headers],0),0)</f>
        <v>0</v>
      </c>
      <c r="BU561" s="2">
        <f>VLOOKUP([jobnumber],OvalData[],MATCH(Table2[[#Headers],[Wall Angle Thickness]],Table2[#Headers],0),0)</f>
        <v>0</v>
      </c>
      <c r="BV561" s="2">
        <f>VLOOKUP([jobnumber],OvalData[],MATCH(Table2[[#Headers],[windlocks]],Table2[#Headers],0),0)</f>
        <v>0</v>
      </c>
      <c r="BW561" s="2" t="str">
        <f>VLOOKUP([jobnumber],OvalData[],MATCH(Table2[[#Headers],[bottombartype]],Table2[#Headers],0),0)</f>
        <v>SPECIAL</v>
      </c>
      <c r="BX561" s="2">
        <f>VLOOKUP([jobnumber],OvalData[],MATCH(Table2[[#Headers],[endlockweight]],Table2[#Headers],0),0)</f>
        <v>0.17</v>
      </c>
      <c r="BY561" s="2">
        <f>VLOOKUP([jobnumber],OvalData[],MATCH(Table2[[#Headers],[Endlock Total Weight]],Table2[#Headers],0),0)</f>
        <v>7.5972999999999997</v>
      </c>
      <c r="BZ561" s="2">
        <f>VLOOKUP([jobnumber],OvalData[],MATCH(Table2[[#Headers],[Grille Weight]],Table2[#Headers],0),0)</f>
        <v>0</v>
      </c>
      <c r="CA561" s="2">
        <f>VLOOKUP([jobnumber],OvalData[],MATCH(Table2[[#Headers],[barrelrings]],Table2[#Headers],0),0)</f>
        <v>1</v>
      </c>
    </row>
    <row r="562" spans="2:79">
      <c r="B562" s="2" t="str">
        <f>VLOOKUP([jobnumber],OvalData[],MATCH(Table2[[#Headers],[Hand]],Table2[#Headers],0),0)</f>
        <v>RH</v>
      </c>
      <c r="C562" s="2" t="str">
        <f>VLOOKUP([jobnumber],OvalData[],MATCH(Table2[[#Headers],[Model]],Table2[#Headers],0),0)</f>
        <v>SFMPP</v>
      </c>
      <c r="D562" s="2" t="str">
        <f>VLOOKUP([jobnumber],OvalData[],MATCH(Table2[[#Headers],[width]],Table2[#Headers],0),0)</f>
        <v xml:space="preserve"> 18 ft.- 2"</v>
      </c>
      <c r="E562" s="2" t="str">
        <f>VLOOKUP([jobnumber],OvalData[],MATCH(Table2[[#Headers],[stopheight]],Table2[#Headers],0),0)</f>
        <v xml:space="preserve"> 10 ft.- 0"</v>
      </c>
      <c r="F562" s="2" t="str">
        <f>VLOOKUP([jobnumber],OvalData[],MATCH(Table2[[#Headers],[Between Brackets]],Table2[#Headers],0),0)</f>
        <v xml:space="preserve"> 18 ft.- 7 7/ 8"</v>
      </c>
      <c r="G562" s="2" t="str">
        <f>VLOOKUP([jobnumber],OvalData[],MATCH(Table2[[#Headers],[shell]],Table2[#Headers],0),0)</f>
        <v>6 INCH TUBE</v>
      </c>
      <c r="H562" s="2" t="str">
        <f>VLOOKUP([jobnumber],OvalData[],MATCH(Table2[[#Headers],[pipewidth]],Table2[#Headers],0),0)</f>
        <v xml:space="preserve"> 18 ft.- 1 3/ 8"</v>
      </c>
      <c r="I562" s="2">
        <f>VLOOKUP([jobnumber],OvalData[],MATCH(Table2[[#Headers],[Support Tubes]],Table2[#Headers],0),0)</f>
        <v>0</v>
      </c>
      <c r="J562" s="2">
        <f>VLOOKUP([jobnumber],OvalData[],MATCH(Table2[[#Headers],[Upset]],Table2[#Headers],0),0)</f>
        <v>2</v>
      </c>
      <c r="K562" s="2" t="str">
        <f>VLOOKUP([jobnumber],OvalData[],MATCH(Table2[[#Headers],[Guide Type]],Table2[#Headers],0),0)</f>
        <v>SN2-4 5/8-E</v>
      </c>
      <c r="L562" s="2" t="str">
        <f>VLOOKUP([jobnumber],OvalData[],MATCH(Table2[[#Headers],[Wall Angle]],Table2[#Headers],0),0)</f>
        <v xml:space="preserve"> 11 ft.- 8"</v>
      </c>
      <c r="M562" s="2" t="str">
        <f>VLOOKUP([jobnumber],OvalData[],MATCH(Table2[[#Headers],[Middle Angle]],Table2[#Headers],0),0)</f>
        <v xml:space="preserve"> 10 ft.- 4 1/ 2"</v>
      </c>
      <c r="N562" s="2" t="str">
        <f>VLOOKUP([jobnumber],OvalData[],MATCH(Table2[[#Headers],[Front Angle]],Table2[#Headers],0),0)</f>
        <v xml:space="preserve"> 10 ft.- 3"</v>
      </c>
      <c r="O562" s="2">
        <f>VLOOKUP([jobnumber],OvalData[],MATCH(Table2[[#Headers],[Pipe Center Line]],Table2[#Headers],0),0)</f>
        <v>131</v>
      </c>
      <c r="P562" s="2">
        <f>VLOOKUP([jobnumber],OvalData[],MATCH(Table2[[#Headers],[Heat Expansion Gap]],Table2[#Headers],0),0)</f>
        <v>0</v>
      </c>
      <c r="Q562" s="2">
        <f>VLOOKUP([jobnumber],OvalData[],MATCH(Table2[[#Headers],[Hanging Weight Closed]],Table2[#Headers],0),0)</f>
        <v>795</v>
      </c>
      <c r="R562" s="2">
        <f>VLOOKUP([jobnumber],OvalData[],MATCH(Table2[[#Headers],[Hanging Weight Open]],Table2[#Headers],0),0)</f>
        <v>140</v>
      </c>
      <c r="S562" s="2">
        <f>VLOOKUP([jobnumber],OvalData[],MATCH(Table2[[#Headers],[Initial Lever Arm]],Table2[#Headers],0),0)</f>
        <v>4.25</v>
      </c>
      <c r="T562" s="2">
        <f>VLOOKUP([jobnumber],OvalData[],MATCH(Table2[[#Headers],[Turns to Raise]],Table2[#Headers],0),0)</f>
        <v>3.5859999999999999</v>
      </c>
      <c r="U562" s="2">
        <f>VLOOKUP([jobnumber],OvalData[],MATCH(Table2[[#Headers],[Final Lever Arm]],Table2[#Headers],0),0)</f>
        <v>6.37</v>
      </c>
      <c r="V562" s="2">
        <f>VLOOKUP([jobnumber],OvalData[],MATCH(Table2[[#Headers],[Torque Required Closed]],Table2[#Headers],0),0)</f>
        <v>3377.9</v>
      </c>
      <c r="W562" s="2">
        <f>VLOOKUP([jobnumber],OvalData[],MATCH(Table2[[#Headers],[Torque Required Open]],Table2[#Headers],0),0)</f>
        <v>892</v>
      </c>
      <c r="X562" s="2">
        <f>VLOOKUP([jobnumber],OvalData[],MATCH(Table2[[#Headers],[Pre Turns]],Table2[#Headers],0),0)</f>
        <v>1.3332999999999999</v>
      </c>
      <c r="Y562" s="2">
        <f>VLOOKUP([jobnumber],OvalData[],MATCH(Table2[[#Headers],[Required Torque Per Turn]],Table2[#Headers],0),0)</f>
        <v>688</v>
      </c>
      <c r="Z562" s="2">
        <f>VLOOKUP([jobnumber],OvalData[],MATCH(Table2[[#Headers],[Total Turns]],Table2[#Headers],0),0)</f>
        <v>4.91</v>
      </c>
      <c r="AA562" s="2">
        <f>VLOOKUP([jobnumber],OvalData[],MATCH(Table2[[#Headers],[Grille Vision Section]],Table2[#Headers],0),0)</f>
        <v>0</v>
      </c>
      <c r="AB562" s="2">
        <f>VLOOKUP([jobnumber],OvalData[],MATCH(Table2[[#Headers],[Grille Amount]],Table2[#Headers],0),0)</f>
        <v>0</v>
      </c>
      <c r="AC562" s="2">
        <f>VLOOKUP([jobnumber],OvalData[],MATCH(Table2[[#Headers],[Grille Center]],Table2[#Headers],0),0)</f>
        <v>0</v>
      </c>
      <c r="AD562" s="2">
        <f>VLOOKUP([jobnumber],OvalData[],MATCH(Table2[[#Headers],[Grille Pattern]],Table2[#Headers],0),0)</f>
        <v>0</v>
      </c>
      <c r="AE562" s="2">
        <f>VLOOKUP([jobnumber],OvalData[],MATCH(Table2[[#Headers],[Grille First Tube]],Table2[#Headers],0),0)</f>
        <v>0</v>
      </c>
      <c r="AF562" s="2">
        <f>VLOOKUP([jobnumber],OvalData[],MATCH(Table2[[#Headers],[Grille Standard Tube]],Table2[#Headers],0),0)</f>
        <v>0</v>
      </c>
      <c r="AG562" s="2">
        <f>VLOOKUP([jobnumber],OvalData[],MATCH(Table2[[#Headers],[Grille Total Links]],Table2[#Headers],0),0)</f>
        <v>0</v>
      </c>
      <c r="AH562" s="2">
        <f>VLOOKUP([jobnumber],OvalData[],MATCH(Table2[[#Headers],[Grille Rods]],Table2[#Headers],0),0)</f>
        <v>0</v>
      </c>
      <c r="AI562" s="2">
        <f>VLOOKUP([jobnumber],OvalData[],MATCH(Table2[[#Headers],[Grille Rod Length]],Table2[#Headers],0),0)</f>
        <v>0</v>
      </c>
      <c r="AJ562" s="2">
        <f>VLOOKUP([jobnumber],OvalData[],MATCH(Table2[[#Headers],[slattype]],Table2[#Headers],0),0)</f>
        <v>2</v>
      </c>
      <c r="AK562" s="2">
        <f>VLOOKUP([jobnumber],OvalData[],MATCH(Table2[[#Headers],[slatgage]],Table2[#Headers],0),0)</f>
        <v>18</v>
      </c>
      <c r="AL562" s="2">
        <f>VLOOKUP([jobnumber],OvalData[],MATCH(Table2[[#Headers],[Numer of Top Slats]],Table2[#Headers],0),0)</f>
        <v>0</v>
      </c>
      <c r="AM562" s="2">
        <f>VLOOKUP([jobnumber],OvalData[],MATCH(Table2[[#Headers],[Number of Bottom Slats]],Table2[#Headers],0),0)</f>
        <v>0</v>
      </c>
      <c r="AN562" s="2">
        <f>VLOOKUP([jobnumber],OvalData[],MATCH(Table2[[#Headers],[Solid Bottom Height]],Table2[#Headers],0),0)</f>
        <v>0</v>
      </c>
      <c r="AO562" s="2" t="str">
        <f>VLOOKUP([jobnumber],OvalData[],MATCH(Table2[[#Headers],[slatlength]],Table2[#Headers],0),0)</f>
        <v xml:space="preserve"> 18 ft.- 5 7/ 8"</v>
      </c>
      <c r="AP562" s="2">
        <f>VLOOKUP([jobnumber],OvalData[],MATCH(Table2[[#Headers],[Bottom Slat Length]],Table2[#Headers],0),0)</f>
        <v>0</v>
      </c>
      <c r="AQ562" s="2">
        <f>VLOOKUP([jobnumber],OvalData[],MATCH(Table2[[#Headers],[Number of Perferated Slats]],Table2[#Headers],0),0)</f>
        <v>0</v>
      </c>
      <c r="AR562" s="2">
        <f>VLOOKUP([jobnumber],OvalData[],MATCH(Table2[[#Headers],[First Preferated Slat From End]],Table2[#Headers],0),0)</f>
        <v>0</v>
      </c>
      <c r="AS562" s="2">
        <f>VLOOKUP([jobnumber],OvalData[],MATCH(Table2[[#Headers],[First Preferated Slat From Bottom]],Table2[#Headers],0),0)</f>
        <v>0</v>
      </c>
      <c r="AT562" s="2">
        <f>VLOOKUP([jobnumber],OvalData[],MATCH(Table2[[#Headers],[Total Number of Slats]],Table2[#Headers],0),0)</f>
        <v>51</v>
      </c>
      <c r="AU562" s="2">
        <f>VLOOKUP([jobnumber],OvalData[],MATCH(Table2[[#Headers],[Bottom Bar Slope]],Table2[#Headers],0),0)</f>
        <v>0</v>
      </c>
      <c r="AV562" s="2">
        <f>VLOOKUP([jobnumber],OvalData[],MATCH(Table2[[#Headers],[Bottom Bar Weight]],Table2[#Headers],0),0)</f>
        <v>80.5</v>
      </c>
      <c r="AW562" s="2" t="str">
        <f>VLOOKUP([jobnumber],OvalData[],MATCH(Table2[[#Headers],[Outer Spring Gage]],Table2[#Headers],0),0)</f>
        <v>Null</v>
      </c>
      <c r="AX562" s="2" t="str">
        <f>VLOOKUP([jobnumber],OvalData[],MATCH(Table2[[#Headers],[Outer Spring OD]],Table2[#Headers],0),0)</f>
        <v>Null</v>
      </c>
      <c r="AY562" s="2" t="str">
        <f>VLOOKUP([jobnumber],OvalData[],MATCH(Table2[[#Headers],[Outer Spring Length]],Table2[#Headers],0),0)</f>
        <v>Null</v>
      </c>
      <c r="AZ562" s="2" t="str">
        <f>VLOOKUP([jobnumber],OvalData[],MATCH(Table2[[#Headers],[Outer Spring Stretch]],Table2[#Headers],0),0)</f>
        <v>Null</v>
      </c>
      <c r="BA562" s="2" t="str">
        <f>VLOOKUP([jobnumber],OvalData[],MATCH(Table2[[#Headers],[Outer Spring Torque]],Table2[#Headers],0),0)</f>
        <v>Null</v>
      </c>
      <c r="BB562" s="2" t="str">
        <f>VLOOKUP([jobnumber],OvalData[],MATCH(Table2[[#Headers],[Outer Spring Max Turns]],Table2[#Headers],0),0)</f>
        <v>Null</v>
      </c>
      <c r="BC562" s="2" t="str">
        <f>VLOOKUP([jobnumber],OvalData[],MATCH(Table2[[#Headers],[Outer Spring Weight]],Table2[#Headers],0),0)</f>
        <v>Null</v>
      </c>
      <c r="BD562" s="2" t="str">
        <f>VLOOKUP([jobnumber],OvalData[],MATCH(Table2[[#Headers],[Inner Spring Gage]],Table2[#Headers],0),0)</f>
        <v>Null</v>
      </c>
      <c r="BE562" s="2" t="str">
        <f>VLOOKUP([jobnumber],OvalData[],MATCH(Table2[[#Headers],[Inner Spring OD]],Table2[#Headers],0),0)</f>
        <v>Null</v>
      </c>
      <c r="BF562" s="2" t="str">
        <f>VLOOKUP([jobnumber],OvalData[],MATCH(Table2[[#Headers],[Inner Spring Length]],Table2[#Headers],0),0)</f>
        <v>Null</v>
      </c>
      <c r="BG562" s="2" t="str">
        <f>VLOOKUP([jobnumber],OvalData[],MATCH(Table2[[#Headers],[Inner Spring Stretch]],Table2[#Headers],0),0)</f>
        <v>Null</v>
      </c>
      <c r="BH562" s="2" t="str">
        <f>VLOOKUP([jobnumber],OvalData[],MATCH(Table2[[#Headers],[Inner Spring Torque]],Table2[#Headers],0),0)</f>
        <v>Null</v>
      </c>
      <c r="BI562" s="2" t="str">
        <f>VLOOKUP([jobnumber],OvalData[],MATCH(Table2[[#Headers],[Inner Spring Max Turns]],Table2[#Headers],0),0)</f>
        <v>Null</v>
      </c>
      <c r="BJ562" s="2" t="str">
        <f>VLOOKUP([jobnumber],OvalData[],MATCH(Table2[[#Headers],[Inner Spring Weight]],Table2[#Headers],0),0)</f>
        <v>Null</v>
      </c>
      <c r="BK562" s="2">
        <f>VLOOKUP([jobnumber],OvalData[],MATCH(Table2[[#Headers],[Cycles]],Table2[#Headers],0),0)</f>
        <v>0</v>
      </c>
      <c r="BL562" s="2">
        <f>VLOOKUP([jobnumber],OvalData[],MATCH(Table2[[#Headers],[Total Spring Torque]],Table2[#Headers],0),0)</f>
        <v>0</v>
      </c>
      <c r="BM562" s="2">
        <f>VLOOKUP([jobnumber],OvalData[],MATCH(Table2[[#Headers],[Total Spring Weight]],Table2[#Headers],0),0)</f>
        <v>0</v>
      </c>
      <c r="BN562" s="2">
        <f>VLOOKUP([jobnumber],OvalData[],MATCH(Table2[[#Headers],[Pipe Weight]],Table2[#Headers],0),0)</f>
        <v>688.24239999999998</v>
      </c>
      <c r="BO562" s="2">
        <f>VLOOKUP([jobnumber],OvalData[],MATCH(Table2[[#Headers],[Max Pipe Deflection]],Table2[#Headers],0),0)</f>
        <v>2309</v>
      </c>
      <c r="BP562" s="2">
        <f>VLOOKUP([jobnumber],OvalData[],MATCH(Table2[[#Headers],[Number Non-Insulated Wrap Slats]],Table2[#Headers],0),0)</f>
        <v>0</v>
      </c>
      <c r="BQ562" s="2">
        <f>VLOOKUP([jobnumber],OvalData[],MATCH(Table2[[#Headers],[Number of Insolated Top Slats]],Table2[#Headers],0),0)</f>
        <v>45</v>
      </c>
      <c r="BR562" s="2">
        <f>VLOOKUP([jobnumber],OvalData[],MATCH(Table2[[#Headers],[Insolated Total Slats]],Table2[#Headers],0),0)</f>
        <v>45</v>
      </c>
      <c r="BS562" s="2">
        <f>VLOOKUP([jobnumber],OvalData[],MATCH(Table2[[#Headers],[Number of Slats]],Table2[#Headers],0),0)</f>
        <v>44.69</v>
      </c>
      <c r="BT562" s="2">
        <f>VLOOKUP([jobnumber],OvalData[],MATCH(Table2[[#Headers],[Wrap]],Table2[#Headers],0),0)</f>
        <v>0</v>
      </c>
      <c r="BU562" s="2">
        <f>VLOOKUP([jobnumber],OvalData[],MATCH(Table2[[#Headers],[Wall Angle Thickness]],Table2[#Headers],0),0)</f>
        <v>0</v>
      </c>
      <c r="BV562" s="2">
        <f>VLOOKUP([jobnumber],OvalData[],MATCH(Table2[[#Headers],[windlocks]],Table2[#Headers],0),0)</f>
        <v>0</v>
      </c>
      <c r="BW562" s="2" t="str">
        <f>VLOOKUP([jobnumber],OvalData[],MATCH(Table2[[#Headers],[bottombartype]],Table2[#Headers],0),0)</f>
        <v>SPECIAL</v>
      </c>
      <c r="BX562" s="2">
        <f>VLOOKUP([jobnumber],OvalData[],MATCH(Table2[[#Headers],[endlockweight]],Table2[#Headers],0),0)</f>
        <v>0.17</v>
      </c>
      <c r="BY562" s="2">
        <f>VLOOKUP([jobnumber],OvalData[],MATCH(Table2[[#Headers],[Endlock Total Weight]],Table2[#Headers],0),0)</f>
        <v>7.5972999999999997</v>
      </c>
      <c r="BZ562" s="2">
        <f>VLOOKUP([jobnumber],OvalData[],MATCH(Table2[[#Headers],[Grille Weight]],Table2[#Headers],0),0)</f>
        <v>0</v>
      </c>
      <c r="CA562" s="2">
        <f>VLOOKUP([jobnumber],OvalData[],MATCH(Table2[[#Headers],[barrelrings]],Table2[#Headers],0),0)</f>
        <v>1</v>
      </c>
    </row>
    <row r="563" spans="2:79">
      <c r="B563" s="2" t="str">
        <f>VLOOKUP([jobnumber],OvalData[],MATCH(Table2[[#Headers],[Hand]],Table2[#Headers],0),0)</f>
        <v>RH</v>
      </c>
      <c r="C563" s="2" t="str">
        <f>VLOOKUP([jobnumber],OvalData[],MATCH(Table2[[#Headers],[Model]],Table2[#Headers],0),0)</f>
        <v>SFMPP</v>
      </c>
      <c r="D563" s="2" t="str">
        <f>VLOOKUP([jobnumber],OvalData[],MATCH(Table2[[#Headers],[width]],Table2[#Headers],0),0)</f>
        <v xml:space="preserve"> 18 ft.- 2"</v>
      </c>
      <c r="E563" s="2" t="str">
        <f>VLOOKUP([jobnumber],OvalData[],MATCH(Table2[[#Headers],[stopheight]],Table2[#Headers],0),0)</f>
        <v xml:space="preserve"> 10 ft.- 0"</v>
      </c>
      <c r="F563" s="2" t="str">
        <f>VLOOKUP([jobnumber],OvalData[],MATCH(Table2[[#Headers],[Between Brackets]],Table2[#Headers],0),0)</f>
        <v xml:space="preserve"> 18 ft.- 7 7/ 8"</v>
      </c>
      <c r="G563" s="2" t="str">
        <f>VLOOKUP([jobnumber],OvalData[],MATCH(Table2[[#Headers],[shell]],Table2[#Headers],0),0)</f>
        <v>6 INCH TUBE</v>
      </c>
      <c r="H563" s="2" t="str">
        <f>VLOOKUP([jobnumber],OvalData[],MATCH(Table2[[#Headers],[pipewidth]],Table2[#Headers],0),0)</f>
        <v xml:space="preserve"> 18 ft.- 1 3/ 8"</v>
      </c>
      <c r="I563" s="2">
        <f>VLOOKUP([jobnumber],OvalData[],MATCH(Table2[[#Headers],[Support Tubes]],Table2[#Headers],0),0)</f>
        <v>0</v>
      </c>
      <c r="J563" s="2">
        <f>VLOOKUP([jobnumber],OvalData[],MATCH(Table2[[#Headers],[Upset]],Table2[#Headers],0),0)</f>
        <v>2</v>
      </c>
      <c r="K563" s="2" t="str">
        <f>VLOOKUP([jobnumber],OvalData[],MATCH(Table2[[#Headers],[Guide Type]],Table2[#Headers],0),0)</f>
        <v>SN2-4 5/8-E</v>
      </c>
      <c r="L563" s="2" t="str">
        <f>VLOOKUP([jobnumber],OvalData[],MATCH(Table2[[#Headers],[Wall Angle]],Table2[#Headers],0),0)</f>
        <v xml:space="preserve"> 11 ft.- 8"</v>
      </c>
      <c r="M563" s="2" t="str">
        <f>VLOOKUP([jobnumber],OvalData[],MATCH(Table2[[#Headers],[Middle Angle]],Table2[#Headers],0),0)</f>
        <v xml:space="preserve"> 10 ft.- 4 1/ 2"</v>
      </c>
      <c r="N563" s="2" t="str">
        <f>VLOOKUP([jobnumber],OvalData[],MATCH(Table2[[#Headers],[Front Angle]],Table2[#Headers],0),0)</f>
        <v xml:space="preserve"> 10 ft.- 3"</v>
      </c>
      <c r="O563" s="2">
        <f>VLOOKUP([jobnumber],OvalData[],MATCH(Table2[[#Headers],[Pipe Center Line]],Table2[#Headers],0),0)</f>
        <v>131</v>
      </c>
      <c r="P563" s="2">
        <f>VLOOKUP([jobnumber],OvalData[],MATCH(Table2[[#Headers],[Heat Expansion Gap]],Table2[#Headers],0),0)</f>
        <v>0</v>
      </c>
      <c r="Q563" s="2">
        <f>VLOOKUP([jobnumber],OvalData[],MATCH(Table2[[#Headers],[Hanging Weight Closed]],Table2[#Headers],0),0)</f>
        <v>795</v>
      </c>
      <c r="R563" s="2">
        <f>VLOOKUP([jobnumber],OvalData[],MATCH(Table2[[#Headers],[Hanging Weight Open]],Table2[#Headers],0),0)</f>
        <v>140</v>
      </c>
      <c r="S563" s="2">
        <f>VLOOKUP([jobnumber],OvalData[],MATCH(Table2[[#Headers],[Initial Lever Arm]],Table2[#Headers],0),0)</f>
        <v>4.25</v>
      </c>
      <c r="T563" s="2">
        <f>VLOOKUP([jobnumber],OvalData[],MATCH(Table2[[#Headers],[Turns to Raise]],Table2[#Headers],0),0)</f>
        <v>3.5859999999999999</v>
      </c>
      <c r="U563" s="2">
        <f>VLOOKUP([jobnumber],OvalData[],MATCH(Table2[[#Headers],[Final Lever Arm]],Table2[#Headers],0),0)</f>
        <v>6.37</v>
      </c>
      <c r="V563" s="2">
        <f>VLOOKUP([jobnumber],OvalData[],MATCH(Table2[[#Headers],[Torque Required Closed]],Table2[#Headers],0),0)</f>
        <v>3377.9</v>
      </c>
      <c r="W563" s="2">
        <f>VLOOKUP([jobnumber],OvalData[],MATCH(Table2[[#Headers],[Torque Required Open]],Table2[#Headers],0),0)</f>
        <v>892</v>
      </c>
      <c r="X563" s="2">
        <f>VLOOKUP([jobnumber],OvalData[],MATCH(Table2[[#Headers],[Pre Turns]],Table2[#Headers],0),0)</f>
        <v>1.3332999999999999</v>
      </c>
      <c r="Y563" s="2">
        <f>VLOOKUP([jobnumber],OvalData[],MATCH(Table2[[#Headers],[Required Torque Per Turn]],Table2[#Headers],0),0)</f>
        <v>688</v>
      </c>
      <c r="Z563" s="2">
        <f>VLOOKUP([jobnumber],OvalData[],MATCH(Table2[[#Headers],[Total Turns]],Table2[#Headers],0),0)</f>
        <v>4.91</v>
      </c>
      <c r="AA563" s="2">
        <f>VLOOKUP([jobnumber],OvalData[],MATCH(Table2[[#Headers],[Grille Vision Section]],Table2[#Headers],0),0)</f>
        <v>0</v>
      </c>
      <c r="AB563" s="2">
        <f>VLOOKUP([jobnumber],OvalData[],MATCH(Table2[[#Headers],[Grille Amount]],Table2[#Headers],0),0)</f>
        <v>0</v>
      </c>
      <c r="AC563" s="2">
        <f>VLOOKUP([jobnumber],OvalData[],MATCH(Table2[[#Headers],[Grille Center]],Table2[#Headers],0),0)</f>
        <v>0</v>
      </c>
      <c r="AD563" s="2">
        <f>VLOOKUP([jobnumber],OvalData[],MATCH(Table2[[#Headers],[Grille Pattern]],Table2[#Headers],0),0)</f>
        <v>0</v>
      </c>
      <c r="AE563" s="2">
        <f>VLOOKUP([jobnumber],OvalData[],MATCH(Table2[[#Headers],[Grille First Tube]],Table2[#Headers],0),0)</f>
        <v>0</v>
      </c>
      <c r="AF563" s="2">
        <f>VLOOKUP([jobnumber],OvalData[],MATCH(Table2[[#Headers],[Grille Standard Tube]],Table2[#Headers],0),0)</f>
        <v>0</v>
      </c>
      <c r="AG563" s="2">
        <f>VLOOKUP([jobnumber],OvalData[],MATCH(Table2[[#Headers],[Grille Total Links]],Table2[#Headers],0),0)</f>
        <v>0</v>
      </c>
      <c r="AH563" s="2">
        <f>VLOOKUP([jobnumber],OvalData[],MATCH(Table2[[#Headers],[Grille Rods]],Table2[#Headers],0),0)</f>
        <v>0</v>
      </c>
      <c r="AI563" s="2">
        <f>VLOOKUP([jobnumber],OvalData[],MATCH(Table2[[#Headers],[Grille Rod Length]],Table2[#Headers],0),0)</f>
        <v>0</v>
      </c>
      <c r="AJ563" s="2">
        <f>VLOOKUP([jobnumber],OvalData[],MATCH(Table2[[#Headers],[slattype]],Table2[#Headers],0),0)</f>
        <v>2</v>
      </c>
      <c r="AK563" s="2">
        <f>VLOOKUP([jobnumber],OvalData[],MATCH(Table2[[#Headers],[slatgage]],Table2[#Headers],0),0)</f>
        <v>18</v>
      </c>
      <c r="AL563" s="2">
        <f>VLOOKUP([jobnumber],OvalData[],MATCH(Table2[[#Headers],[Numer of Top Slats]],Table2[#Headers],0),0)</f>
        <v>0</v>
      </c>
      <c r="AM563" s="2">
        <f>VLOOKUP([jobnumber],OvalData[],MATCH(Table2[[#Headers],[Number of Bottom Slats]],Table2[#Headers],0),0)</f>
        <v>0</v>
      </c>
      <c r="AN563" s="2">
        <f>VLOOKUP([jobnumber],OvalData[],MATCH(Table2[[#Headers],[Solid Bottom Height]],Table2[#Headers],0),0)</f>
        <v>0</v>
      </c>
      <c r="AO563" s="2" t="str">
        <f>VLOOKUP([jobnumber],OvalData[],MATCH(Table2[[#Headers],[slatlength]],Table2[#Headers],0),0)</f>
        <v xml:space="preserve"> 18 ft.- 5 7/ 8"</v>
      </c>
      <c r="AP563" s="2">
        <f>VLOOKUP([jobnumber],OvalData[],MATCH(Table2[[#Headers],[Bottom Slat Length]],Table2[#Headers],0),0)</f>
        <v>0</v>
      </c>
      <c r="AQ563" s="2">
        <f>VLOOKUP([jobnumber],OvalData[],MATCH(Table2[[#Headers],[Number of Perferated Slats]],Table2[#Headers],0),0)</f>
        <v>0</v>
      </c>
      <c r="AR563" s="2">
        <f>VLOOKUP([jobnumber],OvalData[],MATCH(Table2[[#Headers],[First Preferated Slat From End]],Table2[#Headers],0),0)</f>
        <v>0</v>
      </c>
      <c r="AS563" s="2">
        <f>VLOOKUP([jobnumber],OvalData[],MATCH(Table2[[#Headers],[First Preferated Slat From Bottom]],Table2[#Headers],0),0)</f>
        <v>0</v>
      </c>
      <c r="AT563" s="2">
        <f>VLOOKUP([jobnumber],OvalData[],MATCH(Table2[[#Headers],[Total Number of Slats]],Table2[#Headers],0),0)</f>
        <v>51</v>
      </c>
      <c r="AU563" s="2">
        <f>VLOOKUP([jobnumber],OvalData[],MATCH(Table2[[#Headers],[Bottom Bar Slope]],Table2[#Headers],0),0)</f>
        <v>0</v>
      </c>
      <c r="AV563" s="2">
        <f>VLOOKUP([jobnumber],OvalData[],MATCH(Table2[[#Headers],[Bottom Bar Weight]],Table2[#Headers],0),0)</f>
        <v>80.5</v>
      </c>
      <c r="AW563" s="2" t="str">
        <f>VLOOKUP([jobnumber],OvalData[],MATCH(Table2[[#Headers],[Outer Spring Gage]],Table2[#Headers],0),0)</f>
        <v>Null</v>
      </c>
      <c r="AX563" s="2" t="str">
        <f>VLOOKUP([jobnumber],OvalData[],MATCH(Table2[[#Headers],[Outer Spring OD]],Table2[#Headers],0),0)</f>
        <v>Null</v>
      </c>
      <c r="AY563" s="2" t="str">
        <f>VLOOKUP([jobnumber],OvalData[],MATCH(Table2[[#Headers],[Outer Spring Length]],Table2[#Headers],0),0)</f>
        <v>Null</v>
      </c>
      <c r="AZ563" s="2" t="str">
        <f>VLOOKUP([jobnumber],OvalData[],MATCH(Table2[[#Headers],[Outer Spring Stretch]],Table2[#Headers],0),0)</f>
        <v>Null</v>
      </c>
      <c r="BA563" s="2" t="str">
        <f>VLOOKUP([jobnumber],OvalData[],MATCH(Table2[[#Headers],[Outer Spring Torque]],Table2[#Headers],0),0)</f>
        <v>Null</v>
      </c>
      <c r="BB563" s="2" t="str">
        <f>VLOOKUP([jobnumber],OvalData[],MATCH(Table2[[#Headers],[Outer Spring Max Turns]],Table2[#Headers],0),0)</f>
        <v>Null</v>
      </c>
      <c r="BC563" s="2" t="str">
        <f>VLOOKUP([jobnumber],OvalData[],MATCH(Table2[[#Headers],[Outer Spring Weight]],Table2[#Headers],0),0)</f>
        <v>Null</v>
      </c>
      <c r="BD563" s="2" t="str">
        <f>VLOOKUP([jobnumber],OvalData[],MATCH(Table2[[#Headers],[Inner Spring Gage]],Table2[#Headers],0),0)</f>
        <v>Null</v>
      </c>
      <c r="BE563" s="2" t="str">
        <f>VLOOKUP([jobnumber],OvalData[],MATCH(Table2[[#Headers],[Inner Spring OD]],Table2[#Headers],0),0)</f>
        <v>Null</v>
      </c>
      <c r="BF563" s="2" t="str">
        <f>VLOOKUP([jobnumber],OvalData[],MATCH(Table2[[#Headers],[Inner Spring Length]],Table2[#Headers],0),0)</f>
        <v>Null</v>
      </c>
      <c r="BG563" s="2" t="str">
        <f>VLOOKUP([jobnumber],OvalData[],MATCH(Table2[[#Headers],[Inner Spring Stretch]],Table2[#Headers],0),0)</f>
        <v>Null</v>
      </c>
      <c r="BH563" s="2" t="str">
        <f>VLOOKUP([jobnumber],OvalData[],MATCH(Table2[[#Headers],[Inner Spring Torque]],Table2[#Headers],0),0)</f>
        <v>Null</v>
      </c>
      <c r="BI563" s="2" t="str">
        <f>VLOOKUP([jobnumber],OvalData[],MATCH(Table2[[#Headers],[Inner Spring Max Turns]],Table2[#Headers],0),0)</f>
        <v>Null</v>
      </c>
      <c r="BJ563" s="2" t="str">
        <f>VLOOKUP([jobnumber],OvalData[],MATCH(Table2[[#Headers],[Inner Spring Weight]],Table2[#Headers],0),0)</f>
        <v>Null</v>
      </c>
      <c r="BK563" s="2">
        <f>VLOOKUP([jobnumber],OvalData[],MATCH(Table2[[#Headers],[Cycles]],Table2[#Headers],0),0)</f>
        <v>0</v>
      </c>
      <c r="BL563" s="2">
        <f>VLOOKUP([jobnumber],OvalData[],MATCH(Table2[[#Headers],[Total Spring Torque]],Table2[#Headers],0),0)</f>
        <v>0</v>
      </c>
      <c r="BM563" s="2">
        <f>VLOOKUP([jobnumber],OvalData[],MATCH(Table2[[#Headers],[Total Spring Weight]],Table2[#Headers],0),0)</f>
        <v>0</v>
      </c>
      <c r="BN563" s="2">
        <f>VLOOKUP([jobnumber],OvalData[],MATCH(Table2[[#Headers],[Pipe Weight]],Table2[#Headers],0),0)</f>
        <v>688.24239999999998</v>
      </c>
      <c r="BO563" s="2">
        <f>VLOOKUP([jobnumber],OvalData[],MATCH(Table2[[#Headers],[Max Pipe Deflection]],Table2[#Headers],0),0)</f>
        <v>2309</v>
      </c>
      <c r="BP563" s="2">
        <f>VLOOKUP([jobnumber],OvalData[],MATCH(Table2[[#Headers],[Number Non-Insulated Wrap Slats]],Table2[#Headers],0),0)</f>
        <v>0</v>
      </c>
      <c r="BQ563" s="2">
        <f>VLOOKUP([jobnumber],OvalData[],MATCH(Table2[[#Headers],[Number of Insolated Top Slats]],Table2[#Headers],0),0)</f>
        <v>45</v>
      </c>
      <c r="BR563" s="2">
        <f>VLOOKUP([jobnumber],OvalData[],MATCH(Table2[[#Headers],[Insolated Total Slats]],Table2[#Headers],0),0)</f>
        <v>45</v>
      </c>
      <c r="BS563" s="2">
        <f>VLOOKUP([jobnumber],OvalData[],MATCH(Table2[[#Headers],[Number of Slats]],Table2[#Headers],0),0)</f>
        <v>44.69</v>
      </c>
      <c r="BT563" s="2">
        <f>VLOOKUP([jobnumber],OvalData[],MATCH(Table2[[#Headers],[Wrap]],Table2[#Headers],0),0)</f>
        <v>0</v>
      </c>
      <c r="BU563" s="2">
        <f>VLOOKUP([jobnumber],OvalData[],MATCH(Table2[[#Headers],[Wall Angle Thickness]],Table2[#Headers],0),0)</f>
        <v>0</v>
      </c>
      <c r="BV563" s="2">
        <f>VLOOKUP([jobnumber],OvalData[],MATCH(Table2[[#Headers],[windlocks]],Table2[#Headers],0),0)</f>
        <v>0</v>
      </c>
      <c r="BW563" s="2" t="str">
        <f>VLOOKUP([jobnumber],OvalData[],MATCH(Table2[[#Headers],[bottombartype]],Table2[#Headers],0),0)</f>
        <v>SPECIAL</v>
      </c>
      <c r="BX563" s="2">
        <f>VLOOKUP([jobnumber],OvalData[],MATCH(Table2[[#Headers],[endlockweight]],Table2[#Headers],0),0)</f>
        <v>0.17</v>
      </c>
      <c r="BY563" s="2">
        <f>VLOOKUP([jobnumber],OvalData[],MATCH(Table2[[#Headers],[Endlock Total Weight]],Table2[#Headers],0),0)</f>
        <v>7.5972999999999997</v>
      </c>
      <c r="BZ563" s="2">
        <f>VLOOKUP([jobnumber],OvalData[],MATCH(Table2[[#Headers],[Grille Weight]],Table2[#Headers],0),0)</f>
        <v>0</v>
      </c>
      <c r="CA563" s="2">
        <f>VLOOKUP([jobnumber],OvalData[],MATCH(Table2[[#Headers],[barrelrings]],Table2[#Headers],0),0)</f>
        <v>1</v>
      </c>
    </row>
    <row r="564" spans="2:79">
      <c r="B564" s="2" t="str">
        <f>VLOOKUP([jobnumber],OvalData[],MATCH(Table2[[#Headers],[Hand]],Table2[#Headers],0),0)</f>
        <v>RH</v>
      </c>
      <c r="C564" s="2" t="str">
        <f>VLOOKUP([jobnumber],OvalData[],MATCH(Table2[[#Headers],[Model]],Table2[#Headers],0),0)</f>
        <v>SFMPP</v>
      </c>
      <c r="D564" s="2" t="str">
        <f>VLOOKUP([jobnumber],OvalData[],MATCH(Table2[[#Headers],[width]],Table2[#Headers],0),0)</f>
        <v xml:space="preserve"> 18 ft.- 2"</v>
      </c>
      <c r="E564" s="2" t="str">
        <f>VLOOKUP([jobnumber],OvalData[],MATCH(Table2[[#Headers],[stopheight]],Table2[#Headers],0),0)</f>
        <v xml:space="preserve"> 10 ft.- 0"</v>
      </c>
      <c r="F564" s="2" t="str">
        <f>VLOOKUP([jobnumber],OvalData[],MATCH(Table2[[#Headers],[Between Brackets]],Table2[#Headers],0),0)</f>
        <v xml:space="preserve"> 18 ft.- 7 7/ 8"</v>
      </c>
      <c r="G564" s="2" t="str">
        <f>VLOOKUP([jobnumber],OvalData[],MATCH(Table2[[#Headers],[shell]],Table2[#Headers],0),0)</f>
        <v>6 INCH TUBE</v>
      </c>
      <c r="H564" s="2" t="str">
        <f>VLOOKUP([jobnumber],OvalData[],MATCH(Table2[[#Headers],[pipewidth]],Table2[#Headers],0),0)</f>
        <v xml:space="preserve"> 18 ft.- 1 3/ 8"</v>
      </c>
      <c r="I564" s="2">
        <f>VLOOKUP([jobnumber],OvalData[],MATCH(Table2[[#Headers],[Support Tubes]],Table2[#Headers],0),0)</f>
        <v>0</v>
      </c>
      <c r="J564" s="2">
        <f>VLOOKUP([jobnumber],OvalData[],MATCH(Table2[[#Headers],[Upset]],Table2[#Headers],0),0)</f>
        <v>2</v>
      </c>
      <c r="K564" s="2" t="str">
        <f>VLOOKUP([jobnumber],OvalData[],MATCH(Table2[[#Headers],[Guide Type]],Table2[#Headers],0),0)</f>
        <v>SN2-4 5/8-E</v>
      </c>
      <c r="L564" s="2" t="str">
        <f>VLOOKUP([jobnumber],OvalData[],MATCH(Table2[[#Headers],[Wall Angle]],Table2[#Headers],0),0)</f>
        <v xml:space="preserve"> 11 ft.- 8"</v>
      </c>
      <c r="M564" s="2" t="str">
        <f>VLOOKUP([jobnumber],OvalData[],MATCH(Table2[[#Headers],[Middle Angle]],Table2[#Headers],0),0)</f>
        <v xml:space="preserve"> 10 ft.- 4 1/ 2"</v>
      </c>
      <c r="N564" s="2" t="str">
        <f>VLOOKUP([jobnumber],OvalData[],MATCH(Table2[[#Headers],[Front Angle]],Table2[#Headers],0),0)</f>
        <v xml:space="preserve"> 10 ft.- 3"</v>
      </c>
      <c r="O564" s="2">
        <f>VLOOKUP([jobnumber],OvalData[],MATCH(Table2[[#Headers],[Pipe Center Line]],Table2[#Headers],0),0)</f>
        <v>131</v>
      </c>
      <c r="P564" s="2">
        <f>VLOOKUP([jobnumber],OvalData[],MATCH(Table2[[#Headers],[Heat Expansion Gap]],Table2[#Headers],0),0)</f>
        <v>0</v>
      </c>
      <c r="Q564" s="2">
        <f>VLOOKUP([jobnumber],OvalData[],MATCH(Table2[[#Headers],[Hanging Weight Closed]],Table2[#Headers],0),0)</f>
        <v>795</v>
      </c>
      <c r="R564" s="2">
        <f>VLOOKUP([jobnumber],OvalData[],MATCH(Table2[[#Headers],[Hanging Weight Open]],Table2[#Headers],0),0)</f>
        <v>140</v>
      </c>
      <c r="S564" s="2">
        <f>VLOOKUP([jobnumber],OvalData[],MATCH(Table2[[#Headers],[Initial Lever Arm]],Table2[#Headers],0),0)</f>
        <v>4.25</v>
      </c>
      <c r="T564" s="2">
        <f>VLOOKUP([jobnumber],OvalData[],MATCH(Table2[[#Headers],[Turns to Raise]],Table2[#Headers],0),0)</f>
        <v>3.5859999999999999</v>
      </c>
      <c r="U564" s="2">
        <f>VLOOKUP([jobnumber],OvalData[],MATCH(Table2[[#Headers],[Final Lever Arm]],Table2[#Headers],0),0)</f>
        <v>6.37</v>
      </c>
      <c r="V564" s="2">
        <f>VLOOKUP([jobnumber],OvalData[],MATCH(Table2[[#Headers],[Torque Required Closed]],Table2[#Headers],0),0)</f>
        <v>3377.9</v>
      </c>
      <c r="W564" s="2">
        <f>VLOOKUP([jobnumber],OvalData[],MATCH(Table2[[#Headers],[Torque Required Open]],Table2[#Headers],0),0)</f>
        <v>892</v>
      </c>
      <c r="X564" s="2">
        <f>VLOOKUP([jobnumber],OvalData[],MATCH(Table2[[#Headers],[Pre Turns]],Table2[#Headers],0),0)</f>
        <v>1.3332999999999999</v>
      </c>
      <c r="Y564" s="2">
        <f>VLOOKUP([jobnumber],OvalData[],MATCH(Table2[[#Headers],[Required Torque Per Turn]],Table2[#Headers],0),0)</f>
        <v>688</v>
      </c>
      <c r="Z564" s="2">
        <f>VLOOKUP([jobnumber],OvalData[],MATCH(Table2[[#Headers],[Total Turns]],Table2[#Headers],0),0)</f>
        <v>4.91</v>
      </c>
      <c r="AA564" s="2">
        <f>VLOOKUP([jobnumber],OvalData[],MATCH(Table2[[#Headers],[Grille Vision Section]],Table2[#Headers],0),0)</f>
        <v>0</v>
      </c>
      <c r="AB564" s="2">
        <f>VLOOKUP([jobnumber],OvalData[],MATCH(Table2[[#Headers],[Grille Amount]],Table2[#Headers],0),0)</f>
        <v>0</v>
      </c>
      <c r="AC564" s="2">
        <f>VLOOKUP([jobnumber],OvalData[],MATCH(Table2[[#Headers],[Grille Center]],Table2[#Headers],0),0)</f>
        <v>0</v>
      </c>
      <c r="AD564" s="2">
        <f>VLOOKUP([jobnumber],OvalData[],MATCH(Table2[[#Headers],[Grille Pattern]],Table2[#Headers],0),0)</f>
        <v>0</v>
      </c>
      <c r="AE564" s="2">
        <f>VLOOKUP([jobnumber],OvalData[],MATCH(Table2[[#Headers],[Grille First Tube]],Table2[#Headers],0),0)</f>
        <v>0</v>
      </c>
      <c r="AF564" s="2">
        <f>VLOOKUP([jobnumber],OvalData[],MATCH(Table2[[#Headers],[Grille Standard Tube]],Table2[#Headers],0),0)</f>
        <v>0</v>
      </c>
      <c r="AG564" s="2">
        <f>VLOOKUP([jobnumber],OvalData[],MATCH(Table2[[#Headers],[Grille Total Links]],Table2[#Headers],0),0)</f>
        <v>0</v>
      </c>
      <c r="AH564" s="2">
        <f>VLOOKUP([jobnumber],OvalData[],MATCH(Table2[[#Headers],[Grille Rods]],Table2[#Headers],0),0)</f>
        <v>0</v>
      </c>
      <c r="AI564" s="2">
        <f>VLOOKUP([jobnumber],OvalData[],MATCH(Table2[[#Headers],[Grille Rod Length]],Table2[#Headers],0),0)</f>
        <v>0</v>
      </c>
      <c r="AJ564" s="2">
        <f>VLOOKUP([jobnumber],OvalData[],MATCH(Table2[[#Headers],[slattype]],Table2[#Headers],0),0)</f>
        <v>2</v>
      </c>
      <c r="AK564" s="2">
        <f>VLOOKUP([jobnumber],OvalData[],MATCH(Table2[[#Headers],[slatgage]],Table2[#Headers],0),0)</f>
        <v>18</v>
      </c>
      <c r="AL564" s="2">
        <f>VLOOKUP([jobnumber],OvalData[],MATCH(Table2[[#Headers],[Numer of Top Slats]],Table2[#Headers],0),0)</f>
        <v>0</v>
      </c>
      <c r="AM564" s="2">
        <f>VLOOKUP([jobnumber],OvalData[],MATCH(Table2[[#Headers],[Number of Bottom Slats]],Table2[#Headers],0),0)</f>
        <v>0</v>
      </c>
      <c r="AN564" s="2">
        <f>VLOOKUP([jobnumber],OvalData[],MATCH(Table2[[#Headers],[Solid Bottom Height]],Table2[#Headers],0),0)</f>
        <v>0</v>
      </c>
      <c r="AO564" s="2" t="str">
        <f>VLOOKUP([jobnumber],OvalData[],MATCH(Table2[[#Headers],[slatlength]],Table2[#Headers],0),0)</f>
        <v xml:space="preserve"> 18 ft.- 5 7/ 8"</v>
      </c>
      <c r="AP564" s="2">
        <f>VLOOKUP([jobnumber],OvalData[],MATCH(Table2[[#Headers],[Bottom Slat Length]],Table2[#Headers],0),0)</f>
        <v>0</v>
      </c>
      <c r="AQ564" s="2">
        <f>VLOOKUP([jobnumber],OvalData[],MATCH(Table2[[#Headers],[Number of Perferated Slats]],Table2[#Headers],0),0)</f>
        <v>0</v>
      </c>
      <c r="AR564" s="2">
        <f>VLOOKUP([jobnumber],OvalData[],MATCH(Table2[[#Headers],[First Preferated Slat From End]],Table2[#Headers],0),0)</f>
        <v>0</v>
      </c>
      <c r="AS564" s="2">
        <f>VLOOKUP([jobnumber],OvalData[],MATCH(Table2[[#Headers],[First Preferated Slat From Bottom]],Table2[#Headers],0),0)</f>
        <v>0</v>
      </c>
      <c r="AT564" s="2">
        <f>VLOOKUP([jobnumber],OvalData[],MATCH(Table2[[#Headers],[Total Number of Slats]],Table2[#Headers],0),0)</f>
        <v>51</v>
      </c>
      <c r="AU564" s="2">
        <f>VLOOKUP([jobnumber],OvalData[],MATCH(Table2[[#Headers],[Bottom Bar Slope]],Table2[#Headers],0),0)</f>
        <v>0</v>
      </c>
      <c r="AV564" s="2">
        <f>VLOOKUP([jobnumber],OvalData[],MATCH(Table2[[#Headers],[Bottom Bar Weight]],Table2[#Headers],0),0)</f>
        <v>80.5</v>
      </c>
      <c r="AW564" s="2" t="str">
        <f>VLOOKUP([jobnumber],OvalData[],MATCH(Table2[[#Headers],[Outer Spring Gage]],Table2[#Headers],0),0)</f>
        <v>Null</v>
      </c>
      <c r="AX564" s="2" t="str">
        <f>VLOOKUP([jobnumber],OvalData[],MATCH(Table2[[#Headers],[Outer Spring OD]],Table2[#Headers],0),0)</f>
        <v>Null</v>
      </c>
      <c r="AY564" s="2" t="str">
        <f>VLOOKUP([jobnumber],OvalData[],MATCH(Table2[[#Headers],[Outer Spring Length]],Table2[#Headers],0),0)</f>
        <v>Null</v>
      </c>
      <c r="AZ564" s="2" t="str">
        <f>VLOOKUP([jobnumber],OvalData[],MATCH(Table2[[#Headers],[Outer Spring Stretch]],Table2[#Headers],0),0)</f>
        <v>Null</v>
      </c>
      <c r="BA564" s="2" t="str">
        <f>VLOOKUP([jobnumber],OvalData[],MATCH(Table2[[#Headers],[Outer Spring Torque]],Table2[#Headers],0),0)</f>
        <v>Null</v>
      </c>
      <c r="BB564" s="2" t="str">
        <f>VLOOKUP([jobnumber],OvalData[],MATCH(Table2[[#Headers],[Outer Spring Max Turns]],Table2[#Headers],0),0)</f>
        <v>Null</v>
      </c>
      <c r="BC564" s="2" t="str">
        <f>VLOOKUP([jobnumber],OvalData[],MATCH(Table2[[#Headers],[Outer Spring Weight]],Table2[#Headers],0),0)</f>
        <v>Null</v>
      </c>
      <c r="BD564" s="2" t="str">
        <f>VLOOKUP([jobnumber],OvalData[],MATCH(Table2[[#Headers],[Inner Spring Gage]],Table2[#Headers],0),0)</f>
        <v>Null</v>
      </c>
      <c r="BE564" s="2" t="str">
        <f>VLOOKUP([jobnumber],OvalData[],MATCH(Table2[[#Headers],[Inner Spring OD]],Table2[#Headers],0),0)</f>
        <v>Null</v>
      </c>
      <c r="BF564" s="2" t="str">
        <f>VLOOKUP([jobnumber],OvalData[],MATCH(Table2[[#Headers],[Inner Spring Length]],Table2[#Headers],0),0)</f>
        <v>Null</v>
      </c>
      <c r="BG564" s="2" t="str">
        <f>VLOOKUP([jobnumber],OvalData[],MATCH(Table2[[#Headers],[Inner Spring Stretch]],Table2[#Headers],0),0)</f>
        <v>Null</v>
      </c>
      <c r="BH564" s="2" t="str">
        <f>VLOOKUP([jobnumber],OvalData[],MATCH(Table2[[#Headers],[Inner Spring Torque]],Table2[#Headers],0),0)</f>
        <v>Null</v>
      </c>
      <c r="BI564" s="2" t="str">
        <f>VLOOKUP([jobnumber],OvalData[],MATCH(Table2[[#Headers],[Inner Spring Max Turns]],Table2[#Headers],0),0)</f>
        <v>Null</v>
      </c>
      <c r="BJ564" s="2" t="str">
        <f>VLOOKUP([jobnumber],OvalData[],MATCH(Table2[[#Headers],[Inner Spring Weight]],Table2[#Headers],0),0)</f>
        <v>Null</v>
      </c>
      <c r="BK564" s="2">
        <f>VLOOKUP([jobnumber],OvalData[],MATCH(Table2[[#Headers],[Cycles]],Table2[#Headers],0),0)</f>
        <v>0</v>
      </c>
      <c r="BL564" s="2">
        <f>VLOOKUP([jobnumber],OvalData[],MATCH(Table2[[#Headers],[Total Spring Torque]],Table2[#Headers],0),0)</f>
        <v>0</v>
      </c>
      <c r="BM564" s="2">
        <f>VLOOKUP([jobnumber],OvalData[],MATCH(Table2[[#Headers],[Total Spring Weight]],Table2[#Headers],0),0)</f>
        <v>0</v>
      </c>
      <c r="BN564" s="2">
        <f>VLOOKUP([jobnumber],OvalData[],MATCH(Table2[[#Headers],[Pipe Weight]],Table2[#Headers],0),0)</f>
        <v>688.24239999999998</v>
      </c>
      <c r="BO564" s="2">
        <f>VLOOKUP([jobnumber],OvalData[],MATCH(Table2[[#Headers],[Max Pipe Deflection]],Table2[#Headers],0),0)</f>
        <v>2309</v>
      </c>
      <c r="BP564" s="2">
        <f>VLOOKUP([jobnumber],OvalData[],MATCH(Table2[[#Headers],[Number Non-Insulated Wrap Slats]],Table2[#Headers],0),0)</f>
        <v>0</v>
      </c>
      <c r="BQ564" s="2">
        <f>VLOOKUP([jobnumber],OvalData[],MATCH(Table2[[#Headers],[Number of Insolated Top Slats]],Table2[#Headers],0),0)</f>
        <v>45</v>
      </c>
      <c r="BR564" s="2">
        <f>VLOOKUP([jobnumber],OvalData[],MATCH(Table2[[#Headers],[Insolated Total Slats]],Table2[#Headers],0),0)</f>
        <v>45</v>
      </c>
      <c r="BS564" s="2">
        <f>VLOOKUP([jobnumber],OvalData[],MATCH(Table2[[#Headers],[Number of Slats]],Table2[#Headers],0),0)</f>
        <v>44.69</v>
      </c>
      <c r="BT564" s="2">
        <f>VLOOKUP([jobnumber],OvalData[],MATCH(Table2[[#Headers],[Wrap]],Table2[#Headers],0),0)</f>
        <v>0</v>
      </c>
      <c r="BU564" s="2">
        <f>VLOOKUP([jobnumber],OvalData[],MATCH(Table2[[#Headers],[Wall Angle Thickness]],Table2[#Headers],0),0)</f>
        <v>0</v>
      </c>
      <c r="BV564" s="2">
        <f>VLOOKUP([jobnumber],OvalData[],MATCH(Table2[[#Headers],[windlocks]],Table2[#Headers],0),0)</f>
        <v>0</v>
      </c>
      <c r="BW564" s="2" t="str">
        <f>VLOOKUP([jobnumber],OvalData[],MATCH(Table2[[#Headers],[bottombartype]],Table2[#Headers],0),0)</f>
        <v>SPECIAL</v>
      </c>
      <c r="BX564" s="2">
        <f>VLOOKUP([jobnumber],OvalData[],MATCH(Table2[[#Headers],[endlockweight]],Table2[#Headers],0),0)</f>
        <v>0.17</v>
      </c>
      <c r="BY564" s="2">
        <f>VLOOKUP([jobnumber],OvalData[],MATCH(Table2[[#Headers],[Endlock Total Weight]],Table2[#Headers],0),0)</f>
        <v>7.5972999999999997</v>
      </c>
      <c r="BZ564" s="2">
        <f>VLOOKUP([jobnumber],OvalData[],MATCH(Table2[[#Headers],[Grille Weight]],Table2[#Headers],0),0)</f>
        <v>0</v>
      </c>
      <c r="CA564" s="2">
        <f>VLOOKUP([jobnumber],OvalData[],MATCH(Table2[[#Headers],[barrelrings]],Table2[#Headers],0),0)</f>
        <v>1</v>
      </c>
    </row>
    <row r="565" spans="2:79">
      <c r="B565" s="2" t="str">
        <f>VLOOKUP([jobnumber],OvalData[],MATCH(Table2[[#Headers],[Hand]],Table2[#Headers],0),0)</f>
        <v>RH</v>
      </c>
      <c r="C565" s="2" t="str">
        <f>VLOOKUP([jobnumber],OvalData[],MATCH(Table2[[#Headers],[Model]],Table2[#Headers],0),0)</f>
        <v>SFMPP</v>
      </c>
      <c r="D565" s="2" t="str">
        <f>VLOOKUP([jobnumber],OvalData[],MATCH(Table2[[#Headers],[width]],Table2[#Headers],0),0)</f>
        <v xml:space="preserve"> 18 ft.- 2"</v>
      </c>
      <c r="E565" s="2" t="str">
        <f>VLOOKUP([jobnumber],OvalData[],MATCH(Table2[[#Headers],[stopheight]],Table2[#Headers],0),0)</f>
        <v xml:space="preserve"> 10 ft.- 0"</v>
      </c>
      <c r="F565" s="2" t="str">
        <f>VLOOKUP([jobnumber],OvalData[],MATCH(Table2[[#Headers],[Between Brackets]],Table2[#Headers],0),0)</f>
        <v xml:space="preserve"> 18 ft.- 7 7/ 8"</v>
      </c>
      <c r="G565" s="2" t="str">
        <f>VLOOKUP([jobnumber],OvalData[],MATCH(Table2[[#Headers],[shell]],Table2[#Headers],0),0)</f>
        <v>6 INCH TUBE</v>
      </c>
      <c r="H565" s="2" t="str">
        <f>VLOOKUP([jobnumber],OvalData[],MATCH(Table2[[#Headers],[pipewidth]],Table2[#Headers],0),0)</f>
        <v xml:space="preserve"> 18 ft.- 1 3/ 8"</v>
      </c>
      <c r="I565" s="2">
        <f>VLOOKUP([jobnumber],OvalData[],MATCH(Table2[[#Headers],[Support Tubes]],Table2[#Headers],0),0)</f>
        <v>0</v>
      </c>
      <c r="J565" s="2">
        <f>VLOOKUP([jobnumber],OvalData[],MATCH(Table2[[#Headers],[Upset]],Table2[#Headers],0),0)</f>
        <v>2</v>
      </c>
      <c r="K565" s="2" t="str">
        <f>VLOOKUP([jobnumber],OvalData[],MATCH(Table2[[#Headers],[Guide Type]],Table2[#Headers],0),0)</f>
        <v>SN2-4 5/8-E</v>
      </c>
      <c r="L565" s="2" t="str">
        <f>VLOOKUP([jobnumber],OvalData[],MATCH(Table2[[#Headers],[Wall Angle]],Table2[#Headers],0),0)</f>
        <v xml:space="preserve"> 11 ft.- 8"</v>
      </c>
      <c r="M565" s="2" t="str">
        <f>VLOOKUP([jobnumber],OvalData[],MATCH(Table2[[#Headers],[Middle Angle]],Table2[#Headers],0),0)</f>
        <v xml:space="preserve"> 10 ft.- 4 1/ 2"</v>
      </c>
      <c r="N565" s="2" t="str">
        <f>VLOOKUP([jobnumber],OvalData[],MATCH(Table2[[#Headers],[Front Angle]],Table2[#Headers],0),0)</f>
        <v xml:space="preserve"> 10 ft.- 3"</v>
      </c>
      <c r="O565" s="2">
        <f>VLOOKUP([jobnumber],OvalData[],MATCH(Table2[[#Headers],[Pipe Center Line]],Table2[#Headers],0),0)</f>
        <v>131</v>
      </c>
      <c r="P565" s="2">
        <f>VLOOKUP([jobnumber],OvalData[],MATCH(Table2[[#Headers],[Heat Expansion Gap]],Table2[#Headers],0),0)</f>
        <v>0</v>
      </c>
      <c r="Q565" s="2">
        <f>VLOOKUP([jobnumber],OvalData[],MATCH(Table2[[#Headers],[Hanging Weight Closed]],Table2[#Headers],0),0)</f>
        <v>795</v>
      </c>
      <c r="R565" s="2">
        <f>VLOOKUP([jobnumber],OvalData[],MATCH(Table2[[#Headers],[Hanging Weight Open]],Table2[#Headers],0),0)</f>
        <v>140</v>
      </c>
      <c r="S565" s="2">
        <f>VLOOKUP([jobnumber],OvalData[],MATCH(Table2[[#Headers],[Initial Lever Arm]],Table2[#Headers],0),0)</f>
        <v>4.25</v>
      </c>
      <c r="T565" s="2">
        <f>VLOOKUP([jobnumber],OvalData[],MATCH(Table2[[#Headers],[Turns to Raise]],Table2[#Headers],0),0)</f>
        <v>3.5859999999999999</v>
      </c>
      <c r="U565" s="2">
        <f>VLOOKUP([jobnumber],OvalData[],MATCH(Table2[[#Headers],[Final Lever Arm]],Table2[#Headers],0),0)</f>
        <v>6.37</v>
      </c>
      <c r="V565" s="2">
        <f>VLOOKUP([jobnumber],OvalData[],MATCH(Table2[[#Headers],[Torque Required Closed]],Table2[#Headers],0),0)</f>
        <v>3377.9</v>
      </c>
      <c r="W565" s="2">
        <f>VLOOKUP([jobnumber],OvalData[],MATCH(Table2[[#Headers],[Torque Required Open]],Table2[#Headers],0),0)</f>
        <v>892</v>
      </c>
      <c r="X565" s="2">
        <f>VLOOKUP([jobnumber],OvalData[],MATCH(Table2[[#Headers],[Pre Turns]],Table2[#Headers],0),0)</f>
        <v>1.3332999999999999</v>
      </c>
      <c r="Y565" s="2">
        <f>VLOOKUP([jobnumber],OvalData[],MATCH(Table2[[#Headers],[Required Torque Per Turn]],Table2[#Headers],0),0)</f>
        <v>688</v>
      </c>
      <c r="Z565" s="2">
        <f>VLOOKUP([jobnumber],OvalData[],MATCH(Table2[[#Headers],[Total Turns]],Table2[#Headers],0),0)</f>
        <v>4.91</v>
      </c>
      <c r="AA565" s="2">
        <f>VLOOKUP([jobnumber],OvalData[],MATCH(Table2[[#Headers],[Grille Vision Section]],Table2[#Headers],0),0)</f>
        <v>0</v>
      </c>
      <c r="AB565" s="2">
        <f>VLOOKUP([jobnumber],OvalData[],MATCH(Table2[[#Headers],[Grille Amount]],Table2[#Headers],0),0)</f>
        <v>0</v>
      </c>
      <c r="AC565" s="2">
        <f>VLOOKUP([jobnumber],OvalData[],MATCH(Table2[[#Headers],[Grille Center]],Table2[#Headers],0),0)</f>
        <v>0</v>
      </c>
      <c r="AD565" s="2">
        <f>VLOOKUP([jobnumber],OvalData[],MATCH(Table2[[#Headers],[Grille Pattern]],Table2[#Headers],0),0)</f>
        <v>0</v>
      </c>
      <c r="AE565" s="2">
        <f>VLOOKUP([jobnumber],OvalData[],MATCH(Table2[[#Headers],[Grille First Tube]],Table2[#Headers],0),0)</f>
        <v>0</v>
      </c>
      <c r="AF565" s="2">
        <f>VLOOKUP([jobnumber],OvalData[],MATCH(Table2[[#Headers],[Grille Standard Tube]],Table2[#Headers],0),0)</f>
        <v>0</v>
      </c>
      <c r="AG565" s="2">
        <f>VLOOKUP([jobnumber],OvalData[],MATCH(Table2[[#Headers],[Grille Total Links]],Table2[#Headers],0),0)</f>
        <v>0</v>
      </c>
      <c r="AH565" s="2">
        <f>VLOOKUP([jobnumber],OvalData[],MATCH(Table2[[#Headers],[Grille Rods]],Table2[#Headers],0),0)</f>
        <v>0</v>
      </c>
      <c r="AI565" s="2">
        <f>VLOOKUP([jobnumber],OvalData[],MATCH(Table2[[#Headers],[Grille Rod Length]],Table2[#Headers],0),0)</f>
        <v>0</v>
      </c>
      <c r="AJ565" s="2">
        <f>VLOOKUP([jobnumber],OvalData[],MATCH(Table2[[#Headers],[slattype]],Table2[#Headers],0),0)</f>
        <v>2</v>
      </c>
      <c r="AK565" s="2">
        <f>VLOOKUP([jobnumber],OvalData[],MATCH(Table2[[#Headers],[slatgage]],Table2[#Headers],0),0)</f>
        <v>18</v>
      </c>
      <c r="AL565" s="2">
        <f>VLOOKUP([jobnumber],OvalData[],MATCH(Table2[[#Headers],[Numer of Top Slats]],Table2[#Headers],0),0)</f>
        <v>0</v>
      </c>
      <c r="AM565" s="2">
        <f>VLOOKUP([jobnumber],OvalData[],MATCH(Table2[[#Headers],[Number of Bottom Slats]],Table2[#Headers],0),0)</f>
        <v>0</v>
      </c>
      <c r="AN565" s="2">
        <f>VLOOKUP([jobnumber],OvalData[],MATCH(Table2[[#Headers],[Solid Bottom Height]],Table2[#Headers],0),0)</f>
        <v>0</v>
      </c>
      <c r="AO565" s="2" t="str">
        <f>VLOOKUP([jobnumber],OvalData[],MATCH(Table2[[#Headers],[slatlength]],Table2[#Headers],0),0)</f>
        <v xml:space="preserve"> 18 ft.- 5 7/ 8"</v>
      </c>
      <c r="AP565" s="2">
        <f>VLOOKUP([jobnumber],OvalData[],MATCH(Table2[[#Headers],[Bottom Slat Length]],Table2[#Headers],0),0)</f>
        <v>0</v>
      </c>
      <c r="AQ565" s="2">
        <f>VLOOKUP([jobnumber],OvalData[],MATCH(Table2[[#Headers],[Number of Perferated Slats]],Table2[#Headers],0),0)</f>
        <v>0</v>
      </c>
      <c r="AR565" s="2">
        <f>VLOOKUP([jobnumber],OvalData[],MATCH(Table2[[#Headers],[First Preferated Slat From End]],Table2[#Headers],0),0)</f>
        <v>0</v>
      </c>
      <c r="AS565" s="2">
        <f>VLOOKUP([jobnumber],OvalData[],MATCH(Table2[[#Headers],[First Preferated Slat From Bottom]],Table2[#Headers],0),0)</f>
        <v>0</v>
      </c>
      <c r="AT565" s="2">
        <f>VLOOKUP([jobnumber],OvalData[],MATCH(Table2[[#Headers],[Total Number of Slats]],Table2[#Headers],0),0)</f>
        <v>51</v>
      </c>
      <c r="AU565" s="2">
        <f>VLOOKUP([jobnumber],OvalData[],MATCH(Table2[[#Headers],[Bottom Bar Slope]],Table2[#Headers],0),0)</f>
        <v>0</v>
      </c>
      <c r="AV565" s="2">
        <f>VLOOKUP([jobnumber],OvalData[],MATCH(Table2[[#Headers],[Bottom Bar Weight]],Table2[#Headers],0),0)</f>
        <v>80.5</v>
      </c>
      <c r="AW565" s="2" t="str">
        <f>VLOOKUP([jobnumber],OvalData[],MATCH(Table2[[#Headers],[Outer Spring Gage]],Table2[#Headers],0),0)</f>
        <v>Null</v>
      </c>
      <c r="AX565" s="2" t="str">
        <f>VLOOKUP([jobnumber],OvalData[],MATCH(Table2[[#Headers],[Outer Spring OD]],Table2[#Headers],0),0)</f>
        <v>Null</v>
      </c>
      <c r="AY565" s="2" t="str">
        <f>VLOOKUP([jobnumber],OvalData[],MATCH(Table2[[#Headers],[Outer Spring Length]],Table2[#Headers],0),0)</f>
        <v>Null</v>
      </c>
      <c r="AZ565" s="2" t="str">
        <f>VLOOKUP([jobnumber],OvalData[],MATCH(Table2[[#Headers],[Outer Spring Stretch]],Table2[#Headers],0),0)</f>
        <v>Null</v>
      </c>
      <c r="BA565" s="2" t="str">
        <f>VLOOKUP([jobnumber],OvalData[],MATCH(Table2[[#Headers],[Outer Spring Torque]],Table2[#Headers],0),0)</f>
        <v>Null</v>
      </c>
      <c r="BB565" s="2" t="str">
        <f>VLOOKUP([jobnumber],OvalData[],MATCH(Table2[[#Headers],[Outer Spring Max Turns]],Table2[#Headers],0),0)</f>
        <v>Null</v>
      </c>
      <c r="BC565" s="2" t="str">
        <f>VLOOKUP([jobnumber],OvalData[],MATCH(Table2[[#Headers],[Outer Spring Weight]],Table2[#Headers],0),0)</f>
        <v>Null</v>
      </c>
      <c r="BD565" s="2" t="str">
        <f>VLOOKUP([jobnumber],OvalData[],MATCH(Table2[[#Headers],[Inner Spring Gage]],Table2[#Headers],0),0)</f>
        <v>Null</v>
      </c>
      <c r="BE565" s="2" t="str">
        <f>VLOOKUP([jobnumber],OvalData[],MATCH(Table2[[#Headers],[Inner Spring OD]],Table2[#Headers],0),0)</f>
        <v>Null</v>
      </c>
      <c r="BF565" s="2" t="str">
        <f>VLOOKUP([jobnumber],OvalData[],MATCH(Table2[[#Headers],[Inner Spring Length]],Table2[#Headers],0),0)</f>
        <v>Null</v>
      </c>
      <c r="BG565" s="2" t="str">
        <f>VLOOKUP([jobnumber],OvalData[],MATCH(Table2[[#Headers],[Inner Spring Stretch]],Table2[#Headers],0),0)</f>
        <v>Null</v>
      </c>
      <c r="BH565" s="2" t="str">
        <f>VLOOKUP([jobnumber],OvalData[],MATCH(Table2[[#Headers],[Inner Spring Torque]],Table2[#Headers],0),0)</f>
        <v>Null</v>
      </c>
      <c r="BI565" s="2" t="str">
        <f>VLOOKUP([jobnumber],OvalData[],MATCH(Table2[[#Headers],[Inner Spring Max Turns]],Table2[#Headers],0),0)</f>
        <v>Null</v>
      </c>
      <c r="BJ565" s="2" t="str">
        <f>VLOOKUP([jobnumber],OvalData[],MATCH(Table2[[#Headers],[Inner Spring Weight]],Table2[#Headers],0),0)</f>
        <v>Null</v>
      </c>
      <c r="BK565" s="2">
        <f>VLOOKUP([jobnumber],OvalData[],MATCH(Table2[[#Headers],[Cycles]],Table2[#Headers],0),0)</f>
        <v>0</v>
      </c>
      <c r="BL565" s="2">
        <f>VLOOKUP([jobnumber],OvalData[],MATCH(Table2[[#Headers],[Total Spring Torque]],Table2[#Headers],0),0)</f>
        <v>0</v>
      </c>
      <c r="BM565" s="2">
        <f>VLOOKUP([jobnumber],OvalData[],MATCH(Table2[[#Headers],[Total Spring Weight]],Table2[#Headers],0),0)</f>
        <v>0</v>
      </c>
      <c r="BN565" s="2">
        <f>VLOOKUP([jobnumber],OvalData[],MATCH(Table2[[#Headers],[Pipe Weight]],Table2[#Headers],0),0)</f>
        <v>688.24239999999998</v>
      </c>
      <c r="BO565" s="2">
        <f>VLOOKUP([jobnumber],OvalData[],MATCH(Table2[[#Headers],[Max Pipe Deflection]],Table2[#Headers],0),0)</f>
        <v>2309</v>
      </c>
      <c r="BP565" s="2">
        <f>VLOOKUP([jobnumber],OvalData[],MATCH(Table2[[#Headers],[Number Non-Insulated Wrap Slats]],Table2[#Headers],0),0)</f>
        <v>0</v>
      </c>
      <c r="BQ565" s="2">
        <f>VLOOKUP([jobnumber],OvalData[],MATCH(Table2[[#Headers],[Number of Insolated Top Slats]],Table2[#Headers],0),0)</f>
        <v>45</v>
      </c>
      <c r="BR565" s="2">
        <f>VLOOKUP([jobnumber],OvalData[],MATCH(Table2[[#Headers],[Insolated Total Slats]],Table2[#Headers],0),0)</f>
        <v>45</v>
      </c>
      <c r="BS565" s="2">
        <f>VLOOKUP([jobnumber],OvalData[],MATCH(Table2[[#Headers],[Number of Slats]],Table2[#Headers],0),0)</f>
        <v>44.69</v>
      </c>
      <c r="BT565" s="2">
        <f>VLOOKUP([jobnumber],OvalData[],MATCH(Table2[[#Headers],[Wrap]],Table2[#Headers],0),0)</f>
        <v>0</v>
      </c>
      <c r="BU565" s="2">
        <f>VLOOKUP([jobnumber],OvalData[],MATCH(Table2[[#Headers],[Wall Angle Thickness]],Table2[#Headers],0),0)</f>
        <v>0</v>
      </c>
      <c r="BV565" s="2">
        <f>VLOOKUP([jobnumber],OvalData[],MATCH(Table2[[#Headers],[windlocks]],Table2[#Headers],0),0)</f>
        <v>0</v>
      </c>
      <c r="BW565" s="2" t="str">
        <f>VLOOKUP([jobnumber],OvalData[],MATCH(Table2[[#Headers],[bottombartype]],Table2[#Headers],0),0)</f>
        <v>SPECIAL</v>
      </c>
      <c r="BX565" s="2">
        <f>VLOOKUP([jobnumber],OvalData[],MATCH(Table2[[#Headers],[endlockweight]],Table2[#Headers],0),0)</f>
        <v>0.17</v>
      </c>
      <c r="BY565" s="2">
        <f>VLOOKUP([jobnumber],OvalData[],MATCH(Table2[[#Headers],[Endlock Total Weight]],Table2[#Headers],0),0)</f>
        <v>7.5972999999999997</v>
      </c>
      <c r="BZ565" s="2">
        <f>VLOOKUP([jobnumber],OvalData[],MATCH(Table2[[#Headers],[Grille Weight]],Table2[#Headers],0),0)</f>
        <v>0</v>
      </c>
      <c r="CA565" s="2">
        <f>VLOOKUP([jobnumber],OvalData[],MATCH(Table2[[#Headers],[barrelrings]],Table2[#Headers],0),0)</f>
        <v>1</v>
      </c>
    </row>
    <row r="566" spans="2:79">
      <c r="B566" s="2" t="str">
        <f>VLOOKUP([jobnumber],OvalData[],MATCH(Table2[[#Headers],[Hand]],Table2[#Headers],0),0)</f>
        <v>RH</v>
      </c>
      <c r="C566" s="2" t="str">
        <f>VLOOKUP([jobnumber],OvalData[],MATCH(Table2[[#Headers],[Model]],Table2[#Headers],0),0)</f>
        <v>SFMPP</v>
      </c>
      <c r="D566" s="2" t="str">
        <f>VLOOKUP([jobnumber],OvalData[],MATCH(Table2[[#Headers],[width]],Table2[#Headers],0),0)</f>
        <v xml:space="preserve"> 18 ft.- 2"</v>
      </c>
      <c r="E566" s="2" t="str">
        <f>VLOOKUP([jobnumber],OvalData[],MATCH(Table2[[#Headers],[stopheight]],Table2[#Headers],0),0)</f>
        <v xml:space="preserve"> 10 ft.- 0"</v>
      </c>
      <c r="F566" s="2" t="str">
        <f>VLOOKUP([jobnumber],OvalData[],MATCH(Table2[[#Headers],[Between Brackets]],Table2[#Headers],0),0)</f>
        <v xml:space="preserve"> 18 ft.- 7 7/ 8"</v>
      </c>
      <c r="G566" s="2" t="str">
        <f>VLOOKUP([jobnumber],OvalData[],MATCH(Table2[[#Headers],[shell]],Table2[#Headers],0),0)</f>
        <v>6 INCH TUBE</v>
      </c>
      <c r="H566" s="2" t="str">
        <f>VLOOKUP([jobnumber],OvalData[],MATCH(Table2[[#Headers],[pipewidth]],Table2[#Headers],0),0)</f>
        <v xml:space="preserve"> 18 ft.- 1 3/ 8"</v>
      </c>
      <c r="I566" s="2">
        <f>VLOOKUP([jobnumber],OvalData[],MATCH(Table2[[#Headers],[Support Tubes]],Table2[#Headers],0),0)</f>
        <v>0</v>
      </c>
      <c r="J566" s="2">
        <f>VLOOKUP([jobnumber],OvalData[],MATCH(Table2[[#Headers],[Upset]],Table2[#Headers],0),0)</f>
        <v>2</v>
      </c>
      <c r="K566" s="2" t="str">
        <f>VLOOKUP([jobnumber],OvalData[],MATCH(Table2[[#Headers],[Guide Type]],Table2[#Headers],0),0)</f>
        <v>SN2-4 5/8-E</v>
      </c>
      <c r="L566" s="2" t="str">
        <f>VLOOKUP([jobnumber],OvalData[],MATCH(Table2[[#Headers],[Wall Angle]],Table2[#Headers],0),0)</f>
        <v xml:space="preserve"> 11 ft.- 8"</v>
      </c>
      <c r="M566" s="2" t="str">
        <f>VLOOKUP([jobnumber],OvalData[],MATCH(Table2[[#Headers],[Middle Angle]],Table2[#Headers],0),0)</f>
        <v xml:space="preserve"> 10 ft.- 4 1/ 2"</v>
      </c>
      <c r="N566" s="2" t="str">
        <f>VLOOKUP([jobnumber],OvalData[],MATCH(Table2[[#Headers],[Front Angle]],Table2[#Headers],0),0)</f>
        <v xml:space="preserve"> 10 ft.- 3"</v>
      </c>
      <c r="O566" s="2">
        <f>VLOOKUP([jobnumber],OvalData[],MATCH(Table2[[#Headers],[Pipe Center Line]],Table2[#Headers],0),0)</f>
        <v>131</v>
      </c>
      <c r="P566" s="2">
        <f>VLOOKUP([jobnumber],OvalData[],MATCH(Table2[[#Headers],[Heat Expansion Gap]],Table2[#Headers],0),0)</f>
        <v>0</v>
      </c>
      <c r="Q566" s="2">
        <f>VLOOKUP([jobnumber],OvalData[],MATCH(Table2[[#Headers],[Hanging Weight Closed]],Table2[#Headers],0),0)</f>
        <v>795</v>
      </c>
      <c r="R566" s="2">
        <f>VLOOKUP([jobnumber],OvalData[],MATCH(Table2[[#Headers],[Hanging Weight Open]],Table2[#Headers],0),0)</f>
        <v>140</v>
      </c>
      <c r="S566" s="2">
        <f>VLOOKUP([jobnumber],OvalData[],MATCH(Table2[[#Headers],[Initial Lever Arm]],Table2[#Headers],0),0)</f>
        <v>4.25</v>
      </c>
      <c r="T566" s="2">
        <f>VLOOKUP([jobnumber],OvalData[],MATCH(Table2[[#Headers],[Turns to Raise]],Table2[#Headers],0),0)</f>
        <v>3.5859999999999999</v>
      </c>
      <c r="U566" s="2">
        <f>VLOOKUP([jobnumber],OvalData[],MATCH(Table2[[#Headers],[Final Lever Arm]],Table2[#Headers],0),0)</f>
        <v>6.37</v>
      </c>
      <c r="V566" s="2">
        <f>VLOOKUP([jobnumber],OvalData[],MATCH(Table2[[#Headers],[Torque Required Closed]],Table2[#Headers],0),0)</f>
        <v>3377.9</v>
      </c>
      <c r="W566" s="2">
        <f>VLOOKUP([jobnumber],OvalData[],MATCH(Table2[[#Headers],[Torque Required Open]],Table2[#Headers],0),0)</f>
        <v>892</v>
      </c>
      <c r="X566" s="2">
        <f>VLOOKUP([jobnumber],OvalData[],MATCH(Table2[[#Headers],[Pre Turns]],Table2[#Headers],0),0)</f>
        <v>1.3332999999999999</v>
      </c>
      <c r="Y566" s="2">
        <f>VLOOKUP([jobnumber],OvalData[],MATCH(Table2[[#Headers],[Required Torque Per Turn]],Table2[#Headers],0),0)</f>
        <v>688</v>
      </c>
      <c r="Z566" s="2">
        <f>VLOOKUP([jobnumber],OvalData[],MATCH(Table2[[#Headers],[Total Turns]],Table2[#Headers],0),0)</f>
        <v>4.91</v>
      </c>
      <c r="AA566" s="2">
        <f>VLOOKUP([jobnumber],OvalData[],MATCH(Table2[[#Headers],[Grille Vision Section]],Table2[#Headers],0),0)</f>
        <v>0</v>
      </c>
      <c r="AB566" s="2">
        <f>VLOOKUP([jobnumber],OvalData[],MATCH(Table2[[#Headers],[Grille Amount]],Table2[#Headers],0),0)</f>
        <v>0</v>
      </c>
      <c r="AC566" s="2">
        <f>VLOOKUP([jobnumber],OvalData[],MATCH(Table2[[#Headers],[Grille Center]],Table2[#Headers],0),0)</f>
        <v>0</v>
      </c>
      <c r="AD566" s="2">
        <f>VLOOKUP([jobnumber],OvalData[],MATCH(Table2[[#Headers],[Grille Pattern]],Table2[#Headers],0),0)</f>
        <v>0</v>
      </c>
      <c r="AE566" s="2">
        <f>VLOOKUP([jobnumber],OvalData[],MATCH(Table2[[#Headers],[Grille First Tube]],Table2[#Headers],0),0)</f>
        <v>0</v>
      </c>
      <c r="AF566" s="2">
        <f>VLOOKUP([jobnumber],OvalData[],MATCH(Table2[[#Headers],[Grille Standard Tube]],Table2[#Headers],0),0)</f>
        <v>0</v>
      </c>
      <c r="AG566" s="2">
        <f>VLOOKUP([jobnumber],OvalData[],MATCH(Table2[[#Headers],[Grille Total Links]],Table2[#Headers],0),0)</f>
        <v>0</v>
      </c>
      <c r="AH566" s="2">
        <f>VLOOKUP([jobnumber],OvalData[],MATCH(Table2[[#Headers],[Grille Rods]],Table2[#Headers],0),0)</f>
        <v>0</v>
      </c>
      <c r="AI566" s="2">
        <f>VLOOKUP([jobnumber],OvalData[],MATCH(Table2[[#Headers],[Grille Rod Length]],Table2[#Headers],0),0)</f>
        <v>0</v>
      </c>
      <c r="AJ566" s="2">
        <f>VLOOKUP([jobnumber],OvalData[],MATCH(Table2[[#Headers],[slattype]],Table2[#Headers],0),0)</f>
        <v>2</v>
      </c>
      <c r="AK566" s="2">
        <f>VLOOKUP([jobnumber],OvalData[],MATCH(Table2[[#Headers],[slatgage]],Table2[#Headers],0),0)</f>
        <v>18</v>
      </c>
      <c r="AL566" s="2">
        <f>VLOOKUP([jobnumber],OvalData[],MATCH(Table2[[#Headers],[Numer of Top Slats]],Table2[#Headers],0),0)</f>
        <v>0</v>
      </c>
      <c r="AM566" s="2">
        <f>VLOOKUP([jobnumber],OvalData[],MATCH(Table2[[#Headers],[Number of Bottom Slats]],Table2[#Headers],0),0)</f>
        <v>0</v>
      </c>
      <c r="AN566" s="2">
        <f>VLOOKUP([jobnumber],OvalData[],MATCH(Table2[[#Headers],[Solid Bottom Height]],Table2[#Headers],0),0)</f>
        <v>0</v>
      </c>
      <c r="AO566" s="2" t="str">
        <f>VLOOKUP([jobnumber],OvalData[],MATCH(Table2[[#Headers],[slatlength]],Table2[#Headers],0),0)</f>
        <v xml:space="preserve"> 18 ft.- 5 7/ 8"</v>
      </c>
      <c r="AP566" s="2">
        <f>VLOOKUP([jobnumber],OvalData[],MATCH(Table2[[#Headers],[Bottom Slat Length]],Table2[#Headers],0),0)</f>
        <v>0</v>
      </c>
      <c r="AQ566" s="2">
        <f>VLOOKUP([jobnumber],OvalData[],MATCH(Table2[[#Headers],[Number of Perferated Slats]],Table2[#Headers],0),0)</f>
        <v>0</v>
      </c>
      <c r="AR566" s="2">
        <f>VLOOKUP([jobnumber],OvalData[],MATCH(Table2[[#Headers],[First Preferated Slat From End]],Table2[#Headers],0),0)</f>
        <v>0</v>
      </c>
      <c r="AS566" s="2">
        <f>VLOOKUP([jobnumber],OvalData[],MATCH(Table2[[#Headers],[First Preferated Slat From Bottom]],Table2[#Headers],0),0)</f>
        <v>0</v>
      </c>
      <c r="AT566" s="2">
        <f>VLOOKUP([jobnumber],OvalData[],MATCH(Table2[[#Headers],[Total Number of Slats]],Table2[#Headers],0),0)</f>
        <v>51</v>
      </c>
      <c r="AU566" s="2">
        <f>VLOOKUP([jobnumber],OvalData[],MATCH(Table2[[#Headers],[Bottom Bar Slope]],Table2[#Headers],0),0)</f>
        <v>0</v>
      </c>
      <c r="AV566" s="2">
        <f>VLOOKUP([jobnumber],OvalData[],MATCH(Table2[[#Headers],[Bottom Bar Weight]],Table2[#Headers],0),0)</f>
        <v>80.5</v>
      </c>
      <c r="AW566" s="2" t="str">
        <f>VLOOKUP([jobnumber],OvalData[],MATCH(Table2[[#Headers],[Outer Spring Gage]],Table2[#Headers],0),0)</f>
        <v>Null</v>
      </c>
      <c r="AX566" s="2" t="str">
        <f>VLOOKUP([jobnumber],OvalData[],MATCH(Table2[[#Headers],[Outer Spring OD]],Table2[#Headers],0),0)</f>
        <v>Null</v>
      </c>
      <c r="AY566" s="2" t="str">
        <f>VLOOKUP([jobnumber],OvalData[],MATCH(Table2[[#Headers],[Outer Spring Length]],Table2[#Headers],0),0)</f>
        <v>Null</v>
      </c>
      <c r="AZ566" s="2" t="str">
        <f>VLOOKUP([jobnumber],OvalData[],MATCH(Table2[[#Headers],[Outer Spring Stretch]],Table2[#Headers],0),0)</f>
        <v>Null</v>
      </c>
      <c r="BA566" s="2" t="str">
        <f>VLOOKUP([jobnumber],OvalData[],MATCH(Table2[[#Headers],[Outer Spring Torque]],Table2[#Headers],0),0)</f>
        <v>Null</v>
      </c>
      <c r="BB566" s="2" t="str">
        <f>VLOOKUP([jobnumber],OvalData[],MATCH(Table2[[#Headers],[Outer Spring Max Turns]],Table2[#Headers],0),0)</f>
        <v>Null</v>
      </c>
      <c r="BC566" s="2" t="str">
        <f>VLOOKUP([jobnumber],OvalData[],MATCH(Table2[[#Headers],[Outer Spring Weight]],Table2[#Headers],0),0)</f>
        <v>Null</v>
      </c>
      <c r="BD566" s="2" t="str">
        <f>VLOOKUP([jobnumber],OvalData[],MATCH(Table2[[#Headers],[Inner Spring Gage]],Table2[#Headers],0),0)</f>
        <v>Null</v>
      </c>
      <c r="BE566" s="2" t="str">
        <f>VLOOKUP([jobnumber],OvalData[],MATCH(Table2[[#Headers],[Inner Spring OD]],Table2[#Headers],0),0)</f>
        <v>Null</v>
      </c>
      <c r="BF566" s="2" t="str">
        <f>VLOOKUP([jobnumber],OvalData[],MATCH(Table2[[#Headers],[Inner Spring Length]],Table2[#Headers],0),0)</f>
        <v>Null</v>
      </c>
      <c r="BG566" s="2" t="str">
        <f>VLOOKUP([jobnumber],OvalData[],MATCH(Table2[[#Headers],[Inner Spring Stretch]],Table2[#Headers],0),0)</f>
        <v>Null</v>
      </c>
      <c r="BH566" s="2" t="str">
        <f>VLOOKUP([jobnumber],OvalData[],MATCH(Table2[[#Headers],[Inner Spring Torque]],Table2[#Headers],0),0)</f>
        <v>Null</v>
      </c>
      <c r="BI566" s="2" t="str">
        <f>VLOOKUP([jobnumber],OvalData[],MATCH(Table2[[#Headers],[Inner Spring Max Turns]],Table2[#Headers],0),0)</f>
        <v>Null</v>
      </c>
      <c r="BJ566" s="2" t="str">
        <f>VLOOKUP([jobnumber],OvalData[],MATCH(Table2[[#Headers],[Inner Spring Weight]],Table2[#Headers],0),0)</f>
        <v>Null</v>
      </c>
      <c r="BK566" s="2">
        <f>VLOOKUP([jobnumber],OvalData[],MATCH(Table2[[#Headers],[Cycles]],Table2[#Headers],0),0)</f>
        <v>0</v>
      </c>
      <c r="BL566" s="2">
        <f>VLOOKUP([jobnumber],OvalData[],MATCH(Table2[[#Headers],[Total Spring Torque]],Table2[#Headers],0),0)</f>
        <v>0</v>
      </c>
      <c r="BM566" s="2">
        <f>VLOOKUP([jobnumber],OvalData[],MATCH(Table2[[#Headers],[Total Spring Weight]],Table2[#Headers],0),0)</f>
        <v>0</v>
      </c>
      <c r="BN566" s="2">
        <f>VLOOKUP([jobnumber],OvalData[],MATCH(Table2[[#Headers],[Pipe Weight]],Table2[#Headers],0),0)</f>
        <v>688.24239999999998</v>
      </c>
      <c r="BO566" s="2">
        <f>VLOOKUP([jobnumber],OvalData[],MATCH(Table2[[#Headers],[Max Pipe Deflection]],Table2[#Headers],0),0)</f>
        <v>2309</v>
      </c>
      <c r="BP566" s="2">
        <f>VLOOKUP([jobnumber],OvalData[],MATCH(Table2[[#Headers],[Number Non-Insulated Wrap Slats]],Table2[#Headers],0),0)</f>
        <v>0</v>
      </c>
      <c r="BQ566" s="2">
        <f>VLOOKUP([jobnumber],OvalData[],MATCH(Table2[[#Headers],[Number of Insolated Top Slats]],Table2[#Headers],0),0)</f>
        <v>45</v>
      </c>
      <c r="BR566" s="2">
        <f>VLOOKUP([jobnumber],OvalData[],MATCH(Table2[[#Headers],[Insolated Total Slats]],Table2[#Headers],0),0)</f>
        <v>45</v>
      </c>
      <c r="BS566" s="2">
        <f>VLOOKUP([jobnumber],OvalData[],MATCH(Table2[[#Headers],[Number of Slats]],Table2[#Headers],0),0)</f>
        <v>44.69</v>
      </c>
      <c r="BT566" s="2">
        <f>VLOOKUP([jobnumber],OvalData[],MATCH(Table2[[#Headers],[Wrap]],Table2[#Headers],0),0)</f>
        <v>0</v>
      </c>
      <c r="BU566" s="2">
        <f>VLOOKUP([jobnumber],OvalData[],MATCH(Table2[[#Headers],[Wall Angle Thickness]],Table2[#Headers],0),0)</f>
        <v>0</v>
      </c>
      <c r="BV566" s="2">
        <f>VLOOKUP([jobnumber],OvalData[],MATCH(Table2[[#Headers],[windlocks]],Table2[#Headers],0),0)</f>
        <v>0</v>
      </c>
      <c r="BW566" s="2" t="str">
        <f>VLOOKUP([jobnumber],OvalData[],MATCH(Table2[[#Headers],[bottombartype]],Table2[#Headers],0),0)</f>
        <v>SPECIAL</v>
      </c>
      <c r="BX566" s="2">
        <f>VLOOKUP([jobnumber],OvalData[],MATCH(Table2[[#Headers],[endlockweight]],Table2[#Headers],0),0)</f>
        <v>0.17</v>
      </c>
      <c r="BY566" s="2">
        <f>VLOOKUP([jobnumber],OvalData[],MATCH(Table2[[#Headers],[Endlock Total Weight]],Table2[#Headers],0),0)</f>
        <v>7.5972999999999997</v>
      </c>
      <c r="BZ566" s="2">
        <f>VLOOKUP([jobnumber],OvalData[],MATCH(Table2[[#Headers],[Grille Weight]],Table2[#Headers],0),0)</f>
        <v>0</v>
      </c>
      <c r="CA566" s="2">
        <f>VLOOKUP([jobnumber],OvalData[],MATCH(Table2[[#Headers],[barrelrings]],Table2[#Headers],0),0)</f>
        <v>1</v>
      </c>
    </row>
    <row r="567" spans="2:79">
      <c r="B567" s="2" t="str">
        <f>VLOOKUP([jobnumber],OvalData[],MATCH(Table2[[#Headers],[Hand]],Table2[#Headers],0),0)</f>
        <v>RH</v>
      </c>
      <c r="C567" s="2" t="str">
        <f>VLOOKUP([jobnumber],OvalData[],MATCH(Table2[[#Headers],[Model]],Table2[#Headers],0),0)</f>
        <v>SFMPP</v>
      </c>
      <c r="D567" s="2" t="str">
        <f>VLOOKUP([jobnumber],OvalData[],MATCH(Table2[[#Headers],[width]],Table2[#Headers],0),0)</f>
        <v xml:space="preserve"> 18 ft.- 2"</v>
      </c>
      <c r="E567" s="2" t="str">
        <f>VLOOKUP([jobnumber],OvalData[],MATCH(Table2[[#Headers],[stopheight]],Table2[#Headers],0),0)</f>
        <v xml:space="preserve"> 10 ft.- 0"</v>
      </c>
      <c r="F567" s="2" t="str">
        <f>VLOOKUP([jobnumber],OvalData[],MATCH(Table2[[#Headers],[Between Brackets]],Table2[#Headers],0),0)</f>
        <v xml:space="preserve"> 18 ft.- 7 7/ 8"</v>
      </c>
      <c r="G567" s="2" t="str">
        <f>VLOOKUP([jobnumber],OvalData[],MATCH(Table2[[#Headers],[shell]],Table2[#Headers],0),0)</f>
        <v>6 INCH TUBE</v>
      </c>
      <c r="H567" s="2" t="str">
        <f>VLOOKUP([jobnumber],OvalData[],MATCH(Table2[[#Headers],[pipewidth]],Table2[#Headers],0),0)</f>
        <v xml:space="preserve"> 18 ft.- 1 3/ 8"</v>
      </c>
      <c r="I567" s="2">
        <f>VLOOKUP([jobnumber],OvalData[],MATCH(Table2[[#Headers],[Support Tubes]],Table2[#Headers],0),0)</f>
        <v>0</v>
      </c>
      <c r="J567" s="2">
        <f>VLOOKUP([jobnumber],OvalData[],MATCH(Table2[[#Headers],[Upset]],Table2[#Headers],0),0)</f>
        <v>2</v>
      </c>
      <c r="K567" s="2" t="str">
        <f>VLOOKUP([jobnumber],OvalData[],MATCH(Table2[[#Headers],[Guide Type]],Table2[#Headers],0),0)</f>
        <v>SN2-4 5/8-E</v>
      </c>
      <c r="L567" s="2" t="str">
        <f>VLOOKUP([jobnumber],OvalData[],MATCH(Table2[[#Headers],[Wall Angle]],Table2[#Headers],0),0)</f>
        <v xml:space="preserve"> 11 ft.- 8"</v>
      </c>
      <c r="M567" s="2" t="str">
        <f>VLOOKUP([jobnumber],OvalData[],MATCH(Table2[[#Headers],[Middle Angle]],Table2[#Headers],0),0)</f>
        <v xml:space="preserve"> 10 ft.- 4 1/ 2"</v>
      </c>
      <c r="N567" s="2" t="str">
        <f>VLOOKUP([jobnumber],OvalData[],MATCH(Table2[[#Headers],[Front Angle]],Table2[#Headers],0),0)</f>
        <v xml:space="preserve"> 10 ft.- 3"</v>
      </c>
      <c r="O567" s="2">
        <f>VLOOKUP([jobnumber],OvalData[],MATCH(Table2[[#Headers],[Pipe Center Line]],Table2[#Headers],0),0)</f>
        <v>131</v>
      </c>
      <c r="P567" s="2">
        <f>VLOOKUP([jobnumber],OvalData[],MATCH(Table2[[#Headers],[Heat Expansion Gap]],Table2[#Headers],0),0)</f>
        <v>0</v>
      </c>
      <c r="Q567" s="2">
        <f>VLOOKUP([jobnumber],OvalData[],MATCH(Table2[[#Headers],[Hanging Weight Closed]],Table2[#Headers],0),0)</f>
        <v>795</v>
      </c>
      <c r="R567" s="2">
        <f>VLOOKUP([jobnumber],OvalData[],MATCH(Table2[[#Headers],[Hanging Weight Open]],Table2[#Headers],0),0)</f>
        <v>140</v>
      </c>
      <c r="S567" s="2">
        <f>VLOOKUP([jobnumber],OvalData[],MATCH(Table2[[#Headers],[Initial Lever Arm]],Table2[#Headers],0),0)</f>
        <v>4.25</v>
      </c>
      <c r="T567" s="2">
        <f>VLOOKUP([jobnumber],OvalData[],MATCH(Table2[[#Headers],[Turns to Raise]],Table2[#Headers],0),0)</f>
        <v>3.5859999999999999</v>
      </c>
      <c r="U567" s="2">
        <f>VLOOKUP([jobnumber],OvalData[],MATCH(Table2[[#Headers],[Final Lever Arm]],Table2[#Headers],0),0)</f>
        <v>6.37</v>
      </c>
      <c r="V567" s="2">
        <f>VLOOKUP([jobnumber],OvalData[],MATCH(Table2[[#Headers],[Torque Required Closed]],Table2[#Headers],0),0)</f>
        <v>3377.9</v>
      </c>
      <c r="W567" s="2">
        <f>VLOOKUP([jobnumber],OvalData[],MATCH(Table2[[#Headers],[Torque Required Open]],Table2[#Headers],0),0)</f>
        <v>892</v>
      </c>
      <c r="X567" s="2">
        <f>VLOOKUP([jobnumber],OvalData[],MATCH(Table2[[#Headers],[Pre Turns]],Table2[#Headers],0),0)</f>
        <v>1.3332999999999999</v>
      </c>
      <c r="Y567" s="2">
        <f>VLOOKUP([jobnumber],OvalData[],MATCH(Table2[[#Headers],[Required Torque Per Turn]],Table2[#Headers],0),0)</f>
        <v>688</v>
      </c>
      <c r="Z567" s="2">
        <f>VLOOKUP([jobnumber],OvalData[],MATCH(Table2[[#Headers],[Total Turns]],Table2[#Headers],0),0)</f>
        <v>4.91</v>
      </c>
      <c r="AA567" s="2">
        <f>VLOOKUP([jobnumber],OvalData[],MATCH(Table2[[#Headers],[Grille Vision Section]],Table2[#Headers],0),0)</f>
        <v>0</v>
      </c>
      <c r="AB567" s="2">
        <f>VLOOKUP([jobnumber],OvalData[],MATCH(Table2[[#Headers],[Grille Amount]],Table2[#Headers],0),0)</f>
        <v>0</v>
      </c>
      <c r="AC567" s="2">
        <f>VLOOKUP([jobnumber],OvalData[],MATCH(Table2[[#Headers],[Grille Center]],Table2[#Headers],0),0)</f>
        <v>0</v>
      </c>
      <c r="AD567" s="2">
        <f>VLOOKUP([jobnumber],OvalData[],MATCH(Table2[[#Headers],[Grille Pattern]],Table2[#Headers],0),0)</f>
        <v>0</v>
      </c>
      <c r="AE567" s="2">
        <f>VLOOKUP([jobnumber],OvalData[],MATCH(Table2[[#Headers],[Grille First Tube]],Table2[#Headers],0),0)</f>
        <v>0</v>
      </c>
      <c r="AF567" s="2">
        <f>VLOOKUP([jobnumber],OvalData[],MATCH(Table2[[#Headers],[Grille Standard Tube]],Table2[#Headers],0),0)</f>
        <v>0</v>
      </c>
      <c r="AG567" s="2">
        <f>VLOOKUP([jobnumber],OvalData[],MATCH(Table2[[#Headers],[Grille Total Links]],Table2[#Headers],0),0)</f>
        <v>0</v>
      </c>
      <c r="AH567" s="2">
        <f>VLOOKUP([jobnumber],OvalData[],MATCH(Table2[[#Headers],[Grille Rods]],Table2[#Headers],0),0)</f>
        <v>0</v>
      </c>
      <c r="AI567" s="2">
        <f>VLOOKUP([jobnumber],OvalData[],MATCH(Table2[[#Headers],[Grille Rod Length]],Table2[#Headers],0),0)</f>
        <v>0</v>
      </c>
      <c r="AJ567" s="2">
        <f>VLOOKUP([jobnumber],OvalData[],MATCH(Table2[[#Headers],[slattype]],Table2[#Headers],0),0)</f>
        <v>2</v>
      </c>
      <c r="AK567" s="2">
        <f>VLOOKUP([jobnumber],OvalData[],MATCH(Table2[[#Headers],[slatgage]],Table2[#Headers],0),0)</f>
        <v>18</v>
      </c>
      <c r="AL567" s="2">
        <f>VLOOKUP([jobnumber],OvalData[],MATCH(Table2[[#Headers],[Numer of Top Slats]],Table2[#Headers],0),0)</f>
        <v>0</v>
      </c>
      <c r="AM567" s="2">
        <f>VLOOKUP([jobnumber],OvalData[],MATCH(Table2[[#Headers],[Number of Bottom Slats]],Table2[#Headers],0),0)</f>
        <v>0</v>
      </c>
      <c r="AN567" s="2">
        <f>VLOOKUP([jobnumber],OvalData[],MATCH(Table2[[#Headers],[Solid Bottom Height]],Table2[#Headers],0),0)</f>
        <v>0</v>
      </c>
      <c r="AO567" s="2" t="str">
        <f>VLOOKUP([jobnumber],OvalData[],MATCH(Table2[[#Headers],[slatlength]],Table2[#Headers],0),0)</f>
        <v xml:space="preserve"> 18 ft.- 5 7/ 8"</v>
      </c>
      <c r="AP567" s="2">
        <f>VLOOKUP([jobnumber],OvalData[],MATCH(Table2[[#Headers],[Bottom Slat Length]],Table2[#Headers],0),0)</f>
        <v>0</v>
      </c>
      <c r="AQ567" s="2">
        <f>VLOOKUP([jobnumber],OvalData[],MATCH(Table2[[#Headers],[Number of Perferated Slats]],Table2[#Headers],0),0)</f>
        <v>0</v>
      </c>
      <c r="AR567" s="2">
        <f>VLOOKUP([jobnumber],OvalData[],MATCH(Table2[[#Headers],[First Preferated Slat From End]],Table2[#Headers],0),0)</f>
        <v>0</v>
      </c>
      <c r="AS567" s="2">
        <f>VLOOKUP([jobnumber],OvalData[],MATCH(Table2[[#Headers],[First Preferated Slat From Bottom]],Table2[#Headers],0),0)</f>
        <v>0</v>
      </c>
      <c r="AT567" s="2">
        <f>VLOOKUP([jobnumber],OvalData[],MATCH(Table2[[#Headers],[Total Number of Slats]],Table2[#Headers],0),0)</f>
        <v>51</v>
      </c>
      <c r="AU567" s="2">
        <f>VLOOKUP([jobnumber],OvalData[],MATCH(Table2[[#Headers],[Bottom Bar Slope]],Table2[#Headers],0),0)</f>
        <v>0</v>
      </c>
      <c r="AV567" s="2">
        <f>VLOOKUP([jobnumber],OvalData[],MATCH(Table2[[#Headers],[Bottom Bar Weight]],Table2[#Headers],0),0)</f>
        <v>80.5</v>
      </c>
      <c r="AW567" s="2" t="str">
        <f>VLOOKUP([jobnumber],OvalData[],MATCH(Table2[[#Headers],[Outer Spring Gage]],Table2[#Headers],0),0)</f>
        <v>Null</v>
      </c>
      <c r="AX567" s="2" t="str">
        <f>VLOOKUP([jobnumber],OvalData[],MATCH(Table2[[#Headers],[Outer Spring OD]],Table2[#Headers],0),0)</f>
        <v>Null</v>
      </c>
      <c r="AY567" s="2" t="str">
        <f>VLOOKUP([jobnumber],OvalData[],MATCH(Table2[[#Headers],[Outer Spring Length]],Table2[#Headers],0),0)</f>
        <v>Null</v>
      </c>
      <c r="AZ567" s="2" t="str">
        <f>VLOOKUP([jobnumber],OvalData[],MATCH(Table2[[#Headers],[Outer Spring Stretch]],Table2[#Headers],0),0)</f>
        <v>Null</v>
      </c>
      <c r="BA567" s="2" t="str">
        <f>VLOOKUP([jobnumber],OvalData[],MATCH(Table2[[#Headers],[Outer Spring Torque]],Table2[#Headers],0),0)</f>
        <v>Null</v>
      </c>
      <c r="BB567" s="2" t="str">
        <f>VLOOKUP([jobnumber],OvalData[],MATCH(Table2[[#Headers],[Outer Spring Max Turns]],Table2[#Headers],0),0)</f>
        <v>Null</v>
      </c>
      <c r="BC567" s="2" t="str">
        <f>VLOOKUP([jobnumber],OvalData[],MATCH(Table2[[#Headers],[Outer Spring Weight]],Table2[#Headers],0),0)</f>
        <v>Null</v>
      </c>
      <c r="BD567" s="2" t="str">
        <f>VLOOKUP([jobnumber],OvalData[],MATCH(Table2[[#Headers],[Inner Spring Gage]],Table2[#Headers],0),0)</f>
        <v>Null</v>
      </c>
      <c r="BE567" s="2" t="str">
        <f>VLOOKUP([jobnumber],OvalData[],MATCH(Table2[[#Headers],[Inner Spring OD]],Table2[#Headers],0),0)</f>
        <v>Null</v>
      </c>
      <c r="BF567" s="2" t="str">
        <f>VLOOKUP([jobnumber],OvalData[],MATCH(Table2[[#Headers],[Inner Spring Length]],Table2[#Headers],0),0)</f>
        <v>Null</v>
      </c>
      <c r="BG567" s="2" t="str">
        <f>VLOOKUP([jobnumber],OvalData[],MATCH(Table2[[#Headers],[Inner Spring Stretch]],Table2[#Headers],0),0)</f>
        <v>Null</v>
      </c>
      <c r="BH567" s="2" t="str">
        <f>VLOOKUP([jobnumber],OvalData[],MATCH(Table2[[#Headers],[Inner Spring Torque]],Table2[#Headers],0),0)</f>
        <v>Null</v>
      </c>
      <c r="BI567" s="2" t="str">
        <f>VLOOKUP([jobnumber],OvalData[],MATCH(Table2[[#Headers],[Inner Spring Max Turns]],Table2[#Headers],0),0)</f>
        <v>Null</v>
      </c>
      <c r="BJ567" s="2" t="str">
        <f>VLOOKUP([jobnumber],OvalData[],MATCH(Table2[[#Headers],[Inner Spring Weight]],Table2[#Headers],0),0)</f>
        <v>Null</v>
      </c>
      <c r="BK567" s="2">
        <f>VLOOKUP([jobnumber],OvalData[],MATCH(Table2[[#Headers],[Cycles]],Table2[#Headers],0),0)</f>
        <v>0</v>
      </c>
      <c r="BL567" s="2">
        <f>VLOOKUP([jobnumber],OvalData[],MATCH(Table2[[#Headers],[Total Spring Torque]],Table2[#Headers],0),0)</f>
        <v>0</v>
      </c>
      <c r="BM567" s="2">
        <f>VLOOKUP([jobnumber],OvalData[],MATCH(Table2[[#Headers],[Total Spring Weight]],Table2[#Headers],0),0)</f>
        <v>0</v>
      </c>
      <c r="BN567" s="2">
        <f>VLOOKUP([jobnumber],OvalData[],MATCH(Table2[[#Headers],[Pipe Weight]],Table2[#Headers],0),0)</f>
        <v>688.24239999999998</v>
      </c>
      <c r="BO567" s="2">
        <f>VLOOKUP([jobnumber],OvalData[],MATCH(Table2[[#Headers],[Max Pipe Deflection]],Table2[#Headers],0),0)</f>
        <v>2309</v>
      </c>
      <c r="BP567" s="2">
        <f>VLOOKUP([jobnumber],OvalData[],MATCH(Table2[[#Headers],[Number Non-Insulated Wrap Slats]],Table2[#Headers],0),0)</f>
        <v>0</v>
      </c>
      <c r="BQ567" s="2">
        <f>VLOOKUP([jobnumber],OvalData[],MATCH(Table2[[#Headers],[Number of Insolated Top Slats]],Table2[#Headers],0),0)</f>
        <v>45</v>
      </c>
      <c r="BR567" s="2">
        <f>VLOOKUP([jobnumber],OvalData[],MATCH(Table2[[#Headers],[Insolated Total Slats]],Table2[#Headers],0),0)</f>
        <v>45</v>
      </c>
      <c r="BS567" s="2">
        <f>VLOOKUP([jobnumber],OvalData[],MATCH(Table2[[#Headers],[Number of Slats]],Table2[#Headers],0),0)</f>
        <v>44.69</v>
      </c>
      <c r="BT567" s="2">
        <f>VLOOKUP([jobnumber],OvalData[],MATCH(Table2[[#Headers],[Wrap]],Table2[#Headers],0),0)</f>
        <v>0</v>
      </c>
      <c r="BU567" s="2">
        <f>VLOOKUP([jobnumber],OvalData[],MATCH(Table2[[#Headers],[Wall Angle Thickness]],Table2[#Headers],0),0)</f>
        <v>0</v>
      </c>
      <c r="BV567" s="2">
        <f>VLOOKUP([jobnumber],OvalData[],MATCH(Table2[[#Headers],[windlocks]],Table2[#Headers],0),0)</f>
        <v>0</v>
      </c>
      <c r="BW567" s="2" t="str">
        <f>VLOOKUP([jobnumber],OvalData[],MATCH(Table2[[#Headers],[bottombartype]],Table2[#Headers],0),0)</f>
        <v>SPECIAL</v>
      </c>
      <c r="BX567" s="2">
        <f>VLOOKUP([jobnumber],OvalData[],MATCH(Table2[[#Headers],[endlockweight]],Table2[#Headers],0),0)</f>
        <v>0.17</v>
      </c>
      <c r="BY567" s="2">
        <f>VLOOKUP([jobnumber],OvalData[],MATCH(Table2[[#Headers],[Endlock Total Weight]],Table2[#Headers],0),0)</f>
        <v>7.5972999999999997</v>
      </c>
      <c r="BZ567" s="2">
        <f>VLOOKUP([jobnumber],OvalData[],MATCH(Table2[[#Headers],[Grille Weight]],Table2[#Headers],0),0)</f>
        <v>0</v>
      </c>
      <c r="CA567" s="2">
        <f>VLOOKUP([jobnumber],OvalData[],MATCH(Table2[[#Headers],[barrelrings]],Table2[#Headers],0),0)</f>
        <v>1</v>
      </c>
    </row>
    <row r="568" spans="2:79">
      <c r="B568" s="2" t="str">
        <f>VLOOKUP([jobnumber],OvalData[],MATCH(Table2[[#Headers],[Hand]],Table2[#Headers],0),0)</f>
        <v>RH</v>
      </c>
      <c r="C568" s="2" t="str">
        <f>VLOOKUP([jobnumber],OvalData[],MATCH(Table2[[#Headers],[Model]],Table2[#Headers],0),0)</f>
        <v>SFMPP</v>
      </c>
      <c r="D568" s="2" t="str">
        <f>VLOOKUP([jobnumber],OvalData[],MATCH(Table2[[#Headers],[width]],Table2[#Headers],0),0)</f>
        <v xml:space="preserve"> 18 ft.- 2"</v>
      </c>
      <c r="E568" s="2" t="str">
        <f>VLOOKUP([jobnumber],OvalData[],MATCH(Table2[[#Headers],[stopheight]],Table2[#Headers],0),0)</f>
        <v xml:space="preserve"> 10 ft.- 0"</v>
      </c>
      <c r="F568" s="2" t="str">
        <f>VLOOKUP([jobnumber],OvalData[],MATCH(Table2[[#Headers],[Between Brackets]],Table2[#Headers],0),0)</f>
        <v xml:space="preserve"> 18 ft.- 7 7/ 8"</v>
      </c>
      <c r="G568" s="2" t="str">
        <f>VLOOKUP([jobnumber],OvalData[],MATCH(Table2[[#Headers],[shell]],Table2[#Headers],0),0)</f>
        <v>6 INCH TUBE</v>
      </c>
      <c r="H568" s="2" t="str">
        <f>VLOOKUP([jobnumber],OvalData[],MATCH(Table2[[#Headers],[pipewidth]],Table2[#Headers],0),0)</f>
        <v xml:space="preserve"> 18 ft.- 1 3/ 8"</v>
      </c>
      <c r="I568" s="2">
        <f>VLOOKUP([jobnumber],OvalData[],MATCH(Table2[[#Headers],[Support Tubes]],Table2[#Headers],0),0)</f>
        <v>0</v>
      </c>
      <c r="J568" s="2">
        <f>VLOOKUP([jobnumber],OvalData[],MATCH(Table2[[#Headers],[Upset]],Table2[#Headers],0),0)</f>
        <v>2</v>
      </c>
      <c r="K568" s="2" t="str">
        <f>VLOOKUP([jobnumber],OvalData[],MATCH(Table2[[#Headers],[Guide Type]],Table2[#Headers],0),0)</f>
        <v>SN2-4 5/8-E</v>
      </c>
      <c r="L568" s="2" t="str">
        <f>VLOOKUP([jobnumber],OvalData[],MATCH(Table2[[#Headers],[Wall Angle]],Table2[#Headers],0),0)</f>
        <v xml:space="preserve"> 11 ft.- 8"</v>
      </c>
      <c r="M568" s="2" t="str">
        <f>VLOOKUP([jobnumber],OvalData[],MATCH(Table2[[#Headers],[Middle Angle]],Table2[#Headers],0),0)</f>
        <v xml:space="preserve"> 10 ft.- 4 1/ 2"</v>
      </c>
      <c r="N568" s="2" t="str">
        <f>VLOOKUP([jobnumber],OvalData[],MATCH(Table2[[#Headers],[Front Angle]],Table2[#Headers],0),0)</f>
        <v xml:space="preserve"> 10 ft.- 3"</v>
      </c>
      <c r="O568" s="2">
        <f>VLOOKUP([jobnumber],OvalData[],MATCH(Table2[[#Headers],[Pipe Center Line]],Table2[#Headers],0),0)</f>
        <v>131</v>
      </c>
      <c r="P568" s="2">
        <f>VLOOKUP([jobnumber],OvalData[],MATCH(Table2[[#Headers],[Heat Expansion Gap]],Table2[#Headers],0),0)</f>
        <v>0</v>
      </c>
      <c r="Q568" s="2">
        <f>VLOOKUP([jobnumber],OvalData[],MATCH(Table2[[#Headers],[Hanging Weight Closed]],Table2[#Headers],0),0)</f>
        <v>795</v>
      </c>
      <c r="R568" s="2">
        <f>VLOOKUP([jobnumber],OvalData[],MATCH(Table2[[#Headers],[Hanging Weight Open]],Table2[#Headers],0),0)</f>
        <v>140</v>
      </c>
      <c r="S568" s="2">
        <f>VLOOKUP([jobnumber],OvalData[],MATCH(Table2[[#Headers],[Initial Lever Arm]],Table2[#Headers],0),0)</f>
        <v>4.25</v>
      </c>
      <c r="T568" s="2">
        <f>VLOOKUP([jobnumber],OvalData[],MATCH(Table2[[#Headers],[Turns to Raise]],Table2[#Headers],0),0)</f>
        <v>3.5859999999999999</v>
      </c>
      <c r="U568" s="2">
        <f>VLOOKUP([jobnumber],OvalData[],MATCH(Table2[[#Headers],[Final Lever Arm]],Table2[#Headers],0),0)</f>
        <v>6.37</v>
      </c>
      <c r="V568" s="2">
        <f>VLOOKUP([jobnumber],OvalData[],MATCH(Table2[[#Headers],[Torque Required Closed]],Table2[#Headers],0),0)</f>
        <v>3377.9</v>
      </c>
      <c r="W568" s="2">
        <f>VLOOKUP([jobnumber],OvalData[],MATCH(Table2[[#Headers],[Torque Required Open]],Table2[#Headers],0),0)</f>
        <v>892</v>
      </c>
      <c r="X568" s="2">
        <f>VLOOKUP([jobnumber],OvalData[],MATCH(Table2[[#Headers],[Pre Turns]],Table2[#Headers],0),0)</f>
        <v>1.3332999999999999</v>
      </c>
      <c r="Y568" s="2">
        <f>VLOOKUP([jobnumber],OvalData[],MATCH(Table2[[#Headers],[Required Torque Per Turn]],Table2[#Headers],0),0)</f>
        <v>688</v>
      </c>
      <c r="Z568" s="2">
        <f>VLOOKUP([jobnumber],OvalData[],MATCH(Table2[[#Headers],[Total Turns]],Table2[#Headers],0),0)</f>
        <v>4.91</v>
      </c>
      <c r="AA568" s="2">
        <f>VLOOKUP([jobnumber],OvalData[],MATCH(Table2[[#Headers],[Grille Vision Section]],Table2[#Headers],0),0)</f>
        <v>0</v>
      </c>
      <c r="AB568" s="2">
        <f>VLOOKUP([jobnumber],OvalData[],MATCH(Table2[[#Headers],[Grille Amount]],Table2[#Headers],0),0)</f>
        <v>0</v>
      </c>
      <c r="AC568" s="2">
        <f>VLOOKUP([jobnumber],OvalData[],MATCH(Table2[[#Headers],[Grille Center]],Table2[#Headers],0),0)</f>
        <v>0</v>
      </c>
      <c r="AD568" s="2">
        <f>VLOOKUP([jobnumber],OvalData[],MATCH(Table2[[#Headers],[Grille Pattern]],Table2[#Headers],0),0)</f>
        <v>0</v>
      </c>
      <c r="AE568" s="2">
        <f>VLOOKUP([jobnumber],OvalData[],MATCH(Table2[[#Headers],[Grille First Tube]],Table2[#Headers],0),0)</f>
        <v>0</v>
      </c>
      <c r="AF568" s="2">
        <f>VLOOKUP([jobnumber],OvalData[],MATCH(Table2[[#Headers],[Grille Standard Tube]],Table2[#Headers],0),0)</f>
        <v>0</v>
      </c>
      <c r="AG568" s="2">
        <f>VLOOKUP([jobnumber],OvalData[],MATCH(Table2[[#Headers],[Grille Total Links]],Table2[#Headers],0),0)</f>
        <v>0</v>
      </c>
      <c r="AH568" s="2">
        <f>VLOOKUP([jobnumber],OvalData[],MATCH(Table2[[#Headers],[Grille Rods]],Table2[#Headers],0),0)</f>
        <v>0</v>
      </c>
      <c r="AI568" s="2">
        <f>VLOOKUP([jobnumber],OvalData[],MATCH(Table2[[#Headers],[Grille Rod Length]],Table2[#Headers],0),0)</f>
        <v>0</v>
      </c>
      <c r="AJ568" s="2">
        <f>VLOOKUP([jobnumber],OvalData[],MATCH(Table2[[#Headers],[slattype]],Table2[#Headers],0),0)</f>
        <v>2</v>
      </c>
      <c r="AK568" s="2">
        <f>VLOOKUP([jobnumber],OvalData[],MATCH(Table2[[#Headers],[slatgage]],Table2[#Headers],0),0)</f>
        <v>18</v>
      </c>
      <c r="AL568" s="2">
        <f>VLOOKUP([jobnumber],OvalData[],MATCH(Table2[[#Headers],[Numer of Top Slats]],Table2[#Headers],0),0)</f>
        <v>0</v>
      </c>
      <c r="AM568" s="2">
        <f>VLOOKUP([jobnumber],OvalData[],MATCH(Table2[[#Headers],[Number of Bottom Slats]],Table2[#Headers],0),0)</f>
        <v>0</v>
      </c>
      <c r="AN568" s="2">
        <f>VLOOKUP([jobnumber],OvalData[],MATCH(Table2[[#Headers],[Solid Bottom Height]],Table2[#Headers],0),0)</f>
        <v>0</v>
      </c>
      <c r="AO568" s="2" t="str">
        <f>VLOOKUP([jobnumber],OvalData[],MATCH(Table2[[#Headers],[slatlength]],Table2[#Headers],0),0)</f>
        <v xml:space="preserve"> 18 ft.- 5 7/ 8"</v>
      </c>
      <c r="AP568" s="2">
        <f>VLOOKUP([jobnumber],OvalData[],MATCH(Table2[[#Headers],[Bottom Slat Length]],Table2[#Headers],0),0)</f>
        <v>0</v>
      </c>
      <c r="AQ568" s="2">
        <f>VLOOKUP([jobnumber],OvalData[],MATCH(Table2[[#Headers],[Number of Perferated Slats]],Table2[#Headers],0),0)</f>
        <v>0</v>
      </c>
      <c r="AR568" s="2">
        <f>VLOOKUP([jobnumber],OvalData[],MATCH(Table2[[#Headers],[First Preferated Slat From End]],Table2[#Headers],0),0)</f>
        <v>0</v>
      </c>
      <c r="AS568" s="2">
        <f>VLOOKUP([jobnumber],OvalData[],MATCH(Table2[[#Headers],[First Preferated Slat From Bottom]],Table2[#Headers],0),0)</f>
        <v>0</v>
      </c>
      <c r="AT568" s="2">
        <f>VLOOKUP([jobnumber],OvalData[],MATCH(Table2[[#Headers],[Total Number of Slats]],Table2[#Headers],0),0)</f>
        <v>51</v>
      </c>
      <c r="AU568" s="2">
        <f>VLOOKUP([jobnumber],OvalData[],MATCH(Table2[[#Headers],[Bottom Bar Slope]],Table2[#Headers],0),0)</f>
        <v>0</v>
      </c>
      <c r="AV568" s="2">
        <f>VLOOKUP([jobnumber],OvalData[],MATCH(Table2[[#Headers],[Bottom Bar Weight]],Table2[#Headers],0),0)</f>
        <v>80.5</v>
      </c>
      <c r="AW568" s="2" t="str">
        <f>VLOOKUP([jobnumber],OvalData[],MATCH(Table2[[#Headers],[Outer Spring Gage]],Table2[#Headers],0),0)</f>
        <v>Null</v>
      </c>
      <c r="AX568" s="2" t="str">
        <f>VLOOKUP([jobnumber],OvalData[],MATCH(Table2[[#Headers],[Outer Spring OD]],Table2[#Headers],0),0)</f>
        <v>Null</v>
      </c>
      <c r="AY568" s="2" t="str">
        <f>VLOOKUP([jobnumber],OvalData[],MATCH(Table2[[#Headers],[Outer Spring Length]],Table2[#Headers],0),0)</f>
        <v>Null</v>
      </c>
      <c r="AZ568" s="2" t="str">
        <f>VLOOKUP([jobnumber],OvalData[],MATCH(Table2[[#Headers],[Outer Spring Stretch]],Table2[#Headers],0),0)</f>
        <v>Null</v>
      </c>
      <c r="BA568" s="2" t="str">
        <f>VLOOKUP([jobnumber],OvalData[],MATCH(Table2[[#Headers],[Outer Spring Torque]],Table2[#Headers],0),0)</f>
        <v>Null</v>
      </c>
      <c r="BB568" s="2" t="str">
        <f>VLOOKUP([jobnumber],OvalData[],MATCH(Table2[[#Headers],[Outer Spring Max Turns]],Table2[#Headers],0),0)</f>
        <v>Null</v>
      </c>
      <c r="BC568" s="2" t="str">
        <f>VLOOKUP([jobnumber],OvalData[],MATCH(Table2[[#Headers],[Outer Spring Weight]],Table2[#Headers],0),0)</f>
        <v>Null</v>
      </c>
      <c r="BD568" s="2" t="str">
        <f>VLOOKUP([jobnumber],OvalData[],MATCH(Table2[[#Headers],[Inner Spring Gage]],Table2[#Headers],0),0)</f>
        <v>Null</v>
      </c>
      <c r="BE568" s="2" t="str">
        <f>VLOOKUP([jobnumber],OvalData[],MATCH(Table2[[#Headers],[Inner Spring OD]],Table2[#Headers],0),0)</f>
        <v>Null</v>
      </c>
      <c r="BF568" s="2" t="str">
        <f>VLOOKUP([jobnumber],OvalData[],MATCH(Table2[[#Headers],[Inner Spring Length]],Table2[#Headers],0),0)</f>
        <v>Null</v>
      </c>
      <c r="BG568" s="2" t="str">
        <f>VLOOKUP([jobnumber],OvalData[],MATCH(Table2[[#Headers],[Inner Spring Stretch]],Table2[#Headers],0),0)</f>
        <v>Null</v>
      </c>
      <c r="BH568" s="2" t="str">
        <f>VLOOKUP([jobnumber],OvalData[],MATCH(Table2[[#Headers],[Inner Spring Torque]],Table2[#Headers],0),0)</f>
        <v>Null</v>
      </c>
      <c r="BI568" s="2" t="str">
        <f>VLOOKUP([jobnumber],OvalData[],MATCH(Table2[[#Headers],[Inner Spring Max Turns]],Table2[#Headers],0),0)</f>
        <v>Null</v>
      </c>
      <c r="BJ568" s="2" t="str">
        <f>VLOOKUP([jobnumber],OvalData[],MATCH(Table2[[#Headers],[Inner Spring Weight]],Table2[#Headers],0),0)</f>
        <v>Null</v>
      </c>
      <c r="BK568" s="2">
        <f>VLOOKUP([jobnumber],OvalData[],MATCH(Table2[[#Headers],[Cycles]],Table2[#Headers],0),0)</f>
        <v>0</v>
      </c>
      <c r="BL568" s="2">
        <f>VLOOKUP([jobnumber],OvalData[],MATCH(Table2[[#Headers],[Total Spring Torque]],Table2[#Headers],0),0)</f>
        <v>0</v>
      </c>
      <c r="BM568" s="2">
        <f>VLOOKUP([jobnumber],OvalData[],MATCH(Table2[[#Headers],[Total Spring Weight]],Table2[#Headers],0),0)</f>
        <v>0</v>
      </c>
      <c r="BN568" s="2">
        <f>VLOOKUP([jobnumber],OvalData[],MATCH(Table2[[#Headers],[Pipe Weight]],Table2[#Headers],0),0)</f>
        <v>688.24239999999998</v>
      </c>
      <c r="BO568" s="2">
        <f>VLOOKUP([jobnumber],OvalData[],MATCH(Table2[[#Headers],[Max Pipe Deflection]],Table2[#Headers],0),0)</f>
        <v>2309</v>
      </c>
      <c r="BP568" s="2">
        <f>VLOOKUP([jobnumber],OvalData[],MATCH(Table2[[#Headers],[Number Non-Insulated Wrap Slats]],Table2[#Headers],0),0)</f>
        <v>0</v>
      </c>
      <c r="BQ568" s="2">
        <f>VLOOKUP([jobnumber],OvalData[],MATCH(Table2[[#Headers],[Number of Insolated Top Slats]],Table2[#Headers],0),0)</f>
        <v>45</v>
      </c>
      <c r="BR568" s="2">
        <f>VLOOKUP([jobnumber],OvalData[],MATCH(Table2[[#Headers],[Insolated Total Slats]],Table2[#Headers],0),0)</f>
        <v>45</v>
      </c>
      <c r="BS568" s="2">
        <f>VLOOKUP([jobnumber],OvalData[],MATCH(Table2[[#Headers],[Number of Slats]],Table2[#Headers],0),0)</f>
        <v>44.69</v>
      </c>
      <c r="BT568" s="2">
        <f>VLOOKUP([jobnumber],OvalData[],MATCH(Table2[[#Headers],[Wrap]],Table2[#Headers],0),0)</f>
        <v>0</v>
      </c>
      <c r="BU568" s="2">
        <f>VLOOKUP([jobnumber],OvalData[],MATCH(Table2[[#Headers],[Wall Angle Thickness]],Table2[#Headers],0),0)</f>
        <v>0</v>
      </c>
      <c r="BV568" s="2">
        <f>VLOOKUP([jobnumber],OvalData[],MATCH(Table2[[#Headers],[windlocks]],Table2[#Headers],0),0)</f>
        <v>0</v>
      </c>
      <c r="BW568" s="2" t="str">
        <f>VLOOKUP([jobnumber],OvalData[],MATCH(Table2[[#Headers],[bottombartype]],Table2[#Headers],0),0)</f>
        <v>SPECIAL</v>
      </c>
      <c r="BX568" s="2">
        <f>VLOOKUP([jobnumber],OvalData[],MATCH(Table2[[#Headers],[endlockweight]],Table2[#Headers],0),0)</f>
        <v>0.17</v>
      </c>
      <c r="BY568" s="2">
        <f>VLOOKUP([jobnumber],OvalData[],MATCH(Table2[[#Headers],[Endlock Total Weight]],Table2[#Headers],0),0)</f>
        <v>7.5972999999999997</v>
      </c>
      <c r="BZ568" s="2">
        <f>VLOOKUP([jobnumber],OvalData[],MATCH(Table2[[#Headers],[Grille Weight]],Table2[#Headers],0),0)</f>
        <v>0</v>
      </c>
      <c r="CA568" s="2">
        <f>VLOOKUP([jobnumber],OvalData[],MATCH(Table2[[#Headers],[barrelrings]],Table2[#Headers],0),0)</f>
        <v>1</v>
      </c>
    </row>
    <row r="569" spans="2:79">
      <c r="B569" s="2" t="str">
        <f>VLOOKUP([jobnumber],OvalData[],MATCH(Table2[[#Headers],[Hand]],Table2[#Headers],0),0)</f>
        <v>RH</v>
      </c>
      <c r="C569" s="2" t="str">
        <f>VLOOKUP([jobnumber],OvalData[],MATCH(Table2[[#Headers],[Model]],Table2[#Headers],0),0)</f>
        <v>SFMPP</v>
      </c>
      <c r="D569" s="2" t="str">
        <f>VLOOKUP([jobnumber],OvalData[],MATCH(Table2[[#Headers],[width]],Table2[#Headers],0),0)</f>
        <v xml:space="preserve"> 18 ft.- 2"</v>
      </c>
      <c r="E569" s="2" t="str">
        <f>VLOOKUP([jobnumber],OvalData[],MATCH(Table2[[#Headers],[stopheight]],Table2[#Headers],0),0)</f>
        <v xml:space="preserve"> 10 ft.- 0"</v>
      </c>
      <c r="F569" s="2" t="str">
        <f>VLOOKUP([jobnumber],OvalData[],MATCH(Table2[[#Headers],[Between Brackets]],Table2[#Headers],0),0)</f>
        <v xml:space="preserve"> 18 ft.- 7 7/ 8"</v>
      </c>
      <c r="G569" s="2" t="str">
        <f>VLOOKUP([jobnumber],OvalData[],MATCH(Table2[[#Headers],[shell]],Table2[#Headers],0),0)</f>
        <v>6 INCH TUBE</v>
      </c>
      <c r="H569" s="2" t="str">
        <f>VLOOKUP([jobnumber],OvalData[],MATCH(Table2[[#Headers],[pipewidth]],Table2[#Headers],0),0)</f>
        <v xml:space="preserve"> 18 ft.- 1 3/ 8"</v>
      </c>
      <c r="I569" s="2">
        <f>VLOOKUP([jobnumber],OvalData[],MATCH(Table2[[#Headers],[Support Tubes]],Table2[#Headers],0),0)</f>
        <v>0</v>
      </c>
      <c r="J569" s="2">
        <f>VLOOKUP([jobnumber],OvalData[],MATCH(Table2[[#Headers],[Upset]],Table2[#Headers],0),0)</f>
        <v>2</v>
      </c>
      <c r="K569" s="2" t="str">
        <f>VLOOKUP([jobnumber],OvalData[],MATCH(Table2[[#Headers],[Guide Type]],Table2[#Headers],0),0)</f>
        <v>SN2-4 5/8-E</v>
      </c>
      <c r="L569" s="2" t="str">
        <f>VLOOKUP([jobnumber],OvalData[],MATCH(Table2[[#Headers],[Wall Angle]],Table2[#Headers],0),0)</f>
        <v xml:space="preserve"> 11 ft.- 8"</v>
      </c>
      <c r="M569" s="2" t="str">
        <f>VLOOKUP([jobnumber],OvalData[],MATCH(Table2[[#Headers],[Middle Angle]],Table2[#Headers],0),0)</f>
        <v xml:space="preserve"> 10 ft.- 4 1/ 2"</v>
      </c>
      <c r="N569" s="2" t="str">
        <f>VLOOKUP([jobnumber],OvalData[],MATCH(Table2[[#Headers],[Front Angle]],Table2[#Headers],0),0)</f>
        <v xml:space="preserve"> 10 ft.- 3"</v>
      </c>
      <c r="O569" s="2">
        <f>VLOOKUP([jobnumber],OvalData[],MATCH(Table2[[#Headers],[Pipe Center Line]],Table2[#Headers],0),0)</f>
        <v>131</v>
      </c>
      <c r="P569" s="2">
        <f>VLOOKUP([jobnumber],OvalData[],MATCH(Table2[[#Headers],[Heat Expansion Gap]],Table2[#Headers],0),0)</f>
        <v>0</v>
      </c>
      <c r="Q569" s="2">
        <f>VLOOKUP([jobnumber],OvalData[],MATCH(Table2[[#Headers],[Hanging Weight Closed]],Table2[#Headers],0),0)</f>
        <v>795</v>
      </c>
      <c r="R569" s="2">
        <f>VLOOKUP([jobnumber],OvalData[],MATCH(Table2[[#Headers],[Hanging Weight Open]],Table2[#Headers],0),0)</f>
        <v>140</v>
      </c>
      <c r="S569" s="2">
        <f>VLOOKUP([jobnumber],OvalData[],MATCH(Table2[[#Headers],[Initial Lever Arm]],Table2[#Headers],0),0)</f>
        <v>4.25</v>
      </c>
      <c r="T569" s="2">
        <f>VLOOKUP([jobnumber],OvalData[],MATCH(Table2[[#Headers],[Turns to Raise]],Table2[#Headers],0),0)</f>
        <v>3.5859999999999999</v>
      </c>
      <c r="U569" s="2">
        <f>VLOOKUP([jobnumber],OvalData[],MATCH(Table2[[#Headers],[Final Lever Arm]],Table2[#Headers],0),0)</f>
        <v>6.37</v>
      </c>
      <c r="V569" s="2">
        <f>VLOOKUP([jobnumber],OvalData[],MATCH(Table2[[#Headers],[Torque Required Closed]],Table2[#Headers],0),0)</f>
        <v>3377.9</v>
      </c>
      <c r="W569" s="2">
        <f>VLOOKUP([jobnumber],OvalData[],MATCH(Table2[[#Headers],[Torque Required Open]],Table2[#Headers],0),0)</f>
        <v>892</v>
      </c>
      <c r="X569" s="2">
        <f>VLOOKUP([jobnumber],OvalData[],MATCH(Table2[[#Headers],[Pre Turns]],Table2[#Headers],0),0)</f>
        <v>1.3332999999999999</v>
      </c>
      <c r="Y569" s="2">
        <f>VLOOKUP([jobnumber],OvalData[],MATCH(Table2[[#Headers],[Required Torque Per Turn]],Table2[#Headers],0),0)</f>
        <v>688</v>
      </c>
      <c r="Z569" s="2">
        <f>VLOOKUP([jobnumber],OvalData[],MATCH(Table2[[#Headers],[Total Turns]],Table2[#Headers],0),0)</f>
        <v>4.91</v>
      </c>
      <c r="AA569" s="2">
        <f>VLOOKUP([jobnumber],OvalData[],MATCH(Table2[[#Headers],[Grille Vision Section]],Table2[#Headers],0),0)</f>
        <v>0</v>
      </c>
      <c r="AB569" s="2">
        <f>VLOOKUP([jobnumber],OvalData[],MATCH(Table2[[#Headers],[Grille Amount]],Table2[#Headers],0),0)</f>
        <v>0</v>
      </c>
      <c r="AC569" s="2">
        <f>VLOOKUP([jobnumber],OvalData[],MATCH(Table2[[#Headers],[Grille Center]],Table2[#Headers],0),0)</f>
        <v>0</v>
      </c>
      <c r="AD569" s="2">
        <f>VLOOKUP([jobnumber],OvalData[],MATCH(Table2[[#Headers],[Grille Pattern]],Table2[#Headers],0),0)</f>
        <v>0</v>
      </c>
      <c r="AE569" s="2">
        <f>VLOOKUP([jobnumber],OvalData[],MATCH(Table2[[#Headers],[Grille First Tube]],Table2[#Headers],0),0)</f>
        <v>0</v>
      </c>
      <c r="AF569" s="2">
        <f>VLOOKUP([jobnumber],OvalData[],MATCH(Table2[[#Headers],[Grille Standard Tube]],Table2[#Headers],0),0)</f>
        <v>0</v>
      </c>
      <c r="AG569" s="2">
        <f>VLOOKUP([jobnumber],OvalData[],MATCH(Table2[[#Headers],[Grille Total Links]],Table2[#Headers],0),0)</f>
        <v>0</v>
      </c>
      <c r="AH569" s="2">
        <f>VLOOKUP([jobnumber],OvalData[],MATCH(Table2[[#Headers],[Grille Rods]],Table2[#Headers],0),0)</f>
        <v>0</v>
      </c>
      <c r="AI569" s="2">
        <f>VLOOKUP([jobnumber],OvalData[],MATCH(Table2[[#Headers],[Grille Rod Length]],Table2[#Headers],0),0)</f>
        <v>0</v>
      </c>
      <c r="AJ569" s="2">
        <f>VLOOKUP([jobnumber],OvalData[],MATCH(Table2[[#Headers],[slattype]],Table2[#Headers],0),0)</f>
        <v>2</v>
      </c>
      <c r="AK569" s="2">
        <f>VLOOKUP([jobnumber],OvalData[],MATCH(Table2[[#Headers],[slatgage]],Table2[#Headers],0),0)</f>
        <v>18</v>
      </c>
      <c r="AL569" s="2">
        <f>VLOOKUP([jobnumber],OvalData[],MATCH(Table2[[#Headers],[Numer of Top Slats]],Table2[#Headers],0),0)</f>
        <v>0</v>
      </c>
      <c r="AM569" s="2">
        <f>VLOOKUP([jobnumber],OvalData[],MATCH(Table2[[#Headers],[Number of Bottom Slats]],Table2[#Headers],0),0)</f>
        <v>0</v>
      </c>
      <c r="AN569" s="2">
        <f>VLOOKUP([jobnumber],OvalData[],MATCH(Table2[[#Headers],[Solid Bottom Height]],Table2[#Headers],0),0)</f>
        <v>0</v>
      </c>
      <c r="AO569" s="2" t="str">
        <f>VLOOKUP([jobnumber],OvalData[],MATCH(Table2[[#Headers],[slatlength]],Table2[#Headers],0),0)</f>
        <v xml:space="preserve"> 18 ft.- 5 7/ 8"</v>
      </c>
      <c r="AP569" s="2">
        <f>VLOOKUP([jobnumber],OvalData[],MATCH(Table2[[#Headers],[Bottom Slat Length]],Table2[#Headers],0),0)</f>
        <v>0</v>
      </c>
      <c r="AQ569" s="2">
        <f>VLOOKUP([jobnumber],OvalData[],MATCH(Table2[[#Headers],[Number of Perferated Slats]],Table2[#Headers],0),0)</f>
        <v>0</v>
      </c>
      <c r="AR569" s="2">
        <f>VLOOKUP([jobnumber],OvalData[],MATCH(Table2[[#Headers],[First Preferated Slat From End]],Table2[#Headers],0),0)</f>
        <v>0</v>
      </c>
      <c r="AS569" s="2">
        <f>VLOOKUP([jobnumber],OvalData[],MATCH(Table2[[#Headers],[First Preferated Slat From Bottom]],Table2[#Headers],0),0)</f>
        <v>0</v>
      </c>
      <c r="AT569" s="2">
        <f>VLOOKUP([jobnumber],OvalData[],MATCH(Table2[[#Headers],[Total Number of Slats]],Table2[#Headers],0),0)</f>
        <v>51</v>
      </c>
      <c r="AU569" s="2">
        <f>VLOOKUP([jobnumber],OvalData[],MATCH(Table2[[#Headers],[Bottom Bar Slope]],Table2[#Headers],0),0)</f>
        <v>0</v>
      </c>
      <c r="AV569" s="2">
        <f>VLOOKUP([jobnumber],OvalData[],MATCH(Table2[[#Headers],[Bottom Bar Weight]],Table2[#Headers],0),0)</f>
        <v>80.5</v>
      </c>
      <c r="AW569" s="2" t="str">
        <f>VLOOKUP([jobnumber],OvalData[],MATCH(Table2[[#Headers],[Outer Spring Gage]],Table2[#Headers],0),0)</f>
        <v>Null</v>
      </c>
      <c r="AX569" s="2" t="str">
        <f>VLOOKUP([jobnumber],OvalData[],MATCH(Table2[[#Headers],[Outer Spring OD]],Table2[#Headers],0),0)</f>
        <v>Null</v>
      </c>
      <c r="AY569" s="2" t="str">
        <f>VLOOKUP([jobnumber],OvalData[],MATCH(Table2[[#Headers],[Outer Spring Length]],Table2[#Headers],0),0)</f>
        <v>Null</v>
      </c>
      <c r="AZ569" s="2" t="str">
        <f>VLOOKUP([jobnumber],OvalData[],MATCH(Table2[[#Headers],[Outer Spring Stretch]],Table2[#Headers],0),0)</f>
        <v>Null</v>
      </c>
      <c r="BA569" s="2" t="str">
        <f>VLOOKUP([jobnumber],OvalData[],MATCH(Table2[[#Headers],[Outer Spring Torque]],Table2[#Headers],0),0)</f>
        <v>Null</v>
      </c>
      <c r="BB569" s="2" t="str">
        <f>VLOOKUP([jobnumber],OvalData[],MATCH(Table2[[#Headers],[Outer Spring Max Turns]],Table2[#Headers],0),0)</f>
        <v>Null</v>
      </c>
      <c r="BC569" s="2" t="str">
        <f>VLOOKUP([jobnumber],OvalData[],MATCH(Table2[[#Headers],[Outer Spring Weight]],Table2[#Headers],0),0)</f>
        <v>Null</v>
      </c>
      <c r="BD569" s="2" t="str">
        <f>VLOOKUP([jobnumber],OvalData[],MATCH(Table2[[#Headers],[Inner Spring Gage]],Table2[#Headers],0),0)</f>
        <v>Null</v>
      </c>
      <c r="BE569" s="2" t="str">
        <f>VLOOKUP([jobnumber],OvalData[],MATCH(Table2[[#Headers],[Inner Spring OD]],Table2[#Headers],0),0)</f>
        <v>Null</v>
      </c>
      <c r="BF569" s="2" t="str">
        <f>VLOOKUP([jobnumber],OvalData[],MATCH(Table2[[#Headers],[Inner Spring Length]],Table2[#Headers],0),0)</f>
        <v>Null</v>
      </c>
      <c r="BG569" s="2" t="str">
        <f>VLOOKUP([jobnumber],OvalData[],MATCH(Table2[[#Headers],[Inner Spring Stretch]],Table2[#Headers],0),0)</f>
        <v>Null</v>
      </c>
      <c r="BH569" s="2" t="str">
        <f>VLOOKUP([jobnumber],OvalData[],MATCH(Table2[[#Headers],[Inner Spring Torque]],Table2[#Headers],0),0)</f>
        <v>Null</v>
      </c>
      <c r="BI569" s="2" t="str">
        <f>VLOOKUP([jobnumber],OvalData[],MATCH(Table2[[#Headers],[Inner Spring Max Turns]],Table2[#Headers],0),0)</f>
        <v>Null</v>
      </c>
      <c r="BJ569" s="2" t="str">
        <f>VLOOKUP([jobnumber],OvalData[],MATCH(Table2[[#Headers],[Inner Spring Weight]],Table2[#Headers],0),0)</f>
        <v>Null</v>
      </c>
      <c r="BK569" s="2">
        <f>VLOOKUP([jobnumber],OvalData[],MATCH(Table2[[#Headers],[Cycles]],Table2[#Headers],0),0)</f>
        <v>0</v>
      </c>
      <c r="BL569" s="2">
        <f>VLOOKUP([jobnumber],OvalData[],MATCH(Table2[[#Headers],[Total Spring Torque]],Table2[#Headers],0),0)</f>
        <v>0</v>
      </c>
      <c r="BM569" s="2">
        <f>VLOOKUP([jobnumber],OvalData[],MATCH(Table2[[#Headers],[Total Spring Weight]],Table2[#Headers],0),0)</f>
        <v>0</v>
      </c>
      <c r="BN569" s="2">
        <f>VLOOKUP([jobnumber],OvalData[],MATCH(Table2[[#Headers],[Pipe Weight]],Table2[#Headers],0),0)</f>
        <v>688.24239999999998</v>
      </c>
      <c r="BO569" s="2">
        <f>VLOOKUP([jobnumber],OvalData[],MATCH(Table2[[#Headers],[Max Pipe Deflection]],Table2[#Headers],0),0)</f>
        <v>2309</v>
      </c>
      <c r="BP569" s="2">
        <f>VLOOKUP([jobnumber],OvalData[],MATCH(Table2[[#Headers],[Number Non-Insulated Wrap Slats]],Table2[#Headers],0),0)</f>
        <v>0</v>
      </c>
      <c r="BQ569" s="2">
        <f>VLOOKUP([jobnumber],OvalData[],MATCH(Table2[[#Headers],[Number of Insolated Top Slats]],Table2[#Headers],0),0)</f>
        <v>45</v>
      </c>
      <c r="BR569" s="2">
        <f>VLOOKUP([jobnumber],OvalData[],MATCH(Table2[[#Headers],[Insolated Total Slats]],Table2[#Headers],0),0)</f>
        <v>45</v>
      </c>
      <c r="BS569" s="2">
        <f>VLOOKUP([jobnumber],OvalData[],MATCH(Table2[[#Headers],[Number of Slats]],Table2[#Headers],0),0)</f>
        <v>44.69</v>
      </c>
      <c r="BT569" s="2">
        <f>VLOOKUP([jobnumber],OvalData[],MATCH(Table2[[#Headers],[Wrap]],Table2[#Headers],0),0)</f>
        <v>0</v>
      </c>
      <c r="BU569" s="2">
        <f>VLOOKUP([jobnumber],OvalData[],MATCH(Table2[[#Headers],[Wall Angle Thickness]],Table2[#Headers],0),0)</f>
        <v>0</v>
      </c>
      <c r="BV569" s="2">
        <f>VLOOKUP([jobnumber],OvalData[],MATCH(Table2[[#Headers],[windlocks]],Table2[#Headers],0),0)</f>
        <v>0</v>
      </c>
      <c r="BW569" s="2" t="str">
        <f>VLOOKUP([jobnumber],OvalData[],MATCH(Table2[[#Headers],[bottombartype]],Table2[#Headers],0),0)</f>
        <v>SPECIAL</v>
      </c>
      <c r="BX569" s="2">
        <f>VLOOKUP([jobnumber],OvalData[],MATCH(Table2[[#Headers],[endlockweight]],Table2[#Headers],0),0)</f>
        <v>0.17</v>
      </c>
      <c r="BY569" s="2">
        <f>VLOOKUP([jobnumber],OvalData[],MATCH(Table2[[#Headers],[Endlock Total Weight]],Table2[#Headers],0),0)</f>
        <v>7.5972999999999997</v>
      </c>
      <c r="BZ569" s="2">
        <f>VLOOKUP([jobnumber],OvalData[],MATCH(Table2[[#Headers],[Grille Weight]],Table2[#Headers],0),0)</f>
        <v>0</v>
      </c>
      <c r="CA569" s="2">
        <f>VLOOKUP([jobnumber],OvalData[],MATCH(Table2[[#Headers],[barrelrings]],Table2[#Headers],0),0)</f>
        <v>1</v>
      </c>
    </row>
    <row r="570" spans="2:79">
      <c r="B570" s="2" t="str">
        <f>VLOOKUP([jobnumber],OvalData[],MATCH(Table2[[#Headers],[Hand]],Table2[#Headers],0),0)</f>
        <v>RH</v>
      </c>
      <c r="C570" s="2" t="str">
        <f>VLOOKUP([jobnumber],OvalData[],MATCH(Table2[[#Headers],[Model]],Table2[#Headers],0),0)</f>
        <v>SFMPP</v>
      </c>
      <c r="D570" s="2" t="str">
        <f>VLOOKUP([jobnumber],OvalData[],MATCH(Table2[[#Headers],[width]],Table2[#Headers],0),0)</f>
        <v xml:space="preserve"> 18 ft.- 2"</v>
      </c>
      <c r="E570" s="2" t="str">
        <f>VLOOKUP([jobnumber],OvalData[],MATCH(Table2[[#Headers],[stopheight]],Table2[#Headers],0),0)</f>
        <v xml:space="preserve"> 10 ft.- 0"</v>
      </c>
      <c r="F570" s="2" t="str">
        <f>VLOOKUP([jobnumber],OvalData[],MATCH(Table2[[#Headers],[Between Brackets]],Table2[#Headers],0),0)</f>
        <v xml:space="preserve"> 18 ft.- 7 7/ 8"</v>
      </c>
      <c r="G570" s="2" t="str">
        <f>VLOOKUP([jobnumber],OvalData[],MATCH(Table2[[#Headers],[shell]],Table2[#Headers],0),0)</f>
        <v>6 INCH TUBE</v>
      </c>
      <c r="H570" s="2" t="str">
        <f>VLOOKUP([jobnumber],OvalData[],MATCH(Table2[[#Headers],[pipewidth]],Table2[#Headers],0),0)</f>
        <v xml:space="preserve"> 18 ft.- 1 3/ 8"</v>
      </c>
      <c r="I570" s="2">
        <f>VLOOKUP([jobnumber],OvalData[],MATCH(Table2[[#Headers],[Support Tubes]],Table2[#Headers],0),0)</f>
        <v>0</v>
      </c>
      <c r="J570" s="2">
        <f>VLOOKUP([jobnumber],OvalData[],MATCH(Table2[[#Headers],[Upset]],Table2[#Headers],0),0)</f>
        <v>2</v>
      </c>
      <c r="K570" s="2" t="str">
        <f>VLOOKUP([jobnumber],OvalData[],MATCH(Table2[[#Headers],[Guide Type]],Table2[#Headers],0),0)</f>
        <v>SN2-4 5/8-E</v>
      </c>
      <c r="L570" s="2" t="str">
        <f>VLOOKUP([jobnumber],OvalData[],MATCH(Table2[[#Headers],[Wall Angle]],Table2[#Headers],0),0)</f>
        <v xml:space="preserve"> 11 ft.- 8"</v>
      </c>
      <c r="M570" s="2" t="str">
        <f>VLOOKUP([jobnumber],OvalData[],MATCH(Table2[[#Headers],[Middle Angle]],Table2[#Headers],0),0)</f>
        <v xml:space="preserve"> 10 ft.- 4 1/ 2"</v>
      </c>
      <c r="N570" s="2" t="str">
        <f>VLOOKUP([jobnumber],OvalData[],MATCH(Table2[[#Headers],[Front Angle]],Table2[#Headers],0),0)</f>
        <v xml:space="preserve"> 10 ft.- 3"</v>
      </c>
      <c r="O570" s="2">
        <f>VLOOKUP([jobnumber],OvalData[],MATCH(Table2[[#Headers],[Pipe Center Line]],Table2[#Headers],0),0)</f>
        <v>131</v>
      </c>
      <c r="P570" s="2">
        <f>VLOOKUP([jobnumber],OvalData[],MATCH(Table2[[#Headers],[Heat Expansion Gap]],Table2[#Headers],0),0)</f>
        <v>0</v>
      </c>
      <c r="Q570" s="2">
        <f>VLOOKUP([jobnumber],OvalData[],MATCH(Table2[[#Headers],[Hanging Weight Closed]],Table2[#Headers],0),0)</f>
        <v>795</v>
      </c>
      <c r="R570" s="2">
        <f>VLOOKUP([jobnumber],OvalData[],MATCH(Table2[[#Headers],[Hanging Weight Open]],Table2[#Headers],0),0)</f>
        <v>140</v>
      </c>
      <c r="S570" s="2">
        <f>VLOOKUP([jobnumber],OvalData[],MATCH(Table2[[#Headers],[Initial Lever Arm]],Table2[#Headers],0),0)</f>
        <v>4.25</v>
      </c>
      <c r="T570" s="2">
        <f>VLOOKUP([jobnumber],OvalData[],MATCH(Table2[[#Headers],[Turns to Raise]],Table2[#Headers],0),0)</f>
        <v>3.5859999999999999</v>
      </c>
      <c r="U570" s="2">
        <f>VLOOKUP([jobnumber],OvalData[],MATCH(Table2[[#Headers],[Final Lever Arm]],Table2[#Headers],0),0)</f>
        <v>6.37</v>
      </c>
      <c r="V570" s="2">
        <f>VLOOKUP([jobnumber],OvalData[],MATCH(Table2[[#Headers],[Torque Required Closed]],Table2[#Headers],0),0)</f>
        <v>3377.9</v>
      </c>
      <c r="W570" s="2">
        <f>VLOOKUP([jobnumber],OvalData[],MATCH(Table2[[#Headers],[Torque Required Open]],Table2[#Headers],0),0)</f>
        <v>892</v>
      </c>
      <c r="X570" s="2">
        <f>VLOOKUP([jobnumber],OvalData[],MATCH(Table2[[#Headers],[Pre Turns]],Table2[#Headers],0),0)</f>
        <v>1.3332999999999999</v>
      </c>
      <c r="Y570" s="2">
        <f>VLOOKUP([jobnumber],OvalData[],MATCH(Table2[[#Headers],[Required Torque Per Turn]],Table2[#Headers],0),0)</f>
        <v>688</v>
      </c>
      <c r="Z570" s="2">
        <f>VLOOKUP([jobnumber],OvalData[],MATCH(Table2[[#Headers],[Total Turns]],Table2[#Headers],0),0)</f>
        <v>4.91</v>
      </c>
      <c r="AA570" s="2">
        <f>VLOOKUP([jobnumber],OvalData[],MATCH(Table2[[#Headers],[Grille Vision Section]],Table2[#Headers],0),0)</f>
        <v>0</v>
      </c>
      <c r="AB570" s="2">
        <f>VLOOKUP([jobnumber],OvalData[],MATCH(Table2[[#Headers],[Grille Amount]],Table2[#Headers],0),0)</f>
        <v>0</v>
      </c>
      <c r="AC570" s="2">
        <f>VLOOKUP([jobnumber],OvalData[],MATCH(Table2[[#Headers],[Grille Center]],Table2[#Headers],0),0)</f>
        <v>0</v>
      </c>
      <c r="AD570" s="2">
        <f>VLOOKUP([jobnumber],OvalData[],MATCH(Table2[[#Headers],[Grille Pattern]],Table2[#Headers],0),0)</f>
        <v>0</v>
      </c>
      <c r="AE570" s="2">
        <f>VLOOKUP([jobnumber],OvalData[],MATCH(Table2[[#Headers],[Grille First Tube]],Table2[#Headers],0),0)</f>
        <v>0</v>
      </c>
      <c r="AF570" s="2">
        <f>VLOOKUP([jobnumber],OvalData[],MATCH(Table2[[#Headers],[Grille Standard Tube]],Table2[#Headers],0),0)</f>
        <v>0</v>
      </c>
      <c r="AG570" s="2">
        <f>VLOOKUP([jobnumber],OvalData[],MATCH(Table2[[#Headers],[Grille Total Links]],Table2[#Headers],0),0)</f>
        <v>0</v>
      </c>
      <c r="AH570" s="2">
        <f>VLOOKUP([jobnumber],OvalData[],MATCH(Table2[[#Headers],[Grille Rods]],Table2[#Headers],0),0)</f>
        <v>0</v>
      </c>
      <c r="AI570" s="2">
        <f>VLOOKUP([jobnumber],OvalData[],MATCH(Table2[[#Headers],[Grille Rod Length]],Table2[#Headers],0),0)</f>
        <v>0</v>
      </c>
      <c r="AJ570" s="2">
        <f>VLOOKUP([jobnumber],OvalData[],MATCH(Table2[[#Headers],[slattype]],Table2[#Headers],0),0)</f>
        <v>2</v>
      </c>
      <c r="AK570" s="2">
        <f>VLOOKUP([jobnumber],OvalData[],MATCH(Table2[[#Headers],[slatgage]],Table2[#Headers],0),0)</f>
        <v>18</v>
      </c>
      <c r="AL570" s="2">
        <f>VLOOKUP([jobnumber],OvalData[],MATCH(Table2[[#Headers],[Numer of Top Slats]],Table2[#Headers],0),0)</f>
        <v>0</v>
      </c>
      <c r="AM570" s="2">
        <f>VLOOKUP([jobnumber],OvalData[],MATCH(Table2[[#Headers],[Number of Bottom Slats]],Table2[#Headers],0),0)</f>
        <v>0</v>
      </c>
      <c r="AN570" s="2">
        <f>VLOOKUP([jobnumber],OvalData[],MATCH(Table2[[#Headers],[Solid Bottom Height]],Table2[#Headers],0),0)</f>
        <v>0</v>
      </c>
      <c r="AO570" s="2" t="str">
        <f>VLOOKUP([jobnumber],OvalData[],MATCH(Table2[[#Headers],[slatlength]],Table2[#Headers],0),0)</f>
        <v xml:space="preserve"> 18 ft.- 5 7/ 8"</v>
      </c>
      <c r="AP570" s="2">
        <f>VLOOKUP([jobnumber],OvalData[],MATCH(Table2[[#Headers],[Bottom Slat Length]],Table2[#Headers],0),0)</f>
        <v>0</v>
      </c>
      <c r="AQ570" s="2">
        <f>VLOOKUP([jobnumber],OvalData[],MATCH(Table2[[#Headers],[Number of Perferated Slats]],Table2[#Headers],0),0)</f>
        <v>0</v>
      </c>
      <c r="AR570" s="2">
        <f>VLOOKUP([jobnumber],OvalData[],MATCH(Table2[[#Headers],[First Preferated Slat From End]],Table2[#Headers],0),0)</f>
        <v>0</v>
      </c>
      <c r="AS570" s="2">
        <f>VLOOKUP([jobnumber],OvalData[],MATCH(Table2[[#Headers],[First Preferated Slat From Bottom]],Table2[#Headers],0),0)</f>
        <v>0</v>
      </c>
      <c r="AT570" s="2">
        <f>VLOOKUP([jobnumber],OvalData[],MATCH(Table2[[#Headers],[Total Number of Slats]],Table2[#Headers],0),0)</f>
        <v>51</v>
      </c>
      <c r="AU570" s="2">
        <f>VLOOKUP([jobnumber],OvalData[],MATCH(Table2[[#Headers],[Bottom Bar Slope]],Table2[#Headers],0),0)</f>
        <v>0</v>
      </c>
      <c r="AV570" s="2">
        <f>VLOOKUP([jobnumber],OvalData[],MATCH(Table2[[#Headers],[Bottom Bar Weight]],Table2[#Headers],0),0)</f>
        <v>80.5</v>
      </c>
      <c r="AW570" s="2" t="str">
        <f>VLOOKUP([jobnumber],OvalData[],MATCH(Table2[[#Headers],[Outer Spring Gage]],Table2[#Headers],0),0)</f>
        <v>Null</v>
      </c>
      <c r="AX570" s="2" t="str">
        <f>VLOOKUP([jobnumber],OvalData[],MATCH(Table2[[#Headers],[Outer Spring OD]],Table2[#Headers],0),0)</f>
        <v>Null</v>
      </c>
      <c r="AY570" s="2" t="str">
        <f>VLOOKUP([jobnumber],OvalData[],MATCH(Table2[[#Headers],[Outer Spring Length]],Table2[#Headers],0),0)</f>
        <v>Null</v>
      </c>
      <c r="AZ570" s="2" t="str">
        <f>VLOOKUP([jobnumber],OvalData[],MATCH(Table2[[#Headers],[Outer Spring Stretch]],Table2[#Headers],0),0)</f>
        <v>Null</v>
      </c>
      <c r="BA570" s="2" t="str">
        <f>VLOOKUP([jobnumber],OvalData[],MATCH(Table2[[#Headers],[Outer Spring Torque]],Table2[#Headers],0),0)</f>
        <v>Null</v>
      </c>
      <c r="BB570" s="2" t="str">
        <f>VLOOKUP([jobnumber],OvalData[],MATCH(Table2[[#Headers],[Outer Spring Max Turns]],Table2[#Headers],0),0)</f>
        <v>Null</v>
      </c>
      <c r="BC570" s="2" t="str">
        <f>VLOOKUP([jobnumber],OvalData[],MATCH(Table2[[#Headers],[Outer Spring Weight]],Table2[#Headers],0),0)</f>
        <v>Null</v>
      </c>
      <c r="BD570" s="2" t="str">
        <f>VLOOKUP([jobnumber],OvalData[],MATCH(Table2[[#Headers],[Inner Spring Gage]],Table2[#Headers],0),0)</f>
        <v>Null</v>
      </c>
      <c r="BE570" s="2" t="str">
        <f>VLOOKUP([jobnumber],OvalData[],MATCH(Table2[[#Headers],[Inner Spring OD]],Table2[#Headers],0),0)</f>
        <v>Null</v>
      </c>
      <c r="BF570" s="2" t="str">
        <f>VLOOKUP([jobnumber],OvalData[],MATCH(Table2[[#Headers],[Inner Spring Length]],Table2[#Headers],0),0)</f>
        <v>Null</v>
      </c>
      <c r="BG570" s="2" t="str">
        <f>VLOOKUP([jobnumber],OvalData[],MATCH(Table2[[#Headers],[Inner Spring Stretch]],Table2[#Headers],0),0)</f>
        <v>Null</v>
      </c>
      <c r="BH570" s="2" t="str">
        <f>VLOOKUP([jobnumber],OvalData[],MATCH(Table2[[#Headers],[Inner Spring Torque]],Table2[#Headers],0),0)</f>
        <v>Null</v>
      </c>
      <c r="BI570" s="2" t="str">
        <f>VLOOKUP([jobnumber],OvalData[],MATCH(Table2[[#Headers],[Inner Spring Max Turns]],Table2[#Headers],0),0)</f>
        <v>Null</v>
      </c>
      <c r="BJ570" s="2" t="str">
        <f>VLOOKUP([jobnumber],OvalData[],MATCH(Table2[[#Headers],[Inner Spring Weight]],Table2[#Headers],0),0)</f>
        <v>Null</v>
      </c>
      <c r="BK570" s="2">
        <f>VLOOKUP([jobnumber],OvalData[],MATCH(Table2[[#Headers],[Cycles]],Table2[#Headers],0),0)</f>
        <v>0</v>
      </c>
      <c r="BL570" s="2">
        <f>VLOOKUP([jobnumber],OvalData[],MATCH(Table2[[#Headers],[Total Spring Torque]],Table2[#Headers],0),0)</f>
        <v>0</v>
      </c>
      <c r="BM570" s="2">
        <f>VLOOKUP([jobnumber],OvalData[],MATCH(Table2[[#Headers],[Total Spring Weight]],Table2[#Headers],0),0)</f>
        <v>0</v>
      </c>
      <c r="BN570" s="2">
        <f>VLOOKUP([jobnumber],OvalData[],MATCH(Table2[[#Headers],[Pipe Weight]],Table2[#Headers],0),0)</f>
        <v>688.24239999999998</v>
      </c>
      <c r="BO570" s="2">
        <f>VLOOKUP([jobnumber],OvalData[],MATCH(Table2[[#Headers],[Max Pipe Deflection]],Table2[#Headers],0),0)</f>
        <v>2309</v>
      </c>
      <c r="BP570" s="2">
        <f>VLOOKUP([jobnumber],OvalData[],MATCH(Table2[[#Headers],[Number Non-Insulated Wrap Slats]],Table2[#Headers],0),0)</f>
        <v>0</v>
      </c>
      <c r="BQ570" s="2">
        <f>VLOOKUP([jobnumber],OvalData[],MATCH(Table2[[#Headers],[Number of Insolated Top Slats]],Table2[#Headers],0),0)</f>
        <v>45</v>
      </c>
      <c r="BR570" s="2">
        <f>VLOOKUP([jobnumber],OvalData[],MATCH(Table2[[#Headers],[Insolated Total Slats]],Table2[#Headers],0),0)</f>
        <v>45</v>
      </c>
      <c r="BS570" s="2">
        <f>VLOOKUP([jobnumber],OvalData[],MATCH(Table2[[#Headers],[Number of Slats]],Table2[#Headers],0),0)</f>
        <v>44.69</v>
      </c>
      <c r="BT570" s="2">
        <f>VLOOKUP([jobnumber],OvalData[],MATCH(Table2[[#Headers],[Wrap]],Table2[#Headers],0),0)</f>
        <v>0</v>
      </c>
      <c r="BU570" s="2">
        <f>VLOOKUP([jobnumber],OvalData[],MATCH(Table2[[#Headers],[Wall Angle Thickness]],Table2[#Headers],0),0)</f>
        <v>0</v>
      </c>
      <c r="BV570" s="2">
        <f>VLOOKUP([jobnumber],OvalData[],MATCH(Table2[[#Headers],[windlocks]],Table2[#Headers],0),0)</f>
        <v>0</v>
      </c>
      <c r="BW570" s="2" t="str">
        <f>VLOOKUP([jobnumber],OvalData[],MATCH(Table2[[#Headers],[bottombartype]],Table2[#Headers],0),0)</f>
        <v>SPECIAL</v>
      </c>
      <c r="BX570" s="2">
        <f>VLOOKUP([jobnumber],OvalData[],MATCH(Table2[[#Headers],[endlockweight]],Table2[#Headers],0),0)</f>
        <v>0.17</v>
      </c>
      <c r="BY570" s="2">
        <f>VLOOKUP([jobnumber],OvalData[],MATCH(Table2[[#Headers],[Endlock Total Weight]],Table2[#Headers],0),0)</f>
        <v>7.5972999999999997</v>
      </c>
      <c r="BZ570" s="2">
        <f>VLOOKUP([jobnumber],OvalData[],MATCH(Table2[[#Headers],[Grille Weight]],Table2[#Headers],0),0)</f>
        <v>0</v>
      </c>
      <c r="CA570" s="2">
        <f>VLOOKUP([jobnumber],OvalData[],MATCH(Table2[[#Headers],[barrelrings]],Table2[#Headers],0),0)</f>
        <v>1</v>
      </c>
    </row>
    <row r="571" spans="2:79">
      <c r="B571" s="2" t="str">
        <f>VLOOKUP([jobnumber],OvalData[],MATCH(Table2[[#Headers],[Hand]],Table2[#Headers],0),0)</f>
        <v>RH</v>
      </c>
      <c r="C571" s="2" t="str">
        <f>VLOOKUP([jobnumber],OvalData[],MATCH(Table2[[#Headers],[Model]],Table2[#Headers],0),0)</f>
        <v>SFMPP</v>
      </c>
      <c r="D571" s="2" t="str">
        <f>VLOOKUP([jobnumber],OvalData[],MATCH(Table2[[#Headers],[width]],Table2[#Headers],0),0)</f>
        <v xml:space="preserve"> 18 ft.- 2"</v>
      </c>
      <c r="E571" s="2" t="str">
        <f>VLOOKUP([jobnumber],OvalData[],MATCH(Table2[[#Headers],[stopheight]],Table2[#Headers],0),0)</f>
        <v xml:space="preserve"> 10 ft.- 0"</v>
      </c>
      <c r="F571" s="2" t="str">
        <f>VLOOKUP([jobnumber],OvalData[],MATCH(Table2[[#Headers],[Between Brackets]],Table2[#Headers],0),0)</f>
        <v xml:space="preserve"> 18 ft.- 7 7/ 8"</v>
      </c>
      <c r="G571" s="2" t="str">
        <f>VLOOKUP([jobnumber],OvalData[],MATCH(Table2[[#Headers],[shell]],Table2[#Headers],0),0)</f>
        <v>6 INCH TUBE</v>
      </c>
      <c r="H571" s="2" t="str">
        <f>VLOOKUP([jobnumber],OvalData[],MATCH(Table2[[#Headers],[pipewidth]],Table2[#Headers],0),0)</f>
        <v xml:space="preserve"> 18 ft.- 1 3/ 8"</v>
      </c>
      <c r="I571" s="2">
        <f>VLOOKUP([jobnumber],OvalData[],MATCH(Table2[[#Headers],[Support Tubes]],Table2[#Headers],0),0)</f>
        <v>0</v>
      </c>
      <c r="J571" s="2">
        <f>VLOOKUP([jobnumber],OvalData[],MATCH(Table2[[#Headers],[Upset]],Table2[#Headers],0),0)</f>
        <v>2</v>
      </c>
      <c r="K571" s="2" t="str">
        <f>VLOOKUP([jobnumber],OvalData[],MATCH(Table2[[#Headers],[Guide Type]],Table2[#Headers],0),0)</f>
        <v>SN2-4 5/8-E</v>
      </c>
      <c r="L571" s="2" t="str">
        <f>VLOOKUP([jobnumber],OvalData[],MATCH(Table2[[#Headers],[Wall Angle]],Table2[#Headers],0),0)</f>
        <v xml:space="preserve"> 11 ft.- 8"</v>
      </c>
      <c r="M571" s="2" t="str">
        <f>VLOOKUP([jobnumber],OvalData[],MATCH(Table2[[#Headers],[Middle Angle]],Table2[#Headers],0),0)</f>
        <v xml:space="preserve"> 10 ft.- 4 1/ 2"</v>
      </c>
      <c r="N571" s="2" t="str">
        <f>VLOOKUP([jobnumber],OvalData[],MATCH(Table2[[#Headers],[Front Angle]],Table2[#Headers],0),0)</f>
        <v xml:space="preserve"> 10 ft.- 3"</v>
      </c>
      <c r="O571" s="2">
        <f>VLOOKUP([jobnumber],OvalData[],MATCH(Table2[[#Headers],[Pipe Center Line]],Table2[#Headers],0),0)</f>
        <v>131</v>
      </c>
      <c r="P571" s="2">
        <f>VLOOKUP([jobnumber],OvalData[],MATCH(Table2[[#Headers],[Heat Expansion Gap]],Table2[#Headers],0),0)</f>
        <v>0</v>
      </c>
      <c r="Q571" s="2">
        <f>VLOOKUP([jobnumber],OvalData[],MATCH(Table2[[#Headers],[Hanging Weight Closed]],Table2[#Headers],0),0)</f>
        <v>795</v>
      </c>
      <c r="R571" s="2">
        <f>VLOOKUP([jobnumber],OvalData[],MATCH(Table2[[#Headers],[Hanging Weight Open]],Table2[#Headers],0),0)</f>
        <v>140</v>
      </c>
      <c r="S571" s="2">
        <f>VLOOKUP([jobnumber],OvalData[],MATCH(Table2[[#Headers],[Initial Lever Arm]],Table2[#Headers],0),0)</f>
        <v>4.25</v>
      </c>
      <c r="T571" s="2">
        <f>VLOOKUP([jobnumber],OvalData[],MATCH(Table2[[#Headers],[Turns to Raise]],Table2[#Headers],0),0)</f>
        <v>3.5859999999999999</v>
      </c>
      <c r="U571" s="2">
        <f>VLOOKUP([jobnumber],OvalData[],MATCH(Table2[[#Headers],[Final Lever Arm]],Table2[#Headers],0),0)</f>
        <v>6.37</v>
      </c>
      <c r="V571" s="2">
        <f>VLOOKUP([jobnumber],OvalData[],MATCH(Table2[[#Headers],[Torque Required Closed]],Table2[#Headers],0),0)</f>
        <v>3377.9</v>
      </c>
      <c r="W571" s="2">
        <f>VLOOKUP([jobnumber],OvalData[],MATCH(Table2[[#Headers],[Torque Required Open]],Table2[#Headers],0),0)</f>
        <v>892</v>
      </c>
      <c r="X571" s="2">
        <f>VLOOKUP([jobnumber],OvalData[],MATCH(Table2[[#Headers],[Pre Turns]],Table2[#Headers],0),0)</f>
        <v>1.3332999999999999</v>
      </c>
      <c r="Y571" s="2">
        <f>VLOOKUP([jobnumber],OvalData[],MATCH(Table2[[#Headers],[Required Torque Per Turn]],Table2[#Headers],0),0)</f>
        <v>688</v>
      </c>
      <c r="Z571" s="2">
        <f>VLOOKUP([jobnumber],OvalData[],MATCH(Table2[[#Headers],[Total Turns]],Table2[#Headers],0),0)</f>
        <v>4.91</v>
      </c>
      <c r="AA571" s="2">
        <f>VLOOKUP([jobnumber],OvalData[],MATCH(Table2[[#Headers],[Grille Vision Section]],Table2[#Headers],0),0)</f>
        <v>0</v>
      </c>
      <c r="AB571" s="2">
        <f>VLOOKUP([jobnumber],OvalData[],MATCH(Table2[[#Headers],[Grille Amount]],Table2[#Headers],0),0)</f>
        <v>0</v>
      </c>
      <c r="AC571" s="2">
        <f>VLOOKUP([jobnumber],OvalData[],MATCH(Table2[[#Headers],[Grille Center]],Table2[#Headers],0),0)</f>
        <v>0</v>
      </c>
      <c r="AD571" s="2">
        <f>VLOOKUP([jobnumber],OvalData[],MATCH(Table2[[#Headers],[Grille Pattern]],Table2[#Headers],0),0)</f>
        <v>0</v>
      </c>
      <c r="AE571" s="2">
        <f>VLOOKUP([jobnumber],OvalData[],MATCH(Table2[[#Headers],[Grille First Tube]],Table2[#Headers],0),0)</f>
        <v>0</v>
      </c>
      <c r="AF571" s="2">
        <f>VLOOKUP([jobnumber],OvalData[],MATCH(Table2[[#Headers],[Grille Standard Tube]],Table2[#Headers],0),0)</f>
        <v>0</v>
      </c>
      <c r="AG571" s="2">
        <f>VLOOKUP([jobnumber],OvalData[],MATCH(Table2[[#Headers],[Grille Total Links]],Table2[#Headers],0),0)</f>
        <v>0</v>
      </c>
      <c r="AH571" s="2">
        <f>VLOOKUP([jobnumber],OvalData[],MATCH(Table2[[#Headers],[Grille Rods]],Table2[#Headers],0),0)</f>
        <v>0</v>
      </c>
      <c r="AI571" s="2">
        <f>VLOOKUP([jobnumber],OvalData[],MATCH(Table2[[#Headers],[Grille Rod Length]],Table2[#Headers],0),0)</f>
        <v>0</v>
      </c>
      <c r="AJ571" s="2">
        <f>VLOOKUP([jobnumber],OvalData[],MATCH(Table2[[#Headers],[slattype]],Table2[#Headers],0),0)</f>
        <v>2</v>
      </c>
      <c r="AK571" s="2">
        <f>VLOOKUP([jobnumber],OvalData[],MATCH(Table2[[#Headers],[slatgage]],Table2[#Headers],0),0)</f>
        <v>18</v>
      </c>
      <c r="AL571" s="2">
        <f>VLOOKUP([jobnumber],OvalData[],MATCH(Table2[[#Headers],[Numer of Top Slats]],Table2[#Headers],0),0)</f>
        <v>0</v>
      </c>
      <c r="AM571" s="2">
        <f>VLOOKUP([jobnumber],OvalData[],MATCH(Table2[[#Headers],[Number of Bottom Slats]],Table2[#Headers],0),0)</f>
        <v>0</v>
      </c>
      <c r="AN571" s="2">
        <f>VLOOKUP([jobnumber],OvalData[],MATCH(Table2[[#Headers],[Solid Bottom Height]],Table2[#Headers],0),0)</f>
        <v>0</v>
      </c>
      <c r="AO571" s="2" t="str">
        <f>VLOOKUP([jobnumber],OvalData[],MATCH(Table2[[#Headers],[slatlength]],Table2[#Headers],0),0)</f>
        <v xml:space="preserve"> 18 ft.- 5 7/ 8"</v>
      </c>
      <c r="AP571" s="2">
        <f>VLOOKUP([jobnumber],OvalData[],MATCH(Table2[[#Headers],[Bottom Slat Length]],Table2[#Headers],0),0)</f>
        <v>0</v>
      </c>
      <c r="AQ571" s="2">
        <f>VLOOKUP([jobnumber],OvalData[],MATCH(Table2[[#Headers],[Number of Perferated Slats]],Table2[#Headers],0),0)</f>
        <v>0</v>
      </c>
      <c r="AR571" s="2">
        <f>VLOOKUP([jobnumber],OvalData[],MATCH(Table2[[#Headers],[First Preferated Slat From End]],Table2[#Headers],0),0)</f>
        <v>0</v>
      </c>
      <c r="AS571" s="2">
        <f>VLOOKUP([jobnumber],OvalData[],MATCH(Table2[[#Headers],[First Preferated Slat From Bottom]],Table2[#Headers],0),0)</f>
        <v>0</v>
      </c>
      <c r="AT571" s="2">
        <f>VLOOKUP([jobnumber],OvalData[],MATCH(Table2[[#Headers],[Total Number of Slats]],Table2[#Headers],0),0)</f>
        <v>51</v>
      </c>
      <c r="AU571" s="2">
        <f>VLOOKUP([jobnumber],OvalData[],MATCH(Table2[[#Headers],[Bottom Bar Slope]],Table2[#Headers],0),0)</f>
        <v>0</v>
      </c>
      <c r="AV571" s="2">
        <f>VLOOKUP([jobnumber],OvalData[],MATCH(Table2[[#Headers],[Bottom Bar Weight]],Table2[#Headers],0),0)</f>
        <v>80.5</v>
      </c>
      <c r="AW571" s="2" t="str">
        <f>VLOOKUP([jobnumber],OvalData[],MATCH(Table2[[#Headers],[Outer Spring Gage]],Table2[#Headers],0),0)</f>
        <v>Null</v>
      </c>
      <c r="AX571" s="2" t="str">
        <f>VLOOKUP([jobnumber],OvalData[],MATCH(Table2[[#Headers],[Outer Spring OD]],Table2[#Headers],0),0)</f>
        <v>Null</v>
      </c>
      <c r="AY571" s="2" t="str">
        <f>VLOOKUP([jobnumber],OvalData[],MATCH(Table2[[#Headers],[Outer Spring Length]],Table2[#Headers],0),0)</f>
        <v>Null</v>
      </c>
      <c r="AZ571" s="2" t="str">
        <f>VLOOKUP([jobnumber],OvalData[],MATCH(Table2[[#Headers],[Outer Spring Stretch]],Table2[#Headers],0),0)</f>
        <v>Null</v>
      </c>
      <c r="BA571" s="2" t="str">
        <f>VLOOKUP([jobnumber],OvalData[],MATCH(Table2[[#Headers],[Outer Spring Torque]],Table2[#Headers],0),0)</f>
        <v>Null</v>
      </c>
      <c r="BB571" s="2" t="str">
        <f>VLOOKUP([jobnumber],OvalData[],MATCH(Table2[[#Headers],[Outer Spring Max Turns]],Table2[#Headers],0),0)</f>
        <v>Null</v>
      </c>
      <c r="BC571" s="2" t="str">
        <f>VLOOKUP([jobnumber],OvalData[],MATCH(Table2[[#Headers],[Outer Spring Weight]],Table2[#Headers],0),0)</f>
        <v>Null</v>
      </c>
      <c r="BD571" s="2" t="str">
        <f>VLOOKUP([jobnumber],OvalData[],MATCH(Table2[[#Headers],[Inner Spring Gage]],Table2[#Headers],0),0)</f>
        <v>Null</v>
      </c>
      <c r="BE571" s="2" t="str">
        <f>VLOOKUP([jobnumber],OvalData[],MATCH(Table2[[#Headers],[Inner Spring OD]],Table2[#Headers],0),0)</f>
        <v>Null</v>
      </c>
      <c r="BF571" s="2" t="str">
        <f>VLOOKUP([jobnumber],OvalData[],MATCH(Table2[[#Headers],[Inner Spring Length]],Table2[#Headers],0),0)</f>
        <v>Null</v>
      </c>
      <c r="BG571" s="2" t="str">
        <f>VLOOKUP([jobnumber],OvalData[],MATCH(Table2[[#Headers],[Inner Spring Stretch]],Table2[#Headers],0),0)</f>
        <v>Null</v>
      </c>
      <c r="BH571" s="2" t="str">
        <f>VLOOKUP([jobnumber],OvalData[],MATCH(Table2[[#Headers],[Inner Spring Torque]],Table2[#Headers],0),0)</f>
        <v>Null</v>
      </c>
      <c r="BI571" s="2" t="str">
        <f>VLOOKUP([jobnumber],OvalData[],MATCH(Table2[[#Headers],[Inner Spring Max Turns]],Table2[#Headers],0),0)</f>
        <v>Null</v>
      </c>
      <c r="BJ571" s="2" t="str">
        <f>VLOOKUP([jobnumber],OvalData[],MATCH(Table2[[#Headers],[Inner Spring Weight]],Table2[#Headers],0),0)</f>
        <v>Null</v>
      </c>
      <c r="BK571" s="2">
        <f>VLOOKUP([jobnumber],OvalData[],MATCH(Table2[[#Headers],[Cycles]],Table2[#Headers],0),0)</f>
        <v>0</v>
      </c>
      <c r="BL571" s="2">
        <f>VLOOKUP([jobnumber],OvalData[],MATCH(Table2[[#Headers],[Total Spring Torque]],Table2[#Headers],0),0)</f>
        <v>0</v>
      </c>
      <c r="BM571" s="2">
        <f>VLOOKUP([jobnumber],OvalData[],MATCH(Table2[[#Headers],[Total Spring Weight]],Table2[#Headers],0),0)</f>
        <v>0</v>
      </c>
      <c r="BN571" s="2">
        <f>VLOOKUP([jobnumber],OvalData[],MATCH(Table2[[#Headers],[Pipe Weight]],Table2[#Headers],0),0)</f>
        <v>688.24239999999998</v>
      </c>
      <c r="BO571" s="2">
        <f>VLOOKUP([jobnumber],OvalData[],MATCH(Table2[[#Headers],[Max Pipe Deflection]],Table2[#Headers],0),0)</f>
        <v>2309</v>
      </c>
      <c r="BP571" s="2">
        <f>VLOOKUP([jobnumber],OvalData[],MATCH(Table2[[#Headers],[Number Non-Insulated Wrap Slats]],Table2[#Headers],0),0)</f>
        <v>0</v>
      </c>
      <c r="BQ571" s="2">
        <f>VLOOKUP([jobnumber],OvalData[],MATCH(Table2[[#Headers],[Number of Insolated Top Slats]],Table2[#Headers],0),0)</f>
        <v>45</v>
      </c>
      <c r="BR571" s="2">
        <f>VLOOKUP([jobnumber],OvalData[],MATCH(Table2[[#Headers],[Insolated Total Slats]],Table2[#Headers],0),0)</f>
        <v>45</v>
      </c>
      <c r="BS571" s="2">
        <f>VLOOKUP([jobnumber],OvalData[],MATCH(Table2[[#Headers],[Number of Slats]],Table2[#Headers],0),0)</f>
        <v>44.69</v>
      </c>
      <c r="BT571" s="2">
        <f>VLOOKUP([jobnumber],OvalData[],MATCH(Table2[[#Headers],[Wrap]],Table2[#Headers],0),0)</f>
        <v>0</v>
      </c>
      <c r="BU571" s="2">
        <f>VLOOKUP([jobnumber],OvalData[],MATCH(Table2[[#Headers],[Wall Angle Thickness]],Table2[#Headers],0),0)</f>
        <v>0</v>
      </c>
      <c r="BV571" s="2">
        <f>VLOOKUP([jobnumber],OvalData[],MATCH(Table2[[#Headers],[windlocks]],Table2[#Headers],0),0)</f>
        <v>0</v>
      </c>
      <c r="BW571" s="2" t="str">
        <f>VLOOKUP([jobnumber],OvalData[],MATCH(Table2[[#Headers],[bottombartype]],Table2[#Headers],0),0)</f>
        <v>SPECIAL</v>
      </c>
      <c r="BX571" s="2">
        <f>VLOOKUP([jobnumber],OvalData[],MATCH(Table2[[#Headers],[endlockweight]],Table2[#Headers],0),0)</f>
        <v>0.17</v>
      </c>
      <c r="BY571" s="2">
        <f>VLOOKUP([jobnumber],OvalData[],MATCH(Table2[[#Headers],[Endlock Total Weight]],Table2[#Headers],0),0)</f>
        <v>7.5972999999999997</v>
      </c>
      <c r="BZ571" s="2">
        <f>VLOOKUP([jobnumber],OvalData[],MATCH(Table2[[#Headers],[Grille Weight]],Table2[#Headers],0),0)</f>
        <v>0</v>
      </c>
      <c r="CA571" s="2">
        <f>VLOOKUP([jobnumber],OvalData[],MATCH(Table2[[#Headers],[barrelrings]],Table2[#Headers],0),0)</f>
        <v>1</v>
      </c>
    </row>
    <row r="572" spans="2:79">
      <c r="B572" s="2" t="str">
        <f>VLOOKUP([jobnumber],OvalData[],MATCH(Table2[[#Headers],[Hand]],Table2[#Headers],0),0)</f>
        <v>RH</v>
      </c>
      <c r="C572" s="2" t="str">
        <f>VLOOKUP([jobnumber],OvalData[],MATCH(Table2[[#Headers],[Model]],Table2[#Headers],0),0)</f>
        <v>SFMPP</v>
      </c>
      <c r="D572" s="2" t="str">
        <f>VLOOKUP([jobnumber],OvalData[],MATCH(Table2[[#Headers],[width]],Table2[#Headers],0),0)</f>
        <v xml:space="preserve"> 18 ft.- 2"</v>
      </c>
      <c r="E572" s="2" t="str">
        <f>VLOOKUP([jobnumber],OvalData[],MATCH(Table2[[#Headers],[stopheight]],Table2[#Headers],0),0)</f>
        <v xml:space="preserve"> 10 ft.- 0"</v>
      </c>
      <c r="F572" s="2" t="str">
        <f>VLOOKUP([jobnumber],OvalData[],MATCH(Table2[[#Headers],[Between Brackets]],Table2[#Headers],0),0)</f>
        <v xml:space="preserve"> 18 ft.- 7 7/ 8"</v>
      </c>
      <c r="G572" s="2" t="str">
        <f>VLOOKUP([jobnumber],OvalData[],MATCH(Table2[[#Headers],[shell]],Table2[#Headers],0),0)</f>
        <v>6 INCH TUBE</v>
      </c>
      <c r="H572" s="2" t="str">
        <f>VLOOKUP([jobnumber],OvalData[],MATCH(Table2[[#Headers],[pipewidth]],Table2[#Headers],0),0)</f>
        <v xml:space="preserve"> 18 ft.- 1 3/ 8"</v>
      </c>
      <c r="I572" s="2">
        <f>VLOOKUP([jobnumber],OvalData[],MATCH(Table2[[#Headers],[Support Tubes]],Table2[#Headers],0),0)</f>
        <v>0</v>
      </c>
      <c r="J572" s="2">
        <f>VLOOKUP([jobnumber],OvalData[],MATCH(Table2[[#Headers],[Upset]],Table2[#Headers],0),0)</f>
        <v>2</v>
      </c>
      <c r="K572" s="2" t="str">
        <f>VLOOKUP([jobnumber],OvalData[],MATCH(Table2[[#Headers],[Guide Type]],Table2[#Headers],0),0)</f>
        <v>SN2-4 5/8-E</v>
      </c>
      <c r="L572" s="2" t="str">
        <f>VLOOKUP([jobnumber],OvalData[],MATCH(Table2[[#Headers],[Wall Angle]],Table2[#Headers],0),0)</f>
        <v xml:space="preserve"> 11 ft.- 8"</v>
      </c>
      <c r="M572" s="2" t="str">
        <f>VLOOKUP([jobnumber],OvalData[],MATCH(Table2[[#Headers],[Middle Angle]],Table2[#Headers],0),0)</f>
        <v xml:space="preserve"> 10 ft.- 4 1/ 2"</v>
      </c>
      <c r="N572" s="2" t="str">
        <f>VLOOKUP([jobnumber],OvalData[],MATCH(Table2[[#Headers],[Front Angle]],Table2[#Headers],0),0)</f>
        <v xml:space="preserve"> 10 ft.- 3"</v>
      </c>
      <c r="O572" s="2">
        <f>VLOOKUP([jobnumber],OvalData[],MATCH(Table2[[#Headers],[Pipe Center Line]],Table2[#Headers],0),0)</f>
        <v>131</v>
      </c>
      <c r="P572" s="2">
        <f>VLOOKUP([jobnumber],OvalData[],MATCH(Table2[[#Headers],[Heat Expansion Gap]],Table2[#Headers],0),0)</f>
        <v>0</v>
      </c>
      <c r="Q572" s="2">
        <f>VLOOKUP([jobnumber],OvalData[],MATCH(Table2[[#Headers],[Hanging Weight Closed]],Table2[#Headers],0),0)</f>
        <v>795</v>
      </c>
      <c r="R572" s="2">
        <f>VLOOKUP([jobnumber],OvalData[],MATCH(Table2[[#Headers],[Hanging Weight Open]],Table2[#Headers],0),0)</f>
        <v>140</v>
      </c>
      <c r="S572" s="2">
        <f>VLOOKUP([jobnumber],OvalData[],MATCH(Table2[[#Headers],[Initial Lever Arm]],Table2[#Headers],0),0)</f>
        <v>4.25</v>
      </c>
      <c r="T572" s="2">
        <f>VLOOKUP([jobnumber],OvalData[],MATCH(Table2[[#Headers],[Turns to Raise]],Table2[#Headers],0),0)</f>
        <v>3.5859999999999999</v>
      </c>
      <c r="U572" s="2">
        <f>VLOOKUP([jobnumber],OvalData[],MATCH(Table2[[#Headers],[Final Lever Arm]],Table2[#Headers],0),0)</f>
        <v>6.37</v>
      </c>
      <c r="V572" s="2">
        <f>VLOOKUP([jobnumber],OvalData[],MATCH(Table2[[#Headers],[Torque Required Closed]],Table2[#Headers],0),0)</f>
        <v>3377.9</v>
      </c>
      <c r="W572" s="2">
        <f>VLOOKUP([jobnumber],OvalData[],MATCH(Table2[[#Headers],[Torque Required Open]],Table2[#Headers],0),0)</f>
        <v>892</v>
      </c>
      <c r="X572" s="2">
        <f>VLOOKUP([jobnumber],OvalData[],MATCH(Table2[[#Headers],[Pre Turns]],Table2[#Headers],0),0)</f>
        <v>1.3332999999999999</v>
      </c>
      <c r="Y572" s="2">
        <f>VLOOKUP([jobnumber],OvalData[],MATCH(Table2[[#Headers],[Required Torque Per Turn]],Table2[#Headers],0),0)</f>
        <v>688</v>
      </c>
      <c r="Z572" s="2">
        <f>VLOOKUP([jobnumber],OvalData[],MATCH(Table2[[#Headers],[Total Turns]],Table2[#Headers],0),0)</f>
        <v>4.91</v>
      </c>
      <c r="AA572" s="2">
        <f>VLOOKUP([jobnumber],OvalData[],MATCH(Table2[[#Headers],[Grille Vision Section]],Table2[#Headers],0),0)</f>
        <v>0</v>
      </c>
      <c r="AB572" s="2">
        <f>VLOOKUP([jobnumber],OvalData[],MATCH(Table2[[#Headers],[Grille Amount]],Table2[#Headers],0),0)</f>
        <v>0</v>
      </c>
      <c r="AC572" s="2">
        <f>VLOOKUP([jobnumber],OvalData[],MATCH(Table2[[#Headers],[Grille Center]],Table2[#Headers],0),0)</f>
        <v>0</v>
      </c>
      <c r="AD572" s="2">
        <f>VLOOKUP([jobnumber],OvalData[],MATCH(Table2[[#Headers],[Grille Pattern]],Table2[#Headers],0),0)</f>
        <v>0</v>
      </c>
      <c r="AE572" s="2">
        <f>VLOOKUP([jobnumber],OvalData[],MATCH(Table2[[#Headers],[Grille First Tube]],Table2[#Headers],0),0)</f>
        <v>0</v>
      </c>
      <c r="AF572" s="2">
        <f>VLOOKUP([jobnumber],OvalData[],MATCH(Table2[[#Headers],[Grille Standard Tube]],Table2[#Headers],0),0)</f>
        <v>0</v>
      </c>
      <c r="AG572" s="2">
        <f>VLOOKUP([jobnumber],OvalData[],MATCH(Table2[[#Headers],[Grille Total Links]],Table2[#Headers],0),0)</f>
        <v>0</v>
      </c>
      <c r="AH572" s="2">
        <f>VLOOKUP([jobnumber],OvalData[],MATCH(Table2[[#Headers],[Grille Rods]],Table2[#Headers],0),0)</f>
        <v>0</v>
      </c>
      <c r="AI572" s="2">
        <f>VLOOKUP([jobnumber],OvalData[],MATCH(Table2[[#Headers],[Grille Rod Length]],Table2[#Headers],0),0)</f>
        <v>0</v>
      </c>
      <c r="AJ572" s="2">
        <f>VLOOKUP([jobnumber],OvalData[],MATCH(Table2[[#Headers],[slattype]],Table2[#Headers],0),0)</f>
        <v>2</v>
      </c>
      <c r="AK572" s="2">
        <f>VLOOKUP([jobnumber],OvalData[],MATCH(Table2[[#Headers],[slatgage]],Table2[#Headers],0),0)</f>
        <v>18</v>
      </c>
      <c r="AL572" s="2">
        <f>VLOOKUP([jobnumber],OvalData[],MATCH(Table2[[#Headers],[Numer of Top Slats]],Table2[#Headers],0),0)</f>
        <v>0</v>
      </c>
      <c r="AM572" s="2">
        <f>VLOOKUP([jobnumber],OvalData[],MATCH(Table2[[#Headers],[Number of Bottom Slats]],Table2[#Headers],0),0)</f>
        <v>0</v>
      </c>
      <c r="AN572" s="2">
        <f>VLOOKUP([jobnumber],OvalData[],MATCH(Table2[[#Headers],[Solid Bottom Height]],Table2[#Headers],0),0)</f>
        <v>0</v>
      </c>
      <c r="AO572" s="2" t="str">
        <f>VLOOKUP([jobnumber],OvalData[],MATCH(Table2[[#Headers],[slatlength]],Table2[#Headers],0),0)</f>
        <v xml:space="preserve"> 18 ft.- 5 7/ 8"</v>
      </c>
      <c r="AP572" s="2">
        <f>VLOOKUP([jobnumber],OvalData[],MATCH(Table2[[#Headers],[Bottom Slat Length]],Table2[#Headers],0),0)</f>
        <v>0</v>
      </c>
      <c r="AQ572" s="2">
        <f>VLOOKUP([jobnumber],OvalData[],MATCH(Table2[[#Headers],[Number of Perferated Slats]],Table2[#Headers],0),0)</f>
        <v>0</v>
      </c>
      <c r="AR572" s="2">
        <f>VLOOKUP([jobnumber],OvalData[],MATCH(Table2[[#Headers],[First Preferated Slat From End]],Table2[#Headers],0),0)</f>
        <v>0</v>
      </c>
      <c r="AS572" s="2">
        <f>VLOOKUP([jobnumber],OvalData[],MATCH(Table2[[#Headers],[First Preferated Slat From Bottom]],Table2[#Headers],0),0)</f>
        <v>0</v>
      </c>
      <c r="AT572" s="2">
        <f>VLOOKUP([jobnumber],OvalData[],MATCH(Table2[[#Headers],[Total Number of Slats]],Table2[#Headers],0),0)</f>
        <v>51</v>
      </c>
      <c r="AU572" s="2">
        <f>VLOOKUP([jobnumber],OvalData[],MATCH(Table2[[#Headers],[Bottom Bar Slope]],Table2[#Headers],0),0)</f>
        <v>0</v>
      </c>
      <c r="AV572" s="2">
        <f>VLOOKUP([jobnumber],OvalData[],MATCH(Table2[[#Headers],[Bottom Bar Weight]],Table2[#Headers],0),0)</f>
        <v>80.5</v>
      </c>
      <c r="AW572" s="2" t="str">
        <f>VLOOKUP([jobnumber],OvalData[],MATCH(Table2[[#Headers],[Outer Spring Gage]],Table2[#Headers],0),0)</f>
        <v>Null</v>
      </c>
      <c r="AX572" s="2" t="str">
        <f>VLOOKUP([jobnumber],OvalData[],MATCH(Table2[[#Headers],[Outer Spring OD]],Table2[#Headers],0),0)</f>
        <v>Null</v>
      </c>
      <c r="AY572" s="2" t="str">
        <f>VLOOKUP([jobnumber],OvalData[],MATCH(Table2[[#Headers],[Outer Spring Length]],Table2[#Headers],0),0)</f>
        <v>Null</v>
      </c>
      <c r="AZ572" s="2" t="str">
        <f>VLOOKUP([jobnumber],OvalData[],MATCH(Table2[[#Headers],[Outer Spring Stretch]],Table2[#Headers],0),0)</f>
        <v>Null</v>
      </c>
      <c r="BA572" s="2" t="str">
        <f>VLOOKUP([jobnumber],OvalData[],MATCH(Table2[[#Headers],[Outer Spring Torque]],Table2[#Headers],0),0)</f>
        <v>Null</v>
      </c>
      <c r="BB572" s="2" t="str">
        <f>VLOOKUP([jobnumber],OvalData[],MATCH(Table2[[#Headers],[Outer Spring Max Turns]],Table2[#Headers],0),0)</f>
        <v>Null</v>
      </c>
      <c r="BC572" s="2" t="str">
        <f>VLOOKUP([jobnumber],OvalData[],MATCH(Table2[[#Headers],[Outer Spring Weight]],Table2[#Headers],0),0)</f>
        <v>Null</v>
      </c>
      <c r="BD572" s="2" t="str">
        <f>VLOOKUP([jobnumber],OvalData[],MATCH(Table2[[#Headers],[Inner Spring Gage]],Table2[#Headers],0),0)</f>
        <v>Null</v>
      </c>
      <c r="BE572" s="2" t="str">
        <f>VLOOKUP([jobnumber],OvalData[],MATCH(Table2[[#Headers],[Inner Spring OD]],Table2[#Headers],0),0)</f>
        <v>Null</v>
      </c>
      <c r="BF572" s="2" t="str">
        <f>VLOOKUP([jobnumber],OvalData[],MATCH(Table2[[#Headers],[Inner Spring Length]],Table2[#Headers],0),0)</f>
        <v>Null</v>
      </c>
      <c r="BG572" s="2" t="str">
        <f>VLOOKUP([jobnumber],OvalData[],MATCH(Table2[[#Headers],[Inner Spring Stretch]],Table2[#Headers],0),0)</f>
        <v>Null</v>
      </c>
      <c r="BH572" s="2" t="str">
        <f>VLOOKUP([jobnumber],OvalData[],MATCH(Table2[[#Headers],[Inner Spring Torque]],Table2[#Headers],0),0)</f>
        <v>Null</v>
      </c>
      <c r="BI572" s="2" t="str">
        <f>VLOOKUP([jobnumber],OvalData[],MATCH(Table2[[#Headers],[Inner Spring Max Turns]],Table2[#Headers],0),0)</f>
        <v>Null</v>
      </c>
      <c r="BJ572" s="2" t="str">
        <f>VLOOKUP([jobnumber],OvalData[],MATCH(Table2[[#Headers],[Inner Spring Weight]],Table2[#Headers],0),0)</f>
        <v>Null</v>
      </c>
      <c r="BK572" s="2">
        <f>VLOOKUP([jobnumber],OvalData[],MATCH(Table2[[#Headers],[Cycles]],Table2[#Headers],0),0)</f>
        <v>0</v>
      </c>
      <c r="BL572" s="2">
        <f>VLOOKUP([jobnumber],OvalData[],MATCH(Table2[[#Headers],[Total Spring Torque]],Table2[#Headers],0),0)</f>
        <v>0</v>
      </c>
      <c r="BM572" s="2">
        <f>VLOOKUP([jobnumber],OvalData[],MATCH(Table2[[#Headers],[Total Spring Weight]],Table2[#Headers],0),0)</f>
        <v>0</v>
      </c>
      <c r="BN572" s="2">
        <f>VLOOKUP([jobnumber],OvalData[],MATCH(Table2[[#Headers],[Pipe Weight]],Table2[#Headers],0),0)</f>
        <v>688.24239999999998</v>
      </c>
      <c r="BO572" s="2">
        <f>VLOOKUP([jobnumber],OvalData[],MATCH(Table2[[#Headers],[Max Pipe Deflection]],Table2[#Headers],0),0)</f>
        <v>2309</v>
      </c>
      <c r="BP572" s="2">
        <f>VLOOKUP([jobnumber],OvalData[],MATCH(Table2[[#Headers],[Number Non-Insulated Wrap Slats]],Table2[#Headers],0),0)</f>
        <v>0</v>
      </c>
      <c r="BQ572" s="2">
        <f>VLOOKUP([jobnumber],OvalData[],MATCH(Table2[[#Headers],[Number of Insolated Top Slats]],Table2[#Headers],0),0)</f>
        <v>45</v>
      </c>
      <c r="BR572" s="2">
        <f>VLOOKUP([jobnumber],OvalData[],MATCH(Table2[[#Headers],[Insolated Total Slats]],Table2[#Headers],0),0)</f>
        <v>45</v>
      </c>
      <c r="BS572" s="2">
        <f>VLOOKUP([jobnumber],OvalData[],MATCH(Table2[[#Headers],[Number of Slats]],Table2[#Headers],0),0)</f>
        <v>44.69</v>
      </c>
      <c r="BT572" s="2">
        <f>VLOOKUP([jobnumber],OvalData[],MATCH(Table2[[#Headers],[Wrap]],Table2[#Headers],0),0)</f>
        <v>0</v>
      </c>
      <c r="BU572" s="2">
        <f>VLOOKUP([jobnumber],OvalData[],MATCH(Table2[[#Headers],[Wall Angle Thickness]],Table2[#Headers],0),0)</f>
        <v>0</v>
      </c>
      <c r="BV572" s="2">
        <f>VLOOKUP([jobnumber],OvalData[],MATCH(Table2[[#Headers],[windlocks]],Table2[#Headers],0),0)</f>
        <v>0</v>
      </c>
      <c r="BW572" s="2" t="str">
        <f>VLOOKUP([jobnumber],OvalData[],MATCH(Table2[[#Headers],[bottombartype]],Table2[#Headers],0),0)</f>
        <v>SPECIAL</v>
      </c>
      <c r="BX572" s="2">
        <f>VLOOKUP([jobnumber],OvalData[],MATCH(Table2[[#Headers],[endlockweight]],Table2[#Headers],0),0)</f>
        <v>0.17</v>
      </c>
      <c r="BY572" s="2">
        <f>VLOOKUP([jobnumber],OvalData[],MATCH(Table2[[#Headers],[Endlock Total Weight]],Table2[#Headers],0),0)</f>
        <v>7.5972999999999997</v>
      </c>
      <c r="BZ572" s="2">
        <f>VLOOKUP([jobnumber],OvalData[],MATCH(Table2[[#Headers],[Grille Weight]],Table2[#Headers],0),0)</f>
        <v>0</v>
      </c>
      <c r="CA572" s="2">
        <f>VLOOKUP([jobnumber],OvalData[],MATCH(Table2[[#Headers],[barrelrings]],Table2[#Headers],0),0)</f>
        <v>1</v>
      </c>
    </row>
    <row r="573" spans="2:79">
      <c r="B573" s="2" t="str">
        <f>VLOOKUP([jobnumber],OvalData[],MATCH(Table2[[#Headers],[Hand]],Table2[#Headers],0),0)</f>
        <v>RH</v>
      </c>
      <c r="C573" s="2" t="str">
        <f>VLOOKUP([jobnumber],OvalData[],MATCH(Table2[[#Headers],[Model]],Table2[#Headers],0),0)</f>
        <v>SFMPP</v>
      </c>
      <c r="D573" s="2" t="str">
        <f>VLOOKUP([jobnumber],OvalData[],MATCH(Table2[[#Headers],[width]],Table2[#Headers],0),0)</f>
        <v xml:space="preserve"> 18 ft.- 2"</v>
      </c>
      <c r="E573" s="2" t="str">
        <f>VLOOKUP([jobnumber],OvalData[],MATCH(Table2[[#Headers],[stopheight]],Table2[#Headers],0),0)</f>
        <v xml:space="preserve"> 10 ft.- 0"</v>
      </c>
      <c r="F573" s="2" t="str">
        <f>VLOOKUP([jobnumber],OvalData[],MATCH(Table2[[#Headers],[Between Brackets]],Table2[#Headers],0),0)</f>
        <v xml:space="preserve"> 18 ft.- 7 7/ 8"</v>
      </c>
      <c r="G573" s="2" t="str">
        <f>VLOOKUP([jobnumber],OvalData[],MATCH(Table2[[#Headers],[shell]],Table2[#Headers],0),0)</f>
        <v>6 INCH TUBE</v>
      </c>
      <c r="H573" s="2" t="str">
        <f>VLOOKUP([jobnumber],OvalData[],MATCH(Table2[[#Headers],[pipewidth]],Table2[#Headers],0),0)</f>
        <v xml:space="preserve"> 18 ft.- 1 3/ 8"</v>
      </c>
      <c r="I573" s="2">
        <f>VLOOKUP([jobnumber],OvalData[],MATCH(Table2[[#Headers],[Support Tubes]],Table2[#Headers],0),0)</f>
        <v>0</v>
      </c>
      <c r="J573" s="2">
        <f>VLOOKUP([jobnumber],OvalData[],MATCH(Table2[[#Headers],[Upset]],Table2[#Headers],0),0)</f>
        <v>2</v>
      </c>
      <c r="K573" s="2" t="str">
        <f>VLOOKUP([jobnumber],OvalData[],MATCH(Table2[[#Headers],[Guide Type]],Table2[#Headers],0),0)</f>
        <v>SN2-4 5/8-E</v>
      </c>
      <c r="L573" s="2" t="str">
        <f>VLOOKUP([jobnumber],OvalData[],MATCH(Table2[[#Headers],[Wall Angle]],Table2[#Headers],0),0)</f>
        <v xml:space="preserve"> 11 ft.- 8"</v>
      </c>
      <c r="M573" s="2" t="str">
        <f>VLOOKUP([jobnumber],OvalData[],MATCH(Table2[[#Headers],[Middle Angle]],Table2[#Headers],0),0)</f>
        <v xml:space="preserve"> 10 ft.- 4 1/ 2"</v>
      </c>
      <c r="N573" s="2" t="str">
        <f>VLOOKUP([jobnumber],OvalData[],MATCH(Table2[[#Headers],[Front Angle]],Table2[#Headers],0),0)</f>
        <v xml:space="preserve"> 10 ft.- 3"</v>
      </c>
      <c r="O573" s="2">
        <f>VLOOKUP([jobnumber],OvalData[],MATCH(Table2[[#Headers],[Pipe Center Line]],Table2[#Headers],0),0)</f>
        <v>131</v>
      </c>
      <c r="P573" s="2">
        <f>VLOOKUP([jobnumber],OvalData[],MATCH(Table2[[#Headers],[Heat Expansion Gap]],Table2[#Headers],0),0)</f>
        <v>0</v>
      </c>
      <c r="Q573" s="2">
        <f>VLOOKUP([jobnumber],OvalData[],MATCH(Table2[[#Headers],[Hanging Weight Closed]],Table2[#Headers],0),0)</f>
        <v>795</v>
      </c>
      <c r="R573" s="2">
        <f>VLOOKUP([jobnumber],OvalData[],MATCH(Table2[[#Headers],[Hanging Weight Open]],Table2[#Headers],0),0)</f>
        <v>140</v>
      </c>
      <c r="S573" s="2">
        <f>VLOOKUP([jobnumber],OvalData[],MATCH(Table2[[#Headers],[Initial Lever Arm]],Table2[#Headers],0),0)</f>
        <v>4.25</v>
      </c>
      <c r="T573" s="2">
        <f>VLOOKUP([jobnumber],OvalData[],MATCH(Table2[[#Headers],[Turns to Raise]],Table2[#Headers],0),0)</f>
        <v>3.5859999999999999</v>
      </c>
      <c r="U573" s="2">
        <f>VLOOKUP([jobnumber],OvalData[],MATCH(Table2[[#Headers],[Final Lever Arm]],Table2[#Headers],0),0)</f>
        <v>6.37</v>
      </c>
      <c r="V573" s="2">
        <f>VLOOKUP([jobnumber],OvalData[],MATCH(Table2[[#Headers],[Torque Required Closed]],Table2[#Headers],0),0)</f>
        <v>3377.9</v>
      </c>
      <c r="W573" s="2">
        <f>VLOOKUP([jobnumber],OvalData[],MATCH(Table2[[#Headers],[Torque Required Open]],Table2[#Headers],0),0)</f>
        <v>892</v>
      </c>
      <c r="X573" s="2">
        <f>VLOOKUP([jobnumber],OvalData[],MATCH(Table2[[#Headers],[Pre Turns]],Table2[#Headers],0),0)</f>
        <v>1.3332999999999999</v>
      </c>
      <c r="Y573" s="2">
        <f>VLOOKUP([jobnumber],OvalData[],MATCH(Table2[[#Headers],[Required Torque Per Turn]],Table2[#Headers],0),0)</f>
        <v>688</v>
      </c>
      <c r="Z573" s="2">
        <f>VLOOKUP([jobnumber],OvalData[],MATCH(Table2[[#Headers],[Total Turns]],Table2[#Headers],0),0)</f>
        <v>4.91</v>
      </c>
      <c r="AA573" s="2">
        <f>VLOOKUP([jobnumber],OvalData[],MATCH(Table2[[#Headers],[Grille Vision Section]],Table2[#Headers],0),0)</f>
        <v>0</v>
      </c>
      <c r="AB573" s="2">
        <f>VLOOKUP([jobnumber],OvalData[],MATCH(Table2[[#Headers],[Grille Amount]],Table2[#Headers],0),0)</f>
        <v>0</v>
      </c>
      <c r="AC573" s="2">
        <f>VLOOKUP([jobnumber],OvalData[],MATCH(Table2[[#Headers],[Grille Center]],Table2[#Headers],0),0)</f>
        <v>0</v>
      </c>
      <c r="AD573" s="2">
        <f>VLOOKUP([jobnumber],OvalData[],MATCH(Table2[[#Headers],[Grille Pattern]],Table2[#Headers],0),0)</f>
        <v>0</v>
      </c>
      <c r="AE573" s="2">
        <f>VLOOKUP([jobnumber],OvalData[],MATCH(Table2[[#Headers],[Grille First Tube]],Table2[#Headers],0),0)</f>
        <v>0</v>
      </c>
      <c r="AF573" s="2">
        <f>VLOOKUP([jobnumber],OvalData[],MATCH(Table2[[#Headers],[Grille Standard Tube]],Table2[#Headers],0),0)</f>
        <v>0</v>
      </c>
      <c r="AG573" s="2">
        <f>VLOOKUP([jobnumber],OvalData[],MATCH(Table2[[#Headers],[Grille Total Links]],Table2[#Headers],0),0)</f>
        <v>0</v>
      </c>
      <c r="AH573" s="2">
        <f>VLOOKUP([jobnumber],OvalData[],MATCH(Table2[[#Headers],[Grille Rods]],Table2[#Headers],0),0)</f>
        <v>0</v>
      </c>
      <c r="AI573" s="2">
        <f>VLOOKUP([jobnumber],OvalData[],MATCH(Table2[[#Headers],[Grille Rod Length]],Table2[#Headers],0),0)</f>
        <v>0</v>
      </c>
      <c r="AJ573" s="2">
        <f>VLOOKUP([jobnumber],OvalData[],MATCH(Table2[[#Headers],[slattype]],Table2[#Headers],0),0)</f>
        <v>2</v>
      </c>
      <c r="AK573" s="2">
        <f>VLOOKUP([jobnumber],OvalData[],MATCH(Table2[[#Headers],[slatgage]],Table2[#Headers],0),0)</f>
        <v>18</v>
      </c>
      <c r="AL573" s="2">
        <f>VLOOKUP([jobnumber],OvalData[],MATCH(Table2[[#Headers],[Numer of Top Slats]],Table2[#Headers],0),0)</f>
        <v>0</v>
      </c>
      <c r="AM573" s="2">
        <f>VLOOKUP([jobnumber],OvalData[],MATCH(Table2[[#Headers],[Number of Bottom Slats]],Table2[#Headers],0),0)</f>
        <v>0</v>
      </c>
      <c r="AN573" s="2">
        <f>VLOOKUP([jobnumber],OvalData[],MATCH(Table2[[#Headers],[Solid Bottom Height]],Table2[#Headers],0),0)</f>
        <v>0</v>
      </c>
      <c r="AO573" s="2" t="str">
        <f>VLOOKUP([jobnumber],OvalData[],MATCH(Table2[[#Headers],[slatlength]],Table2[#Headers],0),0)</f>
        <v xml:space="preserve"> 18 ft.- 5 7/ 8"</v>
      </c>
      <c r="AP573" s="2">
        <f>VLOOKUP([jobnumber],OvalData[],MATCH(Table2[[#Headers],[Bottom Slat Length]],Table2[#Headers],0),0)</f>
        <v>0</v>
      </c>
      <c r="AQ573" s="2">
        <f>VLOOKUP([jobnumber],OvalData[],MATCH(Table2[[#Headers],[Number of Perferated Slats]],Table2[#Headers],0),0)</f>
        <v>0</v>
      </c>
      <c r="AR573" s="2">
        <f>VLOOKUP([jobnumber],OvalData[],MATCH(Table2[[#Headers],[First Preferated Slat From End]],Table2[#Headers],0),0)</f>
        <v>0</v>
      </c>
      <c r="AS573" s="2">
        <f>VLOOKUP([jobnumber],OvalData[],MATCH(Table2[[#Headers],[First Preferated Slat From Bottom]],Table2[#Headers],0),0)</f>
        <v>0</v>
      </c>
      <c r="AT573" s="2">
        <f>VLOOKUP([jobnumber],OvalData[],MATCH(Table2[[#Headers],[Total Number of Slats]],Table2[#Headers],0),0)</f>
        <v>51</v>
      </c>
      <c r="AU573" s="2">
        <f>VLOOKUP([jobnumber],OvalData[],MATCH(Table2[[#Headers],[Bottom Bar Slope]],Table2[#Headers],0),0)</f>
        <v>0</v>
      </c>
      <c r="AV573" s="2">
        <f>VLOOKUP([jobnumber],OvalData[],MATCH(Table2[[#Headers],[Bottom Bar Weight]],Table2[#Headers],0),0)</f>
        <v>80.5</v>
      </c>
      <c r="AW573" s="2" t="str">
        <f>VLOOKUP([jobnumber],OvalData[],MATCH(Table2[[#Headers],[Outer Spring Gage]],Table2[#Headers],0),0)</f>
        <v>Null</v>
      </c>
      <c r="AX573" s="2" t="str">
        <f>VLOOKUP([jobnumber],OvalData[],MATCH(Table2[[#Headers],[Outer Spring OD]],Table2[#Headers],0),0)</f>
        <v>Null</v>
      </c>
      <c r="AY573" s="2" t="str">
        <f>VLOOKUP([jobnumber],OvalData[],MATCH(Table2[[#Headers],[Outer Spring Length]],Table2[#Headers],0),0)</f>
        <v>Null</v>
      </c>
      <c r="AZ573" s="2" t="str">
        <f>VLOOKUP([jobnumber],OvalData[],MATCH(Table2[[#Headers],[Outer Spring Stretch]],Table2[#Headers],0),0)</f>
        <v>Null</v>
      </c>
      <c r="BA573" s="2" t="str">
        <f>VLOOKUP([jobnumber],OvalData[],MATCH(Table2[[#Headers],[Outer Spring Torque]],Table2[#Headers],0),0)</f>
        <v>Null</v>
      </c>
      <c r="BB573" s="2" t="str">
        <f>VLOOKUP([jobnumber],OvalData[],MATCH(Table2[[#Headers],[Outer Spring Max Turns]],Table2[#Headers],0),0)</f>
        <v>Null</v>
      </c>
      <c r="BC573" s="2" t="str">
        <f>VLOOKUP([jobnumber],OvalData[],MATCH(Table2[[#Headers],[Outer Spring Weight]],Table2[#Headers],0),0)</f>
        <v>Null</v>
      </c>
      <c r="BD573" s="2" t="str">
        <f>VLOOKUP([jobnumber],OvalData[],MATCH(Table2[[#Headers],[Inner Spring Gage]],Table2[#Headers],0),0)</f>
        <v>Null</v>
      </c>
      <c r="BE573" s="2" t="str">
        <f>VLOOKUP([jobnumber],OvalData[],MATCH(Table2[[#Headers],[Inner Spring OD]],Table2[#Headers],0),0)</f>
        <v>Null</v>
      </c>
      <c r="BF573" s="2" t="str">
        <f>VLOOKUP([jobnumber],OvalData[],MATCH(Table2[[#Headers],[Inner Spring Length]],Table2[#Headers],0),0)</f>
        <v>Null</v>
      </c>
      <c r="BG573" s="2" t="str">
        <f>VLOOKUP([jobnumber],OvalData[],MATCH(Table2[[#Headers],[Inner Spring Stretch]],Table2[#Headers],0),0)</f>
        <v>Null</v>
      </c>
      <c r="BH573" s="2" t="str">
        <f>VLOOKUP([jobnumber],OvalData[],MATCH(Table2[[#Headers],[Inner Spring Torque]],Table2[#Headers],0),0)</f>
        <v>Null</v>
      </c>
      <c r="BI573" s="2" t="str">
        <f>VLOOKUP([jobnumber],OvalData[],MATCH(Table2[[#Headers],[Inner Spring Max Turns]],Table2[#Headers],0),0)</f>
        <v>Null</v>
      </c>
      <c r="BJ573" s="2" t="str">
        <f>VLOOKUP([jobnumber],OvalData[],MATCH(Table2[[#Headers],[Inner Spring Weight]],Table2[#Headers],0),0)</f>
        <v>Null</v>
      </c>
      <c r="BK573" s="2">
        <f>VLOOKUP([jobnumber],OvalData[],MATCH(Table2[[#Headers],[Cycles]],Table2[#Headers],0),0)</f>
        <v>0</v>
      </c>
      <c r="BL573" s="2">
        <f>VLOOKUP([jobnumber],OvalData[],MATCH(Table2[[#Headers],[Total Spring Torque]],Table2[#Headers],0),0)</f>
        <v>0</v>
      </c>
      <c r="BM573" s="2">
        <f>VLOOKUP([jobnumber],OvalData[],MATCH(Table2[[#Headers],[Total Spring Weight]],Table2[#Headers],0),0)</f>
        <v>0</v>
      </c>
      <c r="BN573" s="2">
        <f>VLOOKUP([jobnumber],OvalData[],MATCH(Table2[[#Headers],[Pipe Weight]],Table2[#Headers],0),0)</f>
        <v>688.24239999999998</v>
      </c>
      <c r="BO573" s="2">
        <f>VLOOKUP([jobnumber],OvalData[],MATCH(Table2[[#Headers],[Max Pipe Deflection]],Table2[#Headers],0),0)</f>
        <v>2309</v>
      </c>
      <c r="BP573" s="2">
        <f>VLOOKUP([jobnumber],OvalData[],MATCH(Table2[[#Headers],[Number Non-Insulated Wrap Slats]],Table2[#Headers],0),0)</f>
        <v>0</v>
      </c>
      <c r="BQ573" s="2">
        <f>VLOOKUP([jobnumber],OvalData[],MATCH(Table2[[#Headers],[Number of Insolated Top Slats]],Table2[#Headers],0),0)</f>
        <v>45</v>
      </c>
      <c r="BR573" s="2">
        <f>VLOOKUP([jobnumber],OvalData[],MATCH(Table2[[#Headers],[Insolated Total Slats]],Table2[#Headers],0),0)</f>
        <v>45</v>
      </c>
      <c r="BS573" s="2">
        <f>VLOOKUP([jobnumber],OvalData[],MATCH(Table2[[#Headers],[Number of Slats]],Table2[#Headers],0),0)</f>
        <v>44.69</v>
      </c>
      <c r="BT573" s="2">
        <f>VLOOKUP([jobnumber],OvalData[],MATCH(Table2[[#Headers],[Wrap]],Table2[#Headers],0),0)</f>
        <v>0</v>
      </c>
      <c r="BU573" s="2">
        <f>VLOOKUP([jobnumber],OvalData[],MATCH(Table2[[#Headers],[Wall Angle Thickness]],Table2[#Headers],0),0)</f>
        <v>0</v>
      </c>
      <c r="BV573" s="2">
        <f>VLOOKUP([jobnumber],OvalData[],MATCH(Table2[[#Headers],[windlocks]],Table2[#Headers],0),0)</f>
        <v>0</v>
      </c>
      <c r="BW573" s="2" t="str">
        <f>VLOOKUP([jobnumber],OvalData[],MATCH(Table2[[#Headers],[bottombartype]],Table2[#Headers],0),0)</f>
        <v>SPECIAL</v>
      </c>
      <c r="BX573" s="2">
        <f>VLOOKUP([jobnumber],OvalData[],MATCH(Table2[[#Headers],[endlockweight]],Table2[#Headers],0),0)</f>
        <v>0.17</v>
      </c>
      <c r="BY573" s="2">
        <f>VLOOKUP([jobnumber],OvalData[],MATCH(Table2[[#Headers],[Endlock Total Weight]],Table2[#Headers],0),0)</f>
        <v>7.5972999999999997</v>
      </c>
      <c r="BZ573" s="2">
        <f>VLOOKUP([jobnumber],OvalData[],MATCH(Table2[[#Headers],[Grille Weight]],Table2[#Headers],0),0)</f>
        <v>0</v>
      </c>
      <c r="CA573" s="2">
        <f>VLOOKUP([jobnumber],OvalData[],MATCH(Table2[[#Headers],[barrelrings]],Table2[#Headers],0),0)</f>
        <v>1</v>
      </c>
    </row>
    <row r="574" spans="2:79">
      <c r="B574" s="2" t="str">
        <f>VLOOKUP([jobnumber],OvalData[],MATCH(Table2[[#Headers],[Hand]],Table2[#Headers],0),0)</f>
        <v>RH</v>
      </c>
      <c r="C574" s="2" t="str">
        <f>VLOOKUP([jobnumber],OvalData[],MATCH(Table2[[#Headers],[Model]],Table2[#Headers],0),0)</f>
        <v>SFMPP</v>
      </c>
      <c r="D574" s="2" t="str">
        <f>VLOOKUP([jobnumber],OvalData[],MATCH(Table2[[#Headers],[width]],Table2[#Headers],0),0)</f>
        <v xml:space="preserve"> 18 ft.- 2"</v>
      </c>
      <c r="E574" s="2" t="str">
        <f>VLOOKUP([jobnumber],OvalData[],MATCH(Table2[[#Headers],[stopheight]],Table2[#Headers],0),0)</f>
        <v xml:space="preserve"> 10 ft.- 0"</v>
      </c>
      <c r="F574" s="2" t="str">
        <f>VLOOKUP([jobnumber],OvalData[],MATCH(Table2[[#Headers],[Between Brackets]],Table2[#Headers],0),0)</f>
        <v xml:space="preserve"> 18 ft.- 7 7/ 8"</v>
      </c>
      <c r="G574" s="2" t="str">
        <f>VLOOKUP([jobnumber],OvalData[],MATCH(Table2[[#Headers],[shell]],Table2[#Headers],0),0)</f>
        <v>6 INCH TUBE</v>
      </c>
      <c r="H574" s="2" t="str">
        <f>VLOOKUP([jobnumber],OvalData[],MATCH(Table2[[#Headers],[pipewidth]],Table2[#Headers],0),0)</f>
        <v xml:space="preserve"> 18 ft.- 1 3/ 8"</v>
      </c>
      <c r="I574" s="2">
        <f>VLOOKUP([jobnumber],OvalData[],MATCH(Table2[[#Headers],[Support Tubes]],Table2[#Headers],0),0)</f>
        <v>0</v>
      </c>
      <c r="J574" s="2">
        <f>VLOOKUP([jobnumber],OvalData[],MATCH(Table2[[#Headers],[Upset]],Table2[#Headers],0),0)</f>
        <v>2</v>
      </c>
      <c r="K574" s="2" t="str">
        <f>VLOOKUP([jobnumber],OvalData[],MATCH(Table2[[#Headers],[Guide Type]],Table2[#Headers],0),0)</f>
        <v>SN2-4 5/8-E</v>
      </c>
      <c r="L574" s="2" t="str">
        <f>VLOOKUP([jobnumber],OvalData[],MATCH(Table2[[#Headers],[Wall Angle]],Table2[#Headers],0),0)</f>
        <v xml:space="preserve"> 11 ft.- 8"</v>
      </c>
      <c r="M574" s="2" t="str">
        <f>VLOOKUP([jobnumber],OvalData[],MATCH(Table2[[#Headers],[Middle Angle]],Table2[#Headers],0),0)</f>
        <v xml:space="preserve"> 10 ft.- 4 1/ 2"</v>
      </c>
      <c r="N574" s="2" t="str">
        <f>VLOOKUP([jobnumber],OvalData[],MATCH(Table2[[#Headers],[Front Angle]],Table2[#Headers],0),0)</f>
        <v xml:space="preserve"> 10 ft.- 3"</v>
      </c>
      <c r="O574" s="2">
        <f>VLOOKUP([jobnumber],OvalData[],MATCH(Table2[[#Headers],[Pipe Center Line]],Table2[#Headers],0),0)</f>
        <v>131</v>
      </c>
      <c r="P574" s="2">
        <f>VLOOKUP([jobnumber],OvalData[],MATCH(Table2[[#Headers],[Heat Expansion Gap]],Table2[#Headers],0),0)</f>
        <v>0</v>
      </c>
      <c r="Q574" s="2">
        <f>VLOOKUP([jobnumber],OvalData[],MATCH(Table2[[#Headers],[Hanging Weight Closed]],Table2[#Headers],0),0)</f>
        <v>795</v>
      </c>
      <c r="R574" s="2">
        <f>VLOOKUP([jobnumber],OvalData[],MATCH(Table2[[#Headers],[Hanging Weight Open]],Table2[#Headers],0),0)</f>
        <v>140</v>
      </c>
      <c r="S574" s="2">
        <f>VLOOKUP([jobnumber],OvalData[],MATCH(Table2[[#Headers],[Initial Lever Arm]],Table2[#Headers],0),0)</f>
        <v>4.25</v>
      </c>
      <c r="T574" s="2">
        <f>VLOOKUP([jobnumber],OvalData[],MATCH(Table2[[#Headers],[Turns to Raise]],Table2[#Headers],0),0)</f>
        <v>3.5859999999999999</v>
      </c>
      <c r="U574" s="2">
        <f>VLOOKUP([jobnumber],OvalData[],MATCH(Table2[[#Headers],[Final Lever Arm]],Table2[#Headers],0),0)</f>
        <v>6.37</v>
      </c>
      <c r="V574" s="2">
        <f>VLOOKUP([jobnumber],OvalData[],MATCH(Table2[[#Headers],[Torque Required Closed]],Table2[#Headers],0),0)</f>
        <v>3377.9</v>
      </c>
      <c r="W574" s="2">
        <f>VLOOKUP([jobnumber],OvalData[],MATCH(Table2[[#Headers],[Torque Required Open]],Table2[#Headers],0),0)</f>
        <v>892</v>
      </c>
      <c r="X574" s="2">
        <f>VLOOKUP([jobnumber],OvalData[],MATCH(Table2[[#Headers],[Pre Turns]],Table2[#Headers],0),0)</f>
        <v>1.3332999999999999</v>
      </c>
      <c r="Y574" s="2">
        <f>VLOOKUP([jobnumber],OvalData[],MATCH(Table2[[#Headers],[Required Torque Per Turn]],Table2[#Headers],0),0)</f>
        <v>688</v>
      </c>
      <c r="Z574" s="2">
        <f>VLOOKUP([jobnumber],OvalData[],MATCH(Table2[[#Headers],[Total Turns]],Table2[#Headers],0),0)</f>
        <v>4.91</v>
      </c>
      <c r="AA574" s="2">
        <f>VLOOKUP([jobnumber],OvalData[],MATCH(Table2[[#Headers],[Grille Vision Section]],Table2[#Headers],0),0)</f>
        <v>0</v>
      </c>
      <c r="AB574" s="2">
        <f>VLOOKUP([jobnumber],OvalData[],MATCH(Table2[[#Headers],[Grille Amount]],Table2[#Headers],0),0)</f>
        <v>0</v>
      </c>
      <c r="AC574" s="2">
        <f>VLOOKUP([jobnumber],OvalData[],MATCH(Table2[[#Headers],[Grille Center]],Table2[#Headers],0),0)</f>
        <v>0</v>
      </c>
      <c r="AD574" s="2">
        <f>VLOOKUP([jobnumber],OvalData[],MATCH(Table2[[#Headers],[Grille Pattern]],Table2[#Headers],0),0)</f>
        <v>0</v>
      </c>
      <c r="AE574" s="2">
        <f>VLOOKUP([jobnumber],OvalData[],MATCH(Table2[[#Headers],[Grille First Tube]],Table2[#Headers],0),0)</f>
        <v>0</v>
      </c>
      <c r="AF574" s="2">
        <f>VLOOKUP([jobnumber],OvalData[],MATCH(Table2[[#Headers],[Grille Standard Tube]],Table2[#Headers],0),0)</f>
        <v>0</v>
      </c>
      <c r="AG574" s="2">
        <f>VLOOKUP([jobnumber],OvalData[],MATCH(Table2[[#Headers],[Grille Total Links]],Table2[#Headers],0),0)</f>
        <v>0</v>
      </c>
      <c r="AH574" s="2">
        <f>VLOOKUP([jobnumber],OvalData[],MATCH(Table2[[#Headers],[Grille Rods]],Table2[#Headers],0),0)</f>
        <v>0</v>
      </c>
      <c r="AI574" s="2">
        <f>VLOOKUP([jobnumber],OvalData[],MATCH(Table2[[#Headers],[Grille Rod Length]],Table2[#Headers],0),0)</f>
        <v>0</v>
      </c>
      <c r="AJ574" s="2">
        <f>VLOOKUP([jobnumber],OvalData[],MATCH(Table2[[#Headers],[slattype]],Table2[#Headers],0),0)</f>
        <v>2</v>
      </c>
      <c r="AK574" s="2">
        <f>VLOOKUP([jobnumber],OvalData[],MATCH(Table2[[#Headers],[slatgage]],Table2[#Headers],0),0)</f>
        <v>18</v>
      </c>
      <c r="AL574" s="2">
        <f>VLOOKUP([jobnumber],OvalData[],MATCH(Table2[[#Headers],[Numer of Top Slats]],Table2[#Headers],0),0)</f>
        <v>0</v>
      </c>
      <c r="AM574" s="2">
        <f>VLOOKUP([jobnumber],OvalData[],MATCH(Table2[[#Headers],[Number of Bottom Slats]],Table2[#Headers],0),0)</f>
        <v>0</v>
      </c>
      <c r="AN574" s="2">
        <f>VLOOKUP([jobnumber],OvalData[],MATCH(Table2[[#Headers],[Solid Bottom Height]],Table2[#Headers],0),0)</f>
        <v>0</v>
      </c>
      <c r="AO574" s="2" t="str">
        <f>VLOOKUP([jobnumber],OvalData[],MATCH(Table2[[#Headers],[slatlength]],Table2[#Headers],0),0)</f>
        <v xml:space="preserve"> 18 ft.- 5 7/ 8"</v>
      </c>
      <c r="AP574" s="2">
        <f>VLOOKUP([jobnumber],OvalData[],MATCH(Table2[[#Headers],[Bottom Slat Length]],Table2[#Headers],0),0)</f>
        <v>0</v>
      </c>
      <c r="AQ574" s="2">
        <f>VLOOKUP([jobnumber],OvalData[],MATCH(Table2[[#Headers],[Number of Perferated Slats]],Table2[#Headers],0),0)</f>
        <v>0</v>
      </c>
      <c r="AR574" s="2">
        <f>VLOOKUP([jobnumber],OvalData[],MATCH(Table2[[#Headers],[First Preferated Slat From End]],Table2[#Headers],0),0)</f>
        <v>0</v>
      </c>
      <c r="AS574" s="2">
        <f>VLOOKUP([jobnumber],OvalData[],MATCH(Table2[[#Headers],[First Preferated Slat From Bottom]],Table2[#Headers],0),0)</f>
        <v>0</v>
      </c>
      <c r="AT574" s="2">
        <f>VLOOKUP([jobnumber],OvalData[],MATCH(Table2[[#Headers],[Total Number of Slats]],Table2[#Headers],0),0)</f>
        <v>51</v>
      </c>
      <c r="AU574" s="2">
        <f>VLOOKUP([jobnumber],OvalData[],MATCH(Table2[[#Headers],[Bottom Bar Slope]],Table2[#Headers],0),0)</f>
        <v>0</v>
      </c>
      <c r="AV574" s="2">
        <f>VLOOKUP([jobnumber],OvalData[],MATCH(Table2[[#Headers],[Bottom Bar Weight]],Table2[#Headers],0),0)</f>
        <v>80.5</v>
      </c>
      <c r="AW574" s="2" t="str">
        <f>VLOOKUP([jobnumber],OvalData[],MATCH(Table2[[#Headers],[Outer Spring Gage]],Table2[#Headers],0),0)</f>
        <v>Null</v>
      </c>
      <c r="AX574" s="2" t="str">
        <f>VLOOKUP([jobnumber],OvalData[],MATCH(Table2[[#Headers],[Outer Spring OD]],Table2[#Headers],0),0)</f>
        <v>Null</v>
      </c>
      <c r="AY574" s="2" t="str">
        <f>VLOOKUP([jobnumber],OvalData[],MATCH(Table2[[#Headers],[Outer Spring Length]],Table2[#Headers],0),0)</f>
        <v>Null</v>
      </c>
      <c r="AZ574" s="2" t="str">
        <f>VLOOKUP([jobnumber],OvalData[],MATCH(Table2[[#Headers],[Outer Spring Stretch]],Table2[#Headers],0),0)</f>
        <v>Null</v>
      </c>
      <c r="BA574" s="2" t="str">
        <f>VLOOKUP([jobnumber],OvalData[],MATCH(Table2[[#Headers],[Outer Spring Torque]],Table2[#Headers],0),0)</f>
        <v>Null</v>
      </c>
      <c r="BB574" s="2" t="str">
        <f>VLOOKUP([jobnumber],OvalData[],MATCH(Table2[[#Headers],[Outer Spring Max Turns]],Table2[#Headers],0),0)</f>
        <v>Null</v>
      </c>
      <c r="BC574" s="2" t="str">
        <f>VLOOKUP([jobnumber],OvalData[],MATCH(Table2[[#Headers],[Outer Spring Weight]],Table2[#Headers],0),0)</f>
        <v>Null</v>
      </c>
      <c r="BD574" s="2" t="str">
        <f>VLOOKUP([jobnumber],OvalData[],MATCH(Table2[[#Headers],[Inner Spring Gage]],Table2[#Headers],0),0)</f>
        <v>Null</v>
      </c>
      <c r="BE574" s="2" t="str">
        <f>VLOOKUP([jobnumber],OvalData[],MATCH(Table2[[#Headers],[Inner Spring OD]],Table2[#Headers],0),0)</f>
        <v>Null</v>
      </c>
      <c r="BF574" s="2" t="str">
        <f>VLOOKUP([jobnumber],OvalData[],MATCH(Table2[[#Headers],[Inner Spring Length]],Table2[#Headers],0),0)</f>
        <v>Null</v>
      </c>
      <c r="BG574" s="2" t="str">
        <f>VLOOKUP([jobnumber],OvalData[],MATCH(Table2[[#Headers],[Inner Spring Stretch]],Table2[#Headers],0),0)</f>
        <v>Null</v>
      </c>
      <c r="BH574" s="2" t="str">
        <f>VLOOKUP([jobnumber],OvalData[],MATCH(Table2[[#Headers],[Inner Spring Torque]],Table2[#Headers],0),0)</f>
        <v>Null</v>
      </c>
      <c r="BI574" s="2" t="str">
        <f>VLOOKUP([jobnumber],OvalData[],MATCH(Table2[[#Headers],[Inner Spring Max Turns]],Table2[#Headers],0),0)</f>
        <v>Null</v>
      </c>
      <c r="BJ574" s="2" t="str">
        <f>VLOOKUP([jobnumber],OvalData[],MATCH(Table2[[#Headers],[Inner Spring Weight]],Table2[#Headers],0),0)</f>
        <v>Null</v>
      </c>
      <c r="BK574" s="2">
        <f>VLOOKUP([jobnumber],OvalData[],MATCH(Table2[[#Headers],[Cycles]],Table2[#Headers],0),0)</f>
        <v>0</v>
      </c>
      <c r="BL574" s="2">
        <f>VLOOKUP([jobnumber],OvalData[],MATCH(Table2[[#Headers],[Total Spring Torque]],Table2[#Headers],0),0)</f>
        <v>0</v>
      </c>
      <c r="BM574" s="2">
        <f>VLOOKUP([jobnumber],OvalData[],MATCH(Table2[[#Headers],[Total Spring Weight]],Table2[#Headers],0),0)</f>
        <v>0</v>
      </c>
      <c r="BN574" s="2">
        <f>VLOOKUP([jobnumber],OvalData[],MATCH(Table2[[#Headers],[Pipe Weight]],Table2[#Headers],0),0)</f>
        <v>688.24239999999998</v>
      </c>
      <c r="BO574" s="2">
        <f>VLOOKUP([jobnumber],OvalData[],MATCH(Table2[[#Headers],[Max Pipe Deflection]],Table2[#Headers],0),0)</f>
        <v>2309</v>
      </c>
      <c r="BP574" s="2">
        <f>VLOOKUP([jobnumber],OvalData[],MATCH(Table2[[#Headers],[Number Non-Insulated Wrap Slats]],Table2[#Headers],0),0)</f>
        <v>0</v>
      </c>
      <c r="BQ574" s="2">
        <f>VLOOKUP([jobnumber],OvalData[],MATCH(Table2[[#Headers],[Number of Insolated Top Slats]],Table2[#Headers],0),0)</f>
        <v>45</v>
      </c>
      <c r="BR574" s="2">
        <f>VLOOKUP([jobnumber],OvalData[],MATCH(Table2[[#Headers],[Insolated Total Slats]],Table2[#Headers],0),0)</f>
        <v>45</v>
      </c>
      <c r="BS574" s="2">
        <f>VLOOKUP([jobnumber],OvalData[],MATCH(Table2[[#Headers],[Number of Slats]],Table2[#Headers],0),0)</f>
        <v>44.69</v>
      </c>
      <c r="BT574" s="2">
        <f>VLOOKUP([jobnumber],OvalData[],MATCH(Table2[[#Headers],[Wrap]],Table2[#Headers],0),0)</f>
        <v>0</v>
      </c>
      <c r="BU574" s="2">
        <f>VLOOKUP([jobnumber],OvalData[],MATCH(Table2[[#Headers],[Wall Angle Thickness]],Table2[#Headers],0),0)</f>
        <v>0</v>
      </c>
      <c r="BV574" s="2">
        <f>VLOOKUP([jobnumber],OvalData[],MATCH(Table2[[#Headers],[windlocks]],Table2[#Headers],0),0)</f>
        <v>0</v>
      </c>
      <c r="BW574" s="2" t="str">
        <f>VLOOKUP([jobnumber],OvalData[],MATCH(Table2[[#Headers],[bottombartype]],Table2[#Headers],0),0)</f>
        <v>SPECIAL</v>
      </c>
      <c r="BX574" s="2">
        <f>VLOOKUP([jobnumber],OvalData[],MATCH(Table2[[#Headers],[endlockweight]],Table2[#Headers],0),0)</f>
        <v>0.17</v>
      </c>
      <c r="BY574" s="2">
        <f>VLOOKUP([jobnumber],OvalData[],MATCH(Table2[[#Headers],[Endlock Total Weight]],Table2[#Headers],0),0)</f>
        <v>7.5972999999999997</v>
      </c>
      <c r="BZ574" s="2">
        <f>VLOOKUP([jobnumber],OvalData[],MATCH(Table2[[#Headers],[Grille Weight]],Table2[#Headers],0),0)</f>
        <v>0</v>
      </c>
      <c r="CA574" s="2">
        <f>VLOOKUP([jobnumber],OvalData[],MATCH(Table2[[#Headers],[barrelrings]],Table2[#Headers],0),0)</f>
        <v>1</v>
      </c>
    </row>
    <row r="575" spans="2:79">
      <c r="B575" s="2" t="str">
        <f>VLOOKUP([jobnumber],OvalData[],MATCH(Table2[[#Headers],[Hand]],Table2[#Headers],0),0)</f>
        <v>RH</v>
      </c>
      <c r="C575" s="2" t="str">
        <f>VLOOKUP([jobnumber],OvalData[],MATCH(Table2[[#Headers],[Model]],Table2[#Headers],0),0)</f>
        <v>SFMPP</v>
      </c>
      <c r="D575" s="2" t="str">
        <f>VLOOKUP([jobnumber],OvalData[],MATCH(Table2[[#Headers],[width]],Table2[#Headers],0),0)</f>
        <v xml:space="preserve"> 18 ft.- 2"</v>
      </c>
      <c r="E575" s="2" t="str">
        <f>VLOOKUP([jobnumber],OvalData[],MATCH(Table2[[#Headers],[stopheight]],Table2[#Headers],0),0)</f>
        <v xml:space="preserve"> 10 ft.- 0"</v>
      </c>
      <c r="F575" s="2" t="str">
        <f>VLOOKUP([jobnumber],OvalData[],MATCH(Table2[[#Headers],[Between Brackets]],Table2[#Headers],0),0)</f>
        <v xml:space="preserve"> 18 ft.- 7 7/ 8"</v>
      </c>
      <c r="G575" s="2" t="str">
        <f>VLOOKUP([jobnumber],OvalData[],MATCH(Table2[[#Headers],[shell]],Table2[#Headers],0),0)</f>
        <v>6 INCH TUBE</v>
      </c>
      <c r="H575" s="2" t="str">
        <f>VLOOKUP([jobnumber],OvalData[],MATCH(Table2[[#Headers],[pipewidth]],Table2[#Headers],0),0)</f>
        <v xml:space="preserve"> 18 ft.- 1 3/ 8"</v>
      </c>
      <c r="I575" s="2">
        <f>VLOOKUP([jobnumber],OvalData[],MATCH(Table2[[#Headers],[Support Tubes]],Table2[#Headers],0),0)</f>
        <v>0</v>
      </c>
      <c r="J575" s="2">
        <f>VLOOKUP([jobnumber],OvalData[],MATCH(Table2[[#Headers],[Upset]],Table2[#Headers],0),0)</f>
        <v>2</v>
      </c>
      <c r="K575" s="2" t="str">
        <f>VLOOKUP([jobnumber],OvalData[],MATCH(Table2[[#Headers],[Guide Type]],Table2[#Headers],0),0)</f>
        <v>SN2-4 5/8-E</v>
      </c>
      <c r="L575" s="2" t="str">
        <f>VLOOKUP([jobnumber],OvalData[],MATCH(Table2[[#Headers],[Wall Angle]],Table2[#Headers],0),0)</f>
        <v xml:space="preserve"> 11 ft.- 8"</v>
      </c>
      <c r="M575" s="2" t="str">
        <f>VLOOKUP([jobnumber],OvalData[],MATCH(Table2[[#Headers],[Middle Angle]],Table2[#Headers],0),0)</f>
        <v xml:space="preserve"> 10 ft.- 4 1/ 2"</v>
      </c>
      <c r="N575" s="2" t="str">
        <f>VLOOKUP([jobnumber],OvalData[],MATCH(Table2[[#Headers],[Front Angle]],Table2[#Headers],0),0)</f>
        <v xml:space="preserve"> 10 ft.- 3"</v>
      </c>
      <c r="O575" s="2">
        <f>VLOOKUP([jobnumber],OvalData[],MATCH(Table2[[#Headers],[Pipe Center Line]],Table2[#Headers],0),0)</f>
        <v>131</v>
      </c>
      <c r="P575" s="2">
        <f>VLOOKUP([jobnumber],OvalData[],MATCH(Table2[[#Headers],[Heat Expansion Gap]],Table2[#Headers],0),0)</f>
        <v>0</v>
      </c>
      <c r="Q575" s="2">
        <f>VLOOKUP([jobnumber],OvalData[],MATCH(Table2[[#Headers],[Hanging Weight Closed]],Table2[#Headers],0),0)</f>
        <v>795</v>
      </c>
      <c r="R575" s="2">
        <f>VLOOKUP([jobnumber],OvalData[],MATCH(Table2[[#Headers],[Hanging Weight Open]],Table2[#Headers],0),0)</f>
        <v>140</v>
      </c>
      <c r="S575" s="2">
        <f>VLOOKUP([jobnumber],OvalData[],MATCH(Table2[[#Headers],[Initial Lever Arm]],Table2[#Headers],0),0)</f>
        <v>4.25</v>
      </c>
      <c r="T575" s="2">
        <f>VLOOKUP([jobnumber],OvalData[],MATCH(Table2[[#Headers],[Turns to Raise]],Table2[#Headers],0),0)</f>
        <v>3.5859999999999999</v>
      </c>
      <c r="U575" s="2">
        <f>VLOOKUP([jobnumber],OvalData[],MATCH(Table2[[#Headers],[Final Lever Arm]],Table2[#Headers],0),0)</f>
        <v>6.37</v>
      </c>
      <c r="V575" s="2">
        <f>VLOOKUP([jobnumber],OvalData[],MATCH(Table2[[#Headers],[Torque Required Closed]],Table2[#Headers],0),0)</f>
        <v>3377.9</v>
      </c>
      <c r="W575" s="2">
        <f>VLOOKUP([jobnumber],OvalData[],MATCH(Table2[[#Headers],[Torque Required Open]],Table2[#Headers],0),0)</f>
        <v>892</v>
      </c>
      <c r="X575" s="2">
        <f>VLOOKUP([jobnumber],OvalData[],MATCH(Table2[[#Headers],[Pre Turns]],Table2[#Headers],0),0)</f>
        <v>1.3332999999999999</v>
      </c>
      <c r="Y575" s="2">
        <f>VLOOKUP([jobnumber],OvalData[],MATCH(Table2[[#Headers],[Required Torque Per Turn]],Table2[#Headers],0),0)</f>
        <v>688</v>
      </c>
      <c r="Z575" s="2">
        <f>VLOOKUP([jobnumber],OvalData[],MATCH(Table2[[#Headers],[Total Turns]],Table2[#Headers],0),0)</f>
        <v>4.91</v>
      </c>
      <c r="AA575" s="2">
        <f>VLOOKUP([jobnumber],OvalData[],MATCH(Table2[[#Headers],[Grille Vision Section]],Table2[#Headers],0),0)</f>
        <v>0</v>
      </c>
      <c r="AB575" s="2">
        <f>VLOOKUP([jobnumber],OvalData[],MATCH(Table2[[#Headers],[Grille Amount]],Table2[#Headers],0),0)</f>
        <v>0</v>
      </c>
      <c r="AC575" s="2">
        <f>VLOOKUP([jobnumber],OvalData[],MATCH(Table2[[#Headers],[Grille Center]],Table2[#Headers],0),0)</f>
        <v>0</v>
      </c>
      <c r="AD575" s="2">
        <f>VLOOKUP([jobnumber],OvalData[],MATCH(Table2[[#Headers],[Grille Pattern]],Table2[#Headers],0),0)</f>
        <v>0</v>
      </c>
      <c r="AE575" s="2">
        <f>VLOOKUP([jobnumber],OvalData[],MATCH(Table2[[#Headers],[Grille First Tube]],Table2[#Headers],0),0)</f>
        <v>0</v>
      </c>
      <c r="AF575" s="2">
        <f>VLOOKUP([jobnumber],OvalData[],MATCH(Table2[[#Headers],[Grille Standard Tube]],Table2[#Headers],0),0)</f>
        <v>0</v>
      </c>
      <c r="AG575" s="2">
        <f>VLOOKUP([jobnumber],OvalData[],MATCH(Table2[[#Headers],[Grille Total Links]],Table2[#Headers],0),0)</f>
        <v>0</v>
      </c>
      <c r="AH575" s="2">
        <f>VLOOKUP([jobnumber],OvalData[],MATCH(Table2[[#Headers],[Grille Rods]],Table2[#Headers],0),0)</f>
        <v>0</v>
      </c>
      <c r="AI575" s="2">
        <f>VLOOKUP([jobnumber],OvalData[],MATCH(Table2[[#Headers],[Grille Rod Length]],Table2[#Headers],0),0)</f>
        <v>0</v>
      </c>
      <c r="AJ575" s="2">
        <f>VLOOKUP([jobnumber],OvalData[],MATCH(Table2[[#Headers],[slattype]],Table2[#Headers],0),0)</f>
        <v>2</v>
      </c>
      <c r="AK575" s="2">
        <f>VLOOKUP([jobnumber],OvalData[],MATCH(Table2[[#Headers],[slatgage]],Table2[#Headers],0),0)</f>
        <v>18</v>
      </c>
      <c r="AL575" s="2">
        <f>VLOOKUP([jobnumber],OvalData[],MATCH(Table2[[#Headers],[Numer of Top Slats]],Table2[#Headers],0),0)</f>
        <v>0</v>
      </c>
      <c r="AM575" s="2">
        <f>VLOOKUP([jobnumber],OvalData[],MATCH(Table2[[#Headers],[Number of Bottom Slats]],Table2[#Headers],0),0)</f>
        <v>0</v>
      </c>
      <c r="AN575" s="2">
        <f>VLOOKUP([jobnumber],OvalData[],MATCH(Table2[[#Headers],[Solid Bottom Height]],Table2[#Headers],0),0)</f>
        <v>0</v>
      </c>
      <c r="AO575" s="2" t="str">
        <f>VLOOKUP([jobnumber],OvalData[],MATCH(Table2[[#Headers],[slatlength]],Table2[#Headers],0),0)</f>
        <v xml:space="preserve"> 18 ft.- 5 7/ 8"</v>
      </c>
      <c r="AP575" s="2">
        <f>VLOOKUP([jobnumber],OvalData[],MATCH(Table2[[#Headers],[Bottom Slat Length]],Table2[#Headers],0),0)</f>
        <v>0</v>
      </c>
      <c r="AQ575" s="2">
        <f>VLOOKUP([jobnumber],OvalData[],MATCH(Table2[[#Headers],[Number of Perferated Slats]],Table2[#Headers],0),0)</f>
        <v>0</v>
      </c>
      <c r="AR575" s="2">
        <f>VLOOKUP([jobnumber],OvalData[],MATCH(Table2[[#Headers],[First Preferated Slat From End]],Table2[#Headers],0),0)</f>
        <v>0</v>
      </c>
      <c r="AS575" s="2">
        <f>VLOOKUP([jobnumber],OvalData[],MATCH(Table2[[#Headers],[First Preferated Slat From Bottom]],Table2[#Headers],0),0)</f>
        <v>0</v>
      </c>
      <c r="AT575" s="2">
        <f>VLOOKUP([jobnumber],OvalData[],MATCH(Table2[[#Headers],[Total Number of Slats]],Table2[#Headers],0),0)</f>
        <v>51</v>
      </c>
      <c r="AU575" s="2">
        <f>VLOOKUP([jobnumber],OvalData[],MATCH(Table2[[#Headers],[Bottom Bar Slope]],Table2[#Headers],0),0)</f>
        <v>0</v>
      </c>
      <c r="AV575" s="2">
        <f>VLOOKUP([jobnumber],OvalData[],MATCH(Table2[[#Headers],[Bottom Bar Weight]],Table2[#Headers],0),0)</f>
        <v>80.5</v>
      </c>
      <c r="AW575" s="2" t="str">
        <f>VLOOKUP([jobnumber],OvalData[],MATCH(Table2[[#Headers],[Outer Spring Gage]],Table2[#Headers],0),0)</f>
        <v>Null</v>
      </c>
      <c r="AX575" s="2" t="str">
        <f>VLOOKUP([jobnumber],OvalData[],MATCH(Table2[[#Headers],[Outer Spring OD]],Table2[#Headers],0),0)</f>
        <v>Null</v>
      </c>
      <c r="AY575" s="2" t="str">
        <f>VLOOKUP([jobnumber],OvalData[],MATCH(Table2[[#Headers],[Outer Spring Length]],Table2[#Headers],0),0)</f>
        <v>Null</v>
      </c>
      <c r="AZ575" s="2" t="str">
        <f>VLOOKUP([jobnumber],OvalData[],MATCH(Table2[[#Headers],[Outer Spring Stretch]],Table2[#Headers],0),0)</f>
        <v>Null</v>
      </c>
      <c r="BA575" s="2" t="str">
        <f>VLOOKUP([jobnumber],OvalData[],MATCH(Table2[[#Headers],[Outer Spring Torque]],Table2[#Headers],0),0)</f>
        <v>Null</v>
      </c>
      <c r="BB575" s="2" t="str">
        <f>VLOOKUP([jobnumber],OvalData[],MATCH(Table2[[#Headers],[Outer Spring Max Turns]],Table2[#Headers],0),0)</f>
        <v>Null</v>
      </c>
      <c r="BC575" s="2" t="str">
        <f>VLOOKUP([jobnumber],OvalData[],MATCH(Table2[[#Headers],[Outer Spring Weight]],Table2[#Headers],0),0)</f>
        <v>Null</v>
      </c>
      <c r="BD575" s="2" t="str">
        <f>VLOOKUP([jobnumber],OvalData[],MATCH(Table2[[#Headers],[Inner Spring Gage]],Table2[#Headers],0),0)</f>
        <v>Null</v>
      </c>
      <c r="BE575" s="2" t="str">
        <f>VLOOKUP([jobnumber],OvalData[],MATCH(Table2[[#Headers],[Inner Spring OD]],Table2[#Headers],0),0)</f>
        <v>Null</v>
      </c>
      <c r="BF575" s="2" t="str">
        <f>VLOOKUP([jobnumber],OvalData[],MATCH(Table2[[#Headers],[Inner Spring Length]],Table2[#Headers],0),0)</f>
        <v>Null</v>
      </c>
      <c r="BG575" s="2" t="str">
        <f>VLOOKUP([jobnumber],OvalData[],MATCH(Table2[[#Headers],[Inner Spring Stretch]],Table2[#Headers],0),0)</f>
        <v>Null</v>
      </c>
      <c r="BH575" s="2" t="str">
        <f>VLOOKUP([jobnumber],OvalData[],MATCH(Table2[[#Headers],[Inner Spring Torque]],Table2[#Headers],0),0)</f>
        <v>Null</v>
      </c>
      <c r="BI575" s="2" t="str">
        <f>VLOOKUP([jobnumber],OvalData[],MATCH(Table2[[#Headers],[Inner Spring Max Turns]],Table2[#Headers],0),0)</f>
        <v>Null</v>
      </c>
      <c r="BJ575" s="2" t="str">
        <f>VLOOKUP([jobnumber],OvalData[],MATCH(Table2[[#Headers],[Inner Spring Weight]],Table2[#Headers],0),0)</f>
        <v>Null</v>
      </c>
      <c r="BK575" s="2">
        <f>VLOOKUP([jobnumber],OvalData[],MATCH(Table2[[#Headers],[Cycles]],Table2[#Headers],0),0)</f>
        <v>0</v>
      </c>
      <c r="BL575" s="2">
        <f>VLOOKUP([jobnumber],OvalData[],MATCH(Table2[[#Headers],[Total Spring Torque]],Table2[#Headers],0),0)</f>
        <v>0</v>
      </c>
      <c r="BM575" s="2">
        <f>VLOOKUP([jobnumber],OvalData[],MATCH(Table2[[#Headers],[Total Spring Weight]],Table2[#Headers],0),0)</f>
        <v>0</v>
      </c>
      <c r="BN575" s="2">
        <f>VLOOKUP([jobnumber],OvalData[],MATCH(Table2[[#Headers],[Pipe Weight]],Table2[#Headers],0),0)</f>
        <v>688.24239999999998</v>
      </c>
      <c r="BO575" s="2">
        <f>VLOOKUP([jobnumber],OvalData[],MATCH(Table2[[#Headers],[Max Pipe Deflection]],Table2[#Headers],0),0)</f>
        <v>2309</v>
      </c>
      <c r="BP575" s="2">
        <f>VLOOKUP([jobnumber],OvalData[],MATCH(Table2[[#Headers],[Number Non-Insulated Wrap Slats]],Table2[#Headers],0),0)</f>
        <v>0</v>
      </c>
      <c r="BQ575" s="2">
        <f>VLOOKUP([jobnumber],OvalData[],MATCH(Table2[[#Headers],[Number of Insolated Top Slats]],Table2[#Headers],0),0)</f>
        <v>45</v>
      </c>
      <c r="BR575" s="2">
        <f>VLOOKUP([jobnumber],OvalData[],MATCH(Table2[[#Headers],[Insolated Total Slats]],Table2[#Headers],0),0)</f>
        <v>45</v>
      </c>
      <c r="BS575" s="2">
        <f>VLOOKUP([jobnumber],OvalData[],MATCH(Table2[[#Headers],[Number of Slats]],Table2[#Headers],0),0)</f>
        <v>44.69</v>
      </c>
      <c r="BT575" s="2">
        <f>VLOOKUP([jobnumber],OvalData[],MATCH(Table2[[#Headers],[Wrap]],Table2[#Headers],0),0)</f>
        <v>0</v>
      </c>
      <c r="BU575" s="2">
        <f>VLOOKUP([jobnumber],OvalData[],MATCH(Table2[[#Headers],[Wall Angle Thickness]],Table2[#Headers],0),0)</f>
        <v>0</v>
      </c>
      <c r="BV575" s="2">
        <f>VLOOKUP([jobnumber],OvalData[],MATCH(Table2[[#Headers],[windlocks]],Table2[#Headers],0),0)</f>
        <v>0</v>
      </c>
      <c r="BW575" s="2" t="str">
        <f>VLOOKUP([jobnumber],OvalData[],MATCH(Table2[[#Headers],[bottombartype]],Table2[#Headers],0),0)</f>
        <v>SPECIAL</v>
      </c>
      <c r="BX575" s="2">
        <f>VLOOKUP([jobnumber],OvalData[],MATCH(Table2[[#Headers],[endlockweight]],Table2[#Headers],0),0)</f>
        <v>0.17</v>
      </c>
      <c r="BY575" s="2">
        <f>VLOOKUP([jobnumber],OvalData[],MATCH(Table2[[#Headers],[Endlock Total Weight]],Table2[#Headers],0),0)</f>
        <v>7.5972999999999997</v>
      </c>
      <c r="BZ575" s="2">
        <f>VLOOKUP([jobnumber],OvalData[],MATCH(Table2[[#Headers],[Grille Weight]],Table2[#Headers],0),0)</f>
        <v>0</v>
      </c>
      <c r="CA575" s="2">
        <f>VLOOKUP([jobnumber],OvalData[],MATCH(Table2[[#Headers],[barrelrings]],Table2[#Headers],0),0)</f>
        <v>1</v>
      </c>
    </row>
    <row r="576" spans="2:79">
      <c r="B576" s="2" t="str">
        <f>VLOOKUP([jobnumber],OvalData[],MATCH(Table2[[#Headers],[Hand]],Table2[#Headers],0),0)</f>
        <v>RH</v>
      </c>
      <c r="C576" s="2" t="str">
        <f>VLOOKUP([jobnumber],OvalData[],MATCH(Table2[[#Headers],[Model]],Table2[#Headers],0),0)</f>
        <v>SFMPP</v>
      </c>
      <c r="D576" s="2" t="str">
        <f>VLOOKUP([jobnumber],OvalData[],MATCH(Table2[[#Headers],[width]],Table2[#Headers],0),0)</f>
        <v xml:space="preserve"> 18 ft.- 2"</v>
      </c>
      <c r="E576" s="2" t="str">
        <f>VLOOKUP([jobnumber],OvalData[],MATCH(Table2[[#Headers],[stopheight]],Table2[#Headers],0),0)</f>
        <v xml:space="preserve"> 10 ft.- 0"</v>
      </c>
      <c r="F576" s="2" t="str">
        <f>VLOOKUP([jobnumber],OvalData[],MATCH(Table2[[#Headers],[Between Brackets]],Table2[#Headers],0),0)</f>
        <v xml:space="preserve"> 18 ft.- 7 7/ 8"</v>
      </c>
      <c r="G576" s="2" t="str">
        <f>VLOOKUP([jobnumber],OvalData[],MATCH(Table2[[#Headers],[shell]],Table2[#Headers],0),0)</f>
        <v>6 INCH TUBE</v>
      </c>
      <c r="H576" s="2" t="str">
        <f>VLOOKUP([jobnumber],OvalData[],MATCH(Table2[[#Headers],[pipewidth]],Table2[#Headers],0),0)</f>
        <v xml:space="preserve"> 18 ft.- 1 3/ 8"</v>
      </c>
      <c r="I576" s="2">
        <f>VLOOKUP([jobnumber],OvalData[],MATCH(Table2[[#Headers],[Support Tubes]],Table2[#Headers],0),0)</f>
        <v>0</v>
      </c>
      <c r="J576" s="2">
        <f>VLOOKUP([jobnumber],OvalData[],MATCH(Table2[[#Headers],[Upset]],Table2[#Headers],0),0)</f>
        <v>2</v>
      </c>
      <c r="K576" s="2" t="str">
        <f>VLOOKUP([jobnumber],OvalData[],MATCH(Table2[[#Headers],[Guide Type]],Table2[#Headers],0),0)</f>
        <v>SN2-4 5/8-E</v>
      </c>
      <c r="L576" s="2" t="str">
        <f>VLOOKUP([jobnumber],OvalData[],MATCH(Table2[[#Headers],[Wall Angle]],Table2[#Headers],0),0)</f>
        <v xml:space="preserve"> 11 ft.- 8"</v>
      </c>
      <c r="M576" s="2" t="str">
        <f>VLOOKUP([jobnumber],OvalData[],MATCH(Table2[[#Headers],[Middle Angle]],Table2[#Headers],0),0)</f>
        <v xml:space="preserve"> 10 ft.- 4 1/ 2"</v>
      </c>
      <c r="N576" s="2" t="str">
        <f>VLOOKUP([jobnumber],OvalData[],MATCH(Table2[[#Headers],[Front Angle]],Table2[#Headers],0),0)</f>
        <v xml:space="preserve"> 10 ft.- 3"</v>
      </c>
      <c r="O576" s="2">
        <f>VLOOKUP([jobnumber],OvalData[],MATCH(Table2[[#Headers],[Pipe Center Line]],Table2[#Headers],0),0)</f>
        <v>131</v>
      </c>
      <c r="P576" s="2">
        <f>VLOOKUP([jobnumber],OvalData[],MATCH(Table2[[#Headers],[Heat Expansion Gap]],Table2[#Headers],0),0)</f>
        <v>0</v>
      </c>
      <c r="Q576" s="2">
        <f>VLOOKUP([jobnumber],OvalData[],MATCH(Table2[[#Headers],[Hanging Weight Closed]],Table2[#Headers],0),0)</f>
        <v>795</v>
      </c>
      <c r="R576" s="2">
        <f>VLOOKUP([jobnumber],OvalData[],MATCH(Table2[[#Headers],[Hanging Weight Open]],Table2[#Headers],0),0)</f>
        <v>140</v>
      </c>
      <c r="S576" s="2">
        <f>VLOOKUP([jobnumber],OvalData[],MATCH(Table2[[#Headers],[Initial Lever Arm]],Table2[#Headers],0),0)</f>
        <v>4.25</v>
      </c>
      <c r="T576" s="2">
        <f>VLOOKUP([jobnumber],OvalData[],MATCH(Table2[[#Headers],[Turns to Raise]],Table2[#Headers],0),0)</f>
        <v>3.5859999999999999</v>
      </c>
      <c r="U576" s="2">
        <f>VLOOKUP([jobnumber],OvalData[],MATCH(Table2[[#Headers],[Final Lever Arm]],Table2[#Headers],0),0)</f>
        <v>6.37</v>
      </c>
      <c r="V576" s="2">
        <f>VLOOKUP([jobnumber],OvalData[],MATCH(Table2[[#Headers],[Torque Required Closed]],Table2[#Headers],0),0)</f>
        <v>3377.9</v>
      </c>
      <c r="W576" s="2">
        <f>VLOOKUP([jobnumber],OvalData[],MATCH(Table2[[#Headers],[Torque Required Open]],Table2[#Headers],0),0)</f>
        <v>892</v>
      </c>
      <c r="X576" s="2">
        <f>VLOOKUP([jobnumber],OvalData[],MATCH(Table2[[#Headers],[Pre Turns]],Table2[#Headers],0),0)</f>
        <v>1.3332999999999999</v>
      </c>
      <c r="Y576" s="2">
        <f>VLOOKUP([jobnumber],OvalData[],MATCH(Table2[[#Headers],[Required Torque Per Turn]],Table2[#Headers],0),0)</f>
        <v>688</v>
      </c>
      <c r="Z576" s="2">
        <f>VLOOKUP([jobnumber],OvalData[],MATCH(Table2[[#Headers],[Total Turns]],Table2[#Headers],0),0)</f>
        <v>4.91</v>
      </c>
      <c r="AA576" s="2">
        <f>VLOOKUP([jobnumber],OvalData[],MATCH(Table2[[#Headers],[Grille Vision Section]],Table2[#Headers],0),0)</f>
        <v>0</v>
      </c>
      <c r="AB576" s="2">
        <f>VLOOKUP([jobnumber],OvalData[],MATCH(Table2[[#Headers],[Grille Amount]],Table2[#Headers],0),0)</f>
        <v>0</v>
      </c>
      <c r="AC576" s="2">
        <f>VLOOKUP([jobnumber],OvalData[],MATCH(Table2[[#Headers],[Grille Center]],Table2[#Headers],0),0)</f>
        <v>0</v>
      </c>
      <c r="AD576" s="2">
        <f>VLOOKUP([jobnumber],OvalData[],MATCH(Table2[[#Headers],[Grille Pattern]],Table2[#Headers],0),0)</f>
        <v>0</v>
      </c>
      <c r="AE576" s="2">
        <f>VLOOKUP([jobnumber],OvalData[],MATCH(Table2[[#Headers],[Grille First Tube]],Table2[#Headers],0),0)</f>
        <v>0</v>
      </c>
      <c r="AF576" s="2">
        <f>VLOOKUP([jobnumber],OvalData[],MATCH(Table2[[#Headers],[Grille Standard Tube]],Table2[#Headers],0),0)</f>
        <v>0</v>
      </c>
      <c r="AG576" s="2">
        <f>VLOOKUP([jobnumber],OvalData[],MATCH(Table2[[#Headers],[Grille Total Links]],Table2[#Headers],0),0)</f>
        <v>0</v>
      </c>
      <c r="AH576" s="2">
        <f>VLOOKUP([jobnumber],OvalData[],MATCH(Table2[[#Headers],[Grille Rods]],Table2[#Headers],0),0)</f>
        <v>0</v>
      </c>
      <c r="AI576" s="2">
        <f>VLOOKUP([jobnumber],OvalData[],MATCH(Table2[[#Headers],[Grille Rod Length]],Table2[#Headers],0),0)</f>
        <v>0</v>
      </c>
      <c r="AJ576" s="2">
        <f>VLOOKUP([jobnumber],OvalData[],MATCH(Table2[[#Headers],[slattype]],Table2[#Headers],0),0)</f>
        <v>2</v>
      </c>
      <c r="AK576" s="2">
        <f>VLOOKUP([jobnumber],OvalData[],MATCH(Table2[[#Headers],[slatgage]],Table2[#Headers],0),0)</f>
        <v>18</v>
      </c>
      <c r="AL576" s="2">
        <f>VLOOKUP([jobnumber],OvalData[],MATCH(Table2[[#Headers],[Numer of Top Slats]],Table2[#Headers],0),0)</f>
        <v>0</v>
      </c>
      <c r="AM576" s="2">
        <f>VLOOKUP([jobnumber],OvalData[],MATCH(Table2[[#Headers],[Number of Bottom Slats]],Table2[#Headers],0),0)</f>
        <v>0</v>
      </c>
      <c r="AN576" s="2">
        <f>VLOOKUP([jobnumber],OvalData[],MATCH(Table2[[#Headers],[Solid Bottom Height]],Table2[#Headers],0),0)</f>
        <v>0</v>
      </c>
      <c r="AO576" s="2" t="str">
        <f>VLOOKUP([jobnumber],OvalData[],MATCH(Table2[[#Headers],[slatlength]],Table2[#Headers],0),0)</f>
        <v xml:space="preserve"> 18 ft.- 5 7/ 8"</v>
      </c>
      <c r="AP576" s="2">
        <f>VLOOKUP([jobnumber],OvalData[],MATCH(Table2[[#Headers],[Bottom Slat Length]],Table2[#Headers],0),0)</f>
        <v>0</v>
      </c>
      <c r="AQ576" s="2">
        <f>VLOOKUP([jobnumber],OvalData[],MATCH(Table2[[#Headers],[Number of Perferated Slats]],Table2[#Headers],0),0)</f>
        <v>0</v>
      </c>
      <c r="AR576" s="2">
        <f>VLOOKUP([jobnumber],OvalData[],MATCH(Table2[[#Headers],[First Preferated Slat From End]],Table2[#Headers],0),0)</f>
        <v>0</v>
      </c>
      <c r="AS576" s="2">
        <f>VLOOKUP([jobnumber],OvalData[],MATCH(Table2[[#Headers],[First Preferated Slat From Bottom]],Table2[#Headers],0),0)</f>
        <v>0</v>
      </c>
      <c r="AT576" s="2">
        <f>VLOOKUP([jobnumber],OvalData[],MATCH(Table2[[#Headers],[Total Number of Slats]],Table2[#Headers],0),0)</f>
        <v>51</v>
      </c>
      <c r="AU576" s="2">
        <f>VLOOKUP([jobnumber],OvalData[],MATCH(Table2[[#Headers],[Bottom Bar Slope]],Table2[#Headers],0),0)</f>
        <v>0</v>
      </c>
      <c r="AV576" s="2">
        <f>VLOOKUP([jobnumber],OvalData[],MATCH(Table2[[#Headers],[Bottom Bar Weight]],Table2[#Headers],0),0)</f>
        <v>80.5</v>
      </c>
      <c r="AW576" s="2" t="str">
        <f>VLOOKUP([jobnumber],OvalData[],MATCH(Table2[[#Headers],[Outer Spring Gage]],Table2[#Headers],0),0)</f>
        <v>Null</v>
      </c>
      <c r="AX576" s="2" t="str">
        <f>VLOOKUP([jobnumber],OvalData[],MATCH(Table2[[#Headers],[Outer Spring OD]],Table2[#Headers],0),0)</f>
        <v>Null</v>
      </c>
      <c r="AY576" s="2" t="str">
        <f>VLOOKUP([jobnumber],OvalData[],MATCH(Table2[[#Headers],[Outer Spring Length]],Table2[#Headers],0),0)</f>
        <v>Null</v>
      </c>
      <c r="AZ576" s="2" t="str">
        <f>VLOOKUP([jobnumber],OvalData[],MATCH(Table2[[#Headers],[Outer Spring Stretch]],Table2[#Headers],0),0)</f>
        <v>Null</v>
      </c>
      <c r="BA576" s="2" t="str">
        <f>VLOOKUP([jobnumber],OvalData[],MATCH(Table2[[#Headers],[Outer Spring Torque]],Table2[#Headers],0),0)</f>
        <v>Null</v>
      </c>
      <c r="BB576" s="2" t="str">
        <f>VLOOKUP([jobnumber],OvalData[],MATCH(Table2[[#Headers],[Outer Spring Max Turns]],Table2[#Headers],0),0)</f>
        <v>Null</v>
      </c>
      <c r="BC576" s="2" t="str">
        <f>VLOOKUP([jobnumber],OvalData[],MATCH(Table2[[#Headers],[Outer Spring Weight]],Table2[#Headers],0),0)</f>
        <v>Null</v>
      </c>
      <c r="BD576" s="2" t="str">
        <f>VLOOKUP([jobnumber],OvalData[],MATCH(Table2[[#Headers],[Inner Spring Gage]],Table2[#Headers],0),0)</f>
        <v>Null</v>
      </c>
      <c r="BE576" s="2" t="str">
        <f>VLOOKUP([jobnumber],OvalData[],MATCH(Table2[[#Headers],[Inner Spring OD]],Table2[#Headers],0),0)</f>
        <v>Null</v>
      </c>
      <c r="BF576" s="2" t="str">
        <f>VLOOKUP([jobnumber],OvalData[],MATCH(Table2[[#Headers],[Inner Spring Length]],Table2[#Headers],0),0)</f>
        <v>Null</v>
      </c>
      <c r="BG576" s="2" t="str">
        <f>VLOOKUP([jobnumber],OvalData[],MATCH(Table2[[#Headers],[Inner Spring Stretch]],Table2[#Headers],0),0)</f>
        <v>Null</v>
      </c>
      <c r="BH576" s="2" t="str">
        <f>VLOOKUP([jobnumber],OvalData[],MATCH(Table2[[#Headers],[Inner Spring Torque]],Table2[#Headers],0),0)</f>
        <v>Null</v>
      </c>
      <c r="BI576" s="2" t="str">
        <f>VLOOKUP([jobnumber],OvalData[],MATCH(Table2[[#Headers],[Inner Spring Max Turns]],Table2[#Headers],0),0)</f>
        <v>Null</v>
      </c>
      <c r="BJ576" s="2" t="str">
        <f>VLOOKUP([jobnumber],OvalData[],MATCH(Table2[[#Headers],[Inner Spring Weight]],Table2[#Headers],0),0)</f>
        <v>Null</v>
      </c>
      <c r="BK576" s="2">
        <f>VLOOKUP([jobnumber],OvalData[],MATCH(Table2[[#Headers],[Cycles]],Table2[#Headers],0),0)</f>
        <v>0</v>
      </c>
      <c r="BL576" s="2">
        <f>VLOOKUP([jobnumber],OvalData[],MATCH(Table2[[#Headers],[Total Spring Torque]],Table2[#Headers],0),0)</f>
        <v>0</v>
      </c>
      <c r="BM576" s="2">
        <f>VLOOKUP([jobnumber],OvalData[],MATCH(Table2[[#Headers],[Total Spring Weight]],Table2[#Headers],0),0)</f>
        <v>0</v>
      </c>
      <c r="BN576" s="2">
        <f>VLOOKUP([jobnumber],OvalData[],MATCH(Table2[[#Headers],[Pipe Weight]],Table2[#Headers],0),0)</f>
        <v>688.24239999999998</v>
      </c>
      <c r="BO576" s="2">
        <f>VLOOKUP([jobnumber],OvalData[],MATCH(Table2[[#Headers],[Max Pipe Deflection]],Table2[#Headers],0),0)</f>
        <v>2309</v>
      </c>
      <c r="BP576" s="2">
        <f>VLOOKUP([jobnumber],OvalData[],MATCH(Table2[[#Headers],[Number Non-Insulated Wrap Slats]],Table2[#Headers],0),0)</f>
        <v>0</v>
      </c>
      <c r="BQ576" s="2">
        <f>VLOOKUP([jobnumber],OvalData[],MATCH(Table2[[#Headers],[Number of Insolated Top Slats]],Table2[#Headers],0),0)</f>
        <v>45</v>
      </c>
      <c r="BR576" s="2">
        <f>VLOOKUP([jobnumber],OvalData[],MATCH(Table2[[#Headers],[Insolated Total Slats]],Table2[#Headers],0),0)</f>
        <v>45</v>
      </c>
      <c r="BS576" s="2">
        <f>VLOOKUP([jobnumber],OvalData[],MATCH(Table2[[#Headers],[Number of Slats]],Table2[#Headers],0),0)</f>
        <v>44.69</v>
      </c>
      <c r="BT576" s="2">
        <f>VLOOKUP([jobnumber],OvalData[],MATCH(Table2[[#Headers],[Wrap]],Table2[#Headers],0),0)</f>
        <v>0</v>
      </c>
      <c r="BU576" s="2">
        <f>VLOOKUP([jobnumber],OvalData[],MATCH(Table2[[#Headers],[Wall Angle Thickness]],Table2[#Headers],0),0)</f>
        <v>0</v>
      </c>
      <c r="BV576" s="2">
        <f>VLOOKUP([jobnumber],OvalData[],MATCH(Table2[[#Headers],[windlocks]],Table2[#Headers],0),0)</f>
        <v>0</v>
      </c>
      <c r="BW576" s="2" t="str">
        <f>VLOOKUP([jobnumber],OvalData[],MATCH(Table2[[#Headers],[bottombartype]],Table2[#Headers],0),0)</f>
        <v>SPECIAL</v>
      </c>
      <c r="BX576" s="2">
        <f>VLOOKUP([jobnumber],OvalData[],MATCH(Table2[[#Headers],[endlockweight]],Table2[#Headers],0),0)</f>
        <v>0.17</v>
      </c>
      <c r="BY576" s="2">
        <f>VLOOKUP([jobnumber],OvalData[],MATCH(Table2[[#Headers],[Endlock Total Weight]],Table2[#Headers],0),0)</f>
        <v>7.5972999999999997</v>
      </c>
      <c r="BZ576" s="2">
        <f>VLOOKUP([jobnumber],OvalData[],MATCH(Table2[[#Headers],[Grille Weight]],Table2[#Headers],0),0)</f>
        <v>0</v>
      </c>
      <c r="CA576" s="2">
        <f>VLOOKUP([jobnumber],OvalData[],MATCH(Table2[[#Headers],[barrelrings]],Table2[#Headers],0),0)</f>
        <v>1</v>
      </c>
    </row>
    <row r="577" spans="2:79">
      <c r="B577" s="2" t="str">
        <f>VLOOKUP([jobnumber],OvalData[],MATCH(Table2[[#Headers],[Hand]],Table2[#Headers],0),0)</f>
        <v>RH</v>
      </c>
      <c r="C577" s="2" t="str">
        <f>VLOOKUP([jobnumber],OvalData[],MATCH(Table2[[#Headers],[Model]],Table2[#Headers],0),0)</f>
        <v>SFMPP</v>
      </c>
      <c r="D577" s="2" t="str">
        <f>VLOOKUP([jobnumber],OvalData[],MATCH(Table2[[#Headers],[width]],Table2[#Headers],0),0)</f>
        <v xml:space="preserve"> 18 ft.- 2"</v>
      </c>
      <c r="E577" s="2" t="str">
        <f>VLOOKUP([jobnumber],OvalData[],MATCH(Table2[[#Headers],[stopheight]],Table2[#Headers],0),0)</f>
        <v xml:space="preserve"> 10 ft.- 0"</v>
      </c>
      <c r="F577" s="2" t="str">
        <f>VLOOKUP([jobnumber],OvalData[],MATCH(Table2[[#Headers],[Between Brackets]],Table2[#Headers],0),0)</f>
        <v xml:space="preserve"> 18 ft.- 7 7/ 8"</v>
      </c>
      <c r="G577" s="2" t="str">
        <f>VLOOKUP([jobnumber],OvalData[],MATCH(Table2[[#Headers],[shell]],Table2[#Headers],0),0)</f>
        <v>6 INCH TUBE</v>
      </c>
      <c r="H577" s="2" t="str">
        <f>VLOOKUP([jobnumber],OvalData[],MATCH(Table2[[#Headers],[pipewidth]],Table2[#Headers],0),0)</f>
        <v xml:space="preserve"> 18 ft.- 1 3/ 8"</v>
      </c>
      <c r="I577" s="2">
        <f>VLOOKUP([jobnumber],OvalData[],MATCH(Table2[[#Headers],[Support Tubes]],Table2[#Headers],0),0)</f>
        <v>0</v>
      </c>
      <c r="J577" s="2">
        <f>VLOOKUP([jobnumber],OvalData[],MATCH(Table2[[#Headers],[Upset]],Table2[#Headers],0),0)</f>
        <v>2</v>
      </c>
      <c r="K577" s="2" t="str">
        <f>VLOOKUP([jobnumber],OvalData[],MATCH(Table2[[#Headers],[Guide Type]],Table2[#Headers],0),0)</f>
        <v>SN2-4 5/8-E</v>
      </c>
      <c r="L577" s="2" t="str">
        <f>VLOOKUP([jobnumber],OvalData[],MATCH(Table2[[#Headers],[Wall Angle]],Table2[#Headers],0),0)</f>
        <v xml:space="preserve"> 11 ft.- 8"</v>
      </c>
      <c r="M577" s="2" t="str">
        <f>VLOOKUP([jobnumber],OvalData[],MATCH(Table2[[#Headers],[Middle Angle]],Table2[#Headers],0),0)</f>
        <v xml:space="preserve"> 10 ft.- 4 1/ 2"</v>
      </c>
      <c r="N577" s="2" t="str">
        <f>VLOOKUP([jobnumber],OvalData[],MATCH(Table2[[#Headers],[Front Angle]],Table2[#Headers],0),0)</f>
        <v xml:space="preserve"> 10 ft.- 3"</v>
      </c>
      <c r="O577" s="2">
        <f>VLOOKUP([jobnumber],OvalData[],MATCH(Table2[[#Headers],[Pipe Center Line]],Table2[#Headers],0),0)</f>
        <v>131</v>
      </c>
      <c r="P577" s="2">
        <f>VLOOKUP([jobnumber],OvalData[],MATCH(Table2[[#Headers],[Heat Expansion Gap]],Table2[#Headers],0),0)</f>
        <v>0</v>
      </c>
      <c r="Q577" s="2">
        <f>VLOOKUP([jobnumber],OvalData[],MATCH(Table2[[#Headers],[Hanging Weight Closed]],Table2[#Headers],0),0)</f>
        <v>795</v>
      </c>
      <c r="R577" s="2">
        <f>VLOOKUP([jobnumber],OvalData[],MATCH(Table2[[#Headers],[Hanging Weight Open]],Table2[#Headers],0),0)</f>
        <v>140</v>
      </c>
      <c r="S577" s="2">
        <f>VLOOKUP([jobnumber],OvalData[],MATCH(Table2[[#Headers],[Initial Lever Arm]],Table2[#Headers],0),0)</f>
        <v>4.25</v>
      </c>
      <c r="T577" s="2">
        <f>VLOOKUP([jobnumber],OvalData[],MATCH(Table2[[#Headers],[Turns to Raise]],Table2[#Headers],0),0)</f>
        <v>3.5859999999999999</v>
      </c>
      <c r="U577" s="2">
        <f>VLOOKUP([jobnumber],OvalData[],MATCH(Table2[[#Headers],[Final Lever Arm]],Table2[#Headers],0),0)</f>
        <v>6.37</v>
      </c>
      <c r="V577" s="2">
        <f>VLOOKUP([jobnumber],OvalData[],MATCH(Table2[[#Headers],[Torque Required Closed]],Table2[#Headers],0),0)</f>
        <v>3377.9</v>
      </c>
      <c r="W577" s="2">
        <f>VLOOKUP([jobnumber],OvalData[],MATCH(Table2[[#Headers],[Torque Required Open]],Table2[#Headers],0),0)</f>
        <v>892</v>
      </c>
      <c r="X577" s="2">
        <f>VLOOKUP([jobnumber],OvalData[],MATCH(Table2[[#Headers],[Pre Turns]],Table2[#Headers],0),0)</f>
        <v>1.3332999999999999</v>
      </c>
      <c r="Y577" s="2">
        <f>VLOOKUP([jobnumber],OvalData[],MATCH(Table2[[#Headers],[Required Torque Per Turn]],Table2[#Headers],0),0)</f>
        <v>688</v>
      </c>
      <c r="Z577" s="2">
        <f>VLOOKUP([jobnumber],OvalData[],MATCH(Table2[[#Headers],[Total Turns]],Table2[#Headers],0),0)</f>
        <v>4.91</v>
      </c>
      <c r="AA577" s="2">
        <f>VLOOKUP([jobnumber],OvalData[],MATCH(Table2[[#Headers],[Grille Vision Section]],Table2[#Headers],0),0)</f>
        <v>0</v>
      </c>
      <c r="AB577" s="2">
        <f>VLOOKUP([jobnumber],OvalData[],MATCH(Table2[[#Headers],[Grille Amount]],Table2[#Headers],0),0)</f>
        <v>0</v>
      </c>
      <c r="AC577" s="2">
        <f>VLOOKUP([jobnumber],OvalData[],MATCH(Table2[[#Headers],[Grille Center]],Table2[#Headers],0),0)</f>
        <v>0</v>
      </c>
      <c r="AD577" s="2">
        <f>VLOOKUP([jobnumber],OvalData[],MATCH(Table2[[#Headers],[Grille Pattern]],Table2[#Headers],0),0)</f>
        <v>0</v>
      </c>
      <c r="AE577" s="2">
        <f>VLOOKUP([jobnumber],OvalData[],MATCH(Table2[[#Headers],[Grille First Tube]],Table2[#Headers],0),0)</f>
        <v>0</v>
      </c>
      <c r="AF577" s="2">
        <f>VLOOKUP([jobnumber],OvalData[],MATCH(Table2[[#Headers],[Grille Standard Tube]],Table2[#Headers],0),0)</f>
        <v>0</v>
      </c>
      <c r="AG577" s="2">
        <f>VLOOKUP([jobnumber],OvalData[],MATCH(Table2[[#Headers],[Grille Total Links]],Table2[#Headers],0),0)</f>
        <v>0</v>
      </c>
      <c r="AH577" s="2">
        <f>VLOOKUP([jobnumber],OvalData[],MATCH(Table2[[#Headers],[Grille Rods]],Table2[#Headers],0),0)</f>
        <v>0</v>
      </c>
      <c r="AI577" s="2">
        <f>VLOOKUP([jobnumber],OvalData[],MATCH(Table2[[#Headers],[Grille Rod Length]],Table2[#Headers],0),0)</f>
        <v>0</v>
      </c>
      <c r="AJ577" s="2">
        <f>VLOOKUP([jobnumber],OvalData[],MATCH(Table2[[#Headers],[slattype]],Table2[#Headers],0),0)</f>
        <v>2</v>
      </c>
      <c r="AK577" s="2">
        <f>VLOOKUP([jobnumber],OvalData[],MATCH(Table2[[#Headers],[slatgage]],Table2[#Headers],0),0)</f>
        <v>18</v>
      </c>
      <c r="AL577" s="2">
        <f>VLOOKUP([jobnumber],OvalData[],MATCH(Table2[[#Headers],[Numer of Top Slats]],Table2[#Headers],0),0)</f>
        <v>0</v>
      </c>
      <c r="AM577" s="2">
        <f>VLOOKUP([jobnumber],OvalData[],MATCH(Table2[[#Headers],[Number of Bottom Slats]],Table2[#Headers],0),0)</f>
        <v>0</v>
      </c>
      <c r="AN577" s="2">
        <f>VLOOKUP([jobnumber],OvalData[],MATCH(Table2[[#Headers],[Solid Bottom Height]],Table2[#Headers],0),0)</f>
        <v>0</v>
      </c>
      <c r="AO577" s="2" t="str">
        <f>VLOOKUP([jobnumber],OvalData[],MATCH(Table2[[#Headers],[slatlength]],Table2[#Headers],0),0)</f>
        <v xml:space="preserve"> 18 ft.- 5 7/ 8"</v>
      </c>
      <c r="AP577" s="2">
        <f>VLOOKUP([jobnumber],OvalData[],MATCH(Table2[[#Headers],[Bottom Slat Length]],Table2[#Headers],0),0)</f>
        <v>0</v>
      </c>
      <c r="AQ577" s="2">
        <f>VLOOKUP([jobnumber],OvalData[],MATCH(Table2[[#Headers],[Number of Perferated Slats]],Table2[#Headers],0),0)</f>
        <v>0</v>
      </c>
      <c r="AR577" s="2">
        <f>VLOOKUP([jobnumber],OvalData[],MATCH(Table2[[#Headers],[First Preferated Slat From End]],Table2[#Headers],0),0)</f>
        <v>0</v>
      </c>
      <c r="AS577" s="2">
        <f>VLOOKUP([jobnumber],OvalData[],MATCH(Table2[[#Headers],[First Preferated Slat From Bottom]],Table2[#Headers],0),0)</f>
        <v>0</v>
      </c>
      <c r="AT577" s="2">
        <f>VLOOKUP([jobnumber],OvalData[],MATCH(Table2[[#Headers],[Total Number of Slats]],Table2[#Headers],0),0)</f>
        <v>51</v>
      </c>
      <c r="AU577" s="2">
        <f>VLOOKUP([jobnumber],OvalData[],MATCH(Table2[[#Headers],[Bottom Bar Slope]],Table2[#Headers],0),0)</f>
        <v>0</v>
      </c>
      <c r="AV577" s="2">
        <f>VLOOKUP([jobnumber],OvalData[],MATCH(Table2[[#Headers],[Bottom Bar Weight]],Table2[#Headers],0),0)</f>
        <v>80.5</v>
      </c>
      <c r="AW577" s="2" t="str">
        <f>VLOOKUP([jobnumber],OvalData[],MATCH(Table2[[#Headers],[Outer Spring Gage]],Table2[#Headers],0),0)</f>
        <v>Null</v>
      </c>
      <c r="AX577" s="2" t="str">
        <f>VLOOKUP([jobnumber],OvalData[],MATCH(Table2[[#Headers],[Outer Spring OD]],Table2[#Headers],0),0)</f>
        <v>Null</v>
      </c>
      <c r="AY577" s="2" t="str">
        <f>VLOOKUP([jobnumber],OvalData[],MATCH(Table2[[#Headers],[Outer Spring Length]],Table2[#Headers],0),0)</f>
        <v>Null</v>
      </c>
      <c r="AZ577" s="2" t="str">
        <f>VLOOKUP([jobnumber],OvalData[],MATCH(Table2[[#Headers],[Outer Spring Stretch]],Table2[#Headers],0),0)</f>
        <v>Null</v>
      </c>
      <c r="BA577" s="2" t="str">
        <f>VLOOKUP([jobnumber],OvalData[],MATCH(Table2[[#Headers],[Outer Spring Torque]],Table2[#Headers],0),0)</f>
        <v>Null</v>
      </c>
      <c r="BB577" s="2" t="str">
        <f>VLOOKUP([jobnumber],OvalData[],MATCH(Table2[[#Headers],[Outer Spring Max Turns]],Table2[#Headers],0),0)</f>
        <v>Null</v>
      </c>
      <c r="BC577" s="2" t="str">
        <f>VLOOKUP([jobnumber],OvalData[],MATCH(Table2[[#Headers],[Outer Spring Weight]],Table2[#Headers],0),0)</f>
        <v>Null</v>
      </c>
      <c r="BD577" s="2" t="str">
        <f>VLOOKUP([jobnumber],OvalData[],MATCH(Table2[[#Headers],[Inner Spring Gage]],Table2[#Headers],0),0)</f>
        <v>Null</v>
      </c>
      <c r="BE577" s="2" t="str">
        <f>VLOOKUP([jobnumber],OvalData[],MATCH(Table2[[#Headers],[Inner Spring OD]],Table2[#Headers],0),0)</f>
        <v>Null</v>
      </c>
      <c r="BF577" s="2" t="str">
        <f>VLOOKUP([jobnumber],OvalData[],MATCH(Table2[[#Headers],[Inner Spring Length]],Table2[#Headers],0),0)</f>
        <v>Null</v>
      </c>
      <c r="BG577" s="2" t="str">
        <f>VLOOKUP([jobnumber],OvalData[],MATCH(Table2[[#Headers],[Inner Spring Stretch]],Table2[#Headers],0),0)</f>
        <v>Null</v>
      </c>
      <c r="BH577" s="2" t="str">
        <f>VLOOKUP([jobnumber],OvalData[],MATCH(Table2[[#Headers],[Inner Spring Torque]],Table2[#Headers],0),0)</f>
        <v>Null</v>
      </c>
      <c r="BI577" s="2" t="str">
        <f>VLOOKUP([jobnumber],OvalData[],MATCH(Table2[[#Headers],[Inner Spring Max Turns]],Table2[#Headers],0),0)</f>
        <v>Null</v>
      </c>
      <c r="BJ577" s="2" t="str">
        <f>VLOOKUP([jobnumber],OvalData[],MATCH(Table2[[#Headers],[Inner Spring Weight]],Table2[#Headers],0),0)</f>
        <v>Null</v>
      </c>
      <c r="BK577" s="2">
        <f>VLOOKUP([jobnumber],OvalData[],MATCH(Table2[[#Headers],[Cycles]],Table2[#Headers],0),0)</f>
        <v>0</v>
      </c>
      <c r="BL577" s="2">
        <f>VLOOKUP([jobnumber],OvalData[],MATCH(Table2[[#Headers],[Total Spring Torque]],Table2[#Headers],0),0)</f>
        <v>0</v>
      </c>
      <c r="BM577" s="2">
        <f>VLOOKUP([jobnumber],OvalData[],MATCH(Table2[[#Headers],[Total Spring Weight]],Table2[#Headers],0),0)</f>
        <v>0</v>
      </c>
      <c r="BN577" s="2">
        <f>VLOOKUP([jobnumber],OvalData[],MATCH(Table2[[#Headers],[Pipe Weight]],Table2[#Headers],0),0)</f>
        <v>688.24239999999998</v>
      </c>
      <c r="BO577" s="2">
        <f>VLOOKUP([jobnumber],OvalData[],MATCH(Table2[[#Headers],[Max Pipe Deflection]],Table2[#Headers],0),0)</f>
        <v>2309</v>
      </c>
      <c r="BP577" s="2">
        <f>VLOOKUP([jobnumber],OvalData[],MATCH(Table2[[#Headers],[Number Non-Insulated Wrap Slats]],Table2[#Headers],0),0)</f>
        <v>0</v>
      </c>
      <c r="BQ577" s="2">
        <f>VLOOKUP([jobnumber],OvalData[],MATCH(Table2[[#Headers],[Number of Insolated Top Slats]],Table2[#Headers],0),0)</f>
        <v>45</v>
      </c>
      <c r="BR577" s="2">
        <f>VLOOKUP([jobnumber],OvalData[],MATCH(Table2[[#Headers],[Insolated Total Slats]],Table2[#Headers],0),0)</f>
        <v>45</v>
      </c>
      <c r="BS577" s="2">
        <f>VLOOKUP([jobnumber],OvalData[],MATCH(Table2[[#Headers],[Number of Slats]],Table2[#Headers],0),0)</f>
        <v>44.69</v>
      </c>
      <c r="BT577" s="2">
        <f>VLOOKUP([jobnumber],OvalData[],MATCH(Table2[[#Headers],[Wrap]],Table2[#Headers],0),0)</f>
        <v>0</v>
      </c>
      <c r="BU577" s="2">
        <f>VLOOKUP([jobnumber],OvalData[],MATCH(Table2[[#Headers],[Wall Angle Thickness]],Table2[#Headers],0),0)</f>
        <v>0</v>
      </c>
      <c r="BV577" s="2">
        <f>VLOOKUP([jobnumber],OvalData[],MATCH(Table2[[#Headers],[windlocks]],Table2[#Headers],0),0)</f>
        <v>0</v>
      </c>
      <c r="BW577" s="2" t="str">
        <f>VLOOKUP([jobnumber],OvalData[],MATCH(Table2[[#Headers],[bottombartype]],Table2[#Headers],0),0)</f>
        <v>SPECIAL</v>
      </c>
      <c r="BX577" s="2">
        <f>VLOOKUP([jobnumber],OvalData[],MATCH(Table2[[#Headers],[endlockweight]],Table2[#Headers],0),0)</f>
        <v>0.17</v>
      </c>
      <c r="BY577" s="2">
        <f>VLOOKUP([jobnumber],OvalData[],MATCH(Table2[[#Headers],[Endlock Total Weight]],Table2[#Headers],0),0)</f>
        <v>7.5972999999999997</v>
      </c>
      <c r="BZ577" s="2">
        <f>VLOOKUP([jobnumber],OvalData[],MATCH(Table2[[#Headers],[Grille Weight]],Table2[#Headers],0),0)</f>
        <v>0</v>
      </c>
      <c r="CA577" s="2">
        <f>VLOOKUP([jobnumber],OvalData[],MATCH(Table2[[#Headers],[barrelrings]],Table2[#Headers],0),0)</f>
        <v>1</v>
      </c>
    </row>
    <row r="578" spans="2:79">
      <c r="B578" s="2" t="str">
        <f>VLOOKUP([jobnumber],OvalData[],MATCH(Table2[[#Headers],[Hand]],Table2[#Headers],0),0)</f>
        <v>RH</v>
      </c>
      <c r="C578" s="2" t="str">
        <f>VLOOKUP([jobnumber],OvalData[],MATCH(Table2[[#Headers],[Model]],Table2[#Headers],0),0)</f>
        <v>SFMPP</v>
      </c>
      <c r="D578" s="2" t="str">
        <f>VLOOKUP([jobnumber],OvalData[],MATCH(Table2[[#Headers],[width]],Table2[#Headers],0),0)</f>
        <v xml:space="preserve"> 18 ft.- 2"</v>
      </c>
      <c r="E578" s="2" t="str">
        <f>VLOOKUP([jobnumber],OvalData[],MATCH(Table2[[#Headers],[stopheight]],Table2[#Headers],0),0)</f>
        <v xml:space="preserve"> 10 ft.- 0"</v>
      </c>
      <c r="F578" s="2" t="str">
        <f>VLOOKUP([jobnumber],OvalData[],MATCH(Table2[[#Headers],[Between Brackets]],Table2[#Headers],0),0)</f>
        <v xml:space="preserve"> 18 ft.- 7 7/ 8"</v>
      </c>
      <c r="G578" s="2" t="str">
        <f>VLOOKUP([jobnumber],OvalData[],MATCH(Table2[[#Headers],[shell]],Table2[#Headers],0),0)</f>
        <v>6 INCH TUBE</v>
      </c>
      <c r="H578" s="2" t="str">
        <f>VLOOKUP([jobnumber],OvalData[],MATCH(Table2[[#Headers],[pipewidth]],Table2[#Headers],0),0)</f>
        <v xml:space="preserve"> 18 ft.- 1 3/ 8"</v>
      </c>
      <c r="I578" s="2">
        <f>VLOOKUP([jobnumber],OvalData[],MATCH(Table2[[#Headers],[Support Tubes]],Table2[#Headers],0),0)</f>
        <v>0</v>
      </c>
      <c r="J578" s="2">
        <f>VLOOKUP([jobnumber],OvalData[],MATCH(Table2[[#Headers],[Upset]],Table2[#Headers],0),0)</f>
        <v>2</v>
      </c>
      <c r="K578" s="2" t="str">
        <f>VLOOKUP([jobnumber],OvalData[],MATCH(Table2[[#Headers],[Guide Type]],Table2[#Headers],0),0)</f>
        <v>SN2-4 5/8-E</v>
      </c>
      <c r="L578" s="2" t="str">
        <f>VLOOKUP([jobnumber],OvalData[],MATCH(Table2[[#Headers],[Wall Angle]],Table2[#Headers],0),0)</f>
        <v xml:space="preserve"> 11 ft.- 8"</v>
      </c>
      <c r="M578" s="2" t="str">
        <f>VLOOKUP([jobnumber],OvalData[],MATCH(Table2[[#Headers],[Middle Angle]],Table2[#Headers],0),0)</f>
        <v xml:space="preserve"> 10 ft.- 4 1/ 2"</v>
      </c>
      <c r="N578" s="2" t="str">
        <f>VLOOKUP([jobnumber],OvalData[],MATCH(Table2[[#Headers],[Front Angle]],Table2[#Headers],0),0)</f>
        <v xml:space="preserve"> 10 ft.- 3"</v>
      </c>
      <c r="O578" s="2">
        <f>VLOOKUP([jobnumber],OvalData[],MATCH(Table2[[#Headers],[Pipe Center Line]],Table2[#Headers],0),0)</f>
        <v>131</v>
      </c>
      <c r="P578" s="2">
        <f>VLOOKUP([jobnumber],OvalData[],MATCH(Table2[[#Headers],[Heat Expansion Gap]],Table2[#Headers],0),0)</f>
        <v>0</v>
      </c>
      <c r="Q578" s="2">
        <f>VLOOKUP([jobnumber],OvalData[],MATCH(Table2[[#Headers],[Hanging Weight Closed]],Table2[#Headers],0),0)</f>
        <v>795</v>
      </c>
      <c r="R578" s="2">
        <f>VLOOKUP([jobnumber],OvalData[],MATCH(Table2[[#Headers],[Hanging Weight Open]],Table2[#Headers],0),0)</f>
        <v>140</v>
      </c>
      <c r="S578" s="2">
        <f>VLOOKUP([jobnumber],OvalData[],MATCH(Table2[[#Headers],[Initial Lever Arm]],Table2[#Headers],0),0)</f>
        <v>4.25</v>
      </c>
      <c r="T578" s="2">
        <f>VLOOKUP([jobnumber],OvalData[],MATCH(Table2[[#Headers],[Turns to Raise]],Table2[#Headers],0),0)</f>
        <v>3.5859999999999999</v>
      </c>
      <c r="U578" s="2">
        <f>VLOOKUP([jobnumber],OvalData[],MATCH(Table2[[#Headers],[Final Lever Arm]],Table2[#Headers],0),0)</f>
        <v>6.37</v>
      </c>
      <c r="V578" s="2">
        <f>VLOOKUP([jobnumber],OvalData[],MATCH(Table2[[#Headers],[Torque Required Closed]],Table2[#Headers],0),0)</f>
        <v>3377.9</v>
      </c>
      <c r="W578" s="2">
        <f>VLOOKUP([jobnumber],OvalData[],MATCH(Table2[[#Headers],[Torque Required Open]],Table2[#Headers],0),0)</f>
        <v>892</v>
      </c>
      <c r="X578" s="2">
        <f>VLOOKUP([jobnumber],OvalData[],MATCH(Table2[[#Headers],[Pre Turns]],Table2[#Headers],0),0)</f>
        <v>1.3332999999999999</v>
      </c>
      <c r="Y578" s="2">
        <f>VLOOKUP([jobnumber],OvalData[],MATCH(Table2[[#Headers],[Required Torque Per Turn]],Table2[#Headers],0),0)</f>
        <v>688</v>
      </c>
      <c r="Z578" s="2">
        <f>VLOOKUP([jobnumber],OvalData[],MATCH(Table2[[#Headers],[Total Turns]],Table2[#Headers],0),0)</f>
        <v>4.91</v>
      </c>
      <c r="AA578" s="2">
        <f>VLOOKUP([jobnumber],OvalData[],MATCH(Table2[[#Headers],[Grille Vision Section]],Table2[#Headers],0),0)</f>
        <v>0</v>
      </c>
      <c r="AB578" s="2">
        <f>VLOOKUP([jobnumber],OvalData[],MATCH(Table2[[#Headers],[Grille Amount]],Table2[#Headers],0),0)</f>
        <v>0</v>
      </c>
      <c r="AC578" s="2">
        <f>VLOOKUP([jobnumber],OvalData[],MATCH(Table2[[#Headers],[Grille Center]],Table2[#Headers],0),0)</f>
        <v>0</v>
      </c>
      <c r="AD578" s="2">
        <f>VLOOKUP([jobnumber],OvalData[],MATCH(Table2[[#Headers],[Grille Pattern]],Table2[#Headers],0),0)</f>
        <v>0</v>
      </c>
      <c r="AE578" s="2">
        <f>VLOOKUP([jobnumber],OvalData[],MATCH(Table2[[#Headers],[Grille First Tube]],Table2[#Headers],0),0)</f>
        <v>0</v>
      </c>
      <c r="AF578" s="2">
        <f>VLOOKUP([jobnumber],OvalData[],MATCH(Table2[[#Headers],[Grille Standard Tube]],Table2[#Headers],0),0)</f>
        <v>0</v>
      </c>
      <c r="AG578" s="2">
        <f>VLOOKUP([jobnumber],OvalData[],MATCH(Table2[[#Headers],[Grille Total Links]],Table2[#Headers],0),0)</f>
        <v>0</v>
      </c>
      <c r="AH578" s="2">
        <f>VLOOKUP([jobnumber],OvalData[],MATCH(Table2[[#Headers],[Grille Rods]],Table2[#Headers],0),0)</f>
        <v>0</v>
      </c>
      <c r="AI578" s="2">
        <f>VLOOKUP([jobnumber],OvalData[],MATCH(Table2[[#Headers],[Grille Rod Length]],Table2[#Headers],0),0)</f>
        <v>0</v>
      </c>
      <c r="AJ578" s="2">
        <f>VLOOKUP([jobnumber],OvalData[],MATCH(Table2[[#Headers],[slattype]],Table2[#Headers],0),0)</f>
        <v>2</v>
      </c>
      <c r="AK578" s="2">
        <f>VLOOKUP([jobnumber],OvalData[],MATCH(Table2[[#Headers],[slatgage]],Table2[#Headers],0),0)</f>
        <v>18</v>
      </c>
      <c r="AL578" s="2">
        <f>VLOOKUP([jobnumber],OvalData[],MATCH(Table2[[#Headers],[Numer of Top Slats]],Table2[#Headers],0),0)</f>
        <v>0</v>
      </c>
      <c r="AM578" s="2">
        <f>VLOOKUP([jobnumber],OvalData[],MATCH(Table2[[#Headers],[Number of Bottom Slats]],Table2[#Headers],0),0)</f>
        <v>0</v>
      </c>
      <c r="AN578" s="2">
        <f>VLOOKUP([jobnumber],OvalData[],MATCH(Table2[[#Headers],[Solid Bottom Height]],Table2[#Headers],0),0)</f>
        <v>0</v>
      </c>
      <c r="AO578" s="2" t="str">
        <f>VLOOKUP([jobnumber],OvalData[],MATCH(Table2[[#Headers],[slatlength]],Table2[#Headers],0),0)</f>
        <v xml:space="preserve"> 18 ft.- 5 7/ 8"</v>
      </c>
      <c r="AP578" s="2">
        <f>VLOOKUP([jobnumber],OvalData[],MATCH(Table2[[#Headers],[Bottom Slat Length]],Table2[#Headers],0),0)</f>
        <v>0</v>
      </c>
      <c r="AQ578" s="2">
        <f>VLOOKUP([jobnumber],OvalData[],MATCH(Table2[[#Headers],[Number of Perferated Slats]],Table2[#Headers],0),0)</f>
        <v>0</v>
      </c>
      <c r="AR578" s="2">
        <f>VLOOKUP([jobnumber],OvalData[],MATCH(Table2[[#Headers],[First Preferated Slat From End]],Table2[#Headers],0),0)</f>
        <v>0</v>
      </c>
      <c r="AS578" s="2">
        <f>VLOOKUP([jobnumber],OvalData[],MATCH(Table2[[#Headers],[First Preferated Slat From Bottom]],Table2[#Headers],0),0)</f>
        <v>0</v>
      </c>
      <c r="AT578" s="2">
        <f>VLOOKUP([jobnumber],OvalData[],MATCH(Table2[[#Headers],[Total Number of Slats]],Table2[#Headers],0),0)</f>
        <v>51</v>
      </c>
      <c r="AU578" s="2">
        <f>VLOOKUP([jobnumber],OvalData[],MATCH(Table2[[#Headers],[Bottom Bar Slope]],Table2[#Headers],0),0)</f>
        <v>0</v>
      </c>
      <c r="AV578" s="2">
        <f>VLOOKUP([jobnumber],OvalData[],MATCH(Table2[[#Headers],[Bottom Bar Weight]],Table2[#Headers],0),0)</f>
        <v>80.5</v>
      </c>
      <c r="AW578" s="2" t="str">
        <f>VLOOKUP([jobnumber],OvalData[],MATCH(Table2[[#Headers],[Outer Spring Gage]],Table2[#Headers],0),0)</f>
        <v>Null</v>
      </c>
      <c r="AX578" s="2" t="str">
        <f>VLOOKUP([jobnumber],OvalData[],MATCH(Table2[[#Headers],[Outer Spring OD]],Table2[#Headers],0),0)</f>
        <v>Null</v>
      </c>
      <c r="AY578" s="2" t="str">
        <f>VLOOKUP([jobnumber],OvalData[],MATCH(Table2[[#Headers],[Outer Spring Length]],Table2[#Headers],0),0)</f>
        <v>Null</v>
      </c>
      <c r="AZ578" s="2" t="str">
        <f>VLOOKUP([jobnumber],OvalData[],MATCH(Table2[[#Headers],[Outer Spring Stretch]],Table2[#Headers],0),0)</f>
        <v>Null</v>
      </c>
      <c r="BA578" s="2" t="str">
        <f>VLOOKUP([jobnumber],OvalData[],MATCH(Table2[[#Headers],[Outer Spring Torque]],Table2[#Headers],0),0)</f>
        <v>Null</v>
      </c>
      <c r="BB578" s="2" t="str">
        <f>VLOOKUP([jobnumber],OvalData[],MATCH(Table2[[#Headers],[Outer Spring Max Turns]],Table2[#Headers],0),0)</f>
        <v>Null</v>
      </c>
      <c r="BC578" s="2" t="str">
        <f>VLOOKUP([jobnumber],OvalData[],MATCH(Table2[[#Headers],[Outer Spring Weight]],Table2[#Headers],0),0)</f>
        <v>Null</v>
      </c>
      <c r="BD578" s="2" t="str">
        <f>VLOOKUP([jobnumber],OvalData[],MATCH(Table2[[#Headers],[Inner Spring Gage]],Table2[#Headers],0),0)</f>
        <v>Null</v>
      </c>
      <c r="BE578" s="2" t="str">
        <f>VLOOKUP([jobnumber],OvalData[],MATCH(Table2[[#Headers],[Inner Spring OD]],Table2[#Headers],0),0)</f>
        <v>Null</v>
      </c>
      <c r="BF578" s="2" t="str">
        <f>VLOOKUP([jobnumber],OvalData[],MATCH(Table2[[#Headers],[Inner Spring Length]],Table2[#Headers],0),0)</f>
        <v>Null</v>
      </c>
      <c r="BG578" s="2" t="str">
        <f>VLOOKUP([jobnumber],OvalData[],MATCH(Table2[[#Headers],[Inner Spring Stretch]],Table2[#Headers],0),0)</f>
        <v>Null</v>
      </c>
      <c r="BH578" s="2" t="str">
        <f>VLOOKUP([jobnumber],OvalData[],MATCH(Table2[[#Headers],[Inner Spring Torque]],Table2[#Headers],0),0)</f>
        <v>Null</v>
      </c>
      <c r="BI578" s="2" t="str">
        <f>VLOOKUP([jobnumber],OvalData[],MATCH(Table2[[#Headers],[Inner Spring Max Turns]],Table2[#Headers],0),0)</f>
        <v>Null</v>
      </c>
      <c r="BJ578" s="2" t="str">
        <f>VLOOKUP([jobnumber],OvalData[],MATCH(Table2[[#Headers],[Inner Spring Weight]],Table2[#Headers],0),0)</f>
        <v>Null</v>
      </c>
      <c r="BK578" s="2">
        <f>VLOOKUP([jobnumber],OvalData[],MATCH(Table2[[#Headers],[Cycles]],Table2[#Headers],0),0)</f>
        <v>0</v>
      </c>
      <c r="BL578" s="2">
        <f>VLOOKUP([jobnumber],OvalData[],MATCH(Table2[[#Headers],[Total Spring Torque]],Table2[#Headers],0),0)</f>
        <v>0</v>
      </c>
      <c r="BM578" s="2">
        <f>VLOOKUP([jobnumber],OvalData[],MATCH(Table2[[#Headers],[Total Spring Weight]],Table2[#Headers],0),0)</f>
        <v>0</v>
      </c>
      <c r="BN578" s="2">
        <f>VLOOKUP([jobnumber],OvalData[],MATCH(Table2[[#Headers],[Pipe Weight]],Table2[#Headers],0),0)</f>
        <v>688.24239999999998</v>
      </c>
      <c r="BO578" s="2">
        <f>VLOOKUP([jobnumber],OvalData[],MATCH(Table2[[#Headers],[Max Pipe Deflection]],Table2[#Headers],0),0)</f>
        <v>2309</v>
      </c>
      <c r="BP578" s="2">
        <f>VLOOKUP([jobnumber],OvalData[],MATCH(Table2[[#Headers],[Number Non-Insulated Wrap Slats]],Table2[#Headers],0),0)</f>
        <v>0</v>
      </c>
      <c r="BQ578" s="2">
        <f>VLOOKUP([jobnumber],OvalData[],MATCH(Table2[[#Headers],[Number of Insolated Top Slats]],Table2[#Headers],0),0)</f>
        <v>45</v>
      </c>
      <c r="BR578" s="2">
        <f>VLOOKUP([jobnumber],OvalData[],MATCH(Table2[[#Headers],[Insolated Total Slats]],Table2[#Headers],0),0)</f>
        <v>45</v>
      </c>
      <c r="BS578" s="2">
        <f>VLOOKUP([jobnumber],OvalData[],MATCH(Table2[[#Headers],[Number of Slats]],Table2[#Headers],0),0)</f>
        <v>44.69</v>
      </c>
      <c r="BT578" s="2">
        <f>VLOOKUP([jobnumber],OvalData[],MATCH(Table2[[#Headers],[Wrap]],Table2[#Headers],0),0)</f>
        <v>0</v>
      </c>
      <c r="BU578" s="2">
        <f>VLOOKUP([jobnumber],OvalData[],MATCH(Table2[[#Headers],[Wall Angle Thickness]],Table2[#Headers],0),0)</f>
        <v>0</v>
      </c>
      <c r="BV578" s="2">
        <f>VLOOKUP([jobnumber],OvalData[],MATCH(Table2[[#Headers],[windlocks]],Table2[#Headers],0),0)</f>
        <v>0</v>
      </c>
      <c r="BW578" s="2" t="str">
        <f>VLOOKUP([jobnumber],OvalData[],MATCH(Table2[[#Headers],[bottombartype]],Table2[#Headers],0),0)</f>
        <v>SPECIAL</v>
      </c>
      <c r="BX578" s="2">
        <f>VLOOKUP([jobnumber],OvalData[],MATCH(Table2[[#Headers],[endlockweight]],Table2[#Headers],0),0)</f>
        <v>0.17</v>
      </c>
      <c r="BY578" s="2">
        <f>VLOOKUP([jobnumber],OvalData[],MATCH(Table2[[#Headers],[Endlock Total Weight]],Table2[#Headers],0),0)</f>
        <v>7.5972999999999997</v>
      </c>
      <c r="BZ578" s="2">
        <f>VLOOKUP([jobnumber],OvalData[],MATCH(Table2[[#Headers],[Grille Weight]],Table2[#Headers],0),0)</f>
        <v>0</v>
      </c>
      <c r="CA578" s="2">
        <f>VLOOKUP([jobnumber],OvalData[],MATCH(Table2[[#Headers],[barrelrings]],Table2[#Headers],0),0)</f>
        <v>1</v>
      </c>
    </row>
    <row r="579" spans="2:79">
      <c r="B579" s="2" t="str">
        <f>VLOOKUP([jobnumber],OvalData[],MATCH(Table2[[#Headers],[Hand]],Table2[#Headers],0),0)</f>
        <v>RH</v>
      </c>
      <c r="C579" s="2" t="str">
        <f>VLOOKUP([jobnumber],OvalData[],MATCH(Table2[[#Headers],[Model]],Table2[#Headers],0),0)</f>
        <v>SFMPP</v>
      </c>
      <c r="D579" s="2" t="str">
        <f>VLOOKUP([jobnumber],OvalData[],MATCH(Table2[[#Headers],[width]],Table2[#Headers],0),0)</f>
        <v xml:space="preserve"> 18 ft.- 2"</v>
      </c>
      <c r="E579" s="2" t="str">
        <f>VLOOKUP([jobnumber],OvalData[],MATCH(Table2[[#Headers],[stopheight]],Table2[#Headers],0),0)</f>
        <v xml:space="preserve"> 10 ft.- 0"</v>
      </c>
      <c r="F579" s="2" t="str">
        <f>VLOOKUP([jobnumber],OvalData[],MATCH(Table2[[#Headers],[Between Brackets]],Table2[#Headers],0),0)</f>
        <v xml:space="preserve"> 18 ft.- 7 7/ 8"</v>
      </c>
      <c r="G579" s="2" t="str">
        <f>VLOOKUP([jobnumber],OvalData[],MATCH(Table2[[#Headers],[shell]],Table2[#Headers],0),0)</f>
        <v>6 INCH TUBE</v>
      </c>
      <c r="H579" s="2" t="str">
        <f>VLOOKUP([jobnumber],OvalData[],MATCH(Table2[[#Headers],[pipewidth]],Table2[#Headers],0),0)</f>
        <v xml:space="preserve"> 18 ft.- 1 3/ 8"</v>
      </c>
      <c r="I579" s="2">
        <f>VLOOKUP([jobnumber],OvalData[],MATCH(Table2[[#Headers],[Support Tubes]],Table2[#Headers],0),0)</f>
        <v>0</v>
      </c>
      <c r="J579" s="2">
        <f>VLOOKUP([jobnumber],OvalData[],MATCH(Table2[[#Headers],[Upset]],Table2[#Headers],0),0)</f>
        <v>2</v>
      </c>
      <c r="K579" s="2" t="str">
        <f>VLOOKUP([jobnumber],OvalData[],MATCH(Table2[[#Headers],[Guide Type]],Table2[#Headers],0),0)</f>
        <v>SN2-4 5/8-E</v>
      </c>
      <c r="L579" s="2" t="str">
        <f>VLOOKUP([jobnumber],OvalData[],MATCH(Table2[[#Headers],[Wall Angle]],Table2[#Headers],0),0)</f>
        <v xml:space="preserve"> 11 ft.- 8"</v>
      </c>
      <c r="M579" s="2" t="str">
        <f>VLOOKUP([jobnumber],OvalData[],MATCH(Table2[[#Headers],[Middle Angle]],Table2[#Headers],0),0)</f>
        <v xml:space="preserve"> 10 ft.- 4 1/ 2"</v>
      </c>
      <c r="N579" s="2" t="str">
        <f>VLOOKUP([jobnumber],OvalData[],MATCH(Table2[[#Headers],[Front Angle]],Table2[#Headers],0),0)</f>
        <v xml:space="preserve"> 10 ft.- 3"</v>
      </c>
      <c r="O579" s="2">
        <f>VLOOKUP([jobnumber],OvalData[],MATCH(Table2[[#Headers],[Pipe Center Line]],Table2[#Headers],0),0)</f>
        <v>131</v>
      </c>
      <c r="P579" s="2">
        <f>VLOOKUP([jobnumber],OvalData[],MATCH(Table2[[#Headers],[Heat Expansion Gap]],Table2[#Headers],0),0)</f>
        <v>0</v>
      </c>
      <c r="Q579" s="2">
        <f>VLOOKUP([jobnumber],OvalData[],MATCH(Table2[[#Headers],[Hanging Weight Closed]],Table2[#Headers],0),0)</f>
        <v>795</v>
      </c>
      <c r="R579" s="2">
        <f>VLOOKUP([jobnumber],OvalData[],MATCH(Table2[[#Headers],[Hanging Weight Open]],Table2[#Headers],0),0)</f>
        <v>140</v>
      </c>
      <c r="S579" s="2">
        <f>VLOOKUP([jobnumber],OvalData[],MATCH(Table2[[#Headers],[Initial Lever Arm]],Table2[#Headers],0),0)</f>
        <v>4.25</v>
      </c>
      <c r="T579" s="2">
        <f>VLOOKUP([jobnumber],OvalData[],MATCH(Table2[[#Headers],[Turns to Raise]],Table2[#Headers],0),0)</f>
        <v>3.5859999999999999</v>
      </c>
      <c r="U579" s="2">
        <f>VLOOKUP([jobnumber],OvalData[],MATCH(Table2[[#Headers],[Final Lever Arm]],Table2[#Headers],0),0)</f>
        <v>6.37</v>
      </c>
      <c r="V579" s="2">
        <f>VLOOKUP([jobnumber],OvalData[],MATCH(Table2[[#Headers],[Torque Required Closed]],Table2[#Headers],0),0)</f>
        <v>3377.9</v>
      </c>
      <c r="W579" s="2">
        <f>VLOOKUP([jobnumber],OvalData[],MATCH(Table2[[#Headers],[Torque Required Open]],Table2[#Headers],0),0)</f>
        <v>892</v>
      </c>
      <c r="X579" s="2">
        <f>VLOOKUP([jobnumber],OvalData[],MATCH(Table2[[#Headers],[Pre Turns]],Table2[#Headers],0),0)</f>
        <v>1.3332999999999999</v>
      </c>
      <c r="Y579" s="2">
        <f>VLOOKUP([jobnumber],OvalData[],MATCH(Table2[[#Headers],[Required Torque Per Turn]],Table2[#Headers],0),0)</f>
        <v>688</v>
      </c>
      <c r="Z579" s="2">
        <f>VLOOKUP([jobnumber],OvalData[],MATCH(Table2[[#Headers],[Total Turns]],Table2[#Headers],0),0)</f>
        <v>4.91</v>
      </c>
      <c r="AA579" s="2">
        <f>VLOOKUP([jobnumber],OvalData[],MATCH(Table2[[#Headers],[Grille Vision Section]],Table2[#Headers],0),0)</f>
        <v>0</v>
      </c>
      <c r="AB579" s="2">
        <f>VLOOKUP([jobnumber],OvalData[],MATCH(Table2[[#Headers],[Grille Amount]],Table2[#Headers],0),0)</f>
        <v>0</v>
      </c>
      <c r="AC579" s="2">
        <f>VLOOKUP([jobnumber],OvalData[],MATCH(Table2[[#Headers],[Grille Center]],Table2[#Headers],0),0)</f>
        <v>0</v>
      </c>
      <c r="AD579" s="2">
        <f>VLOOKUP([jobnumber],OvalData[],MATCH(Table2[[#Headers],[Grille Pattern]],Table2[#Headers],0),0)</f>
        <v>0</v>
      </c>
      <c r="AE579" s="2">
        <f>VLOOKUP([jobnumber],OvalData[],MATCH(Table2[[#Headers],[Grille First Tube]],Table2[#Headers],0),0)</f>
        <v>0</v>
      </c>
      <c r="AF579" s="2">
        <f>VLOOKUP([jobnumber],OvalData[],MATCH(Table2[[#Headers],[Grille Standard Tube]],Table2[#Headers],0),0)</f>
        <v>0</v>
      </c>
      <c r="AG579" s="2">
        <f>VLOOKUP([jobnumber],OvalData[],MATCH(Table2[[#Headers],[Grille Total Links]],Table2[#Headers],0),0)</f>
        <v>0</v>
      </c>
      <c r="AH579" s="2">
        <f>VLOOKUP([jobnumber],OvalData[],MATCH(Table2[[#Headers],[Grille Rods]],Table2[#Headers],0),0)</f>
        <v>0</v>
      </c>
      <c r="AI579" s="2">
        <f>VLOOKUP([jobnumber],OvalData[],MATCH(Table2[[#Headers],[Grille Rod Length]],Table2[#Headers],0),0)</f>
        <v>0</v>
      </c>
      <c r="AJ579" s="2">
        <f>VLOOKUP([jobnumber],OvalData[],MATCH(Table2[[#Headers],[slattype]],Table2[#Headers],0),0)</f>
        <v>2</v>
      </c>
      <c r="AK579" s="2">
        <f>VLOOKUP([jobnumber],OvalData[],MATCH(Table2[[#Headers],[slatgage]],Table2[#Headers],0),0)</f>
        <v>18</v>
      </c>
      <c r="AL579" s="2">
        <f>VLOOKUP([jobnumber],OvalData[],MATCH(Table2[[#Headers],[Numer of Top Slats]],Table2[#Headers],0),0)</f>
        <v>0</v>
      </c>
      <c r="AM579" s="2">
        <f>VLOOKUP([jobnumber],OvalData[],MATCH(Table2[[#Headers],[Number of Bottom Slats]],Table2[#Headers],0),0)</f>
        <v>0</v>
      </c>
      <c r="AN579" s="2">
        <f>VLOOKUP([jobnumber],OvalData[],MATCH(Table2[[#Headers],[Solid Bottom Height]],Table2[#Headers],0),0)</f>
        <v>0</v>
      </c>
      <c r="AO579" s="2" t="str">
        <f>VLOOKUP([jobnumber],OvalData[],MATCH(Table2[[#Headers],[slatlength]],Table2[#Headers],0),0)</f>
        <v xml:space="preserve"> 18 ft.- 5 7/ 8"</v>
      </c>
      <c r="AP579" s="2">
        <f>VLOOKUP([jobnumber],OvalData[],MATCH(Table2[[#Headers],[Bottom Slat Length]],Table2[#Headers],0),0)</f>
        <v>0</v>
      </c>
      <c r="AQ579" s="2">
        <f>VLOOKUP([jobnumber],OvalData[],MATCH(Table2[[#Headers],[Number of Perferated Slats]],Table2[#Headers],0),0)</f>
        <v>0</v>
      </c>
      <c r="AR579" s="2">
        <f>VLOOKUP([jobnumber],OvalData[],MATCH(Table2[[#Headers],[First Preferated Slat From End]],Table2[#Headers],0),0)</f>
        <v>0</v>
      </c>
      <c r="AS579" s="2">
        <f>VLOOKUP([jobnumber],OvalData[],MATCH(Table2[[#Headers],[First Preferated Slat From Bottom]],Table2[#Headers],0),0)</f>
        <v>0</v>
      </c>
      <c r="AT579" s="2">
        <f>VLOOKUP([jobnumber],OvalData[],MATCH(Table2[[#Headers],[Total Number of Slats]],Table2[#Headers],0),0)</f>
        <v>51</v>
      </c>
      <c r="AU579" s="2">
        <f>VLOOKUP([jobnumber],OvalData[],MATCH(Table2[[#Headers],[Bottom Bar Slope]],Table2[#Headers],0),0)</f>
        <v>0</v>
      </c>
      <c r="AV579" s="2">
        <f>VLOOKUP([jobnumber],OvalData[],MATCH(Table2[[#Headers],[Bottom Bar Weight]],Table2[#Headers],0),0)</f>
        <v>80.5</v>
      </c>
      <c r="AW579" s="2" t="str">
        <f>VLOOKUP([jobnumber],OvalData[],MATCH(Table2[[#Headers],[Outer Spring Gage]],Table2[#Headers],0),0)</f>
        <v>Null</v>
      </c>
      <c r="AX579" s="2" t="str">
        <f>VLOOKUP([jobnumber],OvalData[],MATCH(Table2[[#Headers],[Outer Spring OD]],Table2[#Headers],0),0)</f>
        <v>Null</v>
      </c>
      <c r="AY579" s="2" t="str">
        <f>VLOOKUP([jobnumber],OvalData[],MATCH(Table2[[#Headers],[Outer Spring Length]],Table2[#Headers],0),0)</f>
        <v>Null</v>
      </c>
      <c r="AZ579" s="2" t="str">
        <f>VLOOKUP([jobnumber],OvalData[],MATCH(Table2[[#Headers],[Outer Spring Stretch]],Table2[#Headers],0),0)</f>
        <v>Null</v>
      </c>
      <c r="BA579" s="2" t="str">
        <f>VLOOKUP([jobnumber],OvalData[],MATCH(Table2[[#Headers],[Outer Spring Torque]],Table2[#Headers],0),0)</f>
        <v>Null</v>
      </c>
      <c r="BB579" s="2" t="str">
        <f>VLOOKUP([jobnumber],OvalData[],MATCH(Table2[[#Headers],[Outer Spring Max Turns]],Table2[#Headers],0),0)</f>
        <v>Null</v>
      </c>
      <c r="BC579" s="2" t="str">
        <f>VLOOKUP([jobnumber],OvalData[],MATCH(Table2[[#Headers],[Outer Spring Weight]],Table2[#Headers],0),0)</f>
        <v>Null</v>
      </c>
      <c r="BD579" s="2" t="str">
        <f>VLOOKUP([jobnumber],OvalData[],MATCH(Table2[[#Headers],[Inner Spring Gage]],Table2[#Headers],0),0)</f>
        <v>Null</v>
      </c>
      <c r="BE579" s="2" t="str">
        <f>VLOOKUP([jobnumber],OvalData[],MATCH(Table2[[#Headers],[Inner Spring OD]],Table2[#Headers],0),0)</f>
        <v>Null</v>
      </c>
      <c r="BF579" s="2" t="str">
        <f>VLOOKUP([jobnumber],OvalData[],MATCH(Table2[[#Headers],[Inner Spring Length]],Table2[#Headers],0),0)</f>
        <v>Null</v>
      </c>
      <c r="BG579" s="2" t="str">
        <f>VLOOKUP([jobnumber],OvalData[],MATCH(Table2[[#Headers],[Inner Spring Stretch]],Table2[#Headers],0),0)</f>
        <v>Null</v>
      </c>
      <c r="BH579" s="2" t="str">
        <f>VLOOKUP([jobnumber],OvalData[],MATCH(Table2[[#Headers],[Inner Spring Torque]],Table2[#Headers],0),0)</f>
        <v>Null</v>
      </c>
      <c r="BI579" s="2" t="str">
        <f>VLOOKUP([jobnumber],OvalData[],MATCH(Table2[[#Headers],[Inner Spring Max Turns]],Table2[#Headers],0),0)</f>
        <v>Null</v>
      </c>
      <c r="BJ579" s="2" t="str">
        <f>VLOOKUP([jobnumber],OvalData[],MATCH(Table2[[#Headers],[Inner Spring Weight]],Table2[#Headers],0),0)</f>
        <v>Null</v>
      </c>
      <c r="BK579" s="2">
        <f>VLOOKUP([jobnumber],OvalData[],MATCH(Table2[[#Headers],[Cycles]],Table2[#Headers],0),0)</f>
        <v>0</v>
      </c>
      <c r="BL579" s="2">
        <f>VLOOKUP([jobnumber],OvalData[],MATCH(Table2[[#Headers],[Total Spring Torque]],Table2[#Headers],0),0)</f>
        <v>0</v>
      </c>
      <c r="BM579" s="2">
        <f>VLOOKUP([jobnumber],OvalData[],MATCH(Table2[[#Headers],[Total Spring Weight]],Table2[#Headers],0),0)</f>
        <v>0</v>
      </c>
      <c r="BN579" s="2">
        <f>VLOOKUP([jobnumber],OvalData[],MATCH(Table2[[#Headers],[Pipe Weight]],Table2[#Headers],0),0)</f>
        <v>688.24239999999998</v>
      </c>
      <c r="BO579" s="2">
        <f>VLOOKUP([jobnumber],OvalData[],MATCH(Table2[[#Headers],[Max Pipe Deflection]],Table2[#Headers],0),0)</f>
        <v>2309</v>
      </c>
      <c r="BP579" s="2">
        <f>VLOOKUP([jobnumber],OvalData[],MATCH(Table2[[#Headers],[Number Non-Insulated Wrap Slats]],Table2[#Headers],0),0)</f>
        <v>0</v>
      </c>
      <c r="BQ579" s="2">
        <f>VLOOKUP([jobnumber],OvalData[],MATCH(Table2[[#Headers],[Number of Insolated Top Slats]],Table2[#Headers],0),0)</f>
        <v>45</v>
      </c>
      <c r="BR579" s="2">
        <f>VLOOKUP([jobnumber],OvalData[],MATCH(Table2[[#Headers],[Insolated Total Slats]],Table2[#Headers],0),0)</f>
        <v>45</v>
      </c>
      <c r="BS579" s="2">
        <f>VLOOKUP([jobnumber],OvalData[],MATCH(Table2[[#Headers],[Number of Slats]],Table2[#Headers],0),0)</f>
        <v>44.69</v>
      </c>
      <c r="BT579" s="2">
        <f>VLOOKUP([jobnumber],OvalData[],MATCH(Table2[[#Headers],[Wrap]],Table2[#Headers],0),0)</f>
        <v>0</v>
      </c>
      <c r="BU579" s="2">
        <f>VLOOKUP([jobnumber],OvalData[],MATCH(Table2[[#Headers],[Wall Angle Thickness]],Table2[#Headers],0),0)</f>
        <v>0</v>
      </c>
      <c r="BV579" s="2">
        <f>VLOOKUP([jobnumber],OvalData[],MATCH(Table2[[#Headers],[windlocks]],Table2[#Headers],0),0)</f>
        <v>0</v>
      </c>
      <c r="BW579" s="2" t="str">
        <f>VLOOKUP([jobnumber],OvalData[],MATCH(Table2[[#Headers],[bottombartype]],Table2[#Headers],0),0)</f>
        <v>SPECIAL</v>
      </c>
      <c r="BX579" s="2">
        <f>VLOOKUP([jobnumber],OvalData[],MATCH(Table2[[#Headers],[endlockweight]],Table2[#Headers],0),0)</f>
        <v>0.17</v>
      </c>
      <c r="BY579" s="2">
        <f>VLOOKUP([jobnumber],OvalData[],MATCH(Table2[[#Headers],[Endlock Total Weight]],Table2[#Headers],0),0)</f>
        <v>7.5972999999999997</v>
      </c>
      <c r="BZ579" s="2">
        <f>VLOOKUP([jobnumber],OvalData[],MATCH(Table2[[#Headers],[Grille Weight]],Table2[#Headers],0),0)</f>
        <v>0</v>
      </c>
      <c r="CA579" s="2">
        <f>VLOOKUP([jobnumber],OvalData[],MATCH(Table2[[#Headers],[barrelrings]],Table2[#Headers],0),0)</f>
        <v>1</v>
      </c>
    </row>
    <row r="580" spans="2:79">
      <c r="B580" s="2" t="str">
        <f>VLOOKUP([jobnumber],OvalData[],MATCH(Table2[[#Headers],[Hand]],Table2[#Headers],0),0)</f>
        <v>RH</v>
      </c>
      <c r="C580" s="2" t="str">
        <f>VLOOKUP([jobnumber],OvalData[],MATCH(Table2[[#Headers],[Model]],Table2[#Headers],0),0)</f>
        <v>SFMPP</v>
      </c>
      <c r="D580" s="2" t="str">
        <f>VLOOKUP([jobnumber],OvalData[],MATCH(Table2[[#Headers],[width]],Table2[#Headers],0),0)</f>
        <v xml:space="preserve"> 18 ft.- 2"</v>
      </c>
      <c r="E580" s="2" t="str">
        <f>VLOOKUP([jobnumber],OvalData[],MATCH(Table2[[#Headers],[stopheight]],Table2[#Headers],0),0)</f>
        <v xml:space="preserve"> 10 ft.- 0"</v>
      </c>
      <c r="F580" s="2" t="str">
        <f>VLOOKUP([jobnumber],OvalData[],MATCH(Table2[[#Headers],[Between Brackets]],Table2[#Headers],0),0)</f>
        <v xml:space="preserve"> 18 ft.- 7 7/ 8"</v>
      </c>
      <c r="G580" s="2" t="str">
        <f>VLOOKUP([jobnumber],OvalData[],MATCH(Table2[[#Headers],[shell]],Table2[#Headers],0),0)</f>
        <v>6 INCH TUBE</v>
      </c>
      <c r="H580" s="2" t="str">
        <f>VLOOKUP([jobnumber],OvalData[],MATCH(Table2[[#Headers],[pipewidth]],Table2[#Headers],0),0)</f>
        <v xml:space="preserve"> 18 ft.- 1 3/ 8"</v>
      </c>
      <c r="I580" s="2">
        <f>VLOOKUP([jobnumber],OvalData[],MATCH(Table2[[#Headers],[Support Tubes]],Table2[#Headers],0),0)</f>
        <v>0</v>
      </c>
      <c r="J580" s="2">
        <f>VLOOKUP([jobnumber],OvalData[],MATCH(Table2[[#Headers],[Upset]],Table2[#Headers],0),0)</f>
        <v>2</v>
      </c>
      <c r="K580" s="2" t="str">
        <f>VLOOKUP([jobnumber],OvalData[],MATCH(Table2[[#Headers],[Guide Type]],Table2[#Headers],0),0)</f>
        <v>SN2-4 5/8-E</v>
      </c>
      <c r="L580" s="2" t="str">
        <f>VLOOKUP([jobnumber],OvalData[],MATCH(Table2[[#Headers],[Wall Angle]],Table2[#Headers],0),0)</f>
        <v xml:space="preserve"> 11 ft.- 8"</v>
      </c>
      <c r="M580" s="2" t="str">
        <f>VLOOKUP([jobnumber],OvalData[],MATCH(Table2[[#Headers],[Middle Angle]],Table2[#Headers],0),0)</f>
        <v xml:space="preserve"> 10 ft.- 4 1/ 2"</v>
      </c>
      <c r="N580" s="2" t="str">
        <f>VLOOKUP([jobnumber],OvalData[],MATCH(Table2[[#Headers],[Front Angle]],Table2[#Headers],0),0)</f>
        <v xml:space="preserve"> 10 ft.- 3"</v>
      </c>
      <c r="O580" s="2">
        <f>VLOOKUP([jobnumber],OvalData[],MATCH(Table2[[#Headers],[Pipe Center Line]],Table2[#Headers],0),0)</f>
        <v>131</v>
      </c>
      <c r="P580" s="2">
        <f>VLOOKUP([jobnumber],OvalData[],MATCH(Table2[[#Headers],[Heat Expansion Gap]],Table2[#Headers],0),0)</f>
        <v>0</v>
      </c>
      <c r="Q580" s="2">
        <f>VLOOKUP([jobnumber],OvalData[],MATCH(Table2[[#Headers],[Hanging Weight Closed]],Table2[#Headers],0),0)</f>
        <v>795</v>
      </c>
      <c r="R580" s="2">
        <f>VLOOKUP([jobnumber],OvalData[],MATCH(Table2[[#Headers],[Hanging Weight Open]],Table2[#Headers],0),0)</f>
        <v>140</v>
      </c>
      <c r="S580" s="2">
        <f>VLOOKUP([jobnumber],OvalData[],MATCH(Table2[[#Headers],[Initial Lever Arm]],Table2[#Headers],0),0)</f>
        <v>4.25</v>
      </c>
      <c r="T580" s="2">
        <f>VLOOKUP([jobnumber],OvalData[],MATCH(Table2[[#Headers],[Turns to Raise]],Table2[#Headers],0),0)</f>
        <v>3.5859999999999999</v>
      </c>
      <c r="U580" s="2">
        <f>VLOOKUP([jobnumber],OvalData[],MATCH(Table2[[#Headers],[Final Lever Arm]],Table2[#Headers],0),0)</f>
        <v>6.37</v>
      </c>
      <c r="V580" s="2">
        <f>VLOOKUP([jobnumber],OvalData[],MATCH(Table2[[#Headers],[Torque Required Closed]],Table2[#Headers],0),0)</f>
        <v>3377.9</v>
      </c>
      <c r="W580" s="2">
        <f>VLOOKUP([jobnumber],OvalData[],MATCH(Table2[[#Headers],[Torque Required Open]],Table2[#Headers],0),0)</f>
        <v>892</v>
      </c>
      <c r="X580" s="2">
        <f>VLOOKUP([jobnumber],OvalData[],MATCH(Table2[[#Headers],[Pre Turns]],Table2[#Headers],0),0)</f>
        <v>1.3332999999999999</v>
      </c>
      <c r="Y580" s="2">
        <f>VLOOKUP([jobnumber],OvalData[],MATCH(Table2[[#Headers],[Required Torque Per Turn]],Table2[#Headers],0),0)</f>
        <v>688</v>
      </c>
      <c r="Z580" s="2">
        <f>VLOOKUP([jobnumber],OvalData[],MATCH(Table2[[#Headers],[Total Turns]],Table2[#Headers],0),0)</f>
        <v>4.91</v>
      </c>
      <c r="AA580" s="2">
        <f>VLOOKUP([jobnumber],OvalData[],MATCH(Table2[[#Headers],[Grille Vision Section]],Table2[#Headers],0),0)</f>
        <v>0</v>
      </c>
      <c r="AB580" s="2">
        <f>VLOOKUP([jobnumber],OvalData[],MATCH(Table2[[#Headers],[Grille Amount]],Table2[#Headers],0),0)</f>
        <v>0</v>
      </c>
      <c r="AC580" s="2">
        <f>VLOOKUP([jobnumber],OvalData[],MATCH(Table2[[#Headers],[Grille Center]],Table2[#Headers],0),0)</f>
        <v>0</v>
      </c>
      <c r="AD580" s="2">
        <f>VLOOKUP([jobnumber],OvalData[],MATCH(Table2[[#Headers],[Grille Pattern]],Table2[#Headers],0),0)</f>
        <v>0</v>
      </c>
      <c r="AE580" s="2">
        <f>VLOOKUP([jobnumber],OvalData[],MATCH(Table2[[#Headers],[Grille First Tube]],Table2[#Headers],0),0)</f>
        <v>0</v>
      </c>
      <c r="AF580" s="2">
        <f>VLOOKUP([jobnumber],OvalData[],MATCH(Table2[[#Headers],[Grille Standard Tube]],Table2[#Headers],0),0)</f>
        <v>0</v>
      </c>
      <c r="AG580" s="2">
        <f>VLOOKUP([jobnumber],OvalData[],MATCH(Table2[[#Headers],[Grille Total Links]],Table2[#Headers],0),0)</f>
        <v>0</v>
      </c>
      <c r="AH580" s="2">
        <f>VLOOKUP([jobnumber],OvalData[],MATCH(Table2[[#Headers],[Grille Rods]],Table2[#Headers],0),0)</f>
        <v>0</v>
      </c>
      <c r="AI580" s="2">
        <f>VLOOKUP([jobnumber],OvalData[],MATCH(Table2[[#Headers],[Grille Rod Length]],Table2[#Headers],0),0)</f>
        <v>0</v>
      </c>
      <c r="AJ580" s="2">
        <f>VLOOKUP([jobnumber],OvalData[],MATCH(Table2[[#Headers],[slattype]],Table2[#Headers],0),0)</f>
        <v>2</v>
      </c>
      <c r="AK580" s="2">
        <f>VLOOKUP([jobnumber],OvalData[],MATCH(Table2[[#Headers],[slatgage]],Table2[#Headers],0),0)</f>
        <v>18</v>
      </c>
      <c r="AL580" s="2">
        <f>VLOOKUP([jobnumber],OvalData[],MATCH(Table2[[#Headers],[Numer of Top Slats]],Table2[#Headers],0),0)</f>
        <v>0</v>
      </c>
      <c r="AM580" s="2">
        <f>VLOOKUP([jobnumber],OvalData[],MATCH(Table2[[#Headers],[Number of Bottom Slats]],Table2[#Headers],0),0)</f>
        <v>0</v>
      </c>
      <c r="AN580" s="2">
        <f>VLOOKUP([jobnumber],OvalData[],MATCH(Table2[[#Headers],[Solid Bottom Height]],Table2[#Headers],0),0)</f>
        <v>0</v>
      </c>
      <c r="AO580" s="2" t="str">
        <f>VLOOKUP([jobnumber],OvalData[],MATCH(Table2[[#Headers],[slatlength]],Table2[#Headers],0),0)</f>
        <v xml:space="preserve"> 18 ft.- 5 7/ 8"</v>
      </c>
      <c r="AP580" s="2">
        <f>VLOOKUP([jobnumber],OvalData[],MATCH(Table2[[#Headers],[Bottom Slat Length]],Table2[#Headers],0),0)</f>
        <v>0</v>
      </c>
      <c r="AQ580" s="2">
        <f>VLOOKUP([jobnumber],OvalData[],MATCH(Table2[[#Headers],[Number of Perferated Slats]],Table2[#Headers],0),0)</f>
        <v>0</v>
      </c>
      <c r="AR580" s="2">
        <f>VLOOKUP([jobnumber],OvalData[],MATCH(Table2[[#Headers],[First Preferated Slat From End]],Table2[#Headers],0),0)</f>
        <v>0</v>
      </c>
      <c r="AS580" s="2">
        <f>VLOOKUP([jobnumber],OvalData[],MATCH(Table2[[#Headers],[First Preferated Slat From Bottom]],Table2[#Headers],0),0)</f>
        <v>0</v>
      </c>
      <c r="AT580" s="2">
        <f>VLOOKUP([jobnumber],OvalData[],MATCH(Table2[[#Headers],[Total Number of Slats]],Table2[#Headers],0),0)</f>
        <v>51</v>
      </c>
      <c r="AU580" s="2">
        <f>VLOOKUP([jobnumber],OvalData[],MATCH(Table2[[#Headers],[Bottom Bar Slope]],Table2[#Headers],0),0)</f>
        <v>0</v>
      </c>
      <c r="AV580" s="2">
        <f>VLOOKUP([jobnumber],OvalData[],MATCH(Table2[[#Headers],[Bottom Bar Weight]],Table2[#Headers],0),0)</f>
        <v>80.5</v>
      </c>
      <c r="AW580" s="2" t="str">
        <f>VLOOKUP([jobnumber],OvalData[],MATCH(Table2[[#Headers],[Outer Spring Gage]],Table2[#Headers],0),0)</f>
        <v>Null</v>
      </c>
      <c r="AX580" s="2" t="str">
        <f>VLOOKUP([jobnumber],OvalData[],MATCH(Table2[[#Headers],[Outer Spring OD]],Table2[#Headers],0),0)</f>
        <v>Null</v>
      </c>
      <c r="AY580" s="2" t="str">
        <f>VLOOKUP([jobnumber],OvalData[],MATCH(Table2[[#Headers],[Outer Spring Length]],Table2[#Headers],0),0)</f>
        <v>Null</v>
      </c>
      <c r="AZ580" s="2" t="str">
        <f>VLOOKUP([jobnumber],OvalData[],MATCH(Table2[[#Headers],[Outer Spring Stretch]],Table2[#Headers],0),0)</f>
        <v>Null</v>
      </c>
      <c r="BA580" s="2" t="str">
        <f>VLOOKUP([jobnumber],OvalData[],MATCH(Table2[[#Headers],[Outer Spring Torque]],Table2[#Headers],0),0)</f>
        <v>Null</v>
      </c>
      <c r="BB580" s="2" t="str">
        <f>VLOOKUP([jobnumber],OvalData[],MATCH(Table2[[#Headers],[Outer Spring Max Turns]],Table2[#Headers],0),0)</f>
        <v>Null</v>
      </c>
      <c r="BC580" s="2" t="str">
        <f>VLOOKUP([jobnumber],OvalData[],MATCH(Table2[[#Headers],[Outer Spring Weight]],Table2[#Headers],0),0)</f>
        <v>Null</v>
      </c>
      <c r="BD580" s="2" t="str">
        <f>VLOOKUP([jobnumber],OvalData[],MATCH(Table2[[#Headers],[Inner Spring Gage]],Table2[#Headers],0),0)</f>
        <v>Null</v>
      </c>
      <c r="BE580" s="2" t="str">
        <f>VLOOKUP([jobnumber],OvalData[],MATCH(Table2[[#Headers],[Inner Spring OD]],Table2[#Headers],0),0)</f>
        <v>Null</v>
      </c>
      <c r="BF580" s="2" t="str">
        <f>VLOOKUP([jobnumber],OvalData[],MATCH(Table2[[#Headers],[Inner Spring Length]],Table2[#Headers],0),0)</f>
        <v>Null</v>
      </c>
      <c r="BG580" s="2" t="str">
        <f>VLOOKUP([jobnumber],OvalData[],MATCH(Table2[[#Headers],[Inner Spring Stretch]],Table2[#Headers],0),0)</f>
        <v>Null</v>
      </c>
      <c r="BH580" s="2" t="str">
        <f>VLOOKUP([jobnumber],OvalData[],MATCH(Table2[[#Headers],[Inner Spring Torque]],Table2[#Headers],0),0)</f>
        <v>Null</v>
      </c>
      <c r="BI580" s="2" t="str">
        <f>VLOOKUP([jobnumber],OvalData[],MATCH(Table2[[#Headers],[Inner Spring Max Turns]],Table2[#Headers],0),0)</f>
        <v>Null</v>
      </c>
      <c r="BJ580" s="2" t="str">
        <f>VLOOKUP([jobnumber],OvalData[],MATCH(Table2[[#Headers],[Inner Spring Weight]],Table2[#Headers],0),0)</f>
        <v>Null</v>
      </c>
      <c r="BK580" s="2">
        <f>VLOOKUP([jobnumber],OvalData[],MATCH(Table2[[#Headers],[Cycles]],Table2[#Headers],0),0)</f>
        <v>0</v>
      </c>
      <c r="BL580" s="2">
        <f>VLOOKUP([jobnumber],OvalData[],MATCH(Table2[[#Headers],[Total Spring Torque]],Table2[#Headers],0),0)</f>
        <v>0</v>
      </c>
      <c r="BM580" s="2">
        <f>VLOOKUP([jobnumber],OvalData[],MATCH(Table2[[#Headers],[Total Spring Weight]],Table2[#Headers],0),0)</f>
        <v>0</v>
      </c>
      <c r="BN580" s="2">
        <f>VLOOKUP([jobnumber],OvalData[],MATCH(Table2[[#Headers],[Pipe Weight]],Table2[#Headers],0),0)</f>
        <v>688.24239999999998</v>
      </c>
      <c r="BO580" s="2">
        <f>VLOOKUP([jobnumber],OvalData[],MATCH(Table2[[#Headers],[Max Pipe Deflection]],Table2[#Headers],0),0)</f>
        <v>2309</v>
      </c>
      <c r="BP580" s="2">
        <f>VLOOKUP([jobnumber],OvalData[],MATCH(Table2[[#Headers],[Number Non-Insulated Wrap Slats]],Table2[#Headers],0),0)</f>
        <v>0</v>
      </c>
      <c r="BQ580" s="2">
        <f>VLOOKUP([jobnumber],OvalData[],MATCH(Table2[[#Headers],[Number of Insolated Top Slats]],Table2[#Headers],0),0)</f>
        <v>45</v>
      </c>
      <c r="BR580" s="2">
        <f>VLOOKUP([jobnumber],OvalData[],MATCH(Table2[[#Headers],[Insolated Total Slats]],Table2[#Headers],0),0)</f>
        <v>45</v>
      </c>
      <c r="BS580" s="2">
        <f>VLOOKUP([jobnumber],OvalData[],MATCH(Table2[[#Headers],[Number of Slats]],Table2[#Headers],0),0)</f>
        <v>44.69</v>
      </c>
      <c r="BT580" s="2">
        <f>VLOOKUP([jobnumber],OvalData[],MATCH(Table2[[#Headers],[Wrap]],Table2[#Headers],0),0)</f>
        <v>0</v>
      </c>
      <c r="BU580" s="2">
        <f>VLOOKUP([jobnumber],OvalData[],MATCH(Table2[[#Headers],[Wall Angle Thickness]],Table2[#Headers],0),0)</f>
        <v>0</v>
      </c>
      <c r="BV580" s="2">
        <f>VLOOKUP([jobnumber],OvalData[],MATCH(Table2[[#Headers],[windlocks]],Table2[#Headers],0),0)</f>
        <v>0</v>
      </c>
      <c r="BW580" s="2" t="str">
        <f>VLOOKUP([jobnumber],OvalData[],MATCH(Table2[[#Headers],[bottombartype]],Table2[#Headers],0),0)</f>
        <v>SPECIAL</v>
      </c>
      <c r="BX580" s="2">
        <f>VLOOKUP([jobnumber],OvalData[],MATCH(Table2[[#Headers],[endlockweight]],Table2[#Headers],0),0)</f>
        <v>0.17</v>
      </c>
      <c r="BY580" s="2">
        <f>VLOOKUP([jobnumber],OvalData[],MATCH(Table2[[#Headers],[Endlock Total Weight]],Table2[#Headers],0),0)</f>
        <v>7.5972999999999997</v>
      </c>
      <c r="BZ580" s="2">
        <f>VLOOKUP([jobnumber],OvalData[],MATCH(Table2[[#Headers],[Grille Weight]],Table2[#Headers],0),0)</f>
        <v>0</v>
      </c>
      <c r="CA580" s="2">
        <f>VLOOKUP([jobnumber],OvalData[],MATCH(Table2[[#Headers],[barrelrings]],Table2[#Headers],0),0)</f>
        <v>1</v>
      </c>
    </row>
    <row r="581" spans="2:79">
      <c r="B581" s="2" t="str">
        <f>VLOOKUP([jobnumber],OvalData[],MATCH(Table2[[#Headers],[Hand]],Table2[#Headers],0),0)</f>
        <v>RH</v>
      </c>
      <c r="C581" s="2" t="str">
        <f>VLOOKUP([jobnumber],OvalData[],MATCH(Table2[[#Headers],[Model]],Table2[#Headers],0),0)</f>
        <v>SFMPP</v>
      </c>
      <c r="D581" s="2" t="str">
        <f>VLOOKUP([jobnumber],OvalData[],MATCH(Table2[[#Headers],[width]],Table2[#Headers],0),0)</f>
        <v xml:space="preserve"> 18 ft.- 2"</v>
      </c>
      <c r="E581" s="2" t="str">
        <f>VLOOKUP([jobnumber],OvalData[],MATCH(Table2[[#Headers],[stopheight]],Table2[#Headers],0),0)</f>
        <v xml:space="preserve"> 10 ft.- 0"</v>
      </c>
      <c r="F581" s="2" t="str">
        <f>VLOOKUP([jobnumber],OvalData[],MATCH(Table2[[#Headers],[Between Brackets]],Table2[#Headers],0),0)</f>
        <v xml:space="preserve"> 18 ft.- 7 7/ 8"</v>
      </c>
      <c r="G581" s="2" t="str">
        <f>VLOOKUP([jobnumber],OvalData[],MATCH(Table2[[#Headers],[shell]],Table2[#Headers],0),0)</f>
        <v>6 INCH TUBE</v>
      </c>
      <c r="H581" s="2" t="str">
        <f>VLOOKUP([jobnumber],OvalData[],MATCH(Table2[[#Headers],[pipewidth]],Table2[#Headers],0),0)</f>
        <v xml:space="preserve"> 18 ft.- 1 3/ 8"</v>
      </c>
      <c r="I581" s="2">
        <f>VLOOKUP([jobnumber],OvalData[],MATCH(Table2[[#Headers],[Support Tubes]],Table2[#Headers],0),0)</f>
        <v>0</v>
      </c>
      <c r="J581" s="2">
        <f>VLOOKUP([jobnumber],OvalData[],MATCH(Table2[[#Headers],[Upset]],Table2[#Headers],0),0)</f>
        <v>2</v>
      </c>
      <c r="K581" s="2" t="str">
        <f>VLOOKUP([jobnumber],OvalData[],MATCH(Table2[[#Headers],[Guide Type]],Table2[#Headers],0),0)</f>
        <v>SN2-4 5/8-E</v>
      </c>
      <c r="L581" s="2" t="str">
        <f>VLOOKUP([jobnumber],OvalData[],MATCH(Table2[[#Headers],[Wall Angle]],Table2[#Headers],0),0)</f>
        <v xml:space="preserve"> 11 ft.- 8"</v>
      </c>
      <c r="M581" s="2" t="str">
        <f>VLOOKUP([jobnumber],OvalData[],MATCH(Table2[[#Headers],[Middle Angle]],Table2[#Headers],0),0)</f>
        <v xml:space="preserve"> 10 ft.- 4 1/ 2"</v>
      </c>
      <c r="N581" s="2" t="str">
        <f>VLOOKUP([jobnumber],OvalData[],MATCH(Table2[[#Headers],[Front Angle]],Table2[#Headers],0),0)</f>
        <v xml:space="preserve"> 10 ft.- 3"</v>
      </c>
      <c r="O581" s="2">
        <f>VLOOKUP([jobnumber],OvalData[],MATCH(Table2[[#Headers],[Pipe Center Line]],Table2[#Headers],0),0)</f>
        <v>131</v>
      </c>
      <c r="P581" s="2">
        <f>VLOOKUP([jobnumber],OvalData[],MATCH(Table2[[#Headers],[Heat Expansion Gap]],Table2[#Headers],0),0)</f>
        <v>0</v>
      </c>
      <c r="Q581" s="2">
        <f>VLOOKUP([jobnumber],OvalData[],MATCH(Table2[[#Headers],[Hanging Weight Closed]],Table2[#Headers],0),0)</f>
        <v>795</v>
      </c>
      <c r="R581" s="2">
        <f>VLOOKUP([jobnumber],OvalData[],MATCH(Table2[[#Headers],[Hanging Weight Open]],Table2[#Headers],0),0)</f>
        <v>140</v>
      </c>
      <c r="S581" s="2">
        <f>VLOOKUP([jobnumber],OvalData[],MATCH(Table2[[#Headers],[Initial Lever Arm]],Table2[#Headers],0),0)</f>
        <v>4.25</v>
      </c>
      <c r="T581" s="2">
        <f>VLOOKUP([jobnumber],OvalData[],MATCH(Table2[[#Headers],[Turns to Raise]],Table2[#Headers],0),0)</f>
        <v>3.5859999999999999</v>
      </c>
      <c r="U581" s="2">
        <f>VLOOKUP([jobnumber],OvalData[],MATCH(Table2[[#Headers],[Final Lever Arm]],Table2[#Headers],0),0)</f>
        <v>6.37</v>
      </c>
      <c r="V581" s="2">
        <f>VLOOKUP([jobnumber],OvalData[],MATCH(Table2[[#Headers],[Torque Required Closed]],Table2[#Headers],0),0)</f>
        <v>3377.9</v>
      </c>
      <c r="W581" s="2">
        <f>VLOOKUP([jobnumber],OvalData[],MATCH(Table2[[#Headers],[Torque Required Open]],Table2[#Headers],0),0)</f>
        <v>892</v>
      </c>
      <c r="X581" s="2">
        <f>VLOOKUP([jobnumber],OvalData[],MATCH(Table2[[#Headers],[Pre Turns]],Table2[#Headers],0),0)</f>
        <v>1.3332999999999999</v>
      </c>
      <c r="Y581" s="2">
        <f>VLOOKUP([jobnumber],OvalData[],MATCH(Table2[[#Headers],[Required Torque Per Turn]],Table2[#Headers],0),0)</f>
        <v>688</v>
      </c>
      <c r="Z581" s="2">
        <f>VLOOKUP([jobnumber],OvalData[],MATCH(Table2[[#Headers],[Total Turns]],Table2[#Headers],0),0)</f>
        <v>4.91</v>
      </c>
      <c r="AA581" s="2">
        <f>VLOOKUP([jobnumber],OvalData[],MATCH(Table2[[#Headers],[Grille Vision Section]],Table2[#Headers],0),0)</f>
        <v>0</v>
      </c>
      <c r="AB581" s="2">
        <f>VLOOKUP([jobnumber],OvalData[],MATCH(Table2[[#Headers],[Grille Amount]],Table2[#Headers],0),0)</f>
        <v>0</v>
      </c>
      <c r="AC581" s="2">
        <f>VLOOKUP([jobnumber],OvalData[],MATCH(Table2[[#Headers],[Grille Center]],Table2[#Headers],0),0)</f>
        <v>0</v>
      </c>
      <c r="AD581" s="2">
        <f>VLOOKUP([jobnumber],OvalData[],MATCH(Table2[[#Headers],[Grille Pattern]],Table2[#Headers],0),0)</f>
        <v>0</v>
      </c>
      <c r="AE581" s="2">
        <f>VLOOKUP([jobnumber],OvalData[],MATCH(Table2[[#Headers],[Grille First Tube]],Table2[#Headers],0),0)</f>
        <v>0</v>
      </c>
      <c r="AF581" s="2">
        <f>VLOOKUP([jobnumber],OvalData[],MATCH(Table2[[#Headers],[Grille Standard Tube]],Table2[#Headers],0),0)</f>
        <v>0</v>
      </c>
      <c r="AG581" s="2">
        <f>VLOOKUP([jobnumber],OvalData[],MATCH(Table2[[#Headers],[Grille Total Links]],Table2[#Headers],0),0)</f>
        <v>0</v>
      </c>
      <c r="AH581" s="2">
        <f>VLOOKUP([jobnumber],OvalData[],MATCH(Table2[[#Headers],[Grille Rods]],Table2[#Headers],0),0)</f>
        <v>0</v>
      </c>
      <c r="AI581" s="2">
        <f>VLOOKUP([jobnumber],OvalData[],MATCH(Table2[[#Headers],[Grille Rod Length]],Table2[#Headers],0),0)</f>
        <v>0</v>
      </c>
      <c r="AJ581" s="2">
        <f>VLOOKUP([jobnumber],OvalData[],MATCH(Table2[[#Headers],[slattype]],Table2[#Headers],0),0)</f>
        <v>2</v>
      </c>
      <c r="AK581" s="2">
        <f>VLOOKUP([jobnumber],OvalData[],MATCH(Table2[[#Headers],[slatgage]],Table2[#Headers],0),0)</f>
        <v>18</v>
      </c>
      <c r="AL581" s="2">
        <f>VLOOKUP([jobnumber],OvalData[],MATCH(Table2[[#Headers],[Numer of Top Slats]],Table2[#Headers],0),0)</f>
        <v>0</v>
      </c>
      <c r="AM581" s="2">
        <f>VLOOKUP([jobnumber],OvalData[],MATCH(Table2[[#Headers],[Number of Bottom Slats]],Table2[#Headers],0),0)</f>
        <v>0</v>
      </c>
      <c r="AN581" s="2">
        <f>VLOOKUP([jobnumber],OvalData[],MATCH(Table2[[#Headers],[Solid Bottom Height]],Table2[#Headers],0),0)</f>
        <v>0</v>
      </c>
      <c r="AO581" s="2" t="str">
        <f>VLOOKUP([jobnumber],OvalData[],MATCH(Table2[[#Headers],[slatlength]],Table2[#Headers],0),0)</f>
        <v xml:space="preserve"> 18 ft.- 5 7/ 8"</v>
      </c>
      <c r="AP581" s="2">
        <f>VLOOKUP([jobnumber],OvalData[],MATCH(Table2[[#Headers],[Bottom Slat Length]],Table2[#Headers],0),0)</f>
        <v>0</v>
      </c>
      <c r="AQ581" s="2">
        <f>VLOOKUP([jobnumber],OvalData[],MATCH(Table2[[#Headers],[Number of Perferated Slats]],Table2[#Headers],0),0)</f>
        <v>0</v>
      </c>
      <c r="AR581" s="2">
        <f>VLOOKUP([jobnumber],OvalData[],MATCH(Table2[[#Headers],[First Preferated Slat From End]],Table2[#Headers],0),0)</f>
        <v>0</v>
      </c>
      <c r="AS581" s="2">
        <f>VLOOKUP([jobnumber],OvalData[],MATCH(Table2[[#Headers],[First Preferated Slat From Bottom]],Table2[#Headers],0),0)</f>
        <v>0</v>
      </c>
      <c r="AT581" s="2">
        <f>VLOOKUP([jobnumber],OvalData[],MATCH(Table2[[#Headers],[Total Number of Slats]],Table2[#Headers],0),0)</f>
        <v>51</v>
      </c>
      <c r="AU581" s="2">
        <f>VLOOKUP([jobnumber],OvalData[],MATCH(Table2[[#Headers],[Bottom Bar Slope]],Table2[#Headers],0),0)</f>
        <v>0</v>
      </c>
      <c r="AV581" s="2">
        <f>VLOOKUP([jobnumber],OvalData[],MATCH(Table2[[#Headers],[Bottom Bar Weight]],Table2[#Headers],0),0)</f>
        <v>80.5</v>
      </c>
      <c r="AW581" s="2" t="str">
        <f>VLOOKUP([jobnumber],OvalData[],MATCH(Table2[[#Headers],[Outer Spring Gage]],Table2[#Headers],0),0)</f>
        <v>Null</v>
      </c>
      <c r="AX581" s="2" t="str">
        <f>VLOOKUP([jobnumber],OvalData[],MATCH(Table2[[#Headers],[Outer Spring OD]],Table2[#Headers],0),0)</f>
        <v>Null</v>
      </c>
      <c r="AY581" s="2" t="str">
        <f>VLOOKUP([jobnumber],OvalData[],MATCH(Table2[[#Headers],[Outer Spring Length]],Table2[#Headers],0),0)</f>
        <v>Null</v>
      </c>
      <c r="AZ581" s="2" t="str">
        <f>VLOOKUP([jobnumber],OvalData[],MATCH(Table2[[#Headers],[Outer Spring Stretch]],Table2[#Headers],0),0)</f>
        <v>Null</v>
      </c>
      <c r="BA581" s="2" t="str">
        <f>VLOOKUP([jobnumber],OvalData[],MATCH(Table2[[#Headers],[Outer Spring Torque]],Table2[#Headers],0),0)</f>
        <v>Null</v>
      </c>
      <c r="BB581" s="2" t="str">
        <f>VLOOKUP([jobnumber],OvalData[],MATCH(Table2[[#Headers],[Outer Spring Max Turns]],Table2[#Headers],0),0)</f>
        <v>Null</v>
      </c>
      <c r="BC581" s="2" t="str">
        <f>VLOOKUP([jobnumber],OvalData[],MATCH(Table2[[#Headers],[Outer Spring Weight]],Table2[#Headers],0),0)</f>
        <v>Null</v>
      </c>
      <c r="BD581" s="2" t="str">
        <f>VLOOKUP([jobnumber],OvalData[],MATCH(Table2[[#Headers],[Inner Spring Gage]],Table2[#Headers],0),0)</f>
        <v>Null</v>
      </c>
      <c r="BE581" s="2" t="str">
        <f>VLOOKUP([jobnumber],OvalData[],MATCH(Table2[[#Headers],[Inner Spring OD]],Table2[#Headers],0),0)</f>
        <v>Null</v>
      </c>
      <c r="BF581" s="2" t="str">
        <f>VLOOKUP([jobnumber],OvalData[],MATCH(Table2[[#Headers],[Inner Spring Length]],Table2[#Headers],0),0)</f>
        <v>Null</v>
      </c>
      <c r="BG581" s="2" t="str">
        <f>VLOOKUP([jobnumber],OvalData[],MATCH(Table2[[#Headers],[Inner Spring Stretch]],Table2[#Headers],0),0)</f>
        <v>Null</v>
      </c>
      <c r="BH581" s="2" t="str">
        <f>VLOOKUP([jobnumber],OvalData[],MATCH(Table2[[#Headers],[Inner Spring Torque]],Table2[#Headers],0),0)</f>
        <v>Null</v>
      </c>
      <c r="BI581" s="2" t="str">
        <f>VLOOKUP([jobnumber],OvalData[],MATCH(Table2[[#Headers],[Inner Spring Max Turns]],Table2[#Headers],0),0)</f>
        <v>Null</v>
      </c>
      <c r="BJ581" s="2" t="str">
        <f>VLOOKUP([jobnumber],OvalData[],MATCH(Table2[[#Headers],[Inner Spring Weight]],Table2[#Headers],0),0)</f>
        <v>Null</v>
      </c>
      <c r="BK581" s="2">
        <f>VLOOKUP([jobnumber],OvalData[],MATCH(Table2[[#Headers],[Cycles]],Table2[#Headers],0),0)</f>
        <v>0</v>
      </c>
      <c r="BL581" s="2">
        <f>VLOOKUP([jobnumber],OvalData[],MATCH(Table2[[#Headers],[Total Spring Torque]],Table2[#Headers],0),0)</f>
        <v>0</v>
      </c>
      <c r="BM581" s="2">
        <f>VLOOKUP([jobnumber],OvalData[],MATCH(Table2[[#Headers],[Total Spring Weight]],Table2[#Headers],0),0)</f>
        <v>0</v>
      </c>
      <c r="BN581" s="2">
        <f>VLOOKUP([jobnumber],OvalData[],MATCH(Table2[[#Headers],[Pipe Weight]],Table2[#Headers],0),0)</f>
        <v>688.24239999999998</v>
      </c>
      <c r="BO581" s="2">
        <f>VLOOKUP([jobnumber],OvalData[],MATCH(Table2[[#Headers],[Max Pipe Deflection]],Table2[#Headers],0),0)</f>
        <v>2309</v>
      </c>
      <c r="BP581" s="2">
        <f>VLOOKUP([jobnumber],OvalData[],MATCH(Table2[[#Headers],[Number Non-Insulated Wrap Slats]],Table2[#Headers],0),0)</f>
        <v>0</v>
      </c>
      <c r="BQ581" s="2">
        <f>VLOOKUP([jobnumber],OvalData[],MATCH(Table2[[#Headers],[Number of Insolated Top Slats]],Table2[#Headers],0),0)</f>
        <v>45</v>
      </c>
      <c r="BR581" s="2">
        <f>VLOOKUP([jobnumber],OvalData[],MATCH(Table2[[#Headers],[Insolated Total Slats]],Table2[#Headers],0),0)</f>
        <v>45</v>
      </c>
      <c r="BS581" s="2">
        <f>VLOOKUP([jobnumber],OvalData[],MATCH(Table2[[#Headers],[Number of Slats]],Table2[#Headers],0),0)</f>
        <v>44.69</v>
      </c>
      <c r="BT581" s="2">
        <f>VLOOKUP([jobnumber],OvalData[],MATCH(Table2[[#Headers],[Wrap]],Table2[#Headers],0),0)</f>
        <v>0</v>
      </c>
      <c r="BU581" s="2">
        <f>VLOOKUP([jobnumber],OvalData[],MATCH(Table2[[#Headers],[Wall Angle Thickness]],Table2[#Headers],0),0)</f>
        <v>0</v>
      </c>
      <c r="BV581" s="2">
        <f>VLOOKUP([jobnumber],OvalData[],MATCH(Table2[[#Headers],[windlocks]],Table2[#Headers],0),0)</f>
        <v>0</v>
      </c>
      <c r="BW581" s="2" t="str">
        <f>VLOOKUP([jobnumber],OvalData[],MATCH(Table2[[#Headers],[bottombartype]],Table2[#Headers],0),0)</f>
        <v>SPECIAL</v>
      </c>
      <c r="BX581" s="2">
        <f>VLOOKUP([jobnumber],OvalData[],MATCH(Table2[[#Headers],[endlockweight]],Table2[#Headers],0),0)</f>
        <v>0.17</v>
      </c>
      <c r="BY581" s="2">
        <f>VLOOKUP([jobnumber],OvalData[],MATCH(Table2[[#Headers],[Endlock Total Weight]],Table2[#Headers],0),0)</f>
        <v>7.5972999999999997</v>
      </c>
      <c r="BZ581" s="2">
        <f>VLOOKUP([jobnumber],OvalData[],MATCH(Table2[[#Headers],[Grille Weight]],Table2[#Headers],0),0)</f>
        <v>0</v>
      </c>
      <c r="CA581" s="2">
        <f>VLOOKUP([jobnumber],OvalData[],MATCH(Table2[[#Headers],[barrelrings]],Table2[#Headers],0),0)</f>
        <v>1</v>
      </c>
    </row>
    <row r="582" spans="2:79">
      <c r="B582" s="2" t="str">
        <f>VLOOKUP([jobnumber],OvalData[],MATCH(Table2[[#Headers],[Hand]],Table2[#Headers],0),0)</f>
        <v>RH</v>
      </c>
      <c r="C582" s="2" t="str">
        <f>VLOOKUP([jobnumber],OvalData[],MATCH(Table2[[#Headers],[Model]],Table2[#Headers],0),0)</f>
        <v>SFMPP</v>
      </c>
      <c r="D582" s="2" t="str">
        <f>VLOOKUP([jobnumber],OvalData[],MATCH(Table2[[#Headers],[width]],Table2[#Headers],0),0)</f>
        <v xml:space="preserve"> 18 ft.- 2"</v>
      </c>
      <c r="E582" s="2" t="str">
        <f>VLOOKUP([jobnumber],OvalData[],MATCH(Table2[[#Headers],[stopheight]],Table2[#Headers],0),0)</f>
        <v xml:space="preserve"> 10 ft.- 0"</v>
      </c>
      <c r="F582" s="2" t="str">
        <f>VLOOKUP([jobnumber],OvalData[],MATCH(Table2[[#Headers],[Between Brackets]],Table2[#Headers],0),0)</f>
        <v xml:space="preserve"> 18 ft.- 7 7/ 8"</v>
      </c>
      <c r="G582" s="2" t="str">
        <f>VLOOKUP([jobnumber],OvalData[],MATCH(Table2[[#Headers],[shell]],Table2[#Headers],0),0)</f>
        <v>6 INCH TUBE</v>
      </c>
      <c r="H582" s="2" t="str">
        <f>VLOOKUP([jobnumber],OvalData[],MATCH(Table2[[#Headers],[pipewidth]],Table2[#Headers],0),0)</f>
        <v xml:space="preserve"> 18 ft.- 1 3/ 8"</v>
      </c>
      <c r="I582" s="2">
        <f>VLOOKUP([jobnumber],OvalData[],MATCH(Table2[[#Headers],[Support Tubes]],Table2[#Headers],0),0)</f>
        <v>0</v>
      </c>
      <c r="J582" s="2">
        <f>VLOOKUP([jobnumber],OvalData[],MATCH(Table2[[#Headers],[Upset]],Table2[#Headers],0),0)</f>
        <v>2</v>
      </c>
      <c r="K582" s="2" t="str">
        <f>VLOOKUP([jobnumber],OvalData[],MATCH(Table2[[#Headers],[Guide Type]],Table2[#Headers],0),0)</f>
        <v>SN2-4 5/8-E</v>
      </c>
      <c r="L582" s="2" t="str">
        <f>VLOOKUP([jobnumber],OvalData[],MATCH(Table2[[#Headers],[Wall Angle]],Table2[#Headers],0),0)</f>
        <v xml:space="preserve"> 11 ft.- 8"</v>
      </c>
      <c r="M582" s="2" t="str">
        <f>VLOOKUP([jobnumber],OvalData[],MATCH(Table2[[#Headers],[Middle Angle]],Table2[#Headers],0),0)</f>
        <v xml:space="preserve"> 10 ft.- 4 1/ 2"</v>
      </c>
      <c r="N582" s="2" t="str">
        <f>VLOOKUP([jobnumber],OvalData[],MATCH(Table2[[#Headers],[Front Angle]],Table2[#Headers],0),0)</f>
        <v xml:space="preserve"> 10 ft.- 3"</v>
      </c>
      <c r="O582" s="2">
        <f>VLOOKUP([jobnumber],OvalData[],MATCH(Table2[[#Headers],[Pipe Center Line]],Table2[#Headers],0),0)</f>
        <v>131</v>
      </c>
      <c r="P582" s="2">
        <f>VLOOKUP([jobnumber],OvalData[],MATCH(Table2[[#Headers],[Heat Expansion Gap]],Table2[#Headers],0),0)</f>
        <v>0</v>
      </c>
      <c r="Q582" s="2">
        <f>VLOOKUP([jobnumber],OvalData[],MATCH(Table2[[#Headers],[Hanging Weight Closed]],Table2[#Headers],0),0)</f>
        <v>795</v>
      </c>
      <c r="R582" s="2">
        <f>VLOOKUP([jobnumber],OvalData[],MATCH(Table2[[#Headers],[Hanging Weight Open]],Table2[#Headers],0),0)</f>
        <v>140</v>
      </c>
      <c r="S582" s="2">
        <f>VLOOKUP([jobnumber],OvalData[],MATCH(Table2[[#Headers],[Initial Lever Arm]],Table2[#Headers],0),0)</f>
        <v>4.25</v>
      </c>
      <c r="T582" s="2">
        <f>VLOOKUP([jobnumber],OvalData[],MATCH(Table2[[#Headers],[Turns to Raise]],Table2[#Headers],0),0)</f>
        <v>3.5859999999999999</v>
      </c>
      <c r="U582" s="2">
        <f>VLOOKUP([jobnumber],OvalData[],MATCH(Table2[[#Headers],[Final Lever Arm]],Table2[#Headers],0),0)</f>
        <v>6.37</v>
      </c>
      <c r="V582" s="2">
        <f>VLOOKUP([jobnumber],OvalData[],MATCH(Table2[[#Headers],[Torque Required Closed]],Table2[#Headers],0),0)</f>
        <v>3377.9</v>
      </c>
      <c r="W582" s="2">
        <f>VLOOKUP([jobnumber],OvalData[],MATCH(Table2[[#Headers],[Torque Required Open]],Table2[#Headers],0),0)</f>
        <v>892</v>
      </c>
      <c r="X582" s="2">
        <f>VLOOKUP([jobnumber],OvalData[],MATCH(Table2[[#Headers],[Pre Turns]],Table2[#Headers],0),0)</f>
        <v>1.3332999999999999</v>
      </c>
      <c r="Y582" s="2">
        <f>VLOOKUP([jobnumber],OvalData[],MATCH(Table2[[#Headers],[Required Torque Per Turn]],Table2[#Headers],0),0)</f>
        <v>688</v>
      </c>
      <c r="Z582" s="2">
        <f>VLOOKUP([jobnumber],OvalData[],MATCH(Table2[[#Headers],[Total Turns]],Table2[#Headers],0),0)</f>
        <v>4.91</v>
      </c>
      <c r="AA582" s="2">
        <f>VLOOKUP([jobnumber],OvalData[],MATCH(Table2[[#Headers],[Grille Vision Section]],Table2[#Headers],0),0)</f>
        <v>0</v>
      </c>
      <c r="AB582" s="2">
        <f>VLOOKUP([jobnumber],OvalData[],MATCH(Table2[[#Headers],[Grille Amount]],Table2[#Headers],0),0)</f>
        <v>0</v>
      </c>
      <c r="AC582" s="2">
        <f>VLOOKUP([jobnumber],OvalData[],MATCH(Table2[[#Headers],[Grille Center]],Table2[#Headers],0),0)</f>
        <v>0</v>
      </c>
      <c r="AD582" s="2">
        <f>VLOOKUP([jobnumber],OvalData[],MATCH(Table2[[#Headers],[Grille Pattern]],Table2[#Headers],0),0)</f>
        <v>0</v>
      </c>
      <c r="AE582" s="2">
        <f>VLOOKUP([jobnumber],OvalData[],MATCH(Table2[[#Headers],[Grille First Tube]],Table2[#Headers],0),0)</f>
        <v>0</v>
      </c>
      <c r="AF582" s="2">
        <f>VLOOKUP([jobnumber],OvalData[],MATCH(Table2[[#Headers],[Grille Standard Tube]],Table2[#Headers],0),0)</f>
        <v>0</v>
      </c>
      <c r="AG582" s="2">
        <f>VLOOKUP([jobnumber],OvalData[],MATCH(Table2[[#Headers],[Grille Total Links]],Table2[#Headers],0),0)</f>
        <v>0</v>
      </c>
      <c r="AH582" s="2">
        <f>VLOOKUP([jobnumber],OvalData[],MATCH(Table2[[#Headers],[Grille Rods]],Table2[#Headers],0),0)</f>
        <v>0</v>
      </c>
      <c r="AI582" s="2">
        <f>VLOOKUP([jobnumber],OvalData[],MATCH(Table2[[#Headers],[Grille Rod Length]],Table2[#Headers],0),0)</f>
        <v>0</v>
      </c>
      <c r="AJ582" s="2">
        <f>VLOOKUP([jobnumber],OvalData[],MATCH(Table2[[#Headers],[slattype]],Table2[#Headers],0),0)</f>
        <v>2</v>
      </c>
      <c r="AK582" s="2">
        <f>VLOOKUP([jobnumber],OvalData[],MATCH(Table2[[#Headers],[slatgage]],Table2[#Headers],0),0)</f>
        <v>18</v>
      </c>
      <c r="AL582" s="2">
        <f>VLOOKUP([jobnumber],OvalData[],MATCH(Table2[[#Headers],[Numer of Top Slats]],Table2[#Headers],0),0)</f>
        <v>0</v>
      </c>
      <c r="AM582" s="2">
        <f>VLOOKUP([jobnumber],OvalData[],MATCH(Table2[[#Headers],[Number of Bottom Slats]],Table2[#Headers],0),0)</f>
        <v>0</v>
      </c>
      <c r="AN582" s="2">
        <f>VLOOKUP([jobnumber],OvalData[],MATCH(Table2[[#Headers],[Solid Bottom Height]],Table2[#Headers],0),0)</f>
        <v>0</v>
      </c>
      <c r="AO582" s="2" t="str">
        <f>VLOOKUP([jobnumber],OvalData[],MATCH(Table2[[#Headers],[slatlength]],Table2[#Headers],0),0)</f>
        <v xml:space="preserve"> 18 ft.- 5 7/ 8"</v>
      </c>
      <c r="AP582" s="2">
        <f>VLOOKUP([jobnumber],OvalData[],MATCH(Table2[[#Headers],[Bottom Slat Length]],Table2[#Headers],0),0)</f>
        <v>0</v>
      </c>
      <c r="AQ582" s="2">
        <f>VLOOKUP([jobnumber],OvalData[],MATCH(Table2[[#Headers],[Number of Perferated Slats]],Table2[#Headers],0),0)</f>
        <v>0</v>
      </c>
      <c r="AR582" s="2">
        <f>VLOOKUP([jobnumber],OvalData[],MATCH(Table2[[#Headers],[First Preferated Slat From End]],Table2[#Headers],0),0)</f>
        <v>0</v>
      </c>
      <c r="AS582" s="2">
        <f>VLOOKUP([jobnumber],OvalData[],MATCH(Table2[[#Headers],[First Preferated Slat From Bottom]],Table2[#Headers],0),0)</f>
        <v>0</v>
      </c>
      <c r="AT582" s="2">
        <f>VLOOKUP([jobnumber],OvalData[],MATCH(Table2[[#Headers],[Total Number of Slats]],Table2[#Headers],0),0)</f>
        <v>51</v>
      </c>
      <c r="AU582" s="2">
        <f>VLOOKUP([jobnumber],OvalData[],MATCH(Table2[[#Headers],[Bottom Bar Slope]],Table2[#Headers],0),0)</f>
        <v>0</v>
      </c>
      <c r="AV582" s="2">
        <f>VLOOKUP([jobnumber],OvalData[],MATCH(Table2[[#Headers],[Bottom Bar Weight]],Table2[#Headers],0),0)</f>
        <v>80.5</v>
      </c>
      <c r="AW582" s="2" t="str">
        <f>VLOOKUP([jobnumber],OvalData[],MATCH(Table2[[#Headers],[Outer Spring Gage]],Table2[#Headers],0),0)</f>
        <v>Null</v>
      </c>
      <c r="AX582" s="2" t="str">
        <f>VLOOKUP([jobnumber],OvalData[],MATCH(Table2[[#Headers],[Outer Spring OD]],Table2[#Headers],0),0)</f>
        <v>Null</v>
      </c>
      <c r="AY582" s="2" t="str">
        <f>VLOOKUP([jobnumber],OvalData[],MATCH(Table2[[#Headers],[Outer Spring Length]],Table2[#Headers],0),0)</f>
        <v>Null</v>
      </c>
      <c r="AZ582" s="2" t="str">
        <f>VLOOKUP([jobnumber],OvalData[],MATCH(Table2[[#Headers],[Outer Spring Stretch]],Table2[#Headers],0),0)</f>
        <v>Null</v>
      </c>
      <c r="BA582" s="2" t="str">
        <f>VLOOKUP([jobnumber],OvalData[],MATCH(Table2[[#Headers],[Outer Spring Torque]],Table2[#Headers],0),0)</f>
        <v>Null</v>
      </c>
      <c r="BB582" s="2" t="str">
        <f>VLOOKUP([jobnumber],OvalData[],MATCH(Table2[[#Headers],[Outer Spring Max Turns]],Table2[#Headers],0),0)</f>
        <v>Null</v>
      </c>
      <c r="BC582" s="2" t="str">
        <f>VLOOKUP([jobnumber],OvalData[],MATCH(Table2[[#Headers],[Outer Spring Weight]],Table2[#Headers],0),0)</f>
        <v>Null</v>
      </c>
      <c r="BD582" s="2" t="str">
        <f>VLOOKUP([jobnumber],OvalData[],MATCH(Table2[[#Headers],[Inner Spring Gage]],Table2[#Headers],0),0)</f>
        <v>Null</v>
      </c>
      <c r="BE582" s="2" t="str">
        <f>VLOOKUP([jobnumber],OvalData[],MATCH(Table2[[#Headers],[Inner Spring OD]],Table2[#Headers],0),0)</f>
        <v>Null</v>
      </c>
      <c r="BF582" s="2" t="str">
        <f>VLOOKUP([jobnumber],OvalData[],MATCH(Table2[[#Headers],[Inner Spring Length]],Table2[#Headers],0),0)</f>
        <v>Null</v>
      </c>
      <c r="BG582" s="2" t="str">
        <f>VLOOKUP([jobnumber],OvalData[],MATCH(Table2[[#Headers],[Inner Spring Stretch]],Table2[#Headers],0),0)</f>
        <v>Null</v>
      </c>
      <c r="BH582" s="2" t="str">
        <f>VLOOKUP([jobnumber],OvalData[],MATCH(Table2[[#Headers],[Inner Spring Torque]],Table2[#Headers],0),0)</f>
        <v>Null</v>
      </c>
      <c r="BI582" s="2" t="str">
        <f>VLOOKUP([jobnumber],OvalData[],MATCH(Table2[[#Headers],[Inner Spring Max Turns]],Table2[#Headers],0),0)</f>
        <v>Null</v>
      </c>
      <c r="BJ582" s="2" t="str">
        <f>VLOOKUP([jobnumber],OvalData[],MATCH(Table2[[#Headers],[Inner Spring Weight]],Table2[#Headers],0),0)</f>
        <v>Null</v>
      </c>
      <c r="BK582" s="2">
        <f>VLOOKUP([jobnumber],OvalData[],MATCH(Table2[[#Headers],[Cycles]],Table2[#Headers],0),0)</f>
        <v>0</v>
      </c>
      <c r="BL582" s="2">
        <f>VLOOKUP([jobnumber],OvalData[],MATCH(Table2[[#Headers],[Total Spring Torque]],Table2[#Headers],0),0)</f>
        <v>0</v>
      </c>
      <c r="BM582" s="2">
        <f>VLOOKUP([jobnumber],OvalData[],MATCH(Table2[[#Headers],[Total Spring Weight]],Table2[#Headers],0),0)</f>
        <v>0</v>
      </c>
      <c r="BN582" s="2">
        <f>VLOOKUP([jobnumber],OvalData[],MATCH(Table2[[#Headers],[Pipe Weight]],Table2[#Headers],0),0)</f>
        <v>688.24239999999998</v>
      </c>
      <c r="BO582" s="2">
        <f>VLOOKUP([jobnumber],OvalData[],MATCH(Table2[[#Headers],[Max Pipe Deflection]],Table2[#Headers],0),0)</f>
        <v>2309</v>
      </c>
      <c r="BP582" s="2">
        <f>VLOOKUP([jobnumber],OvalData[],MATCH(Table2[[#Headers],[Number Non-Insulated Wrap Slats]],Table2[#Headers],0),0)</f>
        <v>0</v>
      </c>
      <c r="BQ582" s="2">
        <f>VLOOKUP([jobnumber],OvalData[],MATCH(Table2[[#Headers],[Number of Insolated Top Slats]],Table2[#Headers],0),0)</f>
        <v>45</v>
      </c>
      <c r="BR582" s="2">
        <f>VLOOKUP([jobnumber],OvalData[],MATCH(Table2[[#Headers],[Insolated Total Slats]],Table2[#Headers],0),0)</f>
        <v>45</v>
      </c>
      <c r="BS582" s="2">
        <f>VLOOKUP([jobnumber],OvalData[],MATCH(Table2[[#Headers],[Number of Slats]],Table2[#Headers],0),0)</f>
        <v>44.69</v>
      </c>
      <c r="BT582" s="2">
        <f>VLOOKUP([jobnumber],OvalData[],MATCH(Table2[[#Headers],[Wrap]],Table2[#Headers],0),0)</f>
        <v>0</v>
      </c>
      <c r="BU582" s="2">
        <f>VLOOKUP([jobnumber],OvalData[],MATCH(Table2[[#Headers],[Wall Angle Thickness]],Table2[#Headers],0),0)</f>
        <v>0</v>
      </c>
      <c r="BV582" s="2">
        <f>VLOOKUP([jobnumber],OvalData[],MATCH(Table2[[#Headers],[windlocks]],Table2[#Headers],0),0)</f>
        <v>0</v>
      </c>
      <c r="BW582" s="2" t="str">
        <f>VLOOKUP([jobnumber],OvalData[],MATCH(Table2[[#Headers],[bottombartype]],Table2[#Headers],0),0)</f>
        <v>SPECIAL</v>
      </c>
      <c r="BX582" s="2">
        <f>VLOOKUP([jobnumber],OvalData[],MATCH(Table2[[#Headers],[endlockweight]],Table2[#Headers],0),0)</f>
        <v>0.17</v>
      </c>
      <c r="BY582" s="2">
        <f>VLOOKUP([jobnumber],OvalData[],MATCH(Table2[[#Headers],[Endlock Total Weight]],Table2[#Headers],0),0)</f>
        <v>7.5972999999999997</v>
      </c>
      <c r="BZ582" s="2">
        <f>VLOOKUP([jobnumber],OvalData[],MATCH(Table2[[#Headers],[Grille Weight]],Table2[#Headers],0),0)</f>
        <v>0</v>
      </c>
      <c r="CA582" s="2">
        <f>VLOOKUP([jobnumber],OvalData[],MATCH(Table2[[#Headers],[barrelrings]],Table2[#Headers],0),0)</f>
        <v>1</v>
      </c>
    </row>
    <row r="583" spans="2:79">
      <c r="B583" s="2" t="str">
        <f>VLOOKUP([jobnumber],OvalData[],MATCH(Table2[[#Headers],[Hand]],Table2[#Headers],0),0)</f>
        <v>RH</v>
      </c>
      <c r="C583" s="2" t="str">
        <f>VLOOKUP([jobnumber],OvalData[],MATCH(Table2[[#Headers],[Model]],Table2[#Headers],0),0)</f>
        <v>SFMPP</v>
      </c>
      <c r="D583" s="2" t="str">
        <f>VLOOKUP([jobnumber],OvalData[],MATCH(Table2[[#Headers],[width]],Table2[#Headers],0),0)</f>
        <v xml:space="preserve"> 18 ft.- 2"</v>
      </c>
      <c r="E583" s="2" t="str">
        <f>VLOOKUP([jobnumber],OvalData[],MATCH(Table2[[#Headers],[stopheight]],Table2[#Headers],0),0)</f>
        <v xml:space="preserve"> 10 ft.- 0"</v>
      </c>
      <c r="F583" s="2" t="str">
        <f>VLOOKUP([jobnumber],OvalData[],MATCH(Table2[[#Headers],[Between Brackets]],Table2[#Headers],0),0)</f>
        <v xml:space="preserve"> 18 ft.- 7 7/ 8"</v>
      </c>
      <c r="G583" s="2" t="str">
        <f>VLOOKUP([jobnumber],OvalData[],MATCH(Table2[[#Headers],[shell]],Table2[#Headers],0),0)</f>
        <v>6 INCH TUBE</v>
      </c>
      <c r="H583" s="2" t="str">
        <f>VLOOKUP([jobnumber],OvalData[],MATCH(Table2[[#Headers],[pipewidth]],Table2[#Headers],0),0)</f>
        <v xml:space="preserve"> 18 ft.- 1 3/ 8"</v>
      </c>
      <c r="I583" s="2">
        <f>VLOOKUP([jobnumber],OvalData[],MATCH(Table2[[#Headers],[Support Tubes]],Table2[#Headers],0),0)</f>
        <v>0</v>
      </c>
      <c r="J583" s="2">
        <f>VLOOKUP([jobnumber],OvalData[],MATCH(Table2[[#Headers],[Upset]],Table2[#Headers],0),0)</f>
        <v>2</v>
      </c>
      <c r="K583" s="2" t="str">
        <f>VLOOKUP([jobnumber],OvalData[],MATCH(Table2[[#Headers],[Guide Type]],Table2[#Headers],0),0)</f>
        <v>SN2-4 5/8-E</v>
      </c>
      <c r="L583" s="2" t="str">
        <f>VLOOKUP([jobnumber],OvalData[],MATCH(Table2[[#Headers],[Wall Angle]],Table2[#Headers],0),0)</f>
        <v xml:space="preserve"> 11 ft.- 8"</v>
      </c>
      <c r="M583" s="2" t="str">
        <f>VLOOKUP([jobnumber],OvalData[],MATCH(Table2[[#Headers],[Middle Angle]],Table2[#Headers],0),0)</f>
        <v xml:space="preserve"> 10 ft.- 4 1/ 2"</v>
      </c>
      <c r="N583" s="2" t="str">
        <f>VLOOKUP([jobnumber],OvalData[],MATCH(Table2[[#Headers],[Front Angle]],Table2[#Headers],0),0)</f>
        <v xml:space="preserve"> 10 ft.- 3"</v>
      </c>
      <c r="O583" s="2">
        <f>VLOOKUP([jobnumber],OvalData[],MATCH(Table2[[#Headers],[Pipe Center Line]],Table2[#Headers],0),0)</f>
        <v>131</v>
      </c>
      <c r="P583" s="2">
        <f>VLOOKUP([jobnumber],OvalData[],MATCH(Table2[[#Headers],[Heat Expansion Gap]],Table2[#Headers],0),0)</f>
        <v>0</v>
      </c>
      <c r="Q583" s="2">
        <f>VLOOKUP([jobnumber],OvalData[],MATCH(Table2[[#Headers],[Hanging Weight Closed]],Table2[#Headers],0),0)</f>
        <v>795</v>
      </c>
      <c r="R583" s="2">
        <f>VLOOKUP([jobnumber],OvalData[],MATCH(Table2[[#Headers],[Hanging Weight Open]],Table2[#Headers],0),0)</f>
        <v>140</v>
      </c>
      <c r="S583" s="2">
        <f>VLOOKUP([jobnumber],OvalData[],MATCH(Table2[[#Headers],[Initial Lever Arm]],Table2[#Headers],0),0)</f>
        <v>4.25</v>
      </c>
      <c r="T583" s="2">
        <f>VLOOKUP([jobnumber],OvalData[],MATCH(Table2[[#Headers],[Turns to Raise]],Table2[#Headers],0),0)</f>
        <v>3.5859999999999999</v>
      </c>
      <c r="U583" s="2">
        <f>VLOOKUP([jobnumber],OvalData[],MATCH(Table2[[#Headers],[Final Lever Arm]],Table2[#Headers],0),0)</f>
        <v>6.37</v>
      </c>
      <c r="V583" s="2">
        <f>VLOOKUP([jobnumber],OvalData[],MATCH(Table2[[#Headers],[Torque Required Closed]],Table2[#Headers],0),0)</f>
        <v>3377.9</v>
      </c>
      <c r="W583" s="2">
        <f>VLOOKUP([jobnumber],OvalData[],MATCH(Table2[[#Headers],[Torque Required Open]],Table2[#Headers],0),0)</f>
        <v>892</v>
      </c>
      <c r="X583" s="2">
        <f>VLOOKUP([jobnumber],OvalData[],MATCH(Table2[[#Headers],[Pre Turns]],Table2[#Headers],0),0)</f>
        <v>1.3332999999999999</v>
      </c>
      <c r="Y583" s="2">
        <f>VLOOKUP([jobnumber],OvalData[],MATCH(Table2[[#Headers],[Required Torque Per Turn]],Table2[#Headers],0),0)</f>
        <v>688</v>
      </c>
      <c r="Z583" s="2">
        <f>VLOOKUP([jobnumber],OvalData[],MATCH(Table2[[#Headers],[Total Turns]],Table2[#Headers],0),0)</f>
        <v>4.91</v>
      </c>
      <c r="AA583" s="2">
        <f>VLOOKUP([jobnumber],OvalData[],MATCH(Table2[[#Headers],[Grille Vision Section]],Table2[#Headers],0),0)</f>
        <v>0</v>
      </c>
      <c r="AB583" s="2">
        <f>VLOOKUP([jobnumber],OvalData[],MATCH(Table2[[#Headers],[Grille Amount]],Table2[#Headers],0),0)</f>
        <v>0</v>
      </c>
      <c r="AC583" s="2">
        <f>VLOOKUP([jobnumber],OvalData[],MATCH(Table2[[#Headers],[Grille Center]],Table2[#Headers],0),0)</f>
        <v>0</v>
      </c>
      <c r="AD583" s="2">
        <f>VLOOKUP([jobnumber],OvalData[],MATCH(Table2[[#Headers],[Grille Pattern]],Table2[#Headers],0),0)</f>
        <v>0</v>
      </c>
      <c r="AE583" s="2">
        <f>VLOOKUP([jobnumber],OvalData[],MATCH(Table2[[#Headers],[Grille First Tube]],Table2[#Headers],0),0)</f>
        <v>0</v>
      </c>
      <c r="AF583" s="2">
        <f>VLOOKUP([jobnumber],OvalData[],MATCH(Table2[[#Headers],[Grille Standard Tube]],Table2[#Headers],0),0)</f>
        <v>0</v>
      </c>
      <c r="AG583" s="2">
        <f>VLOOKUP([jobnumber],OvalData[],MATCH(Table2[[#Headers],[Grille Total Links]],Table2[#Headers],0),0)</f>
        <v>0</v>
      </c>
      <c r="AH583" s="2">
        <f>VLOOKUP([jobnumber],OvalData[],MATCH(Table2[[#Headers],[Grille Rods]],Table2[#Headers],0),0)</f>
        <v>0</v>
      </c>
      <c r="AI583" s="2">
        <f>VLOOKUP([jobnumber],OvalData[],MATCH(Table2[[#Headers],[Grille Rod Length]],Table2[#Headers],0),0)</f>
        <v>0</v>
      </c>
      <c r="AJ583" s="2">
        <f>VLOOKUP([jobnumber],OvalData[],MATCH(Table2[[#Headers],[slattype]],Table2[#Headers],0),0)</f>
        <v>2</v>
      </c>
      <c r="AK583" s="2">
        <f>VLOOKUP([jobnumber],OvalData[],MATCH(Table2[[#Headers],[slatgage]],Table2[#Headers],0),0)</f>
        <v>18</v>
      </c>
      <c r="AL583" s="2">
        <f>VLOOKUP([jobnumber],OvalData[],MATCH(Table2[[#Headers],[Numer of Top Slats]],Table2[#Headers],0),0)</f>
        <v>0</v>
      </c>
      <c r="AM583" s="2">
        <f>VLOOKUP([jobnumber],OvalData[],MATCH(Table2[[#Headers],[Number of Bottom Slats]],Table2[#Headers],0),0)</f>
        <v>0</v>
      </c>
      <c r="AN583" s="2">
        <f>VLOOKUP([jobnumber],OvalData[],MATCH(Table2[[#Headers],[Solid Bottom Height]],Table2[#Headers],0),0)</f>
        <v>0</v>
      </c>
      <c r="AO583" s="2" t="str">
        <f>VLOOKUP([jobnumber],OvalData[],MATCH(Table2[[#Headers],[slatlength]],Table2[#Headers],0),0)</f>
        <v xml:space="preserve"> 18 ft.- 5 7/ 8"</v>
      </c>
      <c r="AP583" s="2">
        <f>VLOOKUP([jobnumber],OvalData[],MATCH(Table2[[#Headers],[Bottom Slat Length]],Table2[#Headers],0),0)</f>
        <v>0</v>
      </c>
      <c r="AQ583" s="2">
        <f>VLOOKUP([jobnumber],OvalData[],MATCH(Table2[[#Headers],[Number of Perferated Slats]],Table2[#Headers],0),0)</f>
        <v>0</v>
      </c>
      <c r="AR583" s="2">
        <f>VLOOKUP([jobnumber],OvalData[],MATCH(Table2[[#Headers],[First Preferated Slat From End]],Table2[#Headers],0),0)</f>
        <v>0</v>
      </c>
      <c r="AS583" s="2">
        <f>VLOOKUP([jobnumber],OvalData[],MATCH(Table2[[#Headers],[First Preferated Slat From Bottom]],Table2[#Headers],0),0)</f>
        <v>0</v>
      </c>
      <c r="AT583" s="2">
        <f>VLOOKUP([jobnumber],OvalData[],MATCH(Table2[[#Headers],[Total Number of Slats]],Table2[#Headers],0),0)</f>
        <v>51</v>
      </c>
      <c r="AU583" s="2">
        <f>VLOOKUP([jobnumber],OvalData[],MATCH(Table2[[#Headers],[Bottom Bar Slope]],Table2[#Headers],0),0)</f>
        <v>0</v>
      </c>
      <c r="AV583" s="2">
        <f>VLOOKUP([jobnumber],OvalData[],MATCH(Table2[[#Headers],[Bottom Bar Weight]],Table2[#Headers],0),0)</f>
        <v>80.5</v>
      </c>
      <c r="AW583" s="2" t="str">
        <f>VLOOKUP([jobnumber],OvalData[],MATCH(Table2[[#Headers],[Outer Spring Gage]],Table2[#Headers],0),0)</f>
        <v>Null</v>
      </c>
      <c r="AX583" s="2" t="str">
        <f>VLOOKUP([jobnumber],OvalData[],MATCH(Table2[[#Headers],[Outer Spring OD]],Table2[#Headers],0),0)</f>
        <v>Null</v>
      </c>
      <c r="AY583" s="2" t="str">
        <f>VLOOKUP([jobnumber],OvalData[],MATCH(Table2[[#Headers],[Outer Spring Length]],Table2[#Headers],0),0)</f>
        <v>Null</v>
      </c>
      <c r="AZ583" s="2" t="str">
        <f>VLOOKUP([jobnumber],OvalData[],MATCH(Table2[[#Headers],[Outer Spring Stretch]],Table2[#Headers],0),0)</f>
        <v>Null</v>
      </c>
      <c r="BA583" s="2" t="str">
        <f>VLOOKUP([jobnumber],OvalData[],MATCH(Table2[[#Headers],[Outer Spring Torque]],Table2[#Headers],0),0)</f>
        <v>Null</v>
      </c>
      <c r="BB583" s="2" t="str">
        <f>VLOOKUP([jobnumber],OvalData[],MATCH(Table2[[#Headers],[Outer Spring Max Turns]],Table2[#Headers],0),0)</f>
        <v>Null</v>
      </c>
      <c r="BC583" s="2" t="str">
        <f>VLOOKUP([jobnumber],OvalData[],MATCH(Table2[[#Headers],[Outer Spring Weight]],Table2[#Headers],0),0)</f>
        <v>Null</v>
      </c>
      <c r="BD583" s="2" t="str">
        <f>VLOOKUP([jobnumber],OvalData[],MATCH(Table2[[#Headers],[Inner Spring Gage]],Table2[#Headers],0),0)</f>
        <v>Null</v>
      </c>
      <c r="BE583" s="2" t="str">
        <f>VLOOKUP([jobnumber],OvalData[],MATCH(Table2[[#Headers],[Inner Spring OD]],Table2[#Headers],0),0)</f>
        <v>Null</v>
      </c>
      <c r="BF583" s="2" t="str">
        <f>VLOOKUP([jobnumber],OvalData[],MATCH(Table2[[#Headers],[Inner Spring Length]],Table2[#Headers],0),0)</f>
        <v>Null</v>
      </c>
      <c r="BG583" s="2" t="str">
        <f>VLOOKUP([jobnumber],OvalData[],MATCH(Table2[[#Headers],[Inner Spring Stretch]],Table2[#Headers],0),0)</f>
        <v>Null</v>
      </c>
      <c r="BH583" s="2" t="str">
        <f>VLOOKUP([jobnumber],OvalData[],MATCH(Table2[[#Headers],[Inner Spring Torque]],Table2[#Headers],0),0)</f>
        <v>Null</v>
      </c>
      <c r="BI583" s="2" t="str">
        <f>VLOOKUP([jobnumber],OvalData[],MATCH(Table2[[#Headers],[Inner Spring Max Turns]],Table2[#Headers],0),0)</f>
        <v>Null</v>
      </c>
      <c r="BJ583" s="2" t="str">
        <f>VLOOKUP([jobnumber],OvalData[],MATCH(Table2[[#Headers],[Inner Spring Weight]],Table2[#Headers],0),0)</f>
        <v>Null</v>
      </c>
      <c r="BK583" s="2">
        <f>VLOOKUP([jobnumber],OvalData[],MATCH(Table2[[#Headers],[Cycles]],Table2[#Headers],0),0)</f>
        <v>0</v>
      </c>
      <c r="BL583" s="2">
        <f>VLOOKUP([jobnumber],OvalData[],MATCH(Table2[[#Headers],[Total Spring Torque]],Table2[#Headers],0),0)</f>
        <v>0</v>
      </c>
      <c r="BM583" s="2">
        <f>VLOOKUP([jobnumber],OvalData[],MATCH(Table2[[#Headers],[Total Spring Weight]],Table2[#Headers],0),0)</f>
        <v>0</v>
      </c>
      <c r="BN583" s="2">
        <f>VLOOKUP([jobnumber],OvalData[],MATCH(Table2[[#Headers],[Pipe Weight]],Table2[#Headers],0),0)</f>
        <v>688.24239999999998</v>
      </c>
      <c r="BO583" s="2">
        <f>VLOOKUP([jobnumber],OvalData[],MATCH(Table2[[#Headers],[Max Pipe Deflection]],Table2[#Headers],0),0)</f>
        <v>2309</v>
      </c>
      <c r="BP583" s="2">
        <f>VLOOKUP([jobnumber],OvalData[],MATCH(Table2[[#Headers],[Number Non-Insulated Wrap Slats]],Table2[#Headers],0),0)</f>
        <v>0</v>
      </c>
      <c r="BQ583" s="2">
        <f>VLOOKUP([jobnumber],OvalData[],MATCH(Table2[[#Headers],[Number of Insolated Top Slats]],Table2[#Headers],0),0)</f>
        <v>45</v>
      </c>
      <c r="BR583" s="2">
        <f>VLOOKUP([jobnumber],OvalData[],MATCH(Table2[[#Headers],[Insolated Total Slats]],Table2[#Headers],0),0)</f>
        <v>45</v>
      </c>
      <c r="BS583" s="2">
        <f>VLOOKUP([jobnumber],OvalData[],MATCH(Table2[[#Headers],[Number of Slats]],Table2[#Headers],0),0)</f>
        <v>44.69</v>
      </c>
      <c r="BT583" s="2">
        <f>VLOOKUP([jobnumber],OvalData[],MATCH(Table2[[#Headers],[Wrap]],Table2[#Headers],0),0)</f>
        <v>0</v>
      </c>
      <c r="BU583" s="2">
        <f>VLOOKUP([jobnumber],OvalData[],MATCH(Table2[[#Headers],[Wall Angle Thickness]],Table2[#Headers],0),0)</f>
        <v>0</v>
      </c>
      <c r="BV583" s="2">
        <f>VLOOKUP([jobnumber],OvalData[],MATCH(Table2[[#Headers],[windlocks]],Table2[#Headers],0),0)</f>
        <v>0</v>
      </c>
      <c r="BW583" s="2" t="str">
        <f>VLOOKUP([jobnumber],OvalData[],MATCH(Table2[[#Headers],[bottombartype]],Table2[#Headers],0),0)</f>
        <v>SPECIAL</v>
      </c>
      <c r="BX583" s="2">
        <f>VLOOKUP([jobnumber],OvalData[],MATCH(Table2[[#Headers],[endlockweight]],Table2[#Headers],0),0)</f>
        <v>0.17</v>
      </c>
      <c r="BY583" s="2">
        <f>VLOOKUP([jobnumber],OvalData[],MATCH(Table2[[#Headers],[Endlock Total Weight]],Table2[#Headers],0),0)</f>
        <v>7.5972999999999997</v>
      </c>
      <c r="BZ583" s="2">
        <f>VLOOKUP([jobnumber],OvalData[],MATCH(Table2[[#Headers],[Grille Weight]],Table2[#Headers],0),0)</f>
        <v>0</v>
      </c>
      <c r="CA583" s="2">
        <f>VLOOKUP([jobnumber],OvalData[],MATCH(Table2[[#Headers],[barrelrings]],Table2[#Headers],0),0)</f>
        <v>1</v>
      </c>
    </row>
    <row r="584" spans="2:79">
      <c r="B584" s="2" t="str">
        <f>VLOOKUP([jobnumber],OvalData[],MATCH(Table2[[#Headers],[Hand]],Table2[#Headers],0),0)</f>
        <v>RH</v>
      </c>
      <c r="C584" s="2" t="str">
        <f>VLOOKUP([jobnumber],OvalData[],MATCH(Table2[[#Headers],[Model]],Table2[#Headers],0),0)</f>
        <v>SFMPP</v>
      </c>
      <c r="D584" s="2" t="str">
        <f>VLOOKUP([jobnumber],OvalData[],MATCH(Table2[[#Headers],[width]],Table2[#Headers],0),0)</f>
        <v xml:space="preserve"> 18 ft.- 2"</v>
      </c>
      <c r="E584" s="2" t="str">
        <f>VLOOKUP([jobnumber],OvalData[],MATCH(Table2[[#Headers],[stopheight]],Table2[#Headers],0),0)</f>
        <v xml:space="preserve"> 10 ft.- 0"</v>
      </c>
      <c r="F584" s="2" t="str">
        <f>VLOOKUP([jobnumber],OvalData[],MATCH(Table2[[#Headers],[Between Brackets]],Table2[#Headers],0),0)</f>
        <v xml:space="preserve"> 18 ft.- 7 7/ 8"</v>
      </c>
      <c r="G584" s="2" t="str">
        <f>VLOOKUP([jobnumber],OvalData[],MATCH(Table2[[#Headers],[shell]],Table2[#Headers],0),0)</f>
        <v>6 INCH TUBE</v>
      </c>
      <c r="H584" s="2" t="str">
        <f>VLOOKUP([jobnumber],OvalData[],MATCH(Table2[[#Headers],[pipewidth]],Table2[#Headers],0),0)</f>
        <v xml:space="preserve"> 18 ft.- 1 3/ 8"</v>
      </c>
      <c r="I584" s="2">
        <f>VLOOKUP([jobnumber],OvalData[],MATCH(Table2[[#Headers],[Support Tubes]],Table2[#Headers],0),0)</f>
        <v>0</v>
      </c>
      <c r="J584" s="2">
        <f>VLOOKUP([jobnumber],OvalData[],MATCH(Table2[[#Headers],[Upset]],Table2[#Headers],0),0)</f>
        <v>2</v>
      </c>
      <c r="K584" s="2" t="str">
        <f>VLOOKUP([jobnumber],OvalData[],MATCH(Table2[[#Headers],[Guide Type]],Table2[#Headers],0),0)</f>
        <v>SN2-4 5/8-E</v>
      </c>
      <c r="L584" s="2" t="str">
        <f>VLOOKUP([jobnumber],OvalData[],MATCH(Table2[[#Headers],[Wall Angle]],Table2[#Headers],0),0)</f>
        <v xml:space="preserve"> 11 ft.- 8"</v>
      </c>
      <c r="M584" s="2" t="str">
        <f>VLOOKUP([jobnumber],OvalData[],MATCH(Table2[[#Headers],[Middle Angle]],Table2[#Headers],0),0)</f>
        <v xml:space="preserve"> 10 ft.- 4 1/ 2"</v>
      </c>
      <c r="N584" s="2" t="str">
        <f>VLOOKUP([jobnumber],OvalData[],MATCH(Table2[[#Headers],[Front Angle]],Table2[#Headers],0),0)</f>
        <v xml:space="preserve"> 10 ft.- 3"</v>
      </c>
      <c r="O584" s="2">
        <f>VLOOKUP([jobnumber],OvalData[],MATCH(Table2[[#Headers],[Pipe Center Line]],Table2[#Headers],0),0)</f>
        <v>131</v>
      </c>
      <c r="P584" s="2">
        <f>VLOOKUP([jobnumber],OvalData[],MATCH(Table2[[#Headers],[Heat Expansion Gap]],Table2[#Headers],0),0)</f>
        <v>0</v>
      </c>
      <c r="Q584" s="2">
        <f>VLOOKUP([jobnumber],OvalData[],MATCH(Table2[[#Headers],[Hanging Weight Closed]],Table2[#Headers],0),0)</f>
        <v>795</v>
      </c>
      <c r="R584" s="2">
        <f>VLOOKUP([jobnumber],OvalData[],MATCH(Table2[[#Headers],[Hanging Weight Open]],Table2[#Headers],0),0)</f>
        <v>140</v>
      </c>
      <c r="S584" s="2">
        <f>VLOOKUP([jobnumber],OvalData[],MATCH(Table2[[#Headers],[Initial Lever Arm]],Table2[#Headers],0),0)</f>
        <v>4.25</v>
      </c>
      <c r="T584" s="2">
        <f>VLOOKUP([jobnumber],OvalData[],MATCH(Table2[[#Headers],[Turns to Raise]],Table2[#Headers],0),0)</f>
        <v>3.5859999999999999</v>
      </c>
      <c r="U584" s="2">
        <f>VLOOKUP([jobnumber],OvalData[],MATCH(Table2[[#Headers],[Final Lever Arm]],Table2[#Headers],0),0)</f>
        <v>6.37</v>
      </c>
      <c r="V584" s="2">
        <f>VLOOKUP([jobnumber],OvalData[],MATCH(Table2[[#Headers],[Torque Required Closed]],Table2[#Headers],0),0)</f>
        <v>3377.9</v>
      </c>
      <c r="W584" s="2">
        <f>VLOOKUP([jobnumber],OvalData[],MATCH(Table2[[#Headers],[Torque Required Open]],Table2[#Headers],0),0)</f>
        <v>892</v>
      </c>
      <c r="X584" s="2">
        <f>VLOOKUP([jobnumber],OvalData[],MATCH(Table2[[#Headers],[Pre Turns]],Table2[#Headers],0),0)</f>
        <v>1.3332999999999999</v>
      </c>
      <c r="Y584" s="2">
        <f>VLOOKUP([jobnumber],OvalData[],MATCH(Table2[[#Headers],[Required Torque Per Turn]],Table2[#Headers],0),0)</f>
        <v>688</v>
      </c>
      <c r="Z584" s="2">
        <f>VLOOKUP([jobnumber],OvalData[],MATCH(Table2[[#Headers],[Total Turns]],Table2[#Headers],0),0)</f>
        <v>4.91</v>
      </c>
      <c r="AA584" s="2">
        <f>VLOOKUP([jobnumber],OvalData[],MATCH(Table2[[#Headers],[Grille Vision Section]],Table2[#Headers],0),0)</f>
        <v>0</v>
      </c>
      <c r="AB584" s="2">
        <f>VLOOKUP([jobnumber],OvalData[],MATCH(Table2[[#Headers],[Grille Amount]],Table2[#Headers],0),0)</f>
        <v>0</v>
      </c>
      <c r="AC584" s="2">
        <f>VLOOKUP([jobnumber],OvalData[],MATCH(Table2[[#Headers],[Grille Center]],Table2[#Headers],0),0)</f>
        <v>0</v>
      </c>
      <c r="AD584" s="2">
        <f>VLOOKUP([jobnumber],OvalData[],MATCH(Table2[[#Headers],[Grille Pattern]],Table2[#Headers],0),0)</f>
        <v>0</v>
      </c>
      <c r="AE584" s="2">
        <f>VLOOKUP([jobnumber],OvalData[],MATCH(Table2[[#Headers],[Grille First Tube]],Table2[#Headers],0),0)</f>
        <v>0</v>
      </c>
      <c r="AF584" s="2">
        <f>VLOOKUP([jobnumber],OvalData[],MATCH(Table2[[#Headers],[Grille Standard Tube]],Table2[#Headers],0),0)</f>
        <v>0</v>
      </c>
      <c r="AG584" s="2">
        <f>VLOOKUP([jobnumber],OvalData[],MATCH(Table2[[#Headers],[Grille Total Links]],Table2[#Headers],0),0)</f>
        <v>0</v>
      </c>
      <c r="AH584" s="2">
        <f>VLOOKUP([jobnumber],OvalData[],MATCH(Table2[[#Headers],[Grille Rods]],Table2[#Headers],0),0)</f>
        <v>0</v>
      </c>
      <c r="AI584" s="2">
        <f>VLOOKUP([jobnumber],OvalData[],MATCH(Table2[[#Headers],[Grille Rod Length]],Table2[#Headers],0),0)</f>
        <v>0</v>
      </c>
      <c r="AJ584" s="2">
        <f>VLOOKUP([jobnumber],OvalData[],MATCH(Table2[[#Headers],[slattype]],Table2[#Headers],0),0)</f>
        <v>2</v>
      </c>
      <c r="AK584" s="2">
        <f>VLOOKUP([jobnumber],OvalData[],MATCH(Table2[[#Headers],[slatgage]],Table2[#Headers],0),0)</f>
        <v>18</v>
      </c>
      <c r="AL584" s="2">
        <f>VLOOKUP([jobnumber],OvalData[],MATCH(Table2[[#Headers],[Numer of Top Slats]],Table2[#Headers],0),0)</f>
        <v>0</v>
      </c>
      <c r="AM584" s="2">
        <f>VLOOKUP([jobnumber],OvalData[],MATCH(Table2[[#Headers],[Number of Bottom Slats]],Table2[#Headers],0),0)</f>
        <v>0</v>
      </c>
      <c r="AN584" s="2">
        <f>VLOOKUP([jobnumber],OvalData[],MATCH(Table2[[#Headers],[Solid Bottom Height]],Table2[#Headers],0),0)</f>
        <v>0</v>
      </c>
      <c r="AO584" s="2" t="str">
        <f>VLOOKUP([jobnumber],OvalData[],MATCH(Table2[[#Headers],[slatlength]],Table2[#Headers],0),0)</f>
        <v xml:space="preserve"> 18 ft.- 5 7/ 8"</v>
      </c>
      <c r="AP584" s="2">
        <f>VLOOKUP([jobnumber],OvalData[],MATCH(Table2[[#Headers],[Bottom Slat Length]],Table2[#Headers],0),0)</f>
        <v>0</v>
      </c>
      <c r="AQ584" s="2">
        <f>VLOOKUP([jobnumber],OvalData[],MATCH(Table2[[#Headers],[Number of Perferated Slats]],Table2[#Headers],0),0)</f>
        <v>0</v>
      </c>
      <c r="AR584" s="2">
        <f>VLOOKUP([jobnumber],OvalData[],MATCH(Table2[[#Headers],[First Preferated Slat From End]],Table2[#Headers],0),0)</f>
        <v>0</v>
      </c>
      <c r="AS584" s="2">
        <f>VLOOKUP([jobnumber],OvalData[],MATCH(Table2[[#Headers],[First Preferated Slat From Bottom]],Table2[#Headers],0),0)</f>
        <v>0</v>
      </c>
      <c r="AT584" s="2">
        <f>VLOOKUP([jobnumber],OvalData[],MATCH(Table2[[#Headers],[Total Number of Slats]],Table2[#Headers],0),0)</f>
        <v>51</v>
      </c>
      <c r="AU584" s="2">
        <f>VLOOKUP([jobnumber],OvalData[],MATCH(Table2[[#Headers],[Bottom Bar Slope]],Table2[#Headers],0),0)</f>
        <v>0</v>
      </c>
      <c r="AV584" s="2">
        <f>VLOOKUP([jobnumber],OvalData[],MATCH(Table2[[#Headers],[Bottom Bar Weight]],Table2[#Headers],0),0)</f>
        <v>80.5</v>
      </c>
      <c r="AW584" s="2" t="str">
        <f>VLOOKUP([jobnumber],OvalData[],MATCH(Table2[[#Headers],[Outer Spring Gage]],Table2[#Headers],0),0)</f>
        <v>Null</v>
      </c>
      <c r="AX584" s="2" t="str">
        <f>VLOOKUP([jobnumber],OvalData[],MATCH(Table2[[#Headers],[Outer Spring OD]],Table2[#Headers],0),0)</f>
        <v>Null</v>
      </c>
      <c r="AY584" s="2" t="str">
        <f>VLOOKUP([jobnumber],OvalData[],MATCH(Table2[[#Headers],[Outer Spring Length]],Table2[#Headers],0),0)</f>
        <v>Null</v>
      </c>
      <c r="AZ584" s="2" t="str">
        <f>VLOOKUP([jobnumber],OvalData[],MATCH(Table2[[#Headers],[Outer Spring Stretch]],Table2[#Headers],0),0)</f>
        <v>Null</v>
      </c>
      <c r="BA584" s="2" t="str">
        <f>VLOOKUP([jobnumber],OvalData[],MATCH(Table2[[#Headers],[Outer Spring Torque]],Table2[#Headers],0),0)</f>
        <v>Null</v>
      </c>
      <c r="BB584" s="2" t="str">
        <f>VLOOKUP([jobnumber],OvalData[],MATCH(Table2[[#Headers],[Outer Spring Max Turns]],Table2[#Headers],0),0)</f>
        <v>Null</v>
      </c>
      <c r="BC584" s="2" t="str">
        <f>VLOOKUP([jobnumber],OvalData[],MATCH(Table2[[#Headers],[Outer Spring Weight]],Table2[#Headers],0),0)</f>
        <v>Null</v>
      </c>
      <c r="BD584" s="2" t="str">
        <f>VLOOKUP([jobnumber],OvalData[],MATCH(Table2[[#Headers],[Inner Spring Gage]],Table2[#Headers],0),0)</f>
        <v>Null</v>
      </c>
      <c r="BE584" s="2" t="str">
        <f>VLOOKUP([jobnumber],OvalData[],MATCH(Table2[[#Headers],[Inner Spring OD]],Table2[#Headers],0),0)</f>
        <v>Null</v>
      </c>
      <c r="BF584" s="2" t="str">
        <f>VLOOKUP([jobnumber],OvalData[],MATCH(Table2[[#Headers],[Inner Spring Length]],Table2[#Headers],0),0)</f>
        <v>Null</v>
      </c>
      <c r="BG584" s="2" t="str">
        <f>VLOOKUP([jobnumber],OvalData[],MATCH(Table2[[#Headers],[Inner Spring Stretch]],Table2[#Headers],0),0)</f>
        <v>Null</v>
      </c>
      <c r="BH584" s="2" t="str">
        <f>VLOOKUP([jobnumber],OvalData[],MATCH(Table2[[#Headers],[Inner Spring Torque]],Table2[#Headers],0),0)</f>
        <v>Null</v>
      </c>
      <c r="BI584" s="2" t="str">
        <f>VLOOKUP([jobnumber],OvalData[],MATCH(Table2[[#Headers],[Inner Spring Max Turns]],Table2[#Headers],0),0)</f>
        <v>Null</v>
      </c>
      <c r="BJ584" s="2" t="str">
        <f>VLOOKUP([jobnumber],OvalData[],MATCH(Table2[[#Headers],[Inner Spring Weight]],Table2[#Headers],0),0)</f>
        <v>Null</v>
      </c>
      <c r="BK584" s="2">
        <f>VLOOKUP([jobnumber],OvalData[],MATCH(Table2[[#Headers],[Cycles]],Table2[#Headers],0),0)</f>
        <v>0</v>
      </c>
      <c r="BL584" s="2">
        <f>VLOOKUP([jobnumber],OvalData[],MATCH(Table2[[#Headers],[Total Spring Torque]],Table2[#Headers],0),0)</f>
        <v>0</v>
      </c>
      <c r="BM584" s="2">
        <f>VLOOKUP([jobnumber],OvalData[],MATCH(Table2[[#Headers],[Total Spring Weight]],Table2[#Headers],0),0)</f>
        <v>0</v>
      </c>
      <c r="BN584" s="2">
        <f>VLOOKUP([jobnumber],OvalData[],MATCH(Table2[[#Headers],[Pipe Weight]],Table2[#Headers],0),0)</f>
        <v>688.24239999999998</v>
      </c>
      <c r="BO584" s="2">
        <f>VLOOKUP([jobnumber],OvalData[],MATCH(Table2[[#Headers],[Max Pipe Deflection]],Table2[#Headers],0),0)</f>
        <v>2309</v>
      </c>
      <c r="BP584" s="2">
        <f>VLOOKUP([jobnumber],OvalData[],MATCH(Table2[[#Headers],[Number Non-Insulated Wrap Slats]],Table2[#Headers],0),0)</f>
        <v>0</v>
      </c>
      <c r="BQ584" s="2">
        <f>VLOOKUP([jobnumber],OvalData[],MATCH(Table2[[#Headers],[Number of Insolated Top Slats]],Table2[#Headers],0),0)</f>
        <v>45</v>
      </c>
      <c r="BR584" s="2">
        <f>VLOOKUP([jobnumber],OvalData[],MATCH(Table2[[#Headers],[Insolated Total Slats]],Table2[#Headers],0),0)</f>
        <v>45</v>
      </c>
      <c r="BS584" s="2">
        <f>VLOOKUP([jobnumber],OvalData[],MATCH(Table2[[#Headers],[Number of Slats]],Table2[#Headers],0),0)</f>
        <v>44.69</v>
      </c>
      <c r="BT584" s="2">
        <f>VLOOKUP([jobnumber],OvalData[],MATCH(Table2[[#Headers],[Wrap]],Table2[#Headers],0),0)</f>
        <v>0</v>
      </c>
      <c r="BU584" s="2">
        <f>VLOOKUP([jobnumber],OvalData[],MATCH(Table2[[#Headers],[Wall Angle Thickness]],Table2[#Headers],0),0)</f>
        <v>0</v>
      </c>
      <c r="BV584" s="2">
        <f>VLOOKUP([jobnumber],OvalData[],MATCH(Table2[[#Headers],[windlocks]],Table2[#Headers],0),0)</f>
        <v>0</v>
      </c>
      <c r="BW584" s="2" t="str">
        <f>VLOOKUP([jobnumber],OvalData[],MATCH(Table2[[#Headers],[bottombartype]],Table2[#Headers],0),0)</f>
        <v>SPECIAL</v>
      </c>
      <c r="BX584" s="2">
        <f>VLOOKUP([jobnumber],OvalData[],MATCH(Table2[[#Headers],[endlockweight]],Table2[#Headers],0),0)</f>
        <v>0.17</v>
      </c>
      <c r="BY584" s="2">
        <f>VLOOKUP([jobnumber],OvalData[],MATCH(Table2[[#Headers],[Endlock Total Weight]],Table2[#Headers],0),0)</f>
        <v>7.5972999999999997</v>
      </c>
      <c r="BZ584" s="2">
        <f>VLOOKUP([jobnumber],OvalData[],MATCH(Table2[[#Headers],[Grille Weight]],Table2[#Headers],0),0)</f>
        <v>0</v>
      </c>
      <c r="CA584" s="2">
        <f>VLOOKUP([jobnumber],OvalData[],MATCH(Table2[[#Headers],[barrelrings]],Table2[#Headers],0),0)</f>
        <v>1</v>
      </c>
    </row>
    <row r="585" spans="2:79">
      <c r="B585" s="2" t="str">
        <f>VLOOKUP([jobnumber],OvalData[],MATCH(Table2[[#Headers],[Hand]],Table2[#Headers],0),0)</f>
        <v>RH</v>
      </c>
      <c r="C585" s="2" t="str">
        <f>VLOOKUP([jobnumber],OvalData[],MATCH(Table2[[#Headers],[Model]],Table2[#Headers],0),0)</f>
        <v>SFMPP</v>
      </c>
      <c r="D585" s="2" t="str">
        <f>VLOOKUP([jobnumber],OvalData[],MATCH(Table2[[#Headers],[width]],Table2[#Headers],0),0)</f>
        <v xml:space="preserve"> 18 ft.- 2"</v>
      </c>
      <c r="E585" s="2" t="str">
        <f>VLOOKUP([jobnumber],OvalData[],MATCH(Table2[[#Headers],[stopheight]],Table2[#Headers],0),0)</f>
        <v xml:space="preserve"> 10 ft.- 0"</v>
      </c>
      <c r="F585" s="2" t="str">
        <f>VLOOKUP([jobnumber],OvalData[],MATCH(Table2[[#Headers],[Between Brackets]],Table2[#Headers],0),0)</f>
        <v xml:space="preserve"> 18 ft.- 7 7/ 8"</v>
      </c>
      <c r="G585" s="2" t="str">
        <f>VLOOKUP([jobnumber],OvalData[],MATCH(Table2[[#Headers],[shell]],Table2[#Headers],0),0)</f>
        <v>6 INCH TUBE</v>
      </c>
      <c r="H585" s="2" t="str">
        <f>VLOOKUP([jobnumber],OvalData[],MATCH(Table2[[#Headers],[pipewidth]],Table2[#Headers],0),0)</f>
        <v xml:space="preserve"> 18 ft.- 1 3/ 8"</v>
      </c>
      <c r="I585" s="2">
        <f>VLOOKUP([jobnumber],OvalData[],MATCH(Table2[[#Headers],[Support Tubes]],Table2[#Headers],0),0)</f>
        <v>0</v>
      </c>
      <c r="J585" s="2">
        <f>VLOOKUP([jobnumber],OvalData[],MATCH(Table2[[#Headers],[Upset]],Table2[#Headers],0),0)</f>
        <v>2</v>
      </c>
      <c r="K585" s="2" t="str">
        <f>VLOOKUP([jobnumber],OvalData[],MATCH(Table2[[#Headers],[Guide Type]],Table2[#Headers],0),0)</f>
        <v>SN2-4 5/8-E</v>
      </c>
      <c r="L585" s="2" t="str">
        <f>VLOOKUP([jobnumber],OvalData[],MATCH(Table2[[#Headers],[Wall Angle]],Table2[#Headers],0),0)</f>
        <v xml:space="preserve"> 11 ft.- 8"</v>
      </c>
      <c r="M585" s="2" t="str">
        <f>VLOOKUP([jobnumber],OvalData[],MATCH(Table2[[#Headers],[Middle Angle]],Table2[#Headers],0),0)</f>
        <v xml:space="preserve"> 10 ft.- 4 1/ 2"</v>
      </c>
      <c r="N585" s="2" t="str">
        <f>VLOOKUP([jobnumber],OvalData[],MATCH(Table2[[#Headers],[Front Angle]],Table2[#Headers],0),0)</f>
        <v xml:space="preserve"> 10 ft.- 3"</v>
      </c>
      <c r="O585" s="2">
        <f>VLOOKUP([jobnumber],OvalData[],MATCH(Table2[[#Headers],[Pipe Center Line]],Table2[#Headers],0),0)</f>
        <v>131</v>
      </c>
      <c r="P585" s="2">
        <f>VLOOKUP([jobnumber],OvalData[],MATCH(Table2[[#Headers],[Heat Expansion Gap]],Table2[#Headers],0),0)</f>
        <v>0</v>
      </c>
      <c r="Q585" s="2">
        <f>VLOOKUP([jobnumber],OvalData[],MATCH(Table2[[#Headers],[Hanging Weight Closed]],Table2[#Headers],0),0)</f>
        <v>795</v>
      </c>
      <c r="R585" s="2">
        <f>VLOOKUP([jobnumber],OvalData[],MATCH(Table2[[#Headers],[Hanging Weight Open]],Table2[#Headers],0),0)</f>
        <v>140</v>
      </c>
      <c r="S585" s="2">
        <f>VLOOKUP([jobnumber],OvalData[],MATCH(Table2[[#Headers],[Initial Lever Arm]],Table2[#Headers],0),0)</f>
        <v>4.25</v>
      </c>
      <c r="T585" s="2">
        <f>VLOOKUP([jobnumber],OvalData[],MATCH(Table2[[#Headers],[Turns to Raise]],Table2[#Headers],0),0)</f>
        <v>3.5859999999999999</v>
      </c>
      <c r="U585" s="2">
        <f>VLOOKUP([jobnumber],OvalData[],MATCH(Table2[[#Headers],[Final Lever Arm]],Table2[#Headers],0),0)</f>
        <v>6.37</v>
      </c>
      <c r="V585" s="2">
        <f>VLOOKUP([jobnumber],OvalData[],MATCH(Table2[[#Headers],[Torque Required Closed]],Table2[#Headers],0),0)</f>
        <v>3377.9</v>
      </c>
      <c r="W585" s="2">
        <f>VLOOKUP([jobnumber],OvalData[],MATCH(Table2[[#Headers],[Torque Required Open]],Table2[#Headers],0),0)</f>
        <v>892</v>
      </c>
      <c r="X585" s="2">
        <f>VLOOKUP([jobnumber],OvalData[],MATCH(Table2[[#Headers],[Pre Turns]],Table2[#Headers],0),0)</f>
        <v>1.3332999999999999</v>
      </c>
      <c r="Y585" s="2">
        <f>VLOOKUP([jobnumber],OvalData[],MATCH(Table2[[#Headers],[Required Torque Per Turn]],Table2[#Headers],0),0)</f>
        <v>688</v>
      </c>
      <c r="Z585" s="2">
        <f>VLOOKUP([jobnumber],OvalData[],MATCH(Table2[[#Headers],[Total Turns]],Table2[#Headers],0),0)</f>
        <v>4.91</v>
      </c>
      <c r="AA585" s="2">
        <f>VLOOKUP([jobnumber],OvalData[],MATCH(Table2[[#Headers],[Grille Vision Section]],Table2[#Headers],0),0)</f>
        <v>0</v>
      </c>
      <c r="AB585" s="2">
        <f>VLOOKUP([jobnumber],OvalData[],MATCH(Table2[[#Headers],[Grille Amount]],Table2[#Headers],0),0)</f>
        <v>0</v>
      </c>
      <c r="AC585" s="2">
        <f>VLOOKUP([jobnumber],OvalData[],MATCH(Table2[[#Headers],[Grille Center]],Table2[#Headers],0),0)</f>
        <v>0</v>
      </c>
      <c r="AD585" s="2">
        <f>VLOOKUP([jobnumber],OvalData[],MATCH(Table2[[#Headers],[Grille Pattern]],Table2[#Headers],0),0)</f>
        <v>0</v>
      </c>
      <c r="AE585" s="2">
        <f>VLOOKUP([jobnumber],OvalData[],MATCH(Table2[[#Headers],[Grille First Tube]],Table2[#Headers],0),0)</f>
        <v>0</v>
      </c>
      <c r="AF585" s="2">
        <f>VLOOKUP([jobnumber],OvalData[],MATCH(Table2[[#Headers],[Grille Standard Tube]],Table2[#Headers],0),0)</f>
        <v>0</v>
      </c>
      <c r="AG585" s="2">
        <f>VLOOKUP([jobnumber],OvalData[],MATCH(Table2[[#Headers],[Grille Total Links]],Table2[#Headers],0),0)</f>
        <v>0</v>
      </c>
      <c r="AH585" s="2">
        <f>VLOOKUP([jobnumber],OvalData[],MATCH(Table2[[#Headers],[Grille Rods]],Table2[#Headers],0),0)</f>
        <v>0</v>
      </c>
      <c r="AI585" s="2">
        <f>VLOOKUP([jobnumber],OvalData[],MATCH(Table2[[#Headers],[Grille Rod Length]],Table2[#Headers],0),0)</f>
        <v>0</v>
      </c>
      <c r="AJ585" s="2">
        <f>VLOOKUP([jobnumber],OvalData[],MATCH(Table2[[#Headers],[slattype]],Table2[#Headers],0),0)</f>
        <v>2</v>
      </c>
      <c r="AK585" s="2">
        <f>VLOOKUP([jobnumber],OvalData[],MATCH(Table2[[#Headers],[slatgage]],Table2[#Headers],0),0)</f>
        <v>18</v>
      </c>
      <c r="AL585" s="2">
        <f>VLOOKUP([jobnumber],OvalData[],MATCH(Table2[[#Headers],[Numer of Top Slats]],Table2[#Headers],0),0)</f>
        <v>0</v>
      </c>
      <c r="AM585" s="2">
        <f>VLOOKUP([jobnumber],OvalData[],MATCH(Table2[[#Headers],[Number of Bottom Slats]],Table2[#Headers],0),0)</f>
        <v>0</v>
      </c>
      <c r="AN585" s="2">
        <f>VLOOKUP([jobnumber],OvalData[],MATCH(Table2[[#Headers],[Solid Bottom Height]],Table2[#Headers],0),0)</f>
        <v>0</v>
      </c>
      <c r="AO585" s="2" t="str">
        <f>VLOOKUP([jobnumber],OvalData[],MATCH(Table2[[#Headers],[slatlength]],Table2[#Headers],0),0)</f>
        <v xml:space="preserve"> 18 ft.- 5 7/ 8"</v>
      </c>
      <c r="AP585" s="2">
        <f>VLOOKUP([jobnumber],OvalData[],MATCH(Table2[[#Headers],[Bottom Slat Length]],Table2[#Headers],0),0)</f>
        <v>0</v>
      </c>
      <c r="AQ585" s="2">
        <f>VLOOKUP([jobnumber],OvalData[],MATCH(Table2[[#Headers],[Number of Perferated Slats]],Table2[#Headers],0),0)</f>
        <v>0</v>
      </c>
      <c r="AR585" s="2">
        <f>VLOOKUP([jobnumber],OvalData[],MATCH(Table2[[#Headers],[First Preferated Slat From End]],Table2[#Headers],0),0)</f>
        <v>0</v>
      </c>
      <c r="AS585" s="2">
        <f>VLOOKUP([jobnumber],OvalData[],MATCH(Table2[[#Headers],[First Preferated Slat From Bottom]],Table2[#Headers],0),0)</f>
        <v>0</v>
      </c>
      <c r="AT585" s="2">
        <f>VLOOKUP([jobnumber],OvalData[],MATCH(Table2[[#Headers],[Total Number of Slats]],Table2[#Headers],0),0)</f>
        <v>51</v>
      </c>
      <c r="AU585" s="2">
        <f>VLOOKUP([jobnumber],OvalData[],MATCH(Table2[[#Headers],[Bottom Bar Slope]],Table2[#Headers],0),0)</f>
        <v>0</v>
      </c>
      <c r="AV585" s="2">
        <f>VLOOKUP([jobnumber],OvalData[],MATCH(Table2[[#Headers],[Bottom Bar Weight]],Table2[#Headers],0),0)</f>
        <v>80.5</v>
      </c>
      <c r="AW585" s="2" t="str">
        <f>VLOOKUP([jobnumber],OvalData[],MATCH(Table2[[#Headers],[Outer Spring Gage]],Table2[#Headers],0),0)</f>
        <v>Null</v>
      </c>
      <c r="AX585" s="2" t="str">
        <f>VLOOKUP([jobnumber],OvalData[],MATCH(Table2[[#Headers],[Outer Spring OD]],Table2[#Headers],0),0)</f>
        <v>Null</v>
      </c>
      <c r="AY585" s="2" t="str">
        <f>VLOOKUP([jobnumber],OvalData[],MATCH(Table2[[#Headers],[Outer Spring Length]],Table2[#Headers],0),0)</f>
        <v>Null</v>
      </c>
      <c r="AZ585" s="2" t="str">
        <f>VLOOKUP([jobnumber],OvalData[],MATCH(Table2[[#Headers],[Outer Spring Stretch]],Table2[#Headers],0),0)</f>
        <v>Null</v>
      </c>
      <c r="BA585" s="2" t="str">
        <f>VLOOKUP([jobnumber],OvalData[],MATCH(Table2[[#Headers],[Outer Spring Torque]],Table2[#Headers],0),0)</f>
        <v>Null</v>
      </c>
      <c r="BB585" s="2" t="str">
        <f>VLOOKUP([jobnumber],OvalData[],MATCH(Table2[[#Headers],[Outer Spring Max Turns]],Table2[#Headers],0),0)</f>
        <v>Null</v>
      </c>
      <c r="BC585" s="2" t="str">
        <f>VLOOKUP([jobnumber],OvalData[],MATCH(Table2[[#Headers],[Outer Spring Weight]],Table2[#Headers],0),0)</f>
        <v>Null</v>
      </c>
      <c r="BD585" s="2" t="str">
        <f>VLOOKUP([jobnumber],OvalData[],MATCH(Table2[[#Headers],[Inner Spring Gage]],Table2[#Headers],0),0)</f>
        <v>Null</v>
      </c>
      <c r="BE585" s="2" t="str">
        <f>VLOOKUP([jobnumber],OvalData[],MATCH(Table2[[#Headers],[Inner Spring OD]],Table2[#Headers],0),0)</f>
        <v>Null</v>
      </c>
      <c r="BF585" s="2" t="str">
        <f>VLOOKUP([jobnumber],OvalData[],MATCH(Table2[[#Headers],[Inner Spring Length]],Table2[#Headers],0),0)</f>
        <v>Null</v>
      </c>
      <c r="BG585" s="2" t="str">
        <f>VLOOKUP([jobnumber],OvalData[],MATCH(Table2[[#Headers],[Inner Spring Stretch]],Table2[#Headers],0),0)</f>
        <v>Null</v>
      </c>
      <c r="BH585" s="2" t="str">
        <f>VLOOKUP([jobnumber],OvalData[],MATCH(Table2[[#Headers],[Inner Spring Torque]],Table2[#Headers],0),0)</f>
        <v>Null</v>
      </c>
      <c r="BI585" s="2" t="str">
        <f>VLOOKUP([jobnumber],OvalData[],MATCH(Table2[[#Headers],[Inner Spring Max Turns]],Table2[#Headers],0),0)</f>
        <v>Null</v>
      </c>
      <c r="BJ585" s="2" t="str">
        <f>VLOOKUP([jobnumber],OvalData[],MATCH(Table2[[#Headers],[Inner Spring Weight]],Table2[#Headers],0),0)</f>
        <v>Null</v>
      </c>
      <c r="BK585" s="2">
        <f>VLOOKUP([jobnumber],OvalData[],MATCH(Table2[[#Headers],[Cycles]],Table2[#Headers],0),0)</f>
        <v>0</v>
      </c>
      <c r="BL585" s="2">
        <f>VLOOKUP([jobnumber],OvalData[],MATCH(Table2[[#Headers],[Total Spring Torque]],Table2[#Headers],0),0)</f>
        <v>0</v>
      </c>
      <c r="BM585" s="2">
        <f>VLOOKUP([jobnumber],OvalData[],MATCH(Table2[[#Headers],[Total Spring Weight]],Table2[#Headers],0),0)</f>
        <v>0</v>
      </c>
      <c r="BN585" s="2">
        <f>VLOOKUP([jobnumber],OvalData[],MATCH(Table2[[#Headers],[Pipe Weight]],Table2[#Headers],0),0)</f>
        <v>688.24239999999998</v>
      </c>
      <c r="BO585" s="2">
        <f>VLOOKUP([jobnumber],OvalData[],MATCH(Table2[[#Headers],[Max Pipe Deflection]],Table2[#Headers],0),0)</f>
        <v>2309</v>
      </c>
      <c r="BP585" s="2">
        <f>VLOOKUP([jobnumber],OvalData[],MATCH(Table2[[#Headers],[Number Non-Insulated Wrap Slats]],Table2[#Headers],0),0)</f>
        <v>0</v>
      </c>
      <c r="BQ585" s="2">
        <f>VLOOKUP([jobnumber],OvalData[],MATCH(Table2[[#Headers],[Number of Insolated Top Slats]],Table2[#Headers],0),0)</f>
        <v>45</v>
      </c>
      <c r="BR585" s="2">
        <f>VLOOKUP([jobnumber],OvalData[],MATCH(Table2[[#Headers],[Insolated Total Slats]],Table2[#Headers],0),0)</f>
        <v>45</v>
      </c>
      <c r="BS585" s="2">
        <f>VLOOKUP([jobnumber],OvalData[],MATCH(Table2[[#Headers],[Number of Slats]],Table2[#Headers],0),0)</f>
        <v>44.69</v>
      </c>
      <c r="BT585" s="2">
        <f>VLOOKUP([jobnumber],OvalData[],MATCH(Table2[[#Headers],[Wrap]],Table2[#Headers],0),0)</f>
        <v>0</v>
      </c>
      <c r="BU585" s="2">
        <f>VLOOKUP([jobnumber],OvalData[],MATCH(Table2[[#Headers],[Wall Angle Thickness]],Table2[#Headers],0),0)</f>
        <v>0</v>
      </c>
      <c r="BV585" s="2">
        <f>VLOOKUP([jobnumber],OvalData[],MATCH(Table2[[#Headers],[windlocks]],Table2[#Headers],0),0)</f>
        <v>0</v>
      </c>
      <c r="BW585" s="2" t="str">
        <f>VLOOKUP([jobnumber],OvalData[],MATCH(Table2[[#Headers],[bottombartype]],Table2[#Headers],0),0)</f>
        <v>SPECIAL</v>
      </c>
      <c r="BX585" s="2">
        <f>VLOOKUP([jobnumber],OvalData[],MATCH(Table2[[#Headers],[endlockweight]],Table2[#Headers],0),0)</f>
        <v>0.17</v>
      </c>
      <c r="BY585" s="2">
        <f>VLOOKUP([jobnumber],OvalData[],MATCH(Table2[[#Headers],[Endlock Total Weight]],Table2[#Headers],0),0)</f>
        <v>7.5972999999999997</v>
      </c>
      <c r="BZ585" s="2">
        <f>VLOOKUP([jobnumber],OvalData[],MATCH(Table2[[#Headers],[Grille Weight]],Table2[#Headers],0),0)</f>
        <v>0</v>
      </c>
      <c r="CA585" s="2">
        <f>VLOOKUP([jobnumber],OvalData[],MATCH(Table2[[#Headers],[barrelrings]],Table2[#Headers],0),0)</f>
        <v>1</v>
      </c>
    </row>
    <row r="586" spans="2:79">
      <c r="B586" s="2" t="str">
        <f>VLOOKUP([jobnumber],OvalData[],MATCH(Table2[[#Headers],[Hand]],Table2[#Headers],0),0)</f>
        <v>RH</v>
      </c>
      <c r="C586" s="2" t="str">
        <f>VLOOKUP([jobnumber],OvalData[],MATCH(Table2[[#Headers],[Model]],Table2[#Headers],0),0)</f>
        <v>SFMPP</v>
      </c>
      <c r="D586" s="2" t="str">
        <f>VLOOKUP([jobnumber],OvalData[],MATCH(Table2[[#Headers],[width]],Table2[#Headers],0),0)</f>
        <v xml:space="preserve"> 18 ft.- 2"</v>
      </c>
      <c r="E586" s="2" t="str">
        <f>VLOOKUP([jobnumber],OvalData[],MATCH(Table2[[#Headers],[stopheight]],Table2[#Headers],0),0)</f>
        <v xml:space="preserve"> 10 ft.- 0"</v>
      </c>
      <c r="F586" s="2" t="str">
        <f>VLOOKUP([jobnumber],OvalData[],MATCH(Table2[[#Headers],[Between Brackets]],Table2[#Headers],0),0)</f>
        <v xml:space="preserve"> 18 ft.- 7 7/ 8"</v>
      </c>
      <c r="G586" s="2" t="str">
        <f>VLOOKUP([jobnumber],OvalData[],MATCH(Table2[[#Headers],[shell]],Table2[#Headers],0),0)</f>
        <v>6 INCH TUBE</v>
      </c>
      <c r="H586" s="2" t="str">
        <f>VLOOKUP([jobnumber],OvalData[],MATCH(Table2[[#Headers],[pipewidth]],Table2[#Headers],0),0)</f>
        <v xml:space="preserve"> 18 ft.- 1 3/ 8"</v>
      </c>
      <c r="I586" s="2">
        <f>VLOOKUP([jobnumber],OvalData[],MATCH(Table2[[#Headers],[Support Tubes]],Table2[#Headers],0),0)</f>
        <v>0</v>
      </c>
      <c r="J586" s="2">
        <f>VLOOKUP([jobnumber],OvalData[],MATCH(Table2[[#Headers],[Upset]],Table2[#Headers],0),0)</f>
        <v>2</v>
      </c>
      <c r="K586" s="2" t="str">
        <f>VLOOKUP([jobnumber],OvalData[],MATCH(Table2[[#Headers],[Guide Type]],Table2[#Headers],0),0)</f>
        <v>SN2-4 5/8-E</v>
      </c>
      <c r="L586" s="2" t="str">
        <f>VLOOKUP([jobnumber],OvalData[],MATCH(Table2[[#Headers],[Wall Angle]],Table2[#Headers],0),0)</f>
        <v xml:space="preserve"> 11 ft.- 8"</v>
      </c>
      <c r="M586" s="2" t="str">
        <f>VLOOKUP([jobnumber],OvalData[],MATCH(Table2[[#Headers],[Middle Angle]],Table2[#Headers],0),0)</f>
        <v xml:space="preserve"> 10 ft.- 4 1/ 2"</v>
      </c>
      <c r="N586" s="2" t="str">
        <f>VLOOKUP([jobnumber],OvalData[],MATCH(Table2[[#Headers],[Front Angle]],Table2[#Headers],0),0)</f>
        <v xml:space="preserve"> 10 ft.- 3"</v>
      </c>
      <c r="O586" s="2">
        <f>VLOOKUP([jobnumber],OvalData[],MATCH(Table2[[#Headers],[Pipe Center Line]],Table2[#Headers],0),0)</f>
        <v>131</v>
      </c>
      <c r="P586" s="2">
        <f>VLOOKUP([jobnumber],OvalData[],MATCH(Table2[[#Headers],[Heat Expansion Gap]],Table2[#Headers],0),0)</f>
        <v>0</v>
      </c>
      <c r="Q586" s="2">
        <f>VLOOKUP([jobnumber],OvalData[],MATCH(Table2[[#Headers],[Hanging Weight Closed]],Table2[#Headers],0),0)</f>
        <v>795</v>
      </c>
      <c r="R586" s="2">
        <f>VLOOKUP([jobnumber],OvalData[],MATCH(Table2[[#Headers],[Hanging Weight Open]],Table2[#Headers],0),0)</f>
        <v>140</v>
      </c>
      <c r="S586" s="2">
        <f>VLOOKUP([jobnumber],OvalData[],MATCH(Table2[[#Headers],[Initial Lever Arm]],Table2[#Headers],0),0)</f>
        <v>4.25</v>
      </c>
      <c r="T586" s="2">
        <f>VLOOKUP([jobnumber],OvalData[],MATCH(Table2[[#Headers],[Turns to Raise]],Table2[#Headers],0),0)</f>
        <v>3.5859999999999999</v>
      </c>
      <c r="U586" s="2">
        <f>VLOOKUP([jobnumber],OvalData[],MATCH(Table2[[#Headers],[Final Lever Arm]],Table2[#Headers],0),0)</f>
        <v>6.37</v>
      </c>
      <c r="V586" s="2">
        <f>VLOOKUP([jobnumber],OvalData[],MATCH(Table2[[#Headers],[Torque Required Closed]],Table2[#Headers],0),0)</f>
        <v>3377.9</v>
      </c>
      <c r="W586" s="2">
        <f>VLOOKUP([jobnumber],OvalData[],MATCH(Table2[[#Headers],[Torque Required Open]],Table2[#Headers],0),0)</f>
        <v>892</v>
      </c>
      <c r="X586" s="2">
        <f>VLOOKUP([jobnumber],OvalData[],MATCH(Table2[[#Headers],[Pre Turns]],Table2[#Headers],0),0)</f>
        <v>1.3332999999999999</v>
      </c>
      <c r="Y586" s="2">
        <f>VLOOKUP([jobnumber],OvalData[],MATCH(Table2[[#Headers],[Required Torque Per Turn]],Table2[#Headers],0),0)</f>
        <v>688</v>
      </c>
      <c r="Z586" s="2">
        <f>VLOOKUP([jobnumber],OvalData[],MATCH(Table2[[#Headers],[Total Turns]],Table2[#Headers],0),0)</f>
        <v>4.91</v>
      </c>
      <c r="AA586" s="2">
        <f>VLOOKUP([jobnumber],OvalData[],MATCH(Table2[[#Headers],[Grille Vision Section]],Table2[#Headers],0),0)</f>
        <v>0</v>
      </c>
      <c r="AB586" s="2">
        <f>VLOOKUP([jobnumber],OvalData[],MATCH(Table2[[#Headers],[Grille Amount]],Table2[#Headers],0),0)</f>
        <v>0</v>
      </c>
      <c r="AC586" s="2">
        <f>VLOOKUP([jobnumber],OvalData[],MATCH(Table2[[#Headers],[Grille Center]],Table2[#Headers],0),0)</f>
        <v>0</v>
      </c>
      <c r="AD586" s="2">
        <f>VLOOKUP([jobnumber],OvalData[],MATCH(Table2[[#Headers],[Grille Pattern]],Table2[#Headers],0),0)</f>
        <v>0</v>
      </c>
      <c r="AE586" s="2">
        <f>VLOOKUP([jobnumber],OvalData[],MATCH(Table2[[#Headers],[Grille First Tube]],Table2[#Headers],0),0)</f>
        <v>0</v>
      </c>
      <c r="AF586" s="2">
        <f>VLOOKUP([jobnumber],OvalData[],MATCH(Table2[[#Headers],[Grille Standard Tube]],Table2[#Headers],0),0)</f>
        <v>0</v>
      </c>
      <c r="AG586" s="2">
        <f>VLOOKUP([jobnumber],OvalData[],MATCH(Table2[[#Headers],[Grille Total Links]],Table2[#Headers],0),0)</f>
        <v>0</v>
      </c>
      <c r="AH586" s="2">
        <f>VLOOKUP([jobnumber],OvalData[],MATCH(Table2[[#Headers],[Grille Rods]],Table2[#Headers],0),0)</f>
        <v>0</v>
      </c>
      <c r="AI586" s="2">
        <f>VLOOKUP([jobnumber],OvalData[],MATCH(Table2[[#Headers],[Grille Rod Length]],Table2[#Headers],0),0)</f>
        <v>0</v>
      </c>
      <c r="AJ586" s="2">
        <f>VLOOKUP([jobnumber],OvalData[],MATCH(Table2[[#Headers],[slattype]],Table2[#Headers],0),0)</f>
        <v>2</v>
      </c>
      <c r="AK586" s="2">
        <f>VLOOKUP([jobnumber],OvalData[],MATCH(Table2[[#Headers],[slatgage]],Table2[#Headers],0),0)</f>
        <v>18</v>
      </c>
      <c r="AL586" s="2">
        <f>VLOOKUP([jobnumber],OvalData[],MATCH(Table2[[#Headers],[Numer of Top Slats]],Table2[#Headers],0),0)</f>
        <v>0</v>
      </c>
      <c r="AM586" s="2">
        <f>VLOOKUP([jobnumber],OvalData[],MATCH(Table2[[#Headers],[Number of Bottom Slats]],Table2[#Headers],0),0)</f>
        <v>0</v>
      </c>
      <c r="AN586" s="2">
        <f>VLOOKUP([jobnumber],OvalData[],MATCH(Table2[[#Headers],[Solid Bottom Height]],Table2[#Headers],0),0)</f>
        <v>0</v>
      </c>
      <c r="AO586" s="2" t="str">
        <f>VLOOKUP([jobnumber],OvalData[],MATCH(Table2[[#Headers],[slatlength]],Table2[#Headers],0),0)</f>
        <v xml:space="preserve"> 18 ft.- 5 7/ 8"</v>
      </c>
      <c r="AP586" s="2">
        <f>VLOOKUP([jobnumber],OvalData[],MATCH(Table2[[#Headers],[Bottom Slat Length]],Table2[#Headers],0),0)</f>
        <v>0</v>
      </c>
      <c r="AQ586" s="2">
        <f>VLOOKUP([jobnumber],OvalData[],MATCH(Table2[[#Headers],[Number of Perferated Slats]],Table2[#Headers],0),0)</f>
        <v>0</v>
      </c>
      <c r="AR586" s="2">
        <f>VLOOKUP([jobnumber],OvalData[],MATCH(Table2[[#Headers],[First Preferated Slat From End]],Table2[#Headers],0),0)</f>
        <v>0</v>
      </c>
      <c r="AS586" s="2">
        <f>VLOOKUP([jobnumber],OvalData[],MATCH(Table2[[#Headers],[First Preferated Slat From Bottom]],Table2[#Headers],0),0)</f>
        <v>0</v>
      </c>
      <c r="AT586" s="2">
        <f>VLOOKUP([jobnumber],OvalData[],MATCH(Table2[[#Headers],[Total Number of Slats]],Table2[#Headers],0),0)</f>
        <v>51</v>
      </c>
      <c r="AU586" s="2">
        <f>VLOOKUP([jobnumber],OvalData[],MATCH(Table2[[#Headers],[Bottom Bar Slope]],Table2[#Headers],0),0)</f>
        <v>0</v>
      </c>
      <c r="AV586" s="2">
        <f>VLOOKUP([jobnumber],OvalData[],MATCH(Table2[[#Headers],[Bottom Bar Weight]],Table2[#Headers],0),0)</f>
        <v>80.5</v>
      </c>
      <c r="AW586" s="2" t="str">
        <f>VLOOKUP([jobnumber],OvalData[],MATCH(Table2[[#Headers],[Outer Spring Gage]],Table2[#Headers],0),0)</f>
        <v>Null</v>
      </c>
      <c r="AX586" s="2" t="str">
        <f>VLOOKUP([jobnumber],OvalData[],MATCH(Table2[[#Headers],[Outer Spring OD]],Table2[#Headers],0),0)</f>
        <v>Null</v>
      </c>
      <c r="AY586" s="2" t="str">
        <f>VLOOKUP([jobnumber],OvalData[],MATCH(Table2[[#Headers],[Outer Spring Length]],Table2[#Headers],0),0)</f>
        <v>Null</v>
      </c>
      <c r="AZ586" s="2" t="str">
        <f>VLOOKUP([jobnumber],OvalData[],MATCH(Table2[[#Headers],[Outer Spring Stretch]],Table2[#Headers],0),0)</f>
        <v>Null</v>
      </c>
      <c r="BA586" s="2" t="str">
        <f>VLOOKUP([jobnumber],OvalData[],MATCH(Table2[[#Headers],[Outer Spring Torque]],Table2[#Headers],0),0)</f>
        <v>Null</v>
      </c>
      <c r="BB586" s="2" t="str">
        <f>VLOOKUP([jobnumber],OvalData[],MATCH(Table2[[#Headers],[Outer Spring Max Turns]],Table2[#Headers],0),0)</f>
        <v>Null</v>
      </c>
      <c r="BC586" s="2" t="str">
        <f>VLOOKUP([jobnumber],OvalData[],MATCH(Table2[[#Headers],[Outer Spring Weight]],Table2[#Headers],0),0)</f>
        <v>Null</v>
      </c>
      <c r="BD586" s="2" t="str">
        <f>VLOOKUP([jobnumber],OvalData[],MATCH(Table2[[#Headers],[Inner Spring Gage]],Table2[#Headers],0),0)</f>
        <v>Null</v>
      </c>
      <c r="BE586" s="2" t="str">
        <f>VLOOKUP([jobnumber],OvalData[],MATCH(Table2[[#Headers],[Inner Spring OD]],Table2[#Headers],0),0)</f>
        <v>Null</v>
      </c>
      <c r="BF586" s="2" t="str">
        <f>VLOOKUP([jobnumber],OvalData[],MATCH(Table2[[#Headers],[Inner Spring Length]],Table2[#Headers],0),0)</f>
        <v>Null</v>
      </c>
      <c r="BG586" s="2" t="str">
        <f>VLOOKUP([jobnumber],OvalData[],MATCH(Table2[[#Headers],[Inner Spring Stretch]],Table2[#Headers],0),0)</f>
        <v>Null</v>
      </c>
      <c r="BH586" s="2" t="str">
        <f>VLOOKUP([jobnumber],OvalData[],MATCH(Table2[[#Headers],[Inner Spring Torque]],Table2[#Headers],0),0)</f>
        <v>Null</v>
      </c>
      <c r="BI586" s="2" t="str">
        <f>VLOOKUP([jobnumber],OvalData[],MATCH(Table2[[#Headers],[Inner Spring Max Turns]],Table2[#Headers],0),0)</f>
        <v>Null</v>
      </c>
      <c r="BJ586" s="2" t="str">
        <f>VLOOKUP([jobnumber],OvalData[],MATCH(Table2[[#Headers],[Inner Spring Weight]],Table2[#Headers],0),0)</f>
        <v>Null</v>
      </c>
      <c r="BK586" s="2">
        <f>VLOOKUP([jobnumber],OvalData[],MATCH(Table2[[#Headers],[Cycles]],Table2[#Headers],0),0)</f>
        <v>0</v>
      </c>
      <c r="BL586" s="2">
        <f>VLOOKUP([jobnumber],OvalData[],MATCH(Table2[[#Headers],[Total Spring Torque]],Table2[#Headers],0),0)</f>
        <v>0</v>
      </c>
      <c r="BM586" s="2">
        <f>VLOOKUP([jobnumber],OvalData[],MATCH(Table2[[#Headers],[Total Spring Weight]],Table2[#Headers],0),0)</f>
        <v>0</v>
      </c>
      <c r="BN586" s="2">
        <f>VLOOKUP([jobnumber],OvalData[],MATCH(Table2[[#Headers],[Pipe Weight]],Table2[#Headers],0),0)</f>
        <v>688.24239999999998</v>
      </c>
      <c r="BO586" s="2">
        <f>VLOOKUP([jobnumber],OvalData[],MATCH(Table2[[#Headers],[Max Pipe Deflection]],Table2[#Headers],0),0)</f>
        <v>2309</v>
      </c>
      <c r="BP586" s="2">
        <f>VLOOKUP([jobnumber],OvalData[],MATCH(Table2[[#Headers],[Number Non-Insulated Wrap Slats]],Table2[#Headers],0),0)</f>
        <v>0</v>
      </c>
      <c r="BQ586" s="2">
        <f>VLOOKUP([jobnumber],OvalData[],MATCH(Table2[[#Headers],[Number of Insolated Top Slats]],Table2[#Headers],0),0)</f>
        <v>45</v>
      </c>
      <c r="BR586" s="2">
        <f>VLOOKUP([jobnumber],OvalData[],MATCH(Table2[[#Headers],[Insolated Total Slats]],Table2[#Headers],0),0)</f>
        <v>45</v>
      </c>
      <c r="BS586" s="2">
        <f>VLOOKUP([jobnumber],OvalData[],MATCH(Table2[[#Headers],[Number of Slats]],Table2[#Headers],0),0)</f>
        <v>44.69</v>
      </c>
      <c r="BT586" s="2">
        <f>VLOOKUP([jobnumber],OvalData[],MATCH(Table2[[#Headers],[Wrap]],Table2[#Headers],0),0)</f>
        <v>0</v>
      </c>
      <c r="BU586" s="2">
        <f>VLOOKUP([jobnumber],OvalData[],MATCH(Table2[[#Headers],[Wall Angle Thickness]],Table2[#Headers],0),0)</f>
        <v>0</v>
      </c>
      <c r="BV586" s="2">
        <f>VLOOKUP([jobnumber],OvalData[],MATCH(Table2[[#Headers],[windlocks]],Table2[#Headers],0),0)</f>
        <v>0</v>
      </c>
      <c r="BW586" s="2" t="str">
        <f>VLOOKUP([jobnumber],OvalData[],MATCH(Table2[[#Headers],[bottombartype]],Table2[#Headers],0),0)</f>
        <v>SPECIAL</v>
      </c>
      <c r="BX586" s="2">
        <f>VLOOKUP([jobnumber],OvalData[],MATCH(Table2[[#Headers],[endlockweight]],Table2[#Headers],0),0)</f>
        <v>0.17</v>
      </c>
      <c r="BY586" s="2">
        <f>VLOOKUP([jobnumber],OvalData[],MATCH(Table2[[#Headers],[Endlock Total Weight]],Table2[#Headers],0),0)</f>
        <v>7.5972999999999997</v>
      </c>
      <c r="BZ586" s="2">
        <f>VLOOKUP([jobnumber],OvalData[],MATCH(Table2[[#Headers],[Grille Weight]],Table2[#Headers],0),0)</f>
        <v>0</v>
      </c>
      <c r="CA586" s="2">
        <f>VLOOKUP([jobnumber],OvalData[],MATCH(Table2[[#Headers],[barrelrings]],Table2[#Headers],0),0)</f>
        <v>1</v>
      </c>
    </row>
    <row r="587" spans="2:79">
      <c r="B587" s="2" t="str">
        <f>VLOOKUP([jobnumber],OvalData[],MATCH(Table2[[#Headers],[Hand]],Table2[#Headers],0),0)</f>
        <v>RH</v>
      </c>
      <c r="C587" s="2" t="str">
        <f>VLOOKUP([jobnumber],OvalData[],MATCH(Table2[[#Headers],[Model]],Table2[#Headers],0),0)</f>
        <v>SFMPP</v>
      </c>
      <c r="D587" s="2" t="str">
        <f>VLOOKUP([jobnumber],OvalData[],MATCH(Table2[[#Headers],[width]],Table2[#Headers],0),0)</f>
        <v xml:space="preserve"> 18 ft.- 2"</v>
      </c>
      <c r="E587" s="2" t="str">
        <f>VLOOKUP([jobnumber],OvalData[],MATCH(Table2[[#Headers],[stopheight]],Table2[#Headers],0),0)</f>
        <v xml:space="preserve"> 10 ft.- 0"</v>
      </c>
      <c r="F587" s="2" t="str">
        <f>VLOOKUP([jobnumber],OvalData[],MATCH(Table2[[#Headers],[Between Brackets]],Table2[#Headers],0),0)</f>
        <v xml:space="preserve"> 18 ft.- 7 7/ 8"</v>
      </c>
      <c r="G587" s="2" t="str">
        <f>VLOOKUP([jobnumber],OvalData[],MATCH(Table2[[#Headers],[shell]],Table2[#Headers],0),0)</f>
        <v>6 INCH TUBE</v>
      </c>
      <c r="H587" s="2" t="str">
        <f>VLOOKUP([jobnumber],OvalData[],MATCH(Table2[[#Headers],[pipewidth]],Table2[#Headers],0),0)</f>
        <v xml:space="preserve"> 18 ft.- 1 3/ 8"</v>
      </c>
      <c r="I587" s="2">
        <f>VLOOKUP([jobnumber],OvalData[],MATCH(Table2[[#Headers],[Support Tubes]],Table2[#Headers],0),0)</f>
        <v>0</v>
      </c>
      <c r="J587" s="2">
        <f>VLOOKUP([jobnumber],OvalData[],MATCH(Table2[[#Headers],[Upset]],Table2[#Headers],0),0)</f>
        <v>2</v>
      </c>
      <c r="K587" s="2" t="str">
        <f>VLOOKUP([jobnumber],OvalData[],MATCH(Table2[[#Headers],[Guide Type]],Table2[#Headers],0),0)</f>
        <v>SN2-4 5/8-E</v>
      </c>
      <c r="L587" s="2" t="str">
        <f>VLOOKUP([jobnumber],OvalData[],MATCH(Table2[[#Headers],[Wall Angle]],Table2[#Headers],0),0)</f>
        <v xml:space="preserve"> 11 ft.- 8"</v>
      </c>
      <c r="M587" s="2" t="str">
        <f>VLOOKUP([jobnumber],OvalData[],MATCH(Table2[[#Headers],[Middle Angle]],Table2[#Headers],0),0)</f>
        <v xml:space="preserve"> 10 ft.- 4 1/ 2"</v>
      </c>
      <c r="N587" s="2" t="str">
        <f>VLOOKUP([jobnumber],OvalData[],MATCH(Table2[[#Headers],[Front Angle]],Table2[#Headers],0),0)</f>
        <v xml:space="preserve"> 10 ft.- 3"</v>
      </c>
      <c r="O587" s="2">
        <f>VLOOKUP([jobnumber],OvalData[],MATCH(Table2[[#Headers],[Pipe Center Line]],Table2[#Headers],0),0)</f>
        <v>131</v>
      </c>
      <c r="P587" s="2">
        <f>VLOOKUP([jobnumber],OvalData[],MATCH(Table2[[#Headers],[Heat Expansion Gap]],Table2[#Headers],0),0)</f>
        <v>0</v>
      </c>
      <c r="Q587" s="2">
        <f>VLOOKUP([jobnumber],OvalData[],MATCH(Table2[[#Headers],[Hanging Weight Closed]],Table2[#Headers],0),0)</f>
        <v>795</v>
      </c>
      <c r="R587" s="2">
        <f>VLOOKUP([jobnumber],OvalData[],MATCH(Table2[[#Headers],[Hanging Weight Open]],Table2[#Headers],0),0)</f>
        <v>140</v>
      </c>
      <c r="S587" s="2">
        <f>VLOOKUP([jobnumber],OvalData[],MATCH(Table2[[#Headers],[Initial Lever Arm]],Table2[#Headers],0),0)</f>
        <v>4.25</v>
      </c>
      <c r="T587" s="2">
        <f>VLOOKUP([jobnumber],OvalData[],MATCH(Table2[[#Headers],[Turns to Raise]],Table2[#Headers],0),0)</f>
        <v>3.5859999999999999</v>
      </c>
      <c r="U587" s="2">
        <f>VLOOKUP([jobnumber],OvalData[],MATCH(Table2[[#Headers],[Final Lever Arm]],Table2[#Headers],0),0)</f>
        <v>6.37</v>
      </c>
      <c r="V587" s="2">
        <f>VLOOKUP([jobnumber],OvalData[],MATCH(Table2[[#Headers],[Torque Required Closed]],Table2[#Headers],0),0)</f>
        <v>3377.9</v>
      </c>
      <c r="W587" s="2">
        <f>VLOOKUP([jobnumber],OvalData[],MATCH(Table2[[#Headers],[Torque Required Open]],Table2[#Headers],0),0)</f>
        <v>892</v>
      </c>
      <c r="X587" s="2">
        <f>VLOOKUP([jobnumber],OvalData[],MATCH(Table2[[#Headers],[Pre Turns]],Table2[#Headers],0),0)</f>
        <v>1.3332999999999999</v>
      </c>
      <c r="Y587" s="2">
        <f>VLOOKUP([jobnumber],OvalData[],MATCH(Table2[[#Headers],[Required Torque Per Turn]],Table2[#Headers],0),0)</f>
        <v>688</v>
      </c>
      <c r="Z587" s="2">
        <f>VLOOKUP([jobnumber],OvalData[],MATCH(Table2[[#Headers],[Total Turns]],Table2[#Headers],0),0)</f>
        <v>4.91</v>
      </c>
      <c r="AA587" s="2">
        <f>VLOOKUP([jobnumber],OvalData[],MATCH(Table2[[#Headers],[Grille Vision Section]],Table2[#Headers],0),0)</f>
        <v>0</v>
      </c>
      <c r="AB587" s="2">
        <f>VLOOKUP([jobnumber],OvalData[],MATCH(Table2[[#Headers],[Grille Amount]],Table2[#Headers],0),0)</f>
        <v>0</v>
      </c>
      <c r="AC587" s="2">
        <f>VLOOKUP([jobnumber],OvalData[],MATCH(Table2[[#Headers],[Grille Center]],Table2[#Headers],0),0)</f>
        <v>0</v>
      </c>
      <c r="AD587" s="2">
        <f>VLOOKUP([jobnumber],OvalData[],MATCH(Table2[[#Headers],[Grille Pattern]],Table2[#Headers],0),0)</f>
        <v>0</v>
      </c>
      <c r="AE587" s="2">
        <f>VLOOKUP([jobnumber],OvalData[],MATCH(Table2[[#Headers],[Grille First Tube]],Table2[#Headers],0),0)</f>
        <v>0</v>
      </c>
      <c r="AF587" s="2">
        <f>VLOOKUP([jobnumber],OvalData[],MATCH(Table2[[#Headers],[Grille Standard Tube]],Table2[#Headers],0),0)</f>
        <v>0</v>
      </c>
      <c r="AG587" s="2">
        <f>VLOOKUP([jobnumber],OvalData[],MATCH(Table2[[#Headers],[Grille Total Links]],Table2[#Headers],0),0)</f>
        <v>0</v>
      </c>
      <c r="AH587" s="2">
        <f>VLOOKUP([jobnumber],OvalData[],MATCH(Table2[[#Headers],[Grille Rods]],Table2[#Headers],0),0)</f>
        <v>0</v>
      </c>
      <c r="AI587" s="2">
        <f>VLOOKUP([jobnumber],OvalData[],MATCH(Table2[[#Headers],[Grille Rod Length]],Table2[#Headers],0),0)</f>
        <v>0</v>
      </c>
      <c r="AJ587" s="2">
        <f>VLOOKUP([jobnumber],OvalData[],MATCH(Table2[[#Headers],[slattype]],Table2[#Headers],0),0)</f>
        <v>2</v>
      </c>
      <c r="AK587" s="2">
        <f>VLOOKUP([jobnumber],OvalData[],MATCH(Table2[[#Headers],[slatgage]],Table2[#Headers],0),0)</f>
        <v>18</v>
      </c>
      <c r="AL587" s="2">
        <f>VLOOKUP([jobnumber],OvalData[],MATCH(Table2[[#Headers],[Numer of Top Slats]],Table2[#Headers],0),0)</f>
        <v>0</v>
      </c>
      <c r="AM587" s="2">
        <f>VLOOKUP([jobnumber],OvalData[],MATCH(Table2[[#Headers],[Number of Bottom Slats]],Table2[#Headers],0),0)</f>
        <v>0</v>
      </c>
      <c r="AN587" s="2">
        <f>VLOOKUP([jobnumber],OvalData[],MATCH(Table2[[#Headers],[Solid Bottom Height]],Table2[#Headers],0),0)</f>
        <v>0</v>
      </c>
      <c r="AO587" s="2" t="str">
        <f>VLOOKUP([jobnumber],OvalData[],MATCH(Table2[[#Headers],[slatlength]],Table2[#Headers],0),0)</f>
        <v xml:space="preserve"> 18 ft.- 5 7/ 8"</v>
      </c>
      <c r="AP587" s="2">
        <f>VLOOKUP([jobnumber],OvalData[],MATCH(Table2[[#Headers],[Bottom Slat Length]],Table2[#Headers],0),0)</f>
        <v>0</v>
      </c>
      <c r="AQ587" s="2">
        <f>VLOOKUP([jobnumber],OvalData[],MATCH(Table2[[#Headers],[Number of Perferated Slats]],Table2[#Headers],0),0)</f>
        <v>0</v>
      </c>
      <c r="AR587" s="2">
        <f>VLOOKUP([jobnumber],OvalData[],MATCH(Table2[[#Headers],[First Preferated Slat From End]],Table2[#Headers],0),0)</f>
        <v>0</v>
      </c>
      <c r="AS587" s="2">
        <f>VLOOKUP([jobnumber],OvalData[],MATCH(Table2[[#Headers],[First Preferated Slat From Bottom]],Table2[#Headers],0),0)</f>
        <v>0</v>
      </c>
      <c r="AT587" s="2">
        <f>VLOOKUP([jobnumber],OvalData[],MATCH(Table2[[#Headers],[Total Number of Slats]],Table2[#Headers],0),0)</f>
        <v>51</v>
      </c>
      <c r="AU587" s="2">
        <f>VLOOKUP([jobnumber],OvalData[],MATCH(Table2[[#Headers],[Bottom Bar Slope]],Table2[#Headers],0),0)</f>
        <v>0</v>
      </c>
      <c r="AV587" s="2">
        <f>VLOOKUP([jobnumber],OvalData[],MATCH(Table2[[#Headers],[Bottom Bar Weight]],Table2[#Headers],0),0)</f>
        <v>80.5</v>
      </c>
      <c r="AW587" s="2" t="str">
        <f>VLOOKUP([jobnumber],OvalData[],MATCH(Table2[[#Headers],[Outer Spring Gage]],Table2[#Headers],0),0)</f>
        <v>Null</v>
      </c>
      <c r="AX587" s="2" t="str">
        <f>VLOOKUP([jobnumber],OvalData[],MATCH(Table2[[#Headers],[Outer Spring OD]],Table2[#Headers],0),0)</f>
        <v>Null</v>
      </c>
      <c r="AY587" s="2" t="str">
        <f>VLOOKUP([jobnumber],OvalData[],MATCH(Table2[[#Headers],[Outer Spring Length]],Table2[#Headers],0),0)</f>
        <v>Null</v>
      </c>
      <c r="AZ587" s="2" t="str">
        <f>VLOOKUP([jobnumber],OvalData[],MATCH(Table2[[#Headers],[Outer Spring Stretch]],Table2[#Headers],0),0)</f>
        <v>Null</v>
      </c>
      <c r="BA587" s="2" t="str">
        <f>VLOOKUP([jobnumber],OvalData[],MATCH(Table2[[#Headers],[Outer Spring Torque]],Table2[#Headers],0),0)</f>
        <v>Null</v>
      </c>
      <c r="BB587" s="2" t="str">
        <f>VLOOKUP([jobnumber],OvalData[],MATCH(Table2[[#Headers],[Outer Spring Max Turns]],Table2[#Headers],0),0)</f>
        <v>Null</v>
      </c>
      <c r="BC587" s="2" t="str">
        <f>VLOOKUP([jobnumber],OvalData[],MATCH(Table2[[#Headers],[Outer Spring Weight]],Table2[#Headers],0),0)</f>
        <v>Null</v>
      </c>
      <c r="BD587" s="2" t="str">
        <f>VLOOKUP([jobnumber],OvalData[],MATCH(Table2[[#Headers],[Inner Spring Gage]],Table2[#Headers],0),0)</f>
        <v>Null</v>
      </c>
      <c r="BE587" s="2" t="str">
        <f>VLOOKUP([jobnumber],OvalData[],MATCH(Table2[[#Headers],[Inner Spring OD]],Table2[#Headers],0),0)</f>
        <v>Null</v>
      </c>
      <c r="BF587" s="2" t="str">
        <f>VLOOKUP([jobnumber],OvalData[],MATCH(Table2[[#Headers],[Inner Spring Length]],Table2[#Headers],0),0)</f>
        <v>Null</v>
      </c>
      <c r="BG587" s="2" t="str">
        <f>VLOOKUP([jobnumber],OvalData[],MATCH(Table2[[#Headers],[Inner Spring Stretch]],Table2[#Headers],0),0)</f>
        <v>Null</v>
      </c>
      <c r="BH587" s="2" t="str">
        <f>VLOOKUP([jobnumber],OvalData[],MATCH(Table2[[#Headers],[Inner Spring Torque]],Table2[#Headers],0),0)</f>
        <v>Null</v>
      </c>
      <c r="BI587" s="2" t="str">
        <f>VLOOKUP([jobnumber],OvalData[],MATCH(Table2[[#Headers],[Inner Spring Max Turns]],Table2[#Headers],0),0)</f>
        <v>Null</v>
      </c>
      <c r="BJ587" s="2" t="str">
        <f>VLOOKUP([jobnumber],OvalData[],MATCH(Table2[[#Headers],[Inner Spring Weight]],Table2[#Headers],0),0)</f>
        <v>Null</v>
      </c>
      <c r="BK587" s="2">
        <f>VLOOKUP([jobnumber],OvalData[],MATCH(Table2[[#Headers],[Cycles]],Table2[#Headers],0),0)</f>
        <v>0</v>
      </c>
      <c r="BL587" s="2">
        <f>VLOOKUP([jobnumber],OvalData[],MATCH(Table2[[#Headers],[Total Spring Torque]],Table2[#Headers],0),0)</f>
        <v>0</v>
      </c>
      <c r="BM587" s="2">
        <f>VLOOKUP([jobnumber],OvalData[],MATCH(Table2[[#Headers],[Total Spring Weight]],Table2[#Headers],0),0)</f>
        <v>0</v>
      </c>
      <c r="BN587" s="2">
        <f>VLOOKUP([jobnumber],OvalData[],MATCH(Table2[[#Headers],[Pipe Weight]],Table2[#Headers],0),0)</f>
        <v>688.24239999999998</v>
      </c>
      <c r="BO587" s="2">
        <f>VLOOKUP([jobnumber],OvalData[],MATCH(Table2[[#Headers],[Max Pipe Deflection]],Table2[#Headers],0),0)</f>
        <v>2309</v>
      </c>
      <c r="BP587" s="2">
        <f>VLOOKUP([jobnumber],OvalData[],MATCH(Table2[[#Headers],[Number Non-Insulated Wrap Slats]],Table2[#Headers],0),0)</f>
        <v>0</v>
      </c>
      <c r="BQ587" s="2">
        <f>VLOOKUP([jobnumber],OvalData[],MATCH(Table2[[#Headers],[Number of Insolated Top Slats]],Table2[#Headers],0),0)</f>
        <v>45</v>
      </c>
      <c r="BR587" s="2">
        <f>VLOOKUP([jobnumber],OvalData[],MATCH(Table2[[#Headers],[Insolated Total Slats]],Table2[#Headers],0),0)</f>
        <v>45</v>
      </c>
      <c r="BS587" s="2">
        <f>VLOOKUP([jobnumber],OvalData[],MATCH(Table2[[#Headers],[Number of Slats]],Table2[#Headers],0),0)</f>
        <v>44.69</v>
      </c>
      <c r="BT587" s="2">
        <f>VLOOKUP([jobnumber],OvalData[],MATCH(Table2[[#Headers],[Wrap]],Table2[#Headers],0),0)</f>
        <v>0</v>
      </c>
      <c r="BU587" s="2">
        <f>VLOOKUP([jobnumber],OvalData[],MATCH(Table2[[#Headers],[Wall Angle Thickness]],Table2[#Headers],0),0)</f>
        <v>0</v>
      </c>
      <c r="BV587" s="2">
        <f>VLOOKUP([jobnumber],OvalData[],MATCH(Table2[[#Headers],[windlocks]],Table2[#Headers],0),0)</f>
        <v>0</v>
      </c>
      <c r="BW587" s="2" t="str">
        <f>VLOOKUP([jobnumber],OvalData[],MATCH(Table2[[#Headers],[bottombartype]],Table2[#Headers],0),0)</f>
        <v>SPECIAL</v>
      </c>
      <c r="BX587" s="2">
        <f>VLOOKUP([jobnumber],OvalData[],MATCH(Table2[[#Headers],[endlockweight]],Table2[#Headers],0),0)</f>
        <v>0.17</v>
      </c>
      <c r="BY587" s="2">
        <f>VLOOKUP([jobnumber],OvalData[],MATCH(Table2[[#Headers],[Endlock Total Weight]],Table2[#Headers],0),0)</f>
        <v>7.5972999999999997</v>
      </c>
      <c r="BZ587" s="2">
        <f>VLOOKUP([jobnumber],OvalData[],MATCH(Table2[[#Headers],[Grille Weight]],Table2[#Headers],0),0)</f>
        <v>0</v>
      </c>
      <c r="CA587" s="2">
        <f>VLOOKUP([jobnumber],OvalData[],MATCH(Table2[[#Headers],[barrelrings]],Table2[#Headers],0),0)</f>
        <v>1</v>
      </c>
    </row>
    <row r="588" spans="2:79">
      <c r="B588" s="2" t="str">
        <f>VLOOKUP([jobnumber],OvalData[],MATCH(Table2[[#Headers],[Hand]],Table2[#Headers],0),0)</f>
        <v>RH</v>
      </c>
      <c r="C588" s="2" t="str">
        <f>VLOOKUP([jobnumber],OvalData[],MATCH(Table2[[#Headers],[Model]],Table2[#Headers],0),0)</f>
        <v>SFMPP</v>
      </c>
      <c r="D588" s="2" t="str">
        <f>VLOOKUP([jobnumber],OvalData[],MATCH(Table2[[#Headers],[width]],Table2[#Headers],0),0)</f>
        <v xml:space="preserve"> 18 ft.- 2"</v>
      </c>
      <c r="E588" s="2" t="str">
        <f>VLOOKUP([jobnumber],OvalData[],MATCH(Table2[[#Headers],[stopheight]],Table2[#Headers],0),0)</f>
        <v xml:space="preserve"> 10 ft.- 0"</v>
      </c>
      <c r="F588" s="2" t="str">
        <f>VLOOKUP([jobnumber],OvalData[],MATCH(Table2[[#Headers],[Between Brackets]],Table2[#Headers],0),0)</f>
        <v xml:space="preserve"> 18 ft.- 7 7/ 8"</v>
      </c>
      <c r="G588" s="2" t="str">
        <f>VLOOKUP([jobnumber],OvalData[],MATCH(Table2[[#Headers],[shell]],Table2[#Headers],0),0)</f>
        <v>6 INCH TUBE</v>
      </c>
      <c r="H588" s="2" t="str">
        <f>VLOOKUP([jobnumber],OvalData[],MATCH(Table2[[#Headers],[pipewidth]],Table2[#Headers],0),0)</f>
        <v xml:space="preserve"> 18 ft.- 1 3/ 8"</v>
      </c>
      <c r="I588" s="2">
        <f>VLOOKUP([jobnumber],OvalData[],MATCH(Table2[[#Headers],[Support Tubes]],Table2[#Headers],0),0)</f>
        <v>0</v>
      </c>
      <c r="J588" s="2">
        <f>VLOOKUP([jobnumber],OvalData[],MATCH(Table2[[#Headers],[Upset]],Table2[#Headers],0),0)</f>
        <v>2</v>
      </c>
      <c r="K588" s="2" t="str">
        <f>VLOOKUP([jobnumber],OvalData[],MATCH(Table2[[#Headers],[Guide Type]],Table2[#Headers],0),0)</f>
        <v>SN2-4 5/8-E</v>
      </c>
      <c r="L588" s="2" t="str">
        <f>VLOOKUP([jobnumber],OvalData[],MATCH(Table2[[#Headers],[Wall Angle]],Table2[#Headers],0),0)</f>
        <v xml:space="preserve"> 11 ft.- 8"</v>
      </c>
      <c r="M588" s="2" t="str">
        <f>VLOOKUP([jobnumber],OvalData[],MATCH(Table2[[#Headers],[Middle Angle]],Table2[#Headers],0),0)</f>
        <v xml:space="preserve"> 10 ft.- 4 1/ 2"</v>
      </c>
      <c r="N588" s="2" t="str">
        <f>VLOOKUP([jobnumber],OvalData[],MATCH(Table2[[#Headers],[Front Angle]],Table2[#Headers],0),0)</f>
        <v xml:space="preserve"> 10 ft.- 3"</v>
      </c>
      <c r="O588" s="2">
        <f>VLOOKUP([jobnumber],OvalData[],MATCH(Table2[[#Headers],[Pipe Center Line]],Table2[#Headers],0),0)</f>
        <v>131</v>
      </c>
      <c r="P588" s="2">
        <f>VLOOKUP([jobnumber],OvalData[],MATCH(Table2[[#Headers],[Heat Expansion Gap]],Table2[#Headers],0),0)</f>
        <v>0</v>
      </c>
      <c r="Q588" s="2">
        <f>VLOOKUP([jobnumber],OvalData[],MATCH(Table2[[#Headers],[Hanging Weight Closed]],Table2[#Headers],0),0)</f>
        <v>795</v>
      </c>
      <c r="R588" s="2">
        <f>VLOOKUP([jobnumber],OvalData[],MATCH(Table2[[#Headers],[Hanging Weight Open]],Table2[#Headers],0),0)</f>
        <v>140</v>
      </c>
      <c r="S588" s="2">
        <f>VLOOKUP([jobnumber],OvalData[],MATCH(Table2[[#Headers],[Initial Lever Arm]],Table2[#Headers],0),0)</f>
        <v>4.25</v>
      </c>
      <c r="T588" s="2">
        <f>VLOOKUP([jobnumber],OvalData[],MATCH(Table2[[#Headers],[Turns to Raise]],Table2[#Headers],0),0)</f>
        <v>3.5859999999999999</v>
      </c>
      <c r="U588" s="2">
        <f>VLOOKUP([jobnumber],OvalData[],MATCH(Table2[[#Headers],[Final Lever Arm]],Table2[#Headers],0),0)</f>
        <v>6.37</v>
      </c>
      <c r="V588" s="2">
        <f>VLOOKUP([jobnumber],OvalData[],MATCH(Table2[[#Headers],[Torque Required Closed]],Table2[#Headers],0),0)</f>
        <v>3377.9</v>
      </c>
      <c r="W588" s="2">
        <f>VLOOKUP([jobnumber],OvalData[],MATCH(Table2[[#Headers],[Torque Required Open]],Table2[#Headers],0),0)</f>
        <v>892</v>
      </c>
      <c r="X588" s="2">
        <f>VLOOKUP([jobnumber],OvalData[],MATCH(Table2[[#Headers],[Pre Turns]],Table2[#Headers],0),0)</f>
        <v>1.3332999999999999</v>
      </c>
      <c r="Y588" s="2">
        <f>VLOOKUP([jobnumber],OvalData[],MATCH(Table2[[#Headers],[Required Torque Per Turn]],Table2[#Headers],0),0)</f>
        <v>688</v>
      </c>
      <c r="Z588" s="2">
        <f>VLOOKUP([jobnumber],OvalData[],MATCH(Table2[[#Headers],[Total Turns]],Table2[#Headers],0),0)</f>
        <v>4.91</v>
      </c>
      <c r="AA588" s="2">
        <f>VLOOKUP([jobnumber],OvalData[],MATCH(Table2[[#Headers],[Grille Vision Section]],Table2[#Headers],0),0)</f>
        <v>0</v>
      </c>
      <c r="AB588" s="2">
        <f>VLOOKUP([jobnumber],OvalData[],MATCH(Table2[[#Headers],[Grille Amount]],Table2[#Headers],0),0)</f>
        <v>0</v>
      </c>
      <c r="AC588" s="2">
        <f>VLOOKUP([jobnumber],OvalData[],MATCH(Table2[[#Headers],[Grille Center]],Table2[#Headers],0),0)</f>
        <v>0</v>
      </c>
      <c r="AD588" s="2">
        <f>VLOOKUP([jobnumber],OvalData[],MATCH(Table2[[#Headers],[Grille Pattern]],Table2[#Headers],0),0)</f>
        <v>0</v>
      </c>
      <c r="AE588" s="2">
        <f>VLOOKUP([jobnumber],OvalData[],MATCH(Table2[[#Headers],[Grille First Tube]],Table2[#Headers],0),0)</f>
        <v>0</v>
      </c>
      <c r="AF588" s="2">
        <f>VLOOKUP([jobnumber],OvalData[],MATCH(Table2[[#Headers],[Grille Standard Tube]],Table2[#Headers],0),0)</f>
        <v>0</v>
      </c>
      <c r="AG588" s="2">
        <f>VLOOKUP([jobnumber],OvalData[],MATCH(Table2[[#Headers],[Grille Total Links]],Table2[#Headers],0),0)</f>
        <v>0</v>
      </c>
      <c r="AH588" s="2">
        <f>VLOOKUP([jobnumber],OvalData[],MATCH(Table2[[#Headers],[Grille Rods]],Table2[#Headers],0),0)</f>
        <v>0</v>
      </c>
      <c r="AI588" s="2">
        <f>VLOOKUP([jobnumber],OvalData[],MATCH(Table2[[#Headers],[Grille Rod Length]],Table2[#Headers],0),0)</f>
        <v>0</v>
      </c>
      <c r="AJ588" s="2">
        <f>VLOOKUP([jobnumber],OvalData[],MATCH(Table2[[#Headers],[slattype]],Table2[#Headers],0),0)</f>
        <v>2</v>
      </c>
      <c r="AK588" s="2">
        <f>VLOOKUP([jobnumber],OvalData[],MATCH(Table2[[#Headers],[slatgage]],Table2[#Headers],0),0)</f>
        <v>18</v>
      </c>
      <c r="AL588" s="2">
        <f>VLOOKUP([jobnumber],OvalData[],MATCH(Table2[[#Headers],[Numer of Top Slats]],Table2[#Headers],0),0)</f>
        <v>0</v>
      </c>
      <c r="AM588" s="2">
        <f>VLOOKUP([jobnumber],OvalData[],MATCH(Table2[[#Headers],[Number of Bottom Slats]],Table2[#Headers],0),0)</f>
        <v>0</v>
      </c>
      <c r="AN588" s="2">
        <f>VLOOKUP([jobnumber],OvalData[],MATCH(Table2[[#Headers],[Solid Bottom Height]],Table2[#Headers],0),0)</f>
        <v>0</v>
      </c>
      <c r="AO588" s="2" t="str">
        <f>VLOOKUP([jobnumber],OvalData[],MATCH(Table2[[#Headers],[slatlength]],Table2[#Headers],0),0)</f>
        <v xml:space="preserve"> 18 ft.- 5 7/ 8"</v>
      </c>
      <c r="AP588" s="2">
        <f>VLOOKUP([jobnumber],OvalData[],MATCH(Table2[[#Headers],[Bottom Slat Length]],Table2[#Headers],0),0)</f>
        <v>0</v>
      </c>
      <c r="AQ588" s="2">
        <f>VLOOKUP([jobnumber],OvalData[],MATCH(Table2[[#Headers],[Number of Perferated Slats]],Table2[#Headers],0),0)</f>
        <v>0</v>
      </c>
      <c r="AR588" s="2">
        <f>VLOOKUP([jobnumber],OvalData[],MATCH(Table2[[#Headers],[First Preferated Slat From End]],Table2[#Headers],0),0)</f>
        <v>0</v>
      </c>
      <c r="AS588" s="2">
        <f>VLOOKUP([jobnumber],OvalData[],MATCH(Table2[[#Headers],[First Preferated Slat From Bottom]],Table2[#Headers],0),0)</f>
        <v>0</v>
      </c>
      <c r="AT588" s="2">
        <f>VLOOKUP([jobnumber],OvalData[],MATCH(Table2[[#Headers],[Total Number of Slats]],Table2[#Headers],0),0)</f>
        <v>51</v>
      </c>
      <c r="AU588" s="2">
        <f>VLOOKUP([jobnumber],OvalData[],MATCH(Table2[[#Headers],[Bottom Bar Slope]],Table2[#Headers],0),0)</f>
        <v>0</v>
      </c>
      <c r="AV588" s="2">
        <f>VLOOKUP([jobnumber],OvalData[],MATCH(Table2[[#Headers],[Bottom Bar Weight]],Table2[#Headers],0),0)</f>
        <v>80.5</v>
      </c>
      <c r="AW588" s="2" t="str">
        <f>VLOOKUP([jobnumber],OvalData[],MATCH(Table2[[#Headers],[Outer Spring Gage]],Table2[#Headers],0),0)</f>
        <v>Null</v>
      </c>
      <c r="AX588" s="2" t="str">
        <f>VLOOKUP([jobnumber],OvalData[],MATCH(Table2[[#Headers],[Outer Spring OD]],Table2[#Headers],0),0)</f>
        <v>Null</v>
      </c>
      <c r="AY588" s="2" t="str">
        <f>VLOOKUP([jobnumber],OvalData[],MATCH(Table2[[#Headers],[Outer Spring Length]],Table2[#Headers],0),0)</f>
        <v>Null</v>
      </c>
      <c r="AZ588" s="2" t="str">
        <f>VLOOKUP([jobnumber],OvalData[],MATCH(Table2[[#Headers],[Outer Spring Stretch]],Table2[#Headers],0),0)</f>
        <v>Null</v>
      </c>
      <c r="BA588" s="2" t="str">
        <f>VLOOKUP([jobnumber],OvalData[],MATCH(Table2[[#Headers],[Outer Spring Torque]],Table2[#Headers],0),0)</f>
        <v>Null</v>
      </c>
      <c r="BB588" s="2" t="str">
        <f>VLOOKUP([jobnumber],OvalData[],MATCH(Table2[[#Headers],[Outer Spring Max Turns]],Table2[#Headers],0),0)</f>
        <v>Null</v>
      </c>
      <c r="BC588" s="2" t="str">
        <f>VLOOKUP([jobnumber],OvalData[],MATCH(Table2[[#Headers],[Outer Spring Weight]],Table2[#Headers],0),0)</f>
        <v>Null</v>
      </c>
      <c r="BD588" s="2" t="str">
        <f>VLOOKUP([jobnumber],OvalData[],MATCH(Table2[[#Headers],[Inner Spring Gage]],Table2[#Headers],0),0)</f>
        <v>Null</v>
      </c>
      <c r="BE588" s="2" t="str">
        <f>VLOOKUP([jobnumber],OvalData[],MATCH(Table2[[#Headers],[Inner Spring OD]],Table2[#Headers],0),0)</f>
        <v>Null</v>
      </c>
      <c r="BF588" s="2" t="str">
        <f>VLOOKUP([jobnumber],OvalData[],MATCH(Table2[[#Headers],[Inner Spring Length]],Table2[#Headers],0),0)</f>
        <v>Null</v>
      </c>
      <c r="BG588" s="2" t="str">
        <f>VLOOKUP([jobnumber],OvalData[],MATCH(Table2[[#Headers],[Inner Spring Stretch]],Table2[#Headers],0),0)</f>
        <v>Null</v>
      </c>
      <c r="BH588" s="2" t="str">
        <f>VLOOKUP([jobnumber],OvalData[],MATCH(Table2[[#Headers],[Inner Spring Torque]],Table2[#Headers],0),0)</f>
        <v>Null</v>
      </c>
      <c r="BI588" s="2" t="str">
        <f>VLOOKUP([jobnumber],OvalData[],MATCH(Table2[[#Headers],[Inner Spring Max Turns]],Table2[#Headers],0),0)</f>
        <v>Null</v>
      </c>
      <c r="BJ588" s="2" t="str">
        <f>VLOOKUP([jobnumber],OvalData[],MATCH(Table2[[#Headers],[Inner Spring Weight]],Table2[#Headers],0),0)</f>
        <v>Null</v>
      </c>
      <c r="BK588" s="2">
        <f>VLOOKUP([jobnumber],OvalData[],MATCH(Table2[[#Headers],[Cycles]],Table2[#Headers],0),0)</f>
        <v>0</v>
      </c>
      <c r="BL588" s="2">
        <f>VLOOKUP([jobnumber],OvalData[],MATCH(Table2[[#Headers],[Total Spring Torque]],Table2[#Headers],0),0)</f>
        <v>0</v>
      </c>
      <c r="BM588" s="2">
        <f>VLOOKUP([jobnumber],OvalData[],MATCH(Table2[[#Headers],[Total Spring Weight]],Table2[#Headers],0),0)</f>
        <v>0</v>
      </c>
      <c r="BN588" s="2">
        <f>VLOOKUP([jobnumber],OvalData[],MATCH(Table2[[#Headers],[Pipe Weight]],Table2[#Headers],0),0)</f>
        <v>688.24239999999998</v>
      </c>
      <c r="BO588" s="2">
        <f>VLOOKUP([jobnumber],OvalData[],MATCH(Table2[[#Headers],[Max Pipe Deflection]],Table2[#Headers],0),0)</f>
        <v>2309</v>
      </c>
      <c r="BP588" s="2">
        <f>VLOOKUP([jobnumber],OvalData[],MATCH(Table2[[#Headers],[Number Non-Insulated Wrap Slats]],Table2[#Headers],0),0)</f>
        <v>0</v>
      </c>
      <c r="BQ588" s="2">
        <f>VLOOKUP([jobnumber],OvalData[],MATCH(Table2[[#Headers],[Number of Insolated Top Slats]],Table2[#Headers],0),0)</f>
        <v>45</v>
      </c>
      <c r="BR588" s="2">
        <f>VLOOKUP([jobnumber],OvalData[],MATCH(Table2[[#Headers],[Insolated Total Slats]],Table2[#Headers],0),0)</f>
        <v>45</v>
      </c>
      <c r="BS588" s="2">
        <f>VLOOKUP([jobnumber],OvalData[],MATCH(Table2[[#Headers],[Number of Slats]],Table2[#Headers],0),0)</f>
        <v>44.69</v>
      </c>
      <c r="BT588" s="2">
        <f>VLOOKUP([jobnumber],OvalData[],MATCH(Table2[[#Headers],[Wrap]],Table2[#Headers],0),0)</f>
        <v>0</v>
      </c>
      <c r="BU588" s="2">
        <f>VLOOKUP([jobnumber],OvalData[],MATCH(Table2[[#Headers],[Wall Angle Thickness]],Table2[#Headers],0),0)</f>
        <v>0</v>
      </c>
      <c r="BV588" s="2">
        <f>VLOOKUP([jobnumber],OvalData[],MATCH(Table2[[#Headers],[windlocks]],Table2[#Headers],0),0)</f>
        <v>0</v>
      </c>
      <c r="BW588" s="2" t="str">
        <f>VLOOKUP([jobnumber],OvalData[],MATCH(Table2[[#Headers],[bottombartype]],Table2[#Headers],0),0)</f>
        <v>SPECIAL</v>
      </c>
      <c r="BX588" s="2">
        <f>VLOOKUP([jobnumber],OvalData[],MATCH(Table2[[#Headers],[endlockweight]],Table2[#Headers],0),0)</f>
        <v>0.17</v>
      </c>
      <c r="BY588" s="2">
        <f>VLOOKUP([jobnumber],OvalData[],MATCH(Table2[[#Headers],[Endlock Total Weight]],Table2[#Headers],0),0)</f>
        <v>7.5972999999999997</v>
      </c>
      <c r="BZ588" s="2">
        <f>VLOOKUP([jobnumber],OvalData[],MATCH(Table2[[#Headers],[Grille Weight]],Table2[#Headers],0),0)</f>
        <v>0</v>
      </c>
      <c r="CA588" s="2">
        <f>VLOOKUP([jobnumber],OvalData[],MATCH(Table2[[#Headers],[barrelrings]],Table2[#Headers],0),0)</f>
        <v>1</v>
      </c>
    </row>
    <row r="589" spans="2:79">
      <c r="B589" s="2" t="str">
        <f>VLOOKUP([jobnumber],OvalData[],MATCH(Table2[[#Headers],[Hand]],Table2[#Headers],0),0)</f>
        <v>RH</v>
      </c>
      <c r="C589" s="2" t="str">
        <f>VLOOKUP([jobnumber],OvalData[],MATCH(Table2[[#Headers],[Model]],Table2[#Headers],0),0)</f>
        <v>SFMPP</v>
      </c>
      <c r="D589" s="2" t="str">
        <f>VLOOKUP([jobnumber],OvalData[],MATCH(Table2[[#Headers],[width]],Table2[#Headers],0),0)</f>
        <v xml:space="preserve"> 18 ft.- 2"</v>
      </c>
      <c r="E589" s="2" t="str">
        <f>VLOOKUP([jobnumber],OvalData[],MATCH(Table2[[#Headers],[stopheight]],Table2[#Headers],0),0)</f>
        <v xml:space="preserve"> 10 ft.- 0"</v>
      </c>
      <c r="F589" s="2" t="str">
        <f>VLOOKUP([jobnumber],OvalData[],MATCH(Table2[[#Headers],[Between Brackets]],Table2[#Headers],0),0)</f>
        <v xml:space="preserve"> 18 ft.- 7 7/ 8"</v>
      </c>
      <c r="G589" s="2" t="str">
        <f>VLOOKUP([jobnumber],OvalData[],MATCH(Table2[[#Headers],[shell]],Table2[#Headers],0),0)</f>
        <v>6 INCH TUBE</v>
      </c>
      <c r="H589" s="2" t="str">
        <f>VLOOKUP([jobnumber],OvalData[],MATCH(Table2[[#Headers],[pipewidth]],Table2[#Headers],0),0)</f>
        <v xml:space="preserve"> 18 ft.- 1 3/ 8"</v>
      </c>
      <c r="I589" s="2">
        <f>VLOOKUP([jobnumber],OvalData[],MATCH(Table2[[#Headers],[Support Tubes]],Table2[#Headers],0),0)</f>
        <v>0</v>
      </c>
      <c r="J589" s="2">
        <f>VLOOKUP([jobnumber],OvalData[],MATCH(Table2[[#Headers],[Upset]],Table2[#Headers],0),0)</f>
        <v>2</v>
      </c>
      <c r="K589" s="2" t="str">
        <f>VLOOKUP([jobnumber],OvalData[],MATCH(Table2[[#Headers],[Guide Type]],Table2[#Headers],0),0)</f>
        <v>SN2-4 5/8-E</v>
      </c>
      <c r="L589" s="2" t="str">
        <f>VLOOKUP([jobnumber],OvalData[],MATCH(Table2[[#Headers],[Wall Angle]],Table2[#Headers],0),0)</f>
        <v xml:space="preserve"> 11 ft.- 8"</v>
      </c>
      <c r="M589" s="2" t="str">
        <f>VLOOKUP([jobnumber],OvalData[],MATCH(Table2[[#Headers],[Middle Angle]],Table2[#Headers],0),0)</f>
        <v xml:space="preserve"> 10 ft.- 4 1/ 2"</v>
      </c>
      <c r="N589" s="2" t="str">
        <f>VLOOKUP([jobnumber],OvalData[],MATCH(Table2[[#Headers],[Front Angle]],Table2[#Headers],0),0)</f>
        <v xml:space="preserve"> 10 ft.- 3"</v>
      </c>
      <c r="O589" s="2">
        <f>VLOOKUP([jobnumber],OvalData[],MATCH(Table2[[#Headers],[Pipe Center Line]],Table2[#Headers],0),0)</f>
        <v>131</v>
      </c>
      <c r="P589" s="2">
        <f>VLOOKUP([jobnumber],OvalData[],MATCH(Table2[[#Headers],[Heat Expansion Gap]],Table2[#Headers],0),0)</f>
        <v>0</v>
      </c>
      <c r="Q589" s="2">
        <f>VLOOKUP([jobnumber],OvalData[],MATCH(Table2[[#Headers],[Hanging Weight Closed]],Table2[#Headers],0),0)</f>
        <v>795</v>
      </c>
      <c r="R589" s="2">
        <f>VLOOKUP([jobnumber],OvalData[],MATCH(Table2[[#Headers],[Hanging Weight Open]],Table2[#Headers],0),0)</f>
        <v>140</v>
      </c>
      <c r="S589" s="2">
        <f>VLOOKUP([jobnumber],OvalData[],MATCH(Table2[[#Headers],[Initial Lever Arm]],Table2[#Headers],0),0)</f>
        <v>4.25</v>
      </c>
      <c r="T589" s="2">
        <f>VLOOKUP([jobnumber],OvalData[],MATCH(Table2[[#Headers],[Turns to Raise]],Table2[#Headers],0),0)</f>
        <v>3.5859999999999999</v>
      </c>
      <c r="U589" s="2">
        <f>VLOOKUP([jobnumber],OvalData[],MATCH(Table2[[#Headers],[Final Lever Arm]],Table2[#Headers],0),0)</f>
        <v>6.37</v>
      </c>
      <c r="V589" s="2">
        <f>VLOOKUP([jobnumber],OvalData[],MATCH(Table2[[#Headers],[Torque Required Closed]],Table2[#Headers],0),0)</f>
        <v>3377.9</v>
      </c>
      <c r="W589" s="2">
        <f>VLOOKUP([jobnumber],OvalData[],MATCH(Table2[[#Headers],[Torque Required Open]],Table2[#Headers],0),0)</f>
        <v>892</v>
      </c>
      <c r="X589" s="2">
        <f>VLOOKUP([jobnumber],OvalData[],MATCH(Table2[[#Headers],[Pre Turns]],Table2[#Headers],0),0)</f>
        <v>1.3332999999999999</v>
      </c>
      <c r="Y589" s="2">
        <f>VLOOKUP([jobnumber],OvalData[],MATCH(Table2[[#Headers],[Required Torque Per Turn]],Table2[#Headers],0),0)</f>
        <v>688</v>
      </c>
      <c r="Z589" s="2">
        <f>VLOOKUP([jobnumber],OvalData[],MATCH(Table2[[#Headers],[Total Turns]],Table2[#Headers],0),0)</f>
        <v>4.91</v>
      </c>
      <c r="AA589" s="2">
        <f>VLOOKUP([jobnumber],OvalData[],MATCH(Table2[[#Headers],[Grille Vision Section]],Table2[#Headers],0),0)</f>
        <v>0</v>
      </c>
      <c r="AB589" s="2">
        <f>VLOOKUP([jobnumber],OvalData[],MATCH(Table2[[#Headers],[Grille Amount]],Table2[#Headers],0),0)</f>
        <v>0</v>
      </c>
      <c r="AC589" s="2">
        <f>VLOOKUP([jobnumber],OvalData[],MATCH(Table2[[#Headers],[Grille Center]],Table2[#Headers],0),0)</f>
        <v>0</v>
      </c>
      <c r="AD589" s="2">
        <f>VLOOKUP([jobnumber],OvalData[],MATCH(Table2[[#Headers],[Grille Pattern]],Table2[#Headers],0),0)</f>
        <v>0</v>
      </c>
      <c r="AE589" s="2">
        <f>VLOOKUP([jobnumber],OvalData[],MATCH(Table2[[#Headers],[Grille First Tube]],Table2[#Headers],0),0)</f>
        <v>0</v>
      </c>
      <c r="AF589" s="2">
        <f>VLOOKUP([jobnumber],OvalData[],MATCH(Table2[[#Headers],[Grille Standard Tube]],Table2[#Headers],0),0)</f>
        <v>0</v>
      </c>
      <c r="AG589" s="2">
        <f>VLOOKUP([jobnumber],OvalData[],MATCH(Table2[[#Headers],[Grille Total Links]],Table2[#Headers],0),0)</f>
        <v>0</v>
      </c>
      <c r="AH589" s="2">
        <f>VLOOKUP([jobnumber],OvalData[],MATCH(Table2[[#Headers],[Grille Rods]],Table2[#Headers],0),0)</f>
        <v>0</v>
      </c>
      <c r="AI589" s="2">
        <f>VLOOKUP([jobnumber],OvalData[],MATCH(Table2[[#Headers],[Grille Rod Length]],Table2[#Headers],0),0)</f>
        <v>0</v>
      </c>
      <c r="AJ589" s="2">
        <f>VLOOKUP([jobnumber],OvalData[],MATCH(Table2[[#Headers],[slattype]],Table2[#Headers],0),0)</f>
        <v>2</v>
      </c>
      <c r="AK589" s="2">
        <f>VLOOKUP([jobnumber],OvalData[],MATCH(Table2[[#Headers],[slatgage]],Table2[#Headers],0),0)</f>
        <v>18</v>
      </c>
      <c r="AL589" s="2">
        <f>VLOOKUP([jobnumber],OvalData[],MATCH(Table2[[#Headers],[Numer of Top Slats]],Table2[#Headers],0),0)</f>
        <v>0</v>
      </c>
      <c r="AM589" s="2">
        <f>VLOOKUP([jobnumber],OvalData[],MATCH(Table2[[#Headers],[Number of Bottom Slats]],Table2[#Headers],0),0)</f>
        <v>0</v>
      </c>
      <c r="AN589" s="2">
        <f>VLOOKUP([jobnumber],OvalData[],MATCH(Table2[[#Headers],[Solid Bottom Height]],Table2[#Headers],0),0)</f>
        <v>0</v>
      </c>
      <c r="AO589" s="2" t="str">
        <f>VLOOKUP([jobnumber],OvalData[],MATCH(Table2[[#Headers],[slatlength]],Table2[#Headers],0),0)</f>
        <v xml:space="preserve"> 18 ft.- 5 7/ 8"</v>
      </c>
      <c r="AP589" s="2">
        <f>VLOOKUP([jobnumber],OvalData[],MATCH(Table2[[#Headers],[Bottom Slat Length]],Table2[#Headers],0),0)</f>
        <v>0</v>
      </c>
      <c r="AQ589" s="2">
        <f>VLOOKUP([jobnumber],OvalData[],MATCH(Table2[[#Headers],[Number of Perferated Slats]],Table2[#Headers],0),0)</f>
        <v>0</v>
      </c>
      <c r="AR589" s="2">
        <f>VLOOKUP([jobnumber],OvalData[],MATCH(Table2[[#Headers],[First Preferated Slat From End]],Table2[#Headers],0),0)</f>
        <v>0</v>
      </c>
      <c r="AS589" s="2">
        <f>VLOOKUP([jobnumber],OvalData[],MATCH(Table2[[#Headers],[First Preferated Slat From Bottom]],Table2[#Headers],0),0)</f>
        <v>0</v>
      </c>
      <c r="AT589" s="2">
        <f>VLOOKUP([jobnumber],OvalData[],MATCH(Table2[[#Headers],[Total Number of Slats]],Table2[#Headers],0),0)</f>
        <v>51</v>
      </c>
      <c r="AU589" s="2">
        <f>VLOOKUP([jobnumber],OvalData[],MATCH(Table2[[#Headers],[Bottom Bar Slope]],Table2[#Headers],0),0)</f>
        <v>0</v>
      </c>
      <c r="AV589" s="2">
        <f>VLOOKUP([jobnumber],OvalData[],MATCH(Table2[[#Headers],[Bottom Bar Weight]],Table2[#Headers],0),0)</f>
        <v>80.5</v>
      </c>
      <c r="AW589" s="2" t="str">
        <f>VLOOKUP([jobnumber],OvalData[],MATCH(Table2[[#Headers],[Outer Spring Gage]],Table2[#Headers],0),0)</f>
        <v>Null</v>
      </c>
      <c r="AX589" s="2" t="str">
        <f>VLOOKUP([jobnumber],OvalData[],MATCH(Table2[[#Headers],[Outer Spring OD]],Table2[#Headers],0),0)</f>
        <v>Null</v>
      </c>
      <c r="AY589" s="2" t="str">
        <f>VLOOKUP([jobnumber],OvalData[],MATCH(Table2[[#Headers],[Outer Spring Length]],Table2[#Headers],0),0)</f>
        <v>Null</v>
      </c>
      <c r="AZ589" s="2" t="str">
        <f>VLOOKUP([jobnumber],OvalData[],MATCH(Table2[[#Headers],[Outer Spring Stretch]],Table2[#Headers],0),0)</f>
        <v>Null</v>
      </c>
      <c r="BA589" s="2" t="str">
        <f>VLOOKUP([jobnumber],OvalData[],MATCH(Table2[[#Headers],[Outer Spring Torque]],Table2[#Headers],0),0)</f>
        <v>Null</v>
      </c>
      <c r="BB589" s="2" t="str">
        <f>VLOOKUP([jobnumber],OvalData[],MATCH(Table2[[#Headers],[Outer Spring Max Turns]],Table2[#Headers],0),0)</f>
        <v>Null</v>
      </c>
      <c r="BC589" s="2" t="str">
        <f>VLOOKUP([jobnumber],OvalData[],MATCH(Table2[[#Headers],[Outer Spring Weight]],Table2[#Headers],0),0)</f>
        <v>Null</v>
      </c>
      <c r="BD589" s="2" t="str">
        <f>VLOOKUP([jobnumber],OvalData[],MATCH(Table2[[#Headers],[Inner Spring Gage]],Table2[#Headers],0),0)</f>
        <v>Null</v>
      </c>
      <c r="BE589" s="2" t="str">
        <f>VLOOKUP([jobnumber],OvalData[],MATCH(Table2[[#Headers],[Inner Spring OD]],Table2[#Headers],0),0)</f>
        <v>Null</v>
      </c>
      <c r="BF589" s="2" t="str">
        <f>VLOOKUP([jobnumber],OvalData[],MATCH(Table2[[#Headers],[Inner Spring Length]],Table2[#Headers],0),0)</f>
        <v>Null</v>
      </c>
      <c r="BG589" s="2" t="str">
        <f>VLOOKUP([jobnumber],OvalData[],MATCH(Table2[[#Headers],[Inner Spring Stretch]],Table2[#Headers],0),0)</f>
        <v>Null</v>
      </c>
      <c r="BH589" s="2" t="str">
        <f>VLOOKUP([jobnumber],OvalData[],MATCH(Table2[[#Headers],[Inner Spring Torque]],Table2[#Headers],0),0)</f>
        <v>Null</v>
      </c>
      <c r="BI589" s="2" t="str">
        <f>VLOOKUP([jobnumber],OvalData[],MATCH(Table2[[#Headers],[Inner Spring Max Turns]],Table2[#Headers],0),0)</f>
        <v>Null</v>
      </c>
      <c r="BJ589" s="2" t="str">
        <f>VLOOKUP([jobnumber],OvalData[],MATCH(Table2[[#Headers],[Inner Spring Weight]],Table2[#Headers],0),0)</f>
        <v>Null</v>
      </c>
      <c r="BK589" s="2">
        <f>VLOOKUP([jobnumber],OvalData[],MATCH(Table2[[#Headers],[Cycles]],Table2[#Headers],0),0)</f>
        <v>0</v>
      </c>
      <c r="BL589" s="2">
        <f>VLOOKUP([jobnumber],OvalData[],MATCH(Table2[[#Headers],[Total Spring Torque]],Table2[#Headers],0),0)</f>
        <v>0</v>
      </c>
      <c r="BM589" s="2">
        <f>VLOOKUP([jobnumber],OvalData[],MATCH(Table2[[#Headers],[Total Spring Weight]],Table2[#Headers],0),0)</f>
        <v>0</v>
      </c>
      <c r="BN589" s="2">
        <f>VLOOKUP([jobnumber],OvalData[],MATCH(Table2[[#Headers],[Pipe Weight]],Table2[#Headers],0),0)</f>
        <v>688.24239999999998</v>
      </c>
      <c r="BO589" s="2">
        <f>VLOOKUP([jobnumber],OvalData[],MATCH(Table2[[#Headers],[Max Pipe Deflection]],Table2[#Headers],0),0)</f>
        <v>2309</v>
      </c>
      <c r="BP589" s="2">
        <f>VLOOKUP([jobnumber],OvalData[],MATCH(Table2[[#Headers],[Number Non-Insulated Wrap Slats]],Table2[#Headers],0),0)</f>
        <v>0</v>
      </c>
      <c r="BQ589" s="2">
        <f>VLOOKUP([jobnumber],OvalData[],MATCH(Table2[[#Headers],[Number of Insolated Top Slats]],Table2[#Headers],0),0)</f>
        <v>45</v>
      </c>
      <c r="BR589" s="2">
        <f>VLOOKUP([jobnumber],OvalData[],MATCH(Table2[[#Headers],[Insolated Total Slats]],Table2[#Headers],0),0)</f>
        <v>45</v>
      </c>
      <c r="BS589" s="2">
        <f>VLOOKUP([jobnumber],OvalData[],MATCH(Table2[[#Headers],[Number of Slats]],Table2[#Headers],0),0)</f>
        <v>44.69</v>
      </c>
      <c r="BT589" s="2">
        <f>VLOOKUP([jobnumber],OvalData[],MATCH(Table2[[#Headers],[Wrap]],Table2[#Headers],0),0)</f>
        <v>0</v>
      </c>
      <c r="BU589" s="2">
        <f>VLOOKUP([jobnumber],OvalData[],MATCH(Table2[[#Headers],[Wall Angle Thickness]],Table2[#Headers],0),0)</f>
        <v>0</v>
      </c>
      <c r="BV589" s="2">
        <f>VLOOKUP([jobnumber],OvalData[],MATCH(Table2[[#Headers],[windlocks]],Table2[#Headers],0),0)</f>
        <v>0</v>
      </c>
      <c r="BW589" s="2" t="str">
        <f>VLOOKUP([jobnumber],OvalData[],MATCH(Table2[[#Headers],[bottombartype]],Table2[#Headers],0),0)</f>
        <v>SPECIAL</v>
      </c>
      <c r="BX589" s="2">
        <f>VLOOKUP([jobnumber],OvalData[],MATCH(Table2[[#Headers],[endlockweight]],Table2[#Headers],0),0)</f>
        <v>0.17</v>
      </c>
      <c r="BY589" s="2">
        <f>VLOOKUP([jobnumber],OvalData[],MATCH(Table2[[#Headers],[Endlock Total Weight]],Table2[#Headers],0),0)</f>
        <v>7.5972999999999997</v>
      </c>
      <c r="BZ589" s="2">
        <f>VLOOKUP([jobnumber],OvalData[],MATCH(Table2[[#Headers],[Grille Weight]],Table2[#Headers],0),0)</f>
        <v>0</v>
      </c>
      <c r="CA589" s="2">
        <f>VLOOKUP([jobnumber],OvalData[],MATCH(Table2[[#Headers],[barrelrings]],Table2[#Headers],0),0)</f>
        <v>1</v>
      </c>
    </row>
    <row r="590" spans="2:79">
      <c r="B590" s="2" t="str">
        <f>VLOOKUP([jobnumber],OvalData[],MATCH(Table2[[#Headers],[Hand]],Table2[#Headers],0),0)</f>
        <v>RH</v>
      </c>
      <c r="C590" s="2" t="str">
        <f>VLOOKUP([jobnumber],OvalData[],MATCH(Table2[[#Headers],[Model]],Table2[#Headers],0),0)</f>
        <v>SFMPP</v>
      </c>
      <c r="D590" s="2" t="str">
        <f>VLOOKUP([jobnumber],OvalData[],MATCH(Table2[[#Headers],[width]],Table2[#Headers],0),0)</f>
        <v xml:space="preserve"> 18 ft.- 2"</v>
      </c>
      <c r="E590" s="2" t="str">
        <f>VLOOKUP([jobnumber],OvalData[],MATCH(Table2[[#Headers],[stopheight]],Table2[#Headers],0),0)</f>
        <v xml:space="preserve"> 10 ft.- 0"</v>
      </c>
      <c r="F590" s="2" t="str">
        <f>VLOOKUP([jobnumber],OvalData[],MATCH(Table2[[#Headers],[Between Brackets]],Table2[#Headers],0),0)</f>
        <v xml:space="preserve"> 18 ft.- 7 7/ 8"</v>
      </c>
      <c r="G590" s="2" t="str">
        <f>VLOOKUP([jobnumber],OvalData[],MATCH(Table2[[#Headers],[shell]],Table2[#Headers],0),0)</f>
        <v>6 INCH TUBE</v>
      </c>
      <c r="H590" s="2" t="str">
        <f>VLOOKUP([jobnumber],OvalData[],MATCH(Table2[[#Headers],[pipewidth]],Table2[#Headers],0),0)</f>
        <v xml:space="preserve"> 18 ft.- 1 3/ 8"</v>
      </c>
      <c r="I590" s="2">
        <f>VLOOKUP([jobnumber],OvalData[],MATCH(Table2[[#Headers],[Support Tubes]],Table2[#Headers],0),0)</f>
        <v>0</v>
      </c>
      <c r="J590" s="2">
        <f>VLOOKUP([jobnumber],OvalData[],MATCH(Table2[[#Headers],[Upset]],Table2[#Headers],0),0)</f>
        <v>2</v>
      </c>
      <c r="K590" s="2" t="str">
        <f>VLOOKUP([jobnumber],OvalData[],MATCH(Table2[[#Headers],[Guide Type]],Table2[#Headers],0),0)</f>
        <v>SN2-4 5/8-E</v>
      </c>
      <c r="L590" s="2" t="str">
        <f>VLOOKUP([jobnumber],OvalData[],MATCH(Table2[[#Headers],[Wall Angle]],Table2[#Headers],0),0)</f>
        <v xml:space="preserve"> 11 ft.- 8"</v>
      </c>
      <c r="M590" s="2" t="str">
        <f>VLOOKUP([jobnumber],OvalData[],MATCH(Table2[[#Headers],[Middle Angle]],Table2[#Headers],0),0)</f>
        <v xml:space="preserve"> 10 ft.- 4 1/ 2"</v>
      </c>
      <c r="N590" s="2" t="str">
        <f>VLOOKUP([jobnumber],OvalData[],MATCH(Table2[[#Headers],[Front Angle]],Table2[#Headers],0),0)</f>
        <v xml:space="preserve"> 10 ft.- 3"</v>
      </c>
      <c r="O590" s="2">
        <f>VLOOKUP([jobnumber],OvalData[],MATCH(Table2[[#Headers],[Pipe Center Line]],Table2[#Headers],0),0)</f>
        <v>131</v>
      </c>
      <c r="P590" s="2">
        <f>VLOOKUP([jobnumber],OvalData[],MATCH(Table2[[#Headers],[Heat Expansion Gap]],Table2[#Headers],0),0)</f>
        <v>0</v>
      </c>
      <c r="Q590" s="2">
        <f>VLOOKUP([jobnumber],OvalData[],MATCH(Table2[[#Headers],[Hanging Weight Closed]],Table2[#Headers],0),0)</f>
        <v>795</v>
      </c>
      <c r="R590" s="2">
        <f>VLOOKUP([jobnumber],OvalData[],MATCH(Table2[[#Headers],[Hanging Weight Open]],Table2[#Headers],0),0)</f>
        <v>140</v>
      </c>
      <c r="S590" s="2">
        <f>VLOOKUP([jobnumber],OvalData[],MATCH(Table2[[#Headers],[Initial Lever Arm]],Table2[#Headers],0),0)</f>
        <v>4.25</v>
      </c>
      <c r="T590" s="2">
        <f>VLOOKUP([jobnumber],OvalData[],MATCH(Table2[[#Headers],[Turns to Raise]],Table2[#Headers],0),0)</f>
        <v>3.5859999999999999</v>
      </c>
      <c r="U590" s="2">
        <f>VLOOKUP([jobnumber],OvalData[],MATCH(Table2[[#Headers],[Final Lever Arm]],Table2[#Headers],0),0)</f>
        <v>6.37</v>
      </c>
      <c r="V590" s="2">
        <f>VLOOKUP([jobnumber],OvalData[],MATCH(Table2[[#Headers],[Torque Required Closed]],Table2[#Headers],0),0)</f>
        <v>3377.9</v>
      </c>
      <c r="W590" s="2">
        <f>VLOOKUP([jobnumber],OvalData[],MATCH(Table2[[#Headers],[Torque Required Open]],Table2[#Headers],0),0)</f>
        <v>892</v>
      </c>
      <c r="X590" s="2">
        <f>VLOOKUP([jobnumber],OvalData[],MATCH(Table2[[#Headers],[Pre Turns]],Table2[#Headers],0),0)</f>
        <v>1.3332999999999999</v>
      </c>
      <c r="Y590" s="2">
        <f>VLOOKUP([jobnumber],OvalData[],MATCH(Table2[[#Headers],[Required Torque Per Turn]],Table2[#Headers],0),0)</f>
        <v>688</v>
      </c>
      <c r="Z590" s="2">
        <f>VLOOKUP([jobnumber],OvalData[],MATCH(Table2[[#Headers],[Total Turns]],Table2[#Headers],0),0)</f>
        <v>4.91</v>
      </c>
      <c r="AA590" s="2">
        <f>VLOOKUP([jobnumber],OvalData[],MATCH(Table2[[#Headers],[Grille Vision Section]],Table2[#Headers],0),0)</f>
        <v>0</v>
      </c>
      <c r="AB590" s="2">
        <f>VLOOKUP([jobnumber],OvalData[],MATCH(Table2[[#Headers],[Grille Amount]],Table2[#Headers],0),0)</f>
        <v>0</v>
      </c>
      <c r="AC590" s="2">
        <f>VLOOKUP([jobnumber],OvalData[],MATCH(Table2[[#Headers],[Grille Center]],Table2[#Headers],0),0)</f>
        <v>0</v>
      </c>
      <c r="AD590" s="2">
        <f>VLOOKUP([jobnumber],OvalData[],MATCH(Table2[[#Headers],[Grille Pattern]],Table2[#Headers],0),0)</f>
        <v>0</v>
      </c>
      <c r="AE590" s="2">
        <f>VLOOKUP([jobnumber],OvalData[],MATCH(Table2[[#Headers],[Grille First Tube]],Table2[#Headers],0),0)</f>
        <v>0</v>
      </c>
      <c r="AF590" s="2">
        <f>VLOOKUP([jobnumber],OvalData[],MATCH(Table2[[#Headers],[Grille Standard Tube]],Table2[#Headers],0),0)</f>
        <v>0</v>
      </c>
      <c r="AG590" s="2">
        <f>VLOOKUP([jobnumber],OvalData[],MATCH(Table2[[#Headers],[Grille Total Links]],Table2[#Headers],0),0)</f>
        <v>0</v>
      </c>
      <c r="AH590" s="2">
        <f>VLOOKUP([jobnumber],OvalData[],MATCH(Table2[[#Headers],[Grille Rods]],Table2[#Headers],0),0)</f>
        <v>0</v>
      </c>
      <c r="AI590" s="2">
        <f>VLOOKUP([jobnumber],OvalData[],MATCH(Table2[[#Headers],[Grille Rod Length]],Table2[#Headers],0),0)</f>
        <v>0</v>
      </c>
      <c r="AJ590" s="2">
        <f>VLOOKUP([jobnumber],OvalData[],MATCH(Table2[[#Headers],[slattype]],Table2[#Headers],0),0)</f>
        <v>2</v>
      </c>
      <c r="AK590" s="2">
        <f>VLOOKUP([jobnumber],OvalData[],MATCH(Table2[[#Headers],[slatgage]],Table2[#Headers],0),0)</f>
        <v>18</v>
      </c>
      <c r="AL590" s="2">
        <f>VLOOKUP([jobnumber],OvalData[],MATCH(Table2[[#Headers],[Numer of Top Slats]],Table2[#Headers],0),0)</f>
        <v>0</v>
      </c>
      <c r="AM590" s="2">
        <f>VLOOKUP([jobnumber],OvalData[],MATCH(Table2[[#Headers],[Number of Bottom Slats]],Table2[#Headers],0),0)</f>
        <v>0</v>
      </c>
      <c r="AN590" s="2">
        <f>VLOOKUP([jobnumber],OvalData[],MATCH(Table2[[#Headers],[Solid Bottom Height]],Table2[#Headers],0),0)</f>
        <v>0</v>
      </c>
      <c r="AO590" s="2" t="str">
        <f>VLOOKUP([jobnumber],OvalData[],MATCH(Table2[[#Headers],[slatlength]],Table2[#Headers],0),0)</f>
        <v xml:space="preserve"> 18 ft.- 5 7/ 8"</v>
      </c>
      <c r="AP590" s="2">
        <f>VLOOKUP([jobnumber],OvalData[],MATCH(Table2[[#Headers],[Bottom Slat Length]],Table2[#Headers],0),0)</f>
        <v>0</v>
      </c>
      <c r="AQ590" s="2">
        <f>VLOOKUP([jobnumber],OvalData[],MATCH(Table2[[#Headers],[Number of Perferated Slats]],Table2[#Headers],0),0)</f>
        <v>0</v>
      </c>
      <c r="AR590" s="2">
        <f>VLOOKUP([jobnumber],OvalData[],MATCH(Table2[[#Headers],[First Preferated Slat From End]],Table2[#Headers],0),0)</f>
        <v>0</v>
      </c>
      <c r="AS590" s="2">
        <f>VLOOKUP([jobnumber],OvalData[],MATCH(Table2[[#Headers],[First Preferated Slat From Bottom]],Table2[#Headers],0),0)</f>
        <v>0</v>
      </c>
      <c r="AT590" s="2">
        <f>VLOOKUP([jobnumber],OvalData[],MATCH(Table2[[#Headers],[Total Number of Slats]],Table2[#Headers],0),0)</f>
        <v>51</v>
      </c>
      <c r="AU590" s="2">
        <f>VLOOKUP([jobnumber],OvalData[],MATCH(Table2[[#Headers],[Bottom Bar Slope]],Table2[#Headers],0),0)</f>
        <v>0</v>
      </c>
      <c r="AV590" s="2">
        <f>VLOOKUP([jobnumber],OvalData[],MATCH(Table2[[#Headers],[Bottom Bar Weight]],Table2[#Headers],0),0)</f>
        <v>80.5</v>
      </c>
      <c r="AW590" s="2" t="str">
        <f>VLOOKUP([jobnumber],OvalData[],MATCH(Table2[[#Headers],[Outer Spring Gage]],Table2[#Headers],0),0)</f>
        <v>Null</v>
      </c>
      <c r="AX590" s="2" t="str">
        <f>VLOOKUP([jobnumber],OvalData[],MATCH(Table2[[#Headers],[Outer Spring OD]],Table2[#Headers],0),0)</f>
        <v>Null</v>
      </c>
      <c r="AY590" s="2" t="str">
        <f>VLOOKUP([jobnumber],OvalData[],MATCH(Table2[[#Headers],[Outer Spring Length]],Table2[#Headers],0),0)</f>
        <v>Null</v>
      </c>
      <c r="AZ590" s="2" t="str">
        <f>VLOOKUP([jobnumber],OvalData[],MATCH(Table2[[#Headers],[Outer Spring Stretch]],Table2[#Headers],0),0)</f>
        <v>Null</v>
      </c>
      <c r="BA590" s="2" t="str">
        <f>VLOOKUP([jobnumber],OvalData[],MATCH(Table2[[#Headers],[Outer Spring Torque]],Table2[#Headers],0),0)</f>
        <v>Null</v>
      </c>
      <c r="BB590" s="2" t="str">
        <f>VLOOKUP([jobnumber],OvalData[],MATCH(Table2[[#Headers],[Outer Spring Max Turns]],Table2[#Headers],0),0)</f>
        <v>Null</v>
      </c>
      <c r="BC590" s="2" t="str">
        <f>VLOOKUP([jobnumber],OvalData[],MATCH(Table2[[#Headers],[Outer Spring Weight]],Table2[#Headers],0),0)</f>
        <v>Null</v>
      </c>
      <c r="BD590" s="2" t="str">
        <f>VLOOKUP([jobnumber],OvalData[],MATCH(Table2[[#Headers],[Inner Spring Gage]],Table2[#Headers],0),0)</f>
        <v>Null</v>
      </c>
      <c r="BE590" s="2" t="str">
        <f>VLOOKUP([jobnumber],OvalData[],MATCH(Table2[[#Headers],[Inner Spring OD]],Table2[#Headers],0),0)</f>
        <v>Null</v>
      </c>
      <c r="BF590" s="2" t="str">
        <f>VLOOKUP([jobnumber],OvalData[],MATCH(Table2[[#Headers],[Inner Spring Length]],Table2[#Headers],0),0)</f>
        <v>Null</v>
      </c>
      <c r="BG590" s="2" t="str">
        <f>VLOOKUP([jobnumber],OvalData[],MATCH(Table2[[#Headers],[Inner Spring Stretch]],Table2[#Headers],0),0)</f>
        <v>Null</v>
      </c>
      <c r="BH590" s="2" t="str">
        <f>VLOOKUP([jobnumber],OvalData[],MATCH(Table2[[#Headers],[Inner Spring Torque]],Table2[#Headers],0),0)</f>
        <v>Null</v>
      </c>
      <c r="BI590" s="2" t="str">
        <f>VLOOKUP([jobnumber],OvalData[],MATCH(Table2[[#Headers],[Inner Spring Max Turns]],Table2[#Headers],0),0)</f>
        <v>Null</v>
      </c>
      <c r="BJ590" s="2" t="str">
        <f>VLOOKUP([jobnumber],OvalData[],MATCH(Table2[[#Headers],[Inner Spring Weight]],Table2[#Headers],0),0)</f>
        <v>Null</v>
      </c>
      <c r="BK590" s="2">
        <f>VLOOKUP([jobnumber],OvalData[],MATCH(Table2[[#Headers],[Cycles]],Table2[#Headers],0),0)</f>
        <v>0</v>
      </c>
      <c r="BL590" s="2">
        <f>VLOOKUP([jobnumber],OvalData[],MATCH(Table2[[#Headers],[Total Spring Torque]],Table2[#Headers],0),0)</f>
        <v>0</v>
      </c>
      <c r="BM590" s="2">
        <f>VLOOKUP([jobnumber],OvalData[],MATCH(Table2[[#Headers],[Total Spring Weight]],Table2[#Headers],0),0)</f>
        <v>0</v>
      </c>
      <c r="BN590" s="2">
        <f>VLOOKUP([jobnumber],OvalData[],MATCH(Table2[[#Headers],[Pipe Weight]],Table2[#Headers],0),0)</f>
        <v>688.24239999999998</v>
      </c>
      <c r="BO590" s="2">
        <f>VLOOKUP([jobnumber],OvalData[],MATCH(Table2[[#Headers],[Max Pipe Deflection]],Table2[#Headers],0),0)</f>
        <v>2309</v>
      </c>
      <c r="BP590" s="2">
        <f>VLOOKUP([jobnumber],OvalData[],MATCH(Table2[[#Headers],[Number Non-Insulated Wrap Slats]],Table2[#Headers],0),0)</f>
        <v>0</v>
      </c>
      <c r="BQ590" s="2">
        <f>VLOOKUP([jobnumber],OvalData[],MATCH(Table2[[#Headers],[Number of Insolated Top Slats]],Table2[#Headers],0),0)</f>
        <v>45</v>
      </c>
      <c r="BR590" s="2">
        <f>VLOOKUP([jobnumber],OvalData[],MATCH(Table2[[#Headers],[Insolated Total Slats]],Table2[#Headers],0),0)</f>
        <v>45</v>
      </c>
      <c r="BS590" s="2">
        <f>VLOOKUP([jobnumber],OvalData[],MATCH(Table2[[#Headers],[Number of Slats]],Table2[#Headers],0),0)</f>
        <v>44.69</v>
      </c>
      <c r="BT590" s="2">
        <f>VLOOKUP([jobnumber],OvalData[],MATCH(Table2[[#Headers],[Wrap]],Table2[#Headers],0),0)</f>
        <v>0</v>
      </c>
      <c r="BU590" s="2">
        <f>VLOOKUP([jobnumber],OvalData[],MATCH(Table2[[#Headers],[Wall Angle Thickness]],Table2[#Headers],0),0)</f>
        <v>0</v>
      </c>
      <c r="BV590" s="2">
        <f>VLOOKUP([jobnumber],OvalData[],MATCH(Table2[[#Headers],[windlocks]],Table2[#Headers],0),0)</f>
        <v>0</v>
      </c>
      <c r="BW590" s="2" t="str">
        <f>VLOOKUP([jobnumber],OvalData[],MATCH(Table2[[#Headers],[bottombartype]],Table2[#Headers],0),0)</f>
        <v>SPECIAL</v>
      </c>
      <c r="BX590" s="2">
        <f>VLOOKUP([jobnumber],OvalData[],MATCH(Table2[[#Headers],[endlockweight]],Table2[#Headers],0),0)</f>
        <v>0.17</v>
      </c>
      <c r="BY590" s="2">
        <f>VLOOKUP([jobnumber],OvalData[],MATCH(Table2[[#Headers],[Endlock Total Weight]],Table2[#Headers],0),0)</f>
        <v>7.5972999999999997</v>
      </c>
      <c r="BZ590" s="2">
        <f>VLOOKUP([jobnumber],OvalData[],MATCH(Table2[[#Headers],[Grille Weight]],Table2[#Headers],0),0)</f>
        <v>0</v>
      </c>
      <c r="CA590" s="2">
        <f>VLOOKUP([jobnumber],OvalData[],MATCH(Table2[[#Headers],[barrelrings]],Table2[#Headers],0),0)</f>
        <v>1</v>
      </c>
    </row>
    <row r="591" spans="2:79">
      <c r="B591" s="2" t="str">
        <f>VLOOKUP([jobnumber],OvalData[],MATCH(Table2[[#Headers],[Hand]],Table2[#Headers],0),0)</f>
        <v>RH</v>
      </c>
      <c r="C591" s="2" t="str">
        <f>VLOOKUP([jobnumber],OvalData[],MATCH(Table2[[#Headers],[Model]],Table2[#Headers],0),0)</f>
        <v>SFMPP</v>
      </c>
      <c r="D591" s="2" t="str">
        <f>VLOOKUP([jobnumber],OvalData[],MATCH(Table2[[#Headers],[width]],Table2[#Headers],0),0)</f>
        <v xml:space="preserve"> 18 ft.- 2"</v>
      </c>
      <c r="E591" s="2" t="str">
        <f>VLOOKUP([jobnumber],OvalData[],MATCH(Table2[[#Headers],[stopheight]],Table2[#Headers],0),0)</f>
        <v xml:space="preserve"> 10 ft.- 0"</v>
      </c>
      <c r="F591" s="2" t="str">
        <f>VLOOKUP([jobnumber],OvalData[],MATCH(Table2[[#Headers],[Between Brackets]],Table2[#Headers],0),0)</f>
        <v xml:space="preserve"> 18 ft.- 7 7/ 8"</v>
      </c>
      <c r="G591" s="2" t="str">
        <f>VLOOKUP([jobnumber],OvalData[],MATCH(Table2[[#Headers],[shell]],Table2[#Headers],0),0)</f>
        <v>6 INCH TUBE</v>
      </c>
      <c r="H591" s="2" t="str">
        <f>VLOOKUP([jobnumber],OvalData[],MATCH(Table2[[#Headers],[pipewidth]],Table2[#Headers],0),0)</f>
        <v xml:space="preserve"> 18 ft.- 1 3/ 8"</v>
      </c>
      <c r="I591" s="2">
        <f>VLOOKUP([jobnumber],OvalData[],MATCH(Table2[[#Headers],[Support Tubes]],Table2[#Headers],0),0)</f>
        <v>0</v>
      </c>
      <c r="J591" s="2">
        <f>VLOOKUP([jobnumber],OvalData[],MATCH(Table2[[#Headers],[Upset]],Table2[#Headers],0),0)</f>
        <v>2</v>
      </c>
      <c r="K591" s="2" t="str">
        <f>VLOOKUP([jobnumber],OvalData[],MATCH(Table2[[#Headers],[Guide Type]],Table2[#Headers],0),0)</f>
        <v>SN2-4 5/8-E</v>
      </c>
      <c r="L591" s="2" t="str">
        <f>VLOOKUP([jobnumber],OvalData[],MATCH(Table2[[#Headers],[Wall Angle]],Table2[#Headers],0),0)</f>
        <v xml:space="preserve"> 11 ft.- 8"</v>
      </c>
      <c r="M591" s="2" t="str">
        <f>VLOOKUP([jobnumber],OvalData[],MATCH(Table2[[#Headers],[Middle Angle]],Table2[#Headers],0),0)</f>
        <v xml:space="preserve"> 10 ft.- 4 1/ 2"</v>
      </c>
      <c r="N591" s="2" t="str">
        <f>VLOOKUP([jobnumber],OvalData[],MATCH(Table2[[#Headers],[Front Angle]],Table2[#Headers],0),0)</f>
        <v xml:space="preserve"> 10 ft.- 3"</v>
      </c>
      <c r="O591" s="2">
        <f>VLOOKUP([jobnumber],OvalData[],MATCH(Table2[[#Headers],[Pipe Center Line]],Table2[#Headers],0),0)</f>
        <v>131</v>
      </c>
      <c r="P591" s="2">
        <f>VLOOKUP([jobnumber],OvalData[],MATCH(Table2[[#Headers],[Heat Expansion Gap]],Table2[#Headers],0),0)</f>
        <v>0</v>
      </c>
      <c r="Q591" s="2">
        <f>VLOOKUP([jobnumber],OvalData[],MATCH(Table2[[#Headers],[Hanging Weight Closed]],Table2[#Headers],0),0)</f>
        <v>795</v>
      </c>
      <c r="R591" s="2">
        <f>VLOOKUP([jobnumber],OvalData[],MATCH(Table2[[#Headers],[Hanging Weight Open]],Table2[#Headers],0),0)</f>
        <v>140</v>
      </c>
      <c r="S591" s="2">
        <f>VLOOKUP([jobnumber],OvalData[],MATCH(Table2[[#Headers],[Initial Lever Arm]],Table2[#Headers],0),0)</f>
        <v>4.25</v>
      </c>
      <c r="T591" s="2">
        <f>VLOOKUP([jobnumber],OvalData[],MATCH(Table2[[#Headers],[Turns to Raise]],Table2[#Headers],0),0)</f>
        <v>3.5859999999999999</v>
      </c>
      <c r="U591" s="2">
        <f>VLOOKUP([jobnumber],OvalData[],MATCH(Table2[[#Headers],[Final Lever Arm]],Table2[#Headers],0),0)</f>
        <v>6.37</v>
      </c>
      <c r="V591" s="2">
        <f>VLOOKUP([jobnumber],OvalData[],MATCH(Table2[[#Headers],[Torque Required Closed]],Table2[#Headers],0),0)</f>
        <v>3377.9</v>
      </c>
      <c r="W591" s="2">
        <f>VLOOKUP([jobnumber],OvalData[],MATCH(Table2[[#Headers],[Torque Required Open]],Table2[#Headers],0),0)</f>
        <v>892</v>
      </c>
      <c r="X591" s="2">
        <f>VLOOKUP([jobnumber],OvalData[],MATCH(Table2[[#Headers],[Pre Turns]],Table2[#Headers],0),0)</f>
        <v>1.3332999999999999</v>
      </c>
      <c r="Y591" s="2">
        <f>VLOOKUP([jobnumber],OvalData[],MATCH(Table2[[#Headers],[Required Torque Per Turn]],Table2[#Headers],0),0)</f>
        <v>688</v>
      </c>
      <c r="Z591" s="2">
        <f>VLOOKUP([jobnumber],OvalData[],MATCH(Table2[[#Headers],[Total Turns]],Table2[#Headers],0),0)</f>
        <v>4.91</v>
      </c>
      <c r="AA591" s="2">
        <f>VLOOKUP([jobnumber],OvalData[],MATCH(Table2[[#Headers],[Grille Vision Section]],Table2[#Headers],0),0)</f>
        <v>0</v>
      </c>
      <c r="AB591" s="2">
        <f>VLOOKUP([jobnumber],OvalData[],MATCH(Table2[[#Headers],[Grille Amount]],Table2[#Headers],0),0)</f>
        <v>0</v>
      </c>
      <c r="AC591" s="2">
        <f>VLOOKUP([jobnumber],OvalData[],MATCH(Table2[[#Headers],[Grille Center]],Table2[#Headers],0),0)</f>
        <v>0</v>
      </c>
      <c r="AD591" s="2">
        <f>VLOOKUP([jobnumber],OvalData[],MATCH(Table2[[#Headers],[Grille Pattern]],Table2[#Headers],0),0)</f>
        <v>0</v>
      </c>
      <c r="AE591" s="2">
        <f>VLOOKUP([jobnumber],OvalData[],MATCH(Table2[[#Headers],[Grille First Tube]],Table2[#Headers],0),0)</f>
        <v>0</v>
      </c>
      <c r="AF591" s="2">
        <f>VLOOKUP([jobnumber],OvalData[],MATCH(Table2[[#Headers],[Grille Standard Tube]],Table2[#Headers],0),0)</f>
        <v>0</v>
      </c>
      <c r="AG591" s="2">
        <f>VLOOKUP([jobnumber],OvalData[],MATCH(Table2[[#Headers],[Grille Total Links]],Table2[#Headers],0),0)</f>
        <v>0</v>
      </c>
      <c r="AH591" s="2">
        <f>VLOOKUP([jobnumber],OvalData[],MATCH(Table2[[#Headers],[Grille Rods]],Table2[#Headers],0),0)</f>
        <v>0</v>
      </c>
      <c r="AI591" s="2">
        <f>VLOOKUP([jobnumber],OvalData[],MATCH(Table2[[#Headers],[Grille Rod Length]],Table2[#Headers],0),0)</f>
        <v>0</v>
      </c>
      <c r="AJ591" s="2">
        <f>VLOOKUP([jobnumber],OvalData[],MATCH(Table2[[#Headers],[slattype]],Table2[#Headers],0),0)</f>
        <v>2</v>
      </c>
      <c r="AK591" s="2">
        <f>VLOOKUP([jobnumber],OvalData[],MATCH(Table2[[#Headers],[slatgage]],Table2[#Headers],0),0)</f>
        <v>18</v>
      </c>
      <c r="AL591" s="2">
        <f>VLOOKUP([jobnumber],OvalData[],MATCH(Table2[[#Headers],[Numer of Top Slats]],Table2[#Headers],0),0)</f>
        <v>0</v>
      </c>
      <c r="AM591" s="2">
        <f>VLOOKUP([jobnumber],OvalData[],MATCH(Table2[[#Headers],[Number of Bottom Slats]],Table2[#Headers],0),0)</f>
        <v>0</v>
      </c>
      <c r="AN591" s="2">
        <f>VLOOKUP([jobnumber],OvalData[],MATCH(Table2[[#Headers],[Solid Bottom Height]],Table2[#Headers],0),0)</f>
        <v>0</v>
      </c>
      <c r="AO591" s="2" t="str">
        <f>VLOOKUP([jobnumber],OvalData[],MATCH(Table2[[#Headers],[slatlength]],Table2[#Headers],0),0)</f>
        <v xml:space="preserve"> 18 ft.- 5 7/ 8"</v>
      </c>
      <c r="AP591" s="2">
        <f>VLOOKUP([jobnumber],OvalData[],MATCH(Table2[[#Headers],[Bottom Slat Length]],Table2[#Headers],0),0)</f>
        <v>0</v>
      </c>
      <c r="AQ591" s="2">
        <f>VLOOKUP([jobnumber],OvalData[],MATCH(Table2[[#Headers],[Number of Perferated Slats]],Table2[#Headers],0),0)</f>
        <v>0</v>
      </c>
      <c r="AR591" s="2">
        <f>VLOOKUP([jobnumber],OvalData[],MATCH(Table2[[#Headers],[First Preferated Slat From End]],Table2[#Headers],0),0)</f>
        <v>0</v>
      </c>
      <c r="AS591" s="2">
        <f>VLOOKUP([jobnumber],OvalData[],MATCH(Table2[[#Headers],[First Preferated Slat From Bottom]],Table2[#Headers],0),0)</f>
        <v>0</v>
      </c>
      <c r="AT591" s="2">
        <f>VLOOKUP([jobnumber],OvalData[],MATCH(Table2[[#Headers],[Total Number of Slats]],Table2[#Headers],0),0)</f>
        <v>51</v>
      </c>
      <c r="AU591" s="2">
        <f>VLOOKUP([jobnumber],OvalData[],MATCH(Table2[[#Headers],[Bottom Bar Slope]],Table2[#Headers],0),0)</f>
        <v>0</v>
      </c>
      <c r="AV591" s="2">
        <f>VLOOKUP([jobnumber],OvalData[],MATCH(Table2[[#Headers],[Bottom Bar Weight]],Table2[#Headers],0),0)</f>
        <v>80.5</v>
      </c>
      <c r="AW591" s="2" t="str">
        <f>VLOOKUP([jobnumber],OvalData[],MATCH(Table2[[#Headers],[Outer Spring Gage]],Table2[#Headers],0),0)</f>
        <v>Null</v>
      </c>
      <c r="AX591" s="2" t="str">
        <f>VLOOKUP([jobnumber],OvalData[],MATCH(Table2[[#Headers],[Outer Spring OD]],Table2[#Headers],0),0)</f>
        <v>Null</v>
      </c>
      <c r="AY591" s="2" t="str">
        <f>VLOOKUP([jobnumber],OvalData[],MATCH(Table2[[#Headers],[Outer Spring Length]],Table2[#Headers],0),0)</f>
        <v>Null</v>
      </c>
      <c r="AZ591" s="2" t="str">
        <f>VLOOKUP([jobnumber],OvalData[],MATCH(Table2[[#Headers],[Outer Spring Stretch]],Table2[#Headers],0),0)</f>
        <v>Null</v>
      </c>
      <c r="BA591" s="2" t="str">
        <f>VLOOKUP([jobnumber],OvalData[],MATCH(Table2[[#Headers],[Outer Spring Torque]],Table2[#Headers],0),0)</f>
        <v>Null</v>
      </c>
      <c r="BB591" s="2" t="str">
        <f>VLOOKUP([jobnumber],OvalData[],MATCH(Table2[[#Headers],[Outer Spring Max Turns]],Table2[#Headers],0),0)</f>
        <v>Null</v>
      </c>
      <c r="BC591" s="2" t="str">
        <f>VLOOKUP([jobnumber],OvalData[],MATCH(Table2[[#Headers],[Outer Spring Weight]],Table2[#Headers],0),0)</f>
        <v>Null</v>
      </c>
      <c r="BD591" s="2" t="str">
        <f>VLOOKUP([jobnumber],OvalData[],MATCH(Table2[[#Headers],[Inner Spring Gage]],Table2[#Headers],0),0)</f>
        <v>Null</v>
      </c>
      <c r="BE591" s="2" t="str">
        <f>VLOOKUP([jobnumber],OvalData[],MATCH(Table2[[#Headers],[Inner Spring OD]],Table2[#Headers],0),0)</f>
        <v>Null</v>
      </c>
      <c r="BF591" s="2" t="str">
        <f>VLOOKUP([jobnumber],OvalData[],MATCH(Table2[[#Headers],[Inner Spring Length]],Table2[#Headers],0),0)</f>
        <v>Null</v>
      </c>
      <c r="BG591" s="2" t="str">
        <f>VLOOKUP([jobnumber],OvalData[],MATCH(Table2[[#Headers],[Inner Spring Stretch]],Table2[#Headers],0),0)</f>
        <v>Null</v>
      </c>
      <c r="BH591" s="2" t="str">
        <f>VLOOKUP([jobnumber],OvalData[],MATCH(Table2[[#Headers],[Inner Spring Torque]],Table2[#Headers],0),0)</f>
        <v>Null</v>
      </c>
      <c r="BI591" s="2" t="str">
        <f>VLOOKUP([jobnumber],OvalData[],MATCH(Table2[[#Headers],[Inner Spring Max Turns]],Table2[#Headers],0),0)</f>
        <v>Null</v>
      </c>
      <c r="BJ591" s="2" t="str">
        <f>VLOOKUP([jobnumber],OvalData[],MATCH(Table2[[#Headers],[Inner Spring Weight]],Table2[#Headers],0),0)</f>
        <v>Null</v>
      </c>
      <c r="BK591" s="2">
        <f>VLOOKUP([jobnumber],OvalData[],MATCH(Table2[[#Headers],[Cycles]],Table2[#Headers],0),0)</f>
        <v>0</v>
      </c>
      <c r="BL591" s="2">
        <f>VLOOKUP([jobnumber],OvalData[],MATCH(Table2[[#Headers],[Total Spring Torque]],Table2[#Headers],0),0)</f>
        <v>0</v>
      </c>
      <c r="BM591" s="2">
        <f>VLOOKUP([jobnumber],OvalData[],MATCH(Table2[[#Headers],[Total Spring Weight]],Table2[#Headers],0),0)</f>
        <v>0</v>
      </c>
      <c r="BN591" s="2">
        <f>VLOOKUP([jobnumber],OvalData[],MATCH(Table2[[#Headers],[Pipe Weight]],Table2[#Headers],0),0)</f>
        <v>688.24239999999998</v>
      </c>
      <c r="BO591" s="2">
        <f>VLOOKUP([jobnumber],OvalData[],MATCH(Table2[[#Headers],[Max Pipe Deflection]],Table2[#Headers],0),0)</f>
        <v>2309</v>
      </c>
      <c r="BP591" s="2">
        <f>VLOOKUP([jobnumber],OvalData[],MATCH(Table2[[#Headers],[Number Non-Insulated Wrap Slats]],Table2[#Headers],0),0)</f>
        <v>0</v>
      </c>
      <c r="BQ591" s="2">
        <f>VLOOKUP([jobnumber],OvalData[],MATCH(Table2[[#Headers],[Number of Insolated Top Slats]],Table2[#Headers],0),0)</f>
        <v>45</v>
      </c>
      <c r="BR591" s="2">
        <f>VLOOKUP([jobnumber],OvalData[],MATCH(Table2[[#Headers],[Insolated Total Slats]],Table2[#Headers],0),0)</f>
        <v>45</v>
      </c>
      <c r="BS591" s="2">
        <f>VLOOKUP([jobnumber],OvalData[],MATCH(Table2[[#Headers],[Number of Slats]],Table2[#Headers],0),0)</f>
        <v>44.69</v>
      </c>
      <c r="BT591" s="2">
        <f>VLOOKUP([jobnumber],OvalData[],MATCH(Table2[[#Headers],[Wrap]],Table2[#Headers],0),0)</f>
        <v>0</v>
      </c>
      <c r="BU591" s="2">
        <f>VLOOKUP([jobnumber],OvalData[],MATCH(Table2[[#Headers],[Wall Angle Thickness]],Table2[#Headers],0),0)</f>
        <v>0</v>
      </c>
      <c r="BV591" s="2">
        <f>VLOOKUP([jobnumber],OvalData[],MATCH(Table2[[#Headers],[windlocks]],Table2[#Headers],0),0)</f>
        <v>0</v>
      </c>
      <c r="BW591" s="2" t="str">
        <f>VLOOKUP([jobnumber],OvalData[],MATCH(Table2[[#Headers],[bottombartype]],Table2[#Headers],0),0)</f>
        <v>SPECIAL</v>
      </c>
      <c r="BX591" s="2">
        <f>VLOOKUP([jobnumber],OvalData[],MATCH(Table2[[#Headers],[endlockweight]],Table2[#Headers],0),0)</f>
        <v>0.17</v>
      </c>
      <c r="BY591" s="2">
        <f>VLOOKUP([jobnumber],OvalData[],MATCH(Table2[[#Headers],[Endlock Total Weight]],Table2[#Headers],0),0)</f>
        <v>7.5972999999999997</v>
      </c>
      <c r="BZ591" s="2">
        <f>VLOOKUP([jobnumber],OvalData[],MATCH(Table2[[#Headers],[Grille Weight]],Table2[#Headers],0),0)</f>
        <v>0</v>
      </c>
      <c r="CA591" s="2">
        <f>VLOOKUP([jobnumber],OvalData[],MATCH(Table2[[#Headers],[barrelrings]],Table2[#Headers],0),0)</f>
        <v>1</v>
      </c>
    </row>
    <row r="592" spans="2:79">
      <c r="B592" s="2" t="str">
        <f>VLOOKUP([jobnumber],OvalData[],MATCH(Table2[[#Headers],[Hand]],Table2[#Headers],0),0)</f>
        <v>RH</v>
      </c>
      <c r="C592" s="2" t="str">
        <f>VLOOKUP([jobnumber],OvalData[],MATCH(Table2[[#Headers],[Model]],Table2[#Headers],0),0)</f>
        <v>SFMPP</v>
      </c>
      <c r="D592" s="2" t="str">
        <f>VLOOKUP([jobnumber],OvalData[],MATCH(Table2[[#Headers],[width]],Table2[#Headers],0),0)</f>
        <v xml:space="preserve"> 18 ft.- 2"</v>
      </c>
      <c r="E592" s="2" t="str">
        <f>VLOOKUP([jobnumber],OvalData[],MATCH(Table2[[#Headers],[stopheight]],Table2[#Headers],0),0)</f>
        <v xml:space="preserve"> 10 ft.- 0"</v>
      </c>
      <c r="F592" s="2" t="str">
        <f>VLOOKUP([jobnumber],OvalData[],MATCH(Table2[[#Headers],[Between Brackets]],Table2[#Headers],0),0)</f>
        <v xml:space="preserve"> 18 ft.- 7 7/ 8"</v>
      </c>
      <c r="G592" s="2" t="str">
        <f>VLOOKUP([jobnumber],OvalData[],MATCH(Table2[[#Headers],[shell]],Table2[#Headers],0),0)</f>
        <v>6 INCH TUBE</v>
      </c>
      <c r="H592" s="2" t="str">
        <f>VLOOKUP([jobnumber],OvalData[],MATCH(Table2[[#Headers],[pipewidth]],Table2[#Headers],0),0)</f>
        <v xml:space="preserve"> 18 ft.- 1 3/ 8"</v>
      </c>
      <c r="I592" s="2">
        <f>VLOOKUP([jobnumber],OvalData[],MATCH(Table2[[#Headers],[Support Tubes]],Table2[#Headers],0),0)</f>
        <v>0</v>
      </c>
      <c r="J592" s="2">
        <f>VLOOKUP([jobnumber],OvalData[],MATCH(Table2[[#Headers],[Upset]],Table2[#Headers],0),0)</f>
        <v>2</v>
      </c>
      <c r="K592" s="2" t="str">
        <f>VLOOKUP([jobnumber],OvalData[],MATCH(Table2[[#Headers],[Guide Type]],Table2[#Headers],0),0)</f>
        <v>SN2-4 5/8-E</v>
      </c>
      <c r="L592" s="2" t="str">
        <f>VLOOKUP([jobnumber],OvalData[],MATCH(Table2[[#Headers],[Wall Angle]],Table2[#Headers],0),0)</f>
        <v xml:space="preserve"> 11 ft.- 8"</v>
      </c>
      <c r="M592" s="2" t="str">
        <f>VLOOKUP([jobnumber],OvalData[],MATCH(Table2[[#Headers],[Middle Angle]],Table2[#Headers],0),0)</f>
        <v xml:space="preserve"> 10 ft.- 4 1/ 2"</v>
      </c>
      <c r="N592" s="2" t="str">
        <f>VLOOKUP([jobnumber],OvalData[],MATCH(Table2[[#Headers],[Front Angle]],Table2[#Headers],0),0)</f>
        <v xml:space="preserve"> 10 ft.- 3"</v>
      </c>
      <c r="O592" s="2">
        <f>VLOOKUP([jobnumber],OvalData[],MATCH(Table2[[#Headers],[Pipe Center Line]],Table2[#Headers],0),0)</f>
        <v>131</v>
      </c>
      <c r="P592" s="2">
        <f>VLOOKUP([jobnumber],OvalData[],MATCH(Table2[[#Headers],[Heat Expansion Gap]],Table2[#Headers],0),0)</f>
        <v>0</v>
      </c>
      <c r="Q592" s="2">
        <f>VLOOKUP([jobnumber],OvalData[],MATCH(Table2[[#Headers],[Hanging Weight Closed]],Table2[#Headers],0),0)</f>
        <v>795</v>
      </c>
      <c r="R592" s="2">
        <f>VLOOKUP([jobnumber],OvalData[],MATCH(Table2[[#Headers],[Hanging Weight Open]],Table2[#Headers],0),0)</f>
        <v>140</v>
      </c>
      <c r="S592" s="2">
        <f>VLOOKUP([jobnumber],OvalData[],MATCH(Table2[[#Headers],[Initial Lever Arm]],Table2[#Headers],0),0)</f>
        <v>4.25</v>
      </c>
      <c r="T592" s="2">
        <f>VLOOKUP([jobnumber],OvalData[],MATCH(Table2[[#Headers],[Turns to Raise]],Table2[#Headers],0),0)</f>
        <v>3.5859999999999999</v>
      </c>
      <c r="U592" s="2">
        <f>VLOOKUP([jobnumber],OvalData[],MATCH(Table2[[#Headers],[Final Lever Arm]],Table2[#Headers],0),0)</f>
        <v>6.37</v>
      </c>
      <c r="V592" s="2">
        <f>VLOOKUP([jobnumber],OvalData[],MATCH(Table2[[#Headers],[Torque Required Closed]],Table2[#Headers],0),0)</f>
        <v>3377.9</v>
      </c>
      <c r="W592" s="2">
        <f>VLOOKUP([jobnumber],OvalData[],MATCH(Table2[[#Headers],[Torque Required Open]],Table2[#Headers],0),0)</f>
        <v>892</v>
      </c>
      <c r="X592" s="2">
        <f>VLOOKUP([jobnumber],OvalData[],MATCH(Table2[[#Headers],[Pre Turns]],Table2[#Headers],0),0)</f>
        <v>1.3332999999999999</v>
      </c>
      <c r="Y592" s="2">
        <f>VLOOKUP([jobnumber],OvalData[],MATCH(Table2[[#Headers],[Required Torque Per Turn]],Table2[#Headers],0),0)</f>
        <v>688</v>
      </c>
      <c r="Z592" s="2">
        <f>VLOOKUP([jobnumber],OvalData[],MATCH(Table2[[#Headers],[Total Turns]],Table2[#Headers],0),0)</f>
        <v>4.91</v>
      </c>
      <c r="AA592" s="2">
        <f>VLOOKUP([jobnumber],OvalData[],MATCH(Table2[[#Headers],[Grille Vision Section]],Table2[#Headers],0),0)</f>
        <v>0</v>
      </c>
      <c r="AB592" s="2">
        <f>VLOOKUP([jobnumber],OvalData[],MATCH(Table2[[#Headers],[Grille Amount]],Table2[#Headers],0),0)</f>
        <v>0</v>
      </c>
      <c r="AC592" s="2">
        <f>VLOOKUP([jobnumber],OvalData[],MATCH(Table2[[#Headers],[Grille Center]],Table2[#Headers],0),0)</f>
        <v>0</v>
      </c>
      <c r="AD592" s="2">
        <f>VLOOKUP([jobnumber],OvalData[],MATCH(Table2[[#Headers],[Grille Pattern]],Table2[#Headers],0),0)</f>
        <v>0</v>
      </c>
      <c r="AE592" s="2">
        <f>VLOOKUP([jobnumber],OvalData[],MATCH(Table2[[#Headers],[Grille First Tube]],Table2[#Headers],0),0)</f>
        <v>0</v>
      </c>
      <c r="AF592" s="2">
        <f>VLOOKUP([jobnumber],OvalData[],MATCH(Table2[[#Headers],[Grille Standard Tube]],Table2[#Headers],0),0)</f>
        <v>0</v>
      </c>
      <c r="AG592" s="2">
        <f>VLOOKUP([jobnumber],OvalData[],MATCH(Table2[[#Headers],[Grille Total Links]],Table2[#Headers],0),0)</f>
        <v>0</v>
      </c>
      <c r="AH592" s="2">
        <f>VLOOKUP([jobnumber],OvalData[],MATCH(Table2[[#Headers],[Grille Rods]],Table2[#Headers],0),0)</f>
        <v>0</v>
      </c>
      <c r="AI592" s="2">
        <f>VLOOKUP([jobnumber],OvalData[],MATCH(Table2[[#Headers],[Grille Rod Length]],Table2[#Headers],0),0)</f>
        <v>0</v>
      </c>
      <c r="AJ592" s="2">
        <f>VLOOKUP([jobnumber],OvalData[],MATCH(Table2[[#Headers],[slattype]],Table2[#Headers],0),0)</f>
        <v>2</v>
      </c>
      <c r="AK592" s="2">
        <f>VLOOKUP([jobnumber],OvalData[],MATCH(Table2[[#Headers],[slatgage]],Table2[#Headers],0),0)</f>
        <v>18</v>
      </c>
      <c r="AL592" s="2">
        <f>VLOOKUP([jobnumber],OvalData[],MATCH(Table2[[#Headers],[Numer of Top Slats]],Table2[#Headers],0),0)</f>
        <v>0</v>
      </c>
      <c r="AM592" s="2">
        <f>VLOOKUP([jobnumber],OvalData[],MATCH(Table2[[#Headers],[Number of Bottom Slats]],Table2[#Headers],0),0)</f>
        <v>0</v>
      </c>
      <c r="AN592" s="2">
        <f>VLOOKUP([jobnumber],OvalData[],MATCH(Table2[[#Headers],[Solid Bottom Height]],Table2[#Headers],0),0)</f>
        <v>0</v>
      </c>
      <c r="AO592" s="2" t="str">
        <f>VLOOKUP([jobnumber],OvalData[],MATCH(Table2[[#Headers],[slatlength]],Table2[#Headers],0),0)</f>
        <v xml:space="preserve"> 18 ft.- 5 7/ 8"</v>
      </c>
      <c r="AP592" s="2">
        <f>VLOOKUP([jobnumber],OvalData[],MATCH(Table2[[#Headers],[Bottom Slat Length]],Table2[#Headers],0),0)</f>
        <v>0</v>
      </c>
      <c r="AQ592" s="2">
        <f>VLOOKUP([jobnumber],OvalData[],MATCH(Table2[[#Headers],[Number of Perferated Slats]],Table2[#Headers],0),0)</f>
        <v>0</v>
      </c>
      <c r="AR592" s="2">
        <f>VLOOKUP([jobnumber],OvalData[],MATCH(Table2[[#Headers],[First Preferated Slat From End]],Table2[#Headers],0),0)</f>
        <v>0</v>
      </c>
      <c r="AS592" s="2">
        <f>VLOOKUP([jobnumber],OvalData[],MATCH(Table2[[#Headers],[First Preferated Slat From Bottom]],Table2[#Headers],0),0)</f>
        <v>0</v>
      </c>
      <c r="AT592" s="2">
        <f>VLOOKUP([jobnumber],OvalData[],MATCH(Table2[[#Headers],[Total Number of Slats]],Table2[#Headers],0),0)</f>
        <v>51</v>
      </c>
      <c r="AU592" s="2">
        <f>VLOOKUP([jobnumber],OvalData[],MATCH(Table2[[#Headers],[Bottom Bar Slope]],Table2[#Headers],0),0)</f>
        <v>0</v>
      </c>
      <c r="AV592" s="2">
        <f>VLOOKUP([jobnumber],OvalData[],MATCH(Table2[[#Headers],[Bottom Bar Weight]],Table2[#Headers],0),0)</f>
        <v>80.5</v>
      </c>
      <c r="AW592" s="2" t="str">
        <f>VLOOKUP([jobnumber],OvalData[],MATCH(Table2[[#Headers],[Outer Spring Gage]],Table2[#Headers],0),0)</f>
        <v>Null</v>
      </c>
      <c r="AX592" s="2" t="str">
        <f>VLOOKUP([jobnumber],OvalData[],MATCH(Table2[[#Headers],[Outer Spring OD]],Table2[#Headers],0),0)</f>
        <v>Null</v>
      </c>
      <c r="AY592" s="2" t="str">
        <f>VLOOKUP([jobnumber],OvalData[],MATCH(Table2[[#Headers],[Outer Spring Length]],Table2[#Headers],0),0)</f>
        <v>Null</v>
      </c>
      <c r="AZ592" s="2" t="str">
        <f>VLOOKUP([jobnumber],OvalData[],MATCH(Table2[[#Headers],[Outer Spring Stretch]],Table2[#Headers],0),0)</f>
        <v>Null</v>
      </c>
      <c r="BA592" s="2" t="str">
        <f>VLOOKUP([jobnumber],OvalData[],MATCH(Table2[[#Headers],[Outer Spring Torque]],Table2[#Headers],0),0)</f>
        <v>Null</v>
      </c>
      <c r="BB592" s="2" t="str">
        <f>VLOOKUP([jobnumber],OvalData[],MATCH(Table2[[#Headers],[Outer Spring Max Turns]],Table2[#Headers],0),0)</f>
        <v>Null</v>
      </c>
      <c r="BC592" s="2" t="str">
        <f>VLOOKUP([jobnumber],OvalData[],MATCH(Table2[[#Headers],[Outer Spring Weight]],Table2[#Headers],0),0)</f>
        <v>Null</v>
      </c>
      <c r="BD592" s="2" t="str">
        <f>VLOOKUP([jobnumber],OvalData[],MATCH(Table2[[#Headers],[Inner Spring Gage]],Table2[#Headers],0),0)</f>
        <v>Null</v>
      </c>
      <c r="BE592" s="2" t="str">
        <f>VLOOKUP([jobnumber],OvalData[],MATCH(Table2[[#Headers],[Inner Spring OD]],Table2[#Headers],0),0)</f>
        <v>Null</v>
      </c>
      <c r="BF592" s="2" t="str">
        <f>VLOOKUP([jobnumber],OvalData[],MATCH(Table2[[#Headers],[Inner Spring Length]],Table2[#Headers],0),0)</f>
        <v>Null</v>
      </c>
      <c r="BG592" s="2" t="str">
        <f>VLOOKUP([jobnumber],OvalData[],MATCH(Table2[[#Headers],[Inner Spring Stretch]],Table2[#Headers],0),0)</f>
        <v>Null</v>
      </c>
      <c r="BH592" s="2" t="str">
        <f>VLOOKUP([jobnumber],OvalData[],MATCH(Table2[[#Headers],[Inner Spring Torque]],Table2[#Headers],0),0)</f>
        <v>Null</v>
      </c>
      <c r="BI592" s="2" t="str">
        <f>VLOOKUP([jobnumber],OvalData[],MATCH(Table2[[#Headers],[Inner Spring Max Turns]],Table2[#Headers],0),0)</f>
        <v>Null</v>
      </c>
      <c r="BJ592" s="2" t="str">
        <f>VLOOKUP([jobnumber],OvalData[],MATCH(Table2[[#Headers],[Inner Spring Weight]],Table2[#Headers],0),0)</f>
        <v>Null</v>
      </c>
      <c r="BK592" s="2">
        <f>VLOOKUP([jobnumber],OvalData[],MATCH(Table2[[#Headers],[Cycles]],Table2[#Headers],0),0)</f>
        <v>0</v>
      </c>
      <c r="BL592" s="2">
        <f>VLOOKUP([jobnumber],OvalData[],MATCH(Table2[[#Headers],[Total Spring Torque]],Table2[#Headers],0),0)</f>
        <v>0</v>
      </c>
      <c r="BM592" s="2">
        <f>VLOOKUP([jobnumber],OvalData[],MATCH(Table2[[#Headers],[Total Spring Weight]],Table2[#Headers],0),0)</f>
        <v>0</v>
      </c>
      <c r="BN592" s="2">
        <f>VLOOKUP([jobnumber],OvalData[],MATCH(Table2[[#Headers],[Pipe Weight]],Table2[#Headers],0),0)</f>
        <v>688.24239999999998</v>
      </c>
      <c r="BO592" s="2">
        <f>VLOOKUP([jobnumber],OvalData[],MATCH(Table2[[#Headers],[Max Pipe Deflection]],Table2[#Headers],0),0)</f>
        <v>2309</v>
      </c>
      <c r="BP592" s="2">
        <f>VLOOKUP([jobnumber],OvalData[],MATCH(Table2[[#Headers],[Number Non-Insulated Wrap Slats]],Table2[#Headers],0),0)</f>
        <v>0</v>
      </c>
      <c r="BQ592" s="2">
        <f>VLOOKUP([jobnumber],OvalData[],MATCH(Table2[[#Headers],[Number of Insolated Top Slats]],Table2[#Headers],0),0)</f>
        <v>45</v>
      </c>
      <c r="BR592" s="2">
        <f>VLOOKUP([jobnumber],OvalData[],MATCH(Table2[[#Headers],[Insolated Total Slats]],Table2[#Headers],0),0)</f>
        <v>45</v>
      </c>
      <c r="BS592" s="2">
        <f>VLOOKUP([jobnumber],OvalData[],MATCH(Table2[[#Headers],[Number of Slats]],Table2[#Headers],0),0)</f>
        <v>44.69</v>
      </c>
      <c r="BT592" s="2">
        <f>VLOOKUP([jobnumber],OvalData[],MATCH(Table2[[#Headers],[Wrap]],Table2[#Headers],0),0)</f>
        <v>0</v>
      </c>
      <c r="BU592" s="2">
        <f>VLOOKUP([jobnumber],OvalData[],MATCH(Table2[[#Headers],[Wall Angle Thickness]],Table2[#Headers],0),0)</f>
        <v>0</v>
      </c>
      <c r="BV592" s="2">
        <f>VLOOKUP([jobnumber],OvalData[],MATCH(Table2[[#Headers],[windlocks]],Table2[#Headers],0),0)</f>
        <v>0</v>
      </c>
      <c r="BW592" s="2" t="str">
        <f>VLOOKUP([jobnumber],OvalData[],MATCH(Table2[[#Headers],[bottombartype]],Table2[#Headers],0),0)</f>
        <v>SPECIAL</v>
      </c>
      <c r="BX592" s="2">
        <f>VLOOKUP([jobnumber],OvalData[],MATCH(Table2[[#Headers],[endlockweight]],Table2[#Headers],0),0)</f>
        <v>0.17</v>
      </c>
      <c r="BY592" s="2">
        <f>VLOOKUP([jobnumber],OvalData[],MATCH(Table2[[#Headers],[Endlock Total Weight]],Table2[#Headers],0),0)</f>
        <v>7.5972999999999997</v>
      </c>
      <c r="BZ592" s="2">
        <f>VLOOKUP([jobnumber],OvalData[],MATCH(Table2[[#Headers],[Grille Weight]],Table2[#Headers],0),0)</f>
        <v>0</v>
      </c>
      <c r="CA592" s="2">
        <f>VLOOKUP([jobnumber],OvalData[],MATCH(Table2[[#Headers],[barrelrings]],Table2[#Headers],0),0)</f>
        <v>1</v>
      </c>
    </row>
    <row r="593" spans="2:79">
      <c r="B593" s="2" t="str">
        <f>VLOOKUP([jobnumber],OvalData[],MATCH(Table2[[#Headers],[Hand]],Table2[#Headers],0),0)</f>
        <v>RH</v>
      </c>
      <c r="C593" s="2" t="str">
        <f>VLOOKUP([jobnumber],OvalData[],MATCH(Table2[[#Headers],[Model]],Table2[#Headers],0),0)</f>
        <v>SFMPP</v>
      </c>
      <c r="D593" s="2" t="str">
        <f>VLOOKUP([jobnumber],OvalData[],MATCH(Table2[[#Headers],[width]],Table2[#Headers],0),0)</f>
        <v xml:space="preserve"> 18 ft.- 2"</v>
      </c>
      <c r="E593" s="2" t="str">
        <f>VLOOKUP([jobnumber],OvalData[],MATCH(Table2[[#Headers],[stopheight]],Table2[#Headers],0),0)</f>
        <v xml:space="preserve"> 10 ft.- 0"</v>
      </c>
      <c r="F593" s="2" t="str">
        <f>VLOOKUP([jobnumber],OvalData[],MATCH(Table2[[#Headers],[Between Brackets]],Table2[#Headers],0),0)</f>
        <v xml:space="preserve"> 18 ft.- 7 7/ 8"</v>
      </c>
      <c r="G593" s="2" t="str">
        <f>VLOOKUP([jobnumber],OvalData[],MATCH(Table2[[#Headers],[shell]],Table2[#Headers],0),0)</f>
        <v>6 INCH TUBE</v>
      </c>
      <c r="H593" s="2" t="str">
        <f>VLOOKUP([jobnumber],OvalData[],MATCH(Table2[[#Headers],[pipewidth]],Table2[#Headers],0),0)</f>
        <v xml:space="preserve"> 18 ft.- 1 3/ 8"</v>
      </c>
      <c r="I593" s="2">
        <f>VLOOKUP([jobnumber],OvalData[],MATCH(Table2[[#Headers],[Support Tubes]],Table2[#Headers],0),0)</f>
        <v>0</v>
      </c>
      <c r="J593" s="2">
        <f>VLOOKUP([jobnumber],OvalData[],MATCH(Table2[[#Headers],[Upset]],Table2[#Headers],0),0)</f>
        <v>2</v>
      </c>
      <c r="K593" s="2" t="str">
        <f>VLOOKUP([jobnumber],OvalData[],MATCH(Table2[[#Headers],[Guide Type]],Table2[#Headers],0),0)</f>
        <v>SN2-4 5/8-E</v>
      </c>
      <c r="L593" s="2" t="str">
        <f>VLOOKUP([jobnumber],OvalData[],MATCH(Table2[[#Headers],[Wall Angle]],Table2[#Headers],0),0)</f>
        <v xml:space="preserve"> 11 ft.- 8"</v>
      </c>
      <c r="M593" s="2" t="str">
        <f>VLOOKUP([jobnumber],OvalData[],MATCH(Table2[[#Headers],[Middle Angle]],Table2[#Headers],0),0)</f>
        <v xml:space="preserve"> 10 ft.- 4 1/ 2"</v>
      </c>
      <c r="N593" s="2" t="str">
        <f>VLOOKUP([jobnumber],OvalData[],MATCH(Table2[[#Headers],[Front Angle]],Table2[#Headers],0),0)</f>
        <v xml:space="preserve"> 10 ft.- 3"</v>
      </c>
      <c r="O593" s="2">
        <f>VLOOKUP([jobnumber],OvalData[],MATCH(Table2[[#Headers],[Pipe Center Line]],Table2[#Headers],0),0)</f>
        <v>131</v>
      </c>
      <c r="P593" s="2">
        <f>VLOOKUP([jobnumber],OvalData[],MATCH(Table2[[#Headers],[Heat Expansion Gap]],Table2[#Headers],0),0)</f>
        <v>0</v>
      </c>
      <c r="Q593" s="2">
        <f>VLOOKUP([jobnumber],OvalData[],MATCH(Table2[[#Headers],[Hanging Weight Closed]],Table2[#Headers],0),0)</f>
        <v>795</v>
      </c>
      <c r="R593" s="2">
        <f>VLOOKUP([jobnumber],OvalData[],MATCH(Table2[[#Headers],[Hanging Weight Open]],Table2[#Headers],0),0)</f>
        <v>140</v>
      </c>
      <c r="S593" s="2">
        <f>VLOOKUP([jobnumber],OvalData[],MATCH(Table2[[#Headers],[Initial Lever Arm]],Table2[#Headers],0),0)</f>
        <v>4.25</v>
      </c>
      <c r="T593" s="2">
        <f>VLOOKUP([jobnumber],OvalData[],MATCH(Table2[[#Headers],[Turns to Raise]],Table2[#Headers],0),0)</f>
        <v>3.5859999999999999</v>
      </c>
      <c r="U593" s="2">
        <f>VLOOKUP([jobnumber],OvalData[],MATCH(Table2[[#Headers],[Final Lever Arm]],Table2[#Headers],0),0)</f>
        <v>6.37</v>
      </c>
      <c r="V593" s="2">
        <f>VLOOKUP([jobnumber],OvalData[],MATCH(Table2[[#Headers],[Torque Required Closed]],Table2[#Headers],0),0)</f>
        <v>3377.9</v>
      </c>
      <c r="W593" s="2">
        <f>VLOOKUP([jobnumber],OvalData[],MATCH(Table2[[#Headers],[Torque Required Open]],Table2[#Headers],0),0)</f>
        <v>892</v>
      </c>
      <c r="X593" s="2">
        <f>VLOOKUP([jobnumber],OvalData[],MATCH(Table2[[#Headers],[Pre Turns]],Table2[#Headers],0),0)</f>
        <v>1.3332999999999999</v>
      </c>
      <c r="Y593" s="2">
        <f>VLOOKUP([jobnumber],OvalData[],MATCH(Table2[[#Headers],[Required Torque Per Turn]],Table2[#Headers],0),0)</f>
        <v>688</v>
      </c>
      <c r="Z593" s="2">
        <f>VLOOKUP([jobnumber],OvalData[],MATCH(Table2[[#Headers],[Total Turns]],Table2[#Headers],0),0)</f>
        <v>4.91</v>
      </c>
      <c r="AA593" s="2">
        <f>VLOOKUP([jobnumber],OvalData[],MATCH(Table2[[#Headers],[Grille Vision Section]],Table2[#Headers],0),0)</f>
        <v>0</v>
      </c>
      <c r="AB593" s="2">
        <f>VLOOKUP([jobnumber],OvalData[],MATCH(Table2[[#Headers],[Grille Amount]],Table2[#Headers],0),0)</f>
        <v>0</v>
      </c>
      <c r="AC593" s="2">
        <f>VLOOKUP([jobnumber],OvalData[],MATCH(Table2[[#Headers],[Grille Center]],Table2[#Headers],0),0)</f>
        <v>0</v>
      </c>
      <c r="AD593" s="2">
        <f>VLOOKUP([jobnumber],OvalData[],MATCH(Table2[[#Headers],[Grille Pattern]],Table2[#Headers],0),0)</f>
        <v>0</v>
      </c>
      <c r="AE593" s="2">
        <f>VLOOKUP([jobnumber],OvalData[],MATCH(Table2[[#Headers],[Grille First Tube]],Table2[#Headers],0),0)</f>
        <v>0</v>
      </c>
      <c r="AF593" s="2">
        <f>VLOOKUP([jobnumber],OvalData[],MATCH(Table2[[#Headers],[Grille Standard Tube]],Table2[#Headers],0),0)</f>
        <v>0</v>
      </c>
      <c r="AG593" s="2">
        <f>VLOOKUP([jobnumber],OvalData[],MATCH(Table2[[#Headers],[Grille Total Links]],Table2[#Headers],0),0)</f>
        <v>0</v>
      </c>
      <c r="AH593" s="2">
        <f>VLOOKUP([jobnumber],OvalData[],MATCH(Table2[[#Headers],[Grille Rods]],Table2[#Headers],0),0)</f>
        <v>0</v>
      </c>
      <c r="AI593" s="2">
        <f>VLOOKUP([jobnumber],OvalData[],MATCH(Table2[[#Headers],[Grille Rod Length]],Table2[#Headers],0),0)</f>
        <v>0</v>
      </c>
      <c r="AJ593" s="2">
        <f>VLOOKUP([jobnumber],OvalData[],MATCH(Table2[[#Headers],[slattype]],Table2[#Headers],0),0)</f>
        <v>2</v>
      </c>
      <c r="AK593" s="2">
        <f>VLOOKUP([jobnumber],OvalData[],MATCH(Table2[[#Headers],[slatgage]],Table2[#Headers],0),0)</f>
        <v>18</v>
      </c>
      <c r="AL593" s="2">
        <f>VLOOKUP([jobnumber],OvalData[],MATCH(Table2[[#Headers],[Numer of Top Slats]],Table2[#Headers],0),0)</f>
        <v>0</v>
      </c>
      <c r="AM593" s="2">
        <f>VLOOKUP([jobnumber],OvalData[],MATCH(Table2[[#Headers],[Number of Bottom Slats]],Table2[#Headers],0),0)</f>
        <v>0</v>
      </c>
      <c r="AN593" s="2">
        <f>VLOOKUP([jobnumber],OvalData[],MATCH(Table2[[#Headers],[Solid Bottom Height]],Table2[#Headers],0),0)</f>
        <v>0</v>
      </c>
      <c r="AO593" s="2" t="str">
        <f>VLOOKUP([jobnumber],OvalData[],MATCH(Table2[[#Headers],[slatlength]],Table2[#Headers],0),0)</f>
        <v xml:space="preserve"> 18 ft.- 5 7/ 8"</v>
      </c>
      <c r="AP593" s="2">
        <f>VLOOKUP([jobnumber],OvalData[],MATCH(Table2[[#Headers],[Bottom Slat Length]],Table2[#Headers],0),0)</f>
        <v>0</v>
      </c>
      <c r="AQ593" s="2">
        <f>VLOOKUP([jobnumber],OvalData[],MATCH(Table2[[#Headers],[Number of Perferated Slats]],Table2[#Headers],0),0)</f>
        <v>0</v>
      </c>
      <c r="AR593" s="2">
        <f>VLOOKUP([jobnumber],OvalData[],MATCH(Table2[[#Headers],[First Preferated Slat From End]],Table2[#Headers],0),0)</f>
        <v>0</v>
      </c>
      <c r="AS593" s="2">
        <f>VLOOKUP([jobnumber],OvalData[],MATCH(Table2[[#Headers],[First Preferated Slat From Bottom]],Table2[#Headers],0),0)</f>
        <v>0</v>
      </c>
      <c r="AT593" s="2">
        <f>VLOOKUP([jobnumber],OvalData[],MATCH(Table2[[#Headers],[Total Number of Slats]],Table2[#Headers],0),0)</f>
        <v>51</v>
      </c>
      <c r="AU593" s="2">
        <f>VLOOKUP([jobnumber],OvalData[],MATCH(Table2[[#Headers],[Bottom Bar Slope]],Table2[#Headers],0),0)</f>
        <v>0</v>
      </c>
      <c r="AV593" s="2">
        <f>VLOOKUP([jobnumber],OvalData[],MATCH(Table2[[#Headers],[Bottom Bar Weight]],Table2[#Headers],0),0)</f>
        <v>80.5</v>
      </c>
      <c r="AW593" s="2" t="str">
        <f>VLOOKUP([jobnumber],OvalData[],MATCH(Table2[[#Headers],[Outer Spring Gage]],Table2[#Headers],0),0)</f>
        <v>Null</v>
      </c>
      <c r="AX593" s="2" t="str">
        <f>VLOOKUP([jobnumber],OvalData[],MATCH(Table2[[#Headers],[Outer Spring OD]],Table2[#Headers],0),0)</f>
        <v>Null</v>
      </c>
      <c r="AY593" s="2" t="str">
        <f>VLOOKUP([jobnumber],OvalData[],MATCH(Table2[[#Headers],[Outer Spring Length]],Table2[#Headers],0),0)</f>
        <v>Null</v>
      </c>
      <c r="AZ593" s="2" t="str">
        <f>VLOOKUP([jobnumber],OvalData[],MATCH(Table2[[#Headers],[Outer Spring Stretch]],Table2[#Headers],0),0)</f>
        <v>Null</v>
      </c>
      <c r="BA593" s="2" t="str">
        <f>VLOOKUP([jobnumber],OvalData[],MATCH(Table2[[#Headers],[Outer Spring Torque]],Table2[#Headers],0),0)</f>
        <v>Null</v>
      </c>
      <c r="BB593" s="2" t="str">
        <f>VLOOKUP([jobnumber],OvalData[],MATCH(Table2[[#Headers],[Outer Spring Max Turns]],Table2[#Headers],0),0)</f>
        <v>Null</v>
      </c>
      <c r="BC593" s="2" t="str">
        <f>VLOOKUP([jobnumber],OvalData[],MATCH(Table2[[#Headers],[Outer Spring Weight]],Table2[#Headers],0),0)</f>
        <v>Null</v>
      </c>
      <c r="BD593" s="2" t="str">
        <f>VLOOKUP([jobnumber],OvalData[],MATCH(Table2[[#Headers],[Inner Spring Gage]],Table2[#Headers],0),0)</f>
        <v>Null</v>
      </c>
      <c r="BE593" s="2" t="str">
        <f>VLOOKUP([jobnumber],OvalData[],MATCH(Table2[[#Headers],[Inner Spring OD]],Table2[#Headers],0),0)</f>
        <v>Null</v>
      </c>
      <c r="BF593" s="2" t="str">
        <f>VLOOKUP([jobnumber],OvalData[],MATCH(Table2[[#Headers],[Inner Spring Length]],Table2[#Headers],0),0)</f>
        <v>Null</v>
      </c>
      <c r="BG593" s="2" t="str">
        <f>VLOOKUP([jobnumber],OvalData[],MATCH(Table2[[#Headers],[Inner Spring Stretch]],Table2[#Headers],0),0)</f>
        <v>Null</v>
      </c>
      <c r="BH593" s="2" t="str">
        <f>VLOOKUP([jobnumber],OvalData[],MATCH(Table2[[#Headers],[Inner Spring Torque]],Table2[#Headers],0),0)</f>
        <v>Null</v>
      </c>
      <c r="BI593" s="2" t="str">
        <f>VLOOKUP([jobnumber],OvalData[],MATCH(Table2[[#Headers],[Inner Spring Max Turns]],Table2[#Headers],0),0)</f>
        <v>Null</v>
      </c>
      <c r="BJ593" s="2" t="str">
        <f>VLOOKUP([jobnumber],OvalData[],MATCH(Table2[[#Headers],[Inner Spring Weight]],Table2[#Headers],0),0)</f>
        <v>Null</v>
      </c>
      <c r="BK593" s="2">
        <f>VLOOKUP([jobnumber],OvalData[],MATCH(Table2[[#Headers],[Cycles]],Table2[#Headers],0),0)</f>
        <v>0</v>
      </c>
      <c r="BL593" s="2">
        <f>VLOOKUP([jobnumber],OvalData[],MATCH(Table2[[#Headers],[Total Spring Torque]],Table2[#Headers],0),0)</f>
        <v>0</v>
      </c>
      <c r="BM593" s="2">
        <f>VLOOKUP([jobnumber],OvalData[],MATCH(Table2[[#Headers],[Total Spring Weight]],Table2[#Headers],0),0)</f>
        <v>0</v>
      </c>
      <c r="BN593" s="2">
        <f>VLOOKUP([jobnumber],OvalData[],MATCH(Table2[[#Headers],[Pipe Weight]],Table2[#Headers],0),0)</f>
        <v>688.24239999999998</v>
      </c>
      <c r="BO593" s="2">
        <f>VLOOKUP([jobnumber],OvalData[],MATCH(Table2[[#Headers],[Max Pipe Deflection]],Table2[#Headers],0),0)</f>
        <v>2309</v>
      </c>
      <c r="BP593" s="2">
        <f>VLOOKUP([jobnumber],OvalData[],MATCH(Table2[[#Headers],[Number Non-Insulated Wrap Slats]],Table2[#Headers],0),0)</f>
        <v>0</v>
      </c>
      <c r="BQ593" s="2">
        <f>VLOOKUP([jobnumber],OvalData[],MATCH(Table2[[#Headers],[Number of Insolated Top Slats]],Table2[#Headers],0),0)</f>
        <v>45</v>
      </c>
      <c r="BR593" s="2">
        <f>VLOOKUP([jobnumber],OvalData[],MATCH(Table2[[#Headers],[Insolated Total Slats]],Table2[#Headers],0),0)</f>
        <v>45</v>
      </c>
      <c r="BS593" s="2">
        <f>VLOOKUP([jobnumber],OvalData[],MATCH(Table2[[#Headers],[Number of Slats]],Table2[#Headers],0),0)</f>
        <v>44.69</v>
      </c>
      <c r="BT593" s="2">
        <f>VLOOKUP([jobnumber],OvalData[],MATCH(Table2[[#Headers],[Wrap]],Table2[#Headers],0),0)</f>
        <v>0</v>
      </c>
      <c r="BU593" s="2">
        <f>VLOOKUP([jobnumber],OvalData[],MATCH(Table2[[#Headers],[Wall Angle Thickness]],Table2[#Headers],0),0)</f>
        <v>0</v>
      </c>
      <c r="BV593" s="2">
        <f>VLOOKUP([jobnumber],OvalData[],MATCH(Table2[[#Headers],[windlocks]],Table2[#Headers],0),0)</f>
        <v>0</v>
      </c>
      <c r="BW593" s="2" t="str">
        <f>VLOOKUP([jobnumber],OvalData[],MATCH(Table2[[#Headers],[bottombartype]],Table2[#Headers],0),0)</f>
        <v>SPECIAL</v>
      </c>
      <c r="BX593" s="2">
        <f>VLOOKUP([jobnumber],OvalData[],MATCH(Table2[[#Headers],[endlockweight]],Table2[#Headers],0),0)</f>
        <v>0.17</v>
      </c>
      <c r="BY593" s="2">
        <f>VLOOKUP([jobnumber],OvalData[],MATCH(Table2[[#Headers],[Endlock Total Weight]],Table2[#Headers],0),0)</f>
        <v>7.5972999999999997</v>
      </c>
      <c r="BZ593" s="2">
        <f>VLOOKUP([jobnumber],OvalData[],MATCH(Table2[[#Headers],[Grille Weight]],Table2[#Headers],0),0)</f>
        <v>0</v>
      </c>
      <c r="CA593" s="2">
        <f>VLOOKUP([jobnumber],OvalData[],MATCH(Table2[[#Headers],[barrelrings]],Table2[#Headers],0),0)</f>
        <v>1</v>
      </c>
    </row>
    <row r="594" spans="2:79">
      <c r="B594" s="2" t="str">
        <f>VLOOKUP([jobnumber],OvalData[],MATCH(Table2[[#Headers],[Hand]],Table2[#Headers],0),0)</f>
        <v>RH</v>
      </c>
      <c r="C594" s="2" t="str">
        <f>VLOOKUP([jobnumber],OvalData[],MATCH(Table2[[#Headers],[Model]],Table2[#Headers],0),0)</f>
        <v>SFMPP</v>
      </c>
      <c r="D594" s="2" t="str">
        <f>VLOOKUP([jobnumber],OvalData[],MATCH(Table2[[#Headers],[width]],Table2[#Headers],0),0)</f>
        <v xml:space="preserve"> 18 ft.- 2"</v>
      </c>
      <c r="E594" s="2" t="str">
        <f>VLOOKUP([jobnumber],OvalData[],MATCH(Table2[[#Headers],[stopheight]],Table2[#Headers],0),0)</f>
        <v xml:space="preserve"> 10 ft.- 0"</v>
      </c>
      <c r="F594" s="2" t="str">
        <f>VLOOKUP([jobnumber],OvalData[],MATCH(Table2[[#Headers],[Between Brackets]],Table2[#Headers],0),0)</f>
        <v xml:space="preserve"> 18 ft.- 7 7/ 8"</v>
      </c>
      <c r="G594" s="2" t="str">
        <f>VLOOKUP([jobnumber],OvalData[],MATCH(Table2[[#Headers],[shell]],Table2[#Headers],0),0)</f>
        <v>6 INCH TUBE</v>
      </c>
      <c r="H594" s="2" t="str">
        <f>VLOOKUP([jobnumber],OvalData[],MATCH(Table2[[#Headers],[pipewidth]],Table2[#Headers],0),0)</f>
        <v xml:space="preserve"> 18 ft.- 1 3/ 8"</v>
      </c>
      <c r="I594" s="2">
        <f>VLOOKUP([jobnumber],OvalData[],MATCH(Table2[[#Headers],[Support Tubes]],Table2[#Headers],0),0)</f>
        <v>0</v>
      </c>
      <c r="J594" s="2">
        <f>VLOOKUP([jobnumber],OvalData[],MATCH(Table2[[#Headers],[Upset]],Table2[#Headers],0),0)</f>
        <v>2</v>
      </c>
      <c r="K594" s="2" t="str">
        <f>VLOOKUP([jobnumber],OvalData[],MATCH(Table2[[#Headers],[Guide Type]],Table2[#Headers],0),0)</f>
        <v>SN2-4 5/8-E</v>
      </c>
      <c r="L594" s="2" t="str">
        <f>VLOOKUP([jobnumber],OvalData[],MATCH(Table2[[#Headers],[Wall Angle]],Table2[#Headers],0),0)</f>
        <v xml:space="preserve"> 11 ft.- 8"</v>
      </c>
      <c r="M594" s="2" t="str">
        <f>VLOOKUP([jobnumber],OvalData[],MATCH(Table2[[#Headers],[Middle Angle]],Table2[#Headers],0),0)</f>
        <v xml:space="preserve"> 10 ft.- 4 1/ 2"</v>
      </c>
      <c r="N594" s="2" t="str">
        <f>VLOOKUP([jobnumber],OvalData[],MATCH(Table2[[#Headers],[Front Angle]],Table2[#Headers],0),0)</f>
        <v xml:space="preserve"> 10 ft.- 3"</v>
      </c>
      <c r="O594" s="2">
        <f>VLOOKUP([jobnumber],OvalData[],MATCH(Table2[[#Headers],[Pipe Center Line]],Table2[#Headers],0),0)</f>
        <v>131</v>
      </c>
      <c r="P594" s="2">
        <f>VLOOKUP([jobnumber],OvalData[],MATCH(Table2[[#Headers],[Heat Expansion Gap]],Table2[#Headers],0),0)</f>
        <v>0</v>
      </c>
      <c r="Q594" s="2">
        <f>VLOOKUP([jobnumber],OvalData[],MATCH(Table2[[#Headers],[Hanging Weight Closed]],Table2[#Headers],0),0)</f>
        <v>795</v>
      </c>
      <c r="R594" s="2">
        <f>VLOOKUP([jobnumber],OvalData[],MATCH(Table2[[#Headers],[Hanging Weight Open]],Table2[#Headers],0),0)</f>
        <v>140</v>
      </c>
      <c r="S594" s="2">
        <f>VLOOKUP([jobnumber],OvalData[],MATCH(Table2[[#Headers],[Initial Lever Arm]],Table2[#Headers],0),0)</f>
        <v>4.25</v>
      </c>
      <c r="T594" s="2">
        <f>VLOOKUP([jobnumber],OvalData[],MATCH(Table2[[#Headers],[Turns to Raise]],Table2[#Headers],0),0)</f>
        <v>3.5859999999999999</v>
      </c>
      <c r="U594" s="2">
        <f>VLOOKUP([jobnumber],OvalData[],MATCH(Table2[[#Headers],[Final Lever Arm]],Table2[#Headers],0),0)</f>
        <v>6.37</v>
      </c>
      <c r="V594" s="2">
        <f>VLOOKUP([jobnumber],OvalData[],MATCH(Table2[[#Headers],[Torque Required Closed]],Table2[#Headers],0),0)</f>
        <v>3377.9</v>
      </c>
      <c r="W594" s="2">
        <f>VLOOKUP([jobnumber],OvalData[],MATCH(Table2[[#Headers],[Torque Required Open]],Table2[#Headers],0),0)</f>
        <v>892</v>
      </c>
      <c r="X594" s="2">
        <f>VLOOKUP([jobnumber],OvalData[],MATCH(Table2[[#Headers],[Pre Turns]],Table2[#Headers],0),0)</f>
        <v>1.3332999999999999</v>
      </c>
      <c r="Y594" s="2">
        <f>VLOOKUP([jobnumber],OvalData[],MATCH(Table2[[#Headers],[Required Torque Per Turn]],Table2[#Headers],0),0)</f>
        <v>688</v>
      </c>
      <c r="Z594" s="2">
        <f>VLOOKUP([jobnumber],OvalData[],MATCH(Table2[[#Headers],[Total Turns]],Table2[#Headers],0),0)</f>
        <v>4.91</v>
      </c>
      <c r="AA594" s="2">
        <f>VLOOKUP([jobnumber],OvalData[],MATCH(Table2[[#Headers],[Grille Vision Section]],Table2[#Headers],0),0)</f>
        <v>0</v>
      </c>
      <c r="AB594" s="2">
        <f>VLOOKUP([jobnumber],OvalData[],MATCH(Table2[[#Headers],[Grille Amount]],Table2[#Headers],0),0)</f>
        <v>0</v>
      </c>
      <c r="AC594" s="2">
        <f>VLOOKUP([jobnumber],OvalData[],MATCH(Table2[[#Headers],[Grille Center]],Table2[#Headers],0),0)</f>
        <v>0</v>
      </c>
      <c r="AD594" s="2">
        <f>VLOOKUP([jobnumber],OvalData[],MATCH(Table2[[#Headers],[Grille Pattern]],Table2[#Headers],0),0)</f>
        <v>0</v>
      </c>
      <c r="AE594" s="2">
        <f>VLOOKUP([jobnumber],OvalData[],MATCH(Table2[[#Headers],[Grille First Tube]],Table2[#Headers],0),0)</f>
        <v>0</v>
      </c>
      <c r="AF594" s="2">
        <f>VLOOKUP([jobnumber],OvalData[],MATCH(Table2[[#Headers],[Grille Standard Tube]],Table2[#Headers],0),0)</f>
        <v>0</v>
      </c>
      <c r="AG594" s="2">
        <f>VLOOKUP([jobnumber],OvalData[],MATCH(Table2[[#Headers],[Grille Total Links]],Table2[#Headers],0),0)</f>
        <v>0</v>
      </c>
      <c r="AH594" s="2">
        <f>VLOOKUP([jobnumber],OvalData[],MATCH(Table2[[#Headers],[Grille Rods]],Table2[#Headers],0),0)</f>
        <v>0</v>
      </c>
      <c r="AI594" s="2">
        <f>VLOOKUP([jobnumber],OvalData[],MATCH(Table2[[#Headers],[Grille Rod Length]],Table2[#Headers],0),0)</f>
        <v>0</v>
      </c>
      <c r="AJ594" s="2">
        <f>VLOOKUP([jobnumber],OvalData[],MATCH(Table2[[#Headers],[slattype]],Table2[#Headers],0),0)</f>
        <v>2</v>
      </c>
      <c r="AK594" s="2">
        <f>VLOOKUP([jobnumber],OvalData[],MATCH(Table2[[#Headers],[slatgage]],Table2[#Headers],0),0)</f>
        <v>18</v>
      </c>
      <c r="AL594" s="2">
        <f>VLOOKUP([jobnumber],OvalData[],MATCH(Table2[[#Headers],[Numer of Top Slats]],Table2[#Headers],0),0)</f>
        <v>0</v>
      </c>
      <c r="AM594" s="2">
        <f>VLOOKUP([jobnumber],OvalData[],MATCH(Table2[[#Headers],[Number of Bottom Slats]],Table2[#Headers],0),0)</f>
        <v>0</v>
      </c>
      <c r="AN594" s="2">
        <f>VLOOKUP([jobnumber],OvalData[],MATCH(Table2[[#Headers],[Solid Bottom Height]],Table2[#Headers],0),0)</f>
        <v>0</v>
      </c>
      <c r="AO594" s="2" t="str">
        <f>VLOOKUP([jobnumber],OvalData[],MATCH(Table2[[#Headers],[slatlength]],Table2[#Headers],0),0)</f>
        <v xml:space="preserve"> 18 ft.- 5 7/ 8"</v>
      </c>
      <c r="AP594" s="2">
        <f>VLOOKUP([jobnumber],OvalData[],MATCH(Table2[[#Headers],[Bottom Slat Length]],Table2[#Headers],0),0)</f>
        <v>0</v>
      </c>
      <c r="AQ594" s="2">
        <f>VLOOKUP([jobnumber],OvalData[],MATCH(Table2[[#Headers],[Number of Perferated Slats]],Table2[#Headers],0),0)</f>
        <v>0</v>
      </c>
      <c r="AR594" s="2">
        <f>VLOOKUP([jobnumber],OvalData[],MATCH(Table2[[#Headers],[First Preferated Slat From End]],Table2[#Headers],0),0)</f>
        <v>0</v>
      </c>
      <c r="AS594" s="2">
        <f>VLOOKUP([jobnumber],OvalData[],MATCH(Table2[[#Headers],[First Preferated Slat From Bottom]],Table2[#Headers],0),0)</f>
        <v>0</v>
      </c>
      <c r="AT594" s="2">
        <f>VLOOKUP([jobnumber],OvalData[],MATCH(Table2[[#Headers],[Total Number of Slats]],Table2[#Headers],0),0)</f>
        <v>51</v>
      </c>
      <c r="AU594" s="2">
        <f>VLOOKUP([jobnumber],OvalData[],MATCH(Table2[[#Headers],[Bottom Bar Slope]],Table2[#Headers],0),0)</f>
        <v>0</v>
      </c>
      <c r="AV594" s="2">
        <f>VLOOKUP([jobnumber],OvalData[],MATCH(Table2[[#Headers],[Bottom Bar Weight]],Table2[#Headers],0),0)</f>
        <v>80.5</v>
      </c>
      <c r="AW594" s="2" t="str">
        <f>VLOOKUP([jobnumber],OvalData[],MATCH(Table2[[#Headers],[Outer Spring Gage]],Table2[#Headers],0),0)</f>
        <v>Null</v>
      </c>
      <c r="AX594" s="2" t="str">
        <f>VLOOKUP([jobnumber],OvalData[],MATCH(Table2[[#Headers],[Outer Spring OD]],Table2[#Headers],0),0)</f>
        <v>Null</v>
      </c>
      <c r="AY594" s="2" t="str">
        <f>VLOOKUP([jobnumber],OvalData[],MATCH(Table2[[#Headers],[Outer Spring Length]],Table2[#Headers],0),0)</f>
        <v>Null</v>
      </c>
      <c r="AZ594" s="2" t="str">
        <f>VLOOKUP([jobnumber],OvalData[],MATCH(Table2[[#Headers],[Outer Spring Stretch]],Table2[#Headers],0),0)</f>
        <v>Null</v>
      </c>
      <c r="BA594" s="2" t="str">
        <f>VLOOKUP([jobnumber],OvalData[],MATCH(Table2[[#Headers],[Outer Spring Torque]],Table2[#Headers],0),0)</f>
        <v>Null</v>
      </c>
      <c r="BB594" s="2" t="str">
        <f>VLOOKUP([jobnumber],OvalData[],MATCH(Table2[[#Headers],[Outer Spring Max Turns]],Table2[#Headers],0),0)</f>
        <v>Null</v>
      </c>
      <c r="BC594" s="2" t="str">
        <f>VLOOKUP([jobnumber],OvalData[],MATCH(Table2[[#Headers],[Outer Spring Weight]],Table2[#Headers],0),0)</f>
        <v>Null</v>
      </c>
      <c r="BD594" s="2" t="str">
        <f>VLOOKUP([jobnumber],OvalData[],MATCH(Table2[[#Headers],[Inner Spring Gage]],Table2[#Headers],0),0)</f>
        <v>Null</v>
      </c>
      <c r="BE594" s="2" t="str">
        <f>VLOOKUP([jobnumber],OvalData[],MATCH(Table2[[#Headers],[Inner Spring OD]],Table2[#Headers],0),0)</f>
        <v>Null</v>
      </c>
      <c r="BF594" s="2" t="str">
        <f>VLOOKUP([jobnumber],OvalData[],MATCH(Table2[[#Headers],[Inner Spring Length]],Table2[#Headers],0),0)</f>
        <v>Null</v>
      </c>
      <c r="BG594" s="2" t="str">
        <f>VLOOKUP([jobnumber],OvalData[],MATCH(Table2[[#Headers],[Inner Spring Stretch]],Table2[#Headers],0),0)</f>
        <v>Null</v>
      </c>
      <c r="BH594" s="2" t="str">
        <f>VLOOKUP([jobnumber],OvalData[],MATCH(Table2[[#Headers],[Inner Spring Torque]],Table2[#Headers],0),0)</f>
        <v>Null</v>
      </c>
      <c r="BI594" s="2" t="str">
        <f>VLOOKUP([jobnumber],OvalData[],MATCH(Table2[[#Headers],[Inner Spring Max Turns]],Table2[#Headers],0),0)</f>
        <v>Null</v>
      </c>
      <c r="BJ594" s="2" t="str">
        <f>VLOOKUP([jobnumber],OvalData[],MATCH(Table2[[#Headers],[Inner Spring Weight]],Table2[#Headers],0),0)</f>
        <v>Null</v>
      </c>
      <c r="BK594" s="2">
        <f>VLOOKUP([jobnumber],OvalData[],MATCH(Table2[[#Headers],[Cycles]],Table2[#Headers],0),0)</f>
        <v>0</v>
      </c>
      <c r="BL594" s="2">
        <f>VLOOKUP([jobnumber],OvalData[],MATCH(Table2[[#Headers],[Total Spring Torque]],Table2[#Headers],0),0)</f>
        <v>0</v>
      </c>
      <c r="BM594" s="2">
        <f>VLOOKUP([jobnumber],OvalData[],MATCH(Table2[[#Headers],[Total Spring Weight]],Table2[#Headers],0),0)</f>
        <v>0</v>
      </c>
      <c r="BN594" s="2">
        <f>VLOOKUP([jobnumber],OvalData[],MATCH(Table2[[#Headers],[Pipe Weight]],Table2[#Headers],0),0)</f>
        <v>688.24239999999998</v>
      </c>
      <c r="BO594" s="2">
        <f>VLOOKUP([jobnumber],OvalData[],MATCH(Table2[[#Headers],[Max Pipe Deflection]],Table2[#Headers],0),0)</f>
        <v>2309</v>
      </c>
      <c r="BP594" s="2">
        <f>VLOOKUP([jobnumber],OvalData[],MATCH(Table2[[#Headers],[Number Non-Insulated Wrap Slats]],Table2[#Headers],0),0)</f>
        <v>0</v>
      </c>
      <c r="BQ594" s="2">
        <f>VLOOKUP([jobnumber],OvalData[],MATCH(Table2[[#Headers],[Number of Insolated Top Slats]],Table2[#Headers],0),0)</f>
        <v>45</v>
      </c>
      <c r="BR594" s="2">
        <f>VLOOKUP([jobnumber],OvalData[],MATCH(Table2[[#Headers],[Insolated Total Slats]],Table2[#Headers],0),0)</f>
        <v>45</v>
      </c>
      <c r="BS594" s="2">
        <f>VLOOKUP([jobnumber],OvalData[],MATCH(Table2[[#Headers],[Number of Slats]],Table2[#Headers],0),0)</f>
        <v>44.69</v>
      </c>
      <c r="BT594" s="2">
        <f>VLOOKUP([jobnumber],OvalData[],MATCH(Table2[[#Headers],[Wrap]],Table2[#Headers],0),0)</f>
        <v>0</v>
      </c>
      <c r="BU594" s="2">
        <f>VLOOKUP([jobnumber],OvalData[],MATCH(Table2[[#Headers],[Wall Angle Thickness]],Table2[#Headers],0),0)</f>
        <v>0</v>
      </c>
      <c r="BV594" s="2">
        <f>VLOOKUP([jobnumber],OvalData[],MATCH(Table2[[#Headers],[windlocks]],Table2[#Headers],0),0)</f>
        <v>0</v>
      </c>
      <c r="BW594" s="2" t="str">
        <f>VLOOKUP([jobnumber],OvalData[],MATCH(Table2[[#Headers],[bottombartype]],Table2[#Headers],0),0)</f>
        <v>SPECIAL</v>
      </c>
      <c r="BX594" s="2">
        <f>VLOOKUP([jobnumber],OvalData[],MATCH(Table2[[#Headers],[endlockweight]],Table2[#Headers],0),0)</f>
        <v>0.17</v>
      </c>
      <c r="BY594" s="2">
        <f>VLOOKUP([jobnumber],OvalData[],MATCH(Table2[[#Headers],[Endlock Total Weight]],Table2[#Headers],0),0)</f>
        <v>7.5972999999999997</v>
      </c>
      <c r="BZ594" s="2">
        <f>VLOOKUP([jobnumber],OvalData[],MATCH(Table2[[#Headers],[Grille Weight]],Table2[#Headers],0),0)</f>
        <v>0</v>
      </c>
      <c r="CA594" s="2">
        <f>VLOOKUP([jobnumber],OvalData[],MATCH(Table2[[#Headers],[barrelrings]],Table2[#Headers],0),0)</f>
        <v>1</v>
      </c>
    </row>
    <row r="595" spans="2:79">
      <c r="B595" s="2" t="str">
        <f>VLOOKUP([jobnumber],OvalData[],MATCH(Table2[[#Headers],[Hand]],Table2[#Headers],0),0)</f>
        <v>RH</v>
      </c>
      <c r="C595" s="2" t="str">
        <f>VLOOKUP([jobnumber],OvalData[],MATCH(Table2[[#Headers],[Model]],Table2[#Headers],0),0)</f>
        <v>SFMPP</v>
      </c>
      <c r="D595" s="2" t="str">
        <f>VLOOKUP([jobnumber],OvalData[],MATCH(Table2[[#Headers],[width]],Table2[#Headers],0),0)</f>
        <v xml:space="preserve"> 18 ft.- 2"</v>
      </c>
      <c r="E595" s="2" t="str">
        <f>VLOOKUP([jobnumber],OvalData[],MATCH(Table2[[#Headers],[stopheight]],Table2[#Headers],0),0)</f>
        <v xml:space="preserve"> 10 ft.- 0"</v>
      </c>
      <c r="F595" s="2" t="str">
        <f>VLOOKUP([jobnumber],OvalData[],MATCH(Table2[[#Headers],[Between Brackets]],Table2[#Headers],0),0)</f>
        <v xml:space="preserve"> 18 ft.- 7 7/ 8"</v>
      </c>
      <c r="G595" s="2" t="str">
        <f>VLOOKUP([jobnumber],OvalData[],MATCH(Table2[[#Headers],[shell]],Table2[#Headers],0),0)</f>
        <v>6 INCH TUBE</v>
      </c>
      <c r="H595" s="2" t="str">
        <f>VLOOKUP([jobnumber],OvalData[],MATCH(Table2[[#Headers],[pipewidth]],Table2[#Headers],0),0)</f>
        <v xml:space="preserve"> 18 ft.- 1 3/ 8"</v>
      </c>
      <c r="I595" s="2">
        <f>VLOOKUP([jobnumber],OvalData[],MATCH(Table2[[#Headers],[Support Tubes]],Table2[#Headers],0),0)</f>
        <v>0</v>
      </c>
      <c r="J595" s="2">
        <f>VLOOKUP([jobnumber],OvalData[],MATCH(Table2[[#Headers],[Upset]],Table2[#Headers],0),0)</f>
        <v>2</v>
      </c>
      <c r="K595" s="2" t="str">
        <f>VLOOKUP([jobnumber],OvalData[],MATCH(Table2[[#Headers],[Guide Type]],Table2[#Headers],0),0)</f>
        <v>SN2-4 5/8-E</v>
      </c>
      <c r="L595" s="2" t="str">
        <f>VLOOKUP([jobnumber],OvalData[],MATCH(Table2[[#Headers],[Wall Angle]],Table2[#Headers],0),0)</f>
        <v xml:space="preserve"> 11 ft.- 8"</v>
      </c>
      <c r="M595" s="2" t="str">
        <f>VLOOKUP([jobnumber],OvalData[],MATCH(Table2[[#Headers],[Middle Angle]],Table2[#Headers],0),0)</f>
        <v xml:space="preserve"> 10 ft.- 4 1/ 2"</v>
      </c>
      <c r="N595" s="2" t="str">
        <f>VLOOKUP([jobnumber],OvalData[],MATCH(Table2[[#Headers],[Front Angle]],Table2[#Headers],0),0)</f>
        <v xml:space="preserve"> 10 ft.- 3"</v>
      </c>
      <c r="O595" s="2">
        <f>VLOOKUP([jobnumber],OvalData[],MATCH(Table2[[#Headers],[Pipe Center Line]],Table2[#Headers],0),0)</f>
        <v>131</v>
      </c>
      <c r="P595" s="2">
        <f>VLOOKUP([jobnumber],OvalData[],MATCH(Table2[[#Headers],[Heat Expansion Gap]],Table2[#Headers],0),0)</f>
        <v>0</v>
      </c>
      <c r="Q595" s="2">
        <f>VLOOKUP([jobnumber],OvalData[],MATCH(Table2[[#Headers],[Hanging Weight Closed]],Table2[#Headers],0),0)</f>
        <v>795</v>
      </c>
      <c r="R595" s="2">
        <f>VLOOKUP([jobnumber],OvalData[],MATCH(Table2[[#Headers],[Hanging Weight Open]],Table2[#Headers],0),0)</f>
        <v>140</v>
      </c>
      <c r="S595" s="2">
        <f>VLOOKUP([jobnumber],OvalData[],MATCH(Table2[[#Headers],[Initial Lever Arm]],Table2[#Headers],0),0)</f>
        <v>4.25</v>
      </c>
      <c r="T595" s="2">
        <f>VLOOKUP([jobnumber],OvalData[],MATCH(Table2[[#Headers],[Turns to Raise]],Table2[#Headers],0),0)</f>
        <v>3.5859999999999999</v>
      </c>
      <c r="U595" s="2">
        <f>VLOOKUP([jobnumber],OvalData[],MATCH(Table2[[#Headers],[Final Lever Arm]],Table2[#Headers],0),0)</f>
        <v>6.37</v>
      </c>
      <c r="V595" s="2">
        <f>VLOOKUP([jobnumber],OvalData[],MATCH(Table2[[#Headers],[Torque Required Closed]],Table2[#Headers],0),0)</f>
        <v>3377.9</v>
      </c>
      <c r="W595" s="2">
        <f>VLOOKUP([jobnumber],OvalData[],MATCH(Table2[[#Headers],[Torque Required Open]],Table2[#Headers],0),0)</f>
        <v>892</v>
      </c>
      <c r="X595" s="2">
        <f>VLOOKUP([jobnumber],OvalData[],MATCH(Table2[[#Headers],[Pre Turns]],Table2[#Headers],0),0)</f>
        <v>1.3332999999999999</v>
      </c>
      <c r="Y595" s="2">
        <f>VLOOKUP([jobnumber],OvalData[],MATCH(Table2[[#Headers],[Required Torque Per Turn]],Table2[#Headers],0),0)</f>
        <v>688</v>
      </c>
      <c r="Z595" s="2">
        <f>VLOOKUP([jobnumber],OvalData[],MATCH(Table2[[#Headers],[Total Turns]],Table2[#Headers],0),0)</f>
        <v>4.91</v>
      </c>
      <c r="AA595" s="2">
        <f>VLOOKUP([jobnumber],OvalData[],MATCH(Table2[[#Headers],[Grille Vision Section]],Table2[#Headers],0),0)</f>
        <v>0</v>
      </c>
      <c r="AB595" s="2">
        <f>VLOOKUP([jobnumber],OvalData[],MATCH(Table2[[#Headers],[Grille Amount]],Table2[#Headers],0),0)</f>
        <v>0</v>
      </c>
      <c r="AC595" s="2">
        <f>VLOOKUP([jobnumber],OvalData[],MATCH(Table2[[#Headers],[Grille Center]],Table2[#Headers],0),0)</f>
        <v>0</v>
      </c>
      <c r="AD595" s="2">
        <f>VLOOKUP([jobnumber],OvalData[],MATCH(Table2[[#Headers],[Grille Pattern]],Table2[#Headers],0),0)</f>
        <v>0</v>
      </c>
      <c r="AE595" s="2">
        <f>VLOOKUP([jobnumber],OvalData[],MATCH(Table2[[#Headers],[Grille First Tube]],Table2[#Headers],0),0)</f>
        <v>0</v>
      </c>
      <c r="AF595" s="2">
        <f>VLOOKUP([jobnumber],OvalData[],MATCH(Table2[[#Headers],[Grille Standard Tube]],Table2[#Headers],0),0)</f>
        <v>0</v>
      </c>
      <c r="AG595" s="2">
        <f>VLOOKUP([jobnumber],OvalData[],MATCH(Table2[[#Headers],[Grille Total Links]],Table2[#Headers],0),0)</f>
        <v>0</v>
      </c>
      <c r="AH595" s="2">
        <f>VLOOKUP([jobnumber],OvalData[],MATCH(Table2[[#Headers],[Grille Rods]],Table2[#Headers],0),0)</f>
        <v>0</v>
      </c>
      <c r="AI595" s="2">
        <f>VLOOKUP([jobnumber],OvalData[],MATCH(Table2[[#Headers],[Grille Rod Length]],Table2[#Headers],0),0)</f>
        <v>0</v>
      </c>
      <c r="AJ595" s="2">
        <f>VLOOKUP([jobnumber],OvalData[],MATCH(Table2[[#Headers],[slattype]],Table2[#Headers],0),0)</f>
        <v>2</v>
      </c>
      <c r="AK595" s="2">
        <f>VLOOKUP([jobnumber],OvalData[],MATCH(Table2[[#Headers],[slatgage]],Table2[#Headers],0),0)</f>
        <v>18</v>
      </c>
      <c r="AL595" s="2">
        <f>VLOOKUP([jobnumber],OvalData[],MATCH(Table2[[#Headers],[Numer of Top Slats]],Table2[#Headers],0),0)</f>
        <v>0</v>
      </c>
      <c r="AM595" s="2">
        <f>VLOOKUP([jobnumber],OvalData[],MATCH(Table2[[#Headers],[Number of Bottom Slats]],Table2[#Headers],0),0)</f>
        <v>0</v>
      </c>
      <c r="AN595" s="2">
        <f>VLOOKUP([jobnumber],OvalData[],MATCH(Table2[[#Headers],[Solid Bottom Height]],Table2[#Headers],0),0)</f>
        <v>0</v>
      </c>
      <c r="AO595" s="2" t="str">
        <f>VLOOKUP([jobnumber],OvalData[],MATCH(Table2[[#Headers],[slatlength]],Table2[#Headers],0),0)</f>
        <v xml:space="preserve"> 18 ft.- 5 7/ 8"</v>
      </c>
      <c r="AP595" s="2">
        <f>VLOOKUP([jobnumber],OvalData[],MATCH(Table2[[#Headers],[Bottom Slat Length]],Table2[#Headers],0),0)</f>
        <v>0</v>
      </c>
      <c r="AQ595" s="2">
        <f>VLOOKUP([jobnumber],OvalData[],MATCH(Table2[[#Headers],[Number of Perferated Slats]],Table2[#Headers],0),0)</f>
        <v>0</v>
      </c>
      <c r="AR595" s="2">
        <f>VLOOKUP([jobnumber],OvalData[],MATCH(Table2[[#Headers],[First Preferated Slat From End]],Table2[#Headers],0),0)</f>
        <v>0</v>
      </c>
      <c r="AS595" s="2">
        <f>VLOOKUP([jobnumber],OvalData[],MATCH(Table2[[#Headers],[First Preferated Slat From Bottom]],Table2[#Headers],0),0)</f>
        <v>0</v>
      </c>
      <c r="AT595" s="2">
        <f>VLOOKUP([jobnumber],OvalData[],MATCH(Table2[[#Headers],[Total Number of Slats]],Table2[#Headers],0),0)</f>
        <v>51</v>
      </c>
      <c r="AU595" s="2">
        <f>VLOOKUP([jobnumber],OvalData[],MATCH(Table2[[#Headers],[Bottom Bar Slope]],Table2[#Headers],0),0)</f>
        <v>0</v>
      </c>
      <c r="AV595" s="2">
        <f>VLOOKUP([jobnumber],OvalData[],MATCH(Table2[[#Headers],[Bottom Bar Weight]],Table2[#Headers],0),0)</f>
        <v>80.5</v>
      </c>
      <c r="AW595" s="2" t="str">
        <f>VLOOKUP([jobnumber],OvalData[],MATCH(Table2[[#Headers],[Outer Spring Gage]],Table2[#Headers],0),0)</f>
        <v>Null</v>
      </c>
      <c r="AX595" s="2" t="str">
        <f>VLOOKUP([jobnumber],OvalData[],MATCH(Table2[[#Headers],[Outer Spring OD]],Table2[#Headers],0),0)</f>
        <v>Null</v>
      </c>
      <c r="AY595" s="2" t="str">
        <f>VLOOKUP([jobnumber],OvalData[],MATCH(Table2[[#Headers],[Outer Spring Length]],Table2[#Headers],0),0)</f>
        <v>Null</v>
      </c>
      <c r="AZ595" s="2" t="str">
        <f>VLOOKUP([jobnumber],OvalData[],MATCH(Table2[[#Headers],[Outer Spring Stretch]],Table2[#Headers],0),0)</f>
        <v>Null</v>
      </c>
      <c r="BA595" s="2" t="str">
        <f>VLOOKUP([jobnumber],OvalData[],MATCH(Table2[[#Headers],[Outer Spring Torque]],Table2[#Headers],0),0)</f>
        <v>Null</v>
      </c>
      <c r="BB595" s="2" t="str">
        <f>VLOOKUP([jobnumber],OvalData[],MATCH(Table2[[#Headers],[Outer Spring Max Turns]],Table2[#Headers],0),0)</f>
        <v>Null</v>
      </c>
      <c r="BC595" s="2" t="str">
        <f>VLOOKUP([jobnumber],OvalData[],MATCH(Table2[[#Headers],[Outer Spring Weight]],Table2[#Headers],0),0)</f>
        <v>Null</v>
      </c>
      <c r="BD595" s="2" t="str">
        <f>VLOOKUP([jobnumber],OvalData[],MATCH(Table2[[#Headers],[Inner Spring Gage]],Table2[#Headers],0),0)</f>
        <v>Null</v>
      </c>
      <c r="BE595" s="2" t="str">
        <f>VLOOKUP([jobnumber],OvalData[],MATCH(Table2[[#Headers],[Inner Spring OD]],Table2[#Headers],0),0)</f>
        <v>Null</v>
      </c>
      <c r="BF595" s="2" t="str">
        <f>VLOOKUP([jobnumber],OvalData[],MATCH(Table2[[#Headers],[Inner Spring Length]],Table2[#Headers],0),0)</f>
        <v>Null</v>
      </c>
      <c r="BG595" s="2" t="str">
        <f>VLOOKUP([jobnumber],OvalData[],MATCH(Table2[[#Headers],[Inner Spring Stretch]],Table2[#Headers],0),0)</f>
        <v>Null</v>
      </c>
      <c r="BH595" s="2" t="str">
        <f>VLOOKUP([jobnumber],OvalData[],MATCH(Table2[[#Headers],[Inner Spring Torque]],Table2[#Headers],0),0)</f>
        <v>Null</v>
      </c>
      <c r="BI595" s="2" t="str">
        <f>VLOOKUP([jobnumber],OvalData[],MATCH(Table2[[#Headers],[Inner Spring Max Turns]],Table2[#Headers],0),0)</f>
        <v>Null</v>
      </c>
      <c r="BJ595" s="2" t="str">
        <f>VLOOKUP([jobnumber],OvalData[],MATCH(Table2[[#Headers],[Inner Spring Weight]],Table2[#Headers],0),0)</f>
        <v>Null</v>
      </c>
      <c r="BK595" s="2">
        <f>VLOOKUP([jobnumber],OvalData[],MATCH(Table2[[#Headers],[Cycles]],Table2[#Headers],0),0)</f>
        <v>0</v>
      </c>
      <c r="BL595" s="2">
        <f>VLOOKUP([jobnumber],OvalData[],MATCH(Table2[[#Headers],[Total Spring Torque]],Table2[#Headers],0),0)</f>
        <v>0</v>
      </c>
      <c r="BM595" s="2">
        <f>VLOOKUP([jobnumber],OvalData[],MATCH(Table2[[#Headers],[Total Spring Weight]],Table2[#Headers],0),0)</f>
        <v>0</v>
      </c>
      <c r="BN595" s="2">
        <f>VLOOKUP([jobnumber],OvalData[],MATCH(Table2[[#Headers],[Pipe Weight]],Table2[#Headers],0),0)</f>
        <v>688.24239999999998</v>
      </c>
      <c r="BO595" s="2">
        <f>VLOOKUP([jobnumber],OvalData[],MATCH(Table2[[#Headers],[Max Pipe Deflection]],Table2[#Headers],0),0)</f>
        <v>2309</v>
      </c>
      <c r="BP595" s="2">
        <f>VLOOKUP([jobnumber],OvalData[],MATCH(Table2[[#Headers],[Number Non-Insulated Wrap Slats]],Table2[#Headers],0),0)</f>
        <v>0</v>
      </c>
      <c r="BQ595" s="2">
        <f>VLOOKUP([jobnumber],OvalData[],MATCH(Table2[[#Headers],[Number of Insolated Top Slats]],Table2[#Headers],0),0)</f>
        <v>45</v>
      </c>
      <c r="BR595" s="2">
        <f>VLOOKUP([jobnumber],OvalData[],MATCH(Table2[[#Headers],[Insolated Total Slats]],Table2[#Headers],0),0)</f>
        <v>45</v>
      </c>
      <c r="BS595" s="2">
        <f>VLOOKUP([jobnumber],OvalData[],MATCH(Table2[[#Headers],[Number of Slats]],Table2[#Headers],0),0)</f>
        <v>44.69</v>
      </c>
      <c r="BT595" s="2">
        <f>VLOOKUP([jobnumber],OvalData[],MATCH(Table2[[#Headers],[Wrap]],Table2[#Headers],0),0)</f>
        <v>0</v>
      </c>
      <c r="BU595" s="2">
        <f>VLOOKUP([jobnumber],OvalData[],MATCH(Table2[[#Headers],[Wall Angle Thickness]],Table2[#Headers],0),0)</f>
        <v>0</v>
      </c>
      <c r="BV595" s="2">
        <f>VLOOKUP([jobnumber],OvalData[],MATCH(Table2[[#Headers],[windlocks]],Table2[#Headers],0),0)</f>
        <v>0</v>
      </c>
      <c r="BW595" s="2" t="str">
        <f>VLOOKUP([jobnumber],OvalData[],MATCH(Table2[[#Headers],[bottombartype]],Table2[#Headers],0),0)</f>
        <v>SPECIAL</v>
      </c>
      <c r="BX595" s="2">
        <f>VLOOKUP([jobnumber],OvalData[],MATCH(Table2[[#Headers],[endlockweight]],Table2[#Headers],0),0)</f>
        <v>0.17</v>
      </c>
      <c r="BY595" s="2">
        <f>VLOOKUP([jobnumber],OvalData[],MATCH(Table2[[#Headers],[Endlock Total Weight]],Table2[#Headers],0),0)</f>
        <v>7.5972999999999997</v>
      </c>
      <c r="BZ595" s="2">
        <f>VLOOKUP([jobnumber],OvalData[],MATCH(Table2[[#Headers],[Grille Weight]],Table2[#Headers],0),0)</f>
        <v>0</v>
      </c>
      <c r="CA595" s="2">
        <f>VLOOKUP([jobnumber],OvalData[],MATCH(Table2[[#Headers],[barrelrings]],Table2[#Headers],0),0)</f>
        <v>1</v>
      </c>
    </row>
    <row r="596" spans="2:79">
      <c r="B596" s="2" t="str">
        <f>VLOOKUP([jobnumber],OvalData[],MATCH(Table2[[#Headers],[Hand]],Table2[#Headers],0),0)</f>
        <v>RH</v>
      </c>
      <c r="C596" s="2" t="str">
        <f>VLOOKUP([jobnumber],OvalData[],MATCH(Table2[[#Headers],[Model]],Table2[#Headers],0),0)</f>
        <v>SFMPP</v>
      </c>
      <c r="D596" s="2" t="str">
        <f>VLOOKUP([jobnumber],OvalData[],MATCH(Table2[[#Headers],[width]],Table2[#Headers],0),0)</f>
        <v xml:space="preserve"> 18 ft.- 2"</v>
      </c>
      <c r="E596" s="2" t="str">
        <f>VLOOKUP([jobnumber],OvalData[],MATCH(Table2[[#Headers],[stopheight]],Table2[#Headers],0),0)</f>
        <v xml:space="preserve"> 10 ft.- 0"</v>
      </c>
      <c r="F596" s="2" t="str">
        <f>VLOOKUP([jobnumber],OvalData[],MATCH(Table2[[#Headers],[Between Brackets]],Table2[#Headers],0),0)</f>
        <v xml:space="preserve"> 18 ft.- 7 7/ 8"</v>
      </c>
      <c r="G596" s="2" t="str">
        <f>VLOOKUP([jobnumber],OvalData[],MATCH(Table2[[#Headers],[shell]],Table2[#Headers],0),0)</f>
        <v>6 INCH TUBE</v>
      </c>
      <c r="H596" s="2" t="str">
        <f>VLOOKUP([jobnumber],OvalData[],MATCH(Table2[[#Headers],[pipewidth]],Table2[#Headers],0),0)</f>
        <v xml:space="preserve"> 18 ft.- 1 3/ 8"</v>
      </c>
      <c r="I596" s="2">
        <f>VLOOKUP([jobnumber],OvalData[],MATCH(Table2[[#Headers],[Support Tubes]],Table2[#Headers],0),0)</f>
        <v>0</v>
      </c>
      <c r="J596" s="2">
        <f>VLOOKUP([jobnumber],OvalData[],MATCH(Table2[[#Headers],[Upset]],Table2[#Headers],0),0)</f>
        <v>2</v>
      </c>
      <c r="K596" s="2" t="str">
        <f>VLOOKUP([jobnumber],OvalData[],MATCH(Table2[[#Headers],[Guide Type]],Table2[#Headers],0),0)</f>
        <v>SN2-4 5/8-E</v>
      </c>
      <c r="L596" s="2" t="str">
        <f>VLOOKUP([jobnumber],OvalData[],MATCH(Table2[[#Headers],[Wall Angle]],Table2[#Headers],0),0)</f>
        <v xml:space="preserve"> 11 ft.- 8"</v>
      </c>
      <c r="M596" s="2" t="str">
        <f>VLOOKUP([jobnumber],OvalData[],MATCH(Table2[[#Headers],[Middle Angle]],Table2[#Headers],0),0)</f>
        <v xml:space="preserve"> 10 ft.- 4 1/ 2"</v>
      </c>
      <c r="N596" s="2" t="str">
        <f>VLOOKUP([jobnumber],OvalData[],MATCH(Table2[[#Headers],[Front Angle]],Table2[#Headers],0),0)</f>
        <v xml:space="preserve"> 10 ft.- 3"</v>
      </c>
      <c r="O596" s="2">
        <f>VLOOKUP([jobnumber],OvalData[],MATCH(Table2[[#Headers],[Pipe Center Line]],Table2[#Headers],0),0)</f>
        <v>131</v>
      </c>
      <c r="P596" s="2">
        <f>VLOOKUP([jobnumber],OvalData[],MATCH(Table2[[#Headers],[Heat Expansion Gap]],Table2[#Headers],0),0)</f>
        <v>0</v>
      </c>
      <c r="Q596" s="2">
        <f>VLOOKUP([jobnumber],OvalData[],MATCH(Table2[[#Headers],[Hanging Weight Closed]],Table2[#Headers],0),0)</f>
        <v>795</v>
      </c>
      <c r="R596" s="2">
        <f>VLOOKUP([jobnumber],OvalData[],MATCH(Table2[[#Headers],[Hanging Weight Open]],Table2[#Headers],0),0)</f>
        <v>140</v>
      </c>
      <c r="S596" s="2">
        <f>VLOOKUP([jobnumber],OvalData[],MATCH(Table2[[#Headers],[Initial Lever Arm]],Table2[#Headers],0),0)</f>
        <v>4.25</v>
      </c>
      <c r="T596" s="2">
        <f>VLOOKUP([jobnumber],OvalData[],MATCH(Table2[[#Headers],[Turns to Raise]],Table2[#Headers],0),0)</f>
        <v>3.5859999999999999</v>
      </c>
      <c r="U596" s="2">
        <f>VLOOKUP([jobnumber],OvalData[],MATCH(Table2[[#Headers],[Final Lever Arm]],Table2[#Headers],0),0)</f>
        <v>6.37</v>
      </c>
      <c r="V596" s="2">
        <f>VLOOKUP([jobnumber],OvalData[],MATCH(Table2[[#Headers],[Torque Required Closed]],Table2[#Headers],0),0)</f>
        <v>3377.9</v>
      </c>
      <c r="W596" s="2">
        <f>VLOOKUP([jobnumber],OvalData[],MATCH(Table2[[#Headers],[Torque Required Open]],Table2[#Headers],0),0)</f>
        <v>892</v>
      </c>
      <c r="X596" s="2">
        <f>VLOOKUP([jobnumber],OvalData[],MATCH(Table2[[#Headers],[Pre Turns]],Table2[#Headers],0),0)</f>
        <v>1.3332999999999999</v>
      </c>
      <c r="Y596" s="2">
        <f>VLOOKUP([jobnumber],OvalData[],MATCH(Table2[[#Headers],[Required Torque Per Turn]],Table2[#Headers],0),0)</f>
        <v>688</v>
      </c>
      <c r="Z596" s="2">
        <f>VLOOKUP([jobnumber],OvalData[],MATCH(Table2[[#Headers],[Total Turns]],Table2[#Headers],0),0)</f>
        <v>4.91</v>
      </c>
      <c r="AA596" s="2">
        <f>VLOOKUP([jobnumber],OvalData[],MATCH(Table2[[#Headers],[Grille Vision Section]],Table2[#Headers],0),0)</f>
        <v>0</v>
      </c>
      <c r="AB596" s="2">
        <f>VLOOKUP([jobnumber],OvalData[],MATCH(Table2[[#Headers],[Grille Amount]],Table2[#Headers],0),0)</f>
        <v>0</v>
      </c>
      <c r="AC596" s="2">
        <f>VLOOKUP([jobnumber],OvalData[],MATCH(Table2[[#Headers],[Grille Center]],Table2[#Headers],0),0)</f>
        <v>0</v>
      </c>
      <c r="AD596" s="2">
        <f>VLOOKUP([jobnumber],OvalData[],MATCH(Table2[[#Headers],[Grille Pattern]],Table2[#Headers],0),0)</f>
        <v>0</v>
      </c>
      <c r="AE596" s="2">
        <f>VLOOKUP([jobnumber],OvalData[],MATCH(Table2[[#Headers],[Grille First Tube]],Table2[#Headers],0),0)</f>
        <v>0</v>
      </c>
      <c r="AF596" s="2">
        <f>VLOOKUP([jobnumber],OvalData[],MATCH(Table2[[#Headers],[Grille Standard Tube]],Table2[#Headers],0),0)</f>
        <v>0</v>
      </c>
      <c r="AG596" s="2">
        <f>VLOOKUP([jobnumber],OvalData[],MATCH(Table2[[#Headers],[Grille Total Links]],Table2[#Headers],0),0)</f>
        <v>0</v>
      </c>
      <c r="AH596" s="2">
        <f>VLOOKUP([jobnumber],OvalData[],MATCH(Table2[[#Headers],[Grille Rods]],Table2[#Headers],0),0)</f>
        <v>0</v>
      </c>
      <c r="AI596" s="2">
        <f>VLOOKUP([jobnumber],OvalData[],MATCH(Table2[[#Headers],[Grille Rod Length]],Table2[#Headers],0),0)</f>
        <v>0</v>
      </c>
      <c r="AJ596" s="2">
        <f>VLOOKUP([jobnumber],OvalData[],MATCH(Table2[[#Headers],[slattype]],Table2[#Headers],0),0)</f>
        <v>2</v>
      </c>
      <c r="AK596" s="2">
        <f>VLOOKUP([jobnumber],OvalData[],MATCH(Table2[[#Headers],[slatgage]],Table2[#Headers],0),0)</f>
        <v>18</v>
      </c>
      <c r="AL596" s="2">
        <f>VLOOKUP([jobnumber],OvalData[],MATCH(Table2[[#Headers],[Numer of Top Slats]],Table2[#Headers],0),0)</f>
        <v>0</v>
      </c>
      <c r="AM596" s="2">
        <f>VLOOKUP([jobnumber],OvalData[],MATCH(Table2[[#Headers],[Number of Bottom Slats]],Table2[#Headers],0),0)</f>
        <v>0</v>
      </c>
      <c r="AN596" s="2">
        <f>VLOOKUP([jobnumber],OvalData[],MATCH(Table2[[#Headers],[Solid Bottom Height]],Table2[#Headers],0),0)</f>
        <v>0</v>
      </c>
      <c r="AO596" s="2" t="str">
        <f>VLOOKUP([jobnumber],OvalData[],MATCH(Table2[[#Headers],[slatlength]],Table2[#Headers],0),0)</f>
        <v xml:space="preserve"> 18 ft.- 5 7/ 8"</v>
      </c>
      <c r="AP596" s="2">
        <f>VLOOKUP([jobnumber],OvalData[],MATCH(Table2[[#Headers],[Bottom Slat Length]],Table2[#Headers],0),0)</f>
        <v>0</v>
      </c>
      <c r="AQ596" s="2">
        <f>VLOOKUP([jobnumber],OvalData[],MATCH(Table2[[#Headers],[Number of Perferated Slats]],Table2[#Headers],0),0)</f>
        <v>0</v>
      </c>
      <c r="AR596" s="2">
        <f>VLOOKUP([jobnumber],OvalData[],MATCH(Table2[[#Headers],[First Preferated Slat From End]],Table2[#Headers],0),0)</f>
        <v>0</v>
      </c>
      <c r="AS596" s="2">
        <f>VLOOKUP([jobnumber],OvalData[],MATCH(Table2[[#Headers],[First Preferated Slat From Bottom]],Table2[#Headers],0),0)</f>
        <v>0</v>
      </c>
      <c r="AT596" s="2">
        <f>VLOOKUP([jobnumber],OvalData[],MATCH(Table2[[#Headers],[Total Number of Slats]],Table2[#Headers],0),0)</f>
        <v>51</v>
      </c>
      <c r="AU596" s="2">
        <f>VLOOKUP([jobnumber],OvalData[],MATCH(Table2[[#Headers],[Bottom Bar Slope]],Table2[#Headers],0),0)</f>
        <v>0</v>
      </c>
      <c r="AV596" s="2">
        <f>VLOOKUP([jobnumber],OvalData[],MATCH(Table2[[#Headers],[Bottom Bar Weight]],Table2[#Headers],0),0)</f>
        <v>80.5</v>
      </c>
      <c r="AW596" s="2" t="str">
        <f>VLOOKUP([jobnumber],OvalData[],MATCH(Table2[[#Headers],[Outer Spring Gage]],Table2[#Headers],0),0)</f>
        <v>Null</v>
      </c>
      <c r="AX596" s="2" t="str">
        <f>VLOOKUP([jobnumber],OvalData[],MATCH(Table2[[#Headers],[Outer Spring OD]],Table2[#Headers],0),0)</f>
        <v>Null</v>
      </c>
      <c r="AY596" s="2" t="str">
        <f>VLOOKUP([jobnumber],OvalData[],MATCH(Table2[[#Headers],[Outer Spring Length]],Table2[#Headers],0),0)</f>
        <v>Null</v>
      </c>
      <c r="AZ596" s="2" t="str">
        <f>VLOOKUP([jobnumber],OvalData[],MATCH(Table2[[#Headers],[Outer Spring Stretch]],Table2[#Headers],0),0)</f>
        <v>Null</v>
      </c>
      <c r="BA596" s="2" t="str">
        <f>VLOOKUP([jobnumber],OvalData[],MATCH(Table2[[#Headers],[Outer Spring Torque]],Table2[#Headers],0),0)</f>
        <v>Null</v>
      </c>
      <c r="BB596" s="2" t="str">
        <f>VLOOKUP([jobnumber],OvalData[],MATCH(Table2[[#Headers],[Outer Spring Max Turns]],Table2[#Headers],0),0)</f>
        <v>Null</v>
      </c>
      <c r="BC596" s="2" t="str">
        <f>VLOOKUP([jobnumber],OvalData[],MATCH(Table2[[#Headers],[Outer Spring Weight]],Table2[#Headers],0),0)</f>
        <v>Null</v>
      </c>
      <c r="BD596" s="2" t="str">
        <f>VLOOKUP([jobnumber],OvalData[],MATCH(Table2[[#Headers],[Inner Spring Gage]],Table2[#Headers],0),0)</f>
        <v>Null</v>
      </c>
      <c r="BE596" s="2" t="str">
        <f>VLOOKUP([jobnumber],OvalData[],MATCH(Table2[[#Headers],[Inner Spring OD]],Table2[#Headers],0),0)</f>
        <v>Null</v>
      </c>
      <c r="BF596" s="2" t="str">
        <f>VLOOKUP([jobnumber],OvalData[],MATCH(Table2[[#Headers],[Inner Spring Length]],Table2[#Headers],0),0)</f>
        <v>Null</v>
      </c>
      <c r="BG596" s="2" t="str">
        <f>VLOOKUP([jobnumber],OvalData[],MATCH(Table2[[#Headers],[Inner Spring Stretch]],Table2[#Headers],0),0)</f>
        <v>Null</v>
      </c>
      <c r="BH596" s="2" t="str">
        <f>VLOOKUP([jobnumber],OvalData[],MATCH(Table2[[#Headers],[Inner Spring Torque]],Table2[#Headers],0),0)</f>
        <v>Null</v>
      </c>
      <c r="BI596" s="2" t="str">
        <f>VLOOKUP([jobnumber],OvalData[],MATCH(Table2[[#Headers],[Inner Spring Max Turns]],Table2[#Headers],0),0)</f>
        <v>Null</v>
      </c>
      <c r="BJ596" s="2" t="str">
        <f>VLOOKUP([jobnumber],OvalData[],MATCH(Table2[[#Headers],[Inner Spring Weight]],Table2[#Headers],0),0)</f>
        <v>Null</v>
      </c>
      <c r="BK596" s="2">
        <f>VLOOKUP([jobnumber],OvalData[],MATCH(Table2[[#Headers],[Cycles]],Table2[#Headers],0),0)</f>
        <v>0</v>
      </c>
      <c r="BL596" s="2">
        <f>VLOOKUP([jobnumber],OvalData[],MATCH(Table2[[#Headers],[Total Spring Torque]],Table2[#Headers],0),0)</f>
        <v>0</v>
      </c>
      <c r="BM596" s="2">
        <f>VLOOKUP([jobnumber],OvalData[],MATCH(Table2[[#Headers],[Total Spring Weight]],Table2[#Headers],0),0)</f>
        <v>0</v>
      </c>
      <c r="BN596" s="2">
        <f>VLOOKUP([jobnumber],OvalData[],MATCH(Table2[[#Headers],[Pipe Weight]],Table2[#Headers],0),0)</f>
        <v>688.24239999999998</v>
      </c>
      <c r="BO596" s="2">
        <f>VLOOKUP([jobnumber],OvalData[],MATCH(Table2[[#Headers],[Max Pipe Deflection]],Table2[#Headers],0),0)</f>
        <v>2309</v>
      </c>
      <c r="BP596" s="2">
        <f>VLOOKUP([jobnumber],OvalData[],MATCH(Table2[[#Headers],[Number Non-Insulated Wrap Slats]],Table2[#Headers],0),0)</f>
        <v>0</v>
      </c>
      <c r="BQ596" s="2">
        <f>VLOOKUP([jobnumber],OvalData[],MATCH(Table2[[#Headers],[Number of Insolated Top Slats]],Table2[#Headers],0),0)</f>
        <v>45</v>
      </c>
      <c r="BR596" s="2">
        <f>VLOOKUP([jobnumber],OvalData[],MATCH(Table2[[#Headers],[Insolated Total Slats]],Table2[#Headers],0),0)</f>
        <v>45</v>
      </c>
      <c r="BS596" s="2">
        <f>VLOOKUP([jobnumber],OvalData[],MATCH(Table2[[#Headers],[Number of Slats]],Table2[#Headers],0),0)</f>
        <v>44.69</v>
      </c>
      <c r="BT596" s="2">
        <f>VLOOKUP([jobnumber],OvalData[],MATCH(Table2[[#Headers],[Wrap]],Table2[#Headers],0),0)</f>
        <v>0</v>
      </c>
      <c r="BU596" s="2">
        <f>VLOOKUP([jobnumber],OvalData[],MATCH(Table2[[#Headers],[Wall Angle Thickness]],Table2[#Headers],0),0)</f>
        <v>0</v>
      </c>
      <c r="BV596" s="2">
        <f>VLOOKUP([jobnumber],OvalData[],MATCH(Table2[[#Headers],[windlocks]],Table2[#Headers],0),0)</f>
        <v>0</v>
      </c>
      <c r="BW596" s="2" t="str">
        <f>VLOOKUP([jobnumber],OvalData[],MATCH(Table2[[#Headers],[bottombartype]],Table2[#Headers],0),0)</f>
        <v>SPECIAL</v>
      </c>
      <c r="BX596" s="2">
        <f>VLOOKUP([jobnumber],OvalData[],MATCH(Table2[[#Headers],[endlockweight]],Table2[#Headers],0),0)</f>
        <v>0.17</v>
      </c>
      <c r="BY596" s="2">
        <f>VLOOKUP([jobnumber],OvalData[],MATCH(Table2[[#Headers],[Endlock Total Weight]],Table2[#Headers],0),0)</f>
        <v>7.5972999999999997</v>
      </c>
      <c r="BZ596" s="2">
        <f>VLOOKUP([jobnumber],OvalData[],MATCH(Table2[[#Headers],[Grille Weight]],Table2[#Headers],0),0)</f>
        <v>0</v>
      </c>
      <c r="CA596" s="2">
        <f>VLOOKUP([jobnumber],OvalData[],MATCH(Table2[[#Headers],[barrelrings]],Table2[#Headers],0),0)</f>
        <v>1</v>
      </c>
    </row>
    <row r="597" spans="2:79">
      <c r="B597" s="2" t="str">
        <f>VLOOKUP([jobnumber],OvalData[],MATCH(Table2[[#Headers],[Hand]],Table2[#Headers],0),0)</f>
        <v>RH</v>
      </c>
      <c r="C597" s="2" t="str">
        <f>VLOOKUP([jobnumber],OvalData[],MATCH(Table2[[#Headers],[Model]],Table2[#Headers],0),0)</f>
        <v>SFMPP</v>
      </c>
      <c r="D597" s="2" t="str">
        <f>VLOOKUP([jobnumber],OvalData[],MATCH(Table2[[#Headers],[width]],Table2[#Headers],0),0)</f>
        <v xml:space="preserve"> 18 ft.- 2"</v>
      </c>
      <c r="E597" s="2" t="str">
        <f>VLOOKUP([jobnumber],OvalData[],MATCH(Table2[[#Headers],[stopheight]],Table2[#Headers],0),0)</f>
        <v xml:space="preserve"> 10 ft.- 0"</v>
      </c>
      <c r="F597" s="2" t="str">
        <f>VLOOKUP([jobnumber],OvalData[],MATCH(Table2[[#Headers],[Between Brackets]],Table2[#Headers],0),0)</f>
        <v xml:space="preserve"> 18 ft.- 7 7/ 8"</v>
      </c>
      <c r="G597" s="2" t="str">
        <f>VLOOKUP([jobnumber],OvalData[],MATCH(Table2[[#Headers],[shell]],Table2[#Headers],0),0)</f>
        <v>6 INCH TUBE</v>
      </c>
      <c r="H597" s="2" t="str">
        <f>VLOOKUP([jobnumber],OvalData[],MATCH(Table2[[#Headers],[pipewidth]],Table2[#Headers],0),0)</f>
        <v xml:space="preserve"> 18 ft.- 1 3/ 8"</v>
      </c>
      <c r="I597" s="2">
        <f>VLOOKUP([jobnumber],OvalData[],MATCH(Table2[[#Headers],[Support Tubes]],Table2[#Headers],0),0)</f>
        <v>0</v>
      </c>
      <c r="J597" s="2">
        <f>VLOOKUP([jobnumber],OvalData[],MATCH(Table2[[#Headers],[Upset]],Table2[#Headers],0),0)</f>
        <v>2</v>
      </c>
      <c r="K597" s="2" t="str">
        <f>VLOOKUP([jobnumber],OvalData[],MATCH(Table2[[#Headers],[Guide Type]],Table2[#Headers],0),0)</f>
        <v>SN2-4 5/8-E</v>
      </c>
      <c r="L597" s="2" t="str">
        <f>VLOOKUP([jobnumber],OvalData[],MATCH(Table2[[#Headers],[Wall Angle]],Table2[#Headers],0),0)</f>
        <v xml:space="preserve"> 11 ft.- 8"</v>
      </c>
      <c r="M597" s="2" t="str">
        <f>VLOOKUP([jobnumber],OvalData[],MATCH(Table2[[#Headers],[Middle Angle]],Table2[#Headers],0),0)</f>
        <v xml:space="preserve"> 10 ft.- 4 1/ 2"</v>
      </c>
      <c r="N597" s="2" t="str">
        <f>VLOOKUP([jobnumber],OvalData[],MATCH(Table2[[#Headers],[Front Angle]],Table2[#Headers],0),0)</f>
        <v xml:space="preserve"> 10 ft.- 3"</v>
      </c>
      <c r="O597" s="2">
        <f>VLOOKUP([jobnumber],OvalData[],MATCH(Table2[[#Headers],[Pipe Center Line]],Table2[#Headers],0),0)</f>
        <v>131</v>
      </c>
      <c r="P597" s="2">
        <f>VLOOKUP([jobnumber],OvalData[],MATCH(Table2[[#Headers],[Heat Expansion Gap]],Table2[#Headers],0),0)</f>
        <v>0</v>
      </c>
      <c r="Q597" s="2">
        <f>VLOOKUP([jobnumber],OvalData[],MATCH(Table2[[#Headers],[Hanging Weight Closed]],Table2[#Headers],0),0)</f>
        <v>795</v>
      </c>
      <c r="R597" s="2">
        <f>VLOOKUP([jobnumber],OvalData[],MATCH(Table2[[#Headers],[Hanging Weight Open]],Table2[#Headers],0),0)</f>
        <v>140</v>
      </c>
      <c r="S597" s="2">
        <f>VLOOKUP([jobnumber],OvalData[],MATCH(Table2[[#Headers],[Initial Lever Arm]],Table2[#Headers],0),0)</f>
        <v>4.25</v>
      </c>
      <c r="T597" s="2">
        <f>VLOOKUP([jobnumber],OvalData[],MATCH(Table2[[#Headers],[Turns to Raise]],Table2[#Headers],0),0)</f>
        <v>3.5859999999999999</v>
      </c>
      <c r="U597" s="2">
        <f>VLOOKUP([jobnumber],OvalData[],MATCH(Table2[[#Headers],[Final Lever Arm]],Table2[#Headers],0),0)</f>
        <v>6.37</v>
      </c>
      <c r="V597" s="2">
        <f>VLOOKUP([jobnumber],OvalData[],MATCH(Table2[[#Headers],[Torque Required Closed]],Table2[#Headers],0),0)</f>
        <v>3377.9</v>
      </c>
      <c r="W597" s="2">
        <f>VLOOKUP([jobnumber],OvalData[],MATCH(Table2[[#Headers],[Torque Required Open]],Table2[#Headers],0),0)</f>
        <v>892</v>
      </c>
      <c r="X597" s="2">
        <f>VLOOKUP([jobnumber],OvalData[],MATCH(Table2[[#Headers],[Pre Turns]],Table2[#Headers],0),0)</f>
        <v>1.3332999999999999</v>
      </c>
      <c r="Y597" s="2">
        <f>VLOOKUP([jobnumber],OvalData[],MATCH(Table2[[#Headers],[Required Torque Per Turn]],Table2[#Headers],0),0)</f>
        <v>688</v>
      </c>
      <c r="Z597" s="2">
        <f>VLOOKUP([jobnumber],OvalData[],MATCH(Table2[[#Headers],[Total Turns]],Table2[#Headers],0),0)</f>
        <v>4.91</v>
      </c>
      <c r="AA597" s="2">
        <f>VLOOKUP([jobnumber],OvalData[],MATCH(Table2[[#Headers],[Grille Vision Section]],Table2[#Headers],0),0)</f>
        <v>0</v>
      </c>
      <c r="AB597" s="2">
        <f>VLOOKUP([jobnumber],OvalData[],MATCH(Table2[[#Headers],[Grille Amount]],Table2[#Headers],0),0)</f>
        <v>0</v>
      </c>
      <c r="AC597" s="2">
        <f>VLOOKUP([jobnumber],OvalData[],MATCH(Table2[[#Headers],[Grille Center]],Table2[#Headers],0),0)</f>
        <v>0</v>
      </c>
      <c r="AD597" s="2">
        <f>VLOOKUP([jobnumber],OvalData[],MATCH(Table2[[#Headers],[Grille Pattern]],Table2[#Headers],0),0)</f>
        <v>0</v>
      </c>
      <c r="AE597" s="2">
        <f>VLOOKUP([jobnumber],OvalData[],MATCH(Table2[[#Headers],[Grille First Tube]],Table2[#Headers],0),0)</f>
        <v>0</v>
      </c>
      <c r="AF597" s="2">
        <f>VLOOKUP([jobnumber],OvalData[],MATCH(Table2[[#Headers],[Grille Standard Tube]],Table2[#Headers],0),0)</f>
        <v>0</v>
      </c>
      <c r="AG597" s="2">
        <f>VLOOKUP([jobnumber],OvalData[],MATCH(Table2[[#Headers],[Grille Total Links]],Table2[#Headers],0),0)</f>
        <v>0</v>
      </c>
      <c r="AH597" s="2">
        <f>VLOOKUP([jobnumber],OvalData[],MATCH(Table2[[#Headers],[Grille Rods]],Table2[#Headers],0),0)</f>
        <v>0</v>
      </c>
      <c r="AI597" s="2">
        <f>VLOOKUP([jobnumber],OvalData[],MATCH(Table2[[#Headers],[Grille Rod Length]],Table2[#Headers],0),0)</f>
        <v>0</v>
      </c>
      <c r="AJ597" s="2">
        <f>VLOOKUP([jobnumber],OvalData[],MATCH(Table2[[#Headers],[slattype]],Table2[#Headers],0),0)</f>
        <v>2</v>
      </c>
      <c r="AK597" s="2">
        <f>VLOOKUP([jobnumber],OvalData[],MATCH(Table2[[#Headers],[slatgage]],Table2[#Headers],0),0)</f>
        <v>18</v>
      </c>
      <c r="AL597" s="2">
        <f>VLOOKUP([jobnumber],OvalData[],MATCH(Table2[[#Headers],[Numer of Top Slats]],Table2[#Headers],0),0)</f>
        <v>0</v>
      </c>
      <c r="AM597" s="2">
        <f>VLOOKUP([jobnumber],OvalData[],MATCH(Table2[[#Headers],[Number of Bottom Slats]],Table2[#Headers],0),0)</f>
        <v>0</v>
      </c>
      <c r="AN597" s="2">
        <f>VLOOKUP([jobnumber],OvalData[],MATCH(Table2[[#Headers],[Solid Bottom Height]],Table2[#Headers],0),0)</f>
        <v>0</v>
      </c>
      <c r="AO597" s="2" t="str">
        <f>VLOOKUP([jobnumber],OvalData[],MATCH(Table2[[#Headers],[slatlength]],Table2[#Headers],0),0)</f>
        <v xml:space="preserve"> 18 ft.- 5 7/ 8"</v>
      </c>
      <c r="AP597" s="2">
        <f>VLOOKUP([jobnumber],OvalData[],MATCH(Table2[[#Headers],[Bottom Slat Length]],Table2[#Headers],0),0)</f>
        <v>0</v>
      </c>
      <c r="AQ597" s="2">
        <f>VLOOKUP([jobnumber],OvalData[],MATCH(Table2[[#Headers],[Number of Perferated Slats]],Table2[#Headers],0),0)</f>
        <v>0</v>
      </c>
      <c r="AR597" s="2">
        <f>VLOOKUP([jobnumber],OvalData[],MATCH(Table2[[#Headers],[First Preferated Slat From End]],Table2[#Headers],0),0)</f>
        <v>0</v>
      </c>
      <c r="AS597" s="2">
        <f>VLOOKUP([jobnumber],OvalData[],MATCH(Table2[[#Headers],[First Preferated Slat From Bottom]],Table2[#Headers],0),0)</f>
        <v>0</v>
      </c>
      <c r="AT597" s="2">
        <f>VLOOKUP([jobnumber],OvalData[],MATCH(Table2[[#Headers],[Total Number of Slats]],Table2[#Headers],0),0)</f>
        <v>51</v>
      </c>
      <c r="AU597" s="2">
        <f>VLOOKUP([jobnumber],OvalData[],MATCH(Table2[[#Headers],[Bottom Bar Slope]],Table2[#Headers],0),0)</f>
        <v>0</v>
      </c>
      <c r="AV597" s="2">
        <f>VLOOKUP([jobnumber],OvalData[],MATCH(Table2[[#Headers],[Bottom Bar Weight]],Table2[#Headers],0),0)</f>
        <v>80.5</v>
      </c>
      <c r="AW597" s="2" t="str">
        <f>VLOOKUP([jobnumber],OvalData[],MATCH(Table2[[#Headers],[Outer Spring Gage]],Table2[#Headers],0),0)</f>
        <v>Null</v>
      </c>
      <c r="AX597" s="2" t="str">
        <f>VLOOKUP([jobnumber],OvalData[],MATCH(Table2[[#Headers],[Outer Spring OD]],Table2[#Headers],0),0)</f>
        <v>Null</v>
      </c>
      <c r="AY597" s="2" t="str">
        <f>VLOOKUP([jobnumber],OvalData[],MATCH(Table2[[#Headers],[Outer Spring Length]],Table2[#Headers],0),0)</f>
        <v>Null</v>
      </c>
      <c r="AZ597" s="2" t="str">
        <f>VLOOKUP([jobnumber],OvalData[],MATCH(Table2[[#Headers],[Outer Spring Stretch]],Table2[#Headers],0),0)</f>
        <v>Null</v>
      </c>
      <c r="BA597" s="2" t="str">
        <f>VLOOKUP([jobnumber],OvalData[],MATCH(Table2[[#Headers],[Outer Spring Torque]],Table2[#Headers],0),0)</f>
        <v>Null</v>
      </c>
      <c r="BB597" s="2" t="str">
        <f>VLOOKUP([jobnumber],OvalData[],MATCH(Table2[[#Headers],[Outer Spring Max Turns]],Table2[#Headers],0),0)</f>
        <v>Null</v>
      </c>
      <c r="BC597" s="2" t="str">
        <f>VLOOKUP([jobnumber],OvalData[],MATCH(Table2[[#Headers],[Outer Spring Weight]],Table2[#Headers],0),0)</f>
        <v>Null</v>
      </c>
      <c r="BD597" s="2" t="str">
        <f>VLOOKUP([jobnumber],OvalData[],MATCH(Table2[[#Headers],[Inner Spring Gage]],Table2[#Headers],0),0)</f>
        <v>Null</v>
      </c>
      <c r="BE597" s="2" t="str">
        <f>VLOOKUP([jobnumber],OvalData[],MATCH(Table2[[#Headers],[Inner Spring OD]],Table2[#Headers],0),0)</f>
        <v>Null</v>
      </c>
      <c r="BF597" s="2" t="str">
        <f>VLOOKUP([jobnumber],OvalData[],MATCH(Table2[[#Headers],[Inner Spring Length]],Table2[#Headers],0),0)</f>
        <v>Null</v>
      </c>
      <c r="BG597" s="2" t="str">
        <f>VLOOKUP([jobnumber],OvalData[],MATCH(Table2[[#Headers],[Inner Spring Stretch]],Table2[#Headers],0),0)</f>
        <v>Null</v>
      </c>
      <c r="BH597" s="2" t="str">
        <f>VLOOKUP([jobnumber],OvalData[],MATCH(Table2[[#Headers],[Inner Spring Torque]],Table2[#Headers],0),0)</f>
        <v>Null</v>
      </c>
      <c r="BI597" s="2" t="str">
        <f>VLOOKUP([jobnumber],OvalData[],MATCH(Table2[[#Headers],[Inner Spring Max Turns]],Table2[#Headers],0),0)</f>
        <v>Null</v>
      </c>
      <c r="BJ597" s="2" t="str">
        <f>VLOOKUP([jobnumber],OvalData[],MATCH(Table2[[#Headers],[Inner Spring Weight]],Table2[#Headers],0),0)</f>
        <v>Null</v>
      </c>
      <c r="BK597" s="2">
        <f>VLOOKUP([jobnumber],OvalData[],MATCH(Table2[[#Headers],[Cycles]],Table2[#Headers],0),0)</f>
        <v>0</v>
      </c>
      <c r="BL597" s="2">
        <f>VLOOKUP([jobnumber],OvalData[],MATCH(Table2[[#Headers],[Total Spring Torque]],Table2[#Headers],0),0)</f>
        <v>0</v>
      </c>
      <c r="BM597" s="2">
        <f>VLOOKUP([jobnumber],OvalData[],MATCH(Table2[[#Headers],[Total Spring Weight]],Table2[#Headers],0),0)</f>
        <v>0</v>
      </c>
      <c r="BN597" s="2">
        <f>VLOOKUP([jobnumber],OvalData[],MATCH(Table2[[#Headers],[Pipe Weight]],Table2[#Headers],0),0)</f>
        <v>688.24239999999998</v>
      </c>
      <c r="BO597" s="2">
        <f>VLOOKUP([jobnumber],OvalData[],MATCH(Table2[[#Headers],[Max Pipe Deflection]],Table2[#Headers],0),0)</f>
        <v>2309</v>
      </c>
      <c r="BP597" s="2">
        <f>VLOOKUP([jobnumber],OvalData[],MATCH(Table2[[#Headers],[Number Non-Insulated Wrap Slats]],Table2[#Headers],0),0)</f>
        <v>0</v>
      </c>
      <c r="BQ597" s="2">
        <f>VLOOKUP([jobnumber],OvalData[],MATCH(Table2[[#Headers],[Number of Insolated Top Slats]],Table2[#Headers],0),0)</f>
        <v>45</v>
      </c>
      <c r="BR597" s="2">
        <f>VLOOKUP([jobnumber],OvalData[],MATCH(Table2[[#Headers],[Insolated Total Slats]],Table2[#Headers],0),0)</f>
        <v>45</v>
      </c>
      <c r="BS597" s="2">
        <f>VLOOKUP([jobnumber],OvalData[],MATCH(Table2[[#Headers],[Number of Slats]],Table2[#Headers],0),0)</f>
        <v>44.69</v>
      </c>
      <c r="BT597" s="2">
        <f>VLOOKUP([jobnumber],OvalData[],MATCH(Table2[[#Headers],[Wrap]],Table2[#Headers],0),0)</f>
        <v>0</v>
      </c>
      <c r="BU597" s="2">
        <f>VLOOKUP([jobnumber],OvalData[],MATCH(Table2[[#Headers],[Wall Angle Thickness]],Table2[#Headers],0),0)</f>
        <v>0</v>
      </c>
      <c r="BV597" s="2">
        <f>VLOOKUP([jobnumber],OvalData[],MATCH(Table2[[#Headers],[windlocks]],Table2[#Headers],0),0)</f>
        <v>0</v>
      </c>
      <c r="BW597" s="2" t="str">
        <f>VLOOKUP([jobnumber],OvalData[],MATCH(Table2[[#Headers],[bottombartype]],Table2[#Headers],0),0)</f>
        <v>SPECIAL</v>
      </c>
      <c r="BX597" s="2">
        <f>VLOOKUP([jobnumber],OvalData[],MATCH(Table2[[#Headers],[endlockweight]],Table2[#Headers],0),0)</f>
        <v>0.17</v>
      </c>
      <c r="BY597" s="2">
        <f>VLOOKUP([jobnumber],OvalData[],MATCH(Table2[[#Headers],[Endlock Total Weight]],Table2[#Headers],0),0)</f>
        <v>7.5972999999999997</v>
      </c>
      <c r="BZ597" s="2">
        <f>VLOOKUP([jobnumber],OvalData[],MATCH(Table2[[#Headers],[Grille Weight]],Table2[#Headers],0),0)</f>
        <v>0</v>
      </c>
      <c r="CA597" s="2">
        <f>VLOOKUP([jobnumber],OvalData[],MATCH(Table2[[#Headers],[barrelrings]],Table2[#Headers],0),0)</f>
        <v>1</v>
      </c>
    </row>
    <row r="598" spans="2:79">
      <c r="B598" s="2" t="str">
        <f>VLOOKUP([jobnumber],OvalData[],MATCH(Table2[[#Headers],[Hand]],Table2[#Headers],0),0)</f>
        <v>RH</v>
      </c>
      <c r="C598" s="2" t="str">
        <f>VLOOKUP([jobnumber],OvalData[],MATCH(Table2[[#Headers],[Model]],Table2[#Headers],0),0)</f>
        <v>SFMPP</v>
      </c>
      <c r="D598" s="2" t="str">
        <f>VLOOKUP([jobnumber],OvalData[],MATCH(Table2[[#Headers],[width]],Table2[#Headers],0),0)</f>
        <v xml:space="preserve"> 18 ft.- 2"</v>
      </c>
      <c r="E598" s="2" t="str">
        <f>VLOOKUP([jobnumber],OvalData[],MATCH(Table2[[#Headers],[stopheight]],Table2[#Headers],0),0)</f>
        <v xml:space="preserve"> 10 ft.- 0"</v>
      </c>
      <c r="F598" s="2" t="str">
        <f>VLOOKUP([jobnumber],OvalData[],MATCH(Table2[[#Headers],[Between Brackets]],Table2[#Headers],0),0)</f>
        <v xml:space="preserve"> 18 ft.- 7 7/ 8"</v>
      </c>
      <c r="G598" s="2" t="str">
        <f>VLOOKUP([jobnumber],OvalData[],MATCH(Table2[[#Headers],[shell]],Table2[#Headers],0),0)</f>
        <v>6 INCH TUBE</v>
      </c>
      <c r="H598" s="2" t="str">
        <f>VLOOKUP([jobnumber],OvalData[],MATCH(Table2[[#Headers],[pipewidth]],Table2[#Headers],0),0)</f>
        <v xml:space="preserve"> 18 ft.- 1 3/ 8"</v>
      </c>
      <c r="I598" s="2">
        <f>VLOOKUP([jobnumber],OvalData[],MATCH(Table2[[#Headers],[Support Tubes]],Table2[#Headers],0),0)</f>
        <v>0</v>
      </c>
      <c r="J598" s="2">
        <f>VLOOKUP([jobnumber],OvalData[],MATCH(Table2[[#Headers],[Upset]],Table2[#Headers],0),0)</f>
        <v>2</v>
      </c>
      <c r="K598" s="2" t="str">
        <f>VLOOKUP([jobnumber],OvalData[],MATCH(Table2[[#Headers],[Guide Type]],Table2[#Headers],0),0)</f>
        <v>SN2-4 5/8-E</v>
      </c>
      <c r="L598" s="2" t="str">
        <f>VLOOKUP([jobnumber],OvalData[],MATCH(Table2[[#Headers],[Wall Angle]],Table2[#Headers],0),0)</f>
        <v xml:space="preserve"> 11 ft.- 8"</v>
      </c>
      <c r="M598" s="2" t="str">
        <f>VLOOKUP([jobnumber],OvalData[],MATCH(Table2[[#Headers],[Middle Angle]],Table2[#Headers],0),0)</f>
        <v xml:space="preserve"> 10 ft.- 4 1/ 2"</v>
      </c>
      <c r="N598" s="2" t="str">
        <f>VLOOKUP([jobnumber],OvalData[],MATCH(Table2[[#Headers],[Front Angle]],Table2[#Headers],0),0)</f>
        <v xml:space="preserve"> 10 ft.- 3"</v>
      </c>
      <c r="O598" s="2">
        <f>VLOOKUP([jobnumber],OvalData[],MATCH(Table2[[#Headers],[Pipe Center Line]],Table2[#Headers],0),0)</f>
        <v>131</v>
      </c>
      <c r="P598" s="2">
        <f>VLOOKUP([jobnumber],OvalData[],MATCH(Table2[[#Headers],[Heat Expansion Gap]],Table2[#Headers],0),0)</f>
        <v>0</v>
      </c>
      <c r="Q598" s="2">
        <f>VLOOKUP([jobnumber],OvalData[],MATCH(Table2[[#Headers],[Hanging Weight Closed]],Table2[#Headers],0),0)</f>
        <v>795</v>
      </c>
      <c r="R598" s="2">
        <f>VLOOKUP([jobnumber],OvalData[],MATCH(Table2[[#Headers],[Hanging Weight Open]],Table2[#Headers],0),0)</f>
        <v>140</v>
      </c>
      <c r="S598" s="2">
        <f>VLOOKUP([jobnumber],OvalData[],MATCH(Table2[[#Headers],[Initial Lever Arm]],Table2[#Headers],0),0)</f>
        <v>4.25</v>
      </c>
      <c r="T598" s="2">
        <f>VLOOKUP([jobnumber],OvalData[],MATCH(Table2[[#Headers],[Turns to Raise]],Table2[#Headers],0),0)</f>
        <v>3.5859999999999999</v>
      </c>
      <c r="U598" s="2">
        <f>VLOOKUP([jobnumber],OvalData[],MATCH(Table2[[#Headers],[Final Lever Arm]],Table2[#Headers],0),0)</f>
        <v>6.37</v>
      </c>
      <c r="V598" s="2">
        <f>VLOOKUP([jobnumber],OvalData[],MATCH(Table2[[#Headers],[Torque Required Closed]],Table2[#Headers],0),0)</f>
        <v>3377.9</v>
      </c>
      <c r="W598" s="2">
        <f>VLOOKUP([jobnumber],OvalData[],MATCH(Table2[[#Headers],[Torque Required Open]],Table2[#Headers],0),0)</f>
        <v>892</v>
      </c>
      <c r="X598" s="2">
        <f>VLOOKUP([jobnumber],OvalData[],MATCH(Table2[[#Headers],[Pre Turns]],Table2[#Headers],0),0)</f>
        <v>1.3332999999999999</v>
      </c>
      <c r="Y598" s="2">
        <f>VLOOKUP([jobnumber],OvalData[],MATCH(Table2[[#Headers],[Required Torque Per Turn]],Table2[#Headers],0),0)</f>
        <v>688</v>
      </c>
      <c r="Z598" s="2">
        <f>VLOOKUP([jobnumber],OvalData[],MATCH(Table2[[#Headers],[Total Turns]],Table2[#Headers],0),0)</f>
        <v>4.91</v>
      </c>
      <c r="AA598" s="2">
        <f>VLOOKUP([jobnumber],OvalData[],MATCH(Table2[[#Headers],[Grille Vision Section]],Table2[#Headers],0),0)</f>
        <v>0</v>
      </c>
      <c r="AB598" s="2">
        <f>VLOOKUP([jobnumber],OvalData[],MATCH(Table2[[#Headers],[Grille Amount]],Table2[#Headers],0),0)</f>
        <v>0</v>
      </c>
      <c r="AC598" s="2">
        <f>VLOOKUP([jobnumber],OvalData[],MATCH(Table2[[#Headers],[Grille Center]],Table2[#Headers],0),0)</f>
        <v>0</v>
      </c>
      <c r="AD598" s="2">
        <f>VLOOKUP([jobnumber],OvalData[],MATCH(Table2[[#Headers],[Grille Pattern]],Table2[#Headers],0),0)</f>
        <v>0</v>
      </c>
      <c r="AE598" s="2">
        <f>VLOOKUP([jobnumber],OvalData[],MATCH(Table2[[#Headers],[Grille First Tube]],Table2[#Headers],0),0)</f>
        <v>0</v>
      </c>
      <c r="AF598" s="2">
        <f>VLOOKUP([jobnumber],OvalData[],MATCH(Table2[[#Headers],[Grille Standard Tube]],Table2[#Headers],0),0)</f>
        <v>0</v>
      </c>
      <c r="AG598" s="2">
        <f>VLOOKUP([jobnumber],OvalData[],MATCH(Table2[[#Headers],[Grille Total Links]],Table2[#Headers],0),0)</f>
        <v>0</v>
      </c>
      <c r="AH598" s="2">
        <f>VLOOKUP([jobnumber],OvalData[],MATCH(Table2[[#Headers],[Grille Rods]],Table2[#Headers],0),0)</f>
        <v>0</v>
      </c>
      <c r="AI598" s="2">
        <f>VLOOKUP([jobnumber],OvalData[],MATCH(Table2[[#Headers],[Grille Rod Length]],Table2[#Headers],0),0)</f>
        <v>0</v>
      </c>
      <c r="AJ598" s="2">
        <f>VLOOKUP([jobnumber],OvalData[],MATCH(Table2[[#Headers],[slattype]],Table2[#Headers],0),0)</f>
        <v>2</v>
      </c>
      <c r="AK598" s="2">
        <f>VLOOKUP([jobnumber],OvalData[],MATCH(Table2[[#Headers],[slatgage]],Table2[#Headers],0),0)</f>
        <v>18</v>
      </c>
      <c r="AL598" s="2">
        <f>VLOOKUP([jobnumber],OvalData[],MATCH(Table2[[#Headers],[Numer of Top Slats]],Table2[#Headers],0),0)</f>
        <v>0</v>
      </c>
      <c r="AM598" s="2">
        <f>VLOOKUP([jobnumber],OvalData[],MATCH(Table2[[#Headers],[Number of Bottom Slats]],Table2[#Headers],0),0)</f>
        <v>0</v>
      </c>
      <c r="AN598" s="2">
        <f>VLOOKUP([jobnumber],OvalData[],MATCH(Table2[[#Headers],[Solid Bottom Height]],Table2[#Headers],0),0)</f>
        <v>0</v>
      </c>
      <c r="AO598" s="2" t="str">
        <f>VLOOKUP([jobnumber],OvalData[],MATCH(Table2[[#Headers],[slatlength]],Table2[#Headers],0),0)</f>
        <v xml:space="preserve"> 18 ft.- 5 7/ 8"</v>
      </c>
      <c r="AP598" s="2">
        <f>VLOOKUP([jobnumber],OvalData[],MATCH(Table2[[#Headers],[Bottom Slat Length]],Table2[#Headers],0),0)</f>
        <v>0</v>
      </c>
      <c r="AQ598" s="2">
        <f>VLOOKUP([jobnumber],OvalData[],MATCH(Table2[[#Headers],[Number of Perferated Slats]],Table2[#Headers],0),0)</f>
        <v>0</v>
      </c>
      <c r="AR598" s="2">
        <f>VLOOKUP([jobnumber],OvalData[],MATCH(Table2[[#Headers],[First Preferated Slat From End]],Table2[#Headers],0),0)</f>
        <v>0</v>
      </c>
      <c r="AS598" s="2">
        <f>VLOOKUP([jobnumber],OvalData[],MATCH(Table2[[#Headers],[First Preferated Slat From Bottom]],Table2[#Headers],0),0)</f>
        <v>0</v>
      </c>
      <c r="AT598" s="2">
        <f>VLOOKUP([jobnumber],OvalData[],MATCH(Table2[[#Headers],[Total Number of Slats]],Table2[#Headers],0),0)</f>
        <v>51</v>
      </c>
      <c r="AU598" s="2">
        <f>VLOOKUP([jobnumber],OvalData[],MATCH(Table2[[#Headers],[Bottom Bar Slope]],Table2[#Headers],0),0)</f>
        <v>0</v>
      </c>
      <c r="AV598" s="2">
        <f>VLOOKUP([jobnumber],OvalData[],MATCH(Table2[[#Headers],[Bottom Bar Weight]],Table2[#Headers],0),0)</f>
        <v>80.5</v>
      </c>
      <c r="AW598" s="2" t="str">
        <f>VLOOKUP([jobnumber],OvalData[],MATCH(Table2[[#Headers],[Outer Spring Gage]],Table2[#Headers],0),0)</f>
        <v>Null</v>
      </c>
      <c r="AX598" s="2" t="str">
        <f>VLOOKUP([jobnumber],OvalData[],MATCH(Table2[[#Headers],[Outer Spring OD]],Table2[#Headers],0),0)</f>
        <v>Null</v>
      </c>
      <c r="AY598" s="2" t="str">
        <f>VLOOKUP([jobnumber],OvalData[],MATCH(Table2[[#Headers],[Outer Spring Length]],Table2[#Headers],0),0)</f>
        <v>Null</v>
      </c>
      <c r="AZ598" s="2" t="str">
        <f>VLOOKUP([jobnumber],OvalData[],MATCH(Table2[[#Headers],[Outer Spring Stretch]],Table2[#Headers],0),0)</f>
        <v>Null</v>
      </c>
      <c r="BA598" s="2" t="str">
        <f>VLOOKUP([jobnumber],OvalData[],MATCH(Table2[[#Headers],[Outer Spring Torque]],Table2[#Headers],0),0)</f>
        <v>Null</v>
      </c>
      <c r="BB598" s="2" t="str">
        <f>VLOOKUP([jobnumber],OvalData[],MATCH(Table2[[#Headers],[Outer Spring Max Turns]],Table2[#Headers],0),0)</f>
        <v>Null</v>
      </c>
      <c r="BC598" s="2" t="str">
        <f>VLOOKUP([jobnumber],OvalData[],MATCH(Table2[[#Headers],[Outer Spring Weight]],Table2[#Headers],0),0)</f>
        <v>Null</v>
      </c>
      <c r="BD598" s="2" t="str">
        <f>VLOOKUP([jobnumber],OvalData[],MATCH(Table2[[#Headers],[Inner Spring Gage]],Table2[#Headers],0),0)</f>
        <v>Null</v>
      </c>
      <c r="BE598" s="2" t="str">
        <f>VLOOKUP([jobnumber],OvalData[],MATCH(Table2[[#Headers],[Inner Spring OD]],Table2[#Headers],0),0)</f>
        <v>Null</v>
      </c>
      <c r="BF598" s="2" t="str">
        <f>VLOOKUP([jobnumber],OvalData[],MATCH(Table2[[#Headers],[Inner Spring Length]],Table2[#Headers],0),0)</f>
        <v>Null</v>
      </c>
      <c r="BG598" s="2" t="str">
        <f>VLOOKUP([jobnumber],OvalData[],MATCH(Table2[[#Headers],[Inner Spring Stretch]],Table2[#Headers],0),0)</f>
        <v>Null</v>
      </c>
      <c r="BH598" s="2" t="str">
        <f>VLOOKUP([jobnumber],OvalData[],MATCH(Table2[[#Headers],[Inner Spring Torque]],Table2[#Headers],0),0)</f>
        <v>Null</v>
      </c>
      <c r="BI598" s="2" t="str">
        <f>VLOOKUP([jobnumber],OvalData[],MATCH(Table2[[#Headers],[Inner Spring Max Turns]],Table2[#Headers],0),0)</f>
        <v>Null</v>
      </c>
      <c r="BJ598" s="2" t="str">
        <f>VLOOKUP([jobnumber],OvalData[],MATCH(Table2[[#Headers],[Inner Spring Weight]],Table2[#Headers],0),0)</f>
        <v>Null</v>
      </c>
      <c r="BK598" s="2">
        <f>VLOOKUP([jobnumber],OvalData[],MATCH(Table2[[#Headers],[Cycles]],Table2[#Headers],0),0)</f>
        <v>0</v>
      </c>
      <c r="BL598" s="2">
        <f>VLOOKUP([jobnumber],OvalData[],MATCH(Table2[[#Headers],[Total Spring Torque]],Table2[#Headers],0),0)</f>
        <v>0</v>
      </c>
      <c r="BM598" s="2">
        <f>VLOOKUP([jobnumber],OvalData[],MATCH(Table2[[#Headers],[Total Spring Weight]],Table2[#Headers],0),0)</f>
        <v>0</v>
      </c>
      <c r="BN598" s="2">
        <f>VLOOKUP([jobnumber],OvalData[],MATCH(Table2[[#Headers],[Pipe Weight]],Table2[#Headers],0),0)</f>
        <v>688.24239999999998</v>
      </c>
      <c r="BO598" s="2">
        <f>VLOOKUP([jobnumber],OvalData[],MATCH(Table2[[#Headers],[Max Pipe Deflection]],Table2[#Headers],0),0)</f>
        <v>2309</v>
      </c>
      <c r="BP598" s="2">
        <f>VLOOKUP([jobnumber],OvalData[],MATCH(Table2[[#Headers],[Number Non-Insulated Wrap Slats]],Table2[#Headers],0),0)</f>
        <v>0</v>
      </c>
      <c r="BQ598" s="2">
        <f>VLOOKUP([jobnumber],OvalData[],MATCH(Table2[[#Headers],[Number of Insolated Top Slats]],Table2[#Headers],0),0)</f>
        <v>45</v>
      </c>
      <c r="BR598" s="2">
        <f>VLOOKUP([jobnumber],OvalData[],MATCH(Table2[[#Headers],[Insolated Total Slats]],Table2[#Headers],0),0)</f>
        <v>45</v>
      </c>
      <c r="BS598" s="2">
        <f>VLOOKUP([jobnumber],OvalData[],MATCH(Table2[[#Headers],[Number of Slats]],Table2[#Headers],0),0)</f>
        <v>44.69</v>
      </c>
      <c r="BT598" s="2">
        <f>VLOOKUP([jobnumber],OvalData[],MATCH(Table2[[#Headers],[Wrap]],Table2[#Headers],0),0)</f>
        <v>0</v>
      </c>
      <c r="BU598" s="2">
        <f>VLOOKUP([jobnumber],OvalData[],MATCH(Table2[[#Headers],[Wall Angle Thickness]],Table2[#Headers],0),0)</f>
        <v>0</v>
      </c>
      <c r="BV598" s="2">
        <f>VLOOKUP([jobnumber],OvalData[],MATCH(Table2[[#Headers],[windlocks]],Table2[#Headers],0),0)</f>
        <v>0</v>
      </c>
      <c r="BW598" s="2" t="str">
        <f>VLOOKUP([jobnumber],OvalData[],MATCH(Table2[[#Headers],[bottombartype]],Table2[#Headers],0),0)</f>
        <v>SPECIAL</v>
      </c>
      <c r="BX598" s="2">
        <f>VLOOKUP([jobnumber],OvalData[],MATCH(Table2[[#Headers],[endlockweight]],Table2[#Headers],0),0)</f>
        <v>0.17</v>
      </c>
      <c r="BY598" s="2">
        <f>VLOOKUP([jobnumber],OvalData[],MATCH(Table2[[#Headers],[Endlock Total Weight]],Table2[#Headers],0),0)</f>
        <v>7.5972999999999997</v>
      </c>
      <c r="BZ598" s="2">
        <f>VLOOKUP([jobnumber],OvalData[],MATCH(Table2[[#Headers],[Grille Weight]],Table2[#Headers],0),0)</f>
        <v>0</v>
      </c>
      <c r="CA598" s="2">
        <f>VLOOKUP([jobnumber],OvalData[],MATCH(Table2[[#Headers],[barrelrings]],Table2[#Headers],0),0)</f>
        <v>1</v>
      </c>
    </row>
    <row r="599" spans="2:79">
      <c r="B599" s="2" t="str">
        <f>VLOOKUP([jobnumber],OvalData[],MATCH(Table2[[#Headers],[Hand]],Table2[#Headers],0),0)</f>
        <v>RH</v>
      </c>
      <c r="C599" s="2" t="str">
        <f>VLOOKUP([jobnumber],OvalData[],MATCH(Table2[[#Headers],[Model]],Table2[#Headers],0),0)</f>
        <v>SFMPP</v>
      </c>
      <c r="D599" s="2" t="str">
        <f>VLOOKUP([jobnumber],OvalData[],MATCH(Table2[[#Headers],[width]],Table2[#Headers],0),0)</f>
        <v xml:space="preserve"> 18 ft.- 2"</v>
      </c>
      <c r="E599" s="2" t="str">
        <f>VLOOKUP([jobnumber],OvalData[],MATCH(Table2[[#Headers],[stopheight]],Table2[#Headers],0),0)</f>
        <v xml:space="preserve"> 10 ft.- 0"</v>
      </c>
      <c r="F599" s="2" t="str">
        <f>VLOOKUP([jobnumber],OvalData[],MATCH(Table2[[#Headers],[Between Brackets]],Table2[#Headers],0),0)</f>
        <v xml:space="preserve"> 18 ft.- 7 7/ 8"</v>
      </c>
      <c r="G599" s="2" t="str">
        <f>VLOOKUP([jobnumber],OvalData[],MATCH(Table2[[#Headers],[shell]],Table2[#Headers],0),0)</f>
        <v>6 INCH TUBE</v>
      </c>
      <c r="H599" s="2" t="str">
        <f>VLOOKUP([jobnumber],OvalData[],MATCH(Table2[[#Headers],[pipewidth]],Table2[#Headers],0),0)</f>
        <v xml:space="preserve"> 18 ft.- 1 3/ 8"</v>
      </c>
      <c r="I599" s="2">
        <f>VLOOKUP([jobnumber],OvalData[],MATCH(Table2[[#Headers],[Support Tubes]],Table2[#Headers],0),0)</f>
        <v>0</v>
      </c>
      <c r="J599" s="2">
        <f>VLOOKUP([jobnumber],OvalData[],MATCH(Table2[[#Headers],[Upset]],Table2[#Headers],0),0)</f>
        <v>2</v>
      </c>
      <c r="K599" s="2" t="str">
        <f>VLOOKUP([jobnumber],OvalData[],MATCH(Table2[[#Headers],[Guide Type]],Table2[#Headers],0),0)</f>
        <v>SN2-4 5/8-E</v>
      </c>
      <c r="L599" s="2" t="str">
        <f>VLOOKUP([jobnumber],OvalData[],MATCH(Table2[[#Headers],[Wall Angle]],Table2[#Headers],0),0)</f>
        <v xml:space="preserve"> 11 ft.- 8"</v>
      </c>
      <c r="M599" s="2" t="str">
        <f>VLOOKUP([jobnumber],OvalData[],MATCH(Table2[[#Headers],[Middle Angle]],Table2[#Headers],0),0)</f>
        <v xml:space="preserve"> 10 ft.- 4 1/ 2"</v>
      </c>
      <c r="N599" s="2" t="str">
        <f>VLOOKUP([jobnumber],OvalData[],MATCH(Table2[[#Headers],[Front Angle]],Table2[#Headers],0),0)</f>
        <v xml:space="preserve"> 10 ft.- 3"</v>
      </c>
      <c r="O599" s="2">
        <f>VLOOKUP([jobnumber],OvalData[],MATCH(Table2[[#Headers],[Pipe Center Line]],Table2[#Headers],0),0)</f>
        <v>131</v>
      </c>
      <c r="P599" s="2">
        <f>VLOOKUP([jobnumber],OvalData[],MATCH(Table2[[#Headers],[Heat Expansion Gap]],Table2[#Headers],0),0)</f>
        <v>0</v>
      </c>
      <c r="Q599" s="2">
        <f>VLOOKUP([jobnumber],OvalData[],MATCH(Table2[[#Headers],[Hanging Weight Closed]],Table2[#Headers],0),0)</f>
        <v>795</v>
      </c>
      <c r="R599" s="2">
        <f>VLOOKUP([jobnumber],OvalData[],MATCH(Table2[[#Headers],[Hanging Weight Open]],Table2[#Headers],0),0)</f>
        <v>140</v>
      </c>
      <c r="S599" s="2">
        <f>VLOOKUP([jobnumber],OvalData[],MATCH(Table2[[#Headers],[Initial Lever Arm]],Table2[#Headers],0),0)</f>
        <v>4.25</v>
      </c>
      <c r="T599" s="2">
        <f>VLOOKUP([jobnumber],OvalData[],MATCH(Table2[[#Headers],[Turns to Raise]],Table2[#Headers],0),0)</f>
        <v>3.5859999999999999</v>
      </c>
      <c r="U599" s="2">
        <f>VLOOKUP([jobnumber],OvalData[],MATCH(Table2[[#Headers],[Final Lever Arm]],Table2[#Headers],0),0)</f>
        <v>6.37</v>
      </c>
      <c r="V599" s="2">
        <f>VLOOKUP([jobnumber],OvalData[],MATCH(Table2[[#Headers],[Torque Required Closed]],Table2[#Headers],0),0)</f>
        <v>3377.9</v>
      </c>
      <c r="W599" s="2">
        <f>VLOOKUP([jobnumber],OvalData[],MATCH(Table2[[#Headers],[Torque Required Open]],Table2[#Headers],0),0)</f>
        <v>892</v>
      </c>
      <c r="X599" s="2">
        <f>VLOOKUP([jobnumber],OvalData[],MATCH(Table2[[#Headers],[Pre Turns]],Table2[#Headers],0),0)</f>
        <v>1.3332999999999999</v>
      </c>
      <c r="Y599" s="2">
        <f>VLOOKUP([jobnumber],OvalData[],MATCH(Table2[[#Headers],[Required Torque Per Turn]],Table2[#Headers],0),0)</f>
        <v>688</v>
      </c>
      <c r="Z599" s="2">
        <f>VLOOKUP([jobnumber],OvalData[],MATCH(Table2[[#Headers],[Total Turns]],Table2[#Headers],0),0)</f>
        <v>4.91</v>
      </c>
      <c r="AA599" s="2">
        <f>VLOOKUP([jobnumber],OvalData[],MATCH(Table2[[#Headers],[Grille Vision Section]],Table2[#Headers],0),0)</f>
        <v>0</v>
      </c>
      <c r="AB599" s="2">
        <f>VLOOKUP([jobnumber],OvalData[],MATCH(Table2[[#Headers],[Grille Amount]],Table2[#Headers],0),0)</f>
        <v>0</v>
      </c>
      <c r="AC599" s="2">
        <f>VLOOKUP([jobnumber],OvalData[],MATCH(Table2[[#Headers],[Grille Center]],Table2[#Headers],0),0)</f>
        <v>0</v>
      </c>
      <c r="AD599" s="2">
        <f>VLOOKUP([jobnumber],OvalData[],MATCH(Table2[[#Headers],[Grille Pattern]],Table2[#Headers],0),0)</f>
        <v>0</v>
      </c>
      <c r="AE599" s="2">
        <f>VLOOKUP([jobnumber],OvalData[],MATCH(Table2[[#Headers],[Grille First Tube]],Table2[#Headers],0),0)</f>
        <v>0</v>
      </c>
      <c r="AF599" s="2">
        <f>VLOOKUP([jobnumber],OvalData[],MATCH(Table2[[#Headers],[Grille Standard Tube]],Table2[#Headers],0),0)</f>
        <v>0</v>
      </c>
      <c r="AG599" s="2">
        <f>VLOOKUP([jobnumber],OvalData[],MATCH(Table2[[#Headers],[Grille Total Links]],Table2[#Headers],0),0)</f>
        <v>0</v>
      </c>
      <c r="AH599" s="2">
        <f>VLOOKUP([jobnumber],OvalData[],MATCH(Table2[[#Headers],[Grille Rods]],Table2[#Headers],0),0)</f>
        <v>0</v>
      </c>
      <c r="AI599" s="2">
        <f>VLOOKUP([jobnumber],OvalData[],MATCH(Table2[[#Headers],[Grille Rod Length]],Table2[#Headers],0),0)</f>
        <v>0</v>
      </c>
      <c r="AJ599" s="2">
        <f>VLOOKUP([jobnumber],OvalData[],MATCH(Table2[[#Headers],[slattype]],Table2[#Headers],0),0)</f>
        <v>2</v>
      </c>
      <c r="AK599" s="2">
        <f>VLOOKUP([jobnumber],OvalData[],MATCH(Table2[[#Headers],[slatgage]],Table2[#Headers],0),0)</f>
        <v>18</v>
      </c>
      <c r="AL599" s="2">
        <f>VLOOKUP([jobnumber],OvalData[],MATCH(Table2[[#Headers],[Numer of Top Slats]],Table2[#Headers],0),0)</f>
        <v>0</v>
      </c>
      <c r="AM599" s="2">
        <f>VLOOKUP([jobnumber],OvalData[],MATCH(Table2[[#Headers],[Number of Bottom Slats]],Table2[#Headers],0),0)</f>
        <v>0</v>
      </c>
      <c r="AN599" s="2">
        <f>VLOOKUP([jobnumber],OvalData[],MATCH(Table2[[#Headers],[Solid Bottom Height]],Table2[#Headers],0),0)</f>
        <v>0</v>
      </c>
      <c r="AO599" s="2" t="str">
        <f>VLOOKUP([jobnumber],OvalData[],MATCH(Table2[[#Headers],[slatlength]],Table2[#Headers],0),0)</f>
        <v xml:space="preserve"> 18 ft.- 5 7/ 8"</v>
      </c>
      <c r="AP599" s="2">
        <f>VLOOKUP([jobnumber],OvalData[],MATCH(Table2[[#Headers],[Bottom Slat Length]],Table2[#Headers],0),0)</f>
        <v>0</v>
      </c>
      <c r="AQ599" s="2">
        <f>VLOOKUP([jobnumber],OvalData[],MATCH(Table2[[#Headers],[Number of Perferated Slats]],Table2[#Headers],0),0)</f>
        <v>0</v>
      </c>
      <c r="AR599" s="2">
        <f>VLOOKUP([jobnumber],OvalData[],MATCH(Table2[[#Headers],[First Preferated Slat From End]],Table2[#Headers],0),0)</f>
        <v>0</v>
      </c>
      <c r="AS599" s="2">
        <f>VLOOKUP([jobnumber],OvalData[],MATCH(Table2[[#Headers],[First Preferated Slat From Bottom]],Table2[#Headers],0),0)</f>
        <v>0</v>
      </c>
      <c r="AT599" s="2">
        <f>VLOOKUP([jobnumber],OvalData[],MATCH(Table2[[#Headers],[Total Number of Slats]],Table2[#Headers],0),0)</f>
        <v>51</v>
      </c>
      <c r="AU599" s="2">
        <f>VLOOKUP([jobnumber],OvalData[],MATCH(Table2[[#Headers],[Bottom Bar Slope]],Table2[#Headers],0),0)</f>
        <v>0</v>
      </c>
      <c r="AV599" s="2">
        <f>VLOOKUP([jobnumber],OvalData[],MATCH(Table2[[#Headers],[Bottom Bar Weight]],Table2[#Headers],0),0)</f>
        <v>80.5</v>
      </c>
      <c r="AW599" s="2" t="str">
        <f>VLOOKUP([jobnumber],OvalData[],MATCH(Table2[[#Headers],[Outer Spring Gage]],Table2[#Headers],0),0)</f>
        <v>Null</v>
      </c>
      <c r="AX599" s="2" t="str">
        <f>VLOOKUP([jobnumber],OvalData[],MATCH(Table2[[#Headers],[Outer Spring OD]],Table2[#Headers],0),0)</f>
        <v>Null</v>
      </c>
      <c r="AY599" s="2" t="str">
        <f>VLOOKUP([jobnumber],OvalData[],MATCH(Table2[[#Headers],[Outer Spring Length]],Table2[#Headers],0),0)</f>
        <v>Null</v>
      </c>
      <c r="AZ599" s="2" t="str">
        <f>VLOOKUP([jobnumber],OvalData[],MATCH(Table2[[#Headers],[Outer Spring Stretch]],Table2[#Headers],0),0)</f>
        <v>Null</v>
      </c>
      <c r="BA599" s="2" t="str">
        <f>VLOOKUP([jobnumber],OvalData[],MATCH(Table2[[#Headers],[Outer Spring Torque]],Table2[#Headers],0),0)</f>
        <v>Null</v>
      </c>
      <c r="BB599" s="2" t="str">
        <f>VLOOKUP([jobnumber],OvalData[],MATCH(Table2[[#Headers],[Outer Spring Max Turns]],Table2[#Headers],0),0)</f>
        <v>Null</v>
      </c>
      <c r="BC599" s="2" t="str">
        <f>VLOOKUP([jobnumber],OvalData[],MATCH(Table2[[#Headers],[Outer Spring Weight]],Table2[#Headers],0),0)</f>
        <v>Null</v>
      </c>
      <c r="BD599" s="2" t="str">
        <f>VLOOKUP([jobnumber],OvalData[],MATCH(Table2[[#Headers],[Inner Spring Gage]],Table2[#Headers],0),0)</f>
        <v>Null</v>
      </c>
      <c r="BE599" s="2" t="str">
        <f>VLOOKUP([jobnumber],OvalData[],MATCH(Table2[[#Headers],[Inner Spring OD]],Table2[#Headers],0),0)</f>
        <v>Null</v>
      </c>
      <c r="BF599" s="2" t="str">
        <f>VLOOKUP([jobnumber],OvalData[],MATCH(Table2[[#Headers],[Inner Spring Length]],Table2[#Headers],0),0)</f>
        <v>Null</v>
      </c>
      <c r="BG599" s="2" t="str">
        <f>VLOOKUP([jobnumber],OvalData[],MATCH(Table2[[#Headers],[Inner Spring Stretch]],Table2[#Headers],0),0)</f>
        <v>Null</v>
      </c>
      <c r="BH599" s="2" t="str">
        <f>VLOOKUP([jobnumber],OvalData[],MATCH(Table2[[#Headers],[Inner Spring Torque]],Table2[#Headers],0),0)</f>
        <v>Null</v>
      </c>
      <c r="BI599" s="2" t="str">
        <f>VLOOKUP([jobnumber],OvalData[],MATCH(Table2[[#Headers],[Inner Spring Max Turns]],Table2[#Headers],0),0)</f>
        <v>Null</v>
      </c>
      <c r="BJ599" s="2" t="str">
        <f>VLOOKUP([jobnumber],OvalData[],MATCH(Table2[[#Headers],[Inner Spring Weight]],Table2[#Headers],0),0)</f>
        <v>Null</v>
      </c>
      <c r="BK599" s="2">
        <f>VLOOKUP([jobnumber],OvalData[],MATCH(Table2[[#Headers],[Cycles]],Table2[#Headers],0),0)</f>
        <v>0</v>
      </c>
      <c r="BL599" s="2">
        <f>VLOOKUP([jobnumber],OvalData[],MATCH(Table2[[#Headers],[Total Spring Torque]],Table2[#Headers],0),0)</f>
        <v>0</v>
      </c>
      <c r="BM599" s="2">
        <f>VLOOKUP([jobnumber],OvalData[],MATCH(Table2[[#Headers],[Total Spring Weight]],Table2[#Headers],0),0)</f>
        <v>0</v>
      </c>
      <c r="BN599" s="2">
        <f>VLOOKUP([jobnumber],OvalData[],MATCH(Table2[[#Headers],[Pipe Weight]],Table2[#Headers],0),0)</f>
        <v>688.24239999999998</v>
      </c>
      <c r="BO599" s="2">
        <f>VLOOKUP([jobnumber],OvalData[],MATCH(Table2[[#Headers],[Max Pipe Deflection]],Table2[#Headers],0),0)</f>
        <v>2309</v>
      </c>
      <c r="BP599" s="2">
        <f>VLOOKUP([jobnumber],OvalData[],MATCH(Table2[[#Headers],[Number Non-Insulated Wrap Slats]],Table2[#Headers],0),0)</f>
        <v>0</v>
      </c>
      <c r="BQ599" s="2">
        <f>VLOOKUP([jobnumber],OvalData[],MATCH(Table2[[#Headers],[Number of Insolated Top Slats]],Table2[#Headers],0),0)</f>
        <v>45</v>
      </c>
      <c r="BR599" s="2">
        <f>VLOOKUP([jobnumber],OvalData[],MATCH(Table2[[#Headers],[Insolated Total Slats]],Table2[#Headers],0),0)</f>
        <v>45</v>
      </c>
      <c r="BS599" s="2">
        <f>VLOOKUP([jobnumber],OvalData[],MATCH(Table2[[#Headers],[Number of Slats]],Table2[#Headers],0),0)</f>
        <v>44.69</v>
      </c>
      <c r="BT599" s="2">
        <f>VLOOKUP([jobnumber],OvalData[],MATCH(Table2[[#Headers],[Wrap]],Table2[#Headers],0),0)</f>
        <v>0</v>
      </c>
      <c r="BU599" s="2">
        <f>VLOOKUP([jobnumber],OvalData[],MATCH(Table2[[#Headers],[Wall Angle Thickness]],Table2[#Headers],0),0)</f>
        <v>0</v>
      </c>
      <c r="BV599" s="2">
        <f>VLOOKUP([jobnumber],OvalData[],MATCH(Table2[[#Headers],[windlocks]],Table2[#Headers],0),0)</f>
        <v>0</v>
      </c>
      <c r="BW599" s="2" t="str">
        <f>VLOOKUP([jobnumber],OvalData[],MATCH(Table2[[#Headers],[bottombartype]],Table2[#Headers],0),0)</f>
        <v>SPECIAL</v>
      </c>
      <c r="BX599" s="2">
        <f>VLOOKUP([jobnumber],OvalData[],MATCH(Table2[[#Headers],[endlockweight]],Table2[#Headers],0),0)</f>
        <v>0.17</v>
      </c>
      <c r="BY599" s="2">
        <f>VLOOKUP([jobnumber],OvalData[],MATCH(Table2[[#Headers],[Endlock Total Weight]],Table2[#Headers],0),0)</f>
        <v>7.5972999999999997</v>
      </c>
      <c r="BZ599" s="2">
        <f>VLOOKUP([jobnumber],OvalData[],MATCH(Table2[[#Headers],[Grille Weight]],Table2[#Headers],0),0)</f>
        <v>0</v>
      </c>
      <c r="CA599" s="2">
        <f>VLOOKUP([jobnumber],OvalData[],MATCH(Table2[[#Headers],[barrelrings]],Table2[#Headers],0),0)</f>
        <v>1</v>
      </c>
    </row>
    <row r="600" spans="2:79">
      <c r="B600" s="2" t="str">
        <f>VLOOKUP([jobnumber],OvalData[],MATCH(Table2[[#Headers],[Hand]],Table2[#Headers],0),0)</f>
        <v>RH</v>
      </c>
      <c r="C600" s="2" t="str">
        <f>VLOOKUP([jobnumber],OvalData[],MATCH(Table2[[#Headers],[Model]],Table2[#Headers],0),0)</f>
        <v>SFMPP</v>
      </c>
      <c r="D600" s="2" t="str">
        <f>VLOOKUP([jobnumber],OvalData[],MATCH(Table2[[#Headers],[width]],Table2[#Headers],0),0)</f>
        <v xml:space="preserve"> 18 ft.- 2"</v>
      </c>
      <c r="E600" s="2" t="str">
        <f>VLOOKUP([jobnumber],OvalData[],MATCH(Table2[[#Headers],[stopheight]],Table2[#Headers],0),0)</f>
        <v xml:space="preserve"> 10 ft.- 0"</v>
      </c>
      <c r="F600" s="2" t="str">
        <f>VLOOKUP([jobnumber],OvalData[],MATCH(Table2[[#Headers],[Between Brackets]],Table2[#Headers],0),0)</f>
        <v xml:space="preserve"> 18 ft.- 7 7/ 8"</v>
      </c>
      <c r="G600" s="2" t="str">
        <f>VLOOKUP([jobnumber],OvalData[],MATCH(Table2[[#Headers],[shell]],Table2[#Headers],0),0)</f>
        <v>6 INCH TUBE</v>
      </c>
      <c r="H600" s="2" t="str">
        <f>VLOOKUP([jobnumber],OvalData[],MATCH(Table2[[#Headers],[pipewidth]],Table2[#Headers],0),0)</f>
        <v xml:space="preserve"> 18 ft.- 1 3/ 8"</v>
      </c>
      <c r="I600" s="2">
        <f>VLOOKUP([jobnumber],OvalData[],MATCH(Table2[[#Headers],[Support Tubes]],Table2[#Headers],0),0)</f>
        <v>0</v>
      </c>
      <c r="J600" s="2">
        <f>VLOOKUP([jobnumber],OvalData[],MATCH(Table2[[#Headers],[Upset]],Table2[#Headers],0),0)</f>
        <v>2</v>
      </c>
      <c r="K600" s="2" t="str">
        <f>VLOOKUP([jobnumber],OvalData[],MATCH(Table2[[#Headers],[Guide Type]],Table2[#Headers],0),0)</f>
        <v>SN2-4 5/8-E</v>
      </c>
      <c r="L600" s="2" t="str">
        <f>VLOOKUP([jobnumber],OvalData[],MATCH(Table2[[#Headers],[Wall Angle]],Table2[#Headers],0),0)</f>
        <v xml:space="preserve"> 11 ft.- 8"</v>
      </c>
      <c r="M600" s="2" t="str">
        <f>VLOOKUP([jobnumber],OvalData[],MATCH(Table2[[#Headers],[Middle Angle]],Table2[#Headers],0),0)</f>
        <v xml:space="preserve"> 10 ft.- 4 1/ 2"</v>
      </c>
      <c r="N600" s="2" t="str">
        <f>VLOOKUP([jobnumber],OvalData[],MATCH(Table2[[#Headers],[Front Angle]],Table2[#Headers],0),0)</f>
        <v xml:space="preserve"> 10 ft.- 3"</v>
      </c>
      <c r="O600" s="2">
        <f>VLOOKUP([jobnumber],OvalData[],MATCH(Table2[[#Headers],[Pipe Center Line]],Table2[#Headers],0),0)</f>
        <v>131</v>
      </c>
      <c r="P600" s="2">
        <f>VLOOKUP([jobnumber],OvalData[],MATCH(Table2[[#Headers],[Heat Expansion Gap]],Table2[#Headers],0),0)</f>
        <v>0</v>
      </c>
      <c r="Q600" s="2">
        <f>VLOOKUP([jobnumber],OvalData[],MATCH(Table2[[#Headers],[Hanging Weight Closed]],Table2[#Headers],0),0)</f>
        <v>795</v>
      </c>
      <c r="R600" s="2">
        <f>VLOOKUP([jobnumber],OvalData[],MATCH(Table2[[#Headers],[Hanging Weight Open]],Table2[#Headers],0),0)</f>
        <v>140</v>
      </c>
      <c r="S600" s="2">
        <f>VLOOKUP([jobnumber],OvalData[],MATCH(Table2[[#Headers],[Initial Lever Arm]],Table2[#Headers],0),0)</f>
        <v>4.25</v>
      </c>
      <c r="T600" s="2">
        <f>VLOOKUP([jobnumber],OvalData[],MATCH(Table2[[#Headers],[Turns to Raise]],Table2[#Headers],0),0)</f>
        <v>3.5859999999999999</v>
      </c>
      <c r="U600" s="2">
        <f>VLOOKUP([jobnumber],OvalData[],MATCH(Table2[[#Headers],[Final Lever Arm]],Table2[#Headers],0),0)</f>
        <v>6.37</v>
      </c>
      <c r="V600" s="2">
        <f>VLOOKUP([jobnumber],OvalData[],MATCH(Table2[[#Headers],[Torque Required Closed]],Table2[#Headers],0),0)</f>
        <v>3377.9</v>
      </c>
      <c r="W600" s="2">
        <f>VLOOKUP([jobnumber],OvalData[],MATCH(Table2[[#Headers],[Torque Required Open]],Table2[#Headers],0),0)</f>
        <v>892</v>
      </c>
      <c r="X600" s="2">
        <f>VLOOKUP([jobnumber],OvalData[],MATCH(Table2[[#Headers],[Pre Turns]],Table2[#Headers],0),0)</f>
        <v>1.3332999999999999</v>
      </c>
      <c r="Y600" s="2">
        <f>VLOOKUP([jobnumber],OvalData[],MATCH(Table2[[#Headers],[Required Torque Per Turn]],Table2[#Headers],0),0)</f>
        <v>688</v>
      </c>
      <c r="Z600" s="2">
        <f>VLOOKUP([jobnumber],OvalData[],MATCH(Table2[[#Headers],[Total Turns]],Table2[#Headers],0),0)</f>
        <v>4.91</v>
      </c>
      <c r="AA600" s="2">
        <f>VLOOKUP([jobnumber],OvalData[],MATCH(Table2[[#Headers],[Grille Vision Section]],Table2[#Headers],0),0)</f>
        <v>0</v>
      </c>
      <c r="AB600" s="2">
        <f>VLOOKUP([jobnumber],OvalData[],MATCH(Table2[[#Headers],[Grille Amount]],Table2[#Headers],0),0)</f>
        <v>0</v>
      </c>
      <c r="AC600" s="2">
        <f>VLOOKUP([jobnumber],OvalData[],MATCH(Table2[[#Headers],[Grille Center]],Table2[#Headers],0),0)</f>
        <v>0</v>
      </c>
      <c r="AD600" s="2">
        <f>VLOOKUP([jobnumber],OvalData[],MATCH(Table2[[#Headers],[Grille Pattern]],Table2[#Headers],0),0)</f>
        <v>0</v>
      </c>
      <c r="AE600" s="2">
        <f>VLOOKUP([jobnumber],OvalData[],MATCH(Table2[[#Headers],[Grille First Tube]],Table2[#Headers],0),0)</f>
        <v>0</v>
      </c>
      <c r="AF600" s="2">
        <f>VLOOKUP([jobnumber],OvalData[],MATCH(Table2[[#Headers],[Grille Standard Tube]],Table2[#Headers],0),0)</f>
        <v>0</v>
      </c>
      <c r="AG600" s="2">
        <f>VLOOKUP([jobnumber],OvalData[],MATCH(Table2[[#Headers],[Grille Total Links]],Table2[#Headers],0),0)</f>
        <v>0</v>
      </c>
      <c r="AH600" s="2">
        <f>VLOOKUP([jobnumber],OvalData[],MATCH(Table2[[#Headers],[Grille Rods]],Table2[#Headers],0),0)</f>
        <v>0</v>
      </c>
      <c r="AI600" s="2">
        <f>VLOOKUP([jobnumber],OvalData[],MATCH(Table2[[#Headers],[Grille Rod Length]],Table2[#Headers],0),0)</f>
        <v>0</v>
      </c>
      <c r="AJ600" s="2">
        <f>VLOOKUP([jobnumber],OvalData[],MATCH(Table2[[#Headers],[slattype]],Table2[#Headers],0),0)</f>
        <v>2</v>
      </c>
      <c r="AK600" s="2">
        <f>VLOOKUP([jobnumber],OvalData[],MATCH(Table2[[#Headers],[slatgage]],Table2[#Headers],0),0)</f>
        <v>18</v>
      </c>
      <c r="AL600" s="2">
        <f>VLOOKUP([jobnumber],OvalData[],MATCH(Table2[[#Headers],[Numer of Top Slats]],Table2[#Headers],0),0)</f>
        <v>0</v>
      </c>
      <c r="AM600" s="2">
        <f>VLOOKUP([jobnumber],OvalData[],MATCH(Table2[[#Headers],[Number of Bottom Slats]],Table2[#Headers],0),0)</f>
        <v>0</v>
      </c>
      <c r="AN600" s="2">
        <f>VLOOKUP([jobnumber],OvalData[],MATCH(Table2[[#Headers],[Solid Bottom Height]],Table2[#Headers],0),0)</f>
        <v>0</v>
      </c>
      <c r="AO600" s="2" t="str">
        <f>VLOOKUP([jobnumber],OvalData[],MATCH(Table2[[#Headers],[slatlength]],Table2[#Headers],0),0)</f>
        <v xml:space="preserve"> 18 ft.- 5 7/ 8"</v>
      </c>
      <c r="AP600" s="2">
        <f>VLOOKUP([jobnumber],OvalData[],MATCH(Table2[[#Headers],[Bottom Slat Length]],Table2[#Headers],0),0)</f>
        <v>0</v>
      </c>
      <c r="AQ600" s="2">
        <f>VLOOKUP([jobnumber],OvalData[],MATCH(Table2[[#Headers],[Number of Perferated Slats]],Table2[#Headers],0),0)</f>
        <v>0</v>
      </c>
      <c r="AR600" s="2">
        <f>VLOOKUP([jobnumber],OvalData[],MATCH(Table2[[#Headers],[First Preferated Slat From End]],Table2[#Headers],0),0)</f>
        <v>0</v>
      </c>
      <c r="AS600" s="2">
        <f>VLOOKUP([jobnumber],OvalData[],MATCH(Table2[[#Headers],[First Preferated Slat From Bottom]],Table2[#Headers],0),0)</f>
        <v>0</v>
      </c>
      <c r="AT600" s="2">
        <f>VLOOKUP([jobnumber],OvalData[],MATCH(Table2[[#Headers],[Total Number of Slats]],Table2[#Headers],0),0)</f>
        <v>51</v>
      </c>
      <c r="AU600" s="2">
        <f>VLOOKUP([jobnumber],OvalData[],MATCH(Table2[[#Headers],[Bottom Bar Slope]],Table2[#Headers],0),0)</f>
        <v>0</v>
      </c>
      <c r="AV600" s="2">
        <f>VLOOKUP([jobnumber],OvalData[],MATCH(Table2[[#Headers],[Bottom Bar Weight]],Table2[#Headers],0),0)</f>
        <v>80.5</v>
      </c>
      <c r="AW600" s="2" t="str">
        <f>VLOOKUP([jobnumber],OvalData[],MATCH(Table2[[#Headers],[Outer Spring Gage]],Table2[#Headers],0),0)</f>
        <v>Null</v>
      </c>
      <c r="AX600" s="2" t="str">
        <f>VLOOKUP([jobnumber],OvalData[],MATCH(Table2[[#Headers],[Outer Spring OD]],Table2[#Headers],0),0)</f>
        <v>Null</v>
      </c>
      <c r="AY600" s="2" t="str">
        <f>VLOOKUP([jobnumber],OvalData[],MATCH(Table2[[#Headers],[Outer Spring Length]],Table2[#Headers],0),0)</f>
        <v>Null</v>
      </c>
      <c r="AZ600" s="2" t="str">
        <f>VLOOKUP([jobnumber],OvalData[],MATCH(Table2[[#Headers],[Outer Spring Stretch]],Table2[#Headers],0),0)</f>
        <v>Null</v>
      </c>
      <c r="BA600" s="2" t="str">
        <f>VLOOKUP([jobnumber],OvalData[],MATCH(Table2[[#Headers],[Outer Spring Torque]],Table2[#Headers],0),0)</f>
        <v>Null</v>
      </c>
      <c r="BB600" s="2" t="str">
        <f>VLOOKUP([jobnumber],OvalData[],MATCH(Table2[[#Headers],[Outer Spring Max Turns]],Table2[#Headers],0),0)</f>
        <v>Null</v>
      </c>
      <c r="BC600" s="2" t="str">
        <f>VLOOKUP([jobnumber],OvalData[],MATCH(Table2[[#Headers],[Outer Spring Weight]],Table2[#Headers],0),0)</f>
        <v>Null</v>
      </c>
      <c r="BD600" s="2" t="str">
        <f>VLOOKUP([jobnumber],OvalData[],MATCH(Table2[[#Headers],[Inner Spring Gage]],Table2[#Headers],0),0)</f>
        <v>Null</v>
      </c>
      <c r="BE600" s="2" t="str">
        <f>VLOOKUP([jobnumber],OvalData[],MATCH(Table2[[#Headers],[Inner Spring OD]],Table2[#Headers],0),0)</f>
        <v>Null</v>
      </c>
      <c r="BF600" s="2" t="str">
        <f>VLOOKUP([jobnumber],OvalData[],MATCH(Table2[[#Headers],[Inner Spring Length]],Table2[#Headers],0),0)</f>
        <v>Null</v>
      </c>
      <c r="BG600" s="2" t="str">
        <f>VLOOKUP([jobnumber],OvalData[],MATCH(Table2[[#Headers],[Inner Spring Stretch]],Table2[#Headers],0),0)</f>
        <v>Null</v>
      </c>
      <c r="BH600" s="2" t="str">
        <f>VLOOKUP([jobnumber],OvalData[],MATCH(Table2[[#Headers],[Inner Spring Torque]],Table2[#Headers],0),0)</f>
        <v>Null</v>
      </c>
      <c r="BI600" s="2" t="str">
        <f>VLOOKUP([jobnumber],OvalData[],MATCH(Table2[[#Headers],[Inner Spring Max Turns]],Table2[#Headers],0),0)</f>
        <v>Null</v>
      </c>
      <c r="BJ600" s="2" t="str">
        <f>VLOOKUP([jobnumber],OvalData[],MATCH(Table2[[#Headers],[Inner Spring Weight]],Table2[#Headers],0),0)</f>
        <v>Null</v>
      </c>
      <c r="BK600" s="2">
        <f>VLOOKUP([jobnumber],OvalData[],MATCH(Table2[[#Headers],[Cycles]],Table2[#Headers],0),0)</f>
        <v>0</v>
      </c>
      <c r="BL600" s="2">
        <f>VLOOKUP([jobnumber],OvalData[],MATCH(Table2[[#Headers],[Total Spring Torque]],Table2[#Headers],0),0)</f>
        <v>0</v>
      </c>
      <c r="BM600" s="2">
        <f>VLOOKUP([jobnumber],OvalData[],MATCH(Table2[[#Headers],[Total Spring Weight]],Table2[#Headers],0),0)</f>
        <v>0</v>
      </c>
      <c r="BN600" s="2">
        <f>VLOOKUP([jobnumber],OvalData[],MATCH(Table2[[#Headers],[Pipe Weight]],Table2[#Headers],0),0)</f>
        <v>688.24239999999998</v>
      </c>
      <c r="BO600" s="2">
        <f>VLOOKUP([jobnumber],OvalData[],MATCH(Table2[[#Headers],[Max Pipe Deflection]],Table2[#Headers],0),0)</f>
        <v>2309</v>
      </c>
      <c r="BP600" s="2">
        <f>VLOOKUP([jobnumber],OvalData[],MATCH(Table2[[#Headers],[Number Non-Insulated Wrap Slats]],Table2[#Headers],0),0)</f>
        <v>0</v>
      </c>
      <c r="BQ600" s="2">
        <f>VLOOKUP([jobnumber],OvalData[],MATCH(Table2[[#Headers],[Number of Insolated Top Slats]],Table2[#Headers],0),0)</f>
        <v>45</v>
      </c>
      <c r="BR600" s="2">
        <f>VLOOKUP([jobnumber],OvalData[],MATCH(Table2[[#Headers],[Insolated Total Slats]],Table2[#Headers],0),0)</f>
        <v>45</v>
      </c>
      <c r="BS600" s="2">
        <f>VLOOKUP([jobnumber],OvalData[],MATCH(Table2[[#Headers],[Number of Slats]],Table2[#Headers],0),0)</f>
        <v>44.69</v>
      </c>
      <c r="BT600" s="2">
        <f>VLOOKUP([jobnumber],OvalData[],MATCH(Table2[[#Headers],[Wrap]],Table2[#Headers],0),0)</f>
        <v>0</v>
      </c>
      <c r="BU600" s="2">
        <f>VLOOKUP([jobnumber],OvalData[],MATCH(Table2[[#Headers],[Wall Angle Thickness]],Table2[#Headers],0),0)</f>
        <v>0</v>
      </c>
      <c r="BV600" s="2">
        <f>VLOOKUP([jobnumber],OvalData[],MATCH(Table2[[#Headers],[windlocks]],Table2[#Headers],0),0)</f>
        <v>0</v>
      </c>
      <c r="BW600" s="2" t="str">
        <f>VLOOKUP([jobnumber],OvalData[],MATCH(Table2[[#Headers],[bottombartype]],Table2[#Headers],0),0)</f>
        <v>SPECIAL</v>
      </c>
      <c r="BX600" s="2">
        <f>VLOOKUP([jobnumber],OvalData[],MATCH(Table2[[#Headers],[endlockweight]],Table2[#Headers],0),0)</f>
        <v>0.17</v>
      </c>
      <c r="BY600" s="2">
        <f>VLOOKUP([jobnumber],OvalData[],MATCH(Table2[[#Headers],[Endlock Total Weight]],Table2[#Headers],0),0)</f>
        <v>7.5972999999999997</v>
      </c>
      <c r="BZ600" s="2">
        <f>VLOOKUP([jobnumber],OvalData[],MATCH(Table2[[#Headers],[Grille Weight]],Table2[#Headers],0),0)</f>
        <v>0</v>
      </c>
      <c r="CA600" s="2">
        <f>VLOOKUP([jobnumber],OvalData[],MATCH(Table2[[#Headers],[barrelrings]],Table2[#Headers],0),0)</f>
        <v>1</v>
      </c>
    </row>
    <row r="601" spans="2:79">
      <c r="B601" s="2" t="str">
        <f>VLOOKUP([jobnumber],OvalData[],MATCH(Table2[[#Headers],[Hand]],Table2[#Headers],0),0)</f>
        <v>RH</v>
      </c>
      <c r="C601" s="2" t="str">
        <f>VLOOKUP([jobnumber],OvalData[],MATCH(Table2[[#Headers],[Model]],Table2[#Headers],0),0)</f>
        <v>SFMPP</v>
      </c>
      <c r="D601" s="2" t="str">
        <f>VLOOKUP([jobnumber],OvalData[],MATCH(Table2[[#Headers],[width]],Table2[#Headers],0),0)</f>
        <v xml:space="preserve"> 18 ft.- 2"</v>
      </c>
      <c r="E601" s="2" t="str">
        <f>VLOOKUP([jobnumber],OvalData[],MATCH(Table2[[#Headers],[stopheight]],Table2[#Headers],0),0)</f>
        <v xml:space="preserve"> 10 ft.- 0"</v>
      </c>
      <c r="F601" s="2" t="str">
        <f>VLOOKUP([jobnumber],OvalData[],MATCH(Table2[[#Headers],[Between Brackets]],Table2[#Headers],0),0)</f>
        <v xml:space="preserve"> 18 ft.- 7 7/ 8"</v>
      </c>
      <c r="G601" s="2" t="str">
        <f>VLOOKUP([jobnumber],OvalData[],MATCH(Table2[[#Headers],[shell]],Table2[#Headers],0),0)</f>
        <v>6 INCH TUBE</v>
      </c>
      <c r="H601" s="2" t="str">
        <f>VLOOKUP([jobnumber],OvalData[],MATCH(Table2[[#Headers],[pipewidth]],Table2[#Headers],0),0)</f>
        <v xml:space="preserve"> 18 ft.- 1 3/ 8"</v>
      </c>
      <c r="I601" s="2">
        <f>VLOOKUP([jobnumber],OvalData[],MATCH(Table2[[#Headers],[Support Tubes]],Table2[#Headers],0),0)</f>
        <v>0</v>
      </c>
      <c r="J601" s="2">
        <f>VLOOKUP([jobnumber],OvalData[],MATCH(Table2[[#Headers],[Upset]],Table2[#Headers],0),0)</f>
        <v>2</v>
      </c>
      <c r="K601" s="2" t="str">
        <f>VLOOKUP([jobnumber],OvalData[],MATCH(Table2[[#Headers],[Guide Type]],Table2[#Headers],0),0)</f>
        <v>SN2-4 5/8-E</v>
      </c>
      <c r="L601" s="2" t="str">
        <f>VLOOKUP([jobnumber],OvalData[],MATCH(Table2[[#Headers],[Wall Angle]],Table2[#Headers],0),0)</f>
        <v xml:space="preserve"> 11 ft.- 8"</v>
      </c>
      <c r="M601" s="2" t="str">
        <f>VLOOKUP([jobnumber],OvalData[],MATCH(Table2[[#Headers],[Middle Angle]],Table2[#Headers],0),0)</f>
        <v xml:space="preserve"> 10 ft.- 4 1/ 2"</v>
      </c>
      <c r="N601" s="2" t="str">
        <f>VLOOKUP([jobnumber],OvalData[],MATCH(Table2[[#Headers],[Front Angle]],Table2[#Headers],0),0)</f>
        <v xml:space="preserve"> 10 ft.- 3"</v>
      </c>
      <c r="O601" s="2">
        <f>VLOOKUP([jobnumber],OvalData[],MATCH(Table2[[#Headers],[Pipe Center Line]],Table2[#Headers],0),0)</f>
        <v>131</v>
      </c>
      <c r="P601" s="2">
        <f>VLOOKUP([jobnumber],OvalData[],MATCH(Table2[[#Headers],[Heat Expansion Gap]],Table2[#Headers],0),0)</f>
        <v>0</v>
      </c>
      <c r="Q601" s="2">
        <f>VLOOKUP([jobnumber],OvalData[],MATCH(Table2[[#Headers],[Hanging Weight Closed]],Table2[#Headers],0),0)</f>
        <v>795</v>
      </c>
      <c r="R601" s="2">
        <f>VLOOKUP([jobnumber],OvalData[],MATCH(Table2[[#Headers],[Hanging Weight Open]],Table2[#Headers],0),0)</f>
        <v>140</v>
      </c>
      <c r="S601" s="2">
        <f>VLOOKUP([jobnumber],OvalData[],MATCH(Table2[[#Headers],[Initial Lever Arm]],Table2[#Headers],0),0)</f>
        <v>4.25</v>
      </c>
      <c r="T601" s="2">
        <f>VLOOKUP([jobnumber],OvalData[],MATCH(Table2[[#Headers],[Turns to Raise]],Table2[#Headers],0),0)</f>
        <v>3.5859999999999999</v>
      </c>
      <c r="U601" s="2">
        <f>VLOOKUP([jobnumber],OvalData[],MATCH(Table2[[#Headers],[Final Lever Arm]],Table2[#Headers],0),0)</f>
        <v>6.37</v>
      </c>
      <c r="V601" s="2">
        <f>VLOOKUP([jobnumber],OvalData[],MATCH(Table2[[#Headers],[Torque Required Closed]],Table2[#Headers],0),0)</f>
        <v>3377.9</v>
      </c>
      <c r="W601" s="2">
        <f>VLOOKUP([jobnumber],OvalData[],MATCH(Table2[[#Headers],[Torque Required Open]],Table2[#Headers],0),0)</f>
        <v>892</v>
      </c>
      <c r="X601" s="2">
        <f>VLOOKUP([jobnumber],OvalData[],MATCH(Table2[[#Headers],[Pre Turns]],Table2[#Headers],0),0)</f>
        <v>1.3332999999999999</v>
      </c>
      <c r="Y601" s="2">
        <f>VLOOKUP([jobnumber],OvalData[],MATCH(Table2[[#Headers],[Required Torque Per Turn]],Table2[#Headers],0),0)</f>
        <v>688</v>
      </c>
      <c r="Z601" s="2">
        <f>VLOOKUP([jobnumber],OvalData[],MATCH(Table2[[#Headers],[Total Turns]],Table2[#Headers],0),0)</f>
        <v>4.91</v>
      </c>
      <c r="AA601" s="2">
        <f>VLOOKUP([jobnumber],OvalData[],MATCH(Table2[[#Headers],[Grille Vision Section]],Table2[#Headers],0),0)</f>
        <v>0</v>
      </c>
      <c r="AB601" s="2">
        <f>VLOOKUP([jobnumber],OvalData[],MATCH(Table2[[#Headers],[Grille Amount]],Table2[#Headers],0),0)</f>
        <v>0</v>
      </c>
      <c r="AC601" s="2">
        <f>VLOOKUP([jobnumber],OvalData[],MATCH(Table2[[#Headers],[Grille Center]],Table2[#Headers],0),0)</f>
        <v>0</v>
      </c>
      <c r="AD601" s="2">
        <f>VLOOKUP([jobnumber],OvalData[],MATCH(Table2[[#Headers],[Grille Pattern]],Table2[#Headers],0),0)</f>
        <v>0</v>
      </c>
      <c r="AE601" s="2">
        <f>VLOOKUP([jobnumber],OvalData[],MATCH(Table2[[#Headers],[Grille First Tube]],Table2[#Headers],0),0)</f>
        <v>0</v>
      </c>
      <c r="AF601" s="2">
        <f>VLOOKUP([jobnumber],OvalData[],MATCH(Table2[[#Headers],[Grille Standard Tube]],Table2[#Headers],0),0)</f>
        <v>0</v>
      </c>
      <c r="AG601" s="2">
        <f>VLOOKUP([jobnumber],OvalData[],MATCH(Table2[[#Headers],[Grille Total Links]],Table2[#Headers],0),0)</f>
        <v>0</v>
      </c>
      <c r="AH601" s="2">
        <f>VLOOKUP([jobnumber],OvalData[],MATCH(Table2[[#Headers],[Grille Rods]],Table2[#Headers],0),0)</f>
        <v>0</v>
      </c>
      <c r="AI601" s="2">
        <f>VLOOKUP([jobnumber],OvalData[],MATCH(Table2[[#Headers],[Grille Rod Length]],Table2[#Headers],0),0)</f>
        <v>0</v>
      </c>
      <c r="AJ601" s="2">
        <f>VLOOKUP([jobnumber],OvalData[],MATCH(Table2[[#Headers],[slattype]],Table2[#Headers],0),0)</f>
        <v>2</v>
      </c>
      <c r="AK601" s="2">
        <f>VLOOKUP([jobnumber],OvalData[],MATCH(Table2[[#Headers],[slatgage]],Table2[#Headers],0),0)</f>
        <v>18</v>
      </c>
      <c r="AL601" s="2">
        <f>VLOOKUP([jobnumber],OvalData[],MATCH(Table2[[#Headers],[Numer of Top Slats]],Table2[#Headers],0),0)</f>
        <v>0</v>
      </c>
      <c r="AM601" s="2">
        <f>VLOOKUP([jobnumber],OvalData[],MATCH(Table2[[#Headers],[Number of Bottom Slats]],Table2[#Headers],0),0)</f>
        <v>0</v>
      </c>
      <c r="AN601" s="2">
        <f>VLOOKUP([jobnumber],OvalData[],MATCH(Table2[[#Headers],[Solid Bottom Height]],Table2[#Headers],0),0)</f>
        <v>0</v>
      </c>
      <c r="AO601" s="2" t="str">
        <f>VLOOKUP([jobnumber],OvalData[],MATCH(Table2[[#Headers],[slatlength]],Table2[#Headers],0),0)</f>
        <v xml:space="preserve"> 18 ft.- 5 7/ 8"</v>
      </c>
      <c r="AP601" s="2">
        <f>VLOOKUP([jobnumber],OvalData[],MATCH(Table2[[#Headers],[Bottom Slat Length]],Table2[#Headers],0),0)</f>
        <v>0</v>
      </c>
      <c r="AQ601" s="2">
        <f>VLOOKUP([jobnumber],OvalData[],MATCH(Table2[[#Headers],[Number of Perferated Slats]],Table2[#Headers],0),0)</f>
        <v>0</v>
      </c>
      <c r="AR601" s="2">
        <f>VLOOKUP([jobnumber],OvalData[],MATCH(Table2[[#Headers],[First Preferated Slat From End]],Table2[#Headers],0),0)</f>
        <v>0</v>
      </c>
      <c r="AS601" s="2">
        <f>VLOOKUP([jobnumber],OvalData[],MATCH(Table2[[#Headers],[First Preferated Slat From Bottom]],Table2[#Headers],0),0)</f>
        <v>0</v>
      </c>
      <c r="AT601" s="2">
        <f>VLOOKUP([jobnumber],OvalData[],MATCH(Table2[[#Headers],[Total Number of Slats]],Table2[#Headers],0),0)</f>
        <v>51</v>
      </c>
      <c r="AU601" s="2">
        <f>VLOOKUP([jobnumber],OvalData[],MATCH(Table2[[#Headers],[Bottom Bar Slope]],Table2[#Headers],0),0)</f>
        <v>0</v>
      </c>
      <c r="AV601" s="2">
        <f>VLOOKUP([jobnumber],OvalData[],MATCH(Table2[[#Headers],[Bottom Bar Weight]],Table2[#Headers],0),0)</f>
        <v>80.5</v>
      </c>
      <c r="AW601" s="2" t="str">
        <f>VLOOKUP([jobnumber],OvalData[],MATCH(Table2[[#Headers],[Outer Spring Gage]],Table2[#Headers],0),0)</f>
        <v>Null</v>
      </c>
      <c r="AX601" s="2" t="str">
        <f>VLOOKUP([jobnumber],OvalData[],MATCH(Table2[[#Headers],[Outer Spring OD]],Table2[#Headers],0),0)</f>
        <v>Null</v>
      </c>
      <c r="AY601" s="2" t="str">
        <f>VLOOKUP([jobnumber],OvalData[],MATCH(Table2[[#Headers],[Outer Spring Length]],Table2[#Headers],0),0)</f>
        <v>Null</v>
      </c>
      <c r="AZ601" s="2" t="str">
        <f>VLOOKUP([jobnumber],OvalData[],MATCH(Table2[[#Headers],[Outer Spring Stretch]],Table2[#Headers],0),0)</f>
        <v>Null</v>
      </c>
      <c r="BA601" s="2" t="str">
        <f>VLOOKUP([jobnumber],OvalData[],MATCH(Table2[[#Headers],[Outer Spring Torque]],Table2[#Headers],0),0)</f>
        <v>Null</v>
      </c>
      <c r="BB601" s="2" t="str">
        <f>VLOOKUP([jobnumber],OvalData[],MATCH(Table2[[#Headers],[Outer Spring Max Turns]],Table2[#Headers],0),0)</f>
        <v>Null</v>
      </c>
      <c r="BC601" s="2" t="str">
        <f>VLOOKUP([jobnumber],OvalData[],MATCH(Table2[[#Headers],[Outer Spring Weight]],Table2[#Headers],0),0)</f>
        <v>Null</v>
      </c>
      <c r="BD601" s="2" t="str">
        <f>VLOOKUP([jobnumber],OvalData[],MATCH(Table2[[#Headers],[Inner Spring Gage]],Table2[#Headers],0),0)</f>
        <v>Null</v>
      </c>
      <c r="BE601" s="2" t="str">
        <f>VLOOKUP([jobnumber],OvalData[],MATCH(Table2[[#Headers],[Inner Spring OD]],Table2[#Headers],0),0)</f>
        <v>Null</v>
      </c>
      <c r="BF601" s="2" t="str">
        <f>VLOOKUP([jobnumber],OvalData[],MATCH(Table2[[#Headers],[Inner Spring Length]],Table2[#Headers],0),0)</f>
        <v>Null</v>
      </c>
      <c r="BG601" s="2" t="str">
        <f>VLOOKUP([jobnumber],OvalData[],MATCH(Table2[[#Headers],[Inner Spring Stretch]],Table2[#Headers],0),0)</f>
        <v>Null</v>
      </c>
      <c r="BH601" s="2" t="str">
        <f>VLOOKUP([jobnumber],OvalData[],MATCH(Table2[[#Headers],[Inner Spring Torque]],Table2[#Headers],0),0)</f>
        <v>Null</v>
      </c>
      <c r="BI601" s="2" t="str">
        <f>VLOOKUP([jobnumber],OvalData[],MATCH(Table2[[#Headers],[Inner Spring Max Turns]],Table2[#Headers],0),0)</f>
        <v>Null</v>
      </c>
      <c r="BJ601" s="2" t="str">
        <f>VLOOKUP([jobnumber],OvalData[],MATCH(Table2[[#Headers],[Inner Spring Weight]],Table2[#Headers],0),0)</f>
        <v>Null</v>
      </c>
      <c r="BK601" s="2">
        <f>VLOOKUP([jobnumber],OvalData[],MATCH(Table2[[#Headers],[Cycles]],Table2[#Headers],0),0)</f>
        <v>0</v>
      </c>
      <c r="BL601" s="2">
        <f>VLOOKUP([jobnumber],OvalData[],MATCH(Table2[[#Headers],[Total Spring Torque]],Table2[#Headers],0),0)</f>
        <v>0</v>
      </c>
      <c r="BM601" s="2">
        <f>VLOOKUP([jobnumber],OvalData[],MATCH(Table2[[#Headers],[Total Spring Weight]],Table2[#Headers],0),0)</f>
        <v>0</v>
      </c>
      <c r="BN601" s="2">
        <f>VLOOKUP([jobnumber],OvalData[],MATCH(Table2[[#Headers],[Pipe Weight]],Table2[#Headers],0),0)</f>
        <v>688.24239999999998</v>
      </c>
      <c r="BO601" s="2">
        <f>VLOOKUP([jobnumber],OvalData[],MATCH(Table2[[#Headers],[Max Pipe Deflection]],Table2[#Headers],0),0)</f>
        <v>2309</v>
      </c>
      <c r="BP601" s="2">
        <f>VLOOKUP([jobnumber],OvalData[],MATCH(Table2[[#Headers],[Number Non-Insulated Wrap Slats]],Table2[#Headers],0),0)</f>
        <v>0</v>
      </c>
      <c r="BQ601" s="2">
        <f>VLOOKUP([jobnumber],OvalData[],MATCH(Table2[[#Headers],[Number of Insolated Top Slats]],Table2[#Headers],0),0)</f>
        <v>45</v>
      </c>
      <c r="BR601" s="2">
        <f>VLOOKUP([jobnumber],OvalData[],MATCH(Table2[[#Headers],[Insolated Total Slats]],Table2[#Headers],0),0)</f>
        <v>45</v>
      </c>
      <c r="BS601" s="2">
        <f>VLOOKUP([jobnumber],OvalData[],MATCH(Table2[[#Headers],[Number of Slats]],Table2[#Headers],0),0)</f>
        <v>44.69</v>
      </c>
      <c r="BT601" s="2">
        <f>VLOOKUP([jobnumber],OvalData[],MATCH(Table2[[#Headers],[Wrap]],Table2[#Headers],0),0)</f>
        <v>0</v>
      </c>
      <c r="BU601" s="2">
        <f>VLOOKUP([jobnumber],OvalData[],MATCH(Table2[[#Headers],[Wall Angle Thickness]],Table2[#Headers],0),0)</f>
        <v>0</v>
      </c>
      <c r="BV601" s="2">
        <f>VLOOKUP([jobnumber],OvalData[],MATCH(Table2[[#Headers],[windlocks]],Table2[#Headers],0),0)</f>
        <v>0</v>
      </c>
      <c r="BW601" s="2" t="str">
        <f>VLOOKUP([jobnumber],OvalData[],MATCH(Table2[[#Headers],[bottombartype]],Table2[#Headers],0),0)</f>
        <v>SPECIAL</v>
      </c>
      <c r="BX601" s="2">
        <f>VLOOKUP([jobnumber],OvalData[],MATCH(Table2[[#Headers],[endlockweight]],Table2[#Headers],0),0)</f>
        <v>0.17</v>
      </c>
      <c r="BY601" s="2">
        <f>VLOOKUP([jobnumber],OvalData[],MATCH(Table2[[#Headers],[Endlock Total Weight]],Table2[#Headers],0),0)</f>
        <v>7.5972999999999997</v>
      </c>
      <c r="BZ601" s="2">
        <f>VLOOKUP([jobnumber],OvalData[],MATCH(Table2[[#Headers],[Grille Weight]],Table2[#Headers],0),0)</f>
        <v>0</v>
      </c>
      <c r="CA601" s="2">
        <f>VLOOKUP([jobnumber],OvalData[],MATCH(Table2[[#Headers],[barrelrings]],Table2[#Headers],0),0)</f>
        <v>1</v>
      </c>
    </row>
    <row r="602" spans="2:79">
      <c r="B602" s="2" t="str">
        <f>VLOOKUP([jobnumber],OvalData[],MATCH(Table2[[#Headers],[Hand]],Table2[#Headers],0),0)</f>
        <v>RH</v>
      </c>
      <c r="C602" s="2" t="str">
        <f>VLOOKUP([jobnumber],OvalData[],MATCH(Table2[[#Headers],[Model]],Table2[#Headers],0),0)</f>
        <v>SFMPP</v>
      </c>
      <c r="D602" s="2" t="str">
        <f>VLOOKUP([jobnumber],OvalData[],MATCH(Table2[[#Headers],[width]],Table2[#Headers],0),0)</f>
        <v xml:space="preserve"> 18 ft.- 2"</v>
      </c>
      <c r="E602" s="2" t="str">
        <f>VLOOKUP([jobnumber],OvalData[],MATCH(Table2[[#Headers],[stopheight]],Table2[#Headers],0),0)</f>
        <v xml:space="preserve"> 10 ft.- 0"</v>
      </c>
      <c r="F602" s="2" t="str">
        <f>VLOOKUP([jobnumber],OvalData[],MATCH(Table2[[#Headers],[Between Brackets]],Table2[#Headers],0),0)</f>
        <v xml:space="preserve"> 18 ft.- 7 7/ 8"</v>
      </c>
      <c r="G602" s="2" t="str">
        <f>VLOOKUP([jobnumber],OvalData[],MATCH(Table2[[#Headers],[shell]],Table2[#Headers],0),0)</f>
        <v>6 INCH TUBE</v>
      </c>
      <c r="H602" s="2" t="str">
        <f>VLOOKUP([jobnumber],OvalData[],MATCH(Table2[[#Headers],[pipewidth]],Table2[#Headers],0),0)</f>
        <v xml:space="preserve"> 18 ft.- 1 3/ 8"</v>
      </c>
      <c r="I602" s="2">
        <f>VLOOKUP([jobnumber],OvalData[],MATCH(Table2[[#Headers],[Support Tubes]],Table2[#Headers],0),0)</f>
        <v>0</v>
      </c>
      <c r="J602" s="2">
        <f>VLOOKUP([jobnumber],OvalData[],MATCH(Table2[[#Headers],[Upset]],Table2[#Headers],0),0)</f>
        <v>2</v>
      </c>
      <c r="K602" s="2" t="str">
        <f>VLOOKUP([jobnumber],OvalData[],MATCH(Table2[[#Headers],[Guide Type]],Table2[#Headers],0),0)</f>
        <v>SN2-4 5/8-E</v>
      </c>
      <c r="L602" s="2" t="str">
        <f>VLOOKUP([jobnumber],OvalData[],MATCH(Table2[[#Headers],[Wall Angle]],Table2[#Headers],0),0)</f>
        <v xml:space="preserve"> 11 ft.- 8"</v>
      </c>
      <c r="M602" s="2" t="str">
        <f>VLOOKUP([jobnumber],OvalData[],MATCH(Table2[[#Headers],[Middle Angle]],Table2[#Headers],0),0)</f>
        <v xml:space="preserve"> 10 ft.- 4 1/ 2"</v>
      </c>
      <c r="N602" s="2" t="str">
        <f>VLOOKUP([jobnumber],OvalData[],MATCH(Table2[[#Headers],[Front Angle]],Table2[#Headers],0),0)</f>
        <v xml:space="preserve"> 10 ft.- 3"</v>
      </c>
      <c r="O602" s="2">
        <f>VLOOKUP([jobnumber],OvalData[],MATCH(Table2[[#Headers],[Pipe Center Line]],Table2[#Headers],0),0)</f>
        <v>131</v>
      </c>
      <c r="P602" s="2">
        <f>VLOOKUP([jobnumber],OvalData[],MATCH(Table2[[#Headers],[Heat Expansion Gap]],Table2[#Headers],0),0)</f>
        <v>0</v>
      </c>
      <c r="Q602" s="2">
        <f>VLOOKUP([jobnumber],OvalData[],MATCH(Table2[[#Headers],[Hanging Weight Closed]],Table2[#Headers],0),0)</f>
        <v>795</v>
      </c>
      <c r="R602" s="2">
        <f>VLOOKUP([jobnumber],OvalData[],MATCH(Table2[[#Headers],[Hanging Weight Open]],Table2[#Headers],0),0)</f>
        <v>140</v>
      </c>
      <c r="S602" s="2">
        <f>VLOOKUP([jobnumber],OvalData[],MATCH(Table2[[#Headers],[Initial Lever Arm]],Table2[#Headers],0),0)</f>
        <v>4.25</v>
      </c>
      <c r="T602" s="2">
        <f>VLOOKUP([jobnumber],OvalData[],MATCH(Table2[[#Headers],[Turns to Raise]],Table2[#Headers],0),0)</f>
        <v>3.5859999999999999</v>
      </c>
      <c r="U602" s="2">
        <f>VLOOKUP([jobnumber],OvalData[],MATCH(Table2[[#Headers],[Final Lever Arm]],Table2[#Headers],0),0)</f>
        <v>6.37</v>
      </c>
      <c r="V602" s="2">
        <f>VLOOKUP([jobnumber],OvalData[],MATCH(Table2[[#Headers],[Torque Required Closed]],Table2[#Headers],0),0)</f>
        <v>3377.9</v>
      </c>
      <c r="W602" s="2">
        <f>VLOOKUP([jobnumber],OvalData[],MATCH(Table2[[#Headers],[Torque Required Open]],Table2[#Headers],0),0)</f>
        <v>892</v>
      </c>
      <c r="X602" s="2">
        <f>VLOOKUP([jobnumber],OvalData[],MATCH(Table2[[#Headers],[Pre Turns]],Table2[#Headers],0),0)</f>
        <v>1.3332999999999999</v>
      </c>
      <c r="Y602" s="2">
        <f>VLOOKUP([jobnumber],OvalData[],MATCH(Table2[[#Headers],[Required Torque Per Turn]],Table2[#Headers],0),0)</f>
        <v>688</v>
      </c>
      <c r="Z602" s="2">
        <f>VLOOKUP([jobnumber],OvalData[],MATCH(Table2[[#Headers],[Total Turns]],Table2[#Headers],0),0)</f>
        <v>4.91</v>
      </c>
      <c r="AA602" s="2">
        <f>VLOOKUP([jobnumber],OvalData[],MATCH(Table2[[#Headers],[Grille Vision Section]],Table2[#Headers],0),0)</f>
        <v>0</v>
      </c>
      <c r="AB602" s="2">
        <f>VLOOKUP([jobnumber],OvalData[],MATCH(Table2[[#Headers],[Grille Amount]],Table2[#Headers],0),0)</f>
        <v>0</v>
      </c>
      <c r="AC602" s="2">
        <f>VLOOKUP([jobnumber],OvalData[],MATCH(Table2[[#Headers],[Grille Center]],Table2[#Headers],0),0)</f>
        <v>0</v>
      </c>
      <c r="AD602" s="2">
        <f>VLOOKUP([jobnumber],OvalData[],MATCH(Table2[[#Headers],[Grille Pattern]],Table2[#Headers],0),0)</f>
        <v>0</v>
      </c>
      <c r="AE602" s="2">
        <f>VLOOKUP([jobnumber],OvalData[],MATCH(Table2[[#Headers],[Grille First Tube]],Table2[#Headers],0),0)</f>
        <v>0</v>
      </c>
      <c r="AF602" s="2">
        <f>VLOOKUP([jobnumber],OvalData[],MATCH(Table2[[#Headers],[Grille Standard Tube]],Table2[#Headers],0),0)</f>
        <v>0</v>
      </c>
      <c r="AG602" s="2">
        <f>VLOOKUP([jobnumber],OvalData[],MATCH(Table2[[#Headers],[Grille Total Links]],Table2[#Headers],0),0)</f>
        <v>0</v>
      </c>
      <c r="AH602" s="2">
        <f>VLOOKUP([jobnumber],OvalData[],MATCH(Table2[[#Headers],[Grille Rods]],Table2[#Headers],0),0)</f>
        <v>0</v>
      </c>
      <c r="AI602" s="2">
        <f>VLOOKUP([jobnumber],OvalData[],MATCH(Table2[[#Headers],[Grille Rod Length]],Table2[#Headers],0),0)</f>
        <v>0</v>
      </c>
      <c r="AJ602" s="2">
        <f>VLOOKUP([jobnumber],OvalData[],MATCH(Table2[[#Headers],[slattype]],Table2[#Headers],0),0)</f>
        <v>2</v>
      </c>
      <c r="AK602" s="2">
        <f>VLOOKUP([jobnumber],OvalData[],MATCH(Table2[[#Headers],[slatgage]],Table2[#Headers],0),0)</f>
        <v>18</v>
      </c>
      <c r="AL602" s="2">
        <f>VLOOKUP([jobnumber],OvalData[],MATCH(Table2[[#Headers],[Numer of Top Slats]],Table2[#Headers],0),0)</f>
        <v>0</v>
      </c>
      <c r="AM602" s="2">
        <f>VLOOKUP([jobnumber],OvalData[],MATCH(Table2[[#Headers],[Number of Bottom Slats]],Table2[#Headers],0),0)</f>
        <v>0</v>
      </c>
      <c r="AN602" s="2">
        <f>VLOOKUP([jobnumber],OvalData[],MATCH(Table2[[#Headers],[Solid Bottom Height]],Table2[#Headers],0),0)</f>
        <v>0</v>
      </c>
      <c r="AO602" s="2" t="str">
        <f>VLOOKUP([jobnumber],OvalData[],MATCH(Table2[[#Headers],[slatlength]],Table2[#Headers],0),0)</f>
        <v xml:space="preserve"> 18 ft.- 5 7/ 8"</v>
      </c>
      <c r="AP602" s="2">
        <f>VLOOKUP([jobnumber],OvalData[],MATCH(Table2[[#Headers],[Bottom Slat Length]],Table2[#Headers],0),0)</f>
        <v>0</v>
      </c>
      <c r="AQ602" s="2">
        <f>VLOOKUP([jobnumber],OvalData[],MATCH(Table2[[#Headers],[Number of Perferated Slats]],Table2[#Headers],0),0)</f>
        <v>0</v>
      </c>
      <c r="AR602" s="2">
        <f>VLOOKUP([jobnumber],OvalData[],MATCH(Table2[[#Headers],[First Preferated Slat From End]],Table2[#Headers],0),0)</f>
        <v>0</v>
      </c>
      <c r="AS602" s="2">
        <f>VLOOKUP([jobnumber],OvalData[],MATCH(Table2[[#Headers],[First Preferated Slat From Bottom]],Table2[#Headers],0),0)</f>
        <v>0</v>
      </c>
      <c r="AT602" s="2">
        <f>VLOOKUP([jobnumber],OvalData[],MATCH(Table2[[#Headers],[Total Number of Slats]],Table2[#Headers],0),0)</f>
        <v>51</v>
      </c>
      <c r="AU602" s="2">
        <f>VLOOKUP([jobnumber],OvalData[],MATCH(Table2[[#Headers],[Bottom Bar Slope]],Table2[#Headers],0),0)</f>
        <v>0</v>
      </c>
      <c r="AV602" s="2">
        <f>VLOOKUP([jobnumber],OvalData[],MATCH(Table2[[#Headers],[Bottom Bar Weight]],Table2[#Headers],0),0)</f>
        <v>80.5</v>
      </c>
      <c r="AW602" s="2" t="str">
        <f>VLOOKUP([jobnumber],OvalData[],MATCH(Table2[[#Headers],[Outer Spring Gage]],Table2[#Headers],0),0)</f>
        <v>Null</v>
      </c>
      <c r="AX602" s="2" t="str">
        <f>VLOOKUP([jobnumber],OvalData[],MATCH(Table2[[#Headers],[Outer Spring OD]],Table2[#Headers],0),0)</f>
        <v>Null</v>
      </c>
      <c r="AY602" s="2" t="str">
        <f>VLOOKUP([jobnumber],OvalData[],MATCH(Table2[[#Headers],[Outer Spring Length]],Table2[#Headers],0),0)</f>
        <v>Null</v>
      </c>
      <c r="AZ602" s="2" t="str">
        <f>VLOOKUP([jobnumber],OvalData[],MATCH(Table2[[#Headers],[Outer Spring Stretch]],Table2[#Headers],0),0)</f>
        <v>Null</v>
      </c>
      <c r="BA602" s="2" t="str">
        <f>VLOOKUP([jobnumber],OvalData[],MATCH(Table2[[#Headers],[Outer Spring Torque]],Table2[#Headers],0),0)</f>
        <v>Null</v>
      </c>
      <c r="BB602" s="2" t="str">
        <f>VLOOKUP([jobnumber],OvalData[],MATCH(Table2[[#Headers],[Outer Spring Max Turns]],Table2[#Headers],0),0)</f>
        <v>Null</v>
      </c>
      <c r="BC602" s="2" t="str">
        <f>VLOOKUP([jobnumber],OvalData[],MATCH(Table2[[#Headers],[Outer Spring Weight]],Table2[#Headers],0),0)</f>
        <v>Null</v>
      </c>
      <c r="BD602" s="2" t="str">
        <f>VLOOKUP([jobnumber],OvalData[],MATCH(Table2[[#Headers],[Inner Spring Gage]],Table2[#Headers],0),0)</f>
        <v>Null</v>
      </c>
      <c r="BE602" s="2" t="str">
        <f>VLOOKUP([jobnumber],OvalData[],MATCH(Table2[[#Headers],[Inner Spring OD]],Table2[#Headers],0),0)</f>
        <v>Null</v>
      </c>
      <c r="BF602" s="2" t="str">
        <f>VLOOKUP([jobnumber],OvalData[],MATCH(Table2[[#Headers],[Inner Spring Length]],Table2[#Headers],0),0)</f>
        <v>Null</v>
      </c>
      <c r="BG602" s="2" t="str">
        <f>VLOOKUP([jobnumber],OvalData[],MATCH(Table2[[#Headers],[Inner Spring Stretch]],Table2[#Headers],0),0)</f>
        <v>Null</v>
      </c>
      <c r="BH602" s="2" t="str">
        <f>VLOOKUP([jobnumber],OvalData[],MATCH(Table2[[#Headers],[Inner Spring Torque]],Table2[#Headers],0),0)</f>
        <v>Null</v>
      </c>
      <c r="BI602" s="2" t="str">
        <f>VLOOKUP([jobnumber],OvalData[],MATCH(Table2[[#Headers],[Inner Spring Max Turns]],Table2[#Headers],0),0)</f>
        <v>Null</v>
      </c>
      <c r="BJ602" s="2" t="str">
        <f>VLOOKUP([jobnumber],OvalData[],MATCH(Table2[[#Headers],[Inner Spring Weight]],Table2[#Headers],0),0)</f>
        <v>Null</v>
      </c>
      <c r="BK602" s="2">
        <f>VLOOKUP([jobnumber],OvalData[],MATCH(Table2[[#Headers],[Cycles]],Table2[#Headers],0),0)</f>
        <v>0</v>
      </c>
      <c r="BL602" s="2">
        <f>VLOOKUP([jobnumber],OvalData[],MATCH(Table2[[#Headers],[Total Spring Torque]],Table2[#Headers],0),0)</f>
        <v>0</v>
      </c>
      <c r="BM602" s="2">
        <f>VLOOKUP([jobnumber],OvalData[],MATCH(Table2[[#Headers],[Total Spring Weight]],Table2[#Headers],0),0)</f>
        <v>0</v>
      </c>
      <c r="BN602" s="2">
        <f>VLOOKUP([jobnumber],OvalData[],MATCH(Table2[[#Headers],[Pipe Weight]],Table2[#Headers],0),0)</f>
        <v>688.24239999999998</v>
      </c>
      <c r="BO602" s="2">
        <f>VLOOKUP([jobnumber],OvalData[],MATCH(Table2[[#Headers],[Max Pipe Deflection]],Table2[#Headers],0),0)</f>
        <v>2309</v>
      </c>
      <c r="BP602" s="2">
        <f>VLOOKUP([jobnumber],OvalData[],MATCH(Table2[[#Headers],[Number Non-Insulated Wrap Slats]],Table2[#Headers],0),0)</f>
        <v>0</v>
      </c>
      <c r="BQ602" s="2">
        <f>VLOOKUP([jobnumber],OvalData[],MATCH(Table2[[#Headers],[Number of Insolated Top Slats]],Table2[#Headers],0),0)</f>
        <v>45</v>
      </c>
      <c r="BR602" s="2">
        <f>VLOOKUP([jobnumber],OvalData[],MATCH(Table2[[#Headers],[Insolated Total Slats]],Table2[#Headers],0),0)</f>
        <v>45</v>
      </c>
      <c r="BS602" s="2">
        <f>VLOOKUP([jobnumber],OvalData[],MATCH(Table2[[#Headers],[Number of Slats]],Table2[#Headers],0),0)</f>
        <v>44.69</v>
      </c>
      <c r="BT602" s="2">
        <f>VLOOKUP([jobnumber],OvalData[],MATCH(Table2[[#Headers],[Wrap]],Table2[#Headers],0),0)</f>
        <v>0</v>
      </c>
      <c r="BU602" s="2">
        <f>VLOOKUP([jobnumber],OvalData[],MATCH(Table2[[#Headers],[Wall Angle Thickness]],Table2[#Headers],0),0)</f>
        <v>0</v>
      </c>
      <c r="BV602" s="2">
        <f>VLOOKUP([jobnumber],OvalData[],MATCH(Table2[[#Headers],[windlocks]],Table2[#Headers],0),0)</f>
        <v>0</v>
      </c>
      <c r="BW602" s="2" t="str">
        <f>VLOOKUP([jobnumber],OvalData[],MATCH(Table2[[#Headers],[bottombartype]],Table2[#Headers],0),0)</f>
        <v>SPECIAL</v>
      </c>
      <c r="BX602" s="2">
        <f>VLOOKUP([jobnumber],OvalData[],MATCH(Table2[[#Headers],[endlockweight]],Table2[#Headers],0),0)</f>
        <v>0.17</v>
      </c>
      <c r="BY602" s="2">
        <f>VLOOKUP([jobnumber],OvalData[],MATCH(Table2[[#Headers],[Endlock Total Weight]],Table2[#Headers],0),0)</f>
        <v>7.5972999999999997</v>
      </c>
      <c r="BZ602" s="2">
        <f>VLOOKUP([jobnumber],OvalData[],MATCH(Table2[[#Headers],[Grille Weight]],Table2[#Headers],0),0)</f>
        <v>0</v>
      </c>
      <c r="CA602" s="2">
        <f>VLOOKUP([jobnumber],OvalData[],MATCH(Table2[[#Headers],[barrelrings]],Table2[#Headers],0),0)</f>
        <v>1</v>
      </c>
    </row>
    <row r="603" spans="2:79">
      <c r="B603" s="2" t="str">
        <f>VLOOKUP([jobnumber],OvalData[],MATCH(Table2[[#Headers],[Hand]],Table2[#Headers],0),0)</f>
        <v>RH</v>
      </c>
      <c r="C603" s="2" t="str">
        <f>VLOOKUP([jobnumber],OvalData[],MATCH(Table2[[#Headers],[Model]],Table2[#Headers],0),0)</f>
        <v>SFMPP</v>
      </c>
      <c r="D603" s="2" t="str">
        <f>VLOOKUP([jobnumber],OvalData[],MATCH(Table2[[#Headers],[width]],Table2[#Headers],0),0)</f>
        <v xml:space="preserve"> 18 ft.- 2"</v>
      </c>
      <c r="E603" s="2" t="str">
        <f>VLOOKUP([jobnumber],OvalData[],MATCH(Table2[[#Headers],[stopheight]],Table2[#Headers],0),0)</f>
        <v xml:space="preserve"> 10 ft.- 0"</v>
      </c>
      <c r="F603" s="2" t="str">
        <f>VLOOKUP([jobnumber],OvalData[],MATCH(Table2[[#Headers],[Between Brackets]],Table2[#Headers],0),0)</f>
        <v xml:space="preserve"> 18 ft.- 7 7/ 8"</v>
      </c>
      <c r="G603" s="2" t="str">
        <f>VLOOKUP([jobnumber],OvalData[],MATCH(Table2[[#Headers],[shell]],Table2[#Headers],0),0)</f>
        <v>6 INCH TUBE</v>
      </c>
      <c r="H603" s="2" t="str">
        <f>VLOOKUP([jobnumber],OvalData[],MATCH(Table2[[#Headers],[pipewidth]],Table2[#Headers],0),0)</f>
        <v xml:space="preserve"> 18 ft.- 1 3/ 8"</v>
      </c>
      <c r="I603" s="2">
        <f>VLOOKUP([jobnumber],OvalData[],MATCH(Table2[[#Headers],[Support Tubes]],Table2[#Headers],0),0)</f>
        <v>0</v>
      </c>
      <c r="J603" s="2">
        <f>VLOOKUP([jobnumber],OvalData[],MATCH(Table2[[#Headers],[Upset]],Table2[#Headers],0),0)</f>
        <v>2</v>
      </c>
      <c r="K603" s="2" t="str">
        <f>VLOOKUP([jobnumber],OvalData[],MATCH(Table2[[#Headers],[Guide Type]],Table2[#Headers],0),0)</f>
        <v>SN2-4 5/8-E</v>
      </c>
      <c r="L603" s="2" t="str">
        <f>VLOOKUP([jobnumber],OvalData[],MATCH(Table2[[#Headers],[Wall Angle]],Table2[#Headers],0),0)</f>
        <v xml:space="preserve"> 11 ft.- 8"</v>
      </c>
      <c r="M603" s="2" t="str">
        <f>VLOOKUP([jobnumber],OvalData[],MATCH(Table2[[#Headers],[Middle Angle]],Table2[#Headers],0),0)</f>
        <v xml:space="preserve"> 10 ft.- 4 1/ 2"</v>
      </c>
      <c r="N603" s="2" t="str">
        <f>VLOOKUP([jobnumber],OvalData[],MATCH(Table2[[#Headers],[Front Angle]],Table2[#Headers],0),0)</f>
        <v xml:space="preserve"> 10 ft.- 3"</v>
      </c>
      <c r="O603" s="2">
        <f>VLOOKUP([jobnumber],OvalData[],MATCH(Table2[[#Headers],[Pipe Center Line]],Table2[#Headers],0),0)</f>
        <v>131</v>
      </c>
      <c r="P603" s="2">
        <f>VLOOKUP([jobnumber],OvalData[],MATCH(Table2[[#Headers],[Heat Expansion Gap]],Table2[#Headers],0),0)</f>
        <v>0</v>
      </c>
      <c r="Q603" s="2">
        <f>VLOOKUP([jobnumber],OvalData[],MATCH(Table2[[#Headers],[Hanging Weight Closed]],Table2[#Headers],0),0)</f>
        <v>795</v>
      </c>
      <c r="R603" s="2">
        <f>VLOOKUP([jobnumber],OvalData[],MATCH(Table2[[#Headers],[Hanging Weight Open]],Table2[#Headers],0),0)</f>
        <v>140</v>
      </c>
      <c r="S603" s="2">
        <f>VLOOKUP([jobnumber],OvalData[],MATCH(Table2[[#Headers],[Initial Lever Arm]],Table2[#Headers],0),0)</f>
        <v>4.25</v>
      </c>
      <c r="T603" s="2">
        <f>VLOOKUP([jobnumber],OvalData[],MATCH(Table2[[#Headers],[Turns to Raise]],Table2[#Headers],0),0)</f>
        <v>3.5859999999999999</v>
      </c>
      <c r="U603" s="2">
        <f>VLOOKUP([jobnumber],OvalData[],MATCH(Table2[[#Headers],[Final Lever Arm]],Table2[#Headers],0),0)</f>
        <v>6.37</v>
      </c>
      <c r="V603" s="2">
        <f>VLOOKUP([jobnumber],OvalData[],MATCH(Table2[[#Headers],[Torque Required Closed]],Table2[#Headers],0),0)</f>
        <v>3377.9</v>
      </c>
      <c r="W603" s="2">
        <f>VLOOKUP([jobnumber],OvalData[],MATCH(Table2[[#Headers],[Torque Required Open]],Table2[#Headers],0),0)</f>
        <v>892</v>
      </c>
      <c r="X603" s="2">
        <f>VLOOKUP([jobnumber],OvalData[],MATCH(Table2[[#Headers],[Pre Turns]],Table2[#Headers],0),0)</f>
        <v>1.3332999999999999</v>
      </c>
      <c r="Y603" s="2">
        <f>VLOOKUP([jobnumber],OvalData[],MATCH(Table2[[#Headers],[Required Torque Per Turn]],Table2[#Headers],0),0)</f>
        <v>688</v>
      </c>
      <c r="Z603" s="2">
        <f>VLOOKUP([jobnumber],OvalData[],MATCH(Table2[[#Headers],[Total Turns]],Table2[#Headers],0),0)</f>
        <v>4.91</v>
      </c>
      <c r="AA603" s="2">
        <f>VLOOKUP([jobnumber],OvalData[],MATCH(Table2[[#Headers],[Grille Vision Section]],Table2[#Headers],0),0)</f>
        <v>0</v>
      </c>
      <c r="AB603" s="2">
        <f>VLOOKUP([jobnumber],OvalData[],MATCH(Table2[[#Headers],[Grille Amount]],Table2[#Headers],0),0)</f>
        <v>0</v>
      </c>
      <c r="AC603" s="2">
        <f>VLOOKUP([jobnumber],OvalData[],MATCH(Table2[[#Headers],[Grille Center]],Table2[#Headers],0),0)</f>
        <v>0</v>
      </c>
      <c r="AD603" s="2">
        <f>VLOOKUP([jobnumber],OvalData[],MATCH(Table2[[#Headers],[Grille Pattern]],Table2[#Headers],0),0)</f>
        <v>0</v>
      </c>
      <c r="AE603" s="2">
        <f>VLOOKUP([jobnumber],OvalData[],MATCH(Table2[[#Headers],[Grille First Tube]],Table2[#Headers],0),0)</f>
        <v>0</v>
      </c>
      <c r="AF603" s="2">
        <f>VLOOKUP([jobnumber],OvalData[],MATCH(Table2[[#Headers],[Grille Standard Tube]],Table2[#Headers],0),0)</f>
        <v>0</v>
      </c>
      <c r="AG603" s="2">
        <f>VLOOKUP([jobnumber],OvalData[],MATCH(Table2[[#Headers],[Grille Total Links]],Table2[#Headers],0),0)</f>
        <v>0</v>
      </c>
      <c r="AH603" s="2">
        <f>VLOOKUP([jobnumber],OvalData[],MATCH(Table2[[#Headers],[Grille Rods]],Table2[#Headers],0),0)</f>
        <v>0</v>
      </c>
      <c r="AI603" s="2">
        <f>VLOOKUP([jobnumber],OvalData[],MATCH(Table2[[#Headers],[Grille Rod Length]],Table2[#Headers],0),0)</f>
        <v>0</v>
      </c>
      <c r="AJ603" s="2">
        <f>VLOOKUP([jobnumber],OvalData[],MATCH(Table2[[#Headers],[slattype]],Table2[#Headers],0),0)</f>
        <v>2</v>
      </c>
      <c r="AK603" s="2">
        <f>VLOOKUP([jobnumber],OvalData[],MATCH(Table2[[#Headers],[slatgage]],Table2[#Headers],0),0)</f>
        <v>18</v>
      </c>
      <c r="AL603" s="2">
        <f>VLOOKUP([jobnumber],OvalData[],MATCH(Table2[[#Headers],[Numer of Top Slats]],Table2[#Headers],0),0)</f>
        <v>0</v>
      </c>
      <c r="AM603" s="2">
        <f>VLOOKUP([jobnumber],OvalData[],MATCH(Table2[[#Headers],[Number of Bottom Slats]],Table2[#Headers],0),0)</f>
        <v>0</v>
      </c>
      <c r="AN603" s="2">
        <f>VLOOKUP([jobnumber],OvalData[],MATCH(Table2[[#Headers],[Solid Bottom Height]],Table2[#Headers],0),0)</f>
        <v>0</v>
      </c>
      <c r="AO603" s="2" t="str">
        <f>VLOOKUP([jobnumber],OvalData[],MATCH(Table2[[#Headers],[slatlength]],Table2[#Headers],0),0)</f>
        <v xml:space="preserve"> 18 ft.- 5 7/ 8"</v>
      </c>
      <c r="AP603" s="2">
        <f>VLOOKUP([jobnumber],OvalData[],MATCH(Table2[[#Headers],[Bottom Slat Length]],Table2[#Headers],0),0)</f>
        <v>0</v>
      </c>
      <c r="AQ603" s="2">
        <f>VLOOKUP([jobnumber],OvalData[],MATCH(Table2[[#Headers],[Number of Perferated Slats]],Table2[#Headers],0),0)</f>
        <v>0</v>
      </c>
      <c r="AR603" s="2">
        <f>VLOOKUP([jobnumber],OvalData[],MATCH(Table2[[#Headers],[First Preferated Slat From End]],Table2[#Headers],0),0)</f>
        <v>0</v>
      </c>
      <c r="AS603" s="2">
        <f>VLOOKUP([jobnumber],OvalData[],MATCH(Table2[[#Headers],[First Preferated Slat From Bottom]],Table2[#Headers],0),0)</f>
        <v>0</v>
      </c>
      <c r="AT603" s="2">
        <f>VLOOKUP([jobnumber],OvalData[],MATCH(Table2[[#Headers],[Total Number of Slats]],Table2[#Headers],0),0)</f>
        <v>51</v>
      </c>
      <c r="AU603" s="2">
        <f>VLOOKUP([jobnumber],OvalData[],MATCH(Table2[[#Headers],[Bottom Bar Slope]],Table2[#Headers],0),0)</f>
        <v>0</v>
      </c>
      <c r="AV603" s="2">
        <f>VLOOKUP([jobnumber],OvalData[],MATCH(Table2[[#Headers],[Bottom Bar Weight]],Table2[#Headers],0),0)</f>
        <v>80.5</v>
      </c>
      <c r="AW603" s="2" t="str">
        <f>VLOOKUP([jobnumber],OvalData[],MATCH(Table2[[#Headers],[Outer Spring Gage]],Table2[#Headers],0),0)</f>
        <v>Null</v>
      </c>
      <c r="AX603" s="2" t="str">
        <f>VLOOKUP([jobnumber],OvalData[],MATCH(Table2[[#Headers],[Outer Spring OD]],Table2[#Headers],0),0)</f>
        <v>Null</v>
      </c>
      <c r="AY603" s="2" t="str">
        <f>VLOOKUP([jobnumber],OvalData[],MATCH(Table2[[#Headers],[Outer Spring Length]],Table2[#Headers],0),0)</f>
        <v>Null</v>
      </c>
      <c r="AZ603" s="2" t="str">
        <f>VLOOKUP([jobnumber],OvalData[],MATCH(Table2[[#Headers],[Outer Spring Stretch]],Table2[#Headers],0),0)</f>
        <v>Null</v>
      </c>
      <c r="BA603" s="2" t="str">
        <f>VLOOKUP([jobnumber],OvalData[],MATCH(Table2[[#Headers],[Outer Spring Torque]],Table2[#Headers],0),0)</f>
        <v>Null</v>
      </c>
      <c r="BB603" s="2" t="str">
        <f>VLOOKUP([jobnumber],OvalData[],MATCH(Table2[[#Headers],[Outer Spring Max Turns]],Table2[#Headers],0),0)</f>
        <v>Null</v>
      </c>
      <c r="BC603" s="2" t="str">
        <f>VLOOKUP([jobnumber],OvalData[],MATCH(Table2[[#Headers],[Outer Spring Weight]],Table2[#Headers],0),0)</f>
        <v>Null</v>
      </c>
      <c r="BD603" s="2" t="str">
        <f>VLOOKUP([jobnumber],OvalData[],MATCH(Table2[[#Headers],[Inner Spring Gage]],Table2[#Headers],0),0)</f>
        <v>Null</v>
      </c>
      <c r="BE603" s="2" t="str">
        <f>VLOOKUP([jobnumber],OvalData[],MATCH(Table2[[#Headers],[Inner Spring OD]],Table2[#Headers],0),0)</f>
        <v>Null</v>
      </c>
      <c r="BF603" s="2" t="str">
        <f>VLOOKUP([jobnumber],OvalData[],MATCH(Table2[[#Headers],[Inner Spring Length]],Table2[#Headers],0),0)</f>
        <v>Null</v>
      </c>
      <c r="BG603" s="2" t="str">
        <f>VLOOKUP([jobnumber],OvalData[],MATCH(Table2[[#Headers],[Inner Spring Stretch]],Table2[#Headers],0),0)</f>
        <v>Null</v>
      </c>
      <c r="BH603" s="2" t="str">
        <f>VLOOKUP([jobnumber],OvalData[],MATCH(Table2[[#Headers],[Inner Spring Torque]],Table2[#Headers],0),0)</f>
        <v>Null</v>
      </c>
      <c r="BI603" s="2" t="str">
        <f>VLOOKUP([jobnumber],OvalData[],MATCH(Table2[[#Headers],[Inner Spring Max Turns]],Table2[#Headers],0),0)</f>
        <v>Null</v>
      </c>
      <c r="BJ603" s="2" t="str">
        <f>VLOOKUP([jobnumber],OvalData[],MATCH(Table2[[#Headers],[Inner Spring Weight]],Table2[#Headers],0),0)</f>
        <v>Null</v>
      </c>
      <c r="BK603" s="2">
        <f>VLOOKUP([jobnumber],OvalData[],MATCH(Table2[[#Headers],[Cycles]],Table2[#Headers],0),0)</f>
        <v>0</v>
      </c>
      <c r="BL603" s="2">
        <f>VLOOKUP([jobnumber],OvalData[],MATCH(Table2[[#Headers],[Total Spring Torque]],Table2[#Headers],0),0)</f>
        <v>0</v>
      </c>
      <c r="BM603" s="2">
        <f>VLOOKUP([jobnumber],OvalData[],MATCH(Table2[[#Headers],[Total Spring Weight]],Table2[#Headers],0),0)</f>
        <v>0</v>
      </c>
      <c r="BN603" s="2">
        <f>VLOOKUP([jobnumber],OvalData[],MATCH(Table2[[#Headers],[Pipe Weight]],Table2[#Headers],0),0)</f>
        <v>688.24239999999998</v>
      </c>
      <c r="BO603" s="2">
        <f>VLOOKUP([jobnumber],OvalData[],MATCH(Table2[[#Headers],[Max Pipe Deflection]],Table2[#Headers],0),0)</f>
        <v>2309</v>
      </c>
      <c r="BP603" s="2">
        <f>VLOOKUP([jobnumber],OvalData[],MATCH(Table2[[#Headers],[Number Non-Insulated Wrap Slats]],Table2[#Headers],0),0)</f>
        <v>0</v>
      </c>
      <c r="BQ603" s="2">
        <f>VLOOKUP([jobnumber],OvalData[],MATCH(Table2[[#Headers],[Number of Insolated Top Slats]],Table2[#Headers],0),0)</f>
        <v>45</v>
      </c>
      <c r="BR603" s="2">
        <f>VLOOKUP([jobnumber],OvalData[],MATCH(Table2[[#Headers],[Insolated Total Slats]],Table2[#Headers],0),0)</f>
        <v>45</v>
      </c>
      <c r="BS603" s="2">
        <f>VLOOKUP([jobnumber],OvalData[],MATCH(Table2[[#Headers],[Number of Slats]],Table2[#Headers],0),0)</f>
        <v>44.69</v>
      </c>
      <c r="BT603" s="2">
        <f>VLOOKUP([jobnumber],OvalData[],MATCH(Table2[[#Headers],[Wrap]],Table2[#Headers],0),0)</f>
        <v>0</v>
      </c>
      <c r="BU603" s="2">
        <f>VLOOKUP([jobnumber],OvalData[],MATCH(Table2[[#Headers],[Wall Angle Thickness]],Table2[#Headers],0),0)</f>
        <v>0</v>
      </c>
      <c r="BV603" s="2">
        <f>VLOOKUP([jobnumber],OvalData[],MATCH(Table2[[#Headers],[windlocks]],Table2[#Headers],0),0)</f>
        <v>0</v>
      </c>
      <c r="BW603" s="2" t="str">
        <f>VLOOKUP([jobnumber],OvalData[],MATCH(Table2[[#Headers],[bottombartype]],Table2[#Headers],0),0)</f>
        <v>SPECIAL</v>
      </c>
      <c r="BX603" s="2">
        <f>VLOOKUP([jobnumber],OvalData[],MATCH(Table2[[#Headers],[endlockweight]],Table2[#Headers],0),0)</f>
        <v>0.17</v>
      </c>
      <c r="BY603" s="2">
        <f>VLOOKUP([jobnumber],OvalData[],MATCH(Table2[[#Headers],[Endlock Total Weight]],Table2[#Headers],0),0)</f>
        <v>7.5972999999999997</v>
      </c>
      <c r="BZ603" s="2">
        <f>VLOOKUP([jobnumber],OvalData[],MATCH(Table2[[#Headers],[Grille Weight]],Table2[#Headers],0),0)</f>
        <v>0</v>
      </c>
      <c r="CA603" s="2">
        <f>VLOOKUP([jobnumber],OvalData[],MATCH(Table2[[#Headers],[barrelrings]],Table2[#Headers],0),0)</f>
        <v>1</v>
      </c>
    </row>
    <row r="604" spans="2:79">
      <c r="B604" s="2" t="str">
        <f>VLOOKUP([jobnumber],OvalData[],MATCH(Table2[[#Headers],[Hand]],Table2[#Headers],0),0)</f>
        <v>RH</v>
      </c>
      <c r="C604" s="2" t="str">
        <f>VLOOKUP([jobnumber],OvalData[],MATCH(Table2[[#Headers],[Model]],Table2[#Headers],0),0)</f>
        <v>SFMPP</v>
      </c>
      <c r="D604" s="2" t="str">
        <f>VLOOKUP([jobnumber],OvalData[],MATCH(Table2[[#Headers],[width]],Table2[#Headers],0),0)</f>
        <v xml:space="preserve"> 18 ft.- 2"</v>
      </c>
      <c r="E604" s="2" t="str">
        <f>VLOOKUP([jobnumber],OvalData[],MATCH(Table2[[#Headers],[stopheight]],Table2[#Headers],0),0)</f>
        <v xml:space="preserve"> 10 ft.- 0"</v>
      </c>
      <c r="F604" s="2" t="str">
        <f>VLOOKUP([jobnumber],OvalData[],MATCH(Table2[[#Headers],[Between Brackets]],Table2[#Headers],0),0)</f>
        <v xml:space="preserve"> 18 ft.- 7 7/ 8"</v>
      </c>
      <c r="G604" s="2" t="str">
        <f>VLOOKUP([jobnumber],OvalData[],MATCH(Table2[[#Headers],[shell]],Table2[#Headers],0),0)</f>
        <v>6 INCH TUBE</v>
      </c>
      <c r="H604" s="2" t="str">
        <f>VLOOKUP([jobnumber],OvalData[],MATCH(Table2[[#Headers],[pipewidth]],Table2[#Headers],0),0)</f>
        <v xml:space="preserve"> 18 ft.- 1 3/ 8"</v>
      </c>
      <c r="I604" s="2">
        <f>VLOOKUP([jobnumber],OvalData[],MATCH(Table2[[#Headers],[Support Tubes]],Table2[#Headers],0),0)</f>
        <v>0</v>
      </c>
      <c r="J604" s="2">
        <f>VLOOKUP([jobnumber],OvalData[],MATCH(Table2[[#Headers],[Upset]],Table2[#Headers],0),0)</f>
        <v>2</v>
      </c>
      <c r="K604" s="2" t="str">
        <f>VLOOKUP([jobnumber],OvalData[],MATCH(Table2[[#Headers],[Guide Type]],Table2[#Headers],0),0)</f>
        <v>SN2-4 5/8-E</v>
      </c>
      <c r="L604" s="2" t="str">
        <f>VLOOKUP([jobnumber],OvalData[],MATCH(Table2[[#Headers],[Wall Angle]],Table2[#Headers],0),0)</f>
        <v xml:space="preserve"> 11 ft.- 8"</v>
      </c>
      <c r="M604" s="2" t="str">
        <f>VLOOKUP([jobnumber],OvalData[],MATCH(Table2[[#Headers],[Middle Angle]],Table2[#Headers],0),0)</f>
        <v xml:space="preserve"> 10 ft.- 4 1/ 2"</v>
      </c>
      <c r="N604" s="2" t="str">
        <f>VLOOKUP([jobnumber],OvalData[],MATCH(Table2[[#Headers],[Front Angle]],Table2[#Headers],0),0)</f>
        <v xml:space="preserve"> 10 ft.- 3"</v>
      </c>
      <c r="O604" s="2">
        <f>VLOOKUP([jobnumber],OvalData[],MATCH(Table2[[#Headers],[Pipe Center Line]],Table2[#Headers],0),0)</f>
        <v>131</v>
      </c>
      <c r="P604" s="2">
        <f>VLOOKUP([jobnumber],OvalData[],MATCH(Table2[[#Headers],[Heat Expansion Gap]],Table2[#Headers],0),0)</f>
        <v>0</v>
      </c>
      <c r="Q604" s="2">
        <f>VLOOKUP([jobnumber],OvalData[],MATCH(Table2[[#Headers],[Hanging Weight Closed]],Table2[#Headers],0),0)</f>
        <v>795</v>
      </c>
      <c r="R604" s="2">
        <f>VLOOKUP([jobnumber],OvalData[],MATCH(Table2[[#Headers],[Hanging Weight Open]],Table2[#Headers],0),0)</f>
        <v>140</v>
      </c>
      <c r="S604" s="2">
        <f>VLOOKUP([jobnumber],OvalData[],MATCH(Table2[[#Headers],[Initial Lever Arm]],Table2[#Headers],0),0)</f>
        <v>4.25</v>
      </c>
      <c r="T604" s="2">
        <f>VLOOKUP([jobnumber],OvalData[],MATCH(Table2[[#Headers],[Turns to Raise]],Table2[#Headers],0),0)</f>
        <v>3.5859999999999999</v>
      </c>
      <c r="U604" s="2">
        <f>VLOOKUP([jobnumber],OvalData[],MATCH(Table2[[#Headers],[Final Lever Arm]],Table2[#Headers],0),0)</f>
        <v>6.37</v>
      </c>
      <c r="V604" s="2">
        <f>VLOOKUP([jobnumber],OvalData[],MATCH(Table2[[#Headers],[Torque Required Closed]],Table2[#Headers],0),0)</f>
        <v>3377.9</v>
      </c>
      <c r="W604" s="2">
        <f>VLOOKUP([jobnumber],OvalData[],MATCH(Table2[[#Headers],[Torque Required Open]],Table2[#Headers],0),0)</f>
        <v>892</v>
      </c>
      <c r="X604" s="2">
        <f>VLOOKUP([jobnumber],OvalData[],MATCH(Table2[[#Headers],[Pre Turns]],Table2[#Headers],0),0)</f>
        <v>1.3332999999999999</v>
      </c>
      <c r="Y604" s="2">
        <f>VLOOKUP([jobnumber],OvalData[],MATCH(Table2[[#Headers],[Required Torque Per Turn]],Table2[#Headers],0),0)</f>
        <v>688</v>
      </c>
      <c r="Z604" s="2">
        <f>VLOOKUP([jobnumber],OvalData[],MATCH(Table2[[#Headers],[Total Turns]],Table2[#Headers],0),0)</f>
        <v>4.91</v>
      </c>
      <c r="AA604" s="2">
        <f>VLOOKUP([jobnumber],OvalData[],MATCH(Table2[[#Headers],[Grille Vision Section]],Table2[#Headers],0),0)</f>
        <v>0</v>
      </c>
      <c r="AB604" s="2">
        <f>VLOOKUP([jobnumber],OvalData[],MATCH(Table2[[#Headers],[Grille Amount]],Table2[#Headers],0),0)</f>
        <v>0</v>
      </c>
      <c r="AC604" s="2">
        <f>VLOOKUP([jobnumber],OvalData[],MATCH(Table2[[#Headers],[Grille Center]],Table2[#Headers],0),0)</f>
        <v>0</v>
      </c>
      <c r="AD604" s="2">
        <f>VLOOKUP([jobnumber],OvalData[],MATCH(Table2[[#Headers],[Grille Pattern]],Table2[#Headers],0),0)</f>
        <v>0</v>
      </c>
      <c r="AE604" s="2">
        <f>VLOOKUP([jobnumber],OvalData[],MATCH(Table2[[#Headers],[Grille First Tube]],Table2[#Headers],0),0)</f>
        <v>0</v>
      </c>
      <c r="AF604" s="2">
        <f>VLOOKUP([jobnumber],OvalData[],MATCH(Table2[[#Headers],[Grille Standard Tube]],Table2[#Headers],0),0)</f>
        <v>0</v>
      </c>
      <c r="AG604" s="2">
        <f>VLOOKUP([jobnumber],OvalData[],MATCH(Table2[[#Headers],[Grille Total Links]],Table2[#Headers],0),0)</f>
        <v>0</v>
      </c>
      <c r="AH604" s="2">
        <f>VLOOKUP([jobnumber],OvalData[],MATCH(Table2[[#Headers],[Grille Rods]],Table2[#Headers],0),0)</f>
        <v>0</v>
      </c>
      <c r="AI604" s="2">
        <f>VLOOKUP([jobnumber],OvalData[],MATCH(Table2[[#Headers],[Grille Rod Length]],Table2[#Headers],0),0)</f>
        <v>0</v>
      </c>
      <c r="AJ604" s="2">
        <f>VLOOKUP([jobnumber],OvalData[],MATCH(Table2[[#Headers],[slattype]],Table2[#Headers],0),0)</f>
        <v>2</v>
      </c>
      <c r="AK604" s="2">
        <f>VLOOKUP([jobnumber],OvalData[],MATCH(Table2[[#Headers],[slatgage]],Table2[#Headers],0),0)</f>
        <v>18</v>
      </c>
      <c r="AL604" s="2">
        <f>VLOOKUP([jobnumber],OvalData[],MATCH(Table2[[#Headers],[Numer of Top Slats]],Table2[#Headers],0),0)</f>
        <v>0</v>
      </c>
      <c r="AM604" s="2">
        <f>VLOOKUP([jobnumber],OvalData[],MATCH(Table2[[#Headers],[Number of Bottom Slats]],Table2[#Headers],0),0)</f>
        <v>0</v>
      </c>
      <c r="AN604" s="2">
        <f>VLOOKUP([jobnumber],OvalData[],MATCH(Table2[[#Headers],[Solid Bottom Height]],Table2[#Headers],0),0)</f>
        <v>0</v>
      </c>
      <c r="AO604" s="2" t="str">
        <f>VLOOKUP([jobnumber],OvalData[],MATCH(Table2[[#Headers],[slatlength]],Table2[#Headers],0),0)</f>
        <v xml:space="preserve"> 18 ft.- 5 7/ 8"</v>
      </c>
      <c r="AP604" s="2">
        <f>VLOOKUP([jobnumber],OvalData[],MATCH(Table2[[#Headers],[Bottom Slat Length]],Table2[#Headers],0),0)</f>
        <v>0</v>
      </c>
      <c r="AQ604" s="2">
        <f>VLOOKUP([jobnumber],OvalData[],MATCH(Table2[[#Headers],[Number of Perferated Slats]],Table2[#Headers],0),0)</f>
        <v>0</v>
      </c>
      <c r="AR604" s="2">
        <f>VLOOKUP([jobnumber],OvalData[],MATCH(Table2[[#Headers],[First Preferated Slat From End]],Table2[#Headers],0),0)</f>
        <v>0</v>
      </c>
      <c r="AS604" s="2">
        <f>VLOOKUP([jobnumber],OvalData[],MATCH(Table2[[#Headers],[First Preferated Slat From Bottom]],Table2[#Headers],0),0)</f>
        <v>0</v>
      </c>
      <c r="AT604" s="2">
        <f>VLOOKUP([jobnumber],OvalData[],MATCH(Table2[[#Headers],[Total Number of Slats]],Table2[#Headers],0),0)</f>
        <v>51</v>
      </c>
      <c r="AU604" s="2">
        <f>VLOOKUP([jobnumber],OvalData[],MATCH(Table2[[#Headers],[Bottom Bar Slope]],Table2[#Headers],0),0)</f>
        <v>0</v>
      </c>
      <c r="AV604" s="2">
        <f>VLOOKUP([jobnumber],OvalData[],MATCH(Table2[[#Headers],[Bottom Bar Weight]],Table2[#Headers],0),0)</f>
        <v>80.5</v>
      </c>
      <c r="AW604" s="2" t="str">
        <f>VLOOKUP([jobnumber],OvalData[],MATCH(Table2[[#Headers],[Outer Spring Gage]],Table2[#Headers],0),0)</f>
        <v>Null</v>
      </c>
      <c r="AX604" s="2" t="str">
        <f>VLOOKUP([jobnumber],OvalData[],MATCH(Table2[[#Headers],[Outer Spring OD]],Table2[#Headers],0),0)</f>
        <v>Null</v>
      </c>
      <c r="AY604" s="2" t="str">
        <f>VLOOKUP([jobnumber],OvalData[],MATCH(Table2[[#Headers],[Outer Spring Length]],Table2[#Headers],0),0)</f>
        <v>Null</v>
      </c>
      <c r="AZ604" s="2" t="str">
        <f>VLOOKUP([jobnumber],OvalData[],MATCH(Table2[[#Headers],[Outer Spring Stretch]],Table2[#Headers],0),0)</f>
        <v>Null</v>
      </c>
      <c r="BA604" s="2" t="str">
        <f>VLOOKUP([jobnumber],OvalData[],MATCH(Table2[[#Headers],[Outer Spring Torque]],Table2[#Headers],0),0)</f>
        <v>Null</v>
      </c>
      <c r="BB604" s="2" t="str">
        <f>VLOOKUP([jobnumber],OvalData[],MATCH(Table2[[#Headers],[Outer Spring Max Turns]],Table2[#Headers],0),0)</f>
        <v>Null</v>
      </c>
      <c r="BC604" s="2" t="str">
        <f>VLOOKUP([jobnumber],OvalData[],MATCH(Table2[[#Headers],[Outer Spring Weight]],Table2[#Headers],0),0)</f>
        <v>Null</v>
      </c>
      <c r="BD604" s="2" t="str">
        <f>VLOOKUP([jobnumber],OvalData[],MATCH(Table2[[#Headers],[Inner Spring Gage]],Table2[#Headers],0),0)</f>
        <v>Null</v>
      </c>
      <c r="BE604" s="2" t="str">
        <f>VLOOKUP([jobnumber],OvalData[],MATCH(Table2[[#Headers],[Inner Spring OD]],Table2[#Headers],0),0)</f>
        <v>Null</v>
      </c>
      <c r="BF604" s="2" t="str">
        <f>VLOOKUP([jobnumber],OvalData[],MATCH(Table2[[#Headers],[Inner Spring Length]],Table2[#Headers],0),0)</f>
        <v>Null</v>
      </c>
      <c r="BG604" s="2" t="str">
        <f>VLOOKUP([jobnumber],OvalData[],MATCH(Table2[[#Headers],[Inner Spring Stretch]],Table2[#Headers],0),0)</f>
        <v>Null</v>
      </c>
      <c r="BH604" s="2" t="str">
        <f>VLOOKUP([jobnumber],OvalData[],MATCH(Table2[[#Headers],[Inner Spring Torque]],Table2[#Headers],0),0)</f>
        <v>Null</v>
      </c>
      <c r="BI604" s="2" t="str">
        <f>VLOOKUP([jobnumber],OvalData[],MATCH(Table2[[#Headers],[Inner Spring Max Turns]],Table2[#Headers],0),0)</f>
        <v>Null</v>
      </c>
      <c r="BJ604" s="2" t="str">
        <f>VLOOKUP([jobnumber],OvalData[],MATCH(Table2[[#Headers],[Inner Spring Weight]],Table2[#Headers],0),0)</f>
        <v>Null</v>
      </c>
      <c r="BK604" s="2">
        <f>VLOOKUP([jobnumber],OvalData[],MATCH(Table2[[#Headers],[Cycles]],Table2[#Headers],0),0)</f>
        <v>0</v>
      </c>
      <c r="BL604" s="2">
        <f>VLOOKUP([jobnumber],OvalData[],MATCH(Table2[[#Headers],[Total Spring Torque]],Table2[#Headers],0),0)</f>
        <v>0</v>
      </c>
      <c r="BM604" s="2">
        <f>VLOOKUP([jobnumber],OvalData[],MATCH(Table2[[#Headers],[Total Spring Weight]],Table2[#Headers],0),0)</f>
        <v>0</v>
      </c>
      <c r="BN604" s="2">
        <f>VLOOKUP([jobnumber],OvalData[],MATCH(Table2[[#Headers],[Pipe Weight]],Table2[#Headers],0),0)</f>
        <v>688.24239999999998</v>
      </c>
      <c r="BO604" s="2">
        <f>VLOOKUP([jobnumber],OvalData[],MATCH(Table2[[#Headers],[Max Pipe Deflection]],Table2[#Headers],0),0)</f>
        <v>2309</v>
      </c>
      <c r="BP604" s="2">
        <f>VLOOKUP([jobnumber],OvalData[],MATCH(Table2[[#Headers],[Number Non-Insulated Wrap Slats]],Table2[#Headers],0),0)</f>
        <v>0</v>
      </c>
      <c r="BQ604" s="2">
        <f>VLOOKUP([jobnumber],OvalData[],MATCH(Table2[[#Headers],[Number of Insolated Top Slats]],Table2[#Headers],0),0)</f>
        <v>45</v>
      </c>
      <c r="BR604" s="2">
        <f>VLOOKUP([jobnumber],OvalData[],MATCH(Table2[[#Headers],[Insolated Total Slats]],Table2[#Headers],0),0)</f>
        <v>45</v>
      </c>
      <c r="BS604" s="2">
        <f>VLOOKUP([jobnumber],OvalData[],MATCH(Table2[[#Headers],[Number of Slats]],Table2[#Headers],0),0)</f>
        <v>44.69</v>
      </c>
      <c r="BT604" s="2">
        <f>VLOOKUP([jobnumber],OvalData[],MATCH(Table2[[#Headers],[Wrap]],Table2[#Headers],0),0)</f>
        <v>0</v>
      </c>
      <c r="BU604" s="2">
        <f>VLOOKUP([jobnumber],OvalData[],MATCH(Table2[[#Headers],[Wall Angle Thickness]],Table2[#Headers],0),0)</f>
        <v>0</v>
      </c>
      <c r="BV604" s="2">
        <f>VLOOKUP([jobnumber],OvalData[],MATCH(Table2[[#Headers],[windlocks]],Table2[#Headers],0),0)</f>
        <v>0</v>
      </c>
      <c r="BW604" s="2" t="str">
        <f>VLOOKUP([jobnumber],OvalData[],MATCH(Table2[[#Headers],[bottombartype]],Table2[#Headers],0),0)</f>
        <v>SPECIAL</v>
      </c>
      <c r="BX604" s="2">
        <f>VLOOKUP([jobnumber],OvalData[],MATCH(Table2[[#Headers],[endlockweight]],Table2[#Headers],0),0)</f>
        <v>0.17</v>
      </c>
      <c r="BY604" s="2">
        <f>VLOOKUP([jobnumber],OvalData[],MATCH(Table2[[#Headers],[Endlock Total Weight]],Table2[#Headers],0),0)</f>
        <v>7.5972999999999997</v>
      </c>
      <c r="BZ604" s="2">
        <f>VLOOKUP([jobnumber],OvalData[],MATCH(Table2[[#Headers],[Grille Weight]],Table2[#Headers],0),0)</f>
        <v>0</v>
      </c>
      <c r="CA604" s="2">
        <f>VLOOKUP([jobnumber],OvalData[],MATCH(Table2[[#Headers],[barrelrings]],Table2[#Headers],0),0)</f>
        <v>1</v>
      </c>
    </row>
    <row r="605" spans="2:79">
      <c r="B605" s="2" t="str">
        <f>VLOOKUP([jobnumber],OvalData[],MATCH(Table2[[#Headers],[Hand]],Table2[#Headers],0),0)</f>
        <v>RH</v>
      </c>
      <c r="C605" s="2" t="str">
        <f>VLOOKUP([jobnumber],OvalData[],MATCH(Table2[[#Headers],[Model]],Table2[#Headers],0),0)</f>
        <v>SFMPP</v>
      </c>
      <c r="D605" s="2" t="str">
        <f>VLOOKUP([jobnumber],OvalData[],MATCH(Table2[[#Headers],[width]],Table2[#Headers],0),0)</f>
        <v xml:space="preserve"> 18 ft.- 2"</v>
      </c>
      <c r="E605" s="2" t="str">
        <f>VLOOKUP([jobnumber],OvalData[],MATCH(Table2[[#Headers],[stopheight]],Table2[#Headers],0),0)</f>
        <v xml:space="preserve"> 10 ft.- 0"</v>
      </c>
      <c r="F605" s="2" t="str">
        <f>VLOOKUP([jobnumber],OvalData[],MATCH(Table2[[#Headers],[Between Brackets]],Table2[#Headers],0),0)</f>
        <v xml:space="preserve"> 18 ft.- 7 7/ 8"</v>
      </c>
      <c r="G605" s="2" t="str">
        <f>VLOOKUP([jobnumber],OvalData[],MATCH(Table2[[#Headers],[shell]],Table2[#Headers],0),0)</f>
        <v>6 INCH TUBE</v>
      </c>
      <c r="H605" s="2" t="str">
        <f>VLOOKUP([jobnumber],OvalData[],MATCH(Table2[[#Headers],[pipewidth]],Table2[#Headers],0),0)</f>
        <v xml:space="preserve"> 18 ft.- 1 3/ 8"</v>
      </c>
      <c r="I605" s="2">
        <f>VLOOKUP([jobnumber],OvalData[],MATCH(Table2[[#Headers],[Support Tubes]],Table2[#Headers],0),0)</f>
        <v>0</v>
      </c>
      <c r="J605" s="2">
        <f>VLOOKUP([jobnumber],OvalData[],MATCH(Table2[[#Headers],[Upset]],Table2[#Headers],0),0)</f>
        <v>2</v>
      </c>
      <c r="K605" s="2" t="str">
        <f>VLOOKUP([jobnumber],OvalData[],MATCH(Table2[[#Headers],[Guide Type]],Table2[#Headers],0),0)</f>
        <v>SN2-4 5/8-E</v>
      </c>
      <c r="L605" s="2" t="str">
        <f>VLOOKUP([jobnumber],OvalData[],MATCH(Table2[[#Headers],[Wall Angle]],Table2[#Headers],0),0)</f>
        <v xml:space="preserve"> 11 ft.- 8"</v>
      </c>
      <c r="M605" s="2" t="str">
        <f>VLOOKUP([jobnumber],OvalData[],MATCH(Table2[[#Headers],[Middle Angle]],Table2[#Headers],0),0)</f>
        <v xml:space="preserve"> 10 ft.- 4 1/ 2"</v>
      </c>
      <c r="N605" s="2" t="str">
        <f>VLOOKUP([jobnumber],OvalData[],MATCH(Table2[[#Headers],[Front Angle]],Table2[#Headers],0),0)</f>
        <v xml:space="preserve"> 10 ft.- 3"</v>
      </c>
      <c r="O605" s="2">
        <f>VLOOKUP([jobnumber],OvalData[],MATCH(Table2[[#Headers],[Pipe Center Line]],Table2[#Headers],0),0)</f>
        <v>131</v>
      </c>
      <c r="P605" s="2">
        <f>VLOOKUP([jobnumber],OvalData[],MATCH(Table2[[#Headers],[Heat Expansion Gap]],Table2[#Headers],0),0)</f>
        <v>0</v>
      </c>
      <c r="Q605" s="2">
        <f>VLOOKUP([jobnumber],OvalData[],MATCH(Table2[[#Headers],[Hanging Weight Closed]],Table2[#Headers],0),0)</f>
        <v>795</v>
      </c>
      <c r="R605" s="2">
        <f>VLOOKUP([jobnumber],OvalData[],MATCH(Table2[[#Headers],[Hanging Weight Open]],Table2[#Headers],0),0)</f>
        <v>140</v>
      </c>
      <c r="S605" s="2">
        <f>VLOOKUP([jobnumber],OvalData[],MATCH(Table2[[#Headers],[Initial Lever Arm]],Table2[#Headers],0),0)</f>
        <v>4.25</v>
      </c>
      <c r="T605" s="2">
        <f>VLOOKUP([jobnumber],OvalData[],MATCH(Table2[[#Headers],[Turns to Raise]],Table2[#Headers],0),0)</f>
        <v>3.5859999999999999</v>
      </c>
      <c r="U605" s="2">
        <f>VLOOKUP([jobnumber],OvalData[],MATCH(Table2[[#Headers],[Final Lever Arm]],Table2[#Headers],0),0)</f>
        <v>6.37</v>
      </c>
      <c r="V605" s="2">
        <f>VLOOKUP([jobnumber],OvalData[],MATCH(Table2[[#Headers],[Torque Required Closed]],Table2[#Headers],0),0)</f>
        <v>3377.9</v>
      </c>
      <c r="W605" s="2">
        <f>VLOOKUP([jobnumber],OvalData[],MATCH(Table2[[#Headers],[Torque Required Open]],Table2[#Headers],0),0)</f>
        <v>892</v>
      </c>
      <c r="X605" s="2">
        <f>VLOOKUP([jobnumber],OvalData[],MATCH(Table2[[#Headers],[Pre Turns]],Table2[#Headers],0),0)</f>
        <v>1.3332999999999999</v>
      </c>
      <c r="Y605" s="2">
        <f>VLOOKUP([jobnumber],OvalData[],MATCH(Table2[[#Headers],[Required Torque Per Turn]],Table2[#Headers],0),0)</f>
        <v>688</v>
      </c>
      <c r="Z605" s="2">
        <f>VLOOKUP([jobnumber],OvalData[],MATCH(Table2[[#Headers],[Total Turns]],Table2[#Headers],0),0)</f>
        <v>4.91</v>
      </c>
      <c r="AA605" s="2">
        <f>VLOOKUP([jobnumber],OvalData[],MATCH(Table2[[#Headers],[Grille Vision Section]],Table2[#Headers],0),0)</f>
        <v>0</v>
      </c>
      <c r="AB605" s="2">
        <f>VLOOKUP([jobnumber],OvalData[],MATCH(Table2[[#Headers],[Grille Amount]],Table2[#Headers],0),0)</f>
        <v>0</v>
      </c>
      <c r="AC605" s="2">
        <f>VLOOKUP([jobnumber],OvalData[],MATCH(Table2[[#Headers],[Grille Center]],Table2[#Headers],0),0)</f>
        <v>0</v>
      </c>
      <c r="AD605" s="2">
        <f>VLOOKUP([jobnumber],OvalData[],MATCH(Table2[[#Headers],[Grille Pattern]],Table2[#Headers],0),0)</f>
        <v>0</v>
      </c>
      <c r="AE605" s="2">
        <f>VLOOKUP([jobnumber],OvalData[],MATCH(Table2[[#Headers],[Grille First Tube]],Table2[#Headers],0),0)</f>
        <v>0</v>
      </c>
      <c r="AF605" s="2">
        <f>VLOOKUP([jobnumber],OvalData[],MATCH(Table2[[#Headers],[Grille Standard Tube]],Table2[#Headers],0),0)</f>
        <v>0</v>
      </c>
      <c r="AG605" s="2">
        <f>VLOOKUP([jobnumber],OvalData[],MATCH(Table2[[#Headers],[Grille Total Links]],Table2[#Headers],0),0)</f>
        <v>0</v>
      </c>
      <c r="AH605" s="2">
        <f>VLOOKUP([jobnumber],OvalData[],MATCH(Table2[[#Headers],[Grille Rods]],Table2[#Headers],0),0)</f>
        <v>0</v>
      </c>
      <c r="AI605" s="2">
        <f>VLOOKUP([jobnumber],OvalData[],MATCH(Table2[[#Headers],[Grille Rod Length]],Table2[#Headers],0),0)</f>
        <v>0</v>
      </c>
      <c r="AJ605" s="2">
        <f>VLOOKUP([jobnumber],OvalData[],MATCH(Table2[[#Headers],[slattype]],Table2[#Headers],0),0)</f>
        <v>2</v>
      </c>
      <c r="AK605" s="2">
        <f>VLOOKUP([jobnumber],OvalData[],MATCH(Table2[[#Headers],[slatgage]],Table2[#Headers],0),0)</f>
        <v>18</v>
      </c>
      <c r="AL605" s="2">
        <f>VLOOKUP([jobnumber],OvalData[],MATCH(Table2[[#Headers],[Numer of Top Slats]],Table2[#Headers],0),0)</f>
        <v>0</v>
      </c>
      <c r="AM605" s="2">
        <f>VLOOKUP([jobnumber],OvalData[],MATCH(Table2[[#Headers],[Number of Bottom Slats]],Table2[#Headers],0),0)</f>
        <v>0</v>
      </c>
      <c r="AN605" s="2">
        <f>VLOOKUP([jobnumber],OvalData[],MATCH(Table2[[#Headers],[Solid Bottom Height]],Table2[#Headers],0),0)</f>
        <v>0</v>
      </c>
      <c r="AO605" s="2" t="str">
        <f>VLOOKUP([jobnumber],OvalData[],MATCH(Table2[[#Headers],[slatlength]],Table2[#Headers],0),0)</f>
        <v xml:space="preserve"> 18 ft.- 5 7/ 8"</v>
      </c>
      <c r="AP605" s="2">
        <f>VLOOKUP([jobnumber],OvalData[],MATCH(Table2[[#Headers],[Bottom Slat Length]],Table2[#Headers],0),0)</f>
        <v>0</v>
      </c>
      <c r="AQ605" s="2">
        <f>VLOOKUP([jobnumber],OvalData[],MATCH(Table2[[#Headers],[Number of Perferated Slats]],Table2[#Headers],0),0)</f>
        <v>0</v>
      </c>
      <c r="AR605" s="2">
        <f>VLOOKUP([jobnumber],OvalData[],MATCH(Table2[[#Headers],[First Preferated Slat From End]],Table2[#Headers],0),0)</f>
        <v>0</v>
      </c>
      <c r="AS605" s="2">
        <f>VLOOKUP([jobnumber],OvalData[],MATCH(Table2[[#Headers],[First Preferated Slat From Bottom]],Table2[#Headers],0),0)</f>
        <v>0</v>
      </c>
      <c r="AT605" s="2">
        <f>VLOOKUP([jobnumber],OvalData[],MATCH(Table2[[#Headers],[Total Number of Slats]],Table2[#Headers],0),0)</f>
        <v>51</v>
      </c>
      <c r="AU605" s="2">
        <f>VLOOKUP([jobnumber],OvalData[],MATCH(Table2[[#Headers],[Bottom Bar Slope]],Table2[#Headers],0),0)</f>
        <v>0</v>
      </c>
      <c r="AV605" s="2">
        <f>VLOOKUP([jobnumber],OvalData[],MATCH(Table2[[#Headers],[Bottom Bar Weight]],Table2[#Headers],0),0)</f>
        <v>80.5</v>
      </c>
      <c r="AW605" s="2" t="str">
        <f>VLOOKUP([jobnumber],OvalData[],MATCH(Table2[[#Headers],[Outer Spring Gage]],Table2[#Headers],0),0)</f>
        <v>Null</v>
      </c>
      <c r="AX605" s="2" t="str">
        <f>VLOOKUP([jobnumber],OvalData[],MATCH(Table2[[#Headers],[Outer Spring OD]],Table2[#Headers],0),0)</f>
        <v>Null</v>
      </c>
      <c r="AY605" s="2" t="str">
        <f>VLOOKUP([jobnumber],OvalData[],MATCH(Table2[[#Headers],[Outer Spring Length]],Table2[#Headers],0),0)</f>
        <v>Null</v>
      </c>
      <c r="AZ605" s="2" t="str">
        <f>VLOOKUP([jobnumber],OvalData[],MATCH(Table2[[#Headers],[Outer Spring Stretch]],Table2[#Headers],0),0)</f>
        <v>Null</v>
      </c>
      <c r="BA605" s="2" t="str">
        <f>VLOOKUP([jobnumber],OvalData[],MATCH(Table2[[#Headers],[Outer Spring Torque]],Table2[#Headers],0),0)</f>
        <v>Null</v>
      </c>
      <c r="BB605" s="2" t="str">
        <f>VLOOKUP([jobnumber],OvalData[],MATCH(Table2[[#Headers],[Outer Spring Max Turns]],Table2[#Headers],0),0)</f>
        <v>Null</v>
      </c>
      <c r="BC605" s="2" t="str">
        <f>VLOOKUP([jobnumber],OvalData[],MATCH(Table2[[#Headers],[Outer Spring Weight]],Table2[#Headers],0),0)</f>
        <v>Null</v>
      </c>
      <c r="BD605" s="2" t="str">
        <f>VLOOKUP([jobnumber],OvalData[],MATCH(Table2[[#Headers],[Inner Spring Gage]],Table2[#Headers],0),0)</f>
        <v>Null</v>
      </c>
      <c r="BE605" s="2" t="str">
        <f>VLOOKUP([jobnumber],OvalData[],MATCH(Table2[[#Headers],[Inner Spring OD]],Table2[#Headers],0),0)</f>
        <v>Null</v>
      </c>
      <c r="BF605" s="2" t="str">
        <f>VLOOKUP([jobnumber],OvalData[],MATCH(Table2[[#Headers],[Inner Spring Length]],Table2[#Headers],0),0)</f>
        <v>Null</v>
      </c>
      <c r="BG605" s="2" t="str">
        <f>VLOOKUP([jobnumber],OvalData[],MATCH(Table2[[#Headers],[Inner Spring Stretch]],Table2[#Headers],0),0)</f>
        <v>Null</v>
      </c>
      <c r="BH605" s="2" t="str">
        <f>VLOOKUP([jobnumber],OvalData[],MATCH(Table2[[#Headers],[Inner Spring Torque]],Table2[#Headers],0),0)</f>
        <v>Null</v>
      </c>
      <c r="BI605" s="2" t="str">
        <f>VLOOKUP([jobnumber],OvalData[],MATCH(Table2[[#Headers],[Inner Spring Max Turns]],Table2[#Headers],0),0)</f>
        <v>Null</v>
      </c>
      <c r="BJ605" s="2" t="str">
        <f>VLOOKUP([jobnumber],OvalData[],MATCH(Table2[[#Headers],[Inner Spring Weight]],Table2[#Headers],0),0)</f>
        <v>Null</v>
      </c>
      <c r="BK605" s="2">
        <f>VLOOKUP([jobnumber],OvalData[],MATCH(Table2[[#Headers],[Cycles]],Table2[#Headers],0),0)</f>
        <v>0</v>
      </c>
      <c r="BL605" s="2">
        <f>VLOOKUP([jobnumber],OvalData[],MATCH(Table2[[#Headers],[Total Spring Torque]],Table2[#Headers],0),0)</f>
        <v>0</v>
      </c>
      <c r="BM605" s="2">
        <f>VLOOKUP([jobnumber],OvalData[],MATCH(Table2[[#Headers],[Total Spring Weight]],Table2[#Headers],0),0)</f>
        <v>0</v>
      </c>
      <c r="BN605" s="2">
        <f>VLOOKUP([jobnumber],OvalData[],MATCH(Table2[[#Headers],[Pipe Weight]],Table2[#Headers],0),0)</f>
        <v>688.24239999999998</v>
      </c>
      <c r="BO605" s="2">
        <f>VLOOKUP([jobnumber],OvalData[],MATCH(Table2[[#Headers],[Max Pipe Deflection]],Table2[#Headers],0),0)</f>
        <v>2309</v>
      </c>
      <c r="BP605" s="2">
        <f>VLOOKUP([jobnumber],OvalData[],MATCH(Table2[[#Headers],[Number Non-Insulated Wrap Slats]],Table2[#Headers],0),0)</f>
        <v>0</v>
      </c>
      <c r="BQ605" s="2">
        <f>VLOOKUP([jobnumber],OvalData[],MATCH(Table2[[#Headers],[Number of Insolated Top Slats]],Table2[#Headers],0),0)</f>
        <v>45</v>
      </c>
      <c r="BR605" s="2">
        <f>VLOOKUP([jobnumber],OvalData[],MATCH(Table2[[#Headers],[Insolated Total Slats]],Table2[#Headers],0),0)</f>
        <v>45</v>
      </c>
      <c r="BS605" s="2">
        <f>VLOOKUP([jobnumber],OvalData[],MATCH(Table2[[#Headers],[Number of Slats]],Table2[#Headers],0),0)</f>
        <v>44.69</v>
      </c>
      <c r="BT605" s="2">
        <f>VLOOKUP([jobnumber],OvalData[],MATCH(Table2[[#Headers],[Wrap]],Table2[#Headers],0),0)</f>
        <v>0</v>
      </c>
      <c r="BU605" s="2">
        <f>VLOOKUP([jobnumber],OvalData[],MATCH(Table2[[#Headers],[Wall Angle Thickness]],Table2[#Headers],0),0)</f>
        <v>0</v>
      </c>
      <c r="BV605" s="2">
        <f>VLOOKUP([jobnumber],OvalData[],MATCH(Table2[[#Headers],[windlocks]],Table2[#Headers],0),0)</f>
        <v>0</v>
      </c>
      <c r="BW605" s="2" t="str">
        <f>VLOOKUP([jobnumber],OvalData[],MATCH(Table2[[#Headers],[bottombartype]],Table2[#Headers],0),0)</f>
        <v>SPECIAL</v>
      </c>
      <c r="BX605" s="2">
        <f>VLOOKUP([jobnumber],OvalData[],MATCH(Table2[[#Headers],[endlockweight]],Table2[#Headers],0),0)</f>
        <v>0.17</v>
      </c>
      <c r="BY605" s="2">
        <f>VLOOKUP([jobnumber],OvalData[],MATCH(Table2[[#Headers],[Endlock Total Weight]],Table2[#Headers],0),0)</f>
        <v>7.5972999999999997</v>
      </c>
      <c r="BZ605" s="2">
        <f>VLOOKUP([jobnumber],OvalData[],MATCH(Table2[[#Headers],[Grille Weight]],Table2[#Headers],0),0)</f>
        <v>0</v>
      </c>
      <c r="CA605" s="2">
        <f>VLOOKUP([jobnumber],OvalData[],MATCH(Table2[[#Headers],[barrelrings]],Table2[#Headers],0),0)</f>
        <v>1</v>
      </c>
    </row>
    <row r="606" spans="2:79">
      <c r="B606" s="2" t="str">
        <f>VLOOKUP([jobnumber],OvalData[],MATCH(Table2[[#Headers],[Hand]],Table2[#Headers],0),0)</f>
        <v>RH</v>
      </c>
      <c r="C606" s="2" t="str">
        <f>VLOOKUP([jobnumber],OvalData[],MATCH(Table2[[#Headers],[Model]],Table2[#Headers],0),0)</f>
        <v>SFMPP</v>
      </c>
      <c r="D606" s="2" t="str">
        <f>VLOOKUP([jobnumber],OvalData[],MATCH(Table2[[#Headers],[width]],Table2[#Headers],0),0)</f>
        <v xml:space="preserve"> 18 ft.- 2"</v>
      </c>
      <c r="E606" s="2" t="str">
        <f>VLOOKUP([jobnumber],OvalData[],MATCH(Table2[[#Headers],[stopheight]],Table2[#Headers],0),0)</f>
        <v xml:space="preserve"> 10 ft.- 0"</v>
      </c>
      <c r="F606" s="2" t="str">
        <f>VLOOKUP([jobnumber],OvalData[],MATCH(Table2[[#Headers],[Between Brackets]],Table2[#Headers],0),0)</f>
        <v xml:space="preserve"> 18 ft.- 7 7/ 8"</v>
      </c>
      <c r="G606" s="2" t="str">
        <f>VLOOKUP([jobnumber],OvalData[],MATCH(Table2[[#Headers],[shell]],Table2[#Headers],0),0)</f>
        <v>6 INCH TUBE</v>
      </c>
      <c r="H606" s="2" t="str">
        <f>VLOOKUP([jobnumber],OvalData[],MATCH(Table2[[#Headers],[pipewidth]],Table2[#Headers],0),0)</f>
        <v xml:space="preserve"> 18 ft.- 1 3/ 8"</v>
      </c>
      <c r="I606" s="2">
        <f>VLOOKUP([jobnumber],OvalData[],MATCH(Table2[[#Headers],[Support Tubes]],Table2[#Headers],0),0)</f>
        <v>0</v>
      </c>
      <c r="J606" s="2">
        <f>VLOOKUP([jobnumber],OvalData[],MATCH(Table2[[#Headers],[Upset]],Table2[#Headers],0),0)</f>
        <v>2</v>
      </c>
      <c r="K606" s="2" t="str">
        <f>VLOOKUP([jobnumber],OvalData[],MATCH(Table2[[#Headers],[Guide Type]],Table2[#Headers],0),0)</f>
        <v>SN2-4 5/8-E</v>
      </c>
      <c r="L606" s="2" t="str">
        <f>VLOOKUP([jobnumber],OvalData[],MATCH(Table2[[#Headers],[Wall Angle]],Table2[#Headers],0),0)</f>
        <v xml:space="preserve"> 11 ft.- 8"</v>
      </c>
      <c r="M606" s="2" t="str">
        <f>VLOOKUP([jobnumber],OvalData[],MATCH(Table2[[#Headers],[Middle Angle]],Table2[#Headers],0),0)</f>
        <v xml:space="preserve"> 10 ft.- 4 1/ 2"</v>
      </c>
      <c r="N606" s="2" t="str">
        <f>VLOOKUP([jobnumber],OvalData[],MATCH(Table2[[#Headers],[Front Angle]],Table2[#Headers],0),0)</f>
        <v xml:space="preserve"> 10 ft.- 3"</v>
      </c>
      <c r="O606" s="2">
        <f>VLOOKUP([jobnumber],OvalData[],MATCH(Table2[[#Headers],[Pipe Center Line]],Table2[#Headers],0),0)</f>
        <v>131</v>
      </c>
      <c r="P606" s="2">
        <f>VLOOKUP([jobnumber],OvalData[],MATCH(Table2[[#Headers],[Heat Expansion Gap]],Table2[#Headers],0),0)</f>
        <v>0</v>
      </c>
      <c r="Q606" s="2">
        <f>VLOOKUP([jobnumber],OvalData[],MATCH(Table2[[#Headers],[Hanging Weight Closed]],Table2[#Headers],0),0)</f>
        <v>795</v>
      </c>
      <c r="R606" s="2">
        <f>VLOOKUP([jobnumber],OvalData[],MATCH(Table2[[#Headers],[Hanging Weight Open]],Table2[#Headers],0),0)</f>
        <v>140</v>
      </c>
      <c r="S606" s="2">
        <f>VLOOKUP([jobnumber],OvalData[],MATCH(Table2[[#Headers],[Initial Lever Arm]],Table2[#Headers],0),0)</f>
        <v>4.25</v>
      </c>
      <c r="T606" s="2">
        <f>VLOOKUP([jobnumber],OvalData[],MATCH(Table2[[#Headers],[Turns to Raise]],Table2[#Headers],0),0)</f>
        <v>3.5859999999999999</v>
      </c>
      <c r="U606" s="2">
        <f>VLOOKUP([jobnumber],OvalData[],MATCH(Table2[[#Headers],[Final Lever Arm]],Table2[#Headers],0),0)</f>
        <v>6.37</v>
      </c>
      <c r="V606" s="2">
        <f>VLOOKUP([jobnumber],OvalData[],MATCH(Table2[[#Headers],[Torque Required Closed]],Table2[#Headers],0),0)</f>
        <v>3377.9</v>
      </c>
      <c r="W606" s="2">
        <f>VLOOKUP([jobnumber],OvalData[],MATCH(Table2[[#Headers],[Torque Required Open]],Table2[#Headers],0),0)</f>
        <v>892</v>
      </c>
      <c r="X606" s="2">
        <f>VLOOKUP([jobnumber],OvalData[],MATCH(Table2[[#Headers],[Pre Turns]],Table2[#Headers],0),0)</f>
        <v>1.3332999999999999</v>
      </c>
      <c r="Y606" s="2">
        <f>VLOOKUP([jobnumber],OvalData[],MATCH(Table2[[#Headers],[Required Torque Per Turn]],Table2[#Headers],0),0)</f>
        <v>688</v>
      </c>
      <c r="Z606" s="2">
        <f>VLOOKUP([jobnumber],OvalData[],MATCH(Table2[[#Headers],[Total Turns]],Table2[#Headers],0),0)</f>
        <v>4.91</v>
      </c>
      <c r="AA606" s="2">
        <f>VLOOKUP([jobnumber],OvalData[],MATCH(Table2[[#Headers],[Grille Vision Section]],Table2[#Headers],0),0)</f>
        <v>0</v>
      </c>
      <c r="AB606" s="2">
        <f>VLOOKUP([jobnumber],OvalData[],MATCH(Table2[[#Headers],[Grille Amount]],Table2[#Headers],0),0)</f>
        <v>0</v>
      </c>
      <c r="AC606" s="2">
        <f>VLOOKUP([jobnumber],OvalData[],MATCH(Table2[[#Headers],[Grille Center]],Table2[#Headers],0),0)</f>
        <v>0</v>
      </c>
      <c r="AD606" s="2">
        <f>VLOOKUP([jobnumber],OvalData[],MATCH(Table2[[#Headers],[Grille Pattern]],Table2[#Headers],0),0)</f>
        <v>0</v>
      </c>
      <c r="AE606" s="2">
        <f>VLOOKUP([jobnumber],OvalData[],MATCH(Table2[[#Headers],[Grille First Tube]],Table2[#Headers],0),0)</f>
        <v>0</v>
      </c>
      <c r="AF606" s="2">
        <f>VLOOKUP([jobnumber],OvalData[],MATCH(Table2[[#Headers],[Grille Standard Tube]],Table2[#Headers],0),0)</f>
        <v>0</v>
      </c>
      <c r="AG606" s="2">
        <f>VLOOKUP([jobnumber],OvalData[],MATCH(Table2[[#Headers],[Grille Total Links]],Table2[#Headers],0),0)</f>
        <v>0</v>
      </c>
      <c r="AH606" s="2">
        <f>VLOOKUP([jobnumber],OvalData[],MATCH(Table2[[#Headers],[Grille Rods]],Table2[#Headers],0),0)</f>
        <v>0</v>
      </c>
      <c r="AI606" s="2">
        <f>VLOOKUP([jobnumber],OvalData[],MATCH(Table2[[#Headers],[Grille Rod Length]],Table2[#Headers],0),0)</f>
        <v>0</v>
      </c>
      <c r="AJ606" s="2">
        <f>VLOOKUP([jobnumber],OvalData[],MATCH(Table2[[#Headers],[slattype]],Table2[#Headers],0),0)</f>
        <v>2</v>
      </c>
      <c r="AK606" s="2">
        <f>VLOOKUP([jobnumber],OvalData[],MATCH(Table2[[#Headers],[slatgage]],Table2[#Headers],0),0)</f>
        <v>18</v>
      </c>
      <c r="AL606" s="2">
        <f>VLOOKUP([jobnumber],OvalData[],MATCH(Table2[[#Headers],[Numer of Top Slats]],Table2[#Headers],0),0)</f>
        <v>0</v>
      </c>
      <c r="AM606" s="2">
        <f>VLOOKUP([jobnumber],OvalData[],MATCH(Table2[[#Headers],[Number of Bottom Slats]],Table2[#Headers],0),0)</f>
        <v>0</v>
      </c>
      <c r="AN606" s="2">
        <f>VLOOKUP([jobnumber],OvalData[],MATCH(Table2[[#Headers],[Solid Bottom Height]],Table2[#Headers],0),0)</f>
        <v>0</v>
      </c>
      <c r="AO606" s="2" t="str">
        <f>VLOOKUP([jobnumber],OvalData[],MATCH(Table2[[#Headers],[slatlength]],Table2[#Headers],0),0)</f>
        <v xml:space="preserve"> 18 ft.- 5 7/ 8"</v>
      </c>
      <c r="AP606" s="2">
        <f>VLOOKUP([jobnumber],OvalData[],MATCH(Table2[[#Headers],[Bottom Slat Length]],Table2[#Headers],0),0)</f>
        <v>0</v>
      </c>
      <c r="AQ606" s="2">
        <f>VLOOKUP([jobnumber],OvalData[],MATCH(Table2[[#Headers],[Number of Perferated Slats]],Table2[#Headers],0),0)</f>
        <v>0</v>
      </c>
      <c r="AR606" s="2">
        <f>VLOOKUP([jobnumber],OvalData[],MATCH(Table2[[#Headers],[First Preferated Slat From End]],Table2[#Headers],0),0)</f>
        <v>0</v>
      </c>
      <c r="AS606" s="2">
        <f>VLOOKUP([jobnumber],OvalData[],MATCH(Table2[[#Headers],[First Preferated Slat From Bottom]],Table2[#Headers],0),0)</f>
        <v>0</v>
      </c>
      <c r="AT606" s="2">
        <f>VLOOKUP([jobnumber],OvalData[],MATCH(Table2[[#Headers],[Total Number of Slats]],Table2[#Headers],0),0)</f>
        <v>51</v>
      </c>
      <c r="AU606" s="2">
        <f>VLOOKUP([jobnumber],OvalData[],MATCH(Table2[[#Headers],[Bottom Bar Slope]],Table2[#Headers],0),0)</f>
        <v>0</v>
      </c>
      <c r="AV606" s="2">
        <f>VLOOKUP([jobnumber],OvalData[],MATCH(Table2[[#Headers],[Bottom Bar Weight]],Table2[#Headers],0),0)</f>
        <v>80.5</v>
      </c>
      <c r="AW606" s="2" t="str">
        <f>VLOOKUP([jobnumber],OvalData[],MATCH(Table2[[#Headers],[Outer Spring Gage]],Table2[#Headers],0),0)</f>
        <v>Null</v>
      </c>
      <c r="AX606" s="2" t="str">
        <f>VLOOKUP([jobnumber],OvalData[],MATCH(Table2[[#Headers],[Outer Spring OD]],Table2[#Headers],0),0)</f>
        <v>Null</v>
      </c>
      <c r="AY606" s="2" t="str">
        <f>VLOOKUP([jobnumber],OvalData[],MATCH(Table2[[#Headers],[Outer Spring Length]],Table2[#Headers],0),0)</f>
        <v>Null</v>
      </c>
      <c r="AZ606" s="2" t="str">
        <f>VLOOKUP([jobnumber],OvalData[],MATCH(Table2[[#Headers],[Outer Spring Stretch]],Table2[#Headers],0),0)</f>
        <v>Null</v>
      </c>
      <c r="BA606" s="2" t="str">
        <f>VLOOKUP([jobnumber],OvalData[],MATCH(Table2[[#Headers],[Outer Spring Torque]],Table2[#Headers],0),0)</f>
        <v>Null</v>
      </c>
      <c r="BB606" s="2" t="str">
        <f>VLOOKUP([jobnumber],OvalData[],MATCH(Table2[[#Headers],[Outer Spring Max Turns]],Table2[#Headers],0),0)</f>
        <v>Null</v>
      </c>
      <c r="BC606" s="2" t="str">
        <f>VLOOKUP([jobnumber],OvalData[],MATCH(Table2[[#Headers],[Outer Spring Weight]],Table2[#Headers],0),0)</f>
        <v>Null</v>
      </c>
      <c r="BD606" s="2" t="str">
        <f>VLOOKUP([jobnumber],OvalData[],MATCH(Table2[[#Headers],[Inner Spring Gage]],Table2[#Headers],0),0)</f>
        <v>Null</v>
      </c>
      <c r="BE606" s="2" t="str">
        <f>VLOOKUP([jobnumber],OvalData[],MATCH(Table2[[#Headers],[Inner Spring OD]],Table2[#Headers],0),0)</f>
        <v>Null</v>
      </c>
      <c r="BF606" s="2" t="str">
        <f>VLOOKUP([jobnumber],OvalData[],MATCH(Table2[[#Headers],[Inner Spring Length]],Table2[#Headers],0),0)</f>
        <v>Null</v>
      </c>
      <c r="BG606" s="2" t="str">
        <f>VLOOKUP([jobnumber],OvalData[],MATCH(Table2[[#Headers],[Inner Spring Stretch]],Table2[#Headers],0),0)</f>
        <v>Null</v>
      </c>
      <c r="BH606" s="2" t="str">
        <f>VLOOKUP([jobnumber],OvalData[],MATCH(Table2[[#Headers],[Inner Spring Torque]],Table2[#Headers],0),0)</f>
        <v>Null</v>
      </c>
      <c r="BI606" s="2" t="str">
        <f>VLOOKUP([jobnumber],OvalData[],MATCH(Table2[[#Headers],[Inner Spring Max Turns]],Table2[#Headers],0),0)</f>
        <v>Null</v>
      </c>
      <c r="BJ606" s="2" t="str">
        <f>VLOOKUP([jobnumber],OvalData[],MATCH(Table2[[#Headers],[Inner Spring Weight]],Table2[#Headers],0),0)</f>
        <v>Null</v>
      </c>
      <c r="BK606" s="2">
        <f>VLOOKUP([jobnumber],OvalData[],MATCH(Table2[[#Headers],[Cycles]],Table2[#Headers],0),0)</f>
        <v>0</v>
      </c>
      <c r="BL606" s="2">
        <f>VLOOKUP([jobnumber],OvalData[],MATCH(Table2[[#Headers],[Total Spring Torque]],Table2[#Headers],0),0)</f>
        <v>0</v>
      </c>
      <c r="BM606" s="2">
        <f>VLOOKUP([jobnumber],OvalData[],MATCH(Table2[[#Headers],[Total Spring Weight]],Table2[#Headers],0),0)</f>
        <v>0</v>
      </c>
      <c r="BN606" s="2">
        <f>VLOOKUP([jobnumber],OvalData[],MATCH(Table2[[#Headers],[Pipe Weight]],Table2[#Headers],0),0)</f>
        <v>688.24239999999998</v>
      </c>
      <c r="BO606" s="2">
        <f>VLOOKUP([jobnumber],OvalData[],MATCH(Table2[[#Headers],[Max Pipe Deflection]],Table2[#Headers],0),0)</f>
        <v>2309</v>
      </c>
      <c r="BP606" s="2">
        <f>VLOOKUP([jobnumber],OvalData[],MATCH(Table2[[#Headers],[Number Non-Insulated Wrap Slats]],Table2[#Headers],0),0)</f>
        <v>0</v>
      </c>
      <c r="BQ606" s="2">
        <f>VLOOKUP([jobnumber],OvalData[],MATCH(Table2[[#Headers],[Number of Insolated Top Slats]],Table2[#Headers],0),0)</f>
        <v>45</v>
      </c>
      <c r="BR606" s="2">
        <f>VLOOKUP([jobnumber],OvalData[],MATCH(Table2[[#Headers],[Insolated Total Slats]],Table2[#Headers],0),0)</f>
        <v>45</v>
      </c>
      <c r="BS606" s="2">
        <f>VLOOKUP([jobnumber],OvalData[],MATCH(Table2[[#Headers],[Number of Slats]],Table2[#Headers],0),0)</f>
        <v>44.69</v>
      </c>
      <c r="BT606" s="2">
        <f>VLOOKUP([jobnumber],OvalData[],MATCH(Table2[[#Headers],[Wrap]],Table2[#Headers],0),0)</f>
        <v>0</v>
      </c>
      <c r="BU606" s="2">
        <f>VLOOKUP([jobnumber],OvalData[],MATCH(Table2[[#Headers],[Wall Angle Thickness]],Table2[#Headers],0),0)</f>
        <v>0</v>
      </c>
      <c r="BV606" s="2">
        <f>VLOOKUP([jobnumber],OvalData[],MATCH(Table2[[#Headers],[windlocks]],Table2[#Headers],0),0)</f>
        <v>0</v>
      </c>
      <c r="BW606" s="2" t="str">
        <f>VLOOKUP([jobnumber],OvalData[],MATCH(Table2[[#Headers],[bottombartype]],Table2[#Headers],0),0)</f>
        <v>SPECIAL</v>
      </c>
      <c r="BX606" s="2">
        <f>VLOOKUP([jobnumber],OvalData[],MATCH(Table2[[#Headers],[endlockweight]],Table2[#Headers],0),0)</f>
        <v>0.17</v>
      </c>
      <c r="BY606" s="2">
        <f>VLOOKUP([jobnumber],OvalData[],MATCH(Table2[[#Headers],[Endlock Total Weight]],Table2[#Headers],0),0)</f>
        <v>7.5972999999999997</v>
      </c>
      <c r="BZ606" s="2">
        <f>VLOOKUP([jobnumber],OvalData[],MATCH(Table2[[#Headers],[Grille Weight]],Table2[#Headers],0),0)</f>
        <v>0</v>
      </c>
      <c r="CA606" s="2">
        <f>VLOOKUP([jobnumber],OvalData[],MATCH(Table2[[#Headers],[barrelrings]],Table2[#Headers],0),0)</f>
        <v>1</v>
      </c>
    </row>
    <row r="607" spans="2:79">
      <c r="B607" s="2" t="str">
        <f>VLOOKUP([jobnumber],OvalData[],MATCH(Table2[[#Headers],[Hand]],Table2[#Headers],0),0)</f>
        <v>RH</v>
      </c>
      <c r="C607" s="2" t="str">
        <f>VLOOKUP([jobnumber],OvalData[],MATCH(Table2[[#Headers],[Model]],Table2[#Headers],0),0)</f>
        <v>SFMPP</v>
      </c>
      <c r="D607" s="2" t="str">
        <f>VLOOKUP([jobnumber],OvalData[],MATCH(Table2[[#Headers],[width]],Table2[#Headers],0),0)</f>
        <v xml:space="preserve"> 18 ft.- 2"</v>
      </c>
      <c r="E607" s="2" t="str">
        <f>VLOOKUP([jobnumber],OvalData[],MATCH(Table2[[#Headers],[stopheight]],Table2[#Headers],0),0)</f>
        <v xml:space="preserve"> 10 ft.- 0"</v>
      </c>
      <c r="F607" s="2" t="str">
        <f>VLOOKUP([jobnumber],OvalData[],MATCH(Table2[[#Headers],[Between Brackets]],Table2[#Headers],0),0)</f>
        <v xml:space="preserve"> 18 ft.- 7 7/ 8"</v>
      </c>
      <c r="G607" s="2" t="str">
        <f>VLOOKUP([jobnumber],OvalData[],MATCH(Table2[[#Headers],[shell]],Table2[#Headers],0),0)</f>
        <v>6 INCH TUBE</v>
      </c>
      <c r="H607" s="2" t="str">
        <f>VLOOKUP([jobnumber],OvalData[],MATCH(Table2[[#Headers],[pipewidth]],Table2[#Headers],0),0)</f>
        <v xml:space="preserve"> 18 ft.- 1 3/ 8"</v>
      </c>
      <c r="I607" s="2">
        <f>VLOOKUP([jobnumber],OvalData[],MATCH(Table2[[#Headers],[Support Tubes]],Table2[#Headers],0),0)</f>
        <v>0</v>
      </c>
      <c r="J607" s="2">
        <f>VLOOKUP([jobnumber],OvalData[],MATCH(Table2[[#Headers],[Upset]],Table2[#Headers],0),0)</f>
        <v>2</v>
      </c>
      <c r="K607" s="2" t="str">
        <f>VLOOKUP([jobnumber],OvalData[],MATCH(Table2[[#Headers],[Guide Type]],Table2[#Headers],0),0)</f>
        <v>SN2-4 5/8-E</v>
      </c>
      <c r="L607" s="2" t="str">
        <f>VLOOKUP([jobnumber],OvalData[],MATCH(Table2[[#Headers],[Wall Angle]],Table2[#Headers],0),0)</f>
        <v xml:space="preserve"> 11 ft.- 8"</v>
      </c>
      <c r="M607" s="2" t="str">
        <f>VLOOKUP([jobnumber],OvalData[],MATCH(Table2[[#Headers],[Middle Angle]],Table2[#Headers],0),0)</f>
        <v xml:space="preserve"> 10 ft.- 4 1/ 2"</v>
      </c>
      <c r="N607" s="2" t="str">
        <f>VLOOKUP([jobnumber],OvalData[],MATCH(Table2[[#Headers],[Front Angle]],Table2[#Headers],0),0)</f>
        <v xml:space="preserve"> 10 ft.- 3"</v>
      </c>
      <c r="O607" s="2">
        <f>VLOOKUP([jobnumber],OvalData[],MATCH(Table2[[#Headers],[Pipe Center Line]],Table2[#Headers],0),0)</f>
        <v>131</v>
      </c>
      <c r="P607" s="2">
        <f>VLOOKUP([jobnumber],OvalData[],MATCH(Table2[[#Headers],[Heat Expansion Gap]],Table2[#Headers],0),0)</f>
        <v>0</v>
      </c>
      <c r="Q607" s="2">
        <f>VLOOKUP([jobnumber],OvalData[],MATCH(Table2[[#Headers],[Hanging Weight Closed]],Table2[#Headers],0),0)</f>
        <v>795</v>
      </c>
      <c r="R607" s="2">
        <f>VLOOKUP([jobnumber],OvalData[],MATCH(Table2[[#Headers],[Hanging Weight Open]],Table2[#Headers],0),0)</f>
        <v>140</v>
      </c>
      <c r="S607" s="2">
        <f>VLOOKUP([jobnumber],OvalData[],MATCH(Table2[[#Headers],[Initial Lever Arm]],Table2[#Headers],0),0)</f>
        <v>4.25</v>
      </c>
      <c r="T607" s="2">
        <f>VLOOKUP([jobnumber],OvalData[],MATCH(Table2[[#Headers],[Turns to Raise]],Table2[#Headers],0),0)</f>
        <v>3.5859999999999999</v>
      </c>
      <c r="U607" s="2">
        <f>VLOOKUP([jobnumber],OvalData[],MATCH(Table2[[#Headers],[Final Lever Arm]],Table2[#Headers],0),0)</f>
        <v>6.37</v>
      </c>
      <c r="V607" s="2">
        <f>VLOOKUP([jobnumber],OvalData[],MATCH(Table2[[#Headers],[Torque Required Closed]],Table2[#Headers],0),0)</f>
        <v>3377.9</v>
      </c>
      <c r="W607" s="2">
        <f>VLOOKUP([jobnumber],OvalData[],MATCH(Table2[[#Headers],[Torque Required Open]],Table2[#Headers],0),0)</f>
        <v>892</v>
      </c>
      <c r="X607" s="2">
        <f>VLOOKUP([jobnumber],OvalData[],MATCH(Table2[[#Headers],[Pre Turns]],Table2[#Headers],0),0)</f>
        <v>1.3332999999999999</v>
      </c>
      <c r="Y607" s="2">
        <f>VLOOKUP([jobnumber],OvalData[],MATCH(Table2[[#Headers],[Required Torque Per Turn]],Table2[#Headers],0),0)</f>
        <v>688</v>
      </c>
      <c r="Z607" s="2">
        <f>VLOOKUP([jobnumber],OvalData[],MATCH(Table2[[#Headers],[Total Turns]],Table2[#Headers],0),0)</f>
        <v>4.91</v>
      </c>
      <c r="AA607" s="2">
        <f>VLOOKUP([jobnumber],OvalData[],MATCH(Table2[[#Headers],[Grille Vision Section]],Table2[#Headers],0),0)</f>
        <v>0</v>
      </c>
      <c r="AB607" s="2">
        <f>VLOOKUP([jobnumber],OvalData[],MATCH(Table2[[#Headers],[Grille Amount]],Table2[#Headers],0),0)</f>
        <v>0</v>
      </c>
      <c r="AC607" s="2">
        <f>VLOOKUP([jobnumber],OvalData[],MATCH(Table2[[#Headers],[Grille Center]],Table2[#Headers],0),0)</f>
        <v>0</v>
      </c>
      <c r="AD607" s="2">
        <f>VLOOKUP([jobnumber],OvalData[],MATCH(Table2[[#Headers],[Grille Pattern]],Table2[#Headers],0),0)</f>
        <v>0</v>
      </c>
      <c r="AE607" s="2">
        <f>VLOOKUP([jobnumber],OvalData[],MATCH(Table2[[#Headers],[Grille First Tube]],Table2[#Headers],0),0)</f>
        <v>0</v>
      </c>
      <c r="AF607" s="2">
        <f>VLOOKUP([jobnumber],OvalData[],MATCH(Table2[[#Headers],[Grille Standard Tube]],Table2[#Headers],0),0)</f>
        <v>0</v>
      </c>
      <c r="AG607" s="2">
        <f>VLOOKUP([jobnumber],OvalData[],MATCH(Table2[[#Headers],[Grille Total Links]],Table2[#Headers],0),0)</f>
        <v>0</v>
      </c>
      <c r="AH607" s="2">
        <f>VLOOKUP([jobnumber],OvalData[],MATCH(Table2[[#Headers],[Grille Rods]],Table2[#Headers],0),0)</f>
        <v>0</v>
      </c>
      <c r="AI607" s="2">
        <f>VLOOKUP([jobnumber],OvalData[],MATCH(Table2[[#Headers],[Grille Rod Length]],Table2[#Headers],0),0)</f>
        <v>0</v>
      </c>
      <c r="AJ607" s="2">
        <f>VLOOKUP([jobnumber],OvalData[],MATCH(Table2[[#Headers],[slattype]],Table2[#Headers],0),0)</f>
        <v>2</v>
      </c>
      <c r="AK607" s="2">
        <f>VLOOKUP([jobnumber],OvalData[],MATCH(Table2[[#Headers],[slatgage]],Table2[#Headers],0),0)</f>
        <v>18</v>
      </c>
      <c r="AL607" s="2">
        <f>VLOOKUP([jobnumber],OvalData[],MATCH(Table2[[#Headers],[Numer of Top Slats]],Table2[#Headers],0),0)</f>
        <v>0</v>
      </c>
      <c r="AM607" s="2">
        <f>VLOOKUP([jobnumber],OvalData[],MATCH(Table2[[#Headers],[Number of Bottom Slats]],Table2[#Headers],0),0)</f>
        <v>0</v>
      </c>
      <c r="AN607" s="2">
        <f>VLOOKUP([jobnumber],OvalData[],MATCH(Table2[[#Headers],[Solid Bottom Height]],Table2[#Headers],0),0)</f>
        <v>0</v>
      </c>
      <c r="AO607" s="2" t="str">
        <f>VLOOKUP([jobnumber],OvalData[],MATCH(Table2[[#Headers],[slatlength]],Table2[#Headers],0),0)</f>
        <v xml:space="preserve"> 18 ft.- 5 7/ 8"</v>
      </c>
      <c r="AP607" s="2">
        <f>VLOOKUP([jobnumber],OvalData[],MATCH(Table2[[#Headers],[Bottom Slat Length]],Table2[#Headers],0),0)</f>
        <v>0</v>
      </c>
      <c r="AQ607" s="2">
        <f>VLOOKUP([jobnumber],OvalData[],MATCH(Table2[[#Headers],[Number of Perferated Slats]],Table2[#Headers],0),0)</f>
        <v>0</v>
      </c>
      <c r="AR607" s="2">
        <f>VLOOKUP([jobnumber],OvalData[],MATCH(Table2[[#Headers],[First Preferated Slat From End]],Table2[#Headers],0),0)</f>
        <v>0</v>
      </c>
      <c r="AS607" s="2">
        <f>VLOOKUP([jobnumber],OvalData[],MATCH(Table2[[#Headers],[First Preferated Slat From Bottom]],Table2[#Headers],0),0)</f>
        <v>0</v>
      </c>
      <c r="AT607" s="2">
        <f>VLOOKUP([jobnumber],OvalData[],MATCH(Table2[[#Headers],[Total Number of Slats]],Table2[#Headers],0),0)</f>
        <v>51</v>
      </c>
      <c r="AU607" s="2">
        <f>VLOOKUP([jobnumber],OvalData[],MATCH(Table2[[#Headers],[Bottom Bar Slope]],Table2[#Headers],0),0)</f>
        <v>0</v>
      </c>
      <c r="AV607" s="2">
        <f>VLOOKUP([jobnumber],OvalData[],MATCH(Table2[[#Headers],[Bottom Bar Weight]],Table2[#Headers],0),0)</f>
        <v>80.5</v>
      </c>
      <c r="AW607" s="2" t="str">
        <f>VLOOKUP([jobnumber],OvalData[],MATCH(Table2[[#Headers],[Outer Spring Gage]],Table2[#Headers],0),0)</f>
        <v>Null</v>
      </c>
      <c r="AX607" s="2" t="str">
        <f>VLOOKUP([jobnumber],OvalData[],MATCH(Table2[[#Headers],[Outer Spring OD]],Table2[#Headers],0),0)</f>
        <v>Null</v>
      </c>
      <c r="AY607" s="2" t="str">
        <f>VLOOKUP([jobnumber],OvalData[],MATCH(Table2[[#Headers],[Outer Spring Length]],Table2[#Headers],0),0)</f>
        <v>Null</v>
      </c>
      <c r="AZ607" s="2" t="str">
        <f>VLOOKUP([jobnumber],OvalData[],MATCH(Table2[[#Headers],[Outer Spring Stretch]],Table2[#Headers],0),0)</f>
        <v>Null</v>
      </c>
      <c r="BA607" s="2" t="str">
        <f>VLOOKUP([jobnumber],OvalData[],MATCH(Table2[[#Headers],[Outer Spring Torque]],Table2[#Headers],0),0)</f>
        <v>Null</v>
      </c>
      <c r="BB607" s="2" t="str">
        <f>VLOOKUP([jobnumber],OvalData[],MATCH(Table2[[#Headers],[Outer Spring Max Turns]],Table2[#Headers],0),0)</f>
        <v>Null</v>
      </c>
      <c r="BC607" s="2" t="str">
        <f>VLOOKUP([jobnumber],OvalData[],MATCH(Table2[[#Headers],[Outer Spring Weight]],Table2[#Headers],0),0)</f>
        <v>Null</v>
      </c>
      <c r="BD607" s="2" t="str">
        <f>VLOOKUP([jobnumber],OvalData[],MATCH(Table2[[#Headers],[Inner Spring Gage]],Table2[#Headers],0),0)</f>
        <v>Null</v>
      </c>
      <c r="BE607" s="2" t="str">
        <f>VLOOKUP([jobnumber],OvalData[],MATCH(Table2[[#Headers],[Inner Spring OD]],Table2[#Headers],0),0)</f>
        <v>Null</v>
      </c>
      <c r="BF607" s="2" t="str">
        <f>VLOOKUP([jobnumber],OvalData[],MATCH(Table2[[#Headers],[Inner Spring Length]],Table2[#Headers],0),0)</f>
        <v>Null</v>
      </c>
      <c r="BG607" s="2" t="str">
        <f>VLOOKUP([jobnumber],OvalData[],MATCH(Table2[[#Headers],[Inner Spring Stretch]],Table2[#Headers],0),0)</f>
        <v>Null</v>
      </c>
      <c r="BH607" s="2" t="str">
        <f>VLOOKUP([jobnumber],OvalData[],MATCH(Table2[[#Headers],[Inner Spring Torque]],Table2[#Headers],0),0)</f>
        <v>Null</v>
      </c>
      <c r="BI607" s="2" t="str">
        <f>VLOOKUP([jobnumber],OvalData[],MATCH(Table2[[#Headers],[Inner Spring Max Turns]],Table2[#Headers],0),0)</f>
        <v>Null</v>
      </c>
      <c r="BJ607" s="2" t="str">
        <f>VLOOKUP([jobnumber],OvalData[],MATCH(Table2[[#Headers],[Inner Spring Weight]],Table2[#Headers],0),0)</f>
        <v>Null</v>
      </c>
      <c r="BK607" s="2">
        <f>VLOOKUP([jobnumber],OvalData[],MATCH(Table2[[#Headers],[Cycles]],Table2[#Headers],0),0)</f>
        <v>0</v>
      </c>
      <c r="BL607" s="2">
        <f>VLOOKUP([jobnumber],OvalData[],MATCH(Table2[[#Headers],[Total Spring Torque]],Table2[#Headers],0),0)</f>
        <v>0</v>
      </c>
      <c r="BM607" s="2">
        <f>VLOOKUP([jobnumber],OvalData[],MATCH(Table2[[#Headers],[Total Spring Weight]],Table2[#Headers],0),0)</f>
        <v>0</v>
      </c>
      <c r="BN607" s="2">
        <f>VLOOKUP([jobnumber],OvalData[],MATCH(Table2[[#Headers],[Pipe Weight]],Table2[#Headers],0),0)</f>
        <v>688.24239999999998</v>
      </c>
      <c r="BO607" s="2">
        <f>VLOOKUP([jobnumber],OvalData[],MATCH(Table2[[#Headers],[Max Pipe Deflection]],Table2[#Headers],0),0)</f>
        <v>2309</v>
      </c>
      <c r="BP607" s="2">
        <f>VLOOKUP([jobnumber],OvalData[],MATCH(Table2[[#Headers],[Number Non-Insulated Wrap Slats]],Table2[#Headers],0),0)</f>
        <v>0</v>
      </c>
      <c r="BQ607" s="2">
        <f>VLOOKUP([jobnumber],OvalData[],MATCH(Table2[[#Headers],[Number of Insolated Top Slats]],Table2[#Headers],0),0)</f>
        <v>45</v>
      </c>
      <c r="BR607" s="2">
        <f>VLOOKUP([jobnumber],OvalData[],MATCH(Table2[[#Headers],[Insolated Total Slats]],Table2[#Headers],0),0)</f>
        <v>45</v>
      </c>
      <c r="BS607" s="2">
        <f>VLOOKUP([jobnumber],OvalData[],MATCH(Table2[[#Headers],[Number of Slats]],Table2[#Headers],0),0)</f>
        <v>44.69</v>
      </c>
      <c r="BT607" s="2">
        <f>VLOOKUP([jobnumber],OvalData[],MATCH(Table2[[#Headers],[Wrap]],Table2[#Headers],0),0)</f>
        <v>0</v>
      </c>
      <c r="BU607" s="2">
        <f>VLOOKUP([jobnumber],OvalData[],MATCH(Table2[[#Headers],[Wall Angle Thickness]],Table2[#Headers],0),0)</f>
        <v>0</v>
      </c>
      <c r="BV607" s="2">
        <f>VLOOKUP([jobnumber],OvalData[],MATCH(Table2[[#Headers],[windlocks]],Table2[#Headers],0),0)</f>
        <v>0</v>
      </c>
      <c r="BW607" s="2" t="str">
        <f>VLOOKUP([jobnumber],OvalData[],MATCH(Table2[[#Headers],[bottombartype]],Table2[#Headers],0),0)</f>
        <v>SPECIAL</v>
      </c>
      <c r="BX607" s="2">
        <f>VLOOKUP([jobnumber],OvalData[],MATCH(Table2[[#Headers],[endlockweight]],Table2[#Headers],0),0)</f>
        <v>0.17</v>
      </c>
      <c r="BY607" s="2">
        <f>VLOOKUP([jobnumber],OvalData[],MATCH(Table2[[#Headers],[Endlock Total Weight]],Table2[#Headers],0),0)</f>
        <v>7.5972999999999997</v>
      </c>
      <c r="BZ607" s="2">
        <f>VLOOKUP([jobnumber],OvalData[],MATCH(Table2[[#Headers],[Grille Weight]],Table2[#Headers],0),0)</f>
        <v>0</v>
      </c>
      <c r="CA607" s="2">
        <f>VLOOKUP([jobnumber],OvalData[],MATCH(Table2[[#Headers],[barrelrings]],Table2[#Headers],0),0)</f>
        <v>1</v>
      </c>
    </row>
    <row r="608" spans="2:79">
      <c r="B608" s="2" t="str">
        <f>VLOOKUP([jobnumber],OvalData[],MATCH(Table2[[#Headers],[Hand]],Table2[#Headers],0),0)</f>
        <v>RH</v>
      </c>
      <c r="C608" s="2" t="str">
        <f>VLOOKUP([jobnumber],OvalData[],MATCH(Table2[[#Headers],[Model]],Table2[#Headers],0),0)</f>
        <v>SFMPP</v>
      </c>
      <c r="D608" s="2" t="str">
        <f>VLOOKUP([jobnumber],OvalData[],MATCH(Table2[[#Headers],[width]],Table2[#Headers],0),0)</f>
        <v xml:space="preserve"> 18 ft.- 2"</v>
      </c>
      <c r="E608" s="2" t="str">
        <f>VLOOKUP([jobnumber],OvalData[],MATCH(Table2[[#Headers],[stopheight]],Table2[#Headers],0),0)</f>
        <v xml:space="preserve"> 10 ft.- 0"</v>
      </c>
      <c r="F608" s="2" t="str">
        <f>VLOOKUP([jobnumber],OvalData[],MATCH(Table2[[#Headers],[Between Brackets]],Table2[#Headers],0),0)</f>
        <v xml:space="preserve"> 18 ft.- 7 7/ 8"</v>
      </c>
      <c r="G608" s="2" t="str">
        <f>VLOOKUP([jobnumber],OvalData[],MATCH(Table2[[#Headers],[shell]],Table2[#Headers],0),0)</f>
        <v>6 INCH TUBE</v>
      </c>
      <c r="H608" s="2" t="str">
        <f>VLOOKUP([jobnumber],OvalData[],MATCH(Table2[[#Headers],[pipewidth]],Table2[#Headers],0),0)</f>
        <v xml:space="preserve"> 18 ft.- 1 3/ 8"</v>
      </c>
      <c r="I608" s="2">
        <f>VLOOKUP([jobnumber],OvalData[],MATCH(Table2[[#Headers],[Support Tubes]],Table2[#Headers],0),0)</f>
        <v>0</v>
      </c>
      <c r="J608" s="2">
        <f>VLOOKUP([jobnumber],OvalData[],MATCH(Table2[[#Headers],[Upset]],Table2[#Headers],0),0)</f>
        <v>2</v>
      </c>
      <c r="K608" s="2" t="str">
        <f>VLOOKUP([jobnumber],OvalData[],MATCH(Table2[[#Headers],[Guide Type]],Table2[#Headers],0),0)</f>
        <v>SN2-4 5/8-E</v>
      </c>
      <c r="L608" s="2" t="str">
        <f>VLOOKUP([jobnumber],OvalData[],MATCH(Table2[[#Headers],[Wall Angle]],Table2[#Headers],0),0)</f>
        <v xml:space="preserve"> 11 ft.- 8"</v>
      </c>
      <c r="M608" s="2" t="str">
        <f>VLOOKUP([jobnumber],OvalData[],MATCH(Table2[[#Headers],[Middle Angle]],Table2[#Headers],0),0)</f>
        <v xml:space="preserve"> 10 ft.- 4 1/ 2"</v>
      </c>
      <c r="N608" s="2" t="str">
        <f>VLOOKUP([jobnumber],OvalData[],MATCH(Table2[[#Headers],[Front Angle]],Table2[#Headers],0),0)</f>
        <v xml:space="preserve"> 10 ft.- 3"</v>
      </c>
      <c r="O608" s="2">
        <f>VLOOKUP([jobnumber],OvalData[],MATCH(Table2[[#Headers],[Pipe Center Line]],Table2[#Headers],0),0)</f>
        <v>131</v>
      </c>
      <c r="P608" s="2">
        <f>VLOOKUP([jobnumber],OvalData[],MATCH(Table2[[#Headers],[Heat Expansion Gap]],Table2[#Headers],0),0)</f>
        <v>0</v>
      </c>
      <c r="Q608" s="2">
        <f>VLOOKUP([jobnumber],OvalData[],MATCH(Table2[[#Headers],[Hanging Weight Closed]],Table2[#Headers],0),0)</f>
        <v>795</v>
      </c>
      <c r="R608" s="2">
        <f>VLOOKUP([jobnumber],OvalData[],MATCH(Table2[[#Headers],[Hanging Weight Open]],Table2[#Headers],0),0)</f>
        <v>140</v>
      </c>
      <c r="S608" s="2">
        <f>VLOOKUP([jobnumber],OvalData[],MATCH(Table2[[#Headers],[Initial Lever Arm]],Table2[#Headers],0),0)</f>
        <v>4.25</v>
      </c>
      <c r="T608" s="2">
        <f>VLOOKUP([jobnumber],OvalData[],MATCH(Table2[[#Headers],[Turns to Raise]],Table2[#Headers],0),0)</f>
        <v>3.5859999999999999</v>
      </c>
      <c r="U608" s="2">
        <f>VLOOKUP([jobnumber],OvalData[],MATCH(Table2[[#Headers],[Final Lever Arm]],Table2[#Headers],0),0)</f>
        <v>6.37</v>
      </c>
      <c r="V608" s="2">
        <f>VLOOKUP([jobnumber],OvalData[],MATCH(Table2[[#Headers],[Torque Required Closed]],Table2[#Headers],0),0)</f>
        <v>3377.9</v>
      </c>
      <c r="W608" s="2">
        <f>VLOOKUP([jobnumber],OvalData[],MATCH(Table2[[#Headers],[Torque Required Open]],Table2[#Headers],0),0)</f>
        <v>892</v>
      </c>
      <c r="X608" s="2">
        <f>VLOOKUP([jobnumber],OvalData[],MATCH(Table2[[#Headers],[Pre Turns]],Table2[#Headers],0),0)</f>
        <v>1.3332999999999999</v>
      </c>
      <c r="Y608" s="2">
        <f>VLOOKUP([jobnumber],OvalData[],MATCH(Table2[[#Headers],[Required Torque Per Turn]],Table2[#Headers],0),0)</f>
        <v>688</v>
      </c>
      <c r="Z608" s="2">
        <f>VLOOKUP([jobnumber],OvalData[],MATCH(Table2[[#Headers],[Total Turns]],Table2[#Headers],0),0)</f>
        <v>4.91</v>
      </c>
      <c r="AA608" s="2">
        <f>VLOOKUP([jobnumber],OvalData[],MATCH(Table2[[#Headers],[Grille Vision Section]],Table2[#Headers],0),0)</f>
        <v>0</v>
      </c>
      <c r="AB608" s="2">
        <f>VLOOKUP([jobnumber],OvalData[],MATCH(Table2[[#Headers],[Grille Amount]],Table2[#Headers],0),0)</f>
        <v>0</v>
      </c>
      <c r="AC608" s="2">
        <f>VLOOKUP([jobnumber],OvalData[],MATCH(Table2[[#Headers],[Grille Center]],Table2[#Headers],0),0)</f>
        <v>0</v>
      </c>
      <c r="AD608" s="2">
        <f>VLOOKUP([jobnumber],OvalData[],MATCH(Table2[[#Headers],[Grille Pattern]],Table2[#Headers],0),0)</f>
        <v>0</v>
      </c>
      <c r="AE608" s="2">
        <f>VLOOKUP([jobnumber],OvalData[],MATCH(Table2[[#Headers],[Grille First Tube]],Table2[#Headers],0),0)</f>
        <v>0</v>
      </c>
      <c r="AF608" s="2">
        <f>VLOOKUP([jobnumber],OvalData[],MATCH(Table2[[#Headers],[Grille Standard Tube]],Table2[#Headers],0),0)</f>
        <v>0</v>
      </c>
      <c r="AG608" s="2">
        <f>VLOOKUP([jobnumber],OvalData[],MATCH(Table2[[#Headers],[Grille Total Links]],Table2[#Headers],0),0)</f>
        <v>0</v>
      </c>
      <c r="AH608" s="2">
        <f>VLOOKUP([jobnumber],OvalData[],MATCH(Table2[[#Headers],[Grille Rods]],Table2[#Headers],0),0)</f>
        <v>0</v>
      </c>
      <c r="AI608" s="2">
        <f>VLOOKUP([jobnumber],OvalData[],MATCH(Table2[[#Headers],[Grille Rod Length]],Table2[#Headers],0),0)</f>
        <v>0</v>
      </c>
      <c r="AJ608" s="2">
        <f>VLOOKUP([jobnumber],OvalData[],MATCH(Table2[[#Headers],[slattype]],Table2[#Headers],0),0)</f>
        <v>2</v>
      </c>
      <c r="AK608" s="2">
        <f>VLOOKUP([jobnumber],OvalData[],MATCH(Table2[[#Headers],[slatgage]],Table2[#Headers],0),0)</f>
        <v>18</v>
      </c>
      <c r="AL608" s="2">
        <f>VLOOKUP([jobnumber],OvalData[],MATCH(Table2[[#Headers],[Numer of Top Slats]],Table2[#Headers],0),0)</f>
        <v>0</v>
      </c>
      <c r="AM608" s="2">
        <f>VLOOKUP([jobnumber],OvalData[],MATCH(Table2[[#Headers],[Number of Bottom Slats]],Table2[#Headers],0),0)</f>
        <v>0</v>
      </c>
      <c r="AN608" s="2">
        <f>VLOOKUP([jobnumber],OvalData[],MATCH(Table2[[#Headers],[Solid Bottom Height]],Table2[#Headers],0),0)</f>
        <v>0</v>
      </c>
      <c r="AO608" s="2" t="str">
        <f>VLOOKUP([jobnumber],OvalData[],MATCH(Table2[[#Headers],[slatlength]],Table2[#Headers],0),0)</f>
        <v xml:space="preserve"> 18 ft.- 5 7/ 8"</v>
      </c>
      <c r="AP608" s="2">
        <f>VLOOKUP([jobnumber],OvalData[],MATCH(Table2[[#Headers],[Bottom Slat Length]],Table2[#Headers],0),0)</f>
        <v>0</v>
      </c>
      <c r="AQ608" s="2">
        <f>VLOOKUP([jobnumber],OvalData[],MATCH(Table2[[#Headers],[Number of Perferated Slats]],Table2[#Headers],0),0)</f>
        <v>0</v>
      </c>
      <c r="AR608" s="2">
        <f>VLOOKUP([jobnumber],OvalData[],MATCH(Table2[[#Headers],[First Preferated Slat From End]],Table2[#Headers],0),0)</f>
        <v>0</v>
      </c>
      <c r="AS608" s="2">
        <f>VLOOKUP([jobnumber],OvalData[],MATCH(Table2[[#Headers],[First Preferated Slat From Bottom]],Table2[#Headers],0),0)</f>
        <v>0</v>
      </c>
      <c r="AT608" s="2">
        <f>VLOOKUP([jobnumber],OvalData[],MATCH(Table2[[#Headers],[Total Number of Slats]],Table2[#Headers],0),0)</f>
        <v>51</v>
      </c>
      <c r="AU608" s="2">
        <f>VLOOKUP([jobnumber],OvalData[],MATCH(Table2[[#Headers],[Bottom Bar Slope]],Table2[#Headers],0),0)</f>
        <v>0</v>
      </c>
      <c r="AV608" s="2">
        <f>VLOOKUP([jobnumber],OvalData[],MATCH(Table2[[#Headers],[Bottom Bar Weight]],Table2[#Headers],0),0)</f>
        <v>80.5</v>
      </c>
      <c r="AW608" s="2" t="str">
        <f>VLOOKUP([jobnumber],OvalData[],MATCH(Table2[[#Headers],[Outer Spring Gage]],Table2[#Headers],0),0)</f>
        <v>Null</v>
      </c>
      <c r="AX608" s="2" t="str">
        <f>VLOOKUP([jobnumber],OvalData[],MATCH(Table2[[#Headers],[Outer Spring OD]],Table2[#Headers],0),0)</f>
        <v>Null</v>
      </c>
      <c r="AY608" s="2" t="str">
        <f>VLOOKUP([jobnumber],OvalData[],MATCH(Table2[[#Headers],[Outer Spring Length]],Table2[#Headers],0),0)</f>
        <v>Null</v>
      </c>
      <c r="AZ608" s="2" t="str">
        <f>VLOOKUP([jobnumber],OvalData[],MATCH(Table2[[#Headers],[Outer Spring Stretch]],Table2[#Headers],0),0)</f>
        <v>Null</v>
      </c>
      <c r="BA608" s="2" t="str">
        <f>VLOOKUP([jobnumber],OvalData[],MATCH(Table2[[#Headers],[Outer Spring Torque]],Table2[#Headers],0),0)</f>
        <v>Null</v>
      </c>
      <c r="BB608" s="2" t="str">
        <f>VLOOKUP([jobnumber],OvalData[],MATCH(Table2[[#Headers],[Outer Spring Max Turns]],Table2[#Headers],0),0)</f>
        <v>Null</v>
      </c>
      <c r="BC608" s="2" t="str">
        <f>VLOOKUP([jobnumber],OvalData[],MATCH(Table2[[#Headers],[Outer Spring Weight]],Table2[#Headers],0),0)</f>
        <v>Null</v>
      </c>
      <c r="BD608" s="2" t="str">
        <f>VLOOKUP([jobnumber],OvalData[],MATCH(Table2[[#Headers],[Inner Spring Gage]],Table2[#Headers],0),0)</f>
        <v>Null</v>
      </c>
      <c r="BE608" s="2" t="str">
        <f>VLOOKUP([jobnumber],OvalData[],MATCH(Table2[[#Headers],[Inner Spring OD]],Table2[#Headers],0),0)</f>
        <v>Null</v>
      </c>
      <c r="BF608" s="2" t="str">
        <f>VLOOKUP([jobnumber],OvalData[],MATCH(Table2[[#Headers],[Inner Spring Length]],Table2[#Headers],0),0)</f>
        <v>Null</v>
      </c>
      <c r="BG608" s="2" t="str">
        <f>VLOOKUP([jobnumber],OvalData[],MATCH(Table2[[#Headers],[Inner Spring Stretch]],Table2[#Headers],0),0)</f>
        <v>Null</v>
      </c>
      <c r="BH608" s="2" t="str">
        <f>VLOOKUP([jobnumber],OvalData[],MATCH(Table2[[#Headers],[Inner Spring Torque]],Table2[#Headers],0),0)</f>
        <v>Null</v>
      </c>
      <c r="BI608" s="2" t="str">
        <f>VLOOKUP([jobnumber],OvalData[],MATCH(Table2[[#Headers],[Inner Spring Max Turns]],Table2[#Headers],0),0)</f>
        <v>Null</v>
      </c>
      <c r="BJ608" s="2" t="str">
        <f>VLOOKUP([jobnumber],OvalData[],MATCH(Table2[[#Headers],[Inner Spring Weight]],Table2[#Headers],0),0)</f>
        <v>Null</v>
      </c>
      <c r="BK608" s="2">
        <f>VLOOKUP([jobnumber],OvalData[],MATCH(Table2[[#Headers],[Cycles]],Table2[#Headers],0),0)</f>
        <v>0</v>
      </c>
      <c r="BL608" s="2">
        <f>VLOOKUP([jobnumber],OvalData[],MATCH(Table2[[#Headers],[Total Spring Torque]],Table2[#Headers],0),0)</f>
        <v>0</v>
      </c>
      <c r="BM608" s="2">
        <f>VLOOKUP([jobnumber],OvalData[],MATCH(Table2[[#Headers],[Total Spring Weight]],Table2[#Headers],0),0)</f>
        <v>0</v>
      </c>
      <c r="BN608" s="2">
        <f>VLOOKUP([jobnumber],OvalData[],MATCH(Table2[[#Headers],[Pipe Weight]],Table2[#Headers],0),0)</f>
        <v>688.24239999999998</v>
      </c>
      <c r="BO608" s="2">
        <f>VLOOKUP([jobnumber],OvalData[],MATCH(Table2[[#Headers],[Max Pipe Deflection]],Table2[#Headers],0),0)</f>
        <v>2309</v>
      </c>
      <c r="BP608" s="2">
        <f>VLOOKUP([jobnumber],OvalData[],MATCH(Table2[[#Headers],[Number Non-Insulated Wrap Slats]],Table2[#Headers],0),0)</f>
        <v>0</v>
      </c>
      <c r="BQ608" s="2">
        <f>VLOOKUP([jobnumber],OvalData[],MATCH(Table2[[#Headers],[Number of Insolated Top Slats]],Table2[#Headers],0),0)</f>
        <v>45</v>
      </c>
      <c r="BR608" s="2">
        <f>VLOOKUP([jobnumber],OvalData[],MATCH(Table2[[#Headers],[Insolated Total Slats]],Table2[#Headers],0),0)</f>
        <v>45</v>
      </c>
      <c r="BS608" s="2">
        <f>VLOOKUP([jobnumber],OvalData[],MATCH(Table2[[#Headers],[Number of Slats]],Table2[#Headers],0),0)</f>
        <v>44.69</v>
      </c>
      <c r="BT608" s="2">
        <f>VLOOKUP([jobnumber],OvalData[],MATCH(Table2[[#Headers],[Wrap]],Table2[#Headers],0),0)</f>
        <v>0</v>
      </c>
      <c r="BU608" s="2">
        <f>VLOOKUP([jobnumber],OvalData[],MATCH(Table2[[#Headers],[Wall Angle Thickness]],Table2[#Headers],0),0)</f>
        <v>0</v>
      </c>
      <c r="BV608" s="2">
        <f>VLOOKUP([jobnumber],OvalData[],MATCH(Table2[[#Headers],[windlocks]],Table2[#Headers],0),0)</f>
        <v>0</v>
      </c>
      <c r="BW608" s="2" t="str">
        <f>VLOOKUP([jobnumber],OvalData[],MATCH(Table2[[#Headers],[bottombartype]],Table2[#Headers],0),0)</f>
        <v>SPECIAL</v>
      </c>
      <c r="BX608" s="2">
        <f>VLOOKUP([jobnumber],OvalData[],MATCH(Table2[[#Headers],[endlockweight]],Table2[#Headers],0),0)</f>
        <v>0.17</v>
      </c>
      <c r="BY608" s="2">
        <f>VLOOKUP([jobnumber],OvalData[],MATCH(Table2[[#Headers],[Endlock Total Weight]],Table2[#Headers],0),0)</f>
        <v>7.5972999999999997</v>
      </c>
      <c r="BZ608" s="2">
        <f>VLOOKUP([jobnumber],OvalData[],MATCH(Table2[[#Headers],[Grille Weight]],Table2[#Headers],0),0)</f>
        <v>0</v>
      </c>
      <c r="CA608" s="2">
        <f>VLOOKUP([jobnumber],OvalData[],MATCH(Table2[[#Headers],[barrelrings]],Table2[#Headers],0),0)</f>
        <v>1</v>
      </c>
    </row>
    <row r="609" spans="2:79">
      <c r="B609" s="2" t="str">
        <f>VLOOKUP([jobnumber],OvalData[],MATCH(Table2[[#Headers],[Hand]],Table2[#Headers],0),0)</f>
        <v>RH</v>
      </c>
      <c r="C609" s="2" t="str">
        <f>VLOOKUP([jobnumber],OvalData[],MATCH(Table2[[#Headers],[Model]],Table2[#Headers],0),0)</f>
        <v>SFMPP</v>
      </c>
      <c r="D609" s="2" t="str">
        <f>VLOOKUP([jobnumber],OvalData[],MATCH(Table2[[#Headers],[width]],Table2[#Headers],0),0)</f>
        <v xml:space="preserve"> 18 ft.- 2"</v>
      </c>
      <c r="E609" s="2" t="str">
        <f>VLOOKUP([jobnumber],OvalData[],MATCH(Table2[[#Headers],[stopheight]],Table2[#Headers],0),0)</f>
        <v xml:space="preserve"> 10 ft.- 0"</v>
      </c>
      <c r="F609" s="2" t="str">
        <f>VLOOKUP([jobnumber],OvalData[],MATCH(Table2[[#Headers],[Between Brackets]],Table2[#Headers],0),0)</f>
        <v xml:space="preserve"> 18 ft.- 7 7/ 8"</v>
      </c>
      <c r="G609" s="2" t="str">
        <f>VLOOKUP([jobnumber],OvalData[],MATCH(Table2[[#Headers],[shell]],Table2[#Headers],0),0)</f>
        <v>6 INCH TUBE</v>
      </c>
      <c r="H609" s="2" t="str">
        <f>VLOOKUP([jobnumber],OvalData[],MATCH(Table2[[#Headers],[pipewidth]],Table2[#Headers],0),0)</f>
        <v xml:space="preserve"> 18 ft.- 1 3/ 8"</v>
      </c>
      <c r="I609" s="2">
        <f>VLOOKUP([jobnumber],OvalData[],MATCH(Table2[[#Headers],[Support Tubes]],Table2[#Headers],0),0)</f>
        <v>0</v>
      </c>
      <c r="J609" s="2">
        <f>VLOOKUP([jobnumber],OvalData[],MATCH(Table2[[#Headers],[Upset]],Table2[#Headers],0),0)</f>
        <v>2</v>
      </c>
      <c r="K609" s="2" t="str">
        <f>VLOOKUP([jobnumber],OvalData[],MATCH(Table2[[#Headers],[Guide Type]],Table2[#Headers],0),0)</f>
        <v>SN2-4 5/8-E</v>
      </c>
      <c r="L609" s="2" t="str">
        <f>VLOOKUP([jobnumber],OvalData[],MATCH(Table2[[#Headers],[Wall Angle]],Table2[#Headers],0),0)</f>
        <v xml:space="preserve"> 11 ft.- 8"</v>
      </c>
      <c r="M609" s="2" t="str">
        <f>VLOOKUP([jobnumber],OvalData[],MATCH(Table2[[#Headers],[Middle Angle]],Table2[#Headers],0),0)</f>
        <v xml:space="preserve"> 10 ft.- 4 1/ 2"</v>
      </c>
      <c r="N609" s="2" t="str">
        <f>VLOOKUP([jobnumber],OvalData[],MATCH(Table2[[#Headers],[Front Angle]],Table2[#Headers],0),0)</f>
        <v xml:space="preserve"> 10 ft.- 3"</v>
      </c>
      <c r="O609" s="2">
        <f>VLOOKUP([jobnumber],OvalData[],MATCH(Table2[[#Headers],[Pipe Center Line]],Table2[#Headers],0),0)</f>
        <v>131</v>
      </c>
      <c r="P609" s="2">
        <f>VLOOKUP([jobnumber],OvalData[],MATCH(Table2[[#Headers],[Heat Expansion Gap]],Table2[#Headers],0),0)</f>
        <v>0</v>
      </c>
      <c r="Q609" s="2">
        <f>VLOOKUP([jobnumber],OvalData[],MATCH(Table2[[#Headers],[Hanging Weight Closed]],Table2[#Headers],0),0)</f>
        <v>795</v>
      </c>
      <c r="R609" s="2">
        <f>VLOOKUP([jobnumber],OvalData[],MATCH(Table2[[#Headers],[Hanging Weight Open]],Table2[#Headers],0),0)</f>
        <v>140</v>
      </c>
      <c r="S609" s="2">
        <f>VLOOKUP([jobnumber],OvalData[],MATCH(Table2[[#Headers],[Initial Lever Arm]],Table2[#Headers],0),0)</f>
        <v>4.25</v>
      </c>
      <c r="T609" s="2">
        <f>VLOOKUP([jobnumber],OvalData[],MATCH(Table2[[#Headers],[Turns to Raise]],Table2[#Headers],0),0)</f>
        <v>3.5859999999999999</v>
      </c>
      <c r="U609" s="2">
        <f>VLOOKUP([jobnumber],OvalData[],MATCH(Table2[[#Headers],[Final Lever Arm]],Table2[#Headers],0),0)</f>
        <v>6.37</v>
      </c>
      <c r="V609" s="2">
        <f>VLOOKUP([jobnumber],OvalData[],MATCH(Table2[[#Headers],[Torque Required Closed]],Table2[#Headers],0),0)</f>
        <v>3377.9</v>
      </c>
      <c r="W609" s="2">
        <f>VLOOKUP([jobnumber],OvalData[],MATCH(Table2[[#Headers],[Torque Required Open]],Table2[#Headers],0),0)</f>
        <v>892</v>
      </c>
      <c r="X609" s="2">
        <f>VLOOKUP([jobnumber],OvalData[],MATCH(Table2[[#Headers],[Pre Turns]],Table2[#Headers],0),0)</f>
        <v>1.3332999999999999</v>
      </c>
      <c r="Y609" s="2">
        <f>VLOOKUP([jobnumber],OvalData[],MATCH(Table2[[#Headers],[Required Torque Per Turn]],Table2[#Headers],0),0)</f>
        <v>688</v>
      </c>
      <c r="Z609" s="2">
        <f>VLOOKUP([jobnumber],OvalData[],MATCH(Table2[[#Headers],[Total Turns]],Table2[#Headers],0),0)</f>
        <v>4.91</v>
      </c>
      <c r="AA609" s="2">
        <f>VLOOKUP([jobnumber],OvalData[],MATCH(Table2[[#Headers],[Grille Vision Section]],Table2[#Headers],0),0)</f>
        <v>0</v>
      </c>
      <c r="AB609" s="2">
        <f>VLOOKUP([jobnumber],OvalData[],MATCH(Table2[[#Headers],[Grille Amount]],Table2[#Headers],0),0)</f>
        <v>0</v>
      </c>
      <c r="AC609" s="2">
        <f>VLOOKUP([jobnumber],OvalData[],MATCH(Table2[[#Headers],[Grille Center]],Table2[#Headers],0),0)</f>
        <v>0</v>
      </c>
      <c r="AD609" s="2">
        <f>VLOOKUP([jobnumber],OvalData[],MATCH(Table2[[#Headers],[Grille Pattern]],Table2[#Headers],0),0)</f>
        <v>0</v>
      </c>
      <c r="AE609" s="2">
        <f>VLOOKUP([jobnumber],OvalData[],MATCH(Table2[[#Headers],[Grille First Tube]],Table2[#Headers],0),0)</f>
        <v>0</v>
      </c>
      <c r="AF609" s="2">
        <f>VLOOKUP([jobnumber],OvalData[],MATCH(Table2[[#Headers],[Grille Standard Tube]],Table2[#Headers],0),0)</f>
        <v>0</v>
      </c>
      <c r="AG609" s="2">
        <f>VLOOKUP([jobnumber],OvalData[],MATCH(Table2[[#Headers],[Grille Total Links]],Table2[#Headers],0),0)</f>
        <v>0</v>
      </c>
      <c r="AH609" s="2">
        <f>VLOOKUP([jobnumber],OvalData[],MATCH(Table2[[#Headers],[Grille Rods]],Table2[#Headers],0),0)</f>
        <v>0</v>
      </c>
      <c r="AI609" s="2">
        <f>VLOOKUP([jobnumber],OvalData[],MATCH(Table2[[#Headers],[Grille Rod Length]],Table2[#Headers],0),0)</f>
        <v>0</v>
      </c>
      <c r="AJ609" s="2">
        <f>VLOOKUP([jobnumber],OvalData[],MATCH(Table2[[#Headers],[slattype]],Table2[#Headers],0),0)</f>
        <v>2</v>
      </c>
      <c r="AK609" s="2">
        <f>VLOOKUP([jobnumber],OvalData[],MATCH(Table2[[#Headers],[slatgage]],Table2[#Headers],0),0)</f>
        <v>18</v>
      </c>
      <c r="AL609" s="2">
        <f>VLOOKUP([jobnumber],OvalData[],MATCH(Table2[[#Headers],[Numer of Top Slats]],Table2[#Headers],0),0)</f>
        <v>0</v>
      </c>
      <c r="AM609" s="2">
        <f>VLOOKUP([jobnumber],OvalData[],MATCH(Table2[[#Headers],[Number of Bottom Slats]],Table2[#Headers],0),0)</f>
        <v>0</v>
      </c>
      <c r="AN609" s="2">
        <f>VLOOKUP([jobnumber],OvalData[],MATCH(Table2[[#Headers],[Solid Bottom Height]],Table2[#Headers],0),0)</f>
        <v>0</v>
      </c>
      <c r="AO609" s="2" t="str">
        <f>VLOOKUP([jobnumber],OvalData[],MATCH(Table2[[#Headers],[slatlength]],Table2[#Headers],0),0)</f>
        <v xml:space="preserve"> 18 ft.- 5 7/ 8"</v>
      </c>
      <c r="AP609" s="2">
        <f>VLOOKUP([jobnumber],OvalData[],MATCH(Table2[[#Headers],[Bottom Slat Length]],Table2[#Headers],0),0)</f>
        <v>0</v>
      </c>
      <c r="AQ609" s="2">
        <f>VLOOKUP([jobnumber],OvalData[],MATCH(Table2[[#Headers],[Number of Perferated Slats]],Table2[#Headers],0),0)</f>
        <v>0</v>
      </c>
      <c r="AR609" s="2">
        <f>VLOOKUP([jobnumber],OvalData[],MATCH(Table2[[#Headers],[First Preferated Slat From End]],Table2[#Headers],0),0)</f>
        <v>0</v>
      </c>
      <c r="AS609" s="2">
        <f>VLOOKUP([jobnumber],OvalData[],MATCH(Table2[[#Headers],[First Preferated Slat From Bottom]],Table2[#Headers],0),0)</f>
        <v>0</v>
      </c>
      <c r="AT609" s="2">
        <f>VLOOKUP([jobnumber],OvalData[],MATCH(Table2[[#Headers],[Total Number of Slats]],Table2[#Headers],0),0)</f>
        <v>51</v>
      </c>
      <c r="AU609" s="2">
        <f>VLOOKUP([jobnumber],OvalData[],MATCH(Table2[[#Headers],[Bottom Bar Slope]],Table2[#Headers],0),0)</f>
        <v>0</v>
      </c>
      <c r="AV609" s="2">
        <f>VLOOKUP([jobnumber],OvalData[],MATCH(Table2[[#Headers],[Bottom Bar Weight]],Table2[#Headers],0),0)</f>
        <v>80.5</v>
      </c>
      <c r="AW609" s="2" t="str">
        <f>VLOOKUP([jobnumber],OvalData[],MATCH(Table2[[#Headers],[Outer Spring Gage]],Table2[#Headers],0),0)</f>
        <v>Null</v>
      </c>
      <c r="AX609" s="2" t="str">
        <f>VLOOKUP([jobnumber],OvalData[],MATCH(Table2[[#Headers],[Outer Spring OD]],Table2[#Headers],0),0)</f>
        <v>Null</v>
      </c>
      <c r="AY609" s="2" t="str">
        <f>VLOOKUP([jobnumber],OvalData[],MATCH(Table2[[#Headers],[Outer Spring Length]],Table2[#Headers],0),0)</f>
        <v>Null</v>
      </c>
      <c r="AZ609" s="2" t="str">
        <f>VLOOKUP([jobnumber],OvalData[],MATCH(Table2[[#Headers],[Outer Spring Stretch]],Table2[#Headers],0),0)</f>
        <v>Null</v>
      </c>
      <c r="BA609" s="2" t="str">
        <f>VLOOKUP([jobnumber],OvalData[],MATCH(Table2[[#Headers],[Outer Spring Torque]],Table2[#Headers],0),0)</f>
        <v>Null</v>
      </c>
      <c r="BB609" s="2" t="str">
        <f>VLOOKUP([jobnumber],OvalData[],MATCH(Table2[[#Headers],[Outer Spring Max Turns]],Table2[#Headers],0),0)</f>
        <v>Null</v>
      </c>
      <c r="BC609" s="2" t="str">
        <f>VLOOKUP([jobnumber],OvalData[],MATCH(Table2[[#Headers],[Outer Spring Weight]],Table2[#Headers],0),0)</f>
        <v>Null</v>
      </c>
      <c r="BD609" s="2" t="str">
        <f>VLOOKUP([jobnumber],OvalData[],MATCH(Table2[[#Headers],[Inner Spring Gage]],Table2[#Headers],0),0)</f>
        <v>Null</v>
      </c>
      <c r="BE609" s="2" t="str">
        <f>VLOOKUP([jobnumber],OvalData[],MATCH(Table2[[#Headers],[Inner Spring OD]],Table2[#Headers],0),0)</f>
        <v>Null</v>
      </c>
      <c r="BF609" s="2" t="str">
        <f>VLOOKUP([jobnumber],OvalData[],MATCH(Table2[[#Headers],[Inner Spring Length]],Table2[#Headers],0),0)</f>
        <v>Null</v>
      </c>
      <c r="BG609" s="2" t="str">
        <f>VLOOKUP([jobnumber],OvalData[],MATCH(Table2[[#Headers],[Inner Spring Stretch]],Table2[#Headers],0),0)</f>
        <v>Null</v>
      </c>
      <c r="BH609" s="2" t="str">
        <f>VLOOKUP([jobnumber],OvalData[],MATCH(Table2[[#Headers],[Inner Spring Torque]],Table2[#Headers],0),0)</f>
        <v>Null</v>
      </c>
      <c r="BI609" s="2" t="str">
        <f>VLOOKUP([jobnumber],OvalData[],MATCH(Table2[[#Headers],[Inner Spring Max Turns]],Table2[#Headers],0),0)</f>
        <v>Null</v>
      </c>
      <c r="BJ609" s="2" t="str">
        <f>VLOOKUP([jobnumber],OvalData[],MATCH(Table2[[#Headers],[Inner Spring Weight]],Table2[#Headers],0),0)</f>
        <v>Null</v>
      </c>
      <c r="BK609" s="2">
        <f>VLOOKUP([jobnumber],OvalData[],MATCH(Table2[[#Headers],[Cycles]],Table2[#Headers],0),0)</f>
        <v>0</v>
      </c>
      <c r="BL609" s="2">
        <f>VLOOKUP([jobnumber],OvalData[],MATCH(Table2[[#Headers],[Total Spring Torque]],Table2[#Headers],0),0)</f>
        <v>0</v>
      </c>
      <c r="BM609" s="2">
        <f>VLOOKUP([jobnumber],OvalData[],MATCH(Table2[[#Headers],[Total Spring Weight]],Table2[#Headers],0),0)</f>
        <v>0</v>
      </c>
      <c r="BN609" s="2">
        <f>VLOOKUP([jobnumber],OvalData[],MATCH(Table2[[#Headers],[Pipe Weight]],Table2[#Headers],0),0)</f>
        <v>688.24239999999998</v>
      </c>
      <c r="BO609" s="2">
        <f>VLOOKUP([jobnumber],OvalData[],MATCH(Table2[[#Headers],[Max Pipe Deflection]],Table2[#Headers],0),0)</f>
        <v>2309</v>
      </c>
      <c r="BP609" s="2">
        <f>VLOOKUP([jobnumber],OvalData[],MATCH(Table2[[#Headers],[Number Non-Insulated Wrap Slats]],Table2[#Headers],0),0)</f>
        <v>0</v>
      </c>
      <c r="BQ609" s="2">
        <f>VLOOKUP([jobnumber],OvalData[],MATCH(Table2[[#Headers],[Number of Insolated Top Slats]],Table2[#Headers],0),0)</f>
        <v>45</v>
      </c>
      <c r="BR609" s="2">
        <f>VLOOKUP([jobnumber],OvalData[],MATCH(Table2[[#Headers],[Insolated Total Slats]],Table2[#Headers],0),0)</f>
        <v>45</v>
      </c>
      <c r="BS609" s="2">
        <f>VLOOKUP([jobnumber],OvalData[],MATCH(Table2[[#Headers],[Number of Slats]],Table2[#Headers],0),0)</f>
        <v>44.69</v>
      </c>
      <c r="BT609" s="2">
        <f>VLOOKUP([jobnumber],OvalData[],MATCH(Table2[[#Headers],[Wrap]],Table2[#Headers],0),0)</f>
        <v>0</v>
      </c>
      <c r="BU609" s="2">
        <f>VLOOKUP([jobnumber],OvalData[],MATCH(Table2[[#Headers],[Wall Angle Thickness]],Table2[#Headers],0),0)</f>
        <v>0</v>
      </c>
      <c r="BV609" s="2">
        <f>VLOOKUP([jobnumber],OvalData[],MATCH(Table2[[#Headers],[windlocks]],Table2[#Headers],0),0)</f>
        <v>0</v>
      </c>
      <c r="BW609" s="2" t="str">
        <f>VLOOKUP([jobnumber],OvalData[],MATCH(Table2[[#Headers],[bottombartype]],Table2[#Headers],0),0)</f>
        <v>SPECIAL</v>
      </c>
      <c r="BX609" s="2">
        <f>VLOOKUP([jobnumber],OvalData[],MATCH(Table2[[#Headers],[endlockweight]],Table2[#Headers],0),0)</f>
        <v>0.17</v>
      </c>
      <c r="BY609" s="2">
        <f>VLOOKUP([jobnumber],OvalData[],MATCH(Table2[[#Headers],[Endlock Total Weight]],Table2[#Headers],0),0)</f>
        <v>7.5972999999999997</v>
      </c>
      <c r="BZ609" s="2">
        <f>VLOOKUP([jobnumber],OvalData[],MATCH(Table2[[#Headers],[Grille Weight]],Table2[#Headers],0),0)</f>
        <v>0</v>
      </c>
      <c r="CA609" s="2">
        <f>VLOOKUP([jobnumber],OvalData[],MATCH(Table2[[#Headers],[barrelrings]],Table2[#Headers],0),0)</f>
        <v>1</v>
      </c>
    </row>
    <row r="610" spans="2:79">
      <c r="B610" s="2" t="str">
        <f>VLOOKUP([jobnumber],OvalData[],MATCH(Table2[[#Headers],[Hand]],Table2[#Headers],0),0)</f>
        <v>RH</v>
      </c>
      <c r="C610" s="2" t="str">
        <f>VLOOKUP([jobnumber],OvalData[],MATCH(Table2[[#Headers],[Model]],Table2[#Headers],0),0)</f>
        <v>SFMPP</v>
      </c>
      <c r="D610" s="2" t="str">
        <f>VLOOKUP([jobnumber],OvalData[],MATCH(Table2[[#Headers],[width]],Table2[#Headers],0),0)</f>
        <v xml:space="preserve"> 18 ft.- 2"</v>
      </c>
      <c r="E610" s="2" t="str">
        <f>VLOOKUP([jobnumber],OvalData[],MATCH(Table2[[#Headers],[stopheight]],Table2[#Headers],0),0)</f>
        <v xml:space="preserve"> 10 ft.- 0"</v>
      </c>
      <c r="F610" s="2" t="str">
        <f>VLOOKUP([jobnumber],OvalData[],MATCH(Table2[[#Headers],[Between Brackets]],Table2[#Headers],0),0)</f>
        <v xml:space="preserve"> 18 ft.- 7 7/ 8"</v>
      </c>
      <c r="G610" s="2" t="str">
        <f>VLOOKUP([jobnumber],OvalData[],MATCH(Table2[[#Headers],[shell]],Table2[#Headers],0),0)</f>
        <v>6 INCH TUBE</v>
      </c>
      <c r="H610" s="2" t="str">
        <f>VLOOKUP([jobnumber],OvalData[],MATCH(Table2[[#Headers],[pipewidth]],Table2[#Headers],0),0)</f>
        <v xml:space="preserve"> 18 ft.- 1 3/ 8"</v>
      </c>
      <c r="I610" s="2">
        <f>VLOOKUP([jobnumber],OvalData[],MATCH(Table2[[#Headers],[Support Tubes]],Table2[#Headers],0),0)</f>
        <v>0</v>
      </c>
      <c r="J610" s="2">
        <f>VLOOKUP([jobnumber],OvalData[],MATCH(Table2[[#Headers],[Upset]],Table2[#Headers],0),0)</f>
        <v>2</v>
      </c>
      <c r="K610" s="2" t="str">
        <f>VLOOKUP([jobnumber],OvalData[],MATCH(Table2[[#Headers],[Guide Type]],Table2[#Headers],0),0)</f>
        <v>SN2-4 5/8-E</v>
      </c>
      <c r="L610" s="2" t="str">
        <f>VLOOKUP([jobnumber],OvalData[],MATCH(Table2[[#Headers],[Wall Angle]],Table2[#Headers],0),0)</f>
        <v xml:space="preserve"> 11 ft.- 8"</v>
      </c>
      <c r="M610" s="2" t="str">
        <f>VLOOKUP([jobnumber],OvalData[],MATCH(Table2[[#Headers],[Middle Angle]],Table2[#Headers],0),0)</f>
        <v xml:space="preserve"> 10 ft.- 4 1/ 2"</v>
      </c>
      <c r="N610" s="2" t="str">
        <f>VLOOKUP([jobnumber],OvalData[],MATCH(Table2[[#Headers],[Front Angle]],Table2[#Headers],0),0)</f>
        <v xml:space="preserve"> 10 ft.- 3"</v>
      </c>
      <c r="O610" s="2">
        <f>VLOOKUP([jobnumber],OvalData[],MATCH(Table2[[#Headers],[Pipe Center Line]],Table2[#Headers],0),0)</f>
        <v>131</v>
      </c>
      <c r="P610" s="2">
        <f>VLOOKUP([jobnumber],OvalData[],MATCH(Table2[[#Headers],[Heat Expansion Gap]],Table2[#Headers],0),0)</f>
        <v>0</v>
      </c>
      <c r="Q610" s="2">
        <f>VLOOKUP([jobnumber],OvalData[],MATCH(Table2[[#Headers],[Hanging Weight Closed]],Table2[#Headers],0),0)</f>
        <v>795</v>
      </c>
      <c r="R610" s="2">
        <f>VLOOKUP([jobnumber],OvalData[],MATCH(Table2[[#Headers],[Hanging Weight Open]],Table2[#Headers],0),0)</f>
        <v>140</v>
      </c>
      <c r="S610" s="2">
        <f>VLOOKUP([jobnumber],OvalData[],MATCH(Table2[[#Headers],[Initial Lever Arm]],Table2[#Headers],0),0)</f>
        <v>4.25</v>
      </c>
      <c r="T610" s="2">
        <f>VLOOKUP([jobnumber],OvalData[],MATCH(Table2[[#Headers],[Turns to Raise]],Table2[#Headers],0),0)</f>
        <v>3.5859999999999999</v>
      </c>
      <c r="U610" s="2">
        <f>VLOOKUP([jobnumber],OvalData[],MATCH(Table2[[#Headers],[Final Lever Arm]],Table2[#Headers],0),0)</f>
        <v>6.37</v>
      </c>
      <c r="V610" s="2">
        <f>VLOOKUP([jobnumber],OvalData[],MATCH(Table2[[#Headers],[Torque Required Closed]],Table2[#Headers],0),0)</f>
        <v>3377.9</v>
      </c>
      <c r="W610" s="2">
        <f>VLOOKUP([jobnumber],OvalData[],MATCH(Table2[[#Headers],[Torque Required Open]],Table2[#Headers],0),0)</f>
        <v>892</v>
      </c>
      <c r="X610" s="2">
        <f>VLOOKUP([jobnumber],OvalData[],MATCH(Table2[[#Headers],[Pre Turns]],Table2[#Headers],0),0)</f>
        <v>1.3332999999999999</v>
      </c>
      <c r="Y610" s="2">
        <f>VLOOKUP([jobnumber],OvalData[],MATCH(Table2[[#Headers],[Required Torque Per Turn]],Table2[#Headers],0),0)</f>
        <v>688</v>
      </c>
      <c r="Z610" s="2">
        <f>VLOOKUP([jobnumber],OvalData[],MATCH(Table2[[#Headers],[Total Turns]],Table2[#Headers],0),0)</f>
        <v>4.91</v>
      </c>
      <c r="AA610" s="2">
        <f>VLOOKUP([jobnumber],OvalData[],MATCH(Table2[[#Headers],[Grille Vision Section]],Table2[#Headers],0),0)</f>
        <v>0</v>
      </c>
      <c r="AB610" s="2">
        <f>VLOOKUP([jobnumber],OvalData[],MATCH(Table2[[#Headers],[Grille Amount]],Table2[#Headers],0),0)</f>
        <v>0</v>
      </c>
      <c r="AC610" s="2">
        <f>VLOOKUP([jobnumber],OvalData[],MATCH(Table2[[#Headers],[Grille Center]],Table2[#Headers],0),0)</f>
        <v>0</v>
      </c>
      <c r="AD610" s="2">
        <f>VLOOKUP([jobnumber],OvalData[],MATCH(Table2[[#Headers],[Grille Pattern]],Table2[#Headers],0),0)</f>
        <v>0</v>
      </c>
      <c r="AE610" s="2">
        <f>VLOOKUP([jobnumber],OvalData[],MATCH(Table2[[#Headers],[Grille First Tube]],Table2[#Headers],0),0)</f>
        <v>0</v>
      </c>
      <c r="AF610" s="2">
        <f>VLOOKUP([jobnumber],OvalData[],MATCH(Table2[[#Headers],[Grille Standard Tube]],Table2[#Headers],0),0)</f>
        <v>0</v>
      </c>
      <c r="AG610" s="2">
        <f>VLOOKUP([jobnumber],OvalData[],MATCH(Table2[[#Headers],[Grille Total Links]],Table2[#Headers],0),0)</f>
        <v>0</v>
      </c>
      <c r="AH610" s="2">
        <f>VLOOKUP([jobnumber],OvalData[],MATCH(Table2[[#Headers],[Grille Rods]],Table2[#Headers],0),0)</f>
        <v>0</v>
      </c>
      <c r="AI610" s="2">
        <f>VLOOKUP([jobnumber],OvalData[],MATCH(Table2[[#Headers],[Grille Rod Length]],Table2[#Headers],0),0)</f>
        <v>0</v>
      </c>
      <c r="AJ610" s="2">
        <f>VLOOKUP([jobnumber],OvalData[],MATCH(Table2[[#Headers],[slattype]],Table2[#Headers],0),0)</f>
        <v>2</v>
      </c>
      <c r="AK610" s="2">
        <f>VLOOKUP([jobnumber],OvalData[],MATCH(Table2[[#Headers],[slatgage]],Table2[#Headers],0),0)</f>
        <v>18</v>
      </c>
      <c r="AL610" s="2">
        <f>VLOOKUP([jobnumber],OvalData[],MATCH(Table2[[#Headers],[Numer of Top Slats]],Table2[#Headers],0),0)</f>
        <v>0</v>
      </c>
      <c r="AM610" s="2">
        <f>VLOOKUP([jobnumber],OvalData[],MATCH(Table2[[#Headers],[Number of Bottom Slats]],Table2[#Headers],0),0)</f>
        <v>0</v>
      </c>
      <c r="AN610" s="2">
        <f>VLOOKUP([jobnumber],OvalData[],MATCH(Table2[[#Headers],[Solid Bottom Height]],Table2[#Headers],0),0)</f>
        <v>0</v>
      </c>
      <c r="AO610" s="2" t="str">
        <f>VLOOKUP([jobnumber],OvalData[],MATCH(Table2[[#Headers],[slatlength]],Table2[#Headers],0),0)</f>
        <v xml:space="preserve"> 18 ft.- 5 7/ 8"</v>
      </c>
      <c r="AP610" s="2">
        <f>VLOOKUP([jobnumber],OvalData[],MATCH(Table2[[#Headers],[Bottom Slat Length]],Table2[#Headers],0),0)</f>
        <v>0</v>
      </c>
      <c r="AQ610" s="2">
        <f>VLOOKUP([jobnumber],OvalData[],MATCH(Table2[[#Headers],[Number of Perferated Slats]],Table2[#Headers],0),0)</f>
        <v>0</v>
      </c>
      <c r="AR610" s="2">
        <f>VLOOKUP([jobnumber],OvalData[],MATCH(Table2[[#Headers],[First Preferated Slat From End]],Table2[#Headers],0),0)</f>
        <v>0</v>
      </c>
      <c r="AS610" s="2">
        <f>VLOOKUP([jobnumber],OvalData[],MATCH(Table2[[#Headers],[First Preferated Slat From Bottom]],Table2[#Headers],0),0)</f>
        <v>0</v>
      </c>
      <c r="AT610" s="2">
        <f>VLOOKUP([jobnumber],OvalData[],MATCH(Table2[[#Headers],[Total Number of Slats]],Table2[#Headers],0),0)</f>
        <v>51</v>
      </c>
      <c r="AU610" s="2">
        <f>VLOOKUP([jobnumber],OvalData[],MATCH(Table2[[#Headers],[Bottom Bar Slope]],Table2[#Headers],0),0)</f>
        <v>0</v>
      </c>
      <c r="AV610" s="2">
        <f>VLOOKUP([jobnumber],OvalData[],MATCH(Table2[[#Headers],[Bottom Bar Weight]],Table2[#Headers],0),0)</f>
        <v>80.5</v>
      </c>
      <c r="AW610" s="2" t="str">
        <f>VLOOKUP([jobnumber],OvalData[],MATCH(Table2[[#Headers],[Outer Spring Gage]],Table2[#Headers],0),0)</f>
        <v>Null</v>
      </c>
      <c r="AX610" s="2" t="str">
        <f>VLOOKUP([jobnumber],OvalData[],MATCH(Table2[[#Headers],[Outer Spring OD]],Table2[#Headers],0),0)</f>
        <v>Null</v>
      </c>
      <c r="AY610" s="2" t="str">
        <f>VLOOKUP([jobnumber],OvalData[],MATCH(Table2[[#Headers],[Outer Spring Length]],Table2[#Headers],0),0)</f>
        <v>Null</v>
      </c>
      <c r="AZ610" s="2" t="str">
        <f>VLOOKUP([jobnumber],OvalData[],MATCH(Table2[[#Headers],[Outer Spring Stretch]],Table2[#Headers],0),0)</f>
        <v>Null</v>
      </c>
      <c r="BA610" s="2" t="str">
        <f>VLOOKUP([jobnumber],OvalData[],MATCH(Table2[[#Headers],[Outer Spring Torque]],Table2[#Headers],0),0)</f>
        <v>Null</v>
      </c>
      <c r="BB610" s="2" t="str">
        <f>VLOOKUP([jobnumber],OvalData[],MATCH(Table2[[#Headers],[Outer Spring Max Turns]],Table2[#Headers],0),0)</f>
        <v>Null</v>
      </c>
      <c r="BC610" s="2" t="str">
        <f>VLOOKUP([jobnumber],OvalData[],MATCH(Table2[[#Headers],[Outer Spring Weight]],Table2[#Headers],0),0)</f>
        <v>Null</v>
      </c>
      <c r="BD610" s="2" t="str">
        <f>VLOOKUP([jobnumber],OvalData[],MATCH(Table2[[#Headers],[Inner Spring Gage]],Table2[#Headers],0),0)</f>
        <v>Null</v>
      </c>
      <c r="BE610" s="2" t="str">
        <f>VLOOKUP([jobnumber],OvalData[],MATCH(Table2[[#Headers],[Inner Spring OD]],Table2[#Headers],0),0)</f>
        <v>Null</v>
      </c>
      <c r="BF610" s="2" t="str">
        <f>VLOOKUP([jobnumber],OvalData[],MATCH(Table2[[#Headers],[Inner Spring Length]],Table2[#Headers],0),0)</f>
        <v>Null</v>
      </c>
      <c r="BG610" s="2" t="str">
        <f>VLOOKUP([jobnumber],OvalData[],MATCH(Table2[[#Headers],[Inner Spring Stretch]],Table2[#Headers],0),0)</f>
        <v>Null</v>
      </c>
      <c r="BH610" s="2" t="str">
        <f>VLOOKUP([jobnumber],OvalData[],MATCH(Table2[[#Headers],[Inner Spring Torque]],Table2[#Headers],0),0)</f>
        <v>Null</v>
      </c>
      <c r="BI610" s="2" t="str">
        <f>VLOOKUP([jobnumber],OvalData[],MATCH(Table2[[#Headers],[Inner Spring Max Turns]],Table2[#Headers],0),0)</f>
        <v>Null</v>
      </c>
      <c r="BJ610" s="2" t="str">
        <f>VLOOKUP([jobnumber],OvalData[],MATCH(Table2[[#Headers],[Inner Spring Weight]],Table2[#Headers],0),0)</f>
        <v>Null</v>
      </c>
      <c r="BK610" s="2">
        <f>VLOOKUP([jobnumber],OvalData[],MATCH(Table2[[#Headers],[Cycles]],Table2[#Headers],0),0)</f>
        <v>0</v>
      </c>
      <c r="BL610" s="2">
        <f>VLOOKUP([jobnumber],OvalData[],MATCH(Table2[[#Headers],[Total Spring Torque]],Table2[#Headers],0),0)</f>
        <v>0</v>
      </c>
      <c r="BM610" s="2">
        <f>VLOOKUP([jobnumber],OvalData[],MATCH(Table2[[#Headers],[Total Spring Weight]],Table2[#Headers],0),0)</f>
        <v>0</v>
      </c>
      <c r="BN610" s="2">
        <f>VLOOKUP([jobnumber],OvalData[],MATCH(Table2[[#Headers],[Pipe Weight]],Table2[#Headers],0),0)</f>
        <v>688.24239999999998</v>
      </c>
      <c r="BO610" s="2">
        <f>VLOOKUP([jobnumber],OvalData[],MATCH(Table2[[#Headers],[Max Pipe Deflection]],Table2[#Headers],0),0)</f>
        <v>2309</v>
      </c>
      <c r="BP610" s="2">
        <f>VLOOKUP([jobnumber],OvalData[],MATCH(Table2[[#Headers],[Number Non-Insulated Wrap Slats]],Table2[#Headers],0),0)</f>
        <v>0</v>
      </c>
      <c r="BQ610" s="2">
        <f>VLOOKUP([jobnumber],OvalData[],MATCH(Table2[[#Headers],[Number of Insolated Top Slats]],Table2[#Headers],0),0)</f>
        <v>45</v>
      </c>
      <c r="BR610" s="2">
        <f>VLOOKUP([jobnumber],OvalData[],MATCH(Table2[[#Headers],[Insolated Total Slats]],Table2[#Headers],0),0)</f>
        <v>45</v>
      </c>
      <c r="BS610" s="2">
        <f>VLOOKUP([jobnumber],OvalData[],MATCH(Table2[[#Headers],[Number of Slats]],Table2[#Headers],0),0)</f>
        <v>44.69</v>
      </c>
      <c r="BT610" s="2">
        <f>VLOOKUP([jobnumber],OvalData[],MATCH(Table2[[#Headers],[Wrap]],Table2[#Headers],0),0)</f>
        <v>0</v>
      </c>
      <c r="BU610" s="2">
        <f>VLOOKUP([jobnumber],OvalData[],MATCH(Table2[[#Headers],[Wall Angle Thickness]],Table2[#Headers],0),0)</f>
        <v>0</v>
      </c>
      <c r="BV610" s="2">
        <f>VLOOKUP([jobnumber],OvalData[],MATCH(Table2[[#Headers],[windlocks]],Table2[#Headers],0),0)</f>
        <v>0</v>
      </c>
      <c r="BW610" s="2" t="str">
        <f>VLOOKUP([jobnumber],OvalData[],MATCH(Table2[[#Headers],[bottombartype]],Table2[#Headers],0),0)</f>
        <v>SPECIAL</v>
      </c>
      <c r="BX610" s="2">
        <f>VLOOKUP([jobnumber],OvalData[],MATCH(Table2[[#Headers],[endlockweight]],Table2[#Headers],0),0)</f>
        <v>0.17</v>
      </c>
      <c r="BY610" s="2">
        <f>VLOOKUP([jobnumber],OvalData[],MATCH(Table2[[#Headers],[Endlock Total Weight]],Table2[#Headers],0),0)</f>
        <v>7.5972999999999997</v>
      </c>
      <c r="BZ610" s="2">
        <f>VLOOKUP([jobnumber],OvalData[],MATCH(Table2[[#Headers],[Grille Weight]],Table2[#Headers],0),0)</f>
        <v>0</v>
      </c>
      <c r="CA610" s="2">
        <f>VLOOKUP([jobnumber],OvalData[],MATCH(Table2[[#Headers],[barrelrings]],Table2[#Headers],0),0)</f>
        <v>1</v>
      </c>
    </row>
    <row r="611" spans="2:79">
      <c r="B611" s="2" t="str">
        <f>VLOOKUP([jobnumber],OvalData[],MATCH(Table2[[#Headers],[Hand]],Table2[#Headers],0),0)</f>
        <v>RH</v>
      </c>
      <c r="C611" s="2" t="str">
        <f>VLOOKUP([jobnumber],OvalData[],MATCH(Table2[[#Headers],[Model]],Table2[#Headers],0),0)</f>
        <v>SFMPP</v>
      </c>
      <c r="D611" s="2" t="str">
        <f>VLOOKUP([jobnumber],OvalData[],MATCH(Table2[[#Headers],[width]],Table2[#Headers],0),0)</f>
        <v xml:space="preserve"> 18 ft.- 2"</v>
      </c>
      <c r="E611" s="2" t="str">
        <f>VLOOKUP([jobnumber],OvalData[],MATCH(Table2[[#Headers],[stopheight]],Table2[#Headers],0),0)</f>
        <v xml:space="preserve"> 10 ft.- 0"</v>
      </c>
      <c r="F611" s="2" t="str">
        <f>VLOOKUP([jobnumber],OvalData[],MATCH(Table2[[#Headers],[Between Brackets]],Table2[#Headers],0),0)</f>
        <v xml:space="preserve"> 18 ft.- 7 7/ 8"</v>
      </c>
      <c r="G611" s="2" t="str">
        <f>VLOOKUP([jobnumber],OvalData[],MATCH(Table2[[#Headers],[shell]],Table2[#Headers],0),0)</f>
        <v>6 INCH TUBE</v>
      </c>
      <c r="H611" s="2" t="str">
        <f>VLOOKUP([jobnumber],OvalData[],MATCH(Table2[[#Headers],[pipewidth]],Table2[#Headers],0),0)</f>
        <v xml:space="preserve"> 18 ft.- 1 3/ 8"</v>
      </c>
      <c r="I611" s="2">
        <f>VLOOKUP([jobnumber],OvalData[],MATCH(Table2[[#Headers],[Support Tubes]],Table2[#Headers],0),0)</f>
        <v>0</v>
      </c>
      <c r="J611" s="2">
        <f>VLOOKUP([jobnumber],OvalData[],MATCH(Table2[[#Headers],[Upset]],Table2[#Headers],0),0)</f>
        <v>2</v>
      </c>
      <c r="K611" s="2" t="str">
        <f>VLOOKUP([jobnumber],OvalData[],MATCH(Table2[[#Headers],[Guide Type]],Table2[#Headers],0),0)</f>
        <v>SN2-4 5/8-E</v>
      </c>
      <c r="L611" s="2" t="str">
        <f>VLOOKUP([jobnumber],OvalData[],MATCH(Table2[[#Headers],[Wall Angle]],Table2[#Headers],0),0)</f>
        <v xml:space="preserve"> 11 ft.- 8"</v>
      </c>
      <c r="M611" s="2" t="str">
        <f>VLOOKUP([jobnumber],OvalData[],MATCH(Table2[[#Headers],[Middle Angle]],Table2[#Headers],0),0)</f>
        <v xml:space="preserve"> 10 ft.- 4 1/ 2"</v>
      </c>
      <c r="N611" s="2" t="str">
        <f>VLOOKUP([jobnumber],OvalData[],MATCH(Table2[[#Headers],[Front Angle]],Table2[#Headers],0),0)</f>
        <v xml:space="preserve"> 10 ft.- 3"</v>
      </c>
      <c r="O611" s="2">
        <f>VLOOKUP([jobnumber],OvalData[],MATCH(Table2[[#Headers],[Pipe Center Line]],Table2[#Headers],0),0)</f>
        <v>131</v>
      </c>
      <c r="P611" s="2">
        <f>VLOOKUP([jobnumber],OvalData[],MATCH(Table2[[#Headers],[Heat Expansion Gap]],Table2[#Headers],0),0)</f>
        <v>0</v>
      </c>
      <c r="Q611" s="2">
        <f>VLOOKUP([jobnumber],OvalData[],MATCH(Table2[[#Headers],[Hanging Weight Closed]],Table2[#Headers],0),0)</f>
        <v>795</v>
      </c>
      <c r="R611" s="2">
        <f>VLOOKUP([jobnumber],OvalData[],MATCH(Table2[[#Headers],[Hanging Weight Open]],Table2[#Headers],0),0)</f>
        <v>140</v>
      </c>
      <c r="S611" s="2">
        <f>VLOOKUP([jobnumber],OvalData[],MATCH(Table2[[#Headers],[Initial Lever Arm]],Table2[#Headers],0),0)</f>
        <v>4.25</v>
      </c>
      <c r="T611" s="2">
        <f>VLOOKUP([jobnumber],OvalData[],MATCH(Table2[[#Headers],[Turns to Raise]],Table2[#Headers],0),0)</f>
        <v>3.5859999999999999</v>
      </c>
      <c r="U611" s="2">
        <f>VLOOKUP([jobnumber],OvalData[],MATCH(Table2[[#Headers],[Final Lever Arm]],Table2[#Headers],0),0)</f>
        <v>6.37</v>
      </c>
      <c r="V611" s="2">
        <f>VLOOKUP([jobnumber],OvalData[],MATCH(Table2[[#Headers],[Torque Required Closed]],Table2[#Headers],0),0)</f>
        <v>3377.9</v>
      </c>
      <c r="W611" s="2">
        <f>VLOOKUP([jobnumber],OvalData[],MATCH(Table2[[#Headers],[Torque Required Open]],Table2[#Headers],0),0)</f>
        <v>892</v>
      </c>
      <c r="X611" s="2">
        <f>VLOOKUP([jobnumber],OvalData[],MATCH(Table2[[#Headers],[Pre Turns]],Table2[#Headers],0),0)</f>
        <v>1.3332999999999999</v>
      </c>
      <c r="Y611" s="2">
        <f>VLOOKUP([jobnumber],OvalData[],MATCH(Table2[[#Headers],[Required Torque Per Turn]],Table2[#Headers],0),0)</f>
        <v>688</v>
      </c>
      <c r="Z611" s="2">
        <f>VLOOKUP([jobnumber],OvalData[],MATCH(Table2[[#Headers],[Total Turns]],Table2[#Headers],0),0)</f>
        <v>4.91</v>
      </c>
      <c r="AA611" s="2">
        <f>VLOOKUP([jobnumber],OvalData[],MATCH(Table2[[#Headers],[Grille Vision Section]],Table2[#Headers],0),0)</f>
        <v>0</v>
      </c>
      <c r="AB611" s="2">
        <f>VLOOKUP([jobnumber],OvalData[],MATCH(Table2[[#Headers],[Grille Amount]],Table2[#Headers],0),0)</f>
        <v>0</v>
      </c>
      <c r="AC611" s="2">
        <f>VLOOKUP([jobnumber],OvalData[],MATCH(Table2[[#Headers],[Grille Center]],Table2[#Headers],0),0)</f>
        <v>0</v>
      </c>
      <c r="AD611" s="2">
        <f>VLOOKUP([jobnumber],OvalData[],MATCH(Table2[[#Headers],[Grille Pattern]],Table2[#Headers],0),0)</f>
        <v>0</v>
      </c>
      <c r="AE611" s="2">
        <f>VLOOKUP([jobnumber],OvalData[],MATCH(Table2[[#Headers],[Grille First Tube]],Table2[#Headers],0),0)</f>
        <v>0</v>
      </c>
      <c r="AF611" s="2">
        <f>VLOOKUP([jobnumber],OvalData[],MATCH(Table2[[#Headers],[Grille Standard Tube]],Table2[#Headers],0),0)</f>
        <v>0</v>
      </c>
      <c r="AG611" s="2">
        <f>VLOOKUP([jobnumber],OvalData[],MATCH(Table2[[#Headers],[Grille Total Links]],Table2[#Headers],0),0)</f>
        <v>0</v>
      </c>
      <c r="AH611" s="2">
        <f>VLOOKUP([jobnumber],OvalData[],MATCH(Table2[[#Headers],[Grille Rods]],Table2[#Headers],0),0)</f>
        <v>0</v>
      </c>
      <c r="AI611" s="2">
        <f>VLOOKUP([jobnumber],OvalData[],MATCH(Table2[[#Headers],[Grille Rod Length]],Table2[#Headers],0),0)</f>
        <v>0</v>
      </c>
      <c r="AJ611" s="2">
        <f>VLOOKUP([jobnumber],OvalData[],MATCH(Table2[[#Headers],[slattype]],Table2[#Headers],0),0)</f>
        <v>2</v>
      </c>
      <c r="AK611" s="2">
        <f>VLOOKUP([jobnumber],OvalData[],MATCH(Table2[[#Headers],[slatgage]],Table2[#Headers],0),0)</f>
        <v>18</v>
      </c>
      <c r="AL611" s="2">
        <f>VLOOKUP([jobnumber],OvalData[],MATCH(Table2[[#Headers],[Numer of Top Slats]],Table2[#Headers],0),0)</f>
        <v>0</v>
      </c>
      <c r="AM611" s="2">
        <f>VLOOKUP([jobnumber],OvalData[],MATCH(Table2[[#Headers],[Number of Bottom Slats]],Table2[#Headers],0),0)</f>
        <v>0</v>
      </c>
      <c r="AN611" s="2">
        <f>VLOOKUP([jobnumber],OvalData[],MATCH(Table2[[#Headers],[Solid Bottom Height]],Table2[#Headers],0),0)</f>
        <v>0</v>
      </c>
      <c r="AO611" s="2" t="str">
        <f>VLOOKUP([jobnumber],OvalData[],MATCH(Table2[[#Headers],[slatlength]],Table2[#Headers],0),0)</f>
        <v xml:space="preserve"> 18 ft.- 5 7/ 8"</v>
      </c>
      <c r="AP611" s="2">
        <f>VLOOKUP([jobnumber],OvalData[],MATCH(Table2[[#Headers],[Bottom Slat Length]],Table2[#Headers],0),0)</f>
        <v>0</v>
      </c>
      <c r="AQ611" s="2">
        <f>VLOOKUP([jobnumber],OvalData[],MATCH(Table2[[#Headers],[Number of Perferated Slats]],Table2[#Headers],0),0)</f>
        <v>0</v>
      </c>
      <c r="AR611" s="2">
        <f>VLOOKUP([jobnumber],OvalData[],MATCH(Table2[[#Headers],[First Preferated Slat From End]],Table2[#Headers],0),0)</f>
        <v>0</v>
      </c>
      <c r="AS611" s="2">
        <f>VLOOKUP([jobnumber],OvalData[],MATCH(Table2[[#Headers],[First Preferated Slat From Bottom]],Table2[#Headers],0),0)</f>
        <v>0</v>
      </c>
      <c r="AT611" s="2">
        <f>VLOOKUP([jobnumber],OvalData[],MATCH(Table2[[#Headers],[Total Number of Slats]],Table2[#Headers],0),0)</f>
        <v>51</v>
      </c>
      <c r="AU611" s="2">
        <f>VLOOKUP([jobnumber],OvalData[],MATCH(Table2[[#Headers],[Bottom Bar Slope]],Table2[#Headers],0),0)</f>
        <v>0</v>
      </c>
      <c r="AV611" s="2">
        <f>VLOOKUP([jobnumber],OvalData[],MATCH(Table2[[#Headers],[Bottom Bar Weight]],Table2[#Headers],0),0)</f>
        <v>80.5</v>
      </c>
      <c r="AW611" s="2" t="str">
        <f>VLOOKUP([jobnumber],OvalData[],MATCH(Table2[[#Headers],[Outer Spring Gage]],Table2[#Headers],0),0)</f>
        <v>Null</v>
      </c>
      <c r="AX611" s="2" t="str">
        <f>VLOOKUP([jobnumber],OvalData[],MATCH(Table2[[#Headers],[Outer Spring OD]],Table2[#Headers],0),0)</f>
        <v>Null</v>
      </c>
      <c r="AY611" s="2" t="str">
        <f>VLOOKUP([jobnumber],OvalData[],MATCH(Table2[[#Headers],[Outer Spring Length]],Table2[#Headers],0),0)</f>
        <v>Null</v>
      </c>
      <c r="AZ611" s="2" t="str">
        <f>VLOOKUP([jobnumber],OvalData[],MATCH(Table2[[#Headers],[Outer Spring Stretch]],Table2[#Headers],0),0)</f>
        <v>Null</v>
      </c>
      <c r="BA611" s="2" t="str">
        <f>VLOOKUP([jobnumber],OvalData[],MATCH(Table2[[#Headers],[Outer Spring Torque]],Table2[#Headers],0),0)</f>
        <v>Null</v>
      </c>
      <c r="BB611" s="2" t="str">
        <f>VLOOKUP([jobnumber],OvalData[],MATCH(Table2[[#Headers],[Outer Spring Max Turns]],Table2[#Headers],0),0)</f>
        <v>Null</v>
      </c>
      <c r="BC611" s="2" t="str">
        <f>VLOOKUP([jobnumber],OvalData[],MATCH(Table2[[#Headers],[Outer Spring Weight]],Table2[#Headers],0),0)</f>
        <v>Null</v>
      </c>
      <c r="BD611" s="2" t="str">
        <f>VLOOKUP([jobnumber],OvalData[],MATCH(Table2[[#Headers],[Inner Spring Gage]],Table2[#Headers],0),0)</f>
        <v>Null</v>
      </c>
      <c r="BE611" s="2" t="str">
        <f>VLOOKUP([jobnumber],OvalData[],MATCH(Table2[[#Headers],[Inner Spring OD]],Table2[#Headers],0),0)</f>
        <v>Null</v>
      </c>
      <c r="BF611" s="2" t="str">
        <f>VLOOKUP([jobnumber],OvalData[],MATCH(Table2[[#Headers],[Inner Spring Length]],Table2[#Headers],0),0)</f>
        <v>Null</v>
      </c>
      <c r="BG611" s="2" t="str">
        <f>VLOOKUP([jobnumber],OvalData[],MATCH(Table2[[#Headers],[Inner Spring Stretch]],Table2[#Headers],0),0)</f>
        <v>Null</v>
      </c>
      <c r="BH611" s="2" t="str">
        <f>VLOOKUP([jobnumber],OvalData[],MATCH(Table2[[#Headers],[Inner Spring Torque]],Table2[#Headers],0),0)</f>
        <v>Null</v>
      </c>
      <c r="BI611" s="2" t="str">
        <f>VLOOKUP([jobnumber],OvalData[],MATCH(Table2[[#Headers],[Inner Spring Max Turns]],Table2[#Headers],0),0)</f>
        <v>Null</v>
      </c>
      <c r="BJ611" s="2" t="str">
        <f>VLOOKUP([jobnumber],OvalData[],MATCH(Table2[[#Headers],[Inner Spring Weight]],Table2[#Headers],0),0)</f>
        <v>Null</v>
      </c>
      <c r="BK611" s="2">
        <f>VLOOKUP([jobnumber],OvalData[],MATCH(Table2[[#Headers],[Cycles]],Table2[#Headers],0),0)</f>
        <v>0</v>
      </c>
      <c r="BL611" s="2">
        <f>VLOOKUP([jobnumber],OvalData[],MATCH(Table2[[#Headers],[Total Spring Torque]],Table2[#Headers],0),0)</f>
        <v>0</v>
      </c>
      <c r="BM611" s="2">
        <f>VLOOKUP([jobnumber],OvalData[],MATCH(Table2[[#Headers],[Total Spring Weight]],Table2[#Headers],0),0)</f>
        <v>0</v>
      </c>
      <c r="BN611" s="2">
        <f>VLOOKUP([jobnumber],OvalData[],MATCH(Table2[[#Headers],[Pipe Weight]],Table2[#Headers],0),0)</f>
        <v>688.24239999999998</v>
      </c>
      <c r="BO611" s="2">
        <f>VLOOKUP([jobnumber],OvalData[],MATCH(Table2[[#Headers],[Max Pipe Deflection]],Table2[#Headers],0),0)</f>
        <v>2309</v>
      </c>
      <c r="BP611" s="2">
        <f>VLOOKUP([jobnumber],OvalData[],MATCH(Table2[[#Headers],[Number Non-Insulated Wrap Slats]],Table2[#Headers],0),0)</f>
        <v>0</v>
      </c>
      <c r="BQ611" s="2">
        <f>VLOOKUP([jobnumber],OvalData[],MATCH(Table2[[#Headers],[Number of Insolated Top Slats]],Table2[#Headers],0),0)</f>
        <v>45</v>
      </c>
      <c r="BR611" s="2">
        <f>VLOOKUP([jobnumber],OvalData[],MATCH(Table2[[#Headers],[Insolated Total Slats]],Table2[#Headers],0),0)</f>
        <v>45</v>
      </c>
      <c r="BS611" s="2">
        <f>VLOOKUP([jobnumber],OvalData[],MATCH(Table2[[#Headers],[Number of Slats]],Table2[#Headers],0),0)</f>
        <v>44.69</v>
      </c>
      <c r="BT611" s="2">
        <f>VLOOKUP([jobnumber],OvalData[],MATCH(Table2[[#Headers],[Wrap]],Table2[#Headers],0),0)</f>
        <v>0</v>
      </c>
      <c r="BU611" s="2">
        <f>VLOOKUP([jobnumber],OvalData[],MATCH(Table2[[#Headers],[Wall Angle Thickness]],Table2[#Headers],0),0)</f>
        <v>0</v>
      </c>
      <c r="BV611" s="2">
        <f>VLOOKUP([jobnumber],OvalData[],MATCH(Table2[[#Headers],[windlocks]],Table2[#Headers],0),0)</f>
        <v>0</v>
      </c>
      <c r="BW611" s="2" t="str">
        <f>VLOOKUP([jobnumber],OvalData[],MATCH(Table2[[#Headers],[bottombartype]],Table2[#Headers],0),0)</f>
        <v>SPECIAL</v>
      </c>
      <c r="BX611" s="2">
        <f>VLOOKUP([jobnumber],OvalData[],MATCH(Table2[[#Headers],[endlockweight]],Table2[#Headers],0),0)</f>
        <v>0.17</v>
      </c>
      <c r="BY611" s="2">
        <f>VLOOKUP([jobnumber],OvalData[],MATCH(Table2[[#Headers],[Endlock Total Weight]],Table2[#Headers],0),0)</f>
        <v>7.5972999999999997</v>
      </c>
      <c r="BZ611" s="2">
        <f>VLOOKUP([jobnumber],OvalData[],MATCH(Table2[[#Headers],[Grille Weight]],Table2[#Headers],0),0)</f>
        <v>0</v>
      </c>
      <c r="CA611" s="2">
        <f>VLOOKUP([jobnumber],OvalData[],MATCH(Table2[[#Headers],[barrelrings]],Table2[#Headers],0),0)</f>
        <v>1</v>
      </c>
    </row>
    <row r="612" spans="2:79">
      <c r="B612" s="2" t="str">
        <f>VLOOKUP([jobnumber],OvalData[],MATCH(Table2[[#Headers],[Hand]],Table2[#Headers],0),0)</f>
        <v>RH</v>
      </c>
      <c r="C612" s="2" t="str">
        <f>VLOOKUP([jobnumber],OvalData[],MATCH(Table2[[#Headers],[Model]],Table2[#Headers],0),0)</f>
        <v>SFMPP</v>
      </c>
      <c r="D612" s="2" t="str">
        <f>VLOOKUP([jobnumber],OvalData[],MATCH(Table2[[#Headers],[width]],Table2[#Headers],0),0)</f>
        <v xml:space="preserve"> 18 ft.- 2"</v>
      </c>
      <c r="E612" s="2" t="str">
        <f>VLOOKUP([jobnumber],OvalData[],MATCH(Table2[[#Headers],[stopheight]],Table2[#Headers],0),0)</f>
        <v xml:space="preserve"> 10 ft.- 0"</v>
      </c>
      <c r="F612" s="2" t="str">
        <f>VLOOKUP([jobnumber],OvalData[],MATCH(Table2[[#Headers],[Between Brackets]],Table2[#Headers],0),0)</f>
        <v xml:space="preserve"> 18 ft.- 7 7/ 8"</v>
      </c>
      <c r="G612" s="2" t="str">
        <f>VLOOKUP([jobnumber],OvalData[],MATCH(Table2[[#Headers],[shell]],Table2[#Headers],0),0)</f>
        <v>6 INCH TUBE</v>
      </c>
      <c r="H612" s="2" t="str">
        <f>VLOOKUP([jobnumber],OvalData[],MATCH(Table2[[#Headers],[pipewidth]],Table2[#Headers],0),0)</f>
        <v xml:space="preserve"> 18 ft.- 1 3/ 8"</v>
      </c>
      <c r="I612" s="2">
        <f>VLOOKUP([jobnumber],OvalData[],MATCH(Table2[[#Headers],[Support Tubes]],Table2[#Headers],0),0)</f>
        <v>0</v>
      </c>
      <c r="J612" s="2">
        <f>VLOOKUP([jobnumber],OvalData[],MATCH(Table2[[#Headers],[Upset]],Table2[#Headers],0),0)</f>
        <v>2</v>
      </c>
      <c r="K612" s="2" t="str">
        <f>VLOOKUP([jobnumber],OvalData[],MATCH(Table2[[#Headers],[Guide Type]],Table2[#Headers],0),0)</f>
        <v>SN2-4 5/8-E</v>
      </c>
      <c r="L612" s="2" t="str">
        <f>VLOOKUP([jobnumber],OvalData[],MATCH(Table2[[#Headers],[Wall Angle]],Table2[#Headers],0),0)</f>
        <v xml:space="preserve"> 11 ft.- 8"</v>
      </c>
      <c r="M612" s="2" t="str">
        <f>VLOOKUP([jobnumber],OvalData[],MATCH(Table2[[#Headers],[Middle Angle]],Table2[#Headers],0),0)</f>
        <v xml:space="preserve"> 10 ft.- 4 1/ 2"</v>
      </c>
      <c r="N612" s="2" t="str">
        <f>VLOOKUP([jobnumber],OvalData[],MATCH(Table2[[#Headers],[Front Angle]],Table2[#Headers],0),0)</f>
        <v xml:space="preserve"> 10 ft.- 3"</v>
      </c>
      <c r="O612" s="2">
        <f>VLOOKUP([jobnumber],OvalData[],MATCH(Table2[[#Headers],[Pipe Center Line]],Table2[#Headers],0),0)</f>
        <v>131</v>
      </c>
      <c r="P612" s="2">
        <f>VLOOKUP([jobnumber],OvalData[],MATCH(Table2[[#Headers],[Heat Expansion Gap]],Table2[#Headers],0),0)</f>
        <v>0</v>
      </c>
      <c r="Q612" s="2">
        <f>VLOOKUP([jobnumber],OvalData[],MATCH(Table2[[#Headers],[Hanging Weight Closed]],Table2[#Headers],0),0)</f>
        <v>795</v>
      </c>
      <c r="R612" s="2">
        <f>VLOOKUP([jobnumber],OvalData[],MATCH(Table2[[#Headers],[Hanging Weight Open]],Table2[#Headers],0),0)</f>
        <v>140</v>
      </c>
      <c r="S612" s="2">
        <f>VLOOKUP([jobnumber],OvalData[],MATCH(Table2[[#Headers],[Initial Lever Arm]],Table2[#Headers],0),0)</f>
        <v>4.25</v>
      </c>
      <c r="T612" s="2">
        <f>VLOOKUP([jobnumber],OvalData[],MATCH(Table2[[#Headers],[Turns to Raise]],Table2[#Headers],0),0)</f>
        <v>3.5859999999999999</v>
      </c>
      <c r="U612" s="2">
        <f>VLOOKUP([jobnumber],OvalData[],MATCH(Table2[[#Headers],[Final Lever Arm]],Table2[#Headers],0),0)</f>
        <v>6.37</v>
      </c>
      <c r="V612" s="2">
        <f>VLOOKUP([jobnumber],OvalData[],MATCH(Table2[[#Headers],[Torque Required Closed]],Table2[#Headers],0),0)</f>
        <v>3377.9</v>
      </c>
      <c r="W612" s="2">
        <f>VLOOKUP([jobnumber],OvalData[],MATCH(Table2[[#Headers],[Torque Required Open]],Table2[#Headers],0),0)</f>
        <v>892</v>
      </c>
      <c r="X612" s="2">
        <f>VLOOKUP([jobnumber],OvalData[],MATCH(Table2[[#Headers],[Pre Turns]],Table2[#Headers],0),0)</f>
        <v>1.3332999999999999</v>
      </c>
      <c r="Y612" s="2">
        <f>VLOOKUP([jobnumber],OvalData[],MATCH(Table2[[#Headers],[Required Torque Per Turn]],Table2[#Headers],0),0)</f>
        <v>688</v>
      </c>
      <c r="Z612" s="2">
        <f>VLOOKUP([jobnumber],OvalData[],MATCH(Table2[[#Headers],[Total Turns]],Table2[#Headers],0),0)</f>
        <v>4.91</v>
      </c>
      <c r="AA612" s="2">
        <f>VLOOKUP([jobnumber],OvalData[],MATCH(Table2[[#Headers],[Grille Vision Section]],Table2[#Headers],0),0)</f>
        <v>0</v>
      </c>
      <c r="AB612" s="2">
        <f>VLOOKUP([jobnumber],OvalData[],MATCH(Table2[[#Headers],[Grille Amount]],Table2[#Headers],0),0)</f>
        <v>0</v>
      </c>
      <c r="AC612" s="2">
        <f>VLOOKUP([jobnumber],OvalData[],MATCH(Table2[[#Headers],[Grille Center]],Table2[#Headers],0),0)</f>
        <v>0</v>
      </c>
      <c r="AD612" s="2">
        <f>VLOOKUP([jobnumber],OvalData[],MATCH(Table2[[#Headers],[Grille Pattern]],Table2[#Headers],0),0)</f>
        <v>0</v>
      </c>
      <c r="AE612" s="2">
        <f>VLOOKUP([jobnumber],OvalData[],MATCH(Table2[[#Headers],[Grille First Tube]],Table2[#Headers],0),0)</f>
        <v>0</v>
      </c>
      <c r="AF612" s="2">
        <f>VLOOKUP([jobnumber],OvalData[],MATCH(Table2[[#Headers],[Grille Standard Tube]],Table2[#Headers],0),0)</f>
        <v>0</v>
      </c>
      <c r="AG612" s="2">
        <f>VLOOKUP([jobnumber],OvalData[],MATCH(Table2[[#Headers],[Grille Total Links]],Table2[#Headers],0),0)</f>
        <v>0</v>
      </c>
      <c r="AH612" s="2">
        <f>VLOOKUP([jobnumber],OvalData[],MATCH(Table2[[#Headers],[Grille Rods]],Table2[#Headers],0),0)</f>
        <v>0</v>
      </c>
      <c r="AI612" s="2">
        <f>VLOOKUP([jobnumber],OvalData[],MATCH(Table2[[#Headers],[Grille Rod Length]],Table2[#Headers],0),0)</f>
        <v>0</v>
      </c>
      <c r="AJ612" s="2">
        <f>VLOOKUP([jobnumber],OvalData[],MATCH(Table2[[#Headers],[slattype]],Table2[#Headers],0),0)</f>
        <v>2</v>
      </c>
      <c r="AK612" s="2">
        <f>VLOOKUP([jobnumber],OvalData[],MATCH(Table2[[#Headers],[slatgage]],Table2[#Headers],0),0)</f>
        <v>18</v>
      </c>
      <c r="AL612" s="2">
        <f>VLOOKUP([jobnumber],OvalData[],MATCH(Table2[[#Headers],[Numer of Top Slats]],Table2[#Headers],0),0)</f>
        <v>0</v>
      </c>
      <c r="AM612" s="2">
        <f>VLOOKUP([jobnumber],OvalData[],MATCH(Table2[[#Headers],[Number of Bottom Slats]],Table2[#Headers],0),0)</f>
        <v>0</v>
      </c>
      <c r="AN612" s="2">
        <f>VLOOKUP([jobnumber],OvalData[],MATCH(Table2[[#Headers],[Solid Bottom Height]],Table2[#Headers],0),0)</f>
        <v>0</v>
      </c>
      <c r="AO612" s="2" t="str">
        <f>VLOOKUP([jobnumber],OvalData[],MATCH(Table2[[#Headers],[slatlength]],Table2[#Headers],0),0)</f>
        <v xml:space="preserve"> 18 ft.- 5 7/ 8"</v>
      </c>
      <c r="AP612" s="2">
        <f>VLOOKUP([jobnumber],OvalData[],MATCH(Table2[[#Headers],[Bottom Slat Length]],Table2[#Headers],0),0)</f>
        <v>0</v>
      </c>
      <c r="AQ612" s="2">
        <f>VLOOKUP([jobnumber],OvalData[],MATCH(Table2[[#Headers],[Number of Perferated Slats]],Table2[#Headers],0),0)</f>
        <v>0</v>
      </c>
      <c r="AR612" s="2">
        <f>VLOOKUP([jobnumber],OvalData[],MATCH(Table2[[#Headers],[First Preferated Slat From End]],Table2[#Headers],0),0)</f>
        <v>0</v>
      </c>
      <c r="AS612" s="2">
        <f>VLOOKUP([jobnumber],OvalData[],MATCH(Table2[[#Headers],[First Preferated Slat From Bottom]],Table2[#Headers],0),0)</f>
        <v>0</v>
      </c>
      <c r="AT612" s="2">
        <f>VLOOKUP([jobnumber],OvalData[],MATCH(Table2[[#Headers],[Total Number of Slats]],Table2[#Headers],0),0)</f>
        <v>51</v>
      </c>
      <c r="AU612" s="2">
        <f>VLOOKUP([jobnumber],OvalData[],MATCH(Table2[[#Headers],[Bottom Bar Slope]],Table2[#Headers],0),0)</f>
        <v>0</v>
      </c>
      <c r="AV612" s="2">
        <f>VLOOKUP([jobnumber],OvalData[],MATCH(Table2[[#Headers],[Bottom Bar Weight]],Table2[#Headers],0),0)</f>
        <v>80.5</v>
      </c>
      <c r="AW612" s="2" t="str">
        <f>VLOOKUP([jobnumber],OvalData[],MATCH(Table2[[#Headers],[Outer Spring Gage]],Table2[#Headers],0),0)</f>
        <v>Null</v>
      </c>
      <c r="AX612" s="2" t="str">
        <f>VLOOKUP([jobnumber],OvalData[],MATCH(Table2[[#Headers],[Outer Spring OD]],Table2[#Headers],0),0)</f>
        <v>Null</v>
      </c>
      <c r="AY612" s="2" t="str">
        <f>VLOOKUP([jobnumber],OvalData[],MATCH(Table2[[#Headers],[Outer Spring Length]],Table2[#Headers],0),0)</f>
        <v>Null</v>
      </c>
      <c r="AZ612" s="2" t="str">
        <f>VLOOKUP([jobnumber],OvalData[],MATCH(Table2[[#Headers],[Outer Spring Stretch]],Table2[#Headers],0),0)</f>
        <v>Null</v>
      </c>
      <c r="BA612" s="2" t="str">
        <f>VLOOKUP([jobnumber],OvalData[],MATCH(Table2[[#Headers],[Outer Spring Torque]],Table2[#Headers],0),0)</f>
        <v>Null</v>
      </c>
      <c r="BB612" s="2" t="str">
        <f>VLOOKUP([jobnumber],OvalData[],MATCH(Table2[[#Headers],[Outer Spring Max Turns]],Table2[#Headers],0),0)</f>
        <v>Null</v>
      </c>
      <c r="BC612" s="2" t="str">
        <f>VLOOKUP([jobnumber],OvalData[],MATCH(Table2[[#Headers],[Outer Spring Weight]],Table2[#Headers],0),0)</f>
        <v>Null</v>
      </c>
      <c r="BD612" s="2" t="str">
        <f>VLOOKUP([jobnumber],OvalData[],MATCH(Table2[[#Headers],[Inner Spring Gage]],Table2[#Headers],0),0)</f>
        <v>Null</v>
      </c>
      <c r="BE612" s="2" t="str">
        <f>VLOOKUP([jobnumber],OvalData[],MATCH(Table2[[#Headers],[Inner Spring OD]],Table2[#Headers],0),0)</f>
        <v>Null</v>
      </c>
      <c r="BF612" s="2" t="str">
        <f>VLOOKUP([jobnumber],OvalData[],MATCH(Table2[[#Headers],[Inner Spring Length]],Table2[#Headers],0),0)</f>
        <v>Null</v>
      </c>
      <c r="BG612" s="2" t="str">
        <f>VLOOKUP([jobnumber],OvalData[],MATCH(Table2[[#Headers],[Inner Spring Stretch]],Table2[#Headers],0),0)</f>
        <v>Null</v>
      </c>
      <c r="BH612" s="2" t="str">
        <f>VLOOKUP([jobnumber],OvalData[],MATCH(Table2[[#Headers],[Inner Spring Torque]],Table2[#Headers],0),0)</f>
        <v>Null</v>
      </c>
      <c r="BI612" s="2" t="str">
        <f>VLOOKUP([jobnumber],OvalData[],MATCH(Table2[[#Headers],[Inner Spring Max Turns]],Table2[#Headers],0),0)</f>
        <v>Null</v>
      </c>
      <c r="BJ612" s="2" t="str">
        <f>VLOOKUP([jobnumber],OvalData[],MATCH(Table2[[#Headers],[Inner Spring Weight]],Table2[#Headers],0),0)</f>
        <v>Null</v>
      </c>
      <c r="BK612" s="2">
        <f>VLOOKUP([jobnumber],OvalData[],MATCH(Table2[[#Headers],[Cycles]],Table2[#Headers],0),0)</f>
        <v>0</v>
      </c>
      <c r="BL612" s="2">
        <f>VLOOKUP([jobnumber],OvalData[],MATCH(Table2[[#Headers],[Total Spring Torque]],Table2[#Headers],0),0)</f>
        <v>0</v>
      </c>
      <c r="BM612" s="2">
        <f>VLOOKUP([jobnumber],OvalData[],MATCH(Table2[[#Headers],[Total Spring Weight]],Table2[#Headers],0),0)</f>
        <v>0</v>
      </c>
      <c r="BN612" s="2">
        <f>VLOOKUP([jobnumber],OvalData[],MATCH(Table2[[#Headers],[Pipe Weight]],Table2[#Headers],0),0)</f>
        <v>688.24239999999998</v>
      </c>
      <c r="BO612" s="2">
        <f>VLOOKUP([jobnumber],OvalData[],MATCH(Table2[[#Headers],[Max Pipe Deflection]],Table2[#Headers],0),0)</f>
        <v>2309</v>
      </c>
      <c r="BP612" s="2">
        <f>VLOOKUP([jobnumber],OvalData[],MATCH(Table2[[#Headers],[Number Non-Insulated Wrap Slats]],Table2[#Headers],0),0)</f>
        <v>0</v>
      </c>
      <c r="BQ612" s="2">
        <f>VLOOKUP([jobnumber],OvalData[],MATCH(Table2[[#Headers],[Number of Insolated Top Slats]],Table2[#Headers],0),0)</f>
        <v>45</v>
      </c>
      <c r="BR612" s="2">
        <f>VLOOKUP([jobnumber],OvalData[],MATCH(Table2[[#Headers],[Insolated Total Slats]],Table2[#Headers],0),0)</f>
        <v>45</v>
      </c>
      <c r="BS612" s="2">
        <f>VLOOKUP([jobnumber],OvalData[],MATCH(Table2[[#Headers],[Number of Slats]],Table2[#Headers],0),0)</f>
        <v>44.69</v>
      </c>
      <c r="BT612" s="2">
        <f>VLOOKUP([jobnumber],OvalData[],MATCH(Table2[[#Headers],[Wrap]],Table2[#Headers],0),0)</f>
        <v>0</v>
      </c>
      <c r="BU612" s="2">
        <f>VLOOKUP([jobnumber],OvalData[],MATCH(Table2[[#Headers],[Wall Angle Thickness]],Table2[#Headers],0),0)</f>
        <v>0</v>
      </c>
      <c r="BV612" s="2">
        <f>VLOOKUP([jobnumber],OvalData[],MATCH(Table2[[#Headers],[windlocks]],Table2[#Headers],0),0)</f>
        <v>0</v>
      </c>
      <c r="BW612" s="2" t="str">
        <f>VLOOKUP([jobnumber],OvalData[],MATCH(Table2[[#Headers],[bottombartype]],Table2[#Headers],0),0)</f>
        <v>SPECIAL</v>
      </c>
      <c r="BX612" s="2">
        <f>VLOOKUP([jobnumber],OvalData[],MATCH(Table2[[#Headers],[endlockweight]],Table2[#Headers],0),0)</f>
        <v>0.17</v>
      </c>
      <c r="BY612" s="2">
        <f>VLOOKUP([jobnumber],OvalData[],MATCH(Table2[[#Headers],[Endlock Total Weight]],Table2[#Headers],0),0)</f>
        <v>7.5972999999999997</v>
      </c>
      <c r="BZ612" s="2">
        <f>VLOOKUP([jobnumber],OvalData[],MATCH(Table2[[#Headers],[Grille Weight]],Table2[#Headers],0),0)</f>
        <v>0</v>
      </c>
      <c r="CA612" s="2">
        <f>VLOOKUP([jobnumber],OvalData[],MATCH(Table2[[#Headers],[barrelrings]],Table2[#Headers],0),0)</f>
        <v>1</v>
      </c>
    </row>
    <row r="613" spans="2:79">
      <c r="B613" s="2" t="str">
        <f>VLOOKUP([jobnumber],OvalData[],MATCH(Table2[[#Headers],[Hand]],Table2[#Headers],0),0)</f>
        <v>RH</v>
      </c>
      <c r="C613" s="2" t="str">
        <f>VLOOKUP([jobnumber],OvalData[],MATCH(Table2[[#Headers],[Model]],Table2[#Headers],0),0)</f>
        <v>SFMPP</v>
      </c>
      <c r="D613" s="2" t="str">
        <f>VLOOKUP([jobnumber],OvalData[],MATCH(Table2[[#Headers],[width]],Table2[#Headers],0),0)</f>
        <v xml:space="preserve"> 18 ft.- 2"</v>
      </c>
      <c r="E613" s="2" t="str">
        <f>VLOOKUP([jobnumber],OvalData[],MATCH(Table2[[#Headers],[stopheight]],Table2[#Headers],0),0)</f>
        <v xml:space="preserve"> 10 ft.- 0"</v>
      </c>
      <c r="F613" s="2" t="str">
        <f>VLOOKUP([jobnumber],OvalData[],MATCH(Table2[[#Headers],[Between Brackets]],Table2[#Headers],0),0)</f>
        <v xml:space="preserve"> 18 ft.- 7 7/ 8"</v>
      </c>
      <c r="G613" s="2" t="str">
        <f>VLOOKUP([jobnumber],OvalData[],MATCH(Table2[[#Headers],[shell]],Table2[#Headers],0),0)</f>
        <v>6 INCH TUBE</v>
      </c>
      <c r="H613" s="2" t="str">
        <f>VLOOKUP([jobnumber],OvalData[],MATCH(Table2[[#Headers],[pipewidth]],Table2[#Headers],0),0)</f>
        <v xml:space="preserve"> 18 ft.- 1 3/ 8"</v>
      </c>
      <c r="I613" s="2">
        <f>VLOOKUP([jobnumber],OvalData[],MATCH(Table2[[#Headers],[Support Tubes]],Table2[#Headers],0),0)</f>
        <v>0</v>
      </c>
      <c r="J613" s="2">
        <f>VLOOKUP([jobnumber],OvalData[],MATCH(Table2[[#Headers],[Upset]],Table2[#Headers],0),0)</f>
        <v>2</v>
      </c>
      <c r="K613" s="2" t="str">
        <f>VLOOKUP([jobnumber],OvalData[],MATCH(Table2[[#Headers],[Guide Type]],Table2[#Headers],0),0)</f>
        <v>SN2-4 5/8-E</v>
      </c>
      <c r="L613" s="2" t="str">
        <f>VLOOKUP([jobnumber],OvalData[],MATCH(Table2[[#Headers],[Wall Angle]],Table2[#Headers],0),0)</f>
        <v xml:space="preserve"> 11 ft.- 8"</v>
      </c>
      <c r="M613" s="2" t="str">
        <f>VLOOKUP([jobnumber],OvalData[],MATCH(Table2[[#Headers],[Middle Angle]],Table2[#Headers],0),0)</f>
        <v xml:space="preserve"> 10 ft.- 4 1/ 2"</v>
      </c>
      <c r="N613" s="2" t="str">
        <f>VLOOKUP([jobnumber],OvalData[],MATCH(Table2[[#Headers],[Front Angle]],Table2[#Headers],0),0)</f>
        <v xml:space="preserve"> 10 ft.- 3"</v>
      </c>
      <c r="O613" s="2">
        <f>VLOOKUP([jobnumber],OvalData[],MATCH(Table2[[#Headers],[Pipe Center Line]],Table2[#Headers],0),0)</f>
        <v>131</v>
      </c>
      <c r="P613" s="2">
        <f>VLOOKUP([jobnumber],OvalData[],MATCH(Table2[[#Headers],[Heat Expansion Gap]],Table2[#Headers],0),0)</f>
        <v>0</v>
      </c>
      <c r="Q613" s="2">
        <f>VLOOKUP([jobnumber],OvalData[],MATCH(Table2[[#Headers],[Hanging Weight Closed]],Table2[#Headers],0),0)</f>
        <v>795</v>
      </c>
      <c r="R613" s="2">
        <f>VLOOKUP([jobnumber],OvalData[],MATCH(Table2[[#Headers],[Hanging Weight Open]],Table2[#Headers],0),0)</f>
        <v>140</v>
      </c>
      <c r="S613" s="2">
        <f>VLOOKUP([jobnumber],OvalData[],MATCH(Table2[[#Headers],[Initial Lever Arm]],Table2[#Headers],0),0)</f>
        <v>4.25</v>
      </c>
      <c r="T613" s="2">
        <f>VLOOKUP([jobnumber],OvalData[],MATCH(Table2[[#Headers],[Turns to Raise]],Table2[#Headers],0),0)</f>
        <v>3.5859999999999999</v>
      </c>
      <c r="U613" s="2">
        <f>VLOOKUP([jobnumber],OvalData[],MATCH(Table2[[#Headers],[Final Lever Arm]],Table2[#Headers],0),0)</f>
        <v>6.37</v>
      </c>
      <c r="V613" s="2">
        <f>VLOOKUP([jobnumber],OvalData[],MATCH(Table2[[#Headers],[Torque Required Closed]],Table2[#Headers],0),0)</f>
        <v>3377.9</v>
      </c>
      <c r="W613" s="2">
        <f>VLOOKUP([jobnumber],OvalData[],MATCH(Table2[[#Headers],[Torque Required Open]],Table2[#Headers],0),0)</f>
        <v>892</v>
      </c>
      <c r="X613" s="2">
        <f>VLOOKUP([jobnumber],OvalData[],MATCH(Table2[[#Headers],[Pre Turns]],Table2[#Headers],0),0)</f>
        <v>1.3332999999999999</v>
      </c>
      <c r="Y613" s="2">
        <f>VLOOKUP([jobnumber],OvalData[],MATCH(Table2[[#Headers],[Required Torque Per Turn]],Table2[#Headers],0),0)</f>
        <v>688</v>
      </c>
      <c r="Z613" s="2">
        <f>VLOOKUP([jobnumber],OvalData[],MATCH(Table2[[#Headers],[Total Turns]],Table2[#Headers],0),0)</f>
        <v>4.91</v>
      </c>
      <c r="AA613" s="2">
        <f>VLOOKUP([jobnumber],OvalData[],MATCH(Table2[[#Headers],[Grille Vision Section]],Table2[#Headers],0),0)</f>
        <v>0</v>
      </c>
      <c r="AB613" s="2">
        <f>VLOOKUP([jobnumber],OvalData[],MATCH(Table2[[#Headers],[Grille Amount]],Table2[#Headers],0),0)</f>
        <v>0</v>
      </c>
      <c r="AC613" s="2">
        <f>VLOOKUP([jobnumber],OvalData[],MATCH(Table2[[#Headers],[Grille Center]],Table2[#Headers],0),0)</f>
        <v>0</v>
      </c>
      <c r="AD613" s="2">
        <f>VLOOKUP([jobnumber],OvalData[],MATCH(Table2[[#Headers],[Grille Pattern]],Table2[#Headers],0),0)</f>
        <v>0</v>
      </c>
      <c r="AE613" s="2">
        <f>VLOOKUP([jobnumber],OvalData[],MATCH(Table2[[#Headers],[Grille First Tube]],Table2[#Headers],0),0)</f>
        <v>0</v>
      </c>
      <c r="AF613" s="2">
        <f>VLOOKUP([jobnumber],OvalData[],MATCH(Table2[[#Headers],[Grille Standard Tube]],Table2[#Headers],0),0)</f>
        <v>0</v>
      </c>
      <c r="AG613" s="2">
        <f>VLOOKUP([jobnumber],OvalData[],MATCH(Table2[[#Headers],[Grille Total Links]],Table2[#Headers],0),0)</f>
        <v>0</v>
      </c>
      <c r="AH613" s="2">
        <f>VLOOKUP([jobnumber],OvalData[],MATCH(Table2[[#Headers],[Grille Rods]],Table2[#Headers],0),0)</f>
        <v>0</v>
      </c>
      <c r="AI613" s="2">
        <f>VLOOKUP([jobnumber],OvalData[],MATCH(Table2[[#Headers],[Grille Rod Length]],Table2[#Headers],0),0)</f>
        <v>0</v>
      </c>
      <c r="AJ613" s="2">
        <f>VLOOKUP([jobnumber],OvalData[],MATCH(Table2[[#Headers],[slattype]],Table2[#Headers],0),0)</f>
        <v>2</v>
      </c>
      <c r="AK613" s="2">
        <f>VLOOKUP([jobnumber],OvalData[],MATCH(Table2[[#Headers],[slatgage]],Table2[#Headers],0),0)</f>
        <v>18</v>
      </c>
      <c r="AL613" s="2">
        <f>VLOOKUP([jobnumber],OvalData[],MATCH(Table2[[#Headers],[Numer of Top Slats]],Table2[#Headers],0),0)</f>
        <v>0</v>
      </c>
      <c r="AM613" s="2">
        <f>VLOOKUP([jobnumber],OvalData[],MATCH(Table2[[#Headers],[Number of Bottom Slats]],Table2[#Headers],0),0)</f>
        <v>0</v>
      </c>
      <c r="AN613" s="2">
        <f>VLOOKUP([jobnumber],OvalData[],MATCH(Table2[[#Headers],[Solid Bottom Height]],Table2[#Headers],0),0)</f>
        <v>0</v>
      </c>
      <c r="AO613" s="2" t="str">
        <f>VLOOKUP([jobnumber],OvalData[],MATCH(Table2[[#Headers],[slatlength]],Table2[#Headers],0),0)</f>
        <v xml:space="preserve"> 18 ft.- 5 7/ 8"</v>
      </c>
      <c r="AP613" s="2">
        <f>VLOOKUP([jobnumber],OvalData[],MATCH(Table2[[#Headers],[Bottom Slat Length]],Table2[#Headers],0),0)</f>
        <v>0</v>
      </c>
      <c r="AQ613" s="2">
        <f>VLOOKUP([jobnumber],OvalData[],MATCH(Table2[[#Headers],[Number of Perferated Slats]],Table2[#Headers],0),0)</f>
        <v>0</v>
      </c>
      <c r="AR613" s="2">
        <f>VLOOKUP([jobnumber],OvalData[],MATCH(Table2[[#Headers],[First Preferated Slat From End]],Table2[#Headers],0),0)</f>
        <v>0</v>
      </c>
      <c r="AS613" s="2">
        <f>VLOOKUP([jobnumber],OvalData[],MATCH(Table2[[#Headers],[First Preferated Slat From Bottom]],Table2[#Headers],0),0)</f>
        <v>0</v>
      </c>
      <c r="AT613" s="2">
        <f>VLOOKUP([jobnumber],OvalData[],MATCH(Table2[[#Headers],[Total Number of Slats]],Table2[#Headers],0),0)</f>
        <v>51</v>
      </c>
      <c r="AU613" s="2">
        <f>VLOOKUP([jobnumber],OvalData[],MATCH(Table2[[#Headers],[Bottom Bar Slope]],Table2[#Headers],0),0)</f>
        <v>0</v>
      </c>
      <c r="AV613" s="2">
        <f>VLOOKUP([jobnumber],OvalData[],MATCH(Table2[[#Headers],[Bottom Bar Weight]],Table2[#Headers],0),0)</f>
        <v>80.5</v>
      </c>
      <c r="AW613" s="2" t="str">
        <f>VLOOKUP([jobnumber],OvalData[],MATCH(Table2[[#Headers],[Outer Spring Gage]],Table2[#Headers],0),0)</f>
        <v>Null</v>
      </c>
      <c r="AX613" s="2" t="str">
        <f>VLOOKUP([jobnumber],OvalData[],MATCH(Table2[[#Headers],[Outer Spring OD]],Table2[#Headers],0),0)</f>
        <v>Null</v>
      </c>
      <c r="AY613" s="2" t="str">
        <f>VLOOKUP([jobnumber],OvalData[],MATCH(Table2[[#Headers],[Outer Spring Length]],Table2[#Headers],0),0)</f>
        <v>Null</v>
      </c>
      <c r="AZ613" s="2" t="str">
        <f>VLOOKUP([jobnumber],OvalData[],MATCH(Table2[[#Headers],[Outer Spring Stretch]],Table2[#Headers],0),0)</f>
        <v>Null</v>
      </c>
      <c r="BA613" s="2" t="str">
        <f>VLOOKUP([jobnumber],OvalData[],MATCH(Table2[[#Headers],[Outer Spring Torque]],Table2[#Headers],0),0)</f>
        <v>Null</v>
      </c>
      <c r="BB613" s="2" t="str">
        <f>VLOOKUP([jobnumber],OvalData[],MATCH(Table2[[#Headers],[Outer Spring Max Turns]],Table2[#Headers],0),0)</f>
        <v>Null</v>
      </c>
      <c r="BC613" s="2" t="str">
        <f>VLOOKUP([jobnumber],OvalData[],MATCH(Table2[[#Headers],[Outer Spring Weight]],Table2[#Headers],0),0)</f>
        <v>Null</v>
      </c>
      <c r="BD613" s="2" t="str">
        <f>VLOOKUP([jobnumber],OvalData[],MATCH(Table2[[#Headers],[Inner Spring Gage]],Table2[#Headers],0),0)</f>
        <v>Null</v>
      </c>
      <c r="BE613" s="2" t="str">
        <f>VLOOKUP([jobnumber],OvalData[],MATCH(Table2[[#Headers],[Inner Spring OD]],Table2[#Headers],0),0)</f>
        <v>Null</v>
      </c>
      <c r="BF613" s="2" t="str">
        <f>VLOOKUP([jobnumber],OvalData[],MATCH(Table2[[#Headers],[Inner Spring Length]],Table2[#Headers],0),0)</f>
        <v>Null</v>
      </c>
      <c r="BG613" s="2" t="str">
        <f>VLOOKUP([jobnumber],OvalData[],MATCH(Table2[[#Headers],[Inner Spring Stretch]],Table2[#Headers],0),0)</f>
        <v>Null</v>
      </c>
      <c r="BH613" s="2" t="str">
        <f>VLOOKUP([jobnumber],OvalData[],MATCH(Table2[[#Headers],[Inner Spring Torque]],Table2[#Headers],0),0)</f>
        <v>Null</v>
      </c>
      <c r="BI613" s="2" t="str">
        <f>VLOOKUP([jobnumber],OvalData[],MATCH(Table2[[#Headers],[Inner Spring Max Turns]],Table2[#Headers],0),0)</f>
        <v>Null</v>
      </c>
      <c r="BJ613" s="2" t="str">
        <f>VLOOKUP([jobnumber],OvalData[],MATCH(Table2[[#Headers],[Inner Spring Weight]],Table2[#Headers],0),0)</f>
        <v>Null</v>
      </c>
      <c r="BK613" s="2">
        <f>VLOOKUP([jobnumber],OvalData[],MATCH(Table2[[#Headers],[Cycles]],Table2[#Headers],0),0)</f>
        <v>0</v>
      </c>
      <c r="BL613" s="2">
        <f>VLOOKUP([jobnumber],OvalData[],MATCH(Table2[[#Headers],[Total Spring Torque]],Table2[#Headers],0),0)</f>
        <v>0</v>
      </c>
      <c r="BM613" s="2">
        <f>VLOOKUP([jobnumber],OvalData[],MATCH(Table2[[#Headers],[Total Spring Weight]],Table2[#Headers],0),0)</f>
        <v>0</v>
      </c>
      <c r="BN613" s="2">
        <f>VLOOKUP([jobnumber],OvalData[],MATCH(Table2[[#Headers],[Pipe Weight]],Table2[#Headers],0),0)</f>
        <v>688.24239999999998</v>
      </c>
      <c r="BO613" s="2">
        <f>VLOOKUP([jobnumber],OvalData[],MATCH(Table2[[#Headers],[Max Pipe Deflection]],Table2[#Headers],0),0)</f>
        <v>2309</v>
      </c>
      <c r="BP613" s="2">
        <f>VLOOKUP([jobnumber],OvalData[],MATCH(Table2[[#Headers],[Number Non-Insulated Wrap Slats]],Table2[#Headers],0),0)</f>
        <v>0</v>
      </c>
      <c r="BQ613" s="2">
        <f>VLOOKUP([jobnumber],OvalData[],MATCH(Table2[[#Headers],[Number of Insolated Top Slats]],Table2[#Headers],0),0)</f>
        <v>45</v>
      </c>
      <c r="BR613" s="2">
        <f>VLOOKUP([jobnumber],OvalData[],MATCH(Table2[[#Headers],[Insolated Total Slats]],Table2[#Headers],0),0)</f>
        <v>45</v>
      </c>
      <c r="BS613" s="2">
        <f>VLOOKUP([jobnumber],OvalData[],MATCH(Table2[[#Headers],[Number of Slats]],Table2[#Headers],0),0)</f>
        <v>44.69</v>
      </c>
      <c r="BT613" s="2">
        <f>VLOOKUP([jobnumber],OvalData[],MATCH(Table2[[#Headers],[Wrap]],Table2[#Headers],0),0)</f>
        <v>0</v>
      </c>
      <c r="BU613" s="2">
        <f>VLOOKUP([jobnumber],OvalData[],MATCH(Table2[[#Headers],[Wall Angle Thickness]],Table2[#Headers],0),0)</f>
        <v>0</v>
      </c>
      <c r="BV613" s="2">
        <f>VLOOKUP([jobnumber],OvalData[],MATCH(Table2[[#Headers],[windlocks]],Table2[#Headers],0),0)</f>
        <v>0</v>
      </c>
      <c r="BW613" s="2" t="str">
        <f>VLOOKUP([jobnumber],OvalData[],MATCH(Table2[[#Headers],[bottombartype]],Table2[#Headers],0),0)</f>
        <v>SPECIAL</v>
      </c>
      <c r="BX613" s="2">
        <f>VLOOKUP([jobnumber],OvalData[],MATCH(Table2[[#Headers],[endlockweight]],Table2[#Headers],0),0)</f>
        <v>0.17</v>
      </c>
      <c r="BY613" s="2">
        <f>VLOOKUP([jobnumber],OvalData[],MATCH(Table2[[#Headers],[Endlock Total Weight]],Table2[#Headers],0),0)</f>
        <v>7.5972999999999997</v>
      </c>
      <c r="BZ613" s="2">
        <f>VLOOKUP([jobnumber],OvalData[],MATCH(Table2[[#Headers],[Grille Weight]],Table2[#Headers],0),0)</f>
        <v>0</v>
      </c>
      <c r="CA613" s="2">
        <f>VLOOKUP([jobnumber],OvalData[],MATCH(Table2[[#Headers],[barrelrings]],Table2[#Headers],0),0)</f>
        <v>1</v>
      </c>
    </row>
    <row r="614" spans="2:79">
      <c r="B614" s="2" t="str">
        <f>VLOOKUP([jobnumber],OvalData[],MATCH(Table2[[#Headers],[Hand]],Table2[#Headers],0),0)</f>
        <v>RH</v>
      </c>
      <c r="C614" s="2" t="str">
        <f>VLOOKUP([jobnumber],OvalData[],MATCH(Table2[[#Headers],[Model]],Table2[#Headers],0),0)</f>
        <v>SFMPP</v>
      </c>
      <c r="D614" s="2" t="str">
        <f>VLOOKUP([jobnumber],OvalData[],MATCH(Table2[[#Headers],[width]],Table2[#Headers],0),0)</f>
        <v xml:space="preserve"> 18 ft.- 2"</v>
      </c>
      <c r="E614" s="2" t="str">
        <f>VLOOKUP([jobnumber],OvalData[],MATCH(Table2[[#Headers],[stopheight]],Table2[#Headers],0),0)</f>
        <v xml:space="preserve"> 10 ft.- 0"</v>
      </c>
      <c r="F614" s="2" t="str">
        <f>VLOOKUP([jobnumber],OvalData[],MATCH(Table2[[#Headers],[Between Brackets]],Table2[#Headers],0),0)</f>
        <v xml:space="preserve"> 18 ft.- 7 7/ 8"</v>
      </c>
      <c r="G614" s="2" t="str">
        <f>VLOOKUP([jobnumber],OvalData[],MATCH(Table2[[#Headers],[shell]],Table2[#Headers],0),0)</f>
        <v>6 INCH TUBE</v>
      </c>
      <c r="H614" s="2" t="str">
        <f>VLOOKUP([jobnumber],OvalData[],MATCH(Table2[[#Headers],[pipewidth]],Table2[#Headers],0),0)</f>
        <v xml:space="preserve"> 18 ft.- 1 3/ 8"</v>
      </c>
      <c r="I614" s="2">
        <f>VLOOKUP([jobnumber],OvalData[],MATCH(Table2[[#Headers],[Support Tubes]],Table2[#Headers],0),0)</f>
        <v>0</v>
      </c>
      <c r="J614" s="2">
        <f>VLOOKUP([jobnumber],OvalData[],MATCH(Table2[[#Headers],[Upset]],Table2[#Headers],0),0)</f>
        <v>2</v>
      </c>
      <c r="K614" s="2" t="str">
        <f>VLOOKUP([jobnumber],OvalData[],MATCH(Table2[[#Headers],[Guide Type]],Table2[#Headers],0),0)</f>
        <v>SN2-4 5/8-E</v>
      </c>
      <c r="L614" s="2" t="str">
        <f>VLOOKUP([jobnumber],OvalData[],MATCH(Table2[[#Headers],[Wall Angle]],Table2[#Headers],0),0)</f>
        <v xml:space="preserve"> 11 ft.- 8"</v>
      </c>
      <c r="M614" s="2" t="str">
        <f>VLOOKUP([jobnumber],OvalData[],MATCH(Table2[[#Headers],[Middle Angle]],Table2[#Headers],0),0)</f>
        <v xml:space="preserve"> 10 ft.- 4 1/ 2"</v>
      </c>
      <c r="N614" s="2" t="str">
        <f>VLOOKUP([jobnumber],OvalData[],MATCH(Table2[[#Headers],[Front Angle]],Table2[#Headers],0),0)</f>
        <v xml:space="preserve"> 10 ft.- 3"</v>
      </c>
      <c r="O614" s="2">
        <f>VLOOKUP([jobnumber],OvalData[],MATCH(Table2[[#Headers],[Pipe Center Line]],Table2[#Headers],0),0)</f>
        <v>131</v>
      </c>
      <c r="P614" s="2">
        <f>VLOOKUP([jobnumber],OvalData[],MATCH(Table2[[#Headers],[Heat Expansion Gap]],Table2[#Headers],0),0)</f>
        <v>0</v>
      </c>
      <c r="Q614" s="2">
        <f>VLOOKUP([jobnumber],OvalData[],MATCH(Table2[[#Headers],[Hanging Weight Closed]],Table2[#Headers],0),0)</f>
        <v>795</v>
      </c>
      <c r="R614" s="2">
        <f>VLOOKUP([jobnumber],OvalData[],MATCH(Table2[[#Headers],[Hanging Weight Open]],Table2[#Headers],0),0)</f>
        <v>140</v>
      </c>
      <c r="S614" s="2">
        <f>VLOOKUP([jobnumber],OvalData[],MATCH(Table2[[#Headers],[Initial Lever Arm]],Table2[#Headers],0),0)</f>
        <v>4.25</v>
      </c>
      <c r="T614" s="2">
        <f>VLOOKUP([jobnumber],OvalData[],MATCH(Table2[[#Headers],[Turns to Raise]],Table2[#Headers],0),0)</f>
        <v>3.5859999999999999</v>
      </c>
      <c r="U614" s="2">
        <f>VLOOKUP([jobnumber],OvalData[],MATCH(Table2[[#Headers],[Final Lever Arm]],Table2[#Headers],0),0)</f>
        <v>6.37</v>
      </c>
      <c r="V614" s="2">
        <f>VLOOKUP([jobnumber],OvalData[],MATCH(Table2[[#Headers],[Torque Required Closed]],Table2[#Headers],0),0)</f>
        <v>3377.9</v>
      </c>
      <c r="W614" s="2">
        <f>VLOOKUP([jobnumber],OvalData[],MATCH(Table2[[#Headers],[Torque Required Open]],Table2[#Headers],0),0)</f>
        <v>892</v>
      </c>
      <c r="X614" s="2">
        <f>VLOOKUP([jobnumber],OvalData[],MATCH(Table2[[#Headers],[Pre Turns]],Table2[#Headers],0),0)</f>
        <v>1.3332999999999999</v>
      </c>
      <c r="Y614" s="2">
        <f>VLOOKUP([jobnumber],OvalData[],MATCH(Table2[[#Headers],[Required Torque Per Turn]],Table2[#Headers],0),0)</f>
        <v>688</v>
      </c>
      <c r="Z614" s="2">
        <f>VLOOKUP([jobnumber],OvalData[],MATCH(Table2[[#Headers],[Total Turns]],Table2[#Headers],0),0)</f>
        <v>4.91</v>
      </c>
      <c r="AA614" s="2">
        <f>VLOOKUP([jobnumber],OvalData[],MATCH(Table2[[#Headers],[Grille Vision Section]],Table2[#Headers],0),0)</f>
        <v>0</v>
      </c>
      <c r="AB614" s="2">
        <f>VLOOKUP([jobnumber],OvalData[],MATCH(Table2[[#Headers],[Grille Amount]],Table2[#Headers],0),0)</f>
        <v>0</v>
      </c>
      <c r="AC614" s="2">
        <f>VLOOKUP([jobnumber],OvalData[],MATCH(Table2[[#Headers],[Grille Center]],Table2[#Headers],0),0)</f>
        <v>0</v>
      </c>
      <c r="AD614" s="2">
        <f>VLOOKUP([jobnumber],OvalData[],MATCH(Table2[[#Headers],[Grille Pattern]],Table2[#Headers],0),0)</f>
        <v>0</v>
      </c>
      <c r="AE614" s="2">
        <f>VLOOKUP([jobnumber],OvalData[],MATCH(Table2[[#Headers],[Grille First Tube]],Table2[#Headers],0),0)</f>
        <v>0</v>
      </c>
      <c r="AF614" s="2">
        <f>VLOOKUP([jobnumber],OvalData[],MATCH(Table2[[#Headers],[Grille Standard Tube]],Table2[#Headers],0),0)</f>
        <v>0</v>
      </c>
      <c r="AG614" s="2">
        <f>VLOOKUP([jobnumber],OvalData[],MATCH(Table2[[#Headers],[Grille Total Links]],Table2[#Headers],0),0)</f>
        <v>0</v>
      </c>
      <c r="AH614" s="2">
        <f>VLOOKUP([jobnumber],OvalData[],MATCH(Table2[[#Headers],[Grille Rods]],Table2[#Headers],0),0)</f>
        <v>0</v>
      </c>
      <c r="AI614" s="2">
        <f>VLOOKUP([jobnumber],OvalData[],MATCH(Table2[[#Headers],[Grille Rod Length]],Table2[#Headers],0),0)</f>
        <v>0</v>
      </c>
      <c r="AJ614" s="2">
        <f>VLOOKUP([jobnumber],OvalData[],MATCH(Table2[[#Headers],[slattype]],Table2[#Headers],0),0)</f>
        <v>2</v>
      </c>
      <c r="AK614" s="2">
        <f>VLOOKUP([jobnumber],OvalData[],MATCH(Table2[[#Headers],[slatgage]],Table2[#Headers],0),0)</f>
        <v>18</v>
      </c>
      <c r="AL614" s="2">
        <f>VLOOKUP([jobnumber],OvalData[],MATCH(Table2[[#Headers],[Numer of Top Slats]],Table2[#Headers],0),0)</f>
        <v>0</v>
      </c>
      <c r="AM614" s="2">
        <f>VLOOKUP([jobnumber],OvalData[],MATCH(Table2[[#Headers],[Number of Bottom Slats]],Table2[#Headers],0),0)</f>
        <v>0</v>
      </c>
      <c r="AN614" s="2">
        <f>VLOOKUP([jobnumber],OvalData[],MATCH(Table2[[#Headers],[Solid Bottom Height]],Table2[#Headers],0),0)</f>
        <v>0</v>
      </c>
      <c r="AO614" s="2" t="str">
        <f>VLOOKUP([jobnumber],OvalData[],MATCH(Table2[[#Headers],[slatlength]],Table2[#Headers],0),0)</f>
        <v xml:space="preserve"> 18 ft.- 5 7/ 8"</v>
      </c>
      <c r="AP614" s="2">
        <f>VLOOKUP([jobnumber],OvalData[],MATCH(Table2[[#Headers],[Bottom Slat Length]],Table2[#Headers],0),0)</f>
        <v>0</v>
      </c>
      <c r="AQ614" s="2">
        <f>VLOOKUP([jobnumber],OvalData[],MATCH(Table2[[#Headers],[Number of Perferated Slats]],Table2[#Headers],0),0)</f>
        <v>0</v>
      </c>
      <c r="AR614" s="2">
        <f>VLOOKUP([jobnumber],OvalData[],MATCH(Table2[[#Headers],[First Preferated Slat From End]],Table2[#Headers],0),0)</f>
        <v>0</v>
      </c>
      <c r="AS614" s="2">
        <f>VLOOKUP([jobnumber],OvalData[],MATCH(Table2[[#Headers],[First Preferated Slat From Bottom]],Table2[#Headers],0),0)</f>
        <v>0</v>
      </c>
      <c r="AT614" s="2">
        <f>VLOOKUP([jobnumber],OvalData[],MATCH(Table2[[#Headers],[Total Number of Slats]],Table2[#Headers],0),0)</f>
        <v>51</v>
      </c>
      <c r="AU614" s="2">
        <f>VLOOKUP([jobnumber],OvalData[],MATCH(Table2[[#Headers],[Bottom Bar Slope]],Table2[#Headers],0),0)</f>
        <v>0</v>
      </c>
      <c r="AV614" s="2">
        <f>VLOOKUP([jobnumber],OvalData[],MATCH(Table2[[#Headers],[Bottom Bar Weight]],Table2[#Headers],0),0)</f>
        <v>80.5</v>
      </c>
      <c r="AW614" s="2" t="str">
        <f>VLOOKUP([jobnumber],OvalData[],MATCH(Table2[[#Headers],[Outer Spring Gage]],Table2[#Headers],0),0)</f>
        <v>Null</v>
      </c>
      <c r="AX614" s="2" t="str">
        <f>VLOOKUP([jobnumber],OvalData[],MATCH(Table2[[#Headers],[Outer Spring OD]],Table2[#Headers],0),0)</f>
        <v>Null</v>
      </c>
      <c r="AY614" s="2" t="str">
        <f>VLOOKUP([jobnumber],OvalData[],MATCH(Table2[[#Headers],[Outer Spring Length]],Table2[#Headers],0),0)</f>
        <v>Null</v>
      </c>
      <c r="AZ614" s="2" t="str">
        <f>VLOOKUP([jobnumber],OvalData[],MATCH(Table2[[#Headers],[Outer Spring Stretch]],Table2[#Headers],0),0)</f>
        <v>Null</v>
      </c>
      <c r="BA614" s="2" t="str">
        <f>VLOOKUP([jobnumber],OvalData[],MATCH(Table2[[#Headers],[Outer Spring Torque]],Table2[#Headers],0),0)</f>
        <v>Null</v>
      </c>
      <c r="BB614" s="2" t="str">
        <f>VLOOKUP([jobnumber],OvalData[],MATCH(Table2[[#Headers],[Outer Spring Max Turns]],Table2[#Headers],0),0)</f>
        <v>Null</v>
      </c>
      <c r="BC614" s="2" t="str">
        <f>VLOOKUP([jobnumber],OvalData[],MATCH(Table2[[#Headers],[Outer Spring Weight]],Table2[#Headers],0),0)</f>
        <v>Null</v>
      </c>
      <c r="BD614" s="2" t="str">
        <f>VLOOKUP([jobnumber],OvalData[],MATCH(Table2[[#Headers],[Inner Spring Gage]],Table2[#Headers],0),0)</f>
        <v>Null</v>
      </c>
      <c r="BE614" s="2" t="str">
        <f>VLOOKUP([jobnumber],OvalData[],MATCH(Table2[[#Headers],[Inner Spring OD]],Table2[#Headers],0),0)</f>
        <v>Null</v>
      </c>
      <c r="BF614" s="2" t="str">
        <f>VLOOKUP([jobnumber],OvalData[],MATCH(Table2[[#Headers],[Inner Spring Length]],Table2[#Headers],0),0)</f>
        <v>Null</v>
      </c>
      <c r="BG614" s="2" t="str">
        <f>VLOOKUP([jobnumber],OvalData[],MATCH(Table2[[#Headers],[Inner Spring Stretch]],Table2[#Headers],0),0)</f>
        <v>Null</v>
      </c>
      <c r="BH614" s="2" t="str">
        <f>VLOOKUP([jobnumber],OvalData[],MATCH(Table2[[#Headers],[Inner Spring Torque]],Table2[#Headers],0),0)</f>
        <v>Null</v>
      </c>
      <c r="BI614" s="2" t="str">
        <f>VLOOKUP([jobnumber],OvalData[],MATCH(Table2[[#Headers],[Inner Spring Max Turns]],Table2[#Headers],0),0)</f>
        <v>Null</v>
      </c>
      <c r="BJ614" s="2" t="str">
        <f>VLOOKUP([jobnumber],OvalData[],MATCH(Table2[[#Headers],[Inner Spring Weight]],Table2[#Headers],0),0)</f>
        <v>Null</v>
      </c>
      <c r="BK614" s="2">
        <f>VLOOKUP([jobnumber],OvalData[],MATCH(Table2[[#Headers],[Cycles]],Table2[#Headers],0),0)</f>
        <v>0</v>
      </c>
      <c r="BL614" s="2">
        <f>VLOOKUP([jobnumber],OvalData[],MATCH(Table2[[#Headers],[Total Spring Torque]],Table2[#Headers],0),0)</f>
        <v>0</v>
      </c>
      <c r="BM614" s="2">
        <f>VLOOKUP([jobnumber],OvalData[],MATCH(Table2[[#Headers],[Total Spring Weight]],Table2[#Headers],0),0)</f>
        <v>0</v>
      </c>
      <c r="BN614" s="2">
        <f>VLOOKUP([jobnumber],OvalData[],MATCH(Table2[[#Headers],[Pipe Weight]],Table2[#Headers],0),0)</f>
        <v>688.24239999999998</v>
      </c>
      <c r="BO614" s="2">
        <f>VLOOKUP([jobnumber],OvalData[],MATCH(Table2[[#Headers],[Max Pipe Deflection]],Table2[#Headers],0),0)</f>
        <v>2309</v>
      </c>
      <c r="BP614" s="2">
        <f>VLOOKUP([jobnumber],OvalData[],MATCH(Table2[[#Headers],[Number Non-Insulated Wrap Slats]],Table2[#Headers],0),0)</f>
        <v>0</v>
      </c>
      <c r="BQ614" s="2">
        <f>VLOOKUP([jobnumber],OvalData[],MATCH(Table2[[#Headers],[Number of Insolated Top Slats]],Table2[#Headers],0),0)</f>
        <v>45</v>
      </c>
      <c r="BR614" s="2">
        <f>VLOOKUP([jobnumber],OvalData[],MATCH(Table2[[#Headers],[Insolated Total Slats]],Table2[#Headers],0),0)</f>
        <v>45</v>
      </c>
      <c r="BS614" s="2">
        <f>VLOOKUP([jobnumber],OvalData[],MATCH(Table2[[#Headers],[Number of Slats]],Table2[#Headers],0),0)</f>
        <v>44.69</v>
      </c>
      <c r="BT614" s="2">
        <f>VLOOKUP([jobnumber],OvalData[],MATCH(Table2[[#Headers],[Wrap]],Table2[#Headers],0),0)</f>
        <v>0</v>
      </c>
      <c r="BU614" s="2">
        <f>VLOOKUP([jobnumber],OvalData[],MATCH(Table2[[#Headers],[Wall Angle Thickness]],Table2[#Headers],0),0)</f>
        <v>0</v>
      </c>
      <c r="BV614" s="2">
        <f>VLOOKUP([jobnumber],OvalData[],MATCH(Table2[[#Headers],[windlocks]],Table2[#Headers],0),0)</f>
        <v>0</v>
      </c>
      <c r="BW614" s="2" t="str">
        <f>VLOOKUP([jobnumber],OvalData[],MATCH(Table2[[#Headers],[bottombartype]],Table2[#Headers],0),0)</f>
        <v>SPECIAL</v>
      </c>
      <c r="BX614" s="2">
        <f>VLOOKUP([jobnumber],OvalData[],MATCH(Table2[[#Headers],[endlockweight]],Table2[#Headers],0),0)</f>
        <v>0.17</v>
      </c>
      <c r="BY614" s="2">
        <f>VLOOKUP([jobnumber],OvalData[],MATCH(Table2[[#Headers],[Endlock Total Weight]],Table2[#Headers],0),0)</f>
        <v>7.5972999999999997</v>
      </c>
      <c r="BZ614" s="2">
        <f>VLOOKUP([jobnumber],OvalData[],MATCH(Table2[[#Headers],[Grille Weight]],Table2[#Headers],0),0)</f>
        <v>0</v>
      </c>
      <c r="CA614" s="2">
        <f>VLOOKUP([jobnumber],OvalData[],MATCH(Table2[[#Headers],[barrelrings]],Table2[#Headers],0),0)</f>
        <v>1</v>
      </c>
    </row>
    <row r="615" spans="2:79">
      <c r="B615" s="2" t="str">
        <f>VLOOKUP([jobnumber],OvalData[],MATCH(Table2[[#Headers],[Hand]],Table2[#Headers],0),0)</f>
        <v>RH</v>
      </c>
      <c r="C615" s="2" t="str">
        <f>VLOOKUP([jobnumber],OvalData[],MATCH(Table2[[#Headers],[Model]],Table2[#Headers],0),0)</f>
        <v>SFMPP</v>
      </c>
      <c r="D615" s="2" t="str">
        <f>VLOOKUP([jobnumber],OvalData[],MATCH(Table2[[#Headers],[width]],Table2[#Headers],0),0)</f>
        <v xml:space="preserve"> 18 ft.- 2"</v>
      </c>
      <c r="E615" s="2" t="str">
        <f>VLOOKUP([jobnumber],OvalData[],MATCH(Table2[[#Headers],[stopheight]],Table2[#Headers],0),0)</f>
        <v xml:space="preserve"> 10 ft.- 0"</v>
      </c>
      <c r="F615" s="2" t="str">
        <f>VLOOKUP([jobnumber],OvalData[],MATCH(Table2[[#Headers],[Between Brackets]],Table2[#Headers],0),0)</f>
        <v xml:space="preserve"> 18 ft.- 7 7/ 8"</v>
      </c>
      <c r="G615" s="2" t="str">
        <f>VLOOKUP([jobnumber],OvalData[],MATCH(Table2[[#Headers],[shell]],Table2[#Headers],0),0)</f>
        <v>6 INCH TUBE</v>
      </c>
      <c r="H615" s="2" t="str">
        <f>VLOOKUP([jobnumber],OvalData[],MATCH(Table2[[#Headers],[pipewidth]],Table2[#Headers],0),0)</f>
        <v xml:space="preserve"> 18 ft.- 1 3/ 8"</v>
      </c>
      <c r="I615" s="2">
        <f>VLOOKUP([jobnumber],OvalData[],MATCH(Table2[[#Headers],[Support Tubes]],Table2[#Headers],0),0)</f>
        <v>0</v>
      </c>
      <c r="J615" s="2">
        <f>VLOOKUP([jobnumber],OvalData[],MATCH(Table2[[#Headers],[Upset]],Table2[#Headers],0),0)</f>
        <v>2</v>
      </c>
      <c r="K615" s="2" t="str">
        <f>VLOOKUP([jobnumber],OvalData[],MATCH(Table2[[#Headers],[Guide Type]],Table2[#Headers],0),0)</f>
        <v>SN2-4 5/8-E</v>
      </c>
      <c r="L615" s="2" t="str">
        <f>VLOOKUP([jobnumber],OvalData[],MATCH(Table2[[#Headers],[Wall Angle]],Table2[#Headers],0),0)</f>
        <v xml:space="preserve"> 11 ft.- 8"</v>
      </c>
      <c r="M615" s="2" t="str">
        <f>VLOOKUP([jobnumber],OvalData[],MATCH(Table2[[#Headers],[Middle Angle]],Table2[#Headers],0),0)</f>
        <v xml:space="preserve"> 10 ft.- 4 1/ 2"</v>
      </c>
      <c r="N615" s="2" t="str">
        <f>VLOOKUP([jobnumber],OvalData[],MATCH(Table2[[#Headers],[Front Angle]],Table2[#Headers],0),0)</f>
        <v xml:space="preserve"> 10 ft.- 3"</v>
      </c>
      <c r="O615" s="2">
        <f>VLOOKUP([jobnumber],OvalData[],MATCH(Table2[[#Headers],[Pipe Center Line]],Table2[#Headers],0),0)</f>
        <v>131</v>
      </c>
      <c r="P615" s="2">
        <f>VLOOKUP([jobnumber],OvalData[],MATCH(Table2[[#Headers],[Heat Expansion Gap]],Table2[#Headers],0),0)</f>
        <v>0</v>
      </c>
      <c r="Q615" s="2">
        <f>VLOOKUP([jobnumber],OvalData[],MATCH(Table2[[#Headers],[Hanging Weight Closed]],Table2[#Headers],0),0)</f>
        <v>795</v>
      </c>
      <c r="R615" s="2">
        <f>VLOOKUP([jobnumber],OvalData[],MATCH(Table2[[#Headers],[Hanging Weight Open]],Table2[#Headers],0),0)</f>
        <v>140</v>
      </c>
      <c r="S615" s="2">
        <f>VLOOKUP([jobnumber],OvalData[],MATCH(Table2[[#Headers],[Initial Lever Arm]],Table2[#Headers],0),0)</f>
        <v>4.25</v>
      </c>
      <c r="T615" s="2">
        <f>VLOOKUP([jobnumber],OvalData[],MATCH(Table2[[#Headers],[Turns to Raise]],Table2[#Headers],0),0)</f>
        <v>3.5859999999999999</v>
      </c>
      <c r="U615" s="2">
        <f>VLOOKUP([jobnumber],OvalData[],MATCH(Table2[[#Headers],[Final Lever Arm]],Table2[#Headers],0),0)</f>
        <v>6.37</v>
      </c>
      <c r="V615" s="2">
        <f>VLOOKUP([jobnumber],OvalData[],MATCH(Table2[[#Headers],[Torque Required Closed]],Table2[#Headers],0),0)</f>
        <v>3377.9</v>
      </c>
      <c r="W615" s="2">
        <f>VLOOKUP([jobnumber],OvalData[],MATCH(Table2[[#Headers],[Torque Required Open]],Table2[#Headers],0),0)</f>
        <v>892</v>
      </c>
      <c r="X615" s="2">
        <f>VLOOKUP([jobnumber],OvalData[],MATCH(Table2[[#Headers],[Pre Turns]],Table2[#Headers],0),0)</f>
        <v>1.3332999999999999</v>
      </c>
      <c r="Y615" s="2">
        <f>VLOOKUP([jobnumber],OvalData[],MATCH(Table2[[#Headers],[Required Torque Per Turn]],Table2[#Headers],0),0)</f>
        <v>688</v>
      </c>
      <c r="Z615" s="2">
        <f>VLOOKUP([jobnumber],OvalData[],MATCH(Table2[[#Headers],[Total Turns]],Table2[#Headers],0),0)</f>
        <v>4.91</v>
      </c>
      <c r="AA615" s="2">
        <f>VLOOKUP([jobnumber],OvalData[],MATCH(Table2[[#Headers],[Grille Vision Section]],Table2[#Headers],0),0)</f>
        <v>0</v>
      </c>
      <c r="AB615" s="2">
        <f>VLOOKUP([jobnumber],OvalData[],MATCH(Table2[[#Headers],[Grille Amount]],Table2[#Headers],0),0)</f>
        <v>0</v>
      </c>
      <c r="AC615" s="2">
        <f>VLOOKUP([jobnumber],OvalData[],MATCH(Table2[[#Headers],[Grille Center]],Table2[#Headers],0),0)</f>
        <v>0</v>
      </c>
      <c r="AD615" s="2">
        <f>VLOOKUP([jobnumber],OvalData[],MATCH(Table2[[#Headers],[Grille Pattern]],Table2[#Headers],0),0)</f>
        <v>0</v>
      </c>
      <c r="AE615" s="2">
        <f>VLOOKUP([jobnumber],OvalData[],MATCH(Table2[[#Headers],[Grille First Tube]],Table2[#Headers],0),0)</f>
        <v>0</v>
      </c>
      <c r="AF615" s="2">
        <f>VLOOKUP([jobnumber],OvalData[],MATCH(Table2[[#Headers],[Grille Standard Tube]],Table2[#Headers],0),0)</f>
        <v>0</v>
      </c>
      <c r="AG615" s="2">
        <f>VLOOKUP([jobnumber],OvalData[],MATCH(Table2[[#Headers],[Grille Total Links]],Table2[#Headers],0),0)</f>
        <v>0</v>
      </c>
      <c r="AH615" s="2">
        <f>VLOOKUP([jobnumber],OvalData[],MATCH(Table2[[#Headers],[Grille Rods]],Table2[#Headers],0),0)</f>
        <v>0</v>
      </c>
      <c r="AI615" s="2">
        <f>VLOOKUP([jobnumber],OvalData[],MATCH(Table2[[#Headers],[Grille Rod Length]],Table2[#Headers],0),0)</f>
        <v>0</v>
      </c>
      <c r="AJ615" s="2">
        <f>VLOOKUP([jobnumber],OvalData[],MATCH(Table2[[#Headers],[slattype]],Table2[#Headers],0),0)</f>
        <v>2</v>
      </c>
      <c r="AK615" s="2">
        <f>VLOOKUP([jobnumber],OvalData[],MATCH(Table2[[#Headers],[slatgage]],Table2[#Headers],0),0)</f>
        <v>18</v>
      </c>
      <c r="AL615" s="2">
        <f>VLOOKUP([jobnumber],OvalData[],MATCH(Table2[[#Headers],[Numer of Top Slats]],Table2[#Headers],0),0)</f>
        <v>0</v>
      </c>
      <c r="AM615" s="2">
        <f>VLOOKUP([jobnumber],OvalData[],MATCH(Table2[[#Headers],[Number of Bottom Slats]],Table2[#Headers],0),0)</f>
        <v>0</v>
      </c>
      <c r="AN615" s="2">
        <f>VLOOKUP([jobnumber],OvalData[],MATCH(Table2[[#Headers],[Solid Bottom Height]],Table2[#Headers],0),0)</f>
        <v>0</v>
      </c>
      <c r="AO615" s="2" t="str">
        <f>VLOOKUP([jobnumber],OvalData[],MATCH(Table2[[#Headers],[slatlength]],Table2[#Headers],0),0)</f>
        <v xml:space="preserve"> 18 ft.- 5 7/ 8"</v>
      </c>
      <c r="AP615" s="2">
        <f>VLOOKUP([jobnumber],OvalData[],MATCH(Table2[[#Headers],[Bottom Slat Length]],Table2[#Headers],0),0)</f>
        <v>0</v>
      </c>
      <c r="AQ615" s="2">
        <f>VLOOKUP([jobnumber],OvalData[],MATCH(Table2[[#Headers],[Number of Perferated Slats]],Table2[#Headers],0),0)</f>
        <v>0</v>
      </c>
      <c r="AR615" s="2">
        <f>VLOOKUP([jobnumber],OvalData[],MATCH(Table2[[#Headers],[First Preferated Slat From End]],Table2[#Headers],0),0)</f>
        <v>0</v>
      </c>
      <c r="AS615" s="2">
        <f>VLOOKUP([jobnumber],OvalData[],MATCH(Table2[[#Headers],[First Preferated Slat From Bottom]],Table2[#Headers],0),0)</f>
        <v>0</v>
      </c>
      <c r="AT615" s="2">
        <f>VLOOKUP([jobnumber],OvalData[],MATCH(Table2[[#Headers],[Total Number of Slats]],Table2[#Headers],0),0)</f>
        <v>51</v>
      </c>
      <c r="AU615" s="2">
        <f>VLOOKUP([jobnumber],OvalData[],MATCH(Table2[[#Headers],[Bottom Bar Slope]],Table2[#Headers],0),0)</f>
        <v>0</v>
      </c>
      <c r="AV615" s="2">
        <f>VLOOKUP([jobnumber],OvalData[],MATCH(Table2[[#Headers],[Bottom Bar Weight]],Table2[#Headers],0),0)</f>
        <v>80.5</v>
      </c>
      <c r="AW615" s="2" t="str">
        <f>VLOOKUP([jobnumber],OvalData[],MATCH(Table2[[#Headers],[Outer Spring Gage]],Table2[#Headers],0),0)</f>
        <v>Null</v>
      </c>
      <c r="AX615" s="2" t="str">
        <f>VLOOKUP([jobnumber],OvalData[],MATCH(Table2[[#Headers],[Outer Spring OD]],Table2[#Headers],0),0)</f>
        <v>Null</v>
      </c>
      <c r="AY615" s="2" t="str">
        <f>VLOOKUP([jobnumber],OvalData[],MATCH(Table2[[#Headers],[Outer Spring Length]],Table2[#Headers],0),0)</f>
        <v>Null</v>
      </c>
      <c r="AZ615" s="2" t="str">
        <f>VLOOKUP([jobnumber],OvalData[],MATCH(Table2[[#Headers],[Outer Spring Stretch]],Table2[#Headers],0),0)</f>
        <v>Null</v>
      </c>
      <c r="BA615" s="2" t="str">
        <f>VLOOKUP([jobnumber],OvalData[],MATCH(Table2[[#Headers],[Outer Spring Torque]],Table2[#Headers],0),0)</f>
        <v>Null</v>
      </c>
      <c r="BB615" s="2" t="str">
        <f>VLOOKUP([jobnumber],OvalData[],MATCH(Table2[[#Headers],[Outer Spring Max Turns]],Table2[#Headers],0),0)</f>
        <v>Null</v>
      </c>
      <c r="BC615" s="2" t="str">
        <f>VLOOKUP([jobnumber],OvalData[],MATCH(Table2[[#Headers],[Outer Spring Weight]],Table2[#Headers],0),0)</f>
        <v>Null</v>
      </c>
      <c r="BD615" s="2" t="str">
        <f>VLOOKUP([jobnumber],OvalData[],MATCH(Table2[[#Headers],[Inner Spring Gage]],Table2[#Headers],0),0)</f>
        <v>Null</v>
      </c>
      <c r="BE615" s="2" t="str">
        <f>VLOOKUP([jobnumber],OvalData[],MATCH(Table2[[#Headers],[Inner Spring OD]],Table2[#Headers],0),0)</f>
        <v>Null</v>
      </c>
      <c r="BF615" s="2" t="str">
        <f>VLOOKUP([jobnumber],OvalData[],MATCH(Table2[[#Headers],[Inner Spring Length]],Table2[#Headers],0),0)</f>
        <v>Null</v>
      </c>
      <c r="BG615" s="2" t="str">
        <f>VLOOKUP([jobnumber],OvalData[],MATCH(Table2[[#Headers],[Inner Spring Stretch]],Table2[#Headers],0),0)</f>
        <v>Null</v>
      </c>
      <c r="BH615" s="2" t="str">
        <f>VLOOKUP([jobnumber],OvalData[],MATCH(Table2[[#Headers],[Inner Spring Torque]],Table2[#Headers],0),0)</f>
        <v>Null</v>
      </c>
      <c r="BI615" s="2" t="str">
        <f>VLOOKUP([jobnumber],OvalData[],MATCH(Table2[[#Headers],[Inner Spring Max Turns]],Table2[#Headers],0),0)</f>
        <v>Null</v>
      </c>
      <c r="BJ615" s="2" t="str">
        <f>VLOOKUP([jobnumber],OvalData[],MATCH(Table2[[#Headers],[Inner Spring Weight]],Table2[#Headers],0),0)</f>
        <v>Null</v>
      </c>
      <c r="BK615" s="2">
        <f>VLOOKUP([jobnumber],OvalData[],MATCH(Table2[[#Headers],[Cycles]],Table2[#Headers],0),0)</f>
        <v>0</v>
      </c>
      <c r="BL615" s="2">
        <f>VLOOKUP([jobnumber],OvalData[],MATCH(Table2[[#Headers],[Total Spring Torque]],Table2[#Headers],0),0)</f>
        <v>0</v>
      </c>
      <c r="BM615" s="2">
        <f>VLOOKUP([jobnumber],OvalData[],MATCH(Table2[[#Headers],[Total Spring Weight]],Table2[#Headers],0),0)</f>
        <v>0</v>
      </c>
      <c r="BN615" s="2">
        <f>VLOOKUP([jobnumber],OvalData[],MATCH(Table2[[#Headers],[Pipe Weight]],Table2[#Headers],0),0)</f>
        <v>688.24239999999998</v>
      </c>
      <c r="BO615" s="2">
        <f>VLOOKUP([jobnumber],OvalData[],MATCH(Table2[[#Headers],[Max Pipe Deflection]],Table2[#Headers],0),0)</f>
        <v>2309</v>
      </c>
      <c r="BP615" s="2">
        <f>VLOOKUP([jobnumber],OvalData[],MATCH(Table2[[#Headers],[Number Non-Insulated Wrap Slats]],Table2[#Headers],0),0)</f>
        <v>0</v>
      </c>
      <c r="BQ615" s="2">
        <f>VLOOKUP([jobnumber],OvalData[],MATCH(Table2[[#Headers],[Number of Insolated Top Slats]],Table2[#Headers],0),0)</f>
        <v>45</v>
      </c>
      <c r="BR615" s="2">
        <f>VLOOKUP([jobnumber],OvalData[],MATCH(Table2[[#Headers],[Insolated Total Slats]],Table2[#Headers],0),0)</f>
        <v>45</v>
      </c>
      <c r="BS615" s="2">
        <f>VLOOKUP([jobnumber],OvalData[],MATCH(Table2[[#Headers],[Number of Slats]],Table2[#Headers],0),0)</f>
        <v>44.69</v>
      </c>
      <c r="BT615" s="2">
        <f>VLOOKUP([jobnumber],OvalData[],MATCH(Table2[[#Headers],[Wrap]],Table2[#Headers],0),0)</f>
        <v>0</v>
      </c>
      <c r="BU615" s="2">
        <f>VLOOKUP([jobnumber],OvalData[],MATCH(Table2[[#Headers],[Wall Angle Thickness]],Table2[#Headers],0),0)</f>
        <v>0</v>
      </c>
      <c r="BV615" s="2">
        <f>VLOOKUP([jobnumber],OvalData[],MATCH(Table2[[#Headers],[windlocks]],Table2[#Headers],0),0)</f>
        <v>0</v>
      </c>
      <c r="BW615" s="2" t="str">
        <f>VLOOKUP([jobnumber],OvalData[],MATCH(Table2[[#Headers],[bottombartype]],Table2[#Headers],0),0)</f>
        <v>SPECIAL</v>
      </c>
      <c r="BX615" s="2">
        <f>VLOOKUP([jobnumber],OvalData[],MATCH(Table2[[#Headers],[endlockweight]],Table2[#Headers],0),0)</f>
        <v>0.17</v>
      </c>
      <c r="BY615" s="2">
        <f>VLOOKUP([jobnumber],OvalData[],MATCH(Table2[[#Headers],[Endlock Total Weight]],Table2[#Headers],0),0)</f>
        <v>7.5972999999999997</v>
      </c>
      <c r="BZ615" s="2">
        <f>VLOOKUP([jobnumber],OvalData[],MATCH(Table2[[#Headers],[Grille Weight]],Table2[#Headers],0),0)</f>
        <v>0</v>
      </c>
      <c r="CA615" s="2">
        <f>VLOOKUP([jobnumber],OvalData[],MATCH(Table2[[#Headers],[barrelrings]],Table2[#Headers],0),0)</f>
        <v>1</v>
      </c>
    </row>
    <row r="616" spans="2:79">
      <c r="B616" s="2" t="str">
        <f>VLOOKUP([jobnumber],OvalData[],MATCH(Table2[[#Headers],[Hand]],Table2[#Headers],0),0)</f>
        <v>RH</v>
      </c>
      <c r="C616" s="2" t="str">
        <f>VLOOKUP([jobnumber],OvalData[],MATCH(Table2[[#Headers],[Model]],Table2[#Headers],0),0)</f>
        <v>SFMPP</v>
      </c>
      <c r="D616" s="2" t="str">
        <f>VLOOKUP([jobnumber],OvalData[],MATCH(Table2[[#Headers],[width]],Table2[#Headers],0),0)</f>
        <v xml:space="preserve"> 18 ft.- 2"</v>
      </c>
      <c r="E616" s="2" t="str">
        <f>VLOOKUP([jobnumber],OvalData[],MATCH(Table2[[#Headers],[stopheight]],Table2[#Headers],0),0)</f>
        <v xml:space="preserve"> 10 ft.- 0"</v>
      </c>
      <c r="F616" s="2" t="str">
        <f>VLOOKUP([jobnumber],OvalData[],MATCH(Table2[[#Headers],[Between Brackets]],Table2[#Headers],0),0)</f>
        <v xml:space="preserve"> 18 ft.- 7 7/ 8"</v>
      </c>
      <c r="G616" s="2" t="str">
        <f>VLOOKUP([jobnumber],OvalData[],MATCH(Table2[[#Headers],[shell]],Table2[#Headers],0),0)</f>
        <v>6 INCH TUBE</v>
      </c>
      <c r="H616" s="2" t="str">
        <f>VLOOKUP([jobnumber],OvalData[],MATCH(Table2[[#Headers],[pipewidth]],Table2[#Headers],0),0)</f>
        <v xml:space="preserve"> 18 ft.- 1 3/ 8"</v>
      </c>
      <c r="I616" s="2">
        <f>VLOOKUP([jobnumber],OvalData[],MATCH(Table2[[#Headers],[Support Tubes]],Table2[#Headers],0),0)</f>
        <v>0</v>
      </c>
      <c r="J616" s="2">
        <f>VLOOKUP([jobnumber],OvalData[],MATCH(Table2[[#Headers],[Upset]],Table2[#Headers],0),0)</f>
        <v>2</v>
      </c>
      <c r="K616" s="2" t="str">
        <f>VLOOKUP([jobnumber],OvalData[],MATCH(Table2[[#Headers],[Guide Type]],Table2[#Headers],0),0)</f>
        <v>SN2-4 5/8-E</v>
      </c>
      <c r="L616" s="2" t="str">
        <f>VLOOKUP([jobnumber],OvalData[],MATCH(Table2[[#Headers],[Wall Angle]],Table2[#Headers],0),0)</f>
        <v xml:space="preserve"> 11 ft.- 8"</v>
      </c>
      <c r="M616" s="2" t="str">
        <f>VLOOKUP([jobnumber],OvalData[],MATCH(Table2[[#Headers],[Middle Angle]],Table2[#Headers],0),0)</f>
        <v xml:space="preserve"> 10 ft.- 4 1/ 2"</v>
      </c>
      <c r="N616" s="2" t="str">
        <f>VLOOKUP([jobnumber],OvalData[],MATCH(Table2[[#Headers],[Front Angle]],Table2[#Headers],0),0)</f>
        <v xml:space="preserve"> 10 ft.- 3"</v>
      </c>
      <c r="O616" s="2">
        <f>VLOOKUP([jobnumber],OvalData[],MATCH(Table2[[#Headers],[Pipe Center Line]],Table2[#Headers],0),0)</f>
        <v>131</v>
      </c>
      <c r="P616" s="2">
        <f>VLOOKUP([jobnumber],OvalData[],MATCH(Table2[[#Headers],[Heat Expansion Gap]],Table2[#Headers],0),0)</f>
        <v>0</v>
      </c>
      <c r="Q616" s="2">
        <f>VLOOKUP([jobnumber],OvalData[],MATCH(Table2[[#Headers],[Hanging Weight Closed]],Table2[#Headers],0),0)</f>
        <v>795</v>
      </c>
      <c r="R616" s="2">
        <f>VLOOKUP([jobnumber],OvalData[],MATCH(Table2[[#Headers],[Hanging Weight Open]],Table2[#Headers],0),0)</f>
        <v>140</v>
      </c>
      <c r="S616" s="2">
        <f>VLOOKUP([jobnumber],OvalData[],MATCH(Table2[[#Headers],[Initial Lever Arm]],Table2[#Headers],0),0)</f>
        <v>4.25</v>
      </c>
      <c r="T616" s="2">
        <f>VLOOKUP([jobnumber],OvalData[],MATCH(Table2[[#Headers],[Turns to Raise]],Table2[#Headers],0),0)</f>
        <v>3.5859999999999999</v>
      </c>
      <c r="U616" s="2">
        <f>VLOOKUP([jobnumber],OvalData[],MATCH(Table2[[#Headers],[Final Lever Arm]],Table2[#Headers],0),0)</f>
        <v>6.37</v>
      </c>
      <c r="V616" s="2">
        <f>VLOOKUP([jobnumber],OvalData[],MATCH(Table2[[#Headers],[Torque Required Closed]],Table2[#Headers],0),0)</f>
        <v>3377.9</v>
      </c>
      <c r="W616" s="2">
        <f>VLOOKUP([jobnumber],OvalData[],MATCH(Table2[[#Headers],[Torque Required Open]],Table2[#Headers],0),0)</f>
        <v>892</v>
      </c>
      <c r="X616" s="2">
        <f>VLOOKUP([jobnumber],OvalData[],MATCH(Table2[[#Headers],[Pre Turns]],Table2[#Headers],0),0)</f>
        <v>1.3332999999999999</v>
      </c>
      <c r="Y616" s="2">
        <f>VLOOKUP([jobnumber],OvalData[],MATCH(Table2[[#Headers],[Required Torque Per Turn]],Table2[#Headers],0),0)</f>
        <v>688</v>
      </c>
      <c r="Z616" s="2">
        <f>VLOOKUP([jobnumber],OvalData[],MATCH(Table2[[#Headers],[Total Turns]],Table2[#Headers],0),0)</f>
        <v>4.91</v>
      </c>
      <c r="AA616" s="2">
        <f>VLOOKUP([jobnumber],OvalData[],MATCH(Table2[[#Headers],[Grille Vision Section]],Table2[#Headers],0),0)</f>
        <v>0</v>
      </c>
      <c r="AB616" s="2">
        <f>VLOOKUP([jobnumber],OvalData[],MATCH(Table2[[#Headers],[Grille Amount]],Table2[#Headers],0),0)</f>
        <v>0</v>
      </c>
      <c r="AC616" s="2">
        <f>VLOOKUP([jobnumber],OvalData[],MATCH(Table2[[#Headers],[Grille Center]],Table2[#Headers],0),0)</f>
        <v>0</v>
      </c>
      <c r="AD616" s="2">
        <f>VLOOKUP([jobnumber],OvalData[],MATCH(Table2[[#Headers],[Grille Pattern]],Table2[#Headers],0),0)</f>
        <v>0</v>
      </c>
      <c r="AE616" s="2">
        <f>VLOOKUP([jobnumber],OvalData[],MATCH(Table2[[#Headers],[Grille First Tube]],Table2[#Headers],0),0)</f>
        <v>0</v>
      </c>
      <c r="AF616" s="2">
        <f>VLOOKUP([jobnumber],OvalData[],MATCH(Table2[[#Headers],[Grille Standard Tube]],Table2[#Headers],0),0)</f>
        <v>0</v>
      </c>
      <c r="AG616" s="2">
        <f>VLOOKUP([jobnumber],OvalData[],MATCH(Table2[[#Headers],[Grille Total Links]],Table2[#Headers],0),0)</f>
        <v>0</v>
      </c>
      <c r="AH616" s="2">
        <f>VLOOKUP([jobnumber],OvalData[],MATCH(Table2[[#Headers],[Grille Rods]],Table2[#Headers],0),0)</f>
        <v>0</v>
      </c>
      <c r="AI616" s="2">
        <f>VLOOKUP([jobnumber],OvalData[],MATCH(Table2[[#Headers],[Grille Rod Length]],Table2[#Headers],0),0)</f>
        <v>0</v>
      </c>
      <c r="AJ616" s="2">
        <f>VLOOKUP([jobnumber],OvalData[],MATCH(Table2[[#Headers],[slattype]],Table2[#Headers],0),0)</f>
        <v>2</v>
      </c>
      <c r="AK616" s="2">
        <f>VLOOKUP([jobnumber],OvalData[],MATCH(Table2[[#Headers],[slatgage]],Table2[#Headers],0),0)</f>
        <v>18</v>
      </c>
      <c r="AL616" s="2">
        <f>VLOOKUP([jobnumber],OvalData[],MATCH(Table2[[#Headers],[Numer of Top Slats]],Table2[#Headers],0),0)</f>
        <v>0</v>
      </c>
      <c r="AM616" s="2">
        <f>VLOOKUP([jobnumber],OvalData[],MATCH(Table2[[#Headers],[Number of Bottom Slats]],Table2[#Headers],0),0)</f>
        <v>0</v>
      </c>
      <c r="AN616" s="2">
        <f>VLOOKUP([jobnumber],OvalData[],MATCH(Table2[[#Headers],[Solid Bottom Height]],Table2[#Headers],0),0)</f>
        <v>0</v>
      </c>
      <c r="AO616" s="2" t="str">
        <f>VLOOKUP([jobnumber],OvalData[],MATCH(Table2[[#Headers],[slatlength]],Table2[#Headers],0),0)</f>
        <v xml:space="preserve"> 18 ft.- 5 7/ 8"</v>
      </c>
      <c r="AP616" s="2">
        <f>VLOOKUP([jobnumber],OvalData[],MATCH(Table2[[#Headers],[Bottom Slat Length]],Table2[#Headers],0),0)</f>
        <v>0</v>
      </c>
      <c r="AQ616" s="2">
        <f>VLOOKUP([jobnumber],OvalData[],MATCH(Table2[[#Headers],[Number of Perferated Slats]],Table2[#Headers],0),0)</f>
        <v>0</v>
      </c>
      <c r="AR616" s="2">
        <f>VLOOKUP([jobnumber],OvalData[],MATCH(Table2[[#Headers],[First Preferated Slat From End]],Table2[#Headers],0),0)</f>
        <v>0</v>
      </c>
      <c r="AS616" s="2">
        <f>VLOOKUP([jobnumber],OvalData[],MATCH(Table2[[#Headers],[First Preferated Slat From Bottom]],Table2[#Headers],0),0)</f>
        <v>0</v>
      </c>
      <c r="AT616" s="2">
        <f>VLOOKUP([jobnumber],OvalData[],MATCH(Table2[[#Headers],[Total Number of Slats]],Table2[#Headers],0),0)</f>
        <v>51</v>
      </c>
      <c r="AU616" s="2">
        <f>VLOOKUP([jobnumber],OvalData[],MATCH(Table2[[#Headers],[Bottom Bar Slope]],Table2[#Headers],0),0)</f>
        <v>0</v>
      </c>
      <c r="AV616" s="2">
        <f>VLOOKUP([jobnumber],OvalData[],MATCH(Table2[[#Headers],[Bottom Bar Weight]],Table2[#Headers],0),0)</f>
        <v>80.5</v>
      </c>
      <c r="AW616" s="2" t="str">
        <f>VLOOKUP([jobnumber],OvalData[],MATCH(Table2[[#Headers],[Outer Spring Gage]],Table2[#Headers],0),0)</f>
        <v>Null</v>
      </c>
      <c r="AX616" s="2" t="str">
        <f>VLOOKUP([jobnumber],OvalData[],MATCH(Table2[[#Headers],[Outer Spring OD]],Table2[#Headers],0),0)</f>
        <v>Null</v>
      </c>
      <c r="AY616" s="2" t="str">
        <f>VLOOKUP([jobnumber],OvalData[],MATCH(Table2[[#Headers],[Outer Spring Length]],Table2[#Headers],0),0)</f>
        <v>Null</v>
      </c>
      <c r="AZ616" s="2" t="str">
        <f>VLOOKUP([jobnumber],OvalData[],MATCH(Table2[[#Headers],[Outer Spring Stretch]],Table2[#Headers],0),0)</f>
        <v>Null</v>
      </c>
      <c r="BA616" s="2" t="str">
        <f>VLOOKUP([jobnumber],OvalData[],MATCH(Table2[[#Headers],[Outer Spring Torque]],Table2[#Headers],0),0)</f>
        <v>Null</v>
      </c>
      <c r="BB616" s="2" t="str">
        <f>VLOOKUP([jobnumber],OvalData[],MATCH(Table2[[#Headers],[Outer Spring Max Turns]],Table2[#Headers],0),0)</f>
        <v>Null</v>
      </c>
      <c r="BC616" s="2" t="str">
        <f>VLOOKUP([jobnumber],OvalData[],MATCH(Table2[[#Headers],[Outer Spring Weight]],Table2[#Headers],0),0)</f>
        <v>Null</v>
      </c>
      <c r="BD616" s="2" t="str">
        <f>VLOOKUP([jobnumber],OvalData[],MATCH(Table2[[#Headers],[Inner Spring Gage]],Table2[#Headers],0),0)</f>
        <v>Null</v>
      </c>
      <c r="BE616" s="2" t="str">
        <f>VLOOKUP([jobnumber],OvalData[],MATCH(Table2[[#Headers],[Inner Spring OD]],Table2[#Headers],0),0)</f>
        <v>Null</v>
      </c>
      <c r="BF616" s="2" t="str">
        <f>VLOOKUP([jobnumber],OvalData[],MATCH(Table2[[#Headers],[Inner Spring Length]],Table2[#Headers],0),0)</f>
        <v>Null</v>
      </c>
      <c r="BG616" s="2" t="str">
        <f>VLOOKUP([jobnumber],OvalData[],MATCH(Table2[[#Headers],[Inner Spring Stretch]],Table2[#Headers],0),0)</f>
        <v>Null</v>
      </c>
      <c r="BH616" s="2" t="str">
        <f>VLOOKUP([jobnumber],OvalData[],MATCH(Table2[[#Headers],[Inner Spring Torque]],Table2[#Headers],0),0)</f>
        <v>Null</v>
      </c>
      <c r="BI616" s="2" t="str">
        <f>VLOOKUP([jobnumber],OvalData[],MATCH(Table2[[#Headers],[Inner Spring Max Turns]],Table2[#Headers],0),0)</f>
        <v>Null</v>
      </c>
      <c r="BJ616" s="2" t="str">
        <f>VLOOKUP([jobnumber],OvalData[],MATCH(Table2[[#Headers],[Inner Spring Weight]],Table2[#Headers],0),0)</f>
        <v>Null</v>
      </c>
      <c r="BK616" s="2">
        <f>VLOOKUP([jobnumber],OvalData[],MATCH(Table2[[#Headers],[Cycles]],Table2[#Headers],0),0)</f>
        <v>0</v>
      </c>
      <c r="BL616" s="2">
        <f>VLOOKUP([jobnumber],OvalData[],MATCH(Table2[[#Headers],[Total Spring Torque]],Table2[#Headers],0),0)</f>
        <v>0</v>
      </c>
      <c r="BM616" s="2">
        <f>VLOOKUP([jobnumber],OvalData[],MATCH(Table2[[#Headers],[Total Spring Weight]],Table2[#Headers],0),0)</f>
        <v>0</v>
      </c>
      <c r="BN616" s="2">
        <f>VLOOKUP([jobnumber],OvalData[],MATCH(Table2[[#Headers],[Pipe Weight]],Table2[#Headers],0),0)</f>
        <v>688.24239999999998</v>
      </c>
      <c r="BO616" s="2">
        <f>VLOOKUP([jobnumber],OvalData[],MATCH(Table2[[#Headers],[Max Pipe Deflection]],Table2[#Headers],0),0)</f>
        <v>2309</v>
      </c>
      <c r="BP616" s="2">
        <f>VLOOKUP([jobnumber],OvalData[],MATCH(Table2[[#Headers],[Number Non-Insulated Wrap Slats]],Table2[#Headers],0),0)</f>
        <v>0</v>
      </c>
      <c r="BQ616" s="2">
        <f>VLOOKUP([jobnumber],OvalData[],MATCH(Table2[[#Headers],[Number of Insolated Top Slats]],Table2[#Headers],0),0)</f>
        <v>45</v>
      </c>
      <c r="BR616" s="2">
        <f>VLOOKUP([jobnumber],OvalData[],MATCH(Table2[[#Headers],[Insolated Total Slats]],Table2[#Headers],0),0)</f>
        <v>45</v>
      </c>
      <c r="BS616" s="2">
        <f>VLOOKUP([jobnumber],OvalData[],MATCH(Table2[[#Headers],[Number of Slats]],Table2[#Headers],0),0)</f>
        <v>44.69</v>
      </c>
      <c r="BT616" s="2">
        <f>VLOOKUP([jobnumber],OvalData[],MATCH(Table2[[#Headers],[Wrap]],Table2[#Headers],0),0)</f>
        <v>0</v>
      </c>
      <c r="BU616" s="2">
        <f>VLOOKUP([jobnumber],OvalData[],MATCH(Table2[[#Headers],[Wall Angle Thickness]],Table2[#Headers],0),0)</f>
        <v>0</v>
      </c>
      <c r="BV616" s="2">
        <f>VLOOKUP([jobnumber],OvalData[],MATCH(Table2[[#Headers],[windlocks]],Table2[#Headers],0),0)</f>
        <v>0</v>
      </c>
      <c r="BW616" s="2" t="str">
        <f>VLOOKUP([jobnumber],OvalData[],MATCH(Table2[[#Headers],[bottombartype]],Table2[#Headers],0),0)</f>
        <v>SPECIAL</v>
      </c>
      <c r="BX616" s="2">
        <f>VLOOKUP([jobnumber],OvalData[],MATCH(Table2[[#Headers],[endlockweight]],Table2[#Headers],0),0)</f>
        <v>0.17</v>
      </c>
      <c r="BY616" s="2">
        <f>VLOOKUP([jobnumber],OvalData[],MATCH(Table2[[#Headers],[Endlock Total Weight]],Table2[#Headers],0),0)</f>
        <v>7.5972999999999997</v>
      </c>
      <c r="BZ616" s="2">
        <f>VLOOKUP([jobnumber],OvalData[],MATCH(Table2[[#Headers],[Grille Weight]],Table2[#Headers],0),0)</f>
        <v>0</v>
      </c>
      <c r="CA616" s="2">
        <f>VLOOKUP([jobnumber],OvalData[],MATCH(Table2[[#Headers],[barrelrings]],Table2[#Headers],0),0)</f>
        <v>1</v>
      </c>
    </row>
    <row r="617" spans="2:79">
      <c r="B617" s="2" t="str">
        <f>VLOOKUP([jobnumber],OvalData[],MATCH(Table2[[#Headers],[Hand]],Table2[#Headers],0),0)</f>
        <v>RH</v>
      </c>
      <c r="C617" s="2" t="str">
        <f>VLOOKUP([jobnumber],OvalData[],MATCH(Table2[[#Headers],[Model]],Table2[#Headers],0),0)</f>
        <v>SFMPP</v>
      </c>
      <c r="D617" s="2" t="str">
        <f>VLOOKUP([jobnumber],OvalData[],MATCH(Table2[[#Headers],[width]],Table2[#Headers],0),0)</f>
        <v xml:space="preserve"> 18 ft.- 2"</v>
      </c>
      <c r="E617" s="2" t="str">
        <f>VLOOKUP([jobnumber],OvalData[],MATCH(Table2[[#Headers],[stopheight]],Table2[#Headers],0),0)</f>
        <v xml:space="preserve"> 10 ft.- 0"</v>
      </c>
      <c r="F617" s="2" t="str">
        <f>VLOOKUP([jobnumber],OvalData[],MATCH(Table2[[#Headers],[Between Brackets]],Table2[#Headers],0),0)</f>
        <v xml:space="preserve"> 18 ft.- 7 7/ 8"</v>
      </c>
      <c r="G617" s="2" t="str">
        <f>VLOOKUP([jobnumber],OvalData[],MATCH(Table2[[#Headers],[shell]],Table2[#Headers],0),0)</f>
        <v>6 INCH TUBE</v>
      </c>
      <c r="H617" s="2" t="str">
        <f>VLOOKUP([jobnumber],OvalData[],MATCH(Table2[[#Headers],[pipewidth]],Table2[#Headers],0),0)</f>
        <v xml:space="preserve"> 18 ft.- 1 3/ 8"</v>
      </c>
      <c r="I617" s="2">
        <f>VLOOKUP([jobnumber],OvalData[],MATCH(Table2[[#Headers],[Support Tubes]],Table2[#Headers],0),0)</f>
        <v>0</v>
      </c>
      <c r="J617" s="2">
        <f>VLOOKUP([jobnumber],OvalData[],MATCH(Table2[[#Headers],[Upset]],Table2[#Headers],0),0)</f>
        <v>2</v>
      </c>
      <c r="K617" s="2" t="str">
        <f>VLOOKUP([jobnumber],OvalData[],MATCH(Table2[[#Headers],[Guide Type]],Table2[#Headers],0),0)</f>
        <v>SN2-4 5/8-E</v>
      </c>
      <c r="L617" s="2" t="str">
        <f>VLOOKUP([jobnumber],OvalData[],MATCH(Table2[[#Headers],[Wall Angle]],Table2[#Headers],0),0)</f>
        <v xml:space="preserve"> 11 ft.- 8"</v>
      </c>
      <c r="M617" s="2" t="str">
        <f>VLOOKUP([jobnumber],OvalData[],MATCH(Table2[[#Headers],[Middle Angle]],Table2[#Headers],0),0)</f>
        <v xml:space="preserve"> 10 ft.- 4 1/ 2"</v>
      </c>
      <c r="N617" s="2" t="str">
        <f>VLOOKUP([jobnumber],OvalData[],MATCH(Table2[[#Headers],[Front Angle]],Table2[#Headers],0),0)</f>
        <v xml:space="preserve"> 10 ft.- 3"</v>
      </c>
      <c r="O617" s="2">
        <f>VLOOKUP([jobnumber],OvalData[],MATCH(Table2[[#Headers],[Pipe Center Line]],Table2[#Headers],0),0)</f>
        <v>131</v>
      </c>
      <c r="P617" s="2">
        <f>VLOOKUP([jobnumber],OvalData[],MATCH(Table2[[#Headers],[Heat Expansion Gap]],Table2[#Headers],0),0)</f>
        <v>0</v>
      </c>
      <c r="Q617" s="2">
        <f>VLOOKUP([jobnumber],OvalData[],MATCH(Table2[[#Headers],[Hanging Weight Closed]],Table2[#Headers],0),0)</f>
        <v>795</v>
      </c>
      <c r="R617" s="2">
        <f>VLOOKUP([jobnumber],OvalData[],MATCH(Table2[[#Headers],[Hanging Weight Open]],Table2[#Headers],0),0)</f>
        <v>140</v>
      </c>
      <c r="S617" s="2">
        <f>VLOOKUP([jobnumber],OvalData[],MATCH(Table2[[#Headers],[Initial Lever Arm]],Table2[#Headers],0),0)</f>
        <v>4.25</v>
      </c>
      <c r="T617" s="2">
        <f>VLOOKUP([jobnumber],OvalData[],MATCH(Table2[[#Headers],[Turns to Raise]],Table2[#Headers],0),0)</f>
        <v>3.5859999999999999</v>
      </c>
      <c r="U617" s="2">
        <f>VLOOKUP([jobnumber],OvalData[],MATCH(Table2[[#Headers],[Final Lever Arm]],Table2[#Headers],0),0)</f>
        <v>6.37</v>
      </c>
      <c r="V617" s="2">
        <f>VLOOKUP([jobnumber],OvalData[],MATCH(Table2[[#Headers],[Torque Required Closed]],Table2[#Headers],0),0)</f>
        <v>3377.9</v>
      </c>
      <c r="W617" s="2">
        <f>VLOOKUP([jobnumber],OvalData[],MATCH(Table2[[#Headers],[Torque Required Open]],Table2[#Headers],0),0)</f>
        <v>892</v>
      </c>
      <c r="X617" s="2">
        <f>VLOOKUP([jobnumber],OvalData[],MATCH(Table2[[#Headers],[Pre Turns]],Table2[#Headers],0),0)</f>
        <v>1.3332999999999999</v>
      </c>
      <c r="Y617" s="2">
        <f>VLOOKUP([jobnumber],OvalData[],MATCH(Table2[[#Headers],[Required Torque Per Turn]],Table2[#Headers],0),0)</f>
        <v>688</v>
      </c>
      <c r="Z617" s="2">
        <f>VLOOKUP([jobnumber],OvalData[],MATCH(Table2[[#Headers],[Total Turns]],Table2[#Headers],0),0)</f>
        <v>4.91</v>
      </c>
      <c r="AA617" s="2">
        <f>VLOOKUP([jobnumber],OvalData[],MATCH(Table2[[#Headers],[Grille Vision Section]],Table2[#Headers],0),0)</f>
        <v>0</v>
      </c>
      <c r="AB617" s="2">
        <f>VLOOKUP([jobnumber],OvalData[],MATCH(Table2[[#Headers],[Grille Amount]],Table2[#Headers],0),0)</f>
        <v>0</v>
      </c>
      <c r="AC617" s="2">
        <f>VLOOKUP([jobnumber],OvalData[],MATCH(Table2[[#Headers],[Grille Center]],Table2[#Headers],0),0)</f>
        <v>0</v>
      </c>
      <c r="AD617" s="2">
        <f>VLOOKUP([jobnumber],OvalData[],MATCH(Table2[[#Headers],[Grille Pattern]],Table2[#Headers],0),0)</f>
        <v>0</v>
      </c>
      <c r="AE617" s="2">
        <f>VLOOKUP([jobnumber],OvalData[],MATCH(Table2[[#Headers],[Grille First Tube]],Table2[#Headers],0),0)</f>
        <v>0</v>
      </c>
      <c r="AF617" s="2">
        <f>VLOOKUP([jobnumber],OvalData[],MATCH(Table2[[#Headers],[Grille Standard Tube]],Table2[#Headers],0),0)</f>
        <v>0</v>
      </c>
      <c r="AG617" s="2">
        <f>VLOOKUP([jobnumber],OvalData[],MATCH(Table2[[#Headers],[Grille Total Links]],Table2[#Headers],0),0)</f>
        <v>0</v>
      </c>
      <c r="AH617" s="2">
        <f>VLOOKUP([jobnumber],OvalData[],MATCH(Table2[[#Headers],[Grille Rods]],Table2[#Headers],0),0)</f>
        <v>0</v>
      </c>
      <c r="AI617" s="2">
        <f>VLOOKUP([jobnumber],OvalData[],MATCH(Table2[[#Headers],[Grille Rod Length]],Table2[#Headers],0),0)</f>
        <v>0</v>
      </c>
      <c r="AJ617" s="2">
        <f>VLOOKUP([jobnumber],OvalData[],MATCH(Table2[[#Headers],[slattype]],Table2[#Headers],0),0)</f>
        <v>2</v>
      </c>
      <c r="AK617" s="2">
        <f>VLOOKUP([jobnumber],OvalData[],MATCH(Table2[[#Headers],[slatgage]],Table2[#Headers],0),0)</f>
        <v>18</v>
      </c>
      <c r="AL617" s="2">
        <f>VLOOKUP([jobnumber],OvalData[],MATCH(Table2[[#Headers],[Numer of Top Slats]],Table2[#Headers],0),0)</f>
        <v>0</v>
      </c>
      <c r="AM617" s="2">
        <f>VLOOKUP([jobnumber],OvalData[],MATCH(Table2[[#Headers],[Number of Bottom Slats]],Table2[#Headers],0),0)</f>
        <v>0</v>
      </c>
      <c r="AN617" s="2">
        <f>VLOOKUP([jobnumber],OvalData[],MATCH(Table2[[#Headers],[Solid Bottom Height]],Table2[#Headers],0),0)</f>
        <v>0</v>
      </c>
      <c r="AO617" s="2" t="str">
        <f>VLOOKUP([jobnumber],OvalData[],MATCH(Table2[[#Headers],[slatlength]],Table2[#Headers],0),0)</f>
        <v xml:space="preserve"> 18 ft.- 5 7/ 8"</v>
      </c>
      <c r="AP617" s="2">
        <f>VLOOKUP([jobnumber],OvalData[],MATCH(Table2[[#Headers],[Bottom Slat Length]],Table2[#Headers],0),0)</f>
        <v>0</v>
      </c>
      <c r="AQ617" s="2">
        <f>VLOOKUP([jobnumber],OvalData[],MATCH(Table2[[#Headers],[Number of Perferated Slats]],Table2[#Headers],0),0)</f>
        <v>0</v>
      </c>
      <c r="AR617" s="2">
        <f>VLOOKUP([jobnumber],OvalData[],MATCH(Table2[[#Headers],[First Preferated Slat From End]],Table2[#Headers],0),0)</f>
        <v>0</v>
      </c>
      <c r="AS617" s="2">
        <f>VLOOKUP([jobnumber],OvalData[],MATCH(Table2[[#Headers],[First Preferated Slat From Bottom]],Table2[#Headers],0),0)</f>
        <v>0</v>
      </c>
      <c r="AT617" s="2">
        <f>VLOOKUP([jobnumber],OvalData[],MATCH(Table2[[#Headers],[Total Number of Slats]],Table2[#Headers],0),0)</f>
        <v>51</v>
      </c>
      <c r="AU617" s="2">
        <f>VLOOKUP([jobnumber],OvalData[],MATCH(Table2[[#Headers],[Bottom Bar Slope]],Table2[#Headers],0),0)</f>
        <v>0</v>
      </c>
      <c r="AV617" s="2">
        <f>VLOOKUP([jobnumber],OvalData[],MATCH(Table2[[#Headers],[Bottom Bar Weight]],Table2[#Headers],0),0)</f>
        <v>80.5</v>
      </c>
      <c r="AW617" s="2" t="str">
        <f>VLOOKUP([jobnumber],OvalData[],MATCH(Table2[[#Headers],[Outer Spring Gage]],Table2[#Headers],0),0)</f>
        <v>Null</v>
      </c>
      <c r="AX617" s="2" t="str">
        <f>VLOOKUP([jobnumber],OvalData[],MATCH(Table2[[#Headers],[Outer Spring OD]],Table2[#Headers],0),0)</f>
        <v>Null</v>
      </c>
      <c r="AY617" s="2" t="str">
        <f>VLOOKUP([jobnumber],OvalData[],MATCH(Table2[[#Headers],[Outer Spring Length]],Table2[#Headers],0),0)</f>
        <v>Null</v>
      </c>
      <c r="AZ617" s="2" t="str">
        <f>VLOOKUP([jobnumber],OvalData[],MATCH(Table2[[#Headers],[Outer Spring Stretch]],Table2[#Headers],0),0)</f>
        <v>Null</v>
      </c>
      <c r="BA617" s="2" t="str">
        <f>VLOOKUP([jobnumber],OvalData[],MATCH(Table2[[#Headers],[Outer Spring Torque]],Table2[#Headers],0),0)</f>
        <v>Null</v>
      </c>
      <c r="BB617" s="2" t="str">
        <f>VLOOKUP([jobnumber],OvalData[],MATCH(Table2[[#Headers],[Outer Spring Max Turns]],Table2[#Headers],0),0)</f>
        <v>Null</v>
      </c>
      <c r="BC617" s="2" t="str">
        <f>VLOOKUP([jobnumber],OvalData[],MATCH(Table2[[#Headers],[Outer Spring Weight]],Table2[#Headers],0),0)</f>
        <v>Null</v>
      </c>
      <c r="BD617" s="2" t="str">
        <f>VLOOKUP([jobnumber],OvalData[],MATCH(Table2[[#Headers],[Inner Spring Gage]],Table2[#Headers],0),0)</f>
        <v>Null</v>
      </c>
      <c r="BE617" s="2" t="str">
        <f>VLOOKUP([jobnumber],OvalData[],MATCH(Table2[[#Headers],[Inner Spring OD]],Table2[#Headers],0),0)</f>
        <v>Null</v>
      </c>
      <c r="BF617" s="2" t="str">
        <f>VLOOKUP([jobnumber],OvalData[],MATCH(Table2[[#Headers],[Inner Spring Length]],Table2[#Headers],0),0)</f>
        <v>Null</v>
      </c>
      <c r="BG617" s="2" t="str">
        <f>VLOOKUP([jobnumber],OvalData[],MATCH(Table2[[#Headers],[Inner Spring Stretch]],Table2[#Headers],0),0)</f>
        <v>Null</v>
      </c>
      <c r="BH617" s="2" t="str">
        <f>VLOOKUP([jobnumber],OvalData[],MATCH(Table2[[#Headers],[Inner Spring Torque]],Table2[#Headers],0),0)</f>
        <v>Null</v>
      </c>
      <c r="BI617" s="2" t="str">
        <f>VLOOKUP([jobnumber],OvalData[],MATCH(Table2[[#Headers],[Inner Spring Max Turns]],Table2[#Headers],0),0)</f>
        <v>Null</v>
      </c>
      <c r="BJ617" s="2" t="str">
        <f>VLOOKUP([jobnumber],OvalData[],MATCH(Table2[[#Headers],[Inner Spring Weight]],Table2[#Headers],0),0)</f>
        <v>Null</v>
      </c>
      <c r="BK617" s="2">
        <f>VLOOKUP([jobnumber],OvalData[],MATCH(Table2[[#Headers],[Cycles]],Table2[#Headers],0),0)</f>
        <v>0</v>
      </c>
      <c r="BL617" s="2">
        <f>VLOOKUP([jobnumber],OvalData[],MATCH(Table2[[#Headers],[Total Spring Torque]],Table2[#Headers],0),0)</f>
        <v>0</v>
      </c>
      <c r="BM617" s="2">
        <f>VLOOKUP([jobnumber],OvalData[],MATCH(Table2[[#Headers],[Total Spring Weight]],Table2[#Headers],0),0)</f>
        <v>0</v>
      </c>
      <c r="BN617" s="2">
        <f>VLOOKUP([jobnumber],OvalData[],MATCH(Table2[[#Headers],[Pipe Weight]],Table2[#Headers],0),0)</f>
        <v>688.24239999999998</v>
      </c>
      <c r="BO617" s="2">
        <f>VLOOKUP([jobnumber],OvalData[],MATCH(Table2[[#Headers],[Max Pipe Deflection]],Table2[#Headers],0),0)</f>
        <v>2309</v>
      </c>
      <c r="BP617" s="2">
        <f>VLOOKUP([jobnumber],OvalData[],MATCH(Table2[[#Headers],[Number Non-Insulated Wrap Slats]],Table2[#Headers],0),0)</f>
        <v>0</v>
      </c>
      <c r="BQ617" s="2">
        <f>VLOOKUP([jobnumber],OvalData[],MATCH(Table2[[#Headers],[Number of Insolated Top Slats]],Table2[#Headers],0),0)</f>
        <v>45</v>
      </c>
      <c r="BR617" s="2">
        <f>VLOOKUP([jobnumber],OvalData[],MATCH(Table2[[#Headers],[Insolated Total Slats]],Table2[#Headers],0),0)</f>
        <v>45</v>
      </c>
      <c r="BS617" s="2">
        <f>VLOOKUP([jobnumber],OvalData[],MATCH(Table2[[#Headers],[Number of Slats]],Table2[#Headers],0),0)</f>
        <v>44.69</v>
      </c>
      <c r="BT617" s="2">
        <f>VLOOKUP([jobnumber],OvalData[],MATCH(Table2[[#Headers],[Wrap]],Table2[#Headers],0),0)</f>
        <v>0</v>
      </c>
      <c r="BU617" s="2">
        <f>VLOOKUP([jobnumber],OvalData[],MATCH(Table2[[#Headers],[Wall Angle Thickness]],Table2[#Headers],0),0)</f>
        <v>0</v>
      </c>
      <c r="BV617" s="2">
        <f>VLOOKUP([jobnumber],OvalData[],MATCH(Table2[[#Headers],[windlocks]],Table2[#Headers],0),0)</f>
        <v>0</v>
      </c>
      <c r="BW617" s="2" t="str">
        <f>VLOOKUP([jobnumber],OvalData[],MATCH(Table2[[#Headers],[bottombartype]],Table2[#Headers],0),0)</f>
        <v>SPECIAL</v>
      </c>
      <c r="BX617" s="2">
        <f>VLOOKUP([jobnumber],OvalData[],MATCH(Table2[[#Headers],[endlockweight]],Table2[#Headers],0),0)</f>
        <v>0.17</v>
      </c>
      <c r="BY617" s="2">
        <f>VLOOKUP([jobnumber],OvalData[],MATCH(Table2[[#Headers],[Endlock Total Weight]],Table2[#Headers],0),0)</f>
        <v>7.5972999999999997</v>
      </c>
      <c r="BZ617" s="2">
        <f>VLOOKUP([jobnumber],OvalData[],MATCH(Table2[[#Headers],[Grille Weight]],Table2[#Headers],0),0)</f>
        <v>0</v>
      </c>
      <c r="CA617" s="2">
        <f>VLOOKUP([jobnumber],OvalData[],MATCH(Table2[[#Headers],[barrelrings]],Table2[#Headers],0),0)</f>
        <v>1</v>
      </c>
    </row>
    <row r="618" spans="2:79">
      <c r="B618" s="2" t="str">
        <f>VLOOKUP([jobnumber],OvalData[],MATCH(Table2[[#Headers],[Hand]],Table2[#Headers],0),0)</f>
        <v>RH</v>
      </c>
      <c r="C618" s="2" t="str">
        <f>VLOOKUP([jobnumber],OvalData[],MATCH(Table2[[#Headers],[Model]],Table2[#Headers],0),0)</f>
        <v>SFMPP</v>
      </c>
      <c r="D618" s="2" t="str">
        <f>VLOOKUP([jobnumber],OvalData[],MATCH(Table2[[#Headers],[width]],Table2[#Headers],0),0)</f>
        <v xml:space="preserve"> 18 ft.- 2"</v>
      </c>
      <c r="E618" s="2" t="str">
        <f>VLOOKUP([jobnumber],OvalData[],MATCH(Table2[[#Headers],[stopheight]],Table2[#Headers],0),0)</f>
        <v xml:space="preserve"> 10 ft.- 0"</v>
      </c>
      <c r="F618" s="2" t="str">
        <f>VLOOKUP([jobnumber],OvalData[],MATCH(Table2[[#Headers],[Between Brackets]],Table2[#Headers],0),0)</f>
        <v xml:space="preserve"> 18 ft.- 7 7/ 8"</v>
      </c>
      <c r="G618" s="2" t="str">
        <f>VLOOKUP([jobnumber],OvalData[],MATCH(Table2[[#Headers],[shell]],Table2[#Headers],0),0)</f>
        <v>6 INCH TUBE</v>
      </c>
      <c r="H618" s="2" t="str">
        <f>VLOOKUP([jobnumber],OvalData[],MATCH(Table2[[#Headers],[pipewidth]],Table2[#Headers],0),0)</f>
        <v xml:space="preserve"> 18 ft.- 1 3/ 8"</v>
      </c>
      <c r="I618" s="2">
        <f>VLOOKUP([jobnumber],OvalData[],MATCH(Table2[[#Headers],[Support Tubes]],Table2[#Headers],0),0)</f>
        <v>0</v>
      </c>
      <c r="J618" s="2">
        <f>VLOOKUP([jobnumber],OvalData[],MATCH(Table2[[#Headers],[Upset]],Table2[#Headers],0),0)</f>
        <v>2</v>
      </c>
      <c r="K618" s="2" t="str">
        <f>VLOOKUP([jobnumber],OvalData[],MATCH(Table2[[#Headers],[Guide Type]],Table2[#Headers],0),0)</f>
        <v>SN2-4 5/8-E</v>
      </c>
      <c r="L618" s="2" t="str">
        <f>VLOOKUP([jobnumber],OvalData[],MATCH(Table2[[#Headers],[Wall Angle]],Table2[#Headers],0),0)</f>
        <v xml:space="preserve"> 11 ft.- 8"</v>
      </c>
      <c r="M618" s="2" t="str">
        <f>VLOOKUP([jobnumber],OvalData[],MATCH(Table2[[#Headers],[Middle Angle]],Table2[#Headers],0),0)</f>
        <v xml:space="preserve"> 10 ft.- 4 1/ 2"</v>
      </c>
      <c r="N618" s="2" t="str">
        <f>VLOOKUP([jobnumber],OvalData[],MATCH(Table2[[#Headers],[Front Angle]],Table2[#Headers],0),0)</f>
        <v xml:space="preserve"> 10 ft.- 3"</v>
      </c>
      <c r="O618" s="2">
        <f>VLOOKUP([jobnumber],OvalData[],MATCH(Table2[[#Headers],[Pipe Center Line]],Table2[#Headers],0),0)</f>
        <v>131</v>
      </c>
      <c r="P618" s="2">
        <f>VLOOKUP([jobnumber],OvalData[],MATCH(Table2[[#Headers],[Heat Expansion Gap]],Table2[#Headers],0),0)</f>
        <v>0</v>
      </c>
      <c r="Q618" s="2">
        <f>VLOOKUP([jobnumber],OvalData[],MATCH(Table2[[#Headers],[Hanging Weight Closed]],Table2[#Headers],0),0)</f>
        <v>795</v>
      </c>
      <c r="R618" s="2">
        <f>VLOOKUP([jobnumber],OvalData[],MATCH(Table2[[#Headers],[Hanging Weight Open]],Table2[#Headers],0),0)</f>
        <v>140</v>
      </c>
      <c r="S618" s="2">
        <f>VLOOKUP([jobnumber],OvalData[],MATCH(Table2[[#Headers],[Initial Lever Arm]],Table2[#Headers],0),0)</f>
        <v>4.25</v>
      </c>
      <c r="T618" s="2">
        <f>VLOOKUP([jobnumber],OvalData[],MATCH(Table2[[#Headers],[Turns to Raise]],Table2[#Headers],0),0)</f>
        <v>3.5859999999999999</v>
      </c>
      <c r="U618" s="2">
        <f>VLOOKUP([jobnumber],OvalData[],MATCH(Table2[[#Headers],[Final Lever Arm]],Table2[#Headers],0),0)</f>
        <v>6.37</v>
      </c>
      <c r="V618" s="2">
        <f>VLOOKUP([jobnumber],OvalData[],MATCH(Table2[[#Headers],[Torque Required Closed]],Table2[#Headers],0),0)</f>
        <v>3377.9</v>
      </c>
      <c r="W618" s="2">
        <f>VLOOKUP([jobnumber],OvalData[],MATCH(Table2[[#Headers],[Torque Required Open]],Table2[#Headers],0),0)</f>
        <v>892</v>
      </c>
      <c r="X618" s="2">
        <f>VLOOKUP([jobnumber],OvalData[],MATCH(Table2[[#Headers],[Pre Turns]],Table2[#Headers],0),0)</f>
        <v>1.3332999999999999</v>
      </c>
      <c r="Y618" s="2">
        <f>VLOOKUP([jobnumber],OvalData[],MATCH(Table2[[#Headers],[Required Torque Per Turn]],Table2[#Headers],0),0)</f>
        <v>688</v>
      </c>
      <c r="Z618" s="2">
        <f>VLOOKUP([jobnumber],OvalData[],MATCH(Table2[[#Headers],[Total Turns]],Table2[#Headers],0),0)</f>
        <v>4.91</v>
      </c>
      <c r="AA618" s="2">
        <f>VLOOKUP([jobnumber],OvalData[],MATCH(Table2[[#Headers],[Grille Vision Section]],Table2[#Headers],0),0)</f>
        <v>0</v>
      </c>
      <c r="AB618" s="2">
        <f>VLOOKUP([jobnumber],OvalData[],MATCH(Table2[[#Headers],[Grille Amount]],Table2[#Headers],0),0)</f>
        <v>0</v>
      </c>
      <c r="AC618" s="2">
        <f>VLOOKUP([jobnumber],OvalData[],MATCH(Table2[[#Headers],[Grille Center]],Table2[#Headers],0),0)</f>
        <v>0</v>
      </c>
      <c r="AD618" s="2">
        <f>VLOOKUP([jobnumber],OvalData[],MATCH(Table2[[#Headers],[Grille Pattern]],Table2[#Headers],0),0)</f>
        <v>0</v>
      </c>
      <c r="AE618" s="2">
        <f>VLOOKUP([jobnumber],OvalData[],MATCH(Table2[[#Headers],[Grille First Tube]],Table2[#Headers],0),0)</f>
        <v>0</v>
      </c>
      <c r="AF618" s="2">
        <f>VLOOKUP([jobnumber],OvalData[],MATCH(Table2[[#Headers],[Grille Standard Tube]],Table2[#Headers],0),0)</f>
        <v>0</v>
      </c>
      <c r="AG618" s="2">
        <f>VLOOKUP([jobnumber],OvalData[],MATCH(Table2[[#Headers],[Grille Total Links]],Table2[#Headers],0),0)</f>
        <v>0</v>
      </c>
      <c r="AH618" s="2">
        <f>VLOOKUP([jobnumber],OvalData[],MATCH(Table2[[#Headers],[Grille Rods]],Table2[#Headers],0),0)</f>
        <v>0</v>
      </c>
      <c r="AI618" s="2">
        <f>VLOOKUP([jobnumber],OvalData[],MATCH(Table2[[#Headers],[Grille Rod Length]],Table2[#Headers],0),0)</f>
        <v>0</v>
      </c>
      <c r="AJ618" s="2">
        <f>VLOOKUP([jobnumber],OvalData[],MATCH(Table2[[#Headers],[slattype]],Table2[#Headers],0),0)</f>
        <v>2</v>
      </c>
      <c r="AK618" s="2">
        <f>VLOOKUP([jobnumber],OvalData[],MATCH(Table2[[#Headers],[slatgage]],Table2[#Headers],0),0)</f>
        <v>18</v>
      </c>
      <c r="AL618" s="2">
        <f>VLOOKUP([jobnumber],OvalData[],MATCH(Table2[[#Headers],[Numer of Top Slats]],Table2[#Headers],0),0)</f>
        <v>0</v>
      </c>
      <c r="AM618" s="2">
        <f>VLOOKUP([jobnumber],OvalData[],MATCH(Table2[[#Headers],[Number of Bottom Slats]],Table2[#Headers],0),0)</f>
        <v>0</v>
      </c>
      <c r="AN618" s="2">
        <f>VLOOKUP([jobnumber],OvalData[],MATCH(Table2[[#Headers],[Solid Bottom Height]],Table2[#Headers],0),0)</f>
        <v>0</v>
      </c>
      <c r="AO618" s="2" t="str">
        <f>VLOOKUP([jobnumber],OvalData[],MATCH(Table2[[#Headers],[slatlength]],Table2[#Headers],0),0)</f>
        <v xml:space="preserve"> 18 ft.- 5 7/ 8"</v>
      </c>
      <c r="AP618" s="2">
        <f>VLOOKUP([jobnumber],OvalData[],MATCH(Table2[[#Headers],[Bottom Slat Length]],Table2[#Headers],0),0)</f>
        <v>0</v>
      </c>
      <c r="AQ618" s="2">
        <f>VLOOKUP([jobnumber],OvalData[],MATCH(Table2[[#Headers],[Number of Perferated Slats]],Table2[#Headers],0),0)</f>
        <v>0</v>
      </c>
      <c r="AR618" s="2">
        <f>VLOOKUP([jobnumber],OvalData[],MATCH(Table2[[#Headers],[First Preferated Slat From End]],Table2[#Headers],0),0)</f>
        <v>0</v>
      </c>
      <c r="AS618" s="2">
        <f>VLOOKUP([jobnumber],OvalData[],MATCH(Table2[[#Headers],[First Preferated Slat From Bottom]],Table2[#Headers],0),0)</f>
        <v>0</v>
      </c>
      <c r="AT618" s="2">
        <f>VLOOKUP([jobnumber],OvalData[],MATCH(Table2[[#Headers],[Total Number of Slats]],Table2[#Headers],0),0)</f>
        <v>51</v>
      </c>
      <c r="AU618" s="2">
        <f>VLOOKUP([jobnumber],OvalData[],MATCH(Table2[[#Headers],[Bottom Bar Slope]],Table2[#Headers],0),0)</f>
        <v>0</v>
      </c>
      <c r="AV618" s="2">
        <f>VLOOKUP([jobnumber],OvalData[],MATCH(Table2[[#Headers],[Bottom Bar Weight]],Table2[#Headers],0),0)</f>
        <v>80.5</v>
      </c>
      <c r="AW618" s="2" t="str">
        <f>VLOOKUP([jobnumber],OvalData[],MATCH(Table2[[#Headers],[Outer Spring Gage]],Table2[#Headers],0),0)</f>
        <v>Null</v>
      </c>
      <c r="AX618" s="2" t="str">
        <f>VLOOKUP([jobnumber],OvalData[],MATCH(Table2[[#Headers],[Outer Spring OD]],Table2[#Headers],0),0)</f>
        <v>Null</v>
      </c>
      <c r="AY618" s="2" t="str">
        <f>VLOOKUP([jobnumber],OvalData[],MATCH(Table2[[#Headers],[Outer Spring Length]],Table2[#Headers],0),0)</f>
        <v>Null</v>
      </c>
      <c r="AZ618" s="2" t="str">
        <f>VLOOKUP([jobnumber],OvalData[],MATCH(Table2[[#Headers],[Outer Spring Stretch]],Table2[#Headers],0),0)</f>
        <v>Null</v>
      </c>
      <c r="BA618" s="2" t="str">
        <f>VLOOKUP([jobnumber],OvalData[],MATCH(Table2[[#Headers],[Outer Spring Torque]],Table2[#Headers],0),0)</f>
        <v>Null</v>
      </c>
      <c r="BB618" s="2" t="str">
        <f>VLOOKUP([jobnumber],OvalData[],MATCH(Table2[[#Headers],[Outer Spring Max Turns]],Table2[#Headers],0),0)</f>
        <v>Null</v>
      </c>
      <c r="BC618" s="2" t="str">
        <f>VLOOKUP([jobnumber],OvalData[],MATCH(Table2[[#Headers],[Outer Spring Weight]],Table2[#Headers],0),0)</f>
        <v>Null</v>
      </c>
      <c r="BD618" s="2" t="str">
        <f>VLOOKUP([jobnumber],OvalData[],MATCH(Table2[[#Headers],[Inner Spring Gage]],Table2[#Headers],0),0)</f>
        <v>Null</v>
      </c>
      <c r="BE618" s="2" t="str">
        <f>VLOOKUP([jobnumber],OvalData[],MATCH(Table2[[#Headers],[Inner Spring OD]],Table2[#Headers],0),0)</f>
        <v>Null</v>
      </c>
      <c r="BF618" s="2" t="str">
        <f>VLOOKUP([jobnumber],OvalData[],MATCH(Table2[[#Headers],[Inner Spring Length]],Table2[#Headers],0),0)</f>
        <v>Null</v>
      </c>
      <c r="BG618" s="2" t="str">
        <f>VLOOKUP([jobnumber],OvalData[],MATCH(Table2[[#Headers],[Inner Spring Stretch]],Table2[#Headers],0),0)</f>
        <v>Null</v>
      </c>
      <c r="BH618" s="2" t="str">
        <f>VLOOKUP([jobnumber],OvalData[],MATCH(Table2[[#Headers],[Inner Spring Torque]],Table2[#Headers],0),0)</f>
        <v>Null</v>
      </c>
      <c r="BI618" s="2" t="str">
        <f>VLOOKUP([jobnumber],OvalData[],MATCH(Table2[[#Headers],[Inner Spring Max Turns]],Table2[#Headers],0),0)</f>
        <v>Null</v>
      </c>
      <c r="BJ618" s="2" t="str">
        <f>VLOOKUP([jobnumber],OvalData[],MATCH(Table2[[#Headers],[Inner Spring Weight]],Table2[#Headers],0),0)</f>
        <v>Null</v>
      </c>
      <c r="BK618" s="2">
        <f>VLOOKUP([jobnumber],OvalData[],MATCH(Table2[[#Headers],[Cycles]],Table2[#Headers],0),0)</f>
        <v>0</v>
      </c>
      <c r="BL618" s="2">
        <f>VLOOKUP([jobnumber],OvalData[],MATCH(Table2[[#Headers],[Total Spring Torque]],Table2[#Headers],0),0)</f>
        <v>0</v>
      </c>
      <c r="BM618" s="2">
        <f>VLOOKUP([jobnumber],OvalData[],MATCH(Table2[[#Headers],[Total Spring Weight]],Table2[#Headers],0),0)</f>
        <v>0</v>
      </c>
      <c r="BN618" s="2">
        <f>VLOOKUP([jobnumber],OvalData[],MATCH(Table2[[#Headers],[Pipe Weight]],Table2[#Headers],0),0)</f>
        <v>688.24239999999998</v>
      </c>
      <c r="BO618" s="2">
        <f>VLOOKUP([jobnumber],OvalData[],MATCH(Table2[[#Headers],[Max Pipe Deflection]],Table2[#Headers],0),0)</f>
        <v>2309</v>
      </c>
      <c r="BP618" s="2">
        <f>VLOOKUP([jobnumber],OvalData[],MATCH(Table2[[#Headers],[Number Non-Insulated Wrap Slats]],Table2[#Headers],0),0)</f>
        <v>0</v>
      </c>
      <c r="BQ618" s="2">
        <f>VLOOKUP([jobnumber],OvalData[],MATCH(Table2[[#Headers],[Number of Insolated Top Slats]],Table2[#Headers],0),0)</f>
        <v>45</v>
      </c>
      <c r="BR618" s="2">
        <f>VLOOKUP([jobnumber],OvalData[],MATCH(Table2[[#Headers],[Insolated Total Slats]],Table2[#Headers],0),0)</f>
        <v>45</v>
      </c>
      <c r="BS618" s="2">
        <f>VLOOKUP([jobnumber],OvalData[],MATCH(Table2[[#Headers],[Number of Slats]],Table2[#Headers],0),0)</f>
        <v>44.69</v>
      </c>
      <c r="BT618" s="2">
        <f>VLOOKUP([jobnumber],OvalData[],MATCH(Table2[[#Headers],[Wrap]],Table2[#Headers],0),0)</f>
        <v>0</v>
      </c>
      <c r="BU618" s="2">
        <f>VLOOKUP([jobnumber],OvalData[],MATCH(Table2[[#Headers],[Wall Angle Thickness]],Table2[#Headers],0),0)</f>
        <v>0</v>
      </c>
      <c r="BV618" s="2">
        <f>VLOOKUP([jobnumber],OvalData[],MATCH(Table2[[#Headers],[windlocks]],Table2[#Headers],0),0)</f>
        <v>0</v>
      </c>
      <c r="BW618" s="2" t="str">
        <f>VLOOKUP([jobnumber],OvalData[],MATCH(Table2[[#Headers],[bottombartype]],Table2[#Headers],0),0)</f>
        <v>SPECIAL</v>
      </c>
      <c r="BX618" s="2">
        <f>VLOOKUP([jobnumber],OvalData[],MATCH(Table2[[#Headers],[endlockweight]],Table2[#Headers],0),0)</f>
        <v>0.17</v>
      </c>
      <c r="BY618" s="2">
        <f>VLOOKUP([jobnumber],OvalData[],MATCH(Table2[[#Headers],[Endlock Total Weight]],Table2[#Headers],0),0)</f>
        <v>7.5972999999999997</v>
      </c>
      <c r="BZ618" s="2">
        <f>VLOOKUP([jobnumber],OvalData[],MATCH(Table2[[#Headers],[Grille Weight]],Table2[#Headers],0),0)</f>
        <v>0</v>
      </c>
      <c r="CA618" s="2">
        <f>VLOOKUP([jobnumber],OvalData[],MATCH(Table2[[#Headers],[barrelrings]],Table2[#Headers],0),0)</f>
        <v>1</v>
      </c>
    </row>
    <row r="619" spans="2:79">
      <c r="B619" s="2" t="str">
        <f>VLOOKUP([jobnumber],OvalData[],MATCH(Table2[[#Headers],[Hand]],Table2[#Headers],0),0)</f>
        <v>RH</v>
      </c>
      <c r="C619" s="2" t="str">
        <f>VLOOKUP([jobnumber],OvalData[],MATCH(Table2[[#Headers],[Model]],Table2[#Headers],0),0)</f>
        <v>SFMPP</v>
      </c>
      <c r="D619" s="2" t="str">
        <f>VLOOKUP([jobnumber],OvalData[],MATCH(Table2[[#Headers],[width]],Table2[#Headers],0),0)</f>
        <v xml:space="preserve"> 18 ft.- 2"</v>
      </c>
      <c r="E619" s="2" t="str">
        <f>VLOOKUP([jobnumber],OvalData[],MATCH(Table2[[#Headers],[stopheight]],Table2[#Headers],0),0)</f>
        <v xml:space="preserve"> 10 ft.- 0"</v>
      </c>
      <c r="F619" s="2" t="str">
        <f>VLOOKUP([jobnumber],OvalData[],MATCH(Table2[[#Headers],[Between Brackets]],Table2[#Headers],0),0)</f>
        <v xml:space="preserve"> 18 ft.- 7 7/ 8"</v>
      </c>
      <c r="G619" s="2" t="str">
        <f>VLOOKUP([jobnumber],OvalData[],MATCH(Table2[[#Headers],[shell]],Table2[#Headers],0),0)</f>
        <v>6 INCH TUBE</v>
      </c>
      <c r="H619" s="2" t="str">
        <f>VLOOKUP([jobnumber],OvalData[],MATCH(Table2[[#Headers],[pipewidth]],Table2[#Headers],0),0)</f>
        <v xml:space="preserve"> 18 ft.- 1 3/ 8"</v>
      </c>
      <c r="I619" s="2">
        <f>VLOOKUP([jobnumber],OvalData[],MATCH(Table2[[#Headers],[Support Tubes]],Table2[#Headers],0),0)</f>
        <v>0</v>
      </c>
      <c r="J619" s="2">
        <f>VLOOKUP([jobnumber],OvalData[],MATCH(Table2[[#Headers],[Upset]],Table2[#Headers],0),0)</f>
        <v>2</v>
      </c>
      <c r="K619" s="2" t="str">
        <f>VLOOKUP([jobnumber],OvalData[],MATCH(Table2[[#Headers],[Guide Type]],Table2[#Headers],0),0)</f>
        <v>SN2-4 5/8-E</v>
      </c>
      <c r="L619" s="2" t="str">
        <f>VLOOKUP([jobnumber],OvalData[],MATCH(Table2[[#Headers],[Wall Angle]],Table2[#Headers],0),0)</f>
        <v xml:space="preserve"> 11 ft.- 8"</v>
      </c>
      <c r="M619" s="2" t="str">
        <f>VLOOKUP([jobnumber],OvalData[],MATCH(Table2[[#Headers],[Middle Angle]],Table2[#Headers],0),0)</f>
        <v xml:space="preserve"> 10 ft.- 4 1/ 2"</v>
      </c>
      <c r="N619" s="2" t="str">
        <f>VLOOKUP([jobnumber],OvalData[],MATCH(Table2[[#Headers],[Front Angle]],Table2[#Headers],0),0)</f>
        <v xml:space="preserve"> 10 ft.- 3"</v>
      </c>
      <c r="O619" s="2">
        <f>VLOOKUP([jobnumber],OvalData[],MATCH(Table2[[#Headers],[Pipe Center Line]],Table2[#Headers],0),0)</f>
        <v>131</v>
      </c>
      <c r="P619" s="2">
        <f>VLOOKUP([jobnumber],OvalData[],MATCH(Table2[[#Headers],[Heat Expansion Gap]],Table2[#Headers],0),0)</f>
        <v>0</v>
      </c>
      <c r="Q619" s="2">
        <f>VLOOKUP([jobnumber],OvalData[],MATCH(Table2[[#Headers],[Hanging Weight Closed]],Table2[#Headers],0),0)</f>
        <v>795</v>
      </c>
      <c r="R619" s="2">
        <f>VLOOKUP([jobnumber],OvalData[],MATCH(Table2[[#Headers],[Hanging Weight Open]],Table2[#Headers],0),0)</f>
        <v>140</v>
      </c>
      <c r="S619" s="2">
        <f>VLOOKUP([jobnumber],OvalData[],MATCH(Table2[[#Headers],[Initial Lever Arm]],Table2[#Headers],0),0)</f>
        <v>4.25</v>
      </c>
      <c r="T619" s="2">
        <f>VLOOKUP([jobnumber],OvalData[],MATCH(Table2[[#Headers],[Turns to Raise]],Table2[#Headers],0),0)</f>
        <v>3.5859999999999999</v>
      </c>
      <c r="U619" s="2">
        <f>VLOOKUP([jobnumber],OvalData[],MATCH(Table2[[#Headers],[Final Lever Arm]],Table2[#Headers],0),0)</f>
        <v>6.37</v>
      </c>
      <c r="V619" s="2">
        <f>VLOOKUP([jobnumber],OvalData[],MATCH(Table2[[#Headers],[Torque Required Closed]],Table2[#Headers],0),0)</f>
        <v>3377.9</v>
      </c>
      <c r="W619" s="2">
        <f>VLOOKUP([jobnumber],OvalData[],MATCH(Table2[[#Headers],[Torque Required Open]],Table2[#Headers],0),0)</f>
        <v>892</v>
      </c>
      <c r="X619" s="2">
        <f>VLOOKUP([jobnumber],OvalData[],MATCH(Table2[[#Headers],[Pre Turns]],Table2[#Headers],0),0)</f>
        <v>1.3332999999999999</v>
      </c>
      <c r="Y619" s="2">
        <f>VLOOKUP([jobnumber],OvalData[],MATCH(Table2[[#Headers],[Required Torque Per Turn]],Table2[#Headers],0),0)</f>
        <v>688</v>
      </c>
      <c r="Z619" s="2">
        <f>VLOOKUP([jobnumber],OvalData[],MATCH(Table2[[#Headers],[Total Turns]],Table2[#Headers],0),0)</f>
        <v>4.91</v>
      </c>
      <c r="AA619" s="2">
        <f>VLOOKUP([jobnumber],OvalData[],MATCH(Table2[[#Headers],[Grille Vision Section]],Table2[#Headers],0),0)</f>
        <v>0</v>
      </c>
      <c r="AB619" s="2">
        <f>VLOOKUP([jobnumber],OvalData[],MATCH(Table2[[#Headers],[Grille Amount]],Table2[#Headers],0),0)</f>
        <v>0</v>
      </c>
      <c r="AC619" s="2">
        <f>VLOOKUP([jobnumber],OvalData[],MATCH(Table2[[#Headers],[Grille Center]],Table2[#Headers],0),0)</f>
        <v>0</v>
      </c>
      <c r="AD619" s="2">
        <f>VLOOKUP([jobnumber],OvalData[],MATCH(Table2[[#Headers],[Grille Pattern]],Table2[#Headers],0),0)</f>
        <v>0</v>
      </c>
      <c r="AE619" s="2">
        <f>VLOOKUP([jobnumber],OvalData[],MATCH(Table2[[#Headers],[Grille First Tube]],Table2[#Headers],0),0)</f>
        <v>0</v>
      </c>
      <c r="AF619" s="2">
        <f>VLOOKUP([jobnumber],OvalData[],MATCH(Table2[[#Headers],[Grille Standard Tube]],Table2[#Headers],0),0)</f>
        <v>0</v>
      </c>
      <c r="AG619" s="2">
        <f>VLOOKUP([jobnumber],OvalData[],MATCH(Table2[[#Headers],[Grille Total Links]],Table2[#Headers],0),0)</f>
        <v>0</v>
      </c>
      <c r="AH619" s="2">
        <f>VLOOKUP([jobnumber],OvalData[],MATCH(Table2[[#Headers],[Grille Rods]],Table2[#Headers],0),0)</f>
        <v>0</v>
      </c>
      <c r="AI619" s="2">
        <f>VLOOKUP([jobnumber],OvalData[],MATCH(Table2[[#Headers],[Grille Rod Length]],Table2[#Headers],0),0)</f>
        <v>0</v>
      </c>
      <c r="AJ619" s="2">
        <f>VLOOKUP([jobnumber],OvalData[],MATCH(Table2[[#Headers],[slattype]],Table2[#Headers],0),0)</f>
        <v>2</v>
      </c>
      <c r="AK619" s="2">
        <f>VLOOKUP([jobnumber],OvalData[],MATCH(Table2[[#Headers],[slatgage]],Table2[#Headers],0),0)</f>
        <v>18</v>
      </c>
      <c r="AL619" s="2">
        <f>VLOOKUP([jobnumber],OvalData[],MATCH(Table2[[#Headers],[Numer of Top Slats]],Table2[#Headers],0),0)</f>
        <v>0</v>
      </c>
      <c r="AM619" s="2">
        <f>VLOOKUP([jobnumber],OvalData[],MATCH(Table2[[#Headers],[Number of Bottom Slats]],Table2[#Headers],0),0)</f>
        <v>0</v>
      </c>
      <c r="AN619" s="2">
        <f>VLOOKUP([jobnumber],OvalData[],MATCH(Table2[[#Headers],[Solid Bottom Height]],Table2[#Headers],0),0)</f>
        <v>0</v>
      </c>
      <c r="AO619" s="2" t="str">
        <f>VLOOKUP([jobnumber],OvalData[],MATCH(Table2[[#Headers],[slatlength]],Table2[#Headers],0),0)</f>
        <v xml:space="preserve"> 18 ft.- 5 7/ 8"</v>
      </c>
      <c r="AP619" s="2">
        <f>VLOOKUP([jobnumber],OvalData[],MATCH(Table2[[#Headers],[Bottom Slat Length]],Table2[#Headers],0),0)</f>
        <v>0</v>
      </c>
      <c r="AQ619" s="2">
        <f>VLOOKUP([jobnumber],OvalData[],MATCH(Table2[[#Headers],[Number of Perferated Slats]],Table2[#Headers],0),0)</f>
        <v>0</v>
      </c>
      <c r="AR619" s="2">
        <f>VLOOKUP([jobnumber],OvalData[],MATCH(Table2[[#Headers],[First Preferated Slat From End]],Table2[#Headers],0),0)</f>
        <v>0</v>
      </c>
      <c r="AS619" s="2">
        <f>VLOOKUP([jobnumber],OvalData[],MATCH(Table2[[#Headers],[First Preferated Slat From Bottom]],Table2[#Headers],0),0)</f>
        <v>0</v>
      </c>
      <c r="AT619" s="2">
        <f>VLOOKUP([jobnumber],OvalData[],MATCH(Table2[[#Headers],[Total Number of Slats]],Table2[#Headers],0),0)</f>
        <v>51</v>
      </c>
      <c r="AU619" s="2">
        <f>VLOOKUP([jobnumber],OvalData[],MATCH(Table2[[#Headers],[Bottom Bar Slope]],Table2[#Headers],0),0)</f>
        <v>0</v>
      </c>
      <c r="AV619" s="2">
        <f>VLOOKUP([jobnumber],OvalData[],MATCH(Table2[[#Headers],[Bottom Bar Weight]],Table2[#Headers],0),0)</f>
        <v>80.5</v>
      </c>
      <c r="AW619" s="2" t="str">
        <f>VLOOKUP([jobnumber],OvalData[],MATCH(Table2[[#Headers],[Outer Spring Gage]],Table2[#Headers],0),0)</f>
        <v>Null</v>
      </c>
      <c r="AX619" s="2" t="str">
        <f>VLOOKUP([jobnumber],OvalData[],MATCH(Table2[[#Headers],[Outer Spring OD]],Table2[#Headers],0),0)</f>
        <v>Null</v>
      </c>
      <c r="AY619" s="2" t="str">
        <f>VLOOKUP([jobnumber],OvalData[],MATCH(Table2[[#Headers],[Outer Spring Length]],Table2[#Headers],0),0)</f>
        <v>Null</v>
      </c>
      <c r="AZ619" s="2" t="str">
        <f>VLOOKUP([jobnumber],OvalData[],MATCH(Table2[[#Headers],[Outer Spring Stretch]],Table2[#Headers],0),0)</f>
        <v>Null</v>
      </c>
      <c r="BA619" s="2" t="str">
        <f>VLOOKUP([jobnumber],OvalData[],MATCH(Table2[[#Headers],[Outer Spring Torque]],Table2[#Headers],0),0)</f>
        <v>Null</v>
      </c>
      <c r="BB619" s="2" t="str">
        <f>VLOOKUP([jobnumber],OvalData[],MATCH(Table2[[#Headers],[Outer Spring Max Turns]],Table2[#Headers],0),0)</f>
        <v>Null</v>
      </c>
      <c r="BC619" s="2" t="str">
        <f>VLOOKUP([jobnumber],OvalData[],MATCH(Table2[[#Headers],[Outer Spring Weight]],Table2[#Headers],0),0)</f>
        <v>Null</v>
      </c>
      <c r="BD619" s="2" t="str">
        <f>VLOOKUP([jobnumber],OvalData[],MATCH(Table2[[#Headers],[Inner Spring Gage]],Table2[#Headers],0),0)</f>
        <v>Null</v>
      </c>
      <c r="BE619" s="2" t="str">
        <f>VLOOKUP([jobnumber],OvalData[],MATCH(Table2[[#Headers],[Inner Spring OD]],Table2[#Headers],0),0)</f>
        <v>Null</v>
      </c>
      <c r="BF619" s="2" t="str">
        <f>VLOOKUP([jobnumber],OvalData[],MATCH(Table2[[#Headers],[Inner Spring Length]],Table2[#Headers],0),0)</f>
        <v>Null</v>
      </c>
      <c r="BG619" s="2" t="str">
        <f>VLOOKUP([jobnumber],OvalData[],MATCH(Table2[[#Headers],[Inner Spring Stretch]],Table2[#Headers],0),0)</f>
        <v>Null</v>
      </c>
      <c r="BH619" s="2" t="str">
        <f>VLOOKUP([jobnumber],OvalData[],MATCH(Table2[[#Headers],[Inner Spring Torque]],Table2[#Headers],0),0)</f>
        <v>Null</v>
      </c>
      <c r="BI619" s="2" t="str">
        <f>VLOOKUP([jobnumber],OvalData[],MATCH(Table2[[#Headers],[Inner Spring Max Turns]],Table2[#Headers],0),0)</f>
        <v>Null</v>
      </c>
      <c r="BJ619" s="2" t="str">
        <f>VLOOKUP([jobnumber],OvalData[],MATCH(Table2[[#Headers],[Inner Spring Weight]],Table2[#Headers],0),0)</f>
        <v>Null</v>
      </c>
      <c r="BK619" s="2">
        <f>VLOOKUP([jobnumber],OvalData[],MATCH(Table2[[#Headers],[Cycles]],Table2[#Headers],0),0)</f>
        <v>0</v>
      </c>
      <c r="BL619" s="2">
        <f>VLOOKUP([jobnumber],OvalData[],MATCH(Table2[[#Headers],[Total Spring Torque]],Table2[#Headers],0),0)</f>
        <v>0</v>
      </c>
      <c r="BM619" s="2">
        <f>VLOOKUP([jobnumber],OvalData[],MATCH(Table2[[#Headers],[Total Spring Weight]],Table2[#Headers],0),0)</f>
        <v>0</v>
      </c>
      <c r="BN619" s="2">
        <f>VLOOKUP([jobnumber],OvalData[],MATCH(Table2[[#Headers],[Pipe Weight]],Table2[#Headers],0),0)</f>
        <v>688.24239999999998</v>
      </c>
      <c r="BO619" s="2">
        <f>VLOOKUP([jobnumber],OvalData[],MATCH(Table2[[#Headers],[Max Pipe Deflection]],Table2[#Headers],0),0)</f>
        <v>2309</v>
      </c>
      <c r="BP619" s="2">
        <f>VLOOKUP([jobnumber],OvalData[],MATCH(Table2[[#Headers],[Number Non-Insulated Wrap Slats]],Table2[#Headers],0),0)</f>
        <v>0</v>
      </c>
      <c r="BQ619" s="2">
        <f>VLOOKUP([jobnumber],OvalData[],MATCH(Table2[[#Headers],[Number of Insolated Top Slats]],Table2[#Headers],0),0)</f>
        <v>45</v>
      </c>
      <c r="BR619" s="2">
        <f>VLOOKUP([jobnumber],OvalData[],MATCH(Table2[[#Headers],[Insolated Total Slats]],Table2[#Headers],0),0)</f>
        <v>45</v>
      </c>
      <c r="BS619" s="2">
        <f>VLOOKUP([jobnumber],OvalData[],MATCH(Table2[[#Headers],[Number of Slats]],Table2[#Headers],0),0)</f>
        <v>44.69</v>
      </c>
      <c r="BT619" s="2">
        <f>VLOOKUP([jobnumber],OvalData[],MATCH(Table2[[#Headers],[Wrap]],Table2[#Headers],0),0)</f>
        <v>0</v>
      </c>
      <c r="BU619" s="2">
        <f>VLOOKUP([jobnumber],OvalData[],MATCH(Table2[[#Headers],[Wall Angle Thickness]],Table2[#Headers],0),0)</f>
        <v>0</v>
      </c>
      <c r="BV619" s="2">
        <f>VLOOKUP([jobnumber],OvalData[],MATCH(Table2[[#Headers],[windlocks]],Table2[#Headers],0),0)</f>
        <v>0</v>
      </c>
      <c r="BW619" s="2" t="str">
        <f>VLOOKUP([jobnumber],OvalData[],MATCH(Table2[[#Headers],[bottombartype]],Table2[#Headers],0),0)</f>
        <v>SPECIAL</v>
      </c>
      <c r="BX619" s="2">
        <f>VLOOKUP([jobnumber],OvalData[],MATCH(Table2[[#Headers],[endlockweight]],Table2[#Headers],0),0)</f>
        <v>0.17</v>
      </c>
      <c r="BY619" s="2">
        <f>VLOOKUP([jobnumber],OvalData[],MATCH(Table2[[#Headers],[Endlock Total Weight]],Table2[#Headers],0),0)</f>
        <v>7.5972999999999997</v>
      </c>
      <c r="BZ619" s="2">
        <f>VLOOKUP([jobnumber],OvalData[],MATCH(Table2[[#Headers],[Grille Weight]],Table2[#Headers],0),0)</f>
        <v>0</v>
      </c>
      <c r="CA619" s="2">
        <f>VLOOKUP([jobnumber],OvalData[],MATCH(Table2[[#Headers],[barrelrings]],Table2[#Headers],0),0)</f>
        <v>1</v>
      </c>
    </row>
    <row r="620" spans="2:79">
      <c r="B620" s="2" t="str">
        <f>VLOOKUP([jobnumber],OvalData[],MATCH(Table2[[#Headers],[Hand]],Table2[#Headers],0),0)</f>
        <v>RH</v>
      </c>
      <c r="C620" s="2" t="str">
        <f>VLOOKUP([jobnumber],OvalData[],MATCH(Table2[[#Headers],[Model]],Table2[#Headers],0),0)</f>
        <v>SFMPP</v>
      </c>
      <c r="D620" s="2" t="str">
        <f>VLOOKUP([jobnumber],OvalData[],MATCH(Table2[[#Headers],[width]],Table2[#Headers],0),0)</f>
        <v xml:space="preserve"> 18 ft.- 2"</v>
      </c>
      <c r="E620" s="2" t="str">
        <f>VLOOKUP([jobnumber],OvalData[],MATCH(Table2[[#Headers],[stopheight]],Table2[#Headers],0),0)</f>
        <v xml:space="preserve"> 10 ft.- 0"</v>
      </c>
      <c r="F620" s="2" t="str">
        <f>VLOOKUP([jobnumber],OvalData[],MATCH(Table2[[#Headers],[Between Brackets]],Table2[#Headers],0),0)</f>
        <v xml:space="preserve"> 18 ft.- 7 7/ 8"</v>
      </c>
      <c r="G620" s="2" t="str">
        <f>VLOOKUP([jobnumber],OvalData[],MATCH(Table2[[#Headers],[shell]],Table2[#Headers],0),0)</f>
        <v>6 INCH TUBE</v>
      </c>
      <c r="H620" s="2" t="str">
        <f>VLOOKUP([jobnumber],OvalData[],MATCH(Table2[[#Headers],[pipewidth]],Table2[#Headers],0),0)</f>
        <v xml:space="preserve"> 18 ft.- 1 3/ 8"</v>
      </c>
      <c r="I620" s="2">
        <f>VLOOKUP([jobnumber],OvalData[],MATCH(Table2[[#Headers],[Support Tubes]],Table2[#Headers],0),0)</f>
        <v>0</v>
      </c>
      <c r="J620" s="2">
        <f>VLOOKUP([jobnumber],OvalData[],MATCH(Table2[[#Headers],[Upset]],Table2[#Headers],0),0)</f>
        <v>2</v>
      </c>
      <c r="K620" s="2" t="str">
        <f>VLOOKUP([jobnumber],OvalData[],MATCH(Table2[[#Headers],[Guide Type]],Table2[#Headers],0),0)</f>
        <v>SN2-4 5/8-E</v>
      </c>
      <c r="L620" s="2" t="str">
        <f>VLOOKUP([jobnumber],OvalData[],MATCH(Table2[[#Headers],[Wall Angle]],Table2[#Headers],0),0)</f>
        <v xml:space="preserve"> 11 ft.- 8"</v>
      </c>
      <c r="M620" s="2" t="str">
        <f>VLOOKUP([jobnumber],OvalData[],MATCH(Table2[[#Headers],[Middle Angle]],Table2[#Headers],0),0)</f>
        <v xml:space="preserve"> 10 ft.- 4 1/ 2"</v>
      </c>
      <c r="N620" s="2" t="str">
        <f>VLOOKUP([jobnumber],OvalData[],MATCH(Table2[[#Headers],[Front Angle]],Table2[#Headers],0),0)</f>
        <v xml:space="preserve"> 10 ft.- 3"</v>
      </c>
      <c r="O620" s="2">
        <f>VLOOKUP([jobnumber],OvalData[],MATCH(Table2[[#Headers],[Pipe Center Line]],Table2[#Headers],0),0)</f>
        <v>131</v>
      </c>
      <c r="P620" s="2">
        <f>VLOOKUP([jobnumber],OvalData[],MATCH(Table2[[#Headers],[Heat Expansion Gap]],Table2[#Headers],0),0)</f>
        <v>0</v>
      </c>
      <c r="Q620" s="2">
        <f>VLOOKUP([jobnumber],OvalData[],MATCH(Table2[[#Headers],[Hanging Weight Closed]],Table2[#Headers],0),0)</f>
        <v>795</v>
      </c>
      <c r="R620" s="2">
        <f>VLOOKUP([jobnumber],OvalData[],MATCH(Table2[[#Headers],[Hanging Weight Open]],Table2[#Headers],0),0)</f>
        <v>140</v>
      </c>
      <c r="S620" s="2">
        <f>VLOOKUP([jobnumber],OvalData[],MATCH(Table2[[#Headers],[Initial Lever Arm]],Table2[#Headers],0),0)</f>
        <v>4.25</v>
      </c>
      <c r="T620" s="2">
        <f>VLOOKUP([jobnumber],OvalData[],MATCH(Table2[[#Headers],[Turns to Raise]],Table2[#Headers],0),0)</f>
        <v>3.5859999999999999</v>
      </c>
      <c r="U620" s="2">
        <f>VLOOKUP([jobnumber],OvalData[],MATCH(Table2[[#Headers],[Final Lever Arm]],Table2[#Headers],0),0)</f>
        <v>6.37</v>
      </c>
      <c r="V620" s="2">
        <f>VLOOKUP([jobnumber],OvalData[],MATCH(Table2[[#Headers],[Torque Required Closed]],Table2[#Headers],0),0)</f>
        <v>3377.9</v>
      </c>
      <c r="W620" s="2">
        <f>VLOOKUP([jobnumber],OvalData[],MATCH(Table2[[#Headers],[Torque Required Open]],Table2[#Headers],0),0)</f>
        <v>892</v>
      </c>
      <c r="X620" s="2">
        <f>VLOOKUP([jobnumber],OvalData[],MATCH(Table2[[#Headers],[Pre Turns]],Table2[#Headers],0),0)</f>
        <v>1.3332999999999999</v>
      </c>
      <c r="Y620" s="2">
        <f>VLOOKUP([jobnumber],OvalData[],MATCH(Table2[[#Headers],[Required Torque Per Turn]],Table2[#Headers],0),0)</f>
        <v>688</v>
      </c>
      <c r="Z620" s="2">
        <f>VLOOKUP([jobnumber],OvalData[],MATCH(Table2[[#Headers],[Total Turns]],Table2[#Headers],0),0)</f>
        <v>4.91</v>
      </c>
      <c r="AA620" s="2">
        <f>VLOOKUP([jobnumber],OvalData[],MATCH(Table2[[#Headers],[Grille Vision Section]],Table2[#Headers],0),0)</f>
        <v>0</v>
      </c>
      <c r="AB620" s="2">
        <f>VLOOKUP([jobnumber],OvalData[],MATCH(Table2[[#Headers],[Grille Amount]],Table2[#Headers],0),0)</f>
        <v>0</v>
      </c>
      <c r="AC620" s="2">
        <f>VLOOKUP([jobnumber],OvalData[],MATCH(Table2[[#Headers],[Grille Center]],Table2[#Headers],0),0)</f>
        <v>0</v>
      </c>
      <c r="AD620" s="2">
        <f>VLOOKUP([jobnumber],OvalData[],MATCH(Table2[[#Headers],[Grille Pattern]],Table2[#Headers],0),0)</f>
        <v>0</v>
      </c>
      <c r="AE620" s="2">
        <f>VLOOKUP([jobnumber],OvalData[],MATCH(Table2[[#Headers],[Grille First Tube]],Table2[#Headers],0),0)</f>
        <v>0</v>
      </c>
      <c r="AF620" s="2">
        <f>VLOOKUP([jobnumber],OvalData[],MATCH(Table2[[#Headers],[Grille Standard Tube]],Table2[#Headers],0),0)</f>
        <v>0</v>
      </c>
      <c r="AG620" s="2">
        <f>VLOOKUP([jobnumber],OvalData[],MATCH(Table2[[#Headers],[Grille Total Links]],Table2[#Headers],0),0)</f>
        <v>0</v>
      </c>
      <c r="AH620" s="2">
        <f>VLOOKUP([jobnumber],OvalData[],MATCH(Table2[[#Headers],[Grille Rods]],Table2[#Headers],0),0)</f>
        <v>0</v>
      </c>
      <c r="AI620" s="2">
        <f>VLOOKUP([jobnumber],OvalData[],MATCH(Table2[[#Headers],[Grille Rod Length]],Table2[#Headers],0),0)</f>
        <v>0</v>
      </c>
      <c r="AJ620" s="2">
        <f>VLOOKUP([jobnumber],OvalData[],MATCH(Table2[[#Headers],[slattype]],Table2[#Headers],0),0)</f>
        <v>2</v>
      </c>
      <c r="AK620" s="2">
        <f>VLOOKUP([jobnumber],OvalData[],MATCH(Table2[[#Headers],[slatgage]],Table2[#Headers],0),0)</f>
        <v>18</v>
      </c>
      <c r="AL620" s="2">
        <f>VLOOKUP([jobnumber],OvalData[],MATCH(Table2[[#Headers],[Numer of Top Slats]],Table2[#Headers],0),0)</f>
        <v>0</v>
      </c>
      <c r="AM620" s="2">
        <f>VLOOKUP([jobnumber],OvalData[],MATCH(Table2[[#Headers],[Number of Bottom Slats]],Table2[#Headers],0),0)</f>
        <v>0</v>
      </c>
      <c r="AN620" s="2">
        <f>VLOOKUP([jobnumber],OvalData[],MATCH(Table2[[#Headers],[Solid Bottom Height]],Table2[#Headers],0),0)</f>
        <v>0</v>
      </c>
      <c r="AO620" s="2" t="str">
        <f>VLOOKUP([jobnumber],OvalData[],MATCH(Table2[[#Headers],[slatlength]],Table2[#Headers],0),0)</f>
        <v xml:space="preserve"> 18 ft.- 5 7/ 8"</v>
      </c>
      <c r="AP620" s="2">
        <f>VLOOKUP([jobnumber],OvalData[],MATCH(Table2[[#Headers],[Bottom Slat Length]],Table2[#Headers],0),0)</f>
        <v>0</v>
      </c>
      <c r="AQ620" s="2">
        <f>VLOOKUP([jobnumber],OvalData[],MATCH(Table2[[#Headers],[Number of Perferated Slats]],Table2[#Headers],0),0)</f>
        <v>0</v>
      </c>
      <c r="AR620" s="2">
        <f>VLOOKUP([jobnumber],OvalData[],MATCH(Table2[[#Headers],[First Preferated Slat From End]],Table2[#Headers],0),0)</f>
        <v>0</v>
      </c>
      <c r="AS620" s="2">
        <f>VLOOKUP([jobnumber],OvalData[],MATCH(Table2[[#Headers],[First Preferated Slat From Bottom]],Table2[#Headers],0),0)</f>
        <v>0</v>
      </c>
      <c r="AT620" s="2">
        <f>VLOOKUP([jobnumber],OvalData[],MATCH(Table2[[#Headers],[Total Number of Slats]],Table2[#Headers],0),0)</f>
        <v>51</v>
      </c>
      <c r="AU620" s="2">
        <f>VLOOKUP([jobnumber],OvalData[],MATCH(Table2[[#Headers],[Bottom Bar Slope]],Table2[#Headers],0),0)</f>
        <v>0</v>
      </c>
      <c r="AV620" s="2">
        <f>VLOOKUP([jobnumber],OvalData[],MATCH(Table2[[#Headers],[Bottom Bar Weight]],Table2[#Headers],0),0)</f>
        <v>80.5</v>
      </c>
      <c r="AW620" s="2" t="str">
        <f>VLOOKUP([jobnumber],OvalData[],MATCH(Table2[[#Headers],[Outer Spring Gage]],Table2[#Headers],0),0)</f>
        <v>Null</v>
      </c>
      <c r="AX620" s="2" t="str">
        <f>VLOOKUP([jobnumber],OvalData[],MATCH(Table2[[#Headers],[Outer Spring OD]],Table2[#Headers],0),0)</f>
        <v>Null</v>
      </c>
      <c r="AY620" s="2" t="str">
        <f>VLOOKUP([jobnumber],OvalData[],MATCH(Table2[[#Headers],[Outer Spring Length]],Table2[#Headers],0),0)</f>
        <v>Null</v>
      </c>
      <c r="AZ620" s="2" t="str">
        <f>VLOOKUP([jobnumber],OvalData[],MATCH(Table2[[#Headers],[Outer Spring Stretch]],Table2[#Headers],0),0)</f>
        <v>Null</v>
      </c>
      <c r="BA620" s="2" t="str">
        <f>VLOOKUP([jobnumber],OvalData[],MATCH(Table2[[#Headers],[Outer Spring Torque]],Table2[#Headers],0),0)</f>
        <v>Null</v>
      </c>
      <c r="BB620" s="2" t="str">
        <f>VLOOKUP([jobnumber],OvalData[],MATCH(Table2[[#Headers],[Outer Spring Max Turns]],Table2[#Headers],0),0)</f>
        <v>Null</v>
      </c>
      <c r="BC620" s="2" t="str">
        <f>VLOOKUP([jobnumber],OvalData[],MATCH(Table2[[#Headers],[Outer Spring Weight]],Table2[#Headers],0),0)</f>
        <v>Null</v>
      </c>
      <c r="BD620" s="2" t="str">
        <f>VLOOKUP([jobnumber],OvalData[],MATCH(Table2[[#Headers],[Inner Spring Gage]],Table2[#Headers],0),0)</f>
        <v>Null</v>
      </c>
      <c r="BE620" s="2" t="str">
        <f>VLOOKUP([jobnumber],OvalData[],MATCH(Table2[[#Headers],[Inner Spring OD]],Table2[#Headers],0),0)</f>
        <v>Null</v>
      </c>
      <c r="BF620" s="2" t="str">
        <f>VLOOKUP([jobnumber],OvalData[],MATCH(Table2[[#Headers],[Inner Spring Length]],Table2[#Headers],0),0)</f>
        <v>Null</v>
      </c>
      <c r="BG620" s="2" t="str">
        <f>VLOOKUP([jobnumber],OvalData[],MATCH(Table2[[#Headers],[Inner Spring Stretch]],Table2[#Headers],0),0)</f>
        <v>Null</v>
      </c>
      <c r="BH620" s="2" t="str">
        <f>VLOOKUP([jobnumber],OvalData[],MATCH(Table2[[#Headers],[Inner Spring Torque]],Table2[#Headers],0),0)</f>
        <v>Null</v>
      </c>
      <c r="BI620" s="2" t="str">
        <f>VLOOKUP([jobnumber],OvalData[],MATCH(Table2[[#Headers],[Inner Spring Max Turns]],Table2[#Headers],0),0)</f>
        <v>Null</v>
      </c>
      <c r="BJ620" s="2" t="str">
        <f>VLOOKUP([jobnumber],OvalData[],MATCH(Table2[[#Headers],[Inner Spring Weight]],Table2[#Headers],0),0)</f>
        <v>Null</v>
      </c>
      <c r="BK620" s="2">
        <f>VLOOKUP([jobnumber],OvalData[],MATCH(Table2[[#Headers],[Cycles]],Table2[#Headers],0),0)</f>
        <v>0</v>
      </c>
      <c r="BL620" s="2">
        <f>VLOOKUP([jobnumber],OvalData[],MATCH(Table2[[#Headers],[Total Spring Torque]],Table2[#Headers],0),0)</f>
        <v>0</v>
      </c>
      <c r="BM620" s="2">
        <f>VLOOKUP([jobnumber],OvalData[],MATCH(Table2[[#Headers],[Total Spring Weight]],Table2[#Headers],0),0)</f>
        <v>0</v>
      </c>
      <c r="BN620" s="2">
        <f>VLOOKUP([jobnumber],OvalData[],MATCH(Table2[[#Headers],[Pipe Weight]],Table2[#Headers],0),0)</f>
        <v>688.24239999999998</v>
      </c>
      <c r="BO620" s="2">
        <f>VLOOKUP([jobnumber],OvalData[],MATCH(Table2[[#Headers],[Max Pipe Deflection]],Table2[#Headers],0),0)</f>
        <v>2309</v>
      </c>
      <c r="BP620" s="2">
        <f>VLOOKUP([jobnumber],OvalData[],MATCH(Table2[[#Headers],[Number Non-Insulated Wrap Slats]],Table2[#Headers],0),0)</f>
        <v>0</v>
      </c>
      <c r="BQ620" s="2">
        <f>VLOOKUP([jobnumber],OvalData[],MATCH(Table2[[#Headers],[Number of Insolated Top Slats]],Table2[#Headers],0),0)</f>
        <v>45</v>
      </c>
      <c r="BR620" s="2">
        <f>VLOOKUP([jobnumber],OvalData[],MATCH(Table2[[#Headers],[Insolated Total Slats]],Table2[#Headers],0),0)</f>
        <v>45</v>
      </c>
      <c r="BS620" s="2">
        <f>VLOOKUP([jobnumber],OvalData[],MATCH(Table2[[#Headers],[Number of Slats]],Table2[#Headers],0),0)</f>
        <v>44.69</v>
      </c>
      <c r="BT620" s="2">
        <f>VLOOKUP([jobnumber],OvalData[],MATCH(Table2[[#Headers],[Wrap]],Table2[#Headers],0),0)</f>
        <v>0</v>
      </c>
      <c r="BU620" s="2">
        <f>VLOOKUP([jobnumber],OvalData[],MATCH(Table2[[#Headers],[Wall Angle Thickness]],Table2[#Headers],0),0)</f>
        <v>0</v>
      </c>
      <c r="BV620" s="2">
        <f>VLOOKUP([jobnumber],OvalData[],MATCH(Table2[[#Headers],[windlocks]],Table2[#Headers],0),0)</f>
        <v>0</v>
      </c>
      <c r="BW620" s="2" t="str">
        <f>VLOOKUP([jobnumber],OvalData[],MATCH(Table2[[#Headers],[bottombartype]],Table2[#Headers],0),0)</f>
        <v>SPECIAL</v>
      </c>
      <c r="BX620" s="2">
        <f>VLOOKUP([jobnumber],OvalData[],MATCH(Table2[[#Headers],[endlockweight]],Table2[#Headers],0),0)</f>
        <v>0.17</v>
      </c>
      <c r="BY620" s="2">
        <f>VLOOKUP([jobnumber],OvalData[],MATCH(Table2[[#Headers],[Endlock Total Weight]],Table2[#Headers],0),0)</f>
        <v>7.5972999999999997</v>
      </c>
      <c r="BZ620" s="2">
        <f>VLOOKUP([jobnumber],OvalData[],MATCH(Table2[[#Headers],[Grille Weight]],Table2[#Headers],0),0)</f>
        <v>0</v>
      </c>
      <c r="CA620" s="2">
        <f>VLOOKUP([jobnumber],OvalData[],MATCH(Table2[[#Headers],[barrelrings]],Table2[#Headers],0),0)</f>
        <v>1</v>
      </c>
    </row>
    <row r="621" spans="2:79">
      <c r="B621" s="2" t="str">
        <f>VLOOKUP([jobnumber],OvalData[],MATCH(Table2[[#Headers],[Hand]],Table2[#Headers],0),0)</f>
        <v>RH</v>
      </c>
      <c r="C621" s="2" t="str">
        <f>VLOOKUP([jobnumber],OvalData[],MATCH(Table2[[#Headers],[Model]],Table2[#Headers],0),0)</f>
        <v>SFMPP</v>
      </c>
      <c r="D621" s="2" t="str">
        <f>VLOOKUP([jobnumber],OvalData[],MATCH(Table2[[#Headers],[width]],Table2[#Headers],0),0)</f>
        <v xml:space="preserve"> 18 ft.- 2"</v>
      </c>
      <c r="E621" s="2" t="str">
        <f>VLOOKUP([jobnumber],OvalData[],MATCH(Table2[[#Headers],[stopheight]],Table2[#Headers],0),0)</f>
        <v xml:space="preserve"> 10 ft.- 0"</v>
      </c>
      <c r="F621" s="2" t="str">
        <f>VLOOKUP([jobnumber],OvalData[],MATCH(Table2[[#Headers],[Between Brackets]],Table2[#Headers],0),0)</f>
        <v xml:space="preserve"> 18 ft.- 7 7/ 8"</v>
      </c>
      <c r="G621" s="2" t="str">
        <f>VLOOKUP([jobnumber],OvalData[],MATCH(Table2[[#Headers],[shell]],Table2[#Headers],0),0)</f>
        <v>6 INCH TUBE</v>
      </c>
      <c r="H621" s="2" t="str">
        <f>VLOOKUP([jobnumber],OvalData[],MATCH(Table2[[#Headers],[pipewidth]],Table2[#Headers],0),0)</f>
        <v xml:space="preserve"> 18 ft.- 1 3/ 8"</v>
      </c>
      <c r="I621" s="2">
        <f>VLOOKUP([jobnumber],OvalData[],MATCH(Table2[[#Headers],[Support Tubes]],Table2[#Headers],0),0)</f>
        <v>0</v>
      </c>
      <c r="J621" s="2">
        <f>VLOOKUP([jobnumber],OvalData[],MATCH(Table2[[#Headers],[Upset]],Table2[#Headers],0),0)</f>
        <v>2</v>
      </c>
      <c r="K621" s="2" t="str">
        <f>VLOOKUP([jobnumber],OvalData[],MATCH(Table2[[#Headers],[Guide Type]],Table2[#Headers],0),0)</f>
        <v>SN2-4 5/8-E</v>
      </c>
      <c r="L621" s="2" t="str">
        <f>VLOOKUP([jobnumber],OvalData[],MATCH(Table2[[#Headers],[Wall Angle]],Table2[#Headers],0),0)</f>
        <v xml:space="preserve"> 11 ft.- 8"</v>
      </c>
      <c r="M621" s="2" t="str">
        <f>VLOOKUP([jobnumber],OvalData[],MATCH(Table2[[#Headers],[Middle Angle]],Table2[#Headers],0),0)</f>
        <v xml:space="preserve"> 10 ft.- 4 1/ 2"</v>
      </c>
      <c r="N621" s="2" t="str">
        <f>VLOOKUP([jobnumber],OvalData[],MATCH(Table2[[#Headers],[Front Angle]],Table2[#Headers],0),0)</f>
        <v xml:space="preserve"> 10 ft.- 3"</v>
      </c>
      <c r="O621" s="2">
        <f>VLOOKUP([jobnumber],OvalData[],MATCH(Table2[[#Headers],[Pipe Center Line]],Table2[#Headers],0),0)</f>
        <v>131</v>
      </c>
      <c r="P621" s="2">
        <f>VLOOKUP([jobnumber],OvalData[],MATCH(Table2[[#Headers],[Heat Expansion Gap]],Table2[#Headers],0),0)</f>
        <v>0</v>
      </c>
      <c r="Q621" s="2">
        <f>VLOOKUP([jobnumber],OvalData[],MATCH(Table2[[#Headers],[Hanging Weight Closed]],Table2[#Headers],0),0)</f>
        <v>795</v>
      </c>
      <c r="R621" s="2">
        <f>VLOOKUP([jobnumber],OvalData[],MATCH(Table2[[#Headers],[Hanging Weight Open]],Table2[#Headers],0),0)</f>
        <v>140</v>
      </c>
      <c r="S621" s="2">
        <f>VLOOKUP([jobnumber],OvalData[],MATCH(Table2[[#Headers],[Initial Lever Arm]],Table2[#Headers],0),0)</f>
        <v>4.25</v>
      </c>
      <c r="T621" s="2">
        <f>VLOOKUP([jobnumber],OvalData[],MATCH(Table2[[#Headers],[Turns to Raise]],Table2[#Headers],0),0)</f>
        <v>3.5859999999999999</v>
      </c>
      <c r="U621" s="2">
        <f>VLOOKUP([jobnumber],OvalData[],MATCH(Table2[[#Headers],[Final Lever Arm]],Table2[#Headers],0),0)</f>
        <v>6.37</v>
      </c>
      <c r="V621" s="2">
        <f>VLOOKUP([jobnumber],OvalData[],MATCH(Table2[[#Headers],[Torque Required Closed]],Table2[#Headers],0),0)</f>
        <v>3377.9</v>
      </c>
      <c r="W621" s="2">
        <f>VLOOKUP([jobnumber],OvalData[],MATCH(Table2[[#Headers],[Torque Required Open]],Table2[#Headers],0),0)</f>
        <v>892</v>
      </c>
      <c r="X621" s="2">
        <f>VLOOKUP([jobnumber],OvalData[],MATCH(Table2[[#Headers],[Pre Turns]],Table2[#Headers],0),0)</f>
        <v>1.3332999999999999</v>
      </c>
      <c r="Y621" s="2">
        <f>VLOOKUP([jobnumber],OvalData[],MATCH(Table2[[#Headers],[Required Torque Per Turn]],Table2[#Headers],0),0)</f>
        <v>688</v>
      </c>
      <c r="Z621" s="2">
        <f>VLOOKUP([jobnumber],OvalData[],MATCH(Table2[[#Headers],[Total Turns]],Table2[#Headers],0),0)</f>
        <v>4.91</v>
      </c>
      <c r="AA621" s="2">
        <f>VLOOKUP([jobnumber],OvalData[],MATCH(Table2[[#Headers],[Grille Vision Section]],Table2[#Headers],0),0)</f>
        <v>0</v>
      </c>
      <c r="AB621" s="2">
        <f>VLOOKUP([jobnumber],OvalData[],MATCH(Table2[[#Headers],[Grille Amount]],Table2[#Headers],0),0)</f>
        <v>0</v>
      </c>
      <c r="AC621" s="2">
        <f>VLOOKUP([jobnumber],OvalData[],MATCH(Table2[[#Headers],[Grille Center]],Table2[#Headers],0),0)</f>
        <v>0</v>
      </c>
      <c r="AD621" s="2">
        <f>VLOOKUP([jobnumber],OvalData[],MATCH(Table2[[#Headers],[Grille Pattern]],Table2[#Headers],0),0)</f>
        <v>0</v>
      </c>
      <c r="AE621" s="2">
        <f>VLOOKUP([jobnumber],OvalData[],MATCH(Table2[[#Headers],[Grille First Tube]],Table2[#Headers],0),0)</f>
        <v>0</v>
      </c>
      <c r="AF621" s="2">
        <f>VLOOKUP([jobnumber],OvalData[],MATCH(Table2[[#Headers],[Grille Standard Tube]],Table2[#Headers],0),0)</f>
        <v>0</v>
      </c>
      <c r="AG621" s="2">
        <f>VLOOKUP([jobnumber],OvalData[],MATCH(Table2[[#Headers],[Grille Total Links]],Table2[#Headers],0),0)</f>
        <v>0</v>
      </c>
      <c r="AH621" s="2">
        <f>VLOOKUP([jobnumber],OvalData[],MATCH(Table2[[#Headers],[Grille Rods]],Table2[#Headers],0),0)</f>
        <v>0</v>
      </c>
      <c r="AI621" s="2">
        <f>VLOOKUP([jobnumber],OvalData[],MATCH(Table2[[#Headers],[Grille Rod Length]],Table2[#Headers],0),0)</f>
        <v>0</v>
      </c>
      <c r="AJ621" s="2">
        <f>VLOOKUP([jobnumber],OvalData[],MATCH(Table2[[#Headers],[slattype]],Table2[#Headers],0),0)</f>
        <v>2</v>
      </c>
      <c r="AK621" s="2">
        <f>VLOOKUP([jobnumber],OvalData[],MATCH(Table2[[#Headers],[slatgage]],Table2[#Headers],0),0)</f>
        <v>18</v>
      </c>
      <c r="AL621" s="2">
        <f>VLOOKUP([jobnumber],OvalData[],MATCH(Table2[[#Headers],[Numer of Top Slats]],Table2[#Headers],0),0)</f>
        <v>0</v>
      </c>
      <c r="AM621" s="2">
        <f>VLOOKUP([jobnumber],OvalData[],MATCH(Table2[[#Headers],[Number of Bottom Slats]],Table2[#Headers],0),0)</f>
        <v>0</v>
      </c>
      <c r="AN621" s="2">
        <f>VLOOKUP([jobnumber],OvalData[],MATCH(Table2[[#Headers],[Solid Bottom Height]],Table2[#Headers],0),0)</f>
        <v>0</v>
      </c>
      <c r="AO621" s="2" t="str">
        <f>VLOOKUP([jobnumber],OvalData[],MATCH(Table2[[#Headers],[slatlength]],Table2[#Headers],0),0)</f>
        <v xml:space="preserve"> 18 ft.- 5 7/ 8"</v>
      </c>
      <c r="AP621" s="2">
        <f>VLOOKUP([jobnumber],OvalData[],MATCH(Table2[[#Headers],[Bottom Slat Length]],Table2[#Headers],0),0)</f>
        <v>0</v>
      </c>
      <c r="AQ621" s="2">
        <f>VLOOKUP([jobnumber],OvalData[],MATCH(Table2[[#Headers],[Number of Perferated Slats]],Table2[#Headers],0),0)</f>
        <v>0</v>
      </c>
      <c r="AR621" s="2">
        <f>VLOOKUP([jobnumber],OvalData[],MATCH(Table2[[#Headers],[First Preferated Slat From End]],Table2[#Headers],0),0)</f>
        <v>0</v>
      </c>
      <c r="AS621" s="2">
        <f>VLOOKUP([jobnumber],OvalData[],MATCH(Table2[[#Headers],[First Preferated Slat From Bottom]],Table2[#Headers],0),0)</f>
        <v>0</v>
      </c>
      <c r="AT621" s="2">
        <f>VLOOKUP([jobnumber],OvalData[],MATCH(Table2[[#Headers],[Total Number of Slats]],Table2[#Headers],0),0)</f>
        <v>51</v>
      </c>
      <c r="AU621" s="2">
        <f>VLOOKUP([jobnumber],OvalData[],MATCH(Table2[[#Headers],[Bottom Bar Slope]],Table2[#Headers],0),0)</f>
        <v>0</v>
      </c>
      <c r="AV621" s="2">
        <f>VLOOKUP([jobnumber],OvalData[],MATCH(Table2[[#Headers],[Bottom Bar Weight]],Table2[#Headers],0),0)</f>
        <v>80.5</v>
      </c>
      <c r="AW621" s="2" t="str">
        <f>VLOOKUP([jobnumber],OvalData[],MATCH(Table2[[#Headers],[Outer Spring Gage]],Table2[#Headers],0),0)</f>
        <v>Null</v>
      </c>
      <c r="AX621" s="2" t="str">
        <f>VLOOKUP([jobnumber],OvalData[],MATCH(Table2[[#Headers],[Outer Spring OD]],Table2[#Headers],0),0)</f>
        <v>Null</v>
      </c>
      <c r="AY621" s="2" t="str">
        <f>VLOOKUP([jobnumber],OvalData[],MATCH(Table2[[#Headers],[Outer Spring Length]],Table2[#Headers],0),0)</f>
        <v>Null</v>
      </c>
      <c r="AZ621" s="2" t="str">
        <f>VLOOKUP([jobnumber],OvalData[],MATCH(Table2[[#Headers],[Outer Spring Stretch]],Table2[#Headers],0),0)</f>
        <v>Null</v>
      </c>
      <c r="BA621" s="2" t="str">
        <f>VLOOKUP([jobnumber],OvalData[],MATCH(Table2[[#Headers],[Outer Spring Torque]],Table2[#Headers],0),0)</f>
        <v>Null</v>
      </c>
      <c r="BB621" s="2" t="str">
        <f>VLOOKUP([jobnumber],OvalData[],MATCH(Table2[[#Headers],[Outer Spring Max Turns]],Table2[#Headers],0),0)</f>
        <v>Null</v>
      </c>
      <c r="BC621" s="2" t="str">
        <f>VLOOKUP([jobnumber],OvalData[],MATCH(Table2[[#Headers],[Outer Spring Weight]],Table2[#Headers],0),0)</f>
        <v>Null</v>
      </c>
      <c r="BD621" s="2" t="str">
        <f>VLOOKUP([jobnumber],OvalData[],MATCH(Table2[[#Headers],[Inner Spring Gage]],Table2[#Headers],0),0)</f>
        <v>Null</v>
      </c>
      <c r="BE621" s="2" t="str">
        <f>VLOOKUP([jobnumber],OvalData[],MATCH(Table2[[#Headers],[Inner Spring OD]],Table2[#Headers],0),0)</f>
        <v>Null</v>
      </c>
      <c r="BF621" s="2" t="str">
        <f>VLOOKUP([jobnumber],OvalData[],MATCH(Table2[[#Headers],[Inner Spring Length]],Table2[#Headers],0),0)</f>
        <v>Null</v>
      </c>
      <c r="BG621" s="2" t="str">
        <f>VLOOKUP([jobnumber],OvalData[],MATCH(Table2[[#Headers],[Inner Spring Stretch]],Table2[#Headers],0),0)</f>
        <v>Null</v>
      </c>
      <c r="BH621" s="2" t="str">
        <f>VLOOKUP([jobnumber],OvalData[],MATCH(Table2[[#Headers],[Inner Spring Torque]],Table2[#Headers],0),0)</f>
        <v>Null</v>
      </c>
      <c r="BI621" s="2" t="str">
        <f>VLOOKUP([jobnumber],OvalData[],MATCH(Table2[[#Headers],[Inner Spring Max Turns]],Table2[#Headers],0),0)</f>
        <v>Null</v>
      </c>
      <c r="BJ621" s="2" t="str">
        <f>VLOOKUP([jobnumber],OvalData[],MATCH(Table2[[#Headers],[Inner Spring Weight]],Table2[#Headers],0),0)</f>
        <v>Null</v>
      </c>
      <c r="BK621" s="2">
        <f>VLOOKUP([jobnumber],OvalData[],MATCH(Table2[[#Headers],[Cycles]],Table2[#Headers],0),0)</f>
        <v>0</v>
      </c>
      <c r="BL621" s="2">
        <f>VLOOKUP([jobnumber],OvalData[],MATCH(Table2[[#Headers],[Total Spring Torque]],Table2[#Headers],0),0)</f>
        <v>0</v>
      </c>
      <c r="BM621" s="2">
        <f>VLOOKUP([jobnumber],OvalData[],MATCH(Table2[[#Headers],[Total Spring Weight]],Table2[#Headers],0),0)</f>
        <v>0</v>
      </c>
      <c r="BN621" s="2">
        <f>VLOOKUP([jobnumber],OvalData[],MATCH(Table2[[#Headers],[Pipe Weight]],Table2[#Headers],0),0)</f>
        <v>688.24239999999998</v>
      </c>
      <c r="BO621" s="2">
        <f>VLOOKUP([jobnumber],OvalData[],MATCH(Table2[[#Headers],[Max Pipe Deflection]],Table2[#Headers],0),0)</f>
        <v>2309</v>
      </c>
      <c r="BP621" s="2">
        <f>VLOOKUP([jobnumber],OvalData[],MATCH(Table2[[#Headers],[Number Non-Insulated Wrap Slats]],Table2[#Headers],0),0)</f>
        <v>0</v>
      </c>
      <c r="BQ621" s="2">
        <f>VLOOKUP([jobnumber],OvalData[],MATCH(Table2[[#Headers],[Number of Insolated Top Slats]],Table2[#Headers],0),0)</f>
        <v>45</v>
      </c>
      <c r="BR621" s="2">
        <f>VLOOKUP([jobnumber],OvalData[],MATCH(Table2[[#Headers],[Insolated Total Slats]],Table2[#Headers],0),0)</f>
        <v>45</v>
      </c>
      <c r="BS621" s="2">
        <f>VLOOKUP([jobnumber],OvalData[],MATCH(Table2[[#Headers],[Number of Slats]],Table2[#Headers],0),0)</f>
        <v>44.69</v>
      </c>
      <c r="BT621" s="2">
        <f>VLOOKUP([jobnumber],OvalData[],MATCH(Table2[[#Headers],[Wrap]],Table2[#Headers],0),0)</f>
        <v>0</v>
      </c>
      <c r="BU621" s="2">
        <f>VLOOKUP([jobnumber],OvalData[],MATCH(Table2[[#Headers],[Wall Angle Thickness]],Table2[#Headers],0),0)</f>
        <v>0</v>
      </c>
      <c r="BV621" s="2">
        <f>VLOOKUP([jobnumber],OvalData[],MATCH(Table2[[#Headers],[windlocks]],Table2[#Headers],0),0)</f>
        <v>0</v>
      </c>
      <c r="BW621" s="2" t="str">
        <f>VLOOKUP([jobnumber],OvalData[],MATCH(Table2[[#Headers],[bottombartype]],Table2[#Headers],0),0)</f>
        <v>SPECIAL</v>
      </c>
      <c r="BX621" s="2">
        <f>VLOOKUP([jobnumber],OvalData[],MATCH(Table2[[#Headers],[endlockweight]],Table2[#Headers],0),0)</f>
        <v>0.17</v>
      </c>
      <c r="BY621" s="2">
        <f>VLOOKUP([jobnumber],OvalData[],MATCH(Table2[[#Headers],[Endlock Total Weight]],Table2[#Headers],0),0)</f>
        <v>7.5972999999999997</v>
      </c>
      <c r="BZ621" s="2">
        <f>VLOOKUP([jobnumber],OvalData[],MATCH(Table2[[#Headers],[Grille Weight]],Table2[#Headers],0),0)</f>
        <v>0</v>
      </c>
      <c r="CA621" s="2">
        <f>VLOOKUP([jobnumber],OvalData[],MATCH(Table2[[#Headers],[barrelrings]],Table2[#Headers],0),0)</f>
        <v>1</v>
      </c>
    </row>
    <row r="622" spans="2:79">
      <c r="B622" s="2" t="str">
        <f>VLOOKUP([jobnumber],OvalData[],MATCH(Table2[[#Headers],[Hand]],Table2[#Headers],0),0)</f>
        <v>RH</v>
      </c>
      <c r="C622" s="2" t="str">
        <f>VLOOKUP([jobnumber],OvalData[],MATCH(Table2[[#Headers],[Model]],Table2[#Headers],0),0)</f>
        <v>SFMPP</v>
      </c>
      <c r="D622" s="2" t="str">
        <f>VLOOKUP([jobnumber],OvalData[],MATCH(Table2[[#Headers],[width]],Table2[#Headers],0),0)</f>
        <v xml:space="preserve"> 18 ft.- 2"</v>
      </c>
      <c r="E622" s="2" t="str">
        <f>VLOOKUP([jobnumber],OvalData[],MATCH(Table2[[#Headers],[stopheight]],Table2[#Headers],0),0)</f>
        <v xml:space="preserve"> 10 ft.- 0"</v>
      </c>
      <c r="F622" s="2" t="str">
        <f>VLOOKUP([jobnumber],OvalData[],MATCH(Table2[[#Headers],[Between Brackets]],Table2[#Headers],0),0)</f>
        <v xml:space="preserve"> 18 ft.- 7 7/ 8"</v>
      </c>
      <c r="G622" s="2" t="str">
        <f>VLOOKUP([jobnumber],OvalData[],MATCH(Table2[[#Headers],[shell]],Table2[#Headers],0),0)</f>
        <v>6 INCH TUBE</v>
      </c>
      <c r="H622" s="2" t="str">
        <f>VLOOKUP([jobnumber],OvalData[],MATCH(Table2[[#Headers],[pipewidth]],Table2[#Headers],0),0)</f>
        <v xml:space="preserve"> 18 ft.- 1 3/ 8"</v>
      </c>
      <c r="I622" s="2">
        <f>VLOOKUP([jobnumber],OvalData[],MATCH(Table2[[#Headers],[Support Tubes]],Table2[#Headers],0),0)</f>
        <v>0</v>
      </c>
      <c r="J622" s="2">
        <f>VLOOKUP([jobnumber],OvalData[],MATCH(Table2[[#Headers],[Upset]],Table2[#Headers],0),0)</f>
        <v>2</v>
      </c>
      <c r="K622" s="2" t="str">
        <f>VLOOKUP([jobnumber],OvalData[],MATCH(Table2[[#Headers],[Guide Type]],Table2[#Headers],0),0)</f>
        <v>SN2-4 5/8-E</v>
      </c>
      <c r="L622" s="2" t="str">
        <f>VLOOKUP([jobnumber],OvalData[],MATCH(Table2[[#Headers],[Wall Angle]],Table2[#Headers],0),0)</f>
        <v xml:space="preserve"> 11 ft.- 8"</v>
      </c>
      <c r="M622" s="2" t="str">
        <f>VLOOKUP([jobnumber],OvalData[],MATCH(Table2[[#Headers],[Middle Angle]],Table2[#Headers],0),0)</f>
        <v xml:space="preserve"> 10 ft.- 4 1/ 2"</v>
      </c>
      <c r="N622" s="2" t="str">
        <f>VLOOKUP([jobnumber],OvalData[],MATCH(Table2[[#Headers],[Front Angle]],Table2[#Headers],0),0)</f>
        <v xml:space="preserve"> 10 ft.- 3"</v>
      </c>
      <c r="O622" s="2">
        <f>VLOOKUP([jobnumber],OvalData[],MATCH(Table2[[#Headers],[Pipe Center Line]],Table2[#Headers],0),0)</f>
        <v>131</v>
      </c>
      <c r="P622" s="2">
        <f>VLOOKUP([jobnumber],OvalData[],MATCH(Table2[[#Headers],[Heat Expansion Gap]],Table2[#Headers],0),0)</f>
        <v>0</v>
      </c>
      <c r="Q622" s="2">
        <f>VLOOKUP([jobnumber],OvalData[],MATCH(Table2[[#Headers],[Hanging Weight Closed]],Table2[#Headers],0),0)</f>
        <v>795</v>
      </c>
      <c r="R622" s="2">
        <f>VLOOKUP([jobnumber],OvalData[],MATCH(Table2[[#Headers],[Hanging Weight Open]],Table2[#Headers],0),0)</f>
        <v>140</v>
      </c>
      <c r="S622" s="2">
        <f>VLOOKUP([jobnumber],OvalData[],MATCH(Table2[[#Headers],[Initial Lever Arm]],Table2[#Headers],0),0)</f>
        <v>4.25</v>
      </c>
      <c r="T622" s="2">
        <f>VLOOKUP([jobnumber],OvalData[],MATCH(Table2[[#Headers],[Turns to Raise]],Table2[#Headers],0),0)</f>
        <v>3.5859999999999999</v>
      </c>
      <c r="U622" s="2">
        <f>VLOOKUP([jobnumber],OvalData[],MATCH(Table2[[#Headers],[Final Lever Arm]],Table2[#Headers],0),0)</f>
        <v>6.37</v>
      </c>
      <c r="V622" s="2">
        <f>VLOOKUP([jobnumber],OvalData[],MATCH(Table2[[#Headers],[Torque Required Closed]],Table2[#Headers],0),0)</f>
        <v>3377.9</v>
      </c>
      <c r="W622" s="2">
        <f>VLOOKUP([jobnumber],OvalData[],MATCH(Table2[[#Headers],[Torque Required Open]],Table2[#Headers],0),0)</f>
        <v>892</v>
      </c>
      <c r="X622" s="2">
        <f>VLOOKUP([jobnumber],OvalData[],MATCH(Table2[[#Headers],[Pre Turns]],Table2[#Headers],0),0)</f>
        <v>1.3332999999999999</v>
      </c>
      <c r="Y622" s="2">
        <f>VLOOKUP([jobnumber],OvalData[],MATCH(Table2[[#Headers],[Required Torque Per Turn]],Table2[#Headers],0),0)</f>
        <v>688</v>
      </c>
      <c r="Z622" s="2">
        <f>VLOOKUP([jobnumber],OvalData[],MATCH(Table2[[#Headers],[Total Turns]],Table2[#Headers],0),0)</f>
        <v>4.91</v>
      </c>
      <c r="AA622" s="2">
        <f>VLOOKUP([jobnumber],OvalData[],MATCH(Table2[[#Headers],[Grille Vision Section]],Table2[#Headers],0),0)</f>
        <v>0</v>
      </c>
      <c r="AB622" s="2">
        <f>VLOOKUP([jobnumber],OvalData[],MATCH(Table2[[#Headers],[Grille Amount]],Table2[#Headers],0),0)</f>
        <v>0</v>
      </c>
      <c r="AC622" s="2">
        <f>VLOOKUP([jobnumber],OvalData[],MATCH(Table2[[#Headers],[Grille Center]],Table2[#Headers],0),0)</f>
        <v>0</v>
      </c>
      <c r="AD622" s="2">
        <f>VLOOKUP([jobnumber],OvalData[],MATCH(Table2[[#Headers],[Grille Pattern]],Table2[#Headers],0),0)</f>
        <v>0</v>
      </c>
      <c r="AE622" s="2">
        <f>VLOOKUP([jobnumber],OvalData[],MATCH(Table2[[#Headers],[Grille First Tube]],Table2[#Headers],0),0)</f>
        <v>0</v>
      </c>
      <c r="AF622" s="2">
        <f>VLOOKUP([jobnumber],OvalData[],MATCH(Table2[[#Headers],[Grille Standard Tube]],Table2[#Headers],0),0)</f>
        <v>0</v>
      </c>
      <c r="AG622" s="2">
        <f>VLOOKUP([jobnumber],OvalData[],MATCH(Table2[[#Headers],[Grille Total Links]],Table2[#Headers],0),0)</f>
        <v>0</v>
      </c>
      <c r="AH622" s="2">
        <f>VLOOKUP([jobnumber],OvalData[],MATCH(Table2[[#Headers],[Grille Rods]],Table2[#Headers],0),0)</f>
        <v>0</v>
      </c>
      <c r="AI622" s="2">
        <f>VLOOKUP([jobnumber],OvalData[],MATCH(Table2[[#Headers],[Grille Rod Length]],Table2[#Headers],0),0)</f>
        <v>0</v>
      </c>
      <c r="AJ622" s="2">
        <f>VLOOKUP([jobnumber],OvalData[],MATCH(Table2[[#Headers],[slattype]],Table2[#Headers],0),0)</f>
        <v>2</v>
      </c>
      <c r="AK622" s="2">
        <f>VLOOKUP([jobnumber],OvalData[],MATCH(Table2[[#Headers],[slatgage]],Table2[#Headers],0),0)</f>
        <v>18</v>
      </c>
      <c r="AL622" s="2">
        <f>VLOOKUP([jobnumber],OvalData[],MATCH(Table2[[#Headers],[Numer of Top Slats]],Table2[#Headers],0),0)</f>
        <v>0</v>
      </c>
      <c r="AM622" s="2">
        <f>VLOOKUP([jobnumber],OvalData[],MATCH(Table2[[#Headers],[Number of Bottom Slats]],Table2[#Headers],0),0)</f>
        <v>0</v>
      </c>
      <c r="AN622" s="2">
        <f>VLOOKUP([jobnumber],OvalData[],MATCH(Table2[[#Headers],[Solid Bottom Height]],Table2[#Headers],0),0)</f>
        <v>0</v>
      </c>
      <c r="AO622" s="2" t="str">
        <f>VLOOKUP([jobnumber],OvalData[],MATCH(Table2[[#Headers],[slatlength]],Table2[#Headers],0),0)</f>
        <v xml:space="preserve"> 18 ft.- 5 7/ 8"</v>
      </c>
      <c r="AP622" s="2">
        <f>VLOOKUP([jobnumber],OvalData[],MATCH(Table2[[#Headers],[Bottom Slat Length]],Table2[#Headers],0),0)</f>
        <v>0</v>
      </c>
      <c r="AQ622" s="2">
        <f>VLOOKUP([jobnumber],OvalData[],MATCH(Table2[[#Headers],[Number of Perferated Slats]],Table2[#Headers],0),0)</f>
        <v>0</v>
      </c>
      <c r="AR622" s="2">
        <f>VLOOKUP([jobnumber],OvalData[],MATCH(Table2[[#Headers],[First Preferated Slat From End]],Table2[#Headers],0),0)</f>
        <v>0</v>
      </c>
      <c r="AS622" s="2">
        <f>VLOOKUP([jobnumber],OvalData[],MATCH(Table2[[#Headers],[First Preferated Slat From Bottom]],Table2[#Headers],0),0)</f>
        <v>0</v>
      </c>
      <c r="AT622" s="2">
        <f>VLOOKUP([jobnumber],OvalData[],MATCH(Table2[[#Headers],[Total Number of Slats]],Table2[#Headers],0),0)</f>
        <v>51</v>
      </c>
      <c r="AU622" s="2">
        <f>VLOOKUP([jobnumber],OvalData[],MATCH(Table2[[#Headers],[Bottom Bar Slope]],Table2[#Headers],0),0)</f>
        <v>0</v>
      </c>
      <c r="AV622" s="2">
        <f>VLOOKUP([jobnumber],OvalData[],MATCH(Table2[[#Headers],[Bottom Bar Weight]],Table2[#Headers],0),0)</f>
        <v>80.5</v>
      </c>
      <c r="AW622" s="2" t="str">
        <f>VLOOKUP([jobnumber],OvalData[],MATCH(Table2[[#Headers],[Outer Spring Gage]],Table2[#Headers],0),0)</f>
        <v>Null</v>
      </c>
      <c r="AX622" s="2" t="str">
        <f>VLOOKUP([jobnumber],OvalData[],MATCH(Table2[[#Headers],[Outer Spring OD]],Table2[#Headers],0),0)</f>
        <v>Null</v>
      </c>
      <c r="AY622" s="2" t="str">
        <f>VLOOKUP([jobnumber],OvalData[],MATCH(Table2[[#Headers],[Outer Spring Length]],Table2[#Headers],0),0)</f>
        <v>Null</v>
      </c>
      <c r="AZ622" s="2" t="str">
        <f>VLOOKUP([jobnumber],OvalData[],MATCH(Table2[[#Headers],[Outer Spring Stretch]],Table2[#Headers],0),0)</f>
        <v>Null</v>
      </c>
      <c r="BA622" s="2" t="str">
        <f>VLOOKUP([jobnumber],OvalData[],MATCH(Table2[[#Headers],[Outer Spring Torque]],Table2[#Headers],0),0)</f>
        <v>Null</v>
      </c>
      <c r="BB622" s="2" t="str">
        <f>VLOOKUP([jobnumber],OvalData[],MATCH(Table2[[#Headers],[Outer Spring Max Turns]],Table2[#Headers],0),0)</f>
        <v>Null</v>
      </c>
      <c r="BC622" s="2" t="str">
        <f>VLOOKUP([jobnumber],OvalData[],MATCH(Table2[[#Headers],[Outer Spring Weight]],Table2[#Headers],0),0)</f>
        <v>Null</v>
      </c>
      <c r="BD622" s="2" t="str">
        <f>VLOOKUP([jobnumber],OvalData[],MATCH(Table2[[#Headers],[Inner Spring Gage]],Table2[#Headers],0),0)</f>
        <v>Null</v>
      </c>
      <c r="BE622" s="2" t="str">
        <f>VLOOKUP([jobnumber],OvalData[],MATCH(Table2[[#Headers],[Inner Spring OD]],Table2[#Headers],0),0)</f>
        <v>Null</v>
      </c>
      <c r="BF622" s="2" t="str">
        <f>VLOOKUP([jobnumber],OvalData[],MATCH(Table2[[#Headers],[Inner Spring Length]],Table2[#Headers],0),0)</f>
        <v>Null</v>
      </c>
      <c r="BG622" s="2" t="str">
        <f>VLOOKUP([jobnumber],OvalData[],MATCH(Table2[[#Headers],[Inner Spring Stretch]],Table2[#Headers],0),0)</f>
        <v>Null</v>
      </c>
      <c r="BH622" s="2" t="str">
        <f>VLOOKUP([jobnumber],OvalData[],MATCH(Table2[[#Headers],[Inner Spring Torque]],Table2[#Headers],0),0)</f>
        <v>Null</v>
      </c>
      <c r="BI622" s="2" t="str">
        <f>VLOOKUP([jobnumber],OvalData[],MATCH(Table2[[#Headers],[Inner Spring Max Turns]],Table2[#Headers],0),0)</f>
        <v>Null</v>
      </c>
      <c r="BJ622" s="2" t="str">
        <f>VLOOKUP([jobnumber],OvalData[],MATCH(Table2[[#Headers],[Inner Spring Weight]],Table2[#Headers],0),0)</f>
        <v>Null</v>
      </c>
      <c r="BK622" s="2">
        <f>VLOOKUP([jobnumber],OvalData[],MATCH(Table2[[#Headers],[Cycles]],Table2[#Headers],0),0)</f>
        <v>0</v>
      </c>
      <c r="BL622" s="2">
        <f>VLOOKUP([jobnumber],OvalData[],MATCH(Table2[[#Headers],[Total Spring Torque]],Table2[#Headers],0),0)</f>
        <v>0</v>
      </c>
      <c r="BM622" s="2">
        <f>VLOOKUP([jobnumber],OvalData[],MATCH(Table2[[#Headers],[Total Spring Weight]],Table2[#Headers],0),0)</f>
        <v>0</v>
      </c>
      <c r="BN622" s="2">
        <f>VLOOKUP([jobnumber],OvalData[],MATCH(Table2[[#Headers],[Pipe Weight]],Table2[#Headers],0),0)</f>
        <v>688.24239999999998</v>
      </c>
      <c r="BO622" s="2">
        <f>VLOOKUP([jobnumber],OvalData[],MATCH(Table2[[#Headers],[Max Pipe Deflection]],Table2[#Headers],0),0)</f>
        <v>2309</v>
      </c>
      <c r="BP622" s="2">
        <f>VLOOKUP([jobnumber],OvalData[],MATCH(Table2[[#Headers],[Number Non-Insulated Wrap Slats]],Table2[#Headers],0),0)</f>
        <v>0</v>
      </c>
      <c r="BQ622" s="2">
        <f>VLOOKUP([jobnumber],OvalData[],MATCH(Table2[[#Headers],[Number of Insolated Top Slats]],Table2[#Headers],0),0)</f>
        <v>45</v>
      </c>
      <c r="BR622" s="2">
        <f>VLOOKUP([jobnumber],OvalData[],MATCH(Table2[[#Headers],[Insolated Total Slats]],Table2[#Headers],0),0)</f>
        <v>45</v>
      </c>
      <c r="BS622" s="2">
        <f>VLOOKUP([jobnumber],OvalData[],MATCH(Table2[[#Headers],[Number of Slats]],Table2[#Headers],0),0)</f>
        <v>44.69</v>
      </c>
      <c r="BT622" s="2">
        <f>VLOOKUP([jobnumber],OvalData[],MATCH(Table2[[#Headers],[Wrap]],Table2[#Headers],0),0)</f>
        <v>0</v>
      </c>
      <c r="BU622" s="2">
        <f>VLOOKUP([jobnumber],OvalData[],MATCH(Table2[[#Headers],[Wall Angle Thickness]],Table2[#Headers],0),0)</f>
        <v>0</v>
      </c>
      <c r="BV622" s="2">
        <f>VLOOKUP([jobnumber],OvalData[],MATCH(Table2[[#Headers],[windlocks]],Table2[#Headers],0),0)</f>
        <v>0</v>
      </c>
      <c r="BW622" s="2" t="str">
        <f>VLOOKUP([jobnumber],OvalData[],MATCH(Table2[[#Headers],[bottombartype]],Table2[#Headers],0),0)</f>
        <v>SPECIAL</v>
      </c>
      <c r="BX622" s="2">
        <f>VLOOKUP([jobnumber],OvalData[],MATCH(Table2[[#Headers],[endlockweight]],Table2[#Headers],0),0)</f>
        <v>0.17</v>
      </c>
      <c r="BY622" s="2">
        <f>VLOOKUP([jobnumber],OvalData[],MATCH(Table2[[#Headers],[Endlock Total Weight]],Table2[#Headers],0),0)</f>
        <v>7.5972999999999997</v>
      </c>
      <c r="BZ622" s="2">
        <f>VLOOKUP([jobnumber],OvalData[],MATCH(Table2[[#Headers],[Grille Weight]],Table2[#Headers],0),0)</f>
        <v>0</v>
      </c>
      <c r="CA622" s="2">
        <f>VLOOKUP([jobnumber],OvalData[],MATCH(Table2[[#Headers],[barrelrings]],Table2[#Headers],0),0)</f>
        <v>1</v>
      </c>
    </row>
    <row r="623" spans="2:79">
      <c r="B623" s="2" t="str">
        <f>VLOOKUP([jobnumber],OvalData[],MATCH(Table2[[#Headers],[Hand]],Table2[#Headers],0),0)</f>
        <v>RH</v>
      </c>
      <c r="C623" s="2" t="str">
        <f>VLOOKUP([jobnumber],OvalData[],MATCH(Table2[[#Headers],[Model]],Table2[#Headers],0),0)</f>
        <v>SFMPP</v>
      </c>
      <c r="D623" s="2" t="str">
        <f>VLOOKUP([jobnumber],OvalData[],MATCH(Table2[[#Headers],[width]],Table2[#Headers],0),0)</f>
        <v xml:space="preserve"> 18 ft.- 2"</v>
      </c>
      <c r="E623" s="2" t="str">
        <f>VLOOKUP([jobnumber],OvalData[],MATCH(Table2[[#Headers],[stopheight]],Table2[#Headers],0),0)</f>
        <v xml:space="preserve"> 10 ft.- 0"</v>
      </c>
      <c r="F623" s="2" t="str">
        <f>VLOOKUP([jobnumber],OvalData[],MATCH(Table2[[#Headers],[Between Brackets]],Table2[#Headers],0),0)</f>
        <v xml:space="preserve"> 18 ft.- 7 7/ 8"</v>
      </c>
      <c r="G623" s="2" t="str">
        <f>VLOOKUP([jobnumber],OvalData[],MATCH(Table2[[#Headers],[shell]],Table2[#Headers],0),0)</f>
        <v>6 INCH TUBE</v>
      </c>
      <c r="H623" s="2" t="str">
        <f>VLOOKUP([jobnumber],OvalData[],MATCH(Table2[[#Headers],[pipewidth]],Table2[#Headers],0),0)</f>
        <v xml:space="preserve"> 18 ft.- 1 3/ 8"</v>
      </c>
      <c r="I623" s="2">
        <f>VLOOKUP([jobnumber],OvalData[],MATCH(Table2[[#Headers],[Support Tubes]],Table2[#Headers],0),0)</f>
        <v>0</v>
      </c>
      <c r="J623" s="2">
        <f>VLOOKUP([jobnumber],OvalData[],MATCH(Table2[[#Headers],[Upset]],Table2[#Headers],0),0)</f>
        <v>2</v>
      </c>
      <c r="K623" s="2" t="str">
        <f>VLOOKUP([jobnumber],OvalData[],MATCH(Table2[[#Headers],[Guide Type]],Table2[#Headers],0),0)</f>
        <v>SN2-4 5/8-E</v>
      </c>
      <c r="L623" s="2" t="str">
        <f>VLOOKUP([jobnumber],OvalData[],MATCH(Table2[[#Headers],[Wall Angle]],Table2[#Headers],0),0)</f>
        <v xml:space="preserve"> 11 ft.- 8"</v>
      </c>
      <c r="M623" s="2" t="str">
        <f>VLOOKUP([jobnumber],OvalData[],MATCH(Table2[[#Headers],[Middle Angle]],Table2[#Headers],0),0)</f>
        <v xml:space="preserve"> 10 ft.- 4 1/ 2"</v>
      </c>
      <c r="N623" s="2" t="str">
        <f>VLOOKUP([jobnumber],OvalData[],MATCH(Table2[[#Headers],[Front Angle]],Table2[#Headers],0),0)</f>
        <v xml:space="preserve"> 10 ft.- 3"</v>
      </c>
      <c r="O623" s="2">
        <f>VLOOKUP([jobnumber],OvalData[],MATCH(Table2[[#Headers],[Pipe Center Line]],Table2[#Headers],0),0)</f>
        <v>131</v>
      </c>
      <c r="P623" s="2">
        <f>VLOOKUP([jobnumber],OvalData[],MATCH(Table2[[#Headers],[Heat Expansion Gap]],Table2[#Headers],0),0)</f>
        <v>0</v>
      </c>
      <c r="Q623" s="2">
        <f>VLOOKUP([jobnumber],OvalData[],MATCH(Table2[[#Headers],[Hanging Weight Closed]],Table2[#Headers],0),0)</f>
        <v>795</v>
      </c>
      <c r="R623" s="2">
        <f>VLOOKUP([jobnumber],OvalData[],MATCH(Table2[[#Headers],[Hanging Weight Open]],Table2[#Headers],0),0)</f>
        <v>140</v>
      </c>
      <c r="S623" s="2">
        <f>VLOOKUP([jobnumber],OvalData[],MATCH(Table2[[#Headers],[Initial Lever Arm]],Table2[#Headers],0),0)</f>
        <v>4.25</v>
      </c>
      <c r="T623" s="2">
        <f>VLOOKUP([jobnumber],OvalData[],MATCH(Table2[[#Headers],[Turns to Raise]],Table2[#Headers],0),0)</f>
        <v>3.5859999999999999</v>
      </c>
      <c r="U623" s="2">
        <f>VLOOKUP([jobnumber],OvalData[],MATCH(Table2[[#Headers],[Final Lever Arm]],Table2[#Headers],0),0)</f>
        <v>6.37</v>
      </c>
      <c r="V623" s="2">
        <f>VLOOKUP([jobnumber],OvalData[],MATCH(Table2[[#Headers],[Torque Required Closed]],Table2[#Headers],0),0)</f>
        <v>3377.9</v>
      </c>
      <c r="W623" s="2">
        <f>VLOOKUP([jobnumber],OvalData[],MATCH(Table2[[#Headers],[Torque Required Open]],Table2[#Headers],0),0)</f>
        <v>892</v>
      </c>
      <c r="X623" s="2">
        <f>VLOOKUP([jobnumber],OvalData[],MATCH(Table2[[#Headers],[Pre Turns]],Table2[#Headers],0),0)</f>
        <v>1.3332999999999999</v>
      </c>
      <c r="Y623" s="2">
        <f>VLOOKUP([jobnumber],OvalData[],MATCH(Table2[[#Headers],[Required Torque Per Turn]],Table2[#Headers],0),0)</f>
        <v>688</v>
      </c>
      <c r="Z623" s="2">
        <f>VLOOKUP([jobnumber],OvalData[],MATCH(Table2[[#Headers],[Total Turns]],Table2[#Headers],0),0)</f>
        <v>4.91</v>
      </c>
      <c r="AA623" s="2">
        <f>VLOOKUP([jobnumber],OvalData[],MATCH(Table2[[#Headers],[Grille Vision Section]],Table2[#Headers],0),0)</f>
        <v>0</v>
      </c>
      <c r="AB623" s="2">
        <f>VLOOKUP([jobnumber],OvalData[],MATCH(Table2[[#Headers],[Grille Amount]],Table2[#Headers],0),0)</f>
        <v>0</v>
      </c>
      <c r="AC623" s="2">
        <f>VLOOKUP([jobnumber],OvalData[],MATCH(Table2[[#Headers],[Grille Center]],Table2[#Headers],0),0)</f>
        <v>0</v>
      </c>
      <c r="AD623" s="2">
        <f>VLOOKUP([jobnumber],OvalData[],MATCH(Table2[[#Headers],[Grille Pattern]],Table2[#Headers],0),0)</f>
        <v>0</v>
      </c>
      <c r="AE623" s="2">
        <f>VLOOKUP([jobnumber],OvalData[],MATCH(Table2[[#Headers],[Grille First Tube]],Table2[#Headers],0),0)</f>
        <v>0</v>
      </c>
      <c r="AF623" s="2">
        <f>VLOOKUP([jobnumber],OvalData[],MATCH(Table2[[#Headers],[Grille Standard Tube]],Table2[#Headers],0),0)</f>
        <v>0</v>
      </c>
      <c r="AG623" s="2">
        <f>VLOOKUP([jobnumber],OvalData[],MATCH(Table2[[#Headers],[Grille Total Links]],Table2[#Headers],0),0)</f>
        <v>0</v>
      </c>
      <c r="AH623" s="2">
        <f>VLOOKUP([jobnumber],OvalData[],MATCH(Table2[[#Headers],[Grille Rods]],Table2[#Headers],0),0)</f>
        <v>0</v>
      </c>
      <c r="AI623" s="2">
        <f>VLOOKUP([jobnumber],OvalData[],MATCH(Table2[[#Headers],[Grille Rod Length]],Table2[#Headers],0),0)</f>
        <v>0</v>
      </c>
      <c r="AJ623" s="2">
        <f>VLOOKUP([jobnumber],OvalData[],MATCH(Table2[[#Headers],[slattype]],Table2[#Headers],0),0)</f>
        <v>2</v>
      </c>
      <c r="AK623" s="2">
        <f>VLOOKUP([jobnumber],OvalData[],MATCH(Table2[[#Headers],[slatgage]],Table2[#Headers],0),0)</f>
        <v>18</v>
      </c>
      <c r="AL623" s="2">
        <f>VLOOKUP([jobnumber],OvalData[],MATCH(Table2[[#Headers],[Numer of Top Slats]],Table2[#Headers],0),0)</f>
        <v>0</v>
      </c>
      <c r="AM623" s="2">
        <f>VLOOKUP([jobnumber],OvalData[],MATCH(Table2[[#Headers],[Number of Bottom Slats]],Table2[#Headers],0),0)</f>
        <v>0</v>
      </c>
      <c r="AN623" s="2">
        <f>VLOOKUP([jobnumber],OvalData[],MATCH(Table2[[#Headers],[Solid Bottom Height]],Table2[#Headers],0),0)</f>
        <v>0</v>
      </c>
      <c r="AO623" s="2" t="str">
        <f>VLOOKUP([jobnumber],OvalData[],MATCH(Table2[[#Headers],[slatlength]],Table2[#Headers],0),0)</f>
        <v xml:space="preserve"> 18 ft.- 5 7/ 8"</v>
      </c>
      <c r="AP623" s="2">
        <f>VLOOKUP([jobnumber],OvalData[],MATCH(Table2[[#Headers],[Bottom Slat Length]],Table2[#Headers],0),0)</f>
        <v>0</v>
      </c>
      <c r="AQ623" s="2">
        <f>VLOOKUP([jobnumber],OvalData[],MATCH(Table2[[#Headers],[Number of Perferated Slats]],Table2[#Headers],0),0)</f>
        <v>0</v>
      </c>
      <c r="AR623" s="2">
        <f>VLOOKUP([jobnumber],OvalData[],MATCH(Table2[[#Headers],[First Preferated Slat From End]],Table2[#Headers],0),0)</f>
        <v>0</v>
      </c>
      <c r="AS623" s="2">
        <f>VLOOKUP([jobnumber],OvalData[],MATCH(Table2[[#Headers],[First Preferated Slat From Bottom]],Table2[#Headers],0),0)</f>
        <v>0</v>
      </c>
      <c r="AT623" s="2">
        <f>VLOOKUP([jobnumber],OvalData[],MATCH(Table2[[#Headers],[Total Number of Slats]],Table2[#Headers],0),0)</f>
        <v>51</v>
      </c>
      <c r="AU623" s="2">
        <f>VLOOKUP([jobnumber],OvalData[],MATCH(Table2[[#Headers],[Bottom Bar Slope]],Table2[#Headers],0),0)</f>
        <v>0</v>
      </c>
      <c r="AV623" s="2">
        <f>VLOOKUP([jobnumber],OvalData[],MATCH(Table2[[#Headers],[Bottom Bar Weight]],Table2[#Headers],0),0)</f>
        <v>80.5</v>
      </c>
      <c r="AW623" s="2" t="str">
        <f>VLOOKUP([jobnumber],OvalData[],MATCH(Table2[[#Headers],[Outer Spring Gage]],Table2[#Headers],0),0)</f>
        <v>Null</v>
      </c>
      <c r="AX623" s="2" t="str">
        <f>VLOOKUP([jobnumber],OvalData[],MATCH(Table2[[#Headers],[Outer Spring OD]],Table2[#Headers],0),0)</f>
        <v>Null</v>
      </c>
      <c r="AY623" s="2" t="str">
        <f>VLOOKUP([jobnumber],OvalData[],MATCH(Table2[[#Headers],[Outer Spring Length]],Table2[#Headers],0),0)</f>
        <v>Null</v>
      </c>
      <c r="AZ623" s="2" t="str">
        <f>VLOOKUP([jobnumber],OvalData[],MATCH(Table2[[#Headers],[Outer Spring Stretch]],Table2[#Headers],0),0)</f>
        <v>Null</v>
      </c>
      <c r="BA623" s="2" t="str">
        <f>VLOOKUP([jobnumber],OvalData[],MATCH(Table2[[#Headers],[Outer Spring Torque]],Table2[#Headers],0),0)</f>
        <v>Null</v>
      </c>
      <c r="BB623" s="2" t="str">
        <f>VLOOKUP([jobnumber],OvalData[],MATCH(Table2[[#Headers],[Outer Spring Max Turns]],Table2[#Headers],0),0)</f>
        <v>Null</v>
      </c>
      <c r="BC623" s="2" t="str">
        <f>VLOOKUP([jobnumber],OvalData[],MATCH(Table2[[#Headers],[Outer Spring Weight]],Table2[#Headers],0),0)</f>
        <v>Null</v>
      </c>
      <c r="BD623" s="2" t="str">
        <f>VLOOKUP([jobnumber],OvalData[],MATCH(Table2[[#Headers],[Inner Spring Gage]],Table2[#Headers],0),0)</f>
        <v>Null</v>
      </c>
      <c r="BE623" s="2" t="str">
        <f>VLOOKUP([jobnumber],OvalData[],MATCH(Table2[[#Headers],[Inner Spring OD]],Table2[#Headers],0),0)</f>
        <v>Null</v>
      </c>
      <c r="BF623" s="2" t="str">
        <f>VLOOKUP([jobnumber],OvalData[],MATCH(Table2[[#Headers],[Inner Spring Length]],Table2[#Headers],0),0)</f>
        <v>Null</v>
      </c>
      <c r="BG623" s="2" t="str">
        <f>VLOOKUP([jobnumber],OvalData[],MATCH(Table2[[#Headers],[Inner Spring Stretch]],Table2[#Headers],0),0)</f>
        <v>Null</v>
      </c>
      <c r="BH623" s="2" t="str">
        <f>VLOOKUP([jobnumber],OvalData[],MATCH(Table2[[#Headers],[Inner Spring Torque]],Table2[#Headers],0),0)</f>
        <v>Null</v>
      </c>
      <c r="BI623" s="2" t="str">
        <f>VLOOKUP([jobnumber],OvalData[],MATCH(Table2[[#Headers],[Inner Spring Max Turns]],Table2[#Headers],0),0)</f>
        <v>Null</v>
      </c>
      <c r="BJ623" s="2" t="str">
        <f>VLOOKUP([jobnumber],OvalData[],MATCH(Table2[[#Headers],[Inner Spring Weight]],Table2[#Headers],0),0)</f>
        <v>Null</v>
      </c>
      <c r="BK623" s="2">
        <f>VLOOKUP([jobnumber],OvalData[],MATCH(Table2[[#Headers],[Cycles]],Table2[#Headers],0),0)</f>
        <v>0</v>
      </c>
      <c r="BL623" s="2">
        <f>VLOOKUP([jobnumber],OvalData[],MATCH(Table2[[#Headers],[Total Spring Torque]],Table2[#Headers],0),0)</f>
        <v>0</v>
      </c>
      <c r="BM623" s="2">
        <f>VLOOKUP([jobnumber],OvalData[],MATCH(Table2[[#Headers],[Total Spring Weight]],Table2[#Headers],0),0)</f>
        <v>0</v>
      </c>
      <c r="BN623" s="2">
        <f>VLOOKUP([jobnumber],OvalData[],MATCH(Table2[[#Headers],[Pipe Weight]],Table2[#Headers],0),0)</f>
        <v>688.24239999999998</v>
      </c>
      <c r="BO623" s="2">
        <f>VLOOKUP([jobnumber],OvalData[],MATCH(Table2[[#Headers],[Max Pipe Deflection]],Table2[#Headers],0),0)</f>
        <v>2309</v>
      </c>
      <c r="BP623" s="2">
        <f>VLOOKUP([jobnumber],OvalData[],MATCH(Table2[[#Headers],[Number Non-Insulated Wrap Slats]],Table2[#Headers],0),0)</f>
        <v>0</v>
      </c>
      <c r="BQ623" s="2">
        <f>VLOOKUP([jobnumber],OvalData[],MATCH(Table2[[#Headers],[Number of Insolated Top Slats]],Table2[#Headers],0),0)</f>
        <v>45</v>
      </c>
      <c r="BR623" s="2">
        <f>VLOOKUP([jobnumber],OvalData[],MATCH(Table2[[#Headers],[Insolated Total Slats]],Table2[#Headers],0),0)</f>
        <v>45</v>
      </c>
      <c r="BS623" s="2">
        <f>VLOOKUP([jobnumber],OvalData[],MATCH(Table2[[#Headers],[Number of Slats]],Table2[#Headers],0),0)</f>
        <v>44.69</v>
      </c>
      <c r="BT623" s="2">
        <f>VLOOKUP([jobnumber],OvalData[],MATCH(Table2[[#Headers],[Wrap]],Table2[#Headers],0),0)</f>
        <v>0</v>
      </c>
      <c r="BU623" s="2">
        <f>VLOOKUP([jobnumber],OvalData[],MATCH(Table2[[#Headers],[Wall Angle Thickness]],Table2[#Headers],0),0)</f>
        <v>0</v>
      </c>
      <c r="BV623" s="2">
        <f>VLOOKUP([jobnumber],OvalData[],MATCH(Table2[[#Headers],[windlocks]],Table2[#Headers],0),0)</f>
        <v>0</v>
      </c>
      <c r="BW623" s="2" t="str">
        <f>VLOOKUP([jobnumber],OvalData[],MATCH(Table2[[#Headers],[bottombartype]],Table2[#Headers],0),0)</f>
        <v>SPECIAL</v>
      </c>
      <c r="BX623" s="2">
        <f>VLOOKUP([jobnumber],OvalData[],MATCH(Table2[[#Headers],[endlockweight]],Table2[#Headers],0),0)</f>
        <v>0.17</v>
      </c>
      <c r="BY623" s="2">
        <f>VLOOKUP([jobnumber],OvalData[],MATCH(Table2[[#Headers],[Endlock Total Weight]],Table2[#Headers],0),0)</f>
        <v>7.5972999999999997</v>
      </c>
      <c r="BZ623" s="2">
        <f>VLOOKUP([jobnumber],OvalData[],MATCH(Table2[[#Headers],[Grille Weight]],Table2[#Headers],0),0)</f>
        <v>0</v>
      </c>
      <c r="CA623" s="2">
        <f>VLOOKUP([jobnumber],OvalData[],MATCH(Table2[[#Headers],[barrelrings]],Table2[#Headers],0),0)</f>
        <v>1</v>
      </c>
    </row>
    <row r="624" spans="2:79">
      <c r="B624" s="2" t="str">
        <f>VLOOKUP([jobnumber],OvalData[],MATCH(Table2[[#Headers],[Hand]],Table2[#Headers],0),0)</f>
        <v>RH</v>
      </c>
      <c r="C624" s="2" t="str">
        <f>VLOOKUP([jobnumber],OvalData[],MATCH(Table2[[#Headers],[Model]],Table2[#Headers],0),0)</f>
        <v>SFMPP</v>
      </c>
      <c r="D624" s="2" t="str">
        <f>VLOOKUP([jobnumber],OvalData[],MATCH(Table2[[#Headers],[width]],Table2[#Headers],0),0)</f>
        <v xml:space="preserve"> 18 ft.- 2"</v>
      </c>
      <c r="E624" s="2" t="str">
        <f>VLOOKUP([jobnumber],OvalData[],MATCH(Table2[[#Headers],[stopheight]],Table2[#Headers],0),0)</f>
        <v xml:space="preserve"> 10 ft.- 0"</v>
      </c>
      <c r="F624" s="2" t="str">
        <f>VLOOKUP([jobnumber],OvalData[],MATCH(Table2[[#Headers],[Between Brackets]],Table2[#Headers],0),0)</f>
        <v xml:space="preserve"> 18 ft.- 7 7/ 8"</v>
      </c>
      <c r="G624" s="2" t="str">
        <f>VLOOKUP([jobnumber],OvalData[],MATCH(Table2[[#Headers],[shell]],Table2[#Headers],0),0)</f>
        <v>6 INCH TUBE</v>
      </c>
      <c r="H624" s="2" t="str">
        <f>VLOOKUP([jobnumber],OvalData[],MATCH(Table2[[#Headers],[pipewidth]],Table2[#Headers],0),0)</f>
        <v xml:space="preserve"> 18 ft.- 1 3/ 8"</v>
      </c>
      <c r="I624" s="2">
        <f>VLOOKUP([jobnumber],OvalData[],MATCH(Table2[[#Headers],[Support Tubes]],Table2[#Headers],0),0)</f>
        <v>0</v>
      </c>
      <c r="J624" s="2">
        <f>VLOOKUP([jobnumber],OvalData[],MATCH(Table2[[#Headers],[Upset]],Table2[#Headers],0),0)</f>
        <v>2</v>
      </c>
      <c r="K624" s="2" t="str">
        <f>VLOOKUP([jobnumber],OvalData[],MATCH(Table2[[#Headers],[Guide Type]],Table2[#Headers],0),0)</f>
        <v>SN2-4 5/8-E</v>
      </c>
      <c r="L624" s="2" t="str">
        <f>VLOOKUP([jobnumber],OvalData[],MATCH(Table2[[#Headers],[Wall Angle]],Table2[#Headers],0),0)</f>
        <v xml:space="preserve"> 11 ft.- 8"</v>
      </c>
      <c r="M624" s="2" t="str">
        <f>VLOOKUP([jobnumber],OvalData[],MATCH(Table2[[#Headers],[Middle Angle]],Table2[#Headers],0),0)</f>
        <v xml:space="preserve"> 10 ft.- 4 1/ 2"</v>
      </c>
      <c r="N624" s="2" t="str">
        <f>VLOOKUP([jobnumber],OvalData[],MATCH(Table2[[#Headers],[Front Angle]],Table2[#Headers],0),0)</f>
        <v xml:space="preserve"> 10 ft.- 3"</v>
      </c>
      <c r="O624" s="2">
        <f>VLOOKUP([jobnumber],OvalData[],MATCH(Table2[[#Headers],[Pipe Center Line]],Table2[#Headers],0),0)</f>
        <v>131</v>
      </c>
      <c r="P624" s="2">
        <f>VLOOKUP([jobnumber],OvalData[],MATCH(Table2[[#Headers],[Heat Expansion Gap]],Table2[#Headers],0),0)</f>
        <v>0</v>
      </c>
      <c r="Q624" s="2">
        <f>VLOOKUP([jobnumber],OvalData[],MATCH(Table2[[#Headers],[Hanging Weight Closed]],Table2[#Headers],0),0)</f>
        <v>795</v>
      </c>
      <c r="R624" s="2">
        <f>VLOOKUP([jobnumber],OvalData[],MATCH(Table2[[#Headers],[Hanging Weight Open]],Table2[#Headers],0),0)</f>
        <v>140</v>
      </c>
      <c r="S624" s="2">
        <f>VLOOKUP([jobnumber],OvalData[],MATCH(Table2[[#Headers],[Initial Lever Arm]],Table2[#Headers],0),0)</f>
        <v>4.25</v>
      </c>
      <c r="T624" s="2">
        <f>VLOOKUP([jobnumber],OvalData[],MATCH(Table2[[#Headers],[Turns to Raise]],Table2[#Headers],0),0)</f>
        <v>3.5859999999999999</v>
      </c>
      <c r="U624" s="2">
        <f>VLOOKUP([jobnumber],OvalData[],MATCH(Table2[[#Headers],[Final Lever Arm]],Table2[#Headers],0),0)</f>
        <v>6.37</v>
      </c>
      <c r="V624" s="2">
        <f>VLOOKUP([jobnumber],OvalData[],MATCH(Table2[[#Headers],[Torque Required Closed]],Table2[#Headers],0),0)</f>
        <v>3377.9</v>
      </c>
      <c r="W624" s="2">
        <f>VLOOKUP([jobnumber],OvalData[],MATCH(Table2[[#Headers],[Torque Required Open]],Table2[#Headers],0),0)</f>
        <v>892</v>
      </c>
      <c r="X624" s="2">
        <f>VLOOKUP([jobnumber],OvalData[],MATCH(Table2[[#Headers],[Pre Turns]],Table2[#Headers],0),0)</f>
        <v>1.3332999999999999</v>
      </c>
      <c r="Y624" s="2">
        <f>VLOOKUP([jobnumber],OvalData[],MATCH(Table2[[#Headers],[Required Torque Per Turn]],Table2[#Headers],0),0)</f>
        <v>688</v>
      </c>
      <c r="Z624" s="2">
        <f>VLOOKUP([jobnumber],OvalData[],MATCH(Table2[[#Headers],[Total Turns]],Table2[#Headers],0),0)</f>
        <v>4.91</v>
      </c>
      <c r="AA624" s="2">
        <f>VLOOKUP([jobnumber],OvalData[],MATCH(Table2[[#Headers],[Grille Vision Section]],Table2[#Headers],0),0)</f>
        <v>0</v>
      </c>
      <c r="AB624" s="2">
        <f>VLOOKUP([jobnumber],OvalData[],MATCH(Table2[[#Headers],[Grille Amount]],Table2[#Headers],0),0)</f>
        <v>0</v>
      </c>
      <c r="AC624" s="2">
        <f>VLOOKUP([jobnumber],OvalData[],MATCH(Table2[[#Headers],[Grille Center]],Table2[#Headers],0),0)</f>
        <v>0</v>
      </c>
      <c r="AD624" s="2">
        <f>VLOOKUP([jobnumber],OvalData[],MATCH(Table2[[#Headers],[Grille Pattern]],Table2[#Headers],0),0)</f>
        <v>0</v>
      </c>
      <c r="AE624" s="2">
        <f>VLOOKUP([jobnumber],OvalData[],MATCH(Table2[[#Headers],[Grille First Tube]],Table2[#Headers],0),0)</f>
        <v>0</v>
      </c>
      <c r="AF624" s="2">
        <f>VLOOKUP([jobnumber],OvalData[],MATCH(Table2[[#Headers],[Grille Standard Tube]],Table2[#Headers],0),0)</f>
        <v>0</v>
      </c>
      <c r="AG624" s="2">
        <f>VLOOKUP([jobnumber],OvalData[],MATCH(Table2[[#Headers],[Grille Total Links]],Table2[#Headers],0),0)</f>
        <v>0</v>
      </c>
      <c r="AH624" s="2">
        <f>VLOOKUP([jobnumber],OvalData[],MATCH(Table2[[#Headers],[Grille Rods]],Table2[#Headers],0),0)</f>
        <v>0</v>
      </c>
      <c r="AI624" s="2">
        <f>VLOOKUP([jobnumber],OvalData[],MATCH(Table2[[#Headers],[Grille Rod Length]],Table2[#Headers],0),0)</f>
        <v>0</v>
      </c>
      <c r="AJ624" s="2">
        <f>VLOOKUP([jobnumber],OvalData[],MATCH(Table2[[#Headers],[slattype]],Table2[#Headers],0),0)</f>
        <v>2</v>
      </c>
      <c r="AK624" s="2">
        <f>VLOOKUP([jobnumber],OvalData[],MATCH(Table2[[#Headers],[slatgage]],Table2[#Headers],0),0)</f>
        <v>18</v>
      </c>
      <c r="AL624" s="2">
        <f>VLOOKUP([jobnumber],OvalData[],MATCH(Table2[[#Headers],[Numer of Top Slats]],Table2[#Headers],0),0)</f>
        <v>0</v>
      </c>
      <c r="AM624" s="2">
        <f>VLOOKUP([jobnumber],OvalData[],MATCH(Table2[[#Headers],[Number of Bottom Slats]],Table2[#Headers],0),0)</f>
        <v>0</v>
      </c>
      <c r="AN624" s="2">
        <f>VLOOKUP([jobnumber],OvalData[],MATCH(Table2[[#Headers],[Solid Bottom Height]],Table2[#Headers],0),0)</f>
        <v>0</v>
      </c>
      <c r="AO624" s="2" t="str">
        <f>VLOOKUP([jobnumber],OvalData[],MATCH(Table2[[#Headers],[slatlength]],Table2[#Headers],0),0)</f>
        <v xml:space="preserve"> 18 ft.- 5 7/ 8"</v>
      </c>
      <c r="AP624" s="2">
        <f>VLOOKUP([jobnumber],OvalData[],MATCH(Table2[[#Headers],[Bottom Slat Length]],Table2[#Headers],0),0)</f>
        <v>0</v>
      </c>
      <c r="AQ624" s="2">
        <f>VLOOKUP([jobnumber],OvalData[],MATCH(Table2[[#Headers],[Number of Perferated Slats]],Table2[#Headers],0),0)</f>
        <v>0</v>
      </c>
      <c r="AR624" s="2">
        <f>VLOOKUP([jobnumber],OvalData[],MATCH(Table2[[#Headers],[First Preferated Slat From End]],Table2[#Headers],0),0)</f>
        <v>0</v>
      </c>
      <c r="AS624" s="2">
        <f>VLOOKUP([jobnumber],OvalData[],MATCH(Table2[[#Headers],[First Preferated Slat From Bottom]],Table2[#Headers],0),0)</f>
        <v>0</v>
      </c>
      <c r="AT624" s="2">
        <f>VLOOKUP([jobnumber],OvalData[],MATCH(Table2[[#Headers],[Total Number of Slats]],Table2[#Headers],0),0)</f>
        <v>51</v>
      </c>
      <c r="AU624" s="2">
        <f>VLOOKUP([jobnumber],OvalData[],MATCH(Table2[[#Headers],[Bottom Bar Slope]],Table2[#Headers],0),0)</f>
        <v>0</v>
      </c>
      <c r="AV624" s="2">
        <f>VLOOKUP([jobnumber],OvalData[],MATCH(Table2[[#Headers],[Bottom Bar Weight]],Table2[#Headers],0),0)</f>
        <v>80.5</v>
      </c>
      <c r="AW624" s="2" t="str">
        <f>VLOOKUP([jobnumber],OvalData[],MATCH(Table2[[#Headers],[Outer Spring Gage]],Table2[#Headers],0),0)</f>
        <v>Null</v>
      </c>
      <c r="AX624" s="2" t="str">
        <f>VLOOKUP([jobnumber],OvalData[],MATCH(Table2[[#Headers],[Outer Spring OD]],Table2[#Headers],0),0)</f>
        <v>Null</v>
      </c>
      <c r="AY624" s="2" t="str">
        <f>VLOOKUP([jobnumber],OvalData[],MATCH(Table2[[#Headers],[Outer Spring Length]],Table2[#Headers],0),0)</f>
        <v>Null</v>
      </c>
      <c r="AZ624" s="2" t="str">
        <f>VLOOKUP([jobnumber],OvalData[],MATCH(Table2[[#Headers],[Outer Spring Stretch]],Table2[#Headers],0),0)</f>
        <v>Null</v>
      </c>
      <c r="BA624" s="2" t="str">
        <f>VLOOKUP([jobnumber],OvalData[],MATCH(Table2[[#Headers],[Outer Spring Torque]],Table2[#Headers],0),0)</f>
        <v>Null</v>
      </c>
      <c r="BB624" s="2" t="str">
        <f>VLOOKUP([jobnumber],OvalData[],MATCH(Table2[[#Headers],[Outer Spring Max Turns]],Table2[#Headers],0),0)</f>
        <v>Null</v>
      </c>
      <c r="BC624" s="2" t="str">
        <f>VLOOKUP([jobnumber],OvalData[],MATCH(Table2[[#Headers],[Outer Spring Weight]],Table2[#Headers],0),0)</f>
        <v>Null</v>
      </c>
      <c r="BD624" s="2" t="str">
        <f>VLOOKUP([jobnumber],OvalData[],MATCH(Table2[[#Headers],[Inner Spring Gage]],Table2[#Headers],0),0)</f>
        <v>Null</v>
      </c>
      <c r="BE624" s="2" t="str">
        <f>VLOOKUP([jobnumber],OvalData[],MATCH(Table2[[#Headers],[Inner Spring OD]],Table2[#Headers],0),0)</f>
        <v>Null</v>
      </c>
      <c r="BF624" s="2" t="str">
        <f>VLOOKUP([jobnumber],OvalData[],MATCH(Table2[[#Headers],[Inner Spring Length]],Table2[#Headers],0),0)</f>
        <v>Null</v>
      </c>
      <c r="BG624" s="2" t="str">
        <f>VLOOKUP([jobnumber],OvalData[],MATCH(Table2[[#Headers],[Inner Spring Stretch]],Table2[#Headers],0),0)</f>
        <v>Null</v>
      </c>
      <c r="BH624" s="2" t="str">
        <f>VLOOKUP([jobnumber],OvalData[],MATCH(Table2[[#Headers],[Inner Spring Torque]],Table2[#Headers],0),0)</f>
        <v>Null</v>
      </c>
      <c r="BI624" s="2" t="str">
        <f>VLOOKUP([jobnumber],OvalData[],MATCH(Table2[[#Headers],[Inner Spring Max Turns]],Table2[#Headers],0),0)</f>
        <v>Null</v>
      </c>
      <c r="BJ624" s="2" t="str">
        <f>VLOOKUP([jobnumber],OvalData[],MATCH(Table2[[#Headers],[Inner Spring Weight]],Table2[#Headers],0),0)</f>
        <v>Null</v>
      </c>
      <c r="BK624" s="2">
        <f>VLOOKUP([jobnumber],OvalData[],MATCH(Table2[[#Headers],[Cycles]],Table2[#Headers],0),0)</f>
        <v>0</v>
      </c>
      <c r="BL624" s="2">
        <f>VLOOKUP([jobnumber],OvalData[],MATCH(Table2[[#Headers],[Total Spring Torque]],Table2[#Headers],0),0)</f>
        <v>0</v>
      </c>
      <c r="BM624" s="2">
        <f>VLOOKUP([jobnumber],OvalData[],MATCH(Table2[[#Headers],[Total Spring Weight]],Table2[#Headers],0),0)</f>
        <v>0</v>
      </c>
      <c r="BN624" s="2">
        <f>VLOOKUP([jobnumber],OvalData[],MATCH(Table2[[#Headers],[Pipe Weight]],Table2[#Headers],0),0)</f>
        <v>688.24239999999998</v>
      </c>
      <c r="BO624" s="2">
        <f>VLOOKUP([jobnumber],OvalData[],MATCH(Table2[[#Headers],[Max Pipe Deflection]],Table2[#Headers],0),0)</f>
        <v>2309</v>
      </c>
      <c r="BP624" s="2">
        <f>VLOOKUP([jobnumber],OvalData[],MATCH(Table2[[#Headers],[Number Non-Insulated Wrap Slats]],Table2[#Headers],0),0)</f>
        <v>0</v>
      </c>
      <c r="BQ624" s="2">
        <f>VLOOKUP([jobnumber],OvalData[],MATCH(Table2[[#Headers],[Number of Insolated Top Slats]],Table2[#Headers],0),0)</f>
        <v>45</v>
      </c>
      <c r="BR624" s="2">
        <f>VLOOKUP([jobnumber],OvalData[],MATCH(Table2[[#Headers],[Insolated Total Slats]],Table2[#Headers],0),0)</f>
        <v>45</v>
      </c>
      <c r="BS624" s="2">
        <f>VLOOKUP([jobnumber],OvalData[],MATCH(Table2[[#Headers],[Number of Slats]],Table2[#Headers],0),0)</f>
        <v>44.69</v>
      </c>
      <c r="BT624" s="2">
        <f>VLOOKUP([jobnumber],OvalData[],MATCH(Table2[[#Headers],[Wrap]],Table2[#Headers],0),0)</f>
        <v>0</v>
      </c>
      <c r="BU624" s="2">
        <f>VLOOKUP([jobnumber],OvalData[],MATCH(Table2[[#Headers],[Wall Angle Thickness]],Table2[#Headers],0),0)</f>
        <v>0</v>
      </c>
      <c r="BV624" s="2">
        <f>VLOOKUP([jobnumber],OvalData[],MATCH(Table2[[#Headers],[windlocks]],Table2[#Headers],0),0)</f>
        <v>0</v>
      </c>
      <c r="BW624" s="2" t="str">
        <f>VLOOKUP([jobnumber],OvalData[],MATCH(Table2[[#Headers],[bottombartype]],Table2[#Headers],0),0)</f>
        <v>SPECIAL</v>
      </c>
      <c r="BX624" s="2">
        <f>VLOOKUP([jobnumber],OvalData[],MATCH(Table2[[#Headers],[endlockweight]],Table2[#Headers],0),0)</f>
        <v>0.17</v>
      </c>
      <c r="BY624" s="2">
        <f>VLOOKUP([jobnumber],OvalData[],MATCH(Table2[[#Headers],[Endlock Total Weight]],Table2[#Headers],0),0)</f>
        <v>7.5972999999999997</v>
      </c>
      <c r="BZ624" s="2">
        <f>VLOOKUP([jobnumber],OvalData[],MATCH(Table2[[#Headers],[Grille Weight]],Table2[#Headers],0),0)</f>
        <v>0</v>
      </c>
      <c r="CA624" s="2">
        <f>VLOOKUP([jobnumber],OvalData[],MATCH(Table2[[#Headers],[barrelrings]],Table2[#Headers],0),0)</f>
        <v>1</v>
      </c>
    </row>
    <row r="625" spans="2:79">
      <c r="B625" s="2" t="str">
        <f>VLOOKUP([jobnumber],OvalData[],MATCH(Table2[[#Headers],[Hand]],Table2[#Headers],0),0)</f>
        <v>RH</v>
      </c>
      <c r="C625" s="2" t="str">
        <f>VLOOKUP([jobnumber],OvalData[],MATCH(Table2[[#Headers],[Model]],Table2[#Headers],0),0)</f>
        <v>SFMPP</v>
      </c>
      <c r="D625" s="2" t="str">
        <f>VLOOKUP([jobnumber],OvalData[],MATCH(Table2[[#Headers],[width]],Table2[#Headers],0),0)</f>
        <v xml:space="preserve"> 18 ft.- 2"</v>
      </c>
      <c r="E625" s="2" t="str">
        <f>VLOOKUP([jobnumber],OvalData[],MATCH(Table2[[#Headers],[stopheight]],Table2[#Headers],0),0)</f>
        <v xml:space="preserve"> 10 ft.- 0"</v>
      </c>
      <c r="F625" s="2" t="str">
        <f>VLOOKUP([jobnumber],OvalData[],MATCH(Table2[[#Headers],[Between Brackets]],Table2[#Headers],0),0)</f>
        <v xml:space="preserve"> 18 ft.- 7 7/ 8"</v>
      </c>
      <c r="G625" s="2" t="str">
        <f>VLOOKUP([jobnumber],OvalData[],MATCH(Table2[[#Headers],[shell]],Table2[#Headers],0),0)</f>
        <v>6 INCH TUBE</v>
      </c>
      <c r="H625" s="2" t="str">
        <f>VLOOKUP([jobnumber],OvalData[],MATCH(Table2[[#Headers],[pipewidth]],Table2[#Headers],0),0)</f>
        <v xml:space="preserve"> 18 ft.- 1 3/ 8"</v>
      </c>
      <c r="I625" s="2">
        <f>VLOOKUP([jobnumber],OvalData[],MATCH(Table2[[#Headers],[Support Tubes]],Table2[#Headers],0),0)</f>
        <v>0</v>
      </c>
      <c r="J625" s="2">
        <f>VLOOKUP([jobnumber],OvalData[],MATCH(Table2[[#Headers],[Upset]],Table2[#Headers],0),0)</f>
        <v>2</v>
      </c>
      <c r="K625" s="2" t="str">
        <f>VLOOKUP([jobnumber],OvalData[],MATCH(Table2[[#Headers],[Guide Type]],Table2[#Headers],0),0)</f>
        <v>SN2-4 5/8-E</v>
      </c>
      <c r="L625" s="2" t="str">
        <f>VLOOKUP([jobnumber],OvalData[],MATCH(Table2[[#Headers],[Wall Angle]],Table2[#Headers],0),0)</f>
        <v xml:space="preserve"> 11 ft.- 8"</v>
      </c>
      <c r="M625" s="2" t="str">
        <f>VLOOKUP([jobnumber],OvalData[],MATCH(Table2[[#Headers],[Middle Angle]],Table2[#Headers],0),0)</f>
        <v xml:space="preserve"> 10 ft.- 4 1/ 2"</v>
      </c>
      <c r="N625" s="2" t="str">
        <f>VLOOKUP([jobnumber],OvalData[],MATCH(Table2[[#Headers],[Front Angle]],Table2[#Headers],0),0)</f>
        <v xml:space="preserve"> 10 ft.- 3"</v>
      </c>
      <c r="O625" s="2">
        <f>VLOOKUP([jobnumber],OvalData[],MATCH(Table2[[#Headers],[Pipe Center Line]],Table2[#Headers],0),0)</f>
        <v>131</v>
      </c>
      <c r="P625" s="2">
        <f>VLOOKUP([jobnumber],OvalData[],MATCH(Table2[[#Headers],[Heat Expansion Gap]],Table2[#Headers],0),0)</f>
        <v>0</v>
      </c>
      <c r="Q625" s="2">
        <f>VLOOKUP([jobnumber],OvalData[],MATCH(Table2[[#Headers],[Hanging Weight Closed]],Table2[#Headers],0),0)</f>
        <v>795</v>
      </c>
      <c r="R625" s="2">
        <f>VLOOKUP([jobnumber],OvalData[],MATCH(Table2[[#Headers],[Hanging Weight Open]],Table2[#Headers],0),0)</f>
        <v>140</v>
      </c>
      <c r="S625" s="2">
        <f>VLOOKUP([jobnumber],OvalData[],MATCH(Table2[[#Headers],[Initial Lever Arm]],Table2[#Headers],0),0)</f>
        <v>4.25</v>
      </c>
      <c r="T625" s="2">
        <f>VLOOKUP([jobnumber],OvalData[],MATCH(Table2[[#Headers],[Turns to Raise]],Table2[#Headers],0),0)</f>
        <v>3.5859999999999999</v>
      </c>
      <c r="U625" s="2">
        <f>VLOOKUP([jobnumber],OvalData[],MATCH(Table2[[#Headers],[Final Lever Arm]],Table2[#Headers],0),0)</f>
        <v>6.37</v>
      </c>
      <c r="V625" s="2">
        <f>VLOOKUP([jobnumber],OvalData[],MATCH(Table2[[#Headers],[Torque Required Closed]],Table2[#Headers],0),0)</f>
        <v>3377.9</v>
      </c>
      <c r="W625" s="2">
        <f>VLOOKUP([jobnumber],OvalData[],MATCH(Table2[[#Headers],[Torque Required Open]],Table2[#Headers],0),0)</f>
        <v>892</v>
      </c>
      <c r="X625" s="2">
        <f>VLOOKUP([jobnumber],OvalData[],MATCH(Table2[[#Headers],[Pre Turns]],Table2[#Headers],0),0)</f>
        <v>1.3332999999999999</v>
      </c>
      <c r="Y625" s="2">
        <f>VLOOKUP([jobnumber],OvalData[],MATCH(Table2[[#Headers],[Required Torque Per Turn]],Table2[#Headers],0),0)</f>
        <v>688</v>
      </c>
      <c r="Z625" s="2">
        <f>VLOOKUP([jobnumber],OvalData[],MATCH(Table2[[#Headers],[Total Turns]],Table2[#Headers],0),0)</f>
        <v>4.91</v>
      </c>
      <c r="AA625" s="2">
        <f>VLOOKUP([jobnumber],OvalData[],MATCH(Table2[[#Headers],[Grille Vision Section]],Table2[#Headers],0),0)</f>
        <v>0</v>
      </c>
      <c r="AB625" s="2">
        <f>VLOOKUP([jobnumber],OvalData[],MATCH(Table2[[#Headers],[Grille Amount]],Table2[#Headers],0),0)</f>
        <v>0</v>
      </c>
      <c r="AC625" s="2">
        <f>VLOOKUP([jobnumber],OvalData[],MATCH(Table2[[#Headers],[Grille Center]],Table2[#Headers],0),0)</f>
        <v>0</v>
      </c>
      <c r="AD625" s="2">
        <f>VLOOKUP([jobnumber],OvalData[],MATCH(Table2[[#Headers],[Grille Pattern]],Table2[#Headers],0),0)</f>
        <v>0</v>
      </c>
      <c r="AE625" s="2">
        <f>VLOOKUP([jobnumber],OvalData[],MATCH(Table2[[#Headers],[Grille First Tube]],Table2[#Headers],0),0)</f>
        <v>0</v>
      </c>
      <c r="AF625" s="2">
        <f>VLOOKUP([jobnumber],OvalData[],MATCH(Table2[[#Headers],[Grille Standard Tube]],Table2[#Headers],0),0)</f>
        <v>0</v>
      </c>
      <c r="AG625" s="2">
        <f>VLOOKUP([jobnumber],OvalData[],MATCH(Table2[[#Headers],[Grille Total Links]],Table2[#Headers],0),0)</f>
        <v>0</v>
      </c>
      <c r="AH625" s="2">
        <f>VLOOKUP([jobnumber],OvalData[],MATCH(Table2[[#Headers],[Grille Rods]],Table2[#Headers],0),0)</f>
        <v>0</v>
      </c>
      <c r="AI625" s="2">
        <f>VLOOKUP([jobnumber],OvalData[],MATCH(Table2[[#Headers],[Grille Rod Length]],Table2[#Headers],0),0)</f>
        <v>0</v>
      </c>
      <c r="AJ625" s="2">
        <f>VLOOKUP([jobnumber],OvalData[],MATCH(Table2[[#Headers],[slattype]],Table2[#Headers],0),0)</f>
        <v>2</v>
      </c>
      <c r="AK625" s="2">
        <f>VLOOKUP([jobnumber],OvalData[],MATCH(Table2[[#Headers],[slatgage]],Table2[#Headers],0),0)</f>
        <v>18</v>
      </c>
      <c r="AL625" s="2">
        <f>VLOOKUP([jobnumber],OvalData[],MATCH(Table2[[#Headers],[Numer of Top Slats]],Table2[#Headers],0),0)</f>
        <v>0</v>
      </c>
      <c r="AM625" s="2">
        <f>VLOOKUP([jobnumber],OvalData[],MATCH(Table2[[#Headers],[Number of Bottom Slats]],Table2[#Headers],0),0)</f>
        <v>0</v>
      </c>
      <c r="AN625" s="2">
        <f>VLOOKUP([jobnumber],OvalData[],MATCH(Table2[[#Headers],[Solid Bottom Height]],Table2[#Headers],0),0)</f>
        <v>0</v>
      </c>
      <c r="AO625" s="2" t="str">
        <f>VLOOKUP([jobnumber],OvalData[],MATCH(Table2[[#Headers],[slatlength]],Table2[#Headers],0),0)</f>
        <v xml:space="preserve"> 18 ft.- 5 7/ 8"</v>
      </c>
      <c r="AP625" s="2">
        <f>VLOOKUP([jobnumber],OvalData[],MATCH(Table2[[#Headers],[Bottom Slat Length]],Table2[#Headers],0),0)</f>
        <v>0</v>
      </c>
      <c r="AQ625" s="2">
        <f>VLOOKUP([jobnumber],OvalData[],MATCH(Table2[[#Headers],[Number of Perferated Slats]],Table2[#Headers],0),0)</f>
        <v>0</v>
      </c>
      <c r="AR625" s="2">
        <f>VLOOKUP([jobnumber],OvalData[],MATCH(Table2[[#Headers],[First Preferated Slat From End]],Table2[#Headers],0),0)</f>
        <v>0</v>
      </c>
      <c r="AS625" s="2">
        <f>VLOOKUP([jobnumber],OvalData[],MATCH(Table2[[#Headers],[First Preferated Slat From Bottom]],Table2[#Headers],0),0)</f>
        <v>0</v>
      </c>
      <c r="AT625" s="2">
        <f>VLOOKUP([jobnumber],OvalData[],MATCH(Table2[[#Headers],[Total Number of Slats]],Table2[#Headers],0),0)</f>
        <v>51</v>
      </c>
      <c r="AU625" s="2">
        <f>VLOOKUP([jobnumber],OvalData[],MATCH(Table2[[#Headers],[Bottom Bar Slope]],Table2[#Headers],0),0)</f>
        <v>0</v>
      </c>
      <c r="AV625" s="2">
        <f>VLOOKUP([jobnumber],OvalData[],MATCH(Table2[[#Headers],[Bottom Bar Weight]],Table2[#Headers],0),0)</f>
        <v>80.5</v>
      </c>
      <c r="AW625" s="2" t="str">
        <f>VLOOKUP([jobnumber],OvalData[],MATCH(Table2[[#Headers],[Outer Spring Gage]],Table2[#Headers],0),0)</f>
        <v>Null</v>
      </c>
      <c r="AX625" s="2" t="str">
        <f>VLOOKUP([jobnumber],OvalData[],MATCH(Table2[[#Headers],[Outer Spring OD]],Table2[#Headers],0),0)</f>
        <v>Null</v>
      </c>
      <c r="AY625" s="2" t="str">
        <f>VLOOKUP([jobnumber],OvalData[],MATCH(Table2[[#Headers],[Outer Spring Length]],Table2[#Headers],0),0)</f>
        <v>Null</v>
      </c>
      <c r="AZ625" s="2" t="str">
        <f>VLOOKUP([jobnumber],OvalData[],MATCH(Table2[[#Headers],[Outer Spring Stretch]],Table2[#Headers],0),0)</f>
        <v>Null</v>
      </c>
      <c r="BA625" s="2" t="str">
        <f>VLOOKUP([jobnumber],OvalData[],MATCH(Table2[[#Headers],[Outer Spring Torque]],Table2[#Headers],0),0)</f>
        <v>Null</v>
      </c>
      <c r="BB625" s="2" t="str">
        <f>VLOOKUP([jobnumber],OvalData[],MATCH(Table2[[#Headers],[Outer Spring Max Turns]],Table2[#Headers],0),0)</f>
        <v>Null</v>
      </c>
      <c r="BC625" s="2" t="str">
        <f>VLOOKUP([jobnumber],OvalData[],MATCH(Table2[[#Headers],[Outer Spring Weight]],Table2[#Headers],0),0)</f>
        <v>Null</v>
      </c>
      <c r="BD625" s="2" t="str">
        <f>VLOOKUP([jobnumber],OvalData[],MATCH(Table2[[#Headers],[Inner Spring Gage]],Table2[#Headers],0),0)</f>
        <v>Null</v>
      </c>
      <c r="BE625" s="2" t="str">
        <f>VLOOKUP([jobnumber],OvalData[],MATCH(Table2[[#Headers],[Inner Spring OD]],Table2[#Headers],0),0)</f>
        <v>Null</v>
      </c>
      <c r="BF625" s="2" t="str">
        <f>VLOOKUP([jobnumber],OvalData[],MATCH(Table2[[#Headers],[Inner Spring Length]],Table2[#Headers],0),0)</f>
        <v>Null</v>
      </c>
      <c r="BG625" s="2" t="str">
        <f>VLOOKUP([jobnumber],OvalData[],MATCH(Table2[[#Headers],[Inner Spring Stretch]],Table2[#Headers],0),0)</f>
        <v>Null</v>
      </c>
      <c r="BH625" s="2" t="str">
        <f>VLOOKUP([jobnumber],OvalData[],MATCH(Table2[[#Headers],[Inner Spring Torque]],Table2[#Headers],0),0)</f>
        <v>Null</v>
      </c>
      <c r="BI625" s="2" t="str">
        <f>VLOOKUP([jobnumber],OvalData[],MATCH(Table2[[#Headers],[Inner Spring Max Turns]],Table2[#Headers],0),0)</f>
        <v>Null</v>
      </c>
      <c r="BJ625" s="2" t="str">
        <f>VLOOKUP([jobnumber],OvalData[],MATCH(Table2[[#Headers],[Inner Spring Weight]],Table2[#Headers],0),0)</f>
        <v>Null</v>
      </c>
      <c r="BK625" s="2">
        <f>VLOOKUP([jobnumber],OvalData[],MATCH(Table2[[#Headers],[Cycles]],Table2[#Headers],0),0)</f>
        <v>0</v>
      </c>
      <c r="BL625" s="2">
        <f>VLOOKUP([jobnumber],OvalData[],MATCH(Table2[[#Headers],[Total Spring Torque]],Table2[#Headers],0),0)</f>
        <v>0</v>
      </c>
      <c r="BM625" s="2">
        <f>VLOOKUP([jobnumber],OvalData[],MATCH(Table2[[#Headers],[Total Spring Weight]],Table2[#Headers],0),0)</f>
        <v>0</v>
      </c>
      <c r="BN625" s="2">
        <f>VLOOKUP([jobnumber],OvalData[],MATCH(Table2[[#Headers],[Pipe Weight]],Table2[#Headers],0),0)</f>
        <v>688.24239999999998</v>
      </c>
      <c r="BO625" s="2">
        <f>VLOOKUP([jobnumber],OvalData[],MATCH(Table2[[#Headers],[Max Pipe Deflection]],Table2[#Headers],0),0)</f>
        <v>2309</v>
      </c>
      <c r="BP625" s="2">
        <f>VLOOKUP([jobnumber],OvalData[],MATCH(Table2[[#Headers],[Number Non-Insulated Wrap Slats]],Table2[#Headers],0),0)</f>
        <v>0</v>
      </c>
      <c r="BQ625" s="2">
        <f>VLOOKUP([jobnumber],OvalData[],MATCH(Table2[[#Headers],[Number of Insolated Top Slats]],Table2[#Headers],0),0)</f>
        <v>45</v>
      </c>
      <c r="BR625" s="2">
        <f>VLOOKUP([jobnumber],OvalData[],MATCH(Table2[[#Headers],[Insolated Total Slats]],Table2[#Headers],0),0)</f>
        <v>45</v>
      </c>
      <c r="BS625" s="2">
        <f>VLOOKUP([jobnumber],OvalData[],MATCH(Table2[[#Headers],[Number of Slats]],Table2[#Headers],0),0)</f>
        <v>44.69</v>
      </c>
      <c r="BT625" s="2">
        <f>VLOOKUP([jobnumber],OvalData[],MATCH(Table2[[#Headers],[Wrap]],Table2[#Headers],0),0)</f>
        <v>0</v>
      </c>
      <c r="BU625" s="2">
        <f>VLOOKUP([jobnumber],OvalData[],MATCH(Table2[[#Headers],[Wall Angle Thickness]],Table2[#Headers],0),0)</f>
        <v>0</v>
      </c>
      <c r="BV625" s="2">
        <f>VLOOKUP([jobnumber],OvalData[],MATCH(Table2[[#Headers],[windlocks]],Table2[#Headers],0),0)</f>
        <v>0</v>
      </c>
      <c r="BW625" s="2" t="str">
        <f>VLOOKUP([jobnumber],OvalData[],MATCH(Table2[[#Headers],[bottombartype]],Table2[#Headers],0),0)</f>
        <v>SPECIAL</v>
      </c>
      <c r="BX625" s="2">
        <f>VLOOKUP([jobnumber],OvalData[],MATCH(Table2[[#Headers],[endlockweight]],Table2[#Headers],0),0)</f>
        <v>0.17</v>
      </c>
      <c r="BY625" s="2">
        <f>VLOOKUP([jobnumber],OvalData[],MATCH(Table2[[#Headers],[Endlock Total Weight]],Table2[#Headers],0),0)</f>
        <v>7.5972999999999997</v>
      </c>
      <c r="BZ625" s="2">
        <f>VLOOKUP([jobnumber],OvalData[],MATCH(Table2[[#Headers],[Grille Weight]],Table2[#Headers],0),0)</f>
        <v>0</v>
      </c>
      <c r="CA625" s="2">
        <f>VLOOKUP([jobnumber],OvalData[],MATCH(Table2[[#Headers],[barrelrings]],Table2[#Headers],0),0)</f>
        <v>1</v>
      </c>
    </row>
    <row r="626" spans="2:79">
      <c r="B626" s="2" t="str">
        <f>VLOOKUP([jobnumber],OvalData[],MATCH(Table2[[#Headers],[Hand]],Table2[#Headers],0),0)</f>
        <v>RH</v>
      </c>
      <c r="C626" s="2" t="str">
        <f>VLOOKUP([jobnumber],OvalData[],MATCH(Table2[[#Headers],[Model]],Table2[#Headers],0),0)</f>
        <v>SFMPP</v>
      </c>
      <c r="D626" s="2" t="str">
        <f>VLOOKUP([jobnumber],OvalData[],MATCH(Table2[[#Headers],[width]],Table2[#Headers],0),0)</f>
        <v xml:space="preserve"> 18 ft.- 2"</v>
      </c>
      <c r="E626" s="2" t="str">
        <f>VLOOKUP([jobnumber],OvalData[],MATCH(Table2[[#Headers],[stopheight]],Table2[#Headers],0),0)</f>
        <v xml:space="preserve"> 10 ft.- 0"</v>
      </c>
      <c r="F626" s="2" t="str">
        <f>VLOOKUP([jobnumber],OvalData[],MATCH(Table2[[#Headers],[Between Brackets]],Table2[#Headers],0),0)</f>
        <v xml:space="preserve"> 18 ft.- 7 7/ 8"</v>
      </c>
      <c r="G626" s="2" t="str">
        <f>VLOOKUP([jobnumber],OvalData[],MATCH(Table2[[#Headers],[shell]],Table2[#Headers],0),0)</f>
        <v>6 INCH TUBE</v>
      </c>
      <c r="H626" s="2" t="str">
        <f>VLOOKUP([jobnumber],OvalData[],MATCH(Table2[[#Headers],[pipewidth]],Table2[#Headers],0),0)</f>
        <v xml:space="preserve"> 18 ft.- 1 3/ 8"</v>
      </c>
      <c r="I626" s="2">
        <f>VLOOKUP([jobnumber],OvalData[],MATCH(Table2[[#Headers],[Support Tubes]],Table2[#Headers],0),0)</f>
        <v>0</v>
      </c>
      <c r="J626" s="2">
        <f>VLOOKUP([jobnumber],OvalData[],MATCH(Table2[[#Headers],[Upset]],Table2[#Headers],0),0)</f>
        <v>2</v>
      </c>
      <c r="K626" s="2" t="str">
        <f>VLOOKUP([jobnumber],OvalData[],MATCH(Table2[[#Headers],[Guide Type]],Table2[#Headers],0),0)</f>
        <v>SN2-4 5/8-E</v>
      </c>
      <c r="L626" s="2" t="str">
        <f>VLOOKUP([jobnumber],OvalData[],MATCH(Table2[[#Headers],[Wall Angle]],Table2[#Headers],0),0)</f>
        <v xml:space="preserve"> 11 ft.- 8"</v>
      </c>
      <c r="M626" s="2" t="str">
        <f>VLOOKUP([jobnumber],OvalData[],MATCH(Table2[[#Headers],[Middle Angle]],Table2[#Headers],0),0)</f>
        <v xml:space="preserve"> 10 ft.- 4 1/ 2"</v>
      </c>
      <c r="N626" s="2" t="str">
        <f>VLOOKUP([jobnumber],OvalData[],MATCH(Table2[[#Headers],[Front Angle]],Table2[#Headers],0),0)</f>
        <v xml:space="preserve"> 10 ft.- 3"</v>
      </c>
      <c r="O626" s="2">
        <f>VLOOKUP([jobnumber],OvalData[],MATCH(Table2[[#Headers],[Pipe Center Line]],Table2[#Headers],0),0)</f>
        <v>131</v>
      </c>
      <c r="P626" s="2">
        <f>VLOOKUP([jobnumber],OvalData[],MATCH(Table2[[#Headers],[Heat Expansion Gap]],Table2[#Headers],0),0)</f>
        <v>0</v>
      </c>
      <c r="Q626" s="2">
        <f>VLOOKUP([jobnumber],OvalData[],MATCH(Table2[[#Headers],[Hanging Weight Closed]],Table2[#Headers],0),0)</f>
        <v>795</v>
      </c>
      <c r="R626" s="2">
        <f>VLOOKUP([jobnumber],OvalData[],MATCH(Table2[[#Headers],[Hanging Weight Open]],Table2[#Headers],0),0)</f>
        <v>140</v>
      </c>
      <c r="S626" s="2">
        <f>VLOOKUP([jobnumber],OvalData[],MATCH(Table2[[#Headers],[Initial Lever Arm]],Table2[#Headers],0),0)</f>
        <v>4.25</v>
      </c>
      <c r="T626" s="2">
        <f>VLOOKUP([jobnumber],OvalData[],MATCH(Table2[[#Headers],[Turns to Raise]],Table2[#Headers],0),0)</f>
        <v>3.5859999999999999</v>
      </c>
      <c r="U626" s="2">
        <f>VLOOKUP([jobnumber],OvalData[],MATCH(Table2[[#Headers],[Final Lever Arm]],Table2[#Headers],0),0)</f>
        <v>6.37</v>
      </c>
      <c r="V626" s="2">
        <f>VLOOKUP([jobnumber],OvalData[],MATCH(Table2[[#Headers],[Torque Required Closed]],Table2[#Headers],0),0)</f>
        <v>3377.9</v>
      </c>
      <c r="W626" s="2">
        <f>VLOOKUP([jobnumber],OvalData[],MATCH(Table2[[#Headers],[Torque Required Open]],Table2[#Headers],0),0)</f>
        <v>892</v>
      </c>
      <c r="X626" s="2">
        <f>VLOOKUP([jobnumber],OvalData[],MATCH(Table2[[#Headers],[Pre Turns]],Table2[#Headers],0),0)</f>
        <v>1.3332999999999999</v>
      </c>
      <c r="Y626" s="2">
        <f>VLOOKUP([jobnumber],OvalData[],MATCH(Table2[[#Headers],[Required Torque Per Turn]],Table2[#Headers],0),0)</f>
        <v>688</v>
      </c>
      <c r="Z626" s="2">
        <f>VLOOKUP([jobnumber],OvalData[],MATCH(Table2[[#Headers],[Total Turns]],Table2[#Headers],0),0)</f>
        <v>4.91</v>
      </c>
      <c r="AA626" s="2">
        <f>VLOOKUP([jobnumber],OvalData[],MATCH(Table2[[#Headers],[Grille Vision Section]],Table2[#Headers],0),0)</f>
        <v>0</v>
      </c>
      <c r="AB626" s="2">
        <f>VLOOKUP([jobnumber],OvalData[],MATCH(Table2[[#Headers],[Grille Amount]],Table2[#Headers],0),0)</f>
        <v>0</v>
      </c>
      <c r="AC626" s="2">
        <f>VLOOKUP([jobnumber],OvalData[],MATCH(Table2[[#Headers],[Grille Center]],Table2[#Headers],0),0)</f>
        <v>0</v>
      </c>
      <c r="AD626" s="2">
        <f>VLOOKUP([jobnumber],OvalData[],MATCH(Table2[[#Headers],[Grille Pattern]],Table2[#Headers],0),0)</f>
        <v>0</v>
      </c>
      <c r="AE626" s="2">
        <f>VLOOKUP([jobnumber],OvalData[],MATCH(Table2[[#Headers],[Grille First Tube]],Table2[#Headers],0),0)</f>
        <v>0</v>
      </c>
      <c r="AF626" s="2">
        <f>VLOOKUP([jobnumber],OvalData[],MATCH(Table2[[#Headers],[Grille Standard Tube]],Table2[#Headers],0),0)</f>
        <v>0</v>
      </c>
      <c r="AG626" s="2">
        <f>VLOOKUP([jobnumber],OvalData[],MATCH(Table2[[#Headers],[Grille Total Links]],Table2[#Headers],0),0)</f>
        <v>0</v>
      </c>
      <c r="AH626" s="2">
        <f>VLOOKUP([jobnumber],OvalData[],MATCH(Table2[[#Headers],[Grille Rods]],Table2[#Headers],0),0)</f>
        <v>0</v>
      </c>
      <c r="AI626" s="2">
        <f>VLOOKUP([jobnumber],OvalData[],MATCH(Table2[[#Headers],[Grille Rod Length]],Table2[#Headers],0),0)</f>
        <v>0</v>
      </c>
      <c r="AJ626" s="2">
        <f>VLOOKUP([jobnumber],OvalData[],MATCH(Table2[[#Headers],[slattype]],Table2[#Headers],0),0)</f>
        <v>2</v>
      </c>
      <c r="AK626" s="2">
        <f>VLOOKUP([jobnumber],OvalData[],MATCH(Table2[[#Headers],[slatgage]],Table2[#Headers],0),0)</f>
        <v>18</v>
      </c>
      <c r="AL626" s="2">
        <f>VLOOKUP([jobnumber],OvalData[],MATCH(Table2[[#Headers],[Numer of Top Slats]],Table2[#Headers],0),0)</f>
        <v>0</v>
      </c>
      <c r="AM626" s="2">
        <f>VLOOKUP([jobnumber],OvalData[],MATCH(Table2[[#Headers],[Number of Bottom Slats]],Table2[#Headers],0),0)</f>
        <v>0</v>
      </c>
      <c r="AN626" s="2">
        <f>VLOOKUP([jobnumber],OvalData[],MATCH(Table2[[#Headers],[Solid Bottom Height]],Table2[#Headers],0),0)</f>
        <v>0</v>
      </c>
      <c r="AO626" s="2" t="str">
        <f>VLOOKUP([jobnumber],OvalData[],MATCH(Table2[[#Headers],[slatlength]],Table2[#Headers],0),0)</f>
        <v xml:space="preserve"> 18 ft.- 5 7/ 8"</v>
      </c>
      <c r="AP626" s="2">
        <f>VLOOKUP([jobnumber],OvalData[],MATCH(Table2[[#Headers],[Bottom Slat Length]],Table2[#Headers],0),0)</f>
        <v>0</v>
      </c>
      <c r="AQ626" s="2">
        <f>VLOOKUP([jobnumber],OvalData[],MATCH(Table2[[#Headers],[Number of Perferated Slats]],Table2[#Headers],0),0)</f>
        <v>0</v>
      </c>
      <c r="AR626" s="2">
        <f>VLOOKUP([jobnumber],OvalData[],MATCH(Table2[[#Headers],[First Preferated Slat From End]],Table2[#Headers],0),0)</f>
        <v>0</v>
      </c>
      <c r="AS626" s="2">
        <f>VLOOKUP([jobnumber],OvalData[],MATCH(Table2[[#Headers],[First Preferated Slat From Bottom]],Table2[#Headers],0),0)</f>
        <v>0</v>
      </c>
      <c r="AT626" s="2">
        <f>VLOOKUP([jobnumber],OvalData[],MATCH(Table2[[#Headers],[Total Number of Slats]],Table2[#Headers],0),0)</f>
        <v>51</v>
      </c>
      <c r="AU626" s="2">
        <f>VLOOKUP([jobnumber],OvalData[],MATCH(Table2[[#Headers],[Bottom Bar Slope]],Table2[#Headers],0),0)</f>
        <v>0</v>
      </c>
      <c r="AV626" s="2">
        <f>VLOOKUP([jobnumber],OvalData[],MATCH(Table2[[#Headers],[Bottom Bar Weight]],Table2[#Headers],0),0)</f>
        <v>80.5</v>
      </c>
      <c r="AW626" s="2" t="str">
        <f>VLOOKUP([jobnumber],OvalData[],MATCH(Table2[[#Headers],[Outer Spring Gage]],Table2[#Headers],0),0)</f>
        <v>Null</v>
      </c>
      <c r="AX626" s="2" t="str">
        <f>VLOOKUP([jobnumber],OvalData[],MATCH(Table2[[#Headers],[Outer Spring OD]],Table2[#Headers],0),0)</f>
        <v>Null</v>
      </c>
      <c r="AY626" s="2" t="str">
        <f>VLOOKUP([jobnumber],OvalData[],MATCH(Table2[[#Headers],[Outer Spring Length]],Table2[#Headers],0),0)</f>
        <v>Null</v>
      </c>
      <c r="AZ626" s="2" t="str">
        <f>VLOOKUP([jobnumber],OvalData[],MATCH(Table2[[#Headers],[Outer Spring Stretch]],Table2[#Headers],0),0)</f>
        <v>Null</v>
      </c>
      <c r="BA626" s="2" t="str">
        <f>VLOOKUP([jobnumber],OvalData[],MATCH(Table2[[#Headers],[Outer Spring Torque]],Table2[#Headers],0),0)</f>
        <v>Null</v>
      </c>
      <c r="BB626" s="2" t="str">
        <f>VLOOKUP([jobnumber],OvalData[],MATCH(Table2[[#Headers],[Outer Spring Max Turns]],Table2[#Headers],0),0)</f>
        <v>Null</v>
      </c>
      <c r="BC626" s="2" t="str">
        <f>VLOOKUP([jobnumber],OvalData[],MATCH(Table2[[#Headers],[Outer Spring Weight]],Table2[#Headers],0),0)</f>
        <v>Null</v>
      </c>
      <c r="BD626" s="2" t="str">
        <f>VLOOKUP([jobnumber],OvalData[],MATCH(Table2[[#Headers],[Inner Spring Gage]],Table2[#Headers],0),0)</f>
        <v>Null</v>
      </c>
      <c r="BE626" s="2" t="str">
        <f>VLOOKUP([jobnumber],OvalData[],MATCH(Table2[[#Headers],[Inner Spring OD]],Table2[#Headers],0),0)</f>
        <v>Null</v>
      </c>
      <c r="BF626" s="2" t="str">
        <f>VLOOKUP([jobnumber],OvalData[],MATCH(Table2[[#Headers],[Inner Spring Length]],Table2[#Headers],0),0)</f>
        <v>Null</v>
      </c>
      <c r="BG626" s="2" t="str">
        <f>VLOOKUP([jobnumber],OvalData[],MATCH(Table2[[#Headers],[Inner Spring Stretch]],Table2[#Headers],0),0)</f>
        <v>Null</v>
      </c>
      <c r="BH626" s="2" t="str">
        <f>VLOOKUP([jobnumber],OvalData[],MATCH(Table2[[#Headers],[Inner Spring Torque]],Table2[#Headers],0),0)</f>
        <v>Null</v>
      </c>
      <c r="BI626" s="2" t="str">
        <f>VLOOKUP([jobnumber],OvalData[],MATCH(Table2[[#Headers],[Inner Spring Max Turns]],Table2[#Headers],0),0)</f>
        <v>Null</v>
      </c>
      <c r="BJ626" s="2" t="str">
        <f>VLOOKUP([jobnumber],OvalData[],MATCH(Table2[[#Headers],[Inner Spring Weight]],Table2[#Headers],0),0)</f>
        <v>Null</v>
      </c>
      <c r="BK626" s="2">
        <f>VLOOKUP([jobnumber],OvalData[],MATCH(Table2[[#Headers],[Cycles]],Table2[#Headers],0),0)</f>
        <v>0</v>
      </c>
      <c r="BL626" s="2">
        <f>VLOOKUP([jobnumber],OvalData[],MATCH(Table2[[#Headers],[Total Spring Torque]],Table2[#Headers],0),0)</f>
        <v>0</v>
      </c>
      <c r="BM626" s="2">
        <f>VLOOKUP([jobnumber],OvalData[],MATCH(Table2[[#Headers],[Total Spring Weight]],Table2[#Headers],0),0)</f>
        <v>0</v>
      </c>
      <c r="BN626" s="2">
        <f>VLOOKUP([jobnumber],OvalData[],MATCH(Table2[[#Headers],[Pipe Weight]],Table2[#Headers],0),0)</f>
        <v>688.24239999999998</v>
      </c>
      <c r="BO626" s="2">
        <f>VLOOKUP([jobnumber],OvalData[],MATCH(Table2[[#Headers],[Max Pipe Deflection]],Table2[#Headers],0),0)</f>
        <v>2309</v>
      </c>
      <c r="BP626" s="2">
        <f>VLOOKUP([jobnumber],OvalData[],MATCH(Table2[[#Headers],[Number Non-Insulated Wrap Slats]],Table2[#Headers],0),0)</f>
        <v>0</v>
      </c>
      <c r="BQ626" s="2">
        <f>VLOOKUP([jobnumber],OvalData[],MATCH(Table2[[#Headers],[Number of Insolated Top Slats]],Table2[#Headers],0),0)</f>
        <v>45</v>
      </c>
      <c r="BR626" s="2">
        <f>VLOOKUP([jobnumber],OvalData[],MATCH(Table2[[#Headers],[Insolated Total Slats]],Table2[#Headers],0),0)</f>
        <v>45</v>
      </c>
      <c r="BS626" s="2">
        <f>VLOOKUP([jobnumber],OvalData[],MATCH(Table2[[#Headers],[Number of Slats]],Table2[#Headers],0),0)</f>
        <v>44.69</v>
      </c>
      <c r="BT626" s="2">
        <f>VLOOKUP([jobnumber],OvalData[],MATCH(Table2[[#Headers],[Wrap]],Table2[#Headers],0),0)</f>
        <v>0</v>
      </c>
      <c r="BU626" s="2">
        <f>VLOOKUP([jobnumber],OvalData[],MATCH(Table2[[#Headers],[Wall Angle Thickness]],Table2[#Headers],0),0)</f>
        <v>0</v>
      </c>
      <c r="BV626" s="2">
        <f>VLOOKUP([jobnumber],OvalData[],MATCH(Table2[[#Headers],[windlocks]],Table2[#Headers],0),0)</f>
        <v>0</v>
      </c>
      <c r="BW626" s="2" t="str">
        <f>VLOOKUP([jobnumber],OvalData[],MATCH(Table2[[#Headers],[bottombartype]],Table2[#Headers],0),0)</f>
        <v>SPECIAL</v>
      </c>
      <c r="BX626" s="2">
        <f>VLOOKUP([jobnumber],OvalData[],MATCH(Table2[[#Headers],[endlockweight]],Table2[#Headers],0),0)</f>
        <v>0.17</v>
      </c>
      <c r="BY626" s="2">
        <f>VLOOKUP([jobnumber],OvalData[],MATCH(Table2[[#Headers],[Endlock Total Weight]],Table2[#Headers],0),0)</f>
        <v>7.5972999999999997</v>
      </c>
      <c r="BZ626" s="2">
        <f>VLOOKUP([jobnumber],OvalData[],MATCH(Table2[[#Headers],[Grille Weight]],Table2[#Headers],0),0)</f>
        <v>0</v>
      </c>
      <c r="CA626" s="2">
        <f>VLOOKUP([jobnumber],OvalData[],MATCH(Table2[[#Headers],[barrelrings]],Table2[#Headers],0),0)</f>
        <v>1</v>
      </c>
    </row>
    <row r="627" spans="2:79">
      <c r="B627" s="2" t="str">
        <f>VLOOKUP([jobnumber],OvalData[],MATCH(Table2[[#Headers],[Hand]],Table2[#Headers],0),0)</f>
        <v>RH</v>
      </c>
      <c r="C627" s="2" t="str">
        <f>VLOOKUP([jobnumber],OvalData[],MATCH(Table2[[#Headers],[Model]],Table2[#Headers],0),0)</f>
        <v>SFMPP</v>
      </c>
      <c r="D627" s="2" t="str">
        <f>VLOOKUP([jobnumber],OvalData[],MATCH(Table2[[#Headers],[width]],Table2[#Headers],0),0)</f>
        <v xml:space="preserve"> 18 ft.- 2"</v>
      </c>
      <c r="E627" s="2" t="str">
        <f>VLOOKUP([jobnumber],OvalData[],MATCH(Table2[[#Headers],[stopheight]],Table2[#Headers],0),0)</f>
        <v xml:space="preserve"> 10 ft.- 0"</v>
      </c>
      <c r="F627" s="2" t="str">
        <f>VLOOKUP([jobnumber],OvalData[],MATCH(Table2[[#Headers],[Between Brackets]],Table2[#Headers],0),0)</f>
        <v xml:space="preserve"> 18 ft.- 7 7/ 8"</v>
      </c>
      <c r="G627" s="2" t="str">
        <f>VLOOKUP([jobnumber],OvalData[],MATCH(Table2[[#Headers],[shell]],Table2[#Headers],0),0)</f>
        <v>6 INCH TUBE</v>
      </c>
      <c r="H627" s="2" t="str">
        <f>VLOOKUP([jobnumber],OvalData[],MATCH(Table2[[#Headers],[pipewidth]],Table2[#Headers],0),0)</f>
        <v xml:space="preserve"> 18 ft.- 1 3/ 8"</v>
      </c>
      <c r="I627" s="2">
        <f>VLOOKUP([jobnumber],OvalData[],MATCH(Table2[[#Headers],[Support Tubes]],Table2[#Headers],0),0)</f>
        <v>0</v>
      </c>
      <c r="J627" s="2">
        <f>VLOOKUP([jobnumber],OvalData[],MATCH(Table2[[#Headers],[Upset]],Table2[#Headers],0),0)</f>
        <v>2</v>
      </c>
      <c r="K627" s="2" t="str">
        <f>VLOOKUP([jobnumber],OvalData[],MATCH(Table2[[#Headers],[Guide Type]],Table2[#Headers],0),0)</f>
        <v>SN2-4 5/8-E</v>
      </c>
      <c r="L627" s="2" t="str">
        <f>VLOOKUP([jobnumber],OvalData[],MATCH(Table2[[#Headers],[Wall Angle]],Table2[#Headers],0),0)</f>
        <v xml:space="preserve"> 11 ft.- 8"</v>
      </c>
      <c r="M627" s="2" t="str">
        <f>VLOOKUP([jobnumber],OvalData[],MATCH(Table2[[#Headers],[Middle Angle]],Table2[#Headers],0),0)</f>
        <v xml:space="preserve"> 10 ft.- 4 1/ 2"</v>
      </c>
      <c r="N627" s="2" t="str">
        <f>VLOOKUP([jobnumber],OvalData[],MATCH(Table2[[#Headers],[Front Angle]],Table2[#Headers],0),0)</f>
        <v xml:space="preserve"> 10 ft.- 3"</v>
      </c>
      <c r="O627" s="2">
        <f>VLOOKUP([jobnumber],OvalData[],MATCH(Table2[[#Headers],[Pipe Center Line]],Table2[#Headers],0),0)</f>
        <v>131</v>
      </c>
      <c r="P627" s="2">
        <f>VLOOKUP([jobnumber],OvalData[],MATCH(Table2[[#Headers],[Heat Expansion Gap]],Table2[#Headers],0),0)</f>
        <v>0</v>
      </c>
      <c r="Q627" s="2">
        <f>VLOOKUP([jobnumber],OvalData[],MATCH(Table2[[#Headers],[Hanging Weight Closed]],Table2[#Headers],0),0)</f>
        <v>795</v>
      </c>
      <c r="R627" s="2">
        <f>VLOOKUP([jobnumber],OvalData[],MATCH(Table2[[#Headers],[Hanging Weight Open]],Table2[#Headers],0),0)</f>
        <v>140</v>
      </c>
      <c r="S627" s="2">
        <f>VLOOKUP([jobnumber],OvalData[],MATCH(Table2[[#Headers],[Initial Lever Arm]],Table2[#Headers],0),0)</f>
        <v>4.25</v>
      </c>
      <c r="T627" s="2">
        <f>VLOOKUP([jobnumber],OvalData[],MATCH(Table2[[#Headers],[Turns to Raise]],Table2[#Headers],0),0)</f>
        <v>3.5859999999999999</v>
      </c>
      <c r="U627" s="2">
        <f>VLOOKUP([jobnumber],OvalData[],MATCH(Table2[[#Headers],[Final Lever Arm]],Table2[#Headers],0),0)</f>
        <v>6.37</v>
      </c>
      <c r="V627" s="2">
        <f>VLOOKUP([jobnumber],OvalData[],MATCH(Table2[[#Headers],[Torque Required Closed]],Table2[#Headers],0),0)</f>
        <v>3377.9</v>
      </c>
      <c r="W627" s="2">
        <f>VLOOKUP([jobnumber],OvalData[],MATCH(Table2[[#Headers],[Torque Required Open]],Table2[#Headers],0),0)</f>
        <v>892</v>
      </c>
      <c r="X627" s="2">
        <f>VLOOKUP([jobnumber],OvalData[],MATCH(Table2[[#Headers],[Pre Turns]],Table2[#Headers],0),0)</f>
        <v>1.3332999999999999</v>
      </c>
      <c r="Y627" s="2">
        <f>VLOOKUP([jobnumber],OvalData[],MATCH(Table2[[#Headers],[Required Torque Per Turn]],Table2[#Headers],0),0)</f>
        <v>688</v>
      </c>
      <c r="Z627" s="2">
        <f>VLOOKUP([jobnumber],OvalData[],MATCH(Table2[[#Headers],[Total Turns]],Table2[#Headers],0),0)</f>
        <v>4.91</v>
      </c>
      <c r="AA627" s="2">
        <f>VLOOKUP([jobnumber],OvalData[],MATCH(Table2[[#Headers],[Grille Vision Section]],Table2[#Headers],0),0)</f>
        <v>0</v>
      </c>
      <c r="AB627" s="2">
        <f>VLOOKUP([jobnumber],OvalData[],MATCH(Table2[[#Headers],[Grille Amount]],Table2[#Headers],0),0)</f>
        <v>0</v>
      </c>
      <c r="AC627" s="2">
        <f>VLOOKUP([jobnumber],OvalData[],MATCH(Table2[[#Headers],[Grille Center]],Table2[#Headers],0),0)</f>
        <v>0</v>
      </c>
      <c r="AD627" s="2">
        <f>VLOOKUP([jobnumber],OvalData[],MATCH(Table2[[#Headers],[Grille Pattern]],Table2[#Headers],0),0)</f>
        <v>0</v>
      </c>
      <c r="AE627" s="2">
        <f>VLOOKUP([jobnumber],OvalData[],MATCH(Table2[[#Headers],[Grille First Tube]],Table2[#Headers],0),0)</f>
        <v>0</v>
      </c>
      <c r="AF627" s="2">
        <f>VLOOKUP([jobnumber],OvalData[],MATCH(Table2[[#Headers],[Grille Standard Tube]],Table2[#Headers],0),0)</f>
        <v>0</v>
      </c>
      <c r="AG627" s="2">
        <f>VLOOKUP([jobnumber],OvalData[],MATCH(Table2[[#Headers],[Grille Total Links]],Table2[#Headers],0),0)</f>
        <v>0</v>
      </c>
      <c r="AH627" s="2">
        <f>VLOOKUP([jobnumber],OvalData[],MATCH(Table2[[#Headers],[Grille Rods]],Table2[#Headers],0),0)</f>
        <v>0</v>
      </c>
      <c r="AI627" s="2">
        <f>VLOOKUP([jobnumber],OvalData[],MATCH(Table2[[#Headers],[Grille Rod Length]],Table2[#Headers],0),0)</f>
        <v>0</v>
      </c>
      <c r="AJ627" s="2">
        <f>VLOOKUP([jobnumber],OvalData[],MATCH(Table2[[#Headers],[slattype]],Table2[#Headers],0),0)</f>
        <v>2</v>
      </c>
      <c r="AK627" s="2">
        <f>VLOOKUP([jobnumber],OvalData[],MATCH(Table2[[#Headers],[slatgage]],Table2[#Headers],0),0)</f>
        <v>18</v>
      </c>
      <c r="AL627" s="2">
        <f>VLOOKUP([jobnumber],OvalData[],MATCH(Table2[[#Headers],[Numer of Top Slats]],Table2[#Headers],0),0)</f>
        <v>0</v>
      </c>
      <c r="AM627" s="2">
        <f>VLOOKUP([jobnumber],OvalData[],MATCH(Table2[[#Headers],[Number of Bottom Slats]],Table2[#Headers],0),0)</f>
        <v>0</v>
      </c>
      <c r="AN627" s="2">
        <f>VLOOKUP([jobnumber],OvalData[],MATCH(Table2[[#Headers],[Solid Bottom Height]],Table2[#Headers],0),0)</f>
        <v>0</v>
      </c>
      <c r="AO627" s="2" t="str">
        <f>VLOOKUP([jobnumber],OvalData[],MATCH(Table2[[#Headers],[slatlength]],Table2[#Headers],0),0)</f>
        <v xml:space="preserve"> 18 ft.- 5 7/ 8"</v>
      </c>
      <c r="AP627" s="2">
        <f>VLOOKUP([jobnumber],OvalData[],MATCH(Table2[[#Headers],[Bottom Slat Length]],Table2[#Headers],0),0)</f>
        <v>0</v>
      </c>
      <c r="AQ627" s="2">
        <f>VLOOKUP([jobnumber],OvalData[],MATCH(Table2[[#Headers],[Number of Perferated Slats]],Table2[#Headers],0),0)</f>
        <v>0</v>
      </c>
      <c r="AR627" s="2">
        <f>VLOOKUP([jobnumber],OvalData[],MATCH(Table2[[#Headers],[First Preferated Slat From End]],Table2[#Headers],0),0)</f>
        <v>0</v>
      </c>
      <c r="AS627" s="2">
        <f>VLOOKUP([jobnumber],OvalData[],MATCH(Table2[[#Headers],[First Preferated Slat From Bottom]],Table2[#Headers],0),0)</f>
        <v>0</v>
      </c>
      <c r="AT627" s="2">
        <f>VLOOKUP([jobnumber],OvalData[],MATCH(Table2[[#Headers],[Total Number of Slats]],Table2[#Headers],0),0)</f>
        <v>51</v>
      </c>
      <c r="AU627" s="2">
        <f>VLOOKUP([jobnumber],OvalData[],MATCH(Table2[[#Headers],[Bottom Bar Slope]],Table2[#Headers],0),0)</f>
        <v>0</v>
      </c>
      <c r="AV627" s="2">
        <f>VLOOKUP([jobnumber],OvalData[],MATCH(Table2[[#Headers],[Bottom Bar Weight]],Table2[#Headers],0),0)</f>
        <v>80.5</v>
      </c>
      <c r="AW627" s="2" t="str">
        <f>VLOOKUP([jobnumber],OvalData[],MATCH(Table2[[#Headers],[Outer Spring Gage]],Table2[#Headers],0),0)</f>
        <v>Null</v>
      </c>
      <c r="AX627" s="2" t="str">
        <f>VLOOKUP([jobnumber],OvalData[],MATCH(Table2[[#Headers],[Outer Spring OD]],Table2[#Headers],0),0)</f>
        <v>Null</v>
      </c>
      <c r="AY627" s="2" t="str">
        <f>VLOOKUP([jobnumber],OvalData[],MATCH(Table2[[#Headers],[Outer Spring Length]],Table2[#Headers],0),0)</f>
        <v>Null</v>
      </c>
      <c r="AZ627" s="2" t="str">
        <f>VLOOKUP([jobnumber],OvalData[],MATCH(Table2[[#Headers],[Outer Spring Stretch]],Table2[#Headers],0),0)</f>
        <v>Null</v>
      </c>
      <c r="BA627" s="2" t="str">
        <f>VLOOKUP([jobnumber],OvalData[],MATCH(Table2[[#Headers],[Outer Spring Torque]],Table2[#Headers],0),0)</f>
        <v>Null</v>
      </c>
      <c r="BB627" s="2" t="str">
        <f>VLOOKUP([jobnumber],OvalData[],MATCH(Table2[[#Headers],[Outer Spring Max Turns]],Table2[#Headers],0),0)</f>
        <v>Null</v>
      </c>
      <c r="BC627" s="2" t="str">
        <f>VLOOKUP([jobnumber],OvalData[],MATCH(Table2[[#Headers],[Outer Spring Weight]],Table2[#Headers],0),0)</f>
        <v>Null</v>
      </c>
      <c r="BD627" s="2" t="str">
        <f>VLOOKUP([jobnumber],OvalData[],MATCH(Table2[[#Headers],[Inner Spring Gage]],Table2[#Headers],0),0)</f>
        <v>Null</v>
      </c>
      <c r="BE627" s="2" t="str">
        <f>VLOOKUP([jobnumber],OvalData[],MATCH(Table2[[#Headers],[Inner Spring OD]],Table2[#Headers],0),0)</f>
        <v>Null</v>
      </c>
      <c r="BF627" s="2" t="str">
        <f>VLOOKUP([jobnumber],OvalData[],MATCH(Table2[[#Headers],[Inner Spring Length]],Table2[#Headers],0),0)</f>
        <v>Null</v>
      </c>
      <c r="BG627" s="2" t="str">
        <f>VLOOKUP([jobnumber],OvalData[],MATCH(Table2[[#Headers],[Inner Spring Stretch]],Table2[#Headers],0),0)</f>
        <v>Null</v>
      </c>
      <c r="BH627" s="2" t="str">
        <f>VLOOKUP([jobnumber],OvalData[],MATCH(Table2[[#Headers],[Inner Spring Torque]],Table2[#Headers],0),0)</f>
        <v>Null</v>
      </c>
      <c r="BI627" s="2" t="str">
        <f>VLOOKUP([jobnumber],OvalData[],MATCH(Table2[[#Headers],[Inner Spring Max Turns]],Table2[#Headers],0),0)</f>
        <v>Null</v>
      </c>
      <c r="BJ627" s="2" t="str">
        <f>VLOOKUP([jobnumber],OvalData[],MATCH(Table2[[#Headers],[Inner Spring Weight]],Table2[#Headers],0),0)</f>
        <v>Null</v>
      </c>
      <c r="BK627" s="2">
        <f>VLOOKUP([jobnumber],OvalData[],MATCH(Table2[[#Headers],[Cycles]],Table2[#Headers],0),0)</f>
        <v>0</v>
      </c>
      <c r="BL627" s="2">
        <f>VLOOKUP([jobnumber],OvalData[],MATCH(Table2[[#Headers],[Total Spring Torque]],Table2[#Headers],0),0)</f>
        <v>0</v>
      </c>
      <c r="BM627" s="2">
        <f>VLOOKUP([jobnumber],OvalData[],MATCH(Table2[[#Headers],[Total Spring Weight]],Table2[#Headers],0),0)</f>
        <v>0</v>
      </c>
      <c r="BN627" s="2">
        <f>VLOOKUP([jobnumber],OvalData[],MATCH(Table2[[#Headers],[Pipe Weight]],Table2[#Headers],0),0)</f>
        <v>688.24239999999998</v>
      </c>
      <c r="BO627" s="2">
        <f>VLOOKUP([jobnumber],OvalData[],MATCH(Table2[[#Headers],[Max Pipe Deflection]],Table2[#Headers],0),0)</f>
        <v>2309</v>
      </c>
      <c r="BP627" s="2">
        <f>VLOOKUP([jobnumber],OvalData[],MATCH(Table2[[#Headers],[Number Non-Insulated Wrap Slats]],Table2[#Headers],0),0)</f>
        <v>0</v>
      </c>
      <c r="BQ627" s="2">
        <f>VLOOKUP([jobnumber],OvalData[],MATCH(Table2[[#Headers],[Number of Insolated Top Slats]],Table2[#Headers],0),0)</f>
        <v>45</v>
      </c>
      <c r="BR627" s="2">
        <f>VLOOKUP([jobnumber],OvalData[],MATCH(Table2[[#Headers],[Insolated Total Slats]],Table2[#Headers],0),0)</f>
        <v>45</v>
      </c>
      <c r="BS627" s="2">
        <f>VLOOKUP([jobnumber],OvalData[],MATCH(Table2[[#Headers],[Number of Slats]],Table2[#Headers],0),0)</f>
        <v>44.69</v>
      </c>
      <c r="BT627" s="2">
        <f>VLOOKUP([jobnumber],OvalData[],MATCH(Table2[[#Headers],[Wrap]],Table2[#Headers],0),0)</f>
        <v>0</v>
      </c>
      <c r="BU627" s="2">
        <f>VLOOKUP([jobnumber],OvalData[],MATCH(Table2[[#Headers],[Wall Angle Thickness]],Table2[#Headers],0),0)</f>
        <v>0</v>
      </c>
      <c r="BV627" s="2">
        <f>VLOOKUP([jobnumber],OvalData[],MATCH(Table2[[#Headers],[windlocks]],Table2[#Headers],0),0)</f>
        <v>0</v>
      </c>
      <c r="BW627" s="2" t="str">
        <f>VLOOKUP([jobnumber],OvalData[],MATCH(Table2[[#Headers],[bottombartype]],Table2[#Headers],0),0)</f>
        <v>SPECIAL</v>
      </c>
      <c r="BX627" s="2">
        <f>VLOOKUP([jobnumber],OvalData[],MATCH(Table2[[#Headers],[endlockweight]],Table2[#Headers],0),0)</f>
        <v>0.17</v>
      </c>
      <c r="BY627" s="2">
        <f>VLOOKUP([jobnumber],OvalData[],MATCH(Table2[[#Headers],[Endlock Total Weight]],Table2[#Headers],0),0)</f>
        <v>7.5972999999999997</v>
      </c>
      <c r="BZ627" s="2">
        <f>VLOOKUP([jobnumber],OvalData[],MATCH(Table2[[#Headers],[Grille Weight]],Table2[#Headers],0),0)</f>
        <v>0</v>
      </c>
      <c r="CA627" s="2">
        <f>VLOOKUP([jobnumber],OvalData[],MATCH(Table2[[#Headers],[barrelrings]],Table2[#Headers],0),0)</f>
        <v>1</v>
      </c>
    </row>
    <row r="628" spans="2:79">
      <c r="B628" s="2" t="str">
        <f>VLOOKUP([jobnumber],OvalData[],MATCH(Table2[[#Headers],[Hand]],Table2[#Headers],0),0)</f>
        <v>RH</v>
      </c>
      <c r="C628" s="2" t="str">
        <f>VLOOKUP([jobnumber],OvalData[],MATCH(Table2[[#Headers],[Model]],Table2[#Headers],0),0)</f>
        <v>SFMPP</v>
      </c>
      <c r="D628" s="2" t="str">
        <f>VLOOKUP([jobnumber],OvalData[],MATCH(Table2[[#Headers],[width]],Table2[#Headers],0),0)</f>
        <v xml:space="preserve"> 18 ft.- 2"</v>
      </c>
      <c r="E628" s="2" t="str">
        <f>VLOOKUP([jobnumber],OvalData[],MATCH(Table2[[#Headers],[stopheight]],Table2[#Headers],0),0)</f>
        <v xml:space="preserve"> 10 ft.- 0"</v>
      </c>
      <c r="F628" s="2" t="str">
        <f>VLOOKUP([jobnumber],OvalData[],MATCH(Table2[[#Headers],[Between Brackets]],Table2[#Headers],0),0)</f>
        <v xml:space="preserve"> 18 ft.- 7 7/ 8"</v>
      </c>
      <c r="G628" s="2" t="str">
        <f>VLOOKUP([jobnumber],OvalData[],MATCH(Table2[[#Headers],[shell]],Table2[#Headers],0),0)</f>
        <v>6 INCH TUBE</v>
      </c>
      <c r="H628" s="2" t="str">
        <f>VLOOKUP([jobnumber],OvalData[],MATCH(Table2[[#Headers],[pipewidth]],Table2[#Headers],0),0)</f>
        <v xml:space="preserve"> 18 ft.- 1 3/ 8"</v>
      </c>
      <c r="I628" s="2">
        <f>VLOOKUP([jobnumber],OvalData[],MATCH(Table2[[#Headers],[Support Tubes]],Table2[#Headers],0),0)</f>
        <v>0</v>
      </c>
      <c r="J628" s="2">
        <f>VLOOKUP([jobnumber],OvalData[],MATCH(Table2[[#Headers],[Upset]],Table2[#Headers],0),0)</f>
        <v>2</v>
      </c>
      <c r="K628" s="2" t="str">
        <f>VLOOKUP([jobnumber],OvalData[],MATCH(Table2[[#Headers],[Guide Type]],Table2[#Headers],0),0)</f>
        <v>SN2-4 5/8-E</v>
      </c>
      <c r="L628" s="2" t="str">
        <f>VLOOKUP([jobnumber],OvalData[],MATCH(Table2[[#Headers],[Wall Angle]],Table2[#Headers],0),0)</f>
        <v xml:space="preserve"> 11 ft.- 8"</v>
      </c>
      <c r="M628" s="2" t="str">
        <f>VLOOKUP([jobnumber],OvalData[],MATCH(Table2[[#Headers],[Middle Angle]],Table2[#Headers],0),0)</f>
        <v xml:space="preserve"> 10 ft.- 4 1/ 2"</v>
      </c>
      <c r="N628" s="2" t="str">
        <f>VLOOKUP([jobnumber],OvalData[],MATCH(Table2[[#Headers],[Front Angle]],Table2[#Headers],0),0)</f>
        <v xml:space="preserve"> 10 ft.- 3"</v>
      </c>
      <c r="O628" s="2">
        <f>VLOOKUP([jobnumber],OvalData[],MATCH(Table2[[#Headers],[Pipe Center Line]],Table2[#Headers],0),0)</f>
        <v>131</v>
      </c>
      <c r="P628" s="2">
        <f>VLOOKUP([jobnumber],OvalData[],MATCH(Table2[[#Headers],[Heat Expansion Gap]],Table2[#Headers],0),0)</f>
        <v>0</v>
      </c>
      <c r="Q628" s="2">
        <f>VLOOKUP([jobnumber],OvalData[],MATCH(Table2[[#Headers],[Hanging Weight Closed]],Table2[#Headers],0),0)</f>
        <v>795</v>
      </c>
      <c r="R628" s="2">
        <f>VLOOKUP([jobnumber],OvalData[],MATCH(Table2[[#Headers],[Hanging Weight Open]],Table2[#Headers],0),0)</f>
        <v>140</v>
      </c>
      <c r="S628" s="2">
        <f>VLOOKUP([jobnumber],OvalData[],MATCH(Table2[[#Headers],[Initial Lever Arm]],Table2[#Headers],0),0)</f>
        <v>4.25</v>
      </c>
      <c r="T628" s="2">
        <f>VLOOKUP([jobnumber],OvalData[],MATCH(Table2[[#Headers],[Turns to Raise]],Table2[#Headers],0),0)</f>
        <v>3.5859999999999999</v>
      </c>
      <c r="U628" s="2">
        <f>VLOOKUP([jobnumber],OvalData[],MATCH(Table2[[#Headers],[Final Lever Arm]],Table2[#Headers],0),0)</f>
        <v>6.37</v>
      </c>
      <c r="V628" s="2">
        <f>VLOOKUP([jobnumber],OvalData[],MATCH(Table2[[#Headers],[Torque Required Closed]],Table2[#Headers],0),0)</f>
        <v>3377.9</v>
      </c>
      <c r="W628" s="2">
        <f>VLOOKUP([jobnumber],OvalData[],MATCH(Table2[[#Headers],[Torque Required Open]],Table2[#Headers],0),0)</f>
        <v>892</v>
      </c>
      <c r="X628" s="2">
        <f>VLOOKUP([jobnumber],OvalData[],MATCH(Table2[[#Headers],[Pre Turns]],Table2[#Headers],0),0)</f>
        <v>1.3332999999999999</v>
      </c>
      <c r="Y628" s="2">
        <f>VLOOKUP([jobnumber],OvalData[],MATCH(Table2[[#Headers],[Required Torque Per Turn]],Table2[#Headers],0),0)</f>
        <v>688</v>
      </c>
      <c r="Z628" s="2">
        <f>VLOOKUP([jobnumber],OvalData[],MATCH(Table2[[#Headers],[Total Turns]],Table2[#Headers],0),0)</f>
        <v>4.91</v>
      </c>
      <c r="AA628" s="2">
        <f>VLOOKUP([jobnumber],OvalData[],MATCH(Table2[[#Headers],[Grille Vision Section]],Table2[#Headers],0),0)</f>
        <v>0</v>
      </c>
      <c r="AB628" s="2">
        <f>VLOOKUP([jobnumber],OvalData[],MATCH(Table2[[#Headers],[Grille Amount]],Table2[#Headers],0),0)</f>
        <v>0</v>
      </c>
      <c r="AC628" s="2">
        <f>VLOOKUP([jobnumber],OvalData[],MATCH(Table2[[#Headers],[Grille Center]],Table2[#Headers],0),0)</f>
        <v>0</v>
      </c>
      <c r="AD628" s="2">
        <f>VLOOKUP([jobnumber],OvalData[],MATCH(Table2[[#Headers],[Grille Pattern]],Table2[#Headers],0),0)</f>
        <v>0</v>
      </c>
      <c r="AE628" s="2">
        <f>VLOOKUP([jobnumber],OvalData[],MATCH(Table2[[#Headers],[Grille First Tube]],Table2[#Headers],0),0)</f>
        <v>0</v>
      </c>
      <c r="AF628" s="2">
        <f>VLOOKUP([jobnumber],OvalData[],MATCH(Table2[[#Headers],[Grille Standard Tube]],Table2[#Headers],0),0)</f>
        <v>0</v>
      </c>
      <c r="AG628" s="2">
        <f>VLOOKUP([jobnumber],OvalData[],MATCH(Table2[[#Headers],[Grille Total Links]],Table2[#Headers],0),0)</f>
        <v>0</v>
      </c>
      <c r="AH628" s="2">
        <f>VLOOKUP([jobnumber],OvalData[],MATCH(Table2[[#Headers],[Grille Rods]],Table2[#Headers],0),0)</f>
        <v>0</v>
      </c>
      <c r="AI628" s="2">
        <f>VLOOKUP([jobnumber],OvalData[],MATCH(Table2[[#Headers],[Grille Rod Length]],Table2[#Headers],0),0)</f>
        <v>0</v>
      </c>
      <c r="AJ628" s="2">
        <f>VLOOKUP([jobnumber],OvalData[],MATCH(Table2[[#Headers],[slattype]],Table2[#Headers],0),0)</f>
        <v>2</v>
      </c>
      <c r="AK628" s="2">
        <f>VLOOKUP([jobnumber],OvalData[],MATCH(Table2[[#Headers],[slatgage]],Table2[#Headers],0),0)</f>
        <v>18</v>
      </c>
      <c r="AL628" s="2">
        <f>VLOOKUP([jobnumber],OvalData[],MATCH(Table2[[#Headers],[Numer of Top Slats]],Table2[#Headers],0),0)</f>
        <v>0</v>
      </c>
      <c r="AM628" s="2">
        <f>VLOOKUP([jobnumber],OvalData[],MATCH(Table2[[#Headers],[Number of Bottom Slats]],Table2[#Headers],0),0)</f>
        <v>0</v>
      </c>
      <c r="AN628" s="2">
        <f>VLOOKUP([jobnumber],OvalData[],MATCH(Table2[[#Headers],[Solid Bottom Height]],Table2[#Headers],0),0)</f>
        <v>0</v>
      </c>
      <c r="AO628" s="2" t="str">
        <f>VLOOKUP([jobnumber],OvalData[],MATCH(Table2[[#Headers],[slatlength]],Table2[#Headers],0),0)</f>
        <v xml:space="preserve"> 18 ft.- 5 7/ 8"</v>
      </c>
      <c r="AP628" s="2">
        <f>VLOOKUP([jobnumber],OvalData[],MATCH(Table2[[#Headers],[Bottom Slat Length]],Table2[#Headers],0),0)</f>
        <v>0</v>
      </c>
      <c r="AQ628" s="2">
        <f>VLOOKUP([jobnumber],OvalData[],MATCH(Table2[[#Headers],[Number of Perferated Slats]],Table2[#Headers],0),0)</f>
        <v>0</v>
      </c>
      <c r="AR628" s="2">
        <f>VLOOKUP([jobnumber],OvalData[],MATCH(Table2[[#Headers],[First Preferated Slat From End]],Table2[#Headers],0),0)</f>
        <v>0</v>
      </c>
      <c r="AS628" s="2">
        <f>VLOOKUP([jobnumber],OvalData[],MATCH(Table2[[#Headers],[First Preferated Slat From Bottom]],Table2[#Headers],0),0)</f>
        <v>0</v>
      </c>
      <c r="AT628" s="2">
        <f>VLOOKUP([jobnumber],OvalData[],MATCH(Table2[[#Headers],[Total Number of Slats]],Table2[#Headers],0),0)</f>
        <v>51</v>
      </c>
      <c r="AU628" s="2">
        <f>VLOOKUP([jobnumber],OvalData[],MATCH(Table2[[#Headers],[Bottom Bar Slope]],Table2[#Headers],0),0)</f>
        <v>0</v>
      </c>
      <c r="AV628" s="2">
        <f>VLOOKUP([jobnumber],OvalData[],MATCH(Table2[[#Headers],[Bottom Bar Weight]],Table2[#Headers],0),0)</f>
        <v>80.5</v>
      </c>
      <c r="AW628" s="2" t="str">
        <f>VLOOKUP([jobnumber],OvalData[],MATCH(Table2[[#Headers],[Outer Spring Gage]],Table2[#Headers],0),0)</f>
        <v>Null</v>
      </c>
      <c r="AX628" s="2" t="str">
        <f>VLOOKUP([jobnumber],OvalData[],MATCH(Table2[[#Headers],[Outer Spring OD]],Table2[#Headers],0),0)</f>
        <v>Null</v>
      </c>
      <c r="AY628" s="2" t="str">
        <f>VLOOKUP([jobnumber],OvalData[],MATCH(Table2[[#Headers],[Outer Spring Length]],Table2[#Headers],0),0)</f>
        <v>Null</v>
      </c>
      <c r="AZ628" s="2" t="str">
        <f>VLOOKUP([jobnumber],OvalData[],MATCH(Table2[[#Headers],[Outer Spring Stretch]],Table2[#Headers],0),0)</f>
        <v>Null</v>
      </c>
      <c r="BA628" s="2" t="str">
        <f>VLOOKUP([jobnumber],OvalData[],MATCH(Table2[[#Headers],[Outer Spring Torque]],Table2[#Headers],0),0)</f>
        <v>Null</v>
      </c>
      <c r="BB628" s="2" t="str">
        <f>VLOOKUP([jobnumber],OvalData[],MATCH(Table2[[#Headers],[Outer Spring Max Turns]],Table2[#Headers],0),0)</f>
        <v>Null</v>
      </c>
      <c r="BC628" s="2" t="str">
        <f>VLOOKUP([jobnumber],OvalData[],MATCH(Table2[[#Headers],[Outer Spring Weight]],Table2[#Headers],0),0)</f>
        <v>Null</v>
      </c>
      <c r="BD628" s="2" t="str">
        <f>VLOOKUP([jobnumber],OvalData[],MATCH(Table2[[#Headers],[Inner Spring Gage]],Table2[#Headers],0),0)</f>
        <v>Null</v>
      </c>
      <c r="BE628" s="2" t="str">
        <f>VLOOKUP([jobnumber],OvalData[],MATCH(Table2[[#Headers],[Inner Spring OD]],Table2[#Headers],0),0)</f>
        <v>Null</v>
      </c>
      <c r="BF628" s="2" t="str">
        <f>VLOOKUP([jobnumber],OvalData[],MATCH(Table2[[#Headers],[Inner Spring Length]],Table2[#Headers],0),0)</f>
        <v>Null</v>
      </c>
      <c r="BG628" s="2" t="str">
        <f>VLOOKUP([jobnumber],OvalData[],MATCH(Table2[[#Headers],[Inner Spring Stretch]],Table2[#Headers],0),0)</f>
        <v>Null</v>
      </c>
      <c r="BH628" s="2" t="str">
        <f>VLOOKUP([jobnumber],OvalData[],MATCH(Table2[[#Headers],[Inner Spring Torque]],Table2[#Headers],0),0)</f>
        <v>Null</v>
      </c>
      <c r="BI628" s="2" t="str">
        <f>VLOOKUP([jobnumber],OvalData[],MATCH(Table2[[#Headers],[Inner Spring Max Turns]],Table2[#Headers],0),0)</f>
        <v>Null</v>
      </c>
      <c r="BJ628" s="2" t="str">
        <f>VLOOKUP([jobnumber],OvalData[],MATCH(Table2[[#Headers],[Inner Spring Weight]],Table2[#Headers],0),0)</f>
        <v>Null</v>
      </c>
      <c r="BK628" s="2">
        <f>VLOOKUP([jobnumber],OvalData[],MATCH(Table2[[#Headers],[Cycles]],Table2[#Headers],0),0)</f>
        <v>0</v>
      </c>
      <c r="BL628" s="2">
        <f>VLOOKUP([jobnumber],OvalData[],MATCH(Table2[[#Headers],[Total Spring Torque]],Table2[#Headers],0),0)</f>
        <v>0</v>
      </c>
      <c r="BM628" s="2">
        <f>VLOOKUP([jobnumber],OvalData[],MATCH(Table2[[#Headers],[Total Spring Weight]],Table2[#Headers],0),0)</f>
        <v>0</v>
      </c>
      <c r="BN628" s="2">
        <f>VLOOKUP([jobnumber],OvalData[],MATCH(Table2[[#Headers],[Pipe Weight]],Table2[#Headers],0),0)</f>
        <v>688.24239999999998</v>
      </c>
      <c r="BO628" s="2">
        <f>VLOOKUP([jobnumber],OvalData[],MATCH(Table2[[#Headers],[Max Pipe Deflection]],Table2[#Headers],0),0)</f>
        <v>2309</v>
      </c>
      <c r="BP628" s="2">
        <f>VLOOKUP([jobnumber],OvalData[],MATCH(Table2[[#Headers],[Number Non-Insulated Wrap Slats]],Table2[#Headers],0),0)</f>
        <v>0</v>
      </c>
      <c r="BQ628" s="2">
        <f>VLOOKUP([jobnumber],OvalData[],MATCH(Table2[[#Headers],[Number of Insolated Top Slats]],Table2[#Headers],0),0)</f>
        <v>45</v>
      </c>
      <c r="BR628" s="2">
        <f>VLOOKUP([jobnumber],OvalData[],MATCH(Table2[[#Headers],[Insolated Total Slats]],Table2[#Headers],0),0)</f>
        <v>45</v>
      </c>
      <c r="BS628" s="2">
        <f>VLOOKUP([jobnumber],OvalData[],MATCH(Table2[[#Headers],[Number of Slats]],Table2[#Headers],0),0)</f>
        <v>44.69</v>
      </c>
      <c r="BT628" s="2">
        <f>VLOOKUP([jobnumber],OvalData[],MATCH(Table2[[#Headers],[Wrap]],Table2[#Headers],0),0)</f>
        <v>0</v>
      </c>
      <c r="BU628" s="2">
        <f>VLOOKUP([jobnumber],OvalData[],MATCH(Table2[[#Headers],[Wall Angle Thickness]],Table2[#Headers],0),0)</f>
        <v>0</v>
      </c>
      <c r="BV628" s="2">
        <f>VLOOKUP([jobnumber],OvalData[],MATCH(Table2[[#Headers],[windlocks]],Table2[#Headers],0),0)</f>
        <v>0</v>
      </c>
      <c r="BW628" s="2" t="str">
        <f>VLOOKUP([jobnumber],OvalData[],MATCH(Table2[[#Headers],[bottombartype]],Table2[#Headers],0),0)</f>
        <v>SPECIAL</v>
      </c>
      <c r="BX628" s="2">
        <f>VLOOKUP([jobnumber],OvalData[],MATCH(Table2[[#Headers],[endlockweight]],Table2[#Headers],0),0)</f>
        <v>0.17</v>
      </c>
      <c r="BY628" s="2">
        <f>VLOOKUP([jobnumber],OvalData[],MATCH(Table2[[#Headers],[Endlock Total Weight]],Table2[#Headers],0),0)</f>
        <v>7.5972999999999997</v>
      </c>
      <c r="BZ628" s="2">
        <f>VLOOKUP([jobnumber],OvalData[],MATCH(Table2[[#Headers],[Grille Weight]],Table2[#Headers],0),0)</f>
        <v>0</v>
      </c>
      <c r="CA628" s="2">
        <f>VLOOKUP([jobnumber],OvalData[],MATCH(Table2[[#Headers],[barrelrings]],Table2[#Headers],0),0)</f>
        <v>1</v>
      </c>
    </row>
    <row r="629" spans="2:79">
      <c r="B629" s="2" t="str">
        <f>VLOOKUP([jobnumber],OvalData[],MATCH(Table2[[#Headers],[Hand]],Table2[#Headers],0),0)</f>
        <v>RH</v>
      </c>
      <c r="C629" s="2" t="str">
        <f>VLOOKUP([jobnumber],OvalData[],MATCH(Table2[[#Headers],[Model]],Table2[#Headers],0),0)</f>
        <v>SFMPP</v>
      </c>
      <c r="D629" s="2" t="str">
        <f>VLOOKUP([jobnumber],OvalData[],MATCH(Table2[[#Headers],[width]],Table2[#Headers],0),0)</f>
        <v xml:space="preserve"> 18 ft.- 2"</v>
      </c>
      <c r="E629" s="2" t="str">
        <f>VLOOKUP([jobnumber],OvalData[],MATCH(Table2[[#Headers],[stopheight]],Table2[#Headers],0),0)</f>
        <v xml:space="preserve"> 10 ft.- 0"</v>
      </c>
      <c r="F629" s="2" t="str">
        <f>VLOOKUP([jobnumber],OvalData[],MATCH(Table2[[#Headers],[Between Brackets]],Table2[#Headers],0),0)</f>
        <v xml:space="preserve"> 18 ft.- 7 7/ 8"</v>
      </c>
      <c r="G629" s="2" t="str">
        <f>VLOOKUP([jobnumber],OvalData[],MATCH(Table2[[#Headers],[shell]],Table2[#Headers],0),0)</f>
        <v>6 INCH TUBE</v>
      </c>
      <c r="H629" s="2" t="str">
        <f>VLOOKUP([jobnumber],OvalData[],MATCH(Table2[[#Headers],[pipewidth]],Table2[#Headers],0),0)</f>
        <v xml:space="preserve"> 18 ft.- 1 3/ 8"</v>
      </c>
      <c r="I629" s="2">
        <f>VLOOKUP([jobnumber],OvalData[],MATCH(Table2[[#Headers],[Support Tubes]],Table2[#Headers],0),0)</f>
        <v>0</v>
      </c>
      <c r="J629" s="2">
        <f>VLOOKUP([jobnumber],OvalData[],MATCH(Table2[[#Headers],[Upset]],Table2[#Headers],0),0)</f>
        <v>2</v>
      </c>
      <c r="K629" s="2" t="str">
        <f>VLOOKUP([jobnumber],OvalData[],MATCH(Table2[[#Headers],[Guide Type]],Table2[#Headers],0),0)</f>
        <v>SN2-4 5/8-E</v>
      </c>
      <c r="L629" s="2" t="str">
        <f>VLOOKUP([jobnumber],OvalData[],MATCH(Table2[[#Headers],[Wall Angle]],Table2[#Headers],0),0)</f>
        <v xml:space="preserve"> 11 ft.- 8"</v>
      </c>
      <c r="M629" s="2" t="str">
        <f>VLOOKUP([jobnumber],OvalData[],MATCH(Table2[[#Headers],[Middle Angle]],Table2[#Headers],0),0)</f>
        <v xml:space="preserve"> 10 ft.- 4 1/ 2"</v>
      </c>
      <c r="N629" s="2" t="str">
        <f>VLOOKUP([jobnumber],OvalData[],MATCH(Table2[[#Headers],[Front Angle]],Table2[#Headers],0),0)</f>
        <v xml:space="preserve"> 10 ft.- 3"</v>
      </c>
      <c r="O629" s="2">
        <f>VLOOKUP([jobnumber],OvalData[],MATCH(Table2[[#Headers],[Pipe Center Line]],Table2[#Headers],0),0)</f>
        <v>131</v>
      </c>
      <c r="P629" s="2">
        <f>VLOOKUP([jobnumber],OvalData[],MATCH(Table2[[#Headers],[Heat Expansion Gap]],Table2[#Headers],0),0)</f>
        <v>0</v>
      </c>
      <c r="Q629" s="2">
        <f>VLOOKUP([jobnumber],OvalData[],MATCH(Table2[[#Headers],[Hanging Weight Closed]],Table2[#Headers],0),0)</f>
        <v>795</v>
      </c>
      <c r="R629" s="2">
        <f>VLOOKUP([jobnumber],OvalData[],MATCH(Table2[[#Headers],[Hanging Weight Open]],Table2[#Headers],0),0)</f>
        <v>140</v>
      </c>
      <c r="S629" s="2">
        <f>VLOOKUP([jobnumber],OvalData[],MATCH(Table2[[#Headers],[Initial Lever Arm]],Table2[#Headers],0),0)</f>
        <v>4.25</v>
      </c>
      <c r="T629" s="2">
        <f>VLOOKUP([jobnumber],OvalData[],MATCH(Table2[[#Headers],[Turns to Raise]],Table2[#Headers],0),0)</f>
        <v>3.5859999999999999</v>
      </c>
      <c r="U629" s="2">
        <f>VLOOKUP([jobnumber],OvalData[],MATCH(Table2[[#Headers],[Final Lever Arm]],Table2[#Headers],0),0)</f>
        <v>6.37</v>
      </c>
      <c r="V629" s="2">
        <f>VLOOKUP([jobnumber],OvalData[],MATCH(Table2[[#Headers],[Torque Required Closed]],Table2[#Headers],0),0)</f>
        <v>3377.9</v>
      </c>
      <c r="W629" s="2">
        <f>VLOOKUP([jobnumber],OvalData[],MATCH(Table2[[#Headers],[Torque Required Open]],Table2[#Headers],0),0)</f>
        <v>892</v>
      </c>
      <c r="X629" s="2">
        <f>VLOOKUP([jobnumber],OvalData[],MATCH(Table2[[#Headers],[Pre Turns]],Table2[#Headers],0),0)</f>
        <v>1.3332999999999999</v>
      </c>
      <c r="Y629" s="2">
        <f>VLOOKUP([jobnumber],OvalData[],MATCH(Table2[[#Headers],[Required Torque Per Turn]],Table2[#Headers],0),0)</f>
        <v>688</v>
      </c>
      <c r="Z629" s="2">
        <f>VLOOKUP([jobnumber],OvalData[],MATCH(Table2[[#Headers],[Total Turns]],Table2[#Headers],0),0)</f>
        <v>4.91</v>
      </c>
      <c r="AA629" s="2">
        <f>VLOOKUP([jobnumber],OvalData[],MATCH(Table2[[#Headers],[Grille Vision Section]],Table2[#Headers],0),0)</f>
        <v>0</v>
      </c>
      <c r="AB629" s="2">
        <f>VLOOKUP([jobnumber],OvalData[],MATCH(Table2[[#Headers],[Grille Amount]],Table2[#Headers],0),0)</f>
        <v>0</v>
      </c>
      <c r="AC629" s="2">
        <f>VLOOKUP([jobnumber],OvalData[],MATCH(Table2[[#Headers],[Grille Center]],Table2[#Headers],0),0)</f>
        <v>0</v>
      </c>
      <c r="AD629" s="2">
        <f>VLOOKUP([jobnumber],OvalData[],MATCH(Table2[[#Headers],[Grille Pattern]],Table2[#Headers],0),0)</f>
        <v>0</v>
      </c>
      <c r="AE629" s="2">
        <f>VLOOKUP([jobnumber],OvalData[],MATCH(Table2[[#Headers],[Grille First Tube]],Table2[#Headers],0),0)</f>
        <v>0</v>
      </c>
      <c r="AF629" s="2">
        <f>VLOOKUP([jobnumber],OvalData[],MATCH(Table2[[#Headers],[Grille Standard Tube]],Table2[#Headers],0),0)</f>
        <v>0</v>
      </c>
      <c r="AG629" s="2">
        <f>VLOOKUP([jobnumber],OvalData[],MATCH(Table2[[#Headers],[Grille Total Links]],Table2[#Headers],0),0)</f>
        <v>0</v>
      </c>
      <c r="AH629" s="2">
        <f>VLOOKUP([jobnumber],OvalData[],MATCH(Table2[[#Headers],[Grille Rods]],Table2[#Headers],0),0)</f>
        <v>0</v>
      </c>
      <c r="AI629" s="2">
        <f>VLOOKUP([jobnumber],OvalData[],MATCH(Table2[[#Headers],[Grille Rod Length]],Table2[#Headers],0),0)</f>
        <v>0</v>
      </c>
      <c r="AJ629" s="2">
        <f>VLOOKUP([jobnumber],OvalData[],MATCH(Table2[[#Headers],[slattype]],Table2[#Headers],0),0)</f>
        <v>2</v>
      </c>
      <c r="AK629" s="2">
        <f>VLOOKUP([jobnumber],OvalData[],MATCH(Table2[[#Headers],[slatgage]],Table2[#Headers],0),0)</f>
        <v>18</v>
      </c>
      <c r="AL629" s="2">
        <f>VLOOKUP([jobnumber],OvalData[],MATCH(Table2[[#Headers],[Numer of Top Slats]],Table2[#Headers],0),0)</f>
        <v>0</v>
      </c>
      <c r="AM629" s="2">
        <f>VLOOKUP([jobnumber],OvalData[],MATCH(Table2[[#Headers],[Number of Bottom Slats]],Table2[#Headers],0),0)</f>
        <v>0</v>
      </c>
      <c r="AN629" s="2">
        <f>VLOOKUP([jobnumber],OvalData[],MATCH(Table2[[#Headers],[Solid Bottom Height]],Table2[#Headers],0),0)</f>
        <v>0</v>
      </c>
      <c r="AO629" s="2" t="str">
        <f>VLOOKUP([jobnumber],OvalData[],MATCH(Table2[[#Headers],[slatlength]],Table2[#Headers],0),0)</f>
        <v xml:space="preserve"> 18 ft.- 5 7/ 8"</v>
      </c>
      <c r="AP629" s="2">
        <f>VLOOKUP([jobnumber],OvalData[],MATCH(Table2[[#Headers],[Bottom Slat Length]],Table2[#Headers],0),0)</f>
        <v>0</v>
      </c>
      <c r="AQ629" s="2">
        <f>VLOOKUP([jobnumber],OvalData[],MATCH(Table2[[#Headers],[Number of Perferated Slats]],Table2[#Headers],0),0)</f>
        <v>0</v>
      </c>
      <c r="AR629" s="2">
        <f>VLOOKUP([jobnumber],OvalData[],MATCH(Table2[[#Headers],[First Preferated Slat From End]],Table2[#Headers],0),0)</f>
        <v>0</v>
      </c>
      <c r="AS629" s="2">
        <f>VLOOKUP([jobnumber],OvalData[],MATCH(Table2[[#Headers],[First Preferated Slat From Bottom]],Table2[#Headers],0),0)</f>
        <v>0</v>
      </c>
      <c r="AT629" s="2">
        <f>VLOOKUP([jobnumber],OvalData[],MATCH(Table2[[#Headers],[Total Number of Slats]],Table2[#Headers],0),0)</f>
        <v>51</v>
      </c>
      <c r="AU629" s="2">
        <f>VLOOKUP([jobnumber],OvalData[],MATCH(Table2[[#Headers],[Bottom Bar Slope]],Table2[#Headers],0),0)</f>
        <v>0</v>
      </c>
      <c r="AV629" s="2">
        <f>VLOOKUP([jobnumber],OvalData[],MATCH(Table2[[#Headers],[Bottom Bar Weight]],Table2[#Headers],0),0)</f>
        <v>80.5</v>
      </c>
      <c r="AW629" s="2" t="str">
        <f>VLOOKUP([jobnumber],OvalData[],MATCH(Table2[[#Headers],[Outer Spring Gage]],Table2[#Headers],0),0)</f>
        <v>Null</v>
      </c>
      <c r="AX629" s="2" t="str">
        <f>VLOOKUP([jobnumber],OvalData[],MATCH(Table2[[#Headers],[Outer Spring OD]],Table2[#Headers],0),0)</f>
        <v>Null</v>
      </c>
      <c r="AY629" s="2" t="str">
        <f>VLOOKUP([jobnumber],OvalData[],MATCH(Table2[[#Headers],[Outer Spring Length]],Table2[#Headers],0),0)</f>
        <v>Null</v>
      </c>
      <c r="AZ629" s="2" t="str">
        <f>VLOOKUP([jobnumber],OvalData[],MATCH(Table2[[#Headers],[Outer Spring Stretch]],Table2[#Headers],0),0)</f>
        <v>Null</v>
      </c>
      <c r="BA629" s="2" t="str">
        <f>VLOOKUP([jobnumber],OvalData[],MATCH(Table2[[#Headers],[Outer Spring Torque]],Table2[#Headers],0),0)</f>
        <v>Null</v>
      </c>
      <c r="BB629" s="2" t="str">
        <f>VLOOKUP([jobnumber],OvalData[],MATCH(Table2[[#Headers],[Outer Spring Max Turns]],Table2[#Headers],0),0)</f>
        <v>Null</v>
      </c>
      <c r="BC629" s="2" t="str">
        <f>VLOOKUP([jobnumber],OvalData[],MATCH(Table2[[#Headers],[Outer Spring Weight]],Table2[#Headers],0),0)</f>
        <v>Null</v>
      </c>
      <c r="BD629" s="2" t="str">
        <f>VLOOKUP([jobnumber],OvalData[],MATCH(Table2[[#Headers],[Inner Spring Gage]],Table2[#Headers],0),0)</f>
        <v>Null</v>
      </c>
      <c r="BE629" s="2" t="str">
        <f>VLOOKUP([jobnumber],OvalData[],MATCH(Table2[[#Headers],[Inner Spring OD]],Table2[#Headers],0),0)</f>
        <v>Null</v>
      </c>
      <c r="BF629" s="2" t="str">
        <f>VLOOKUP([jobnumber],OvalData[],MATCH(Table2[[#Headers],[Inner Spring Length]],Table2[#Headers],0),0)</f>
        <v>Null</v>
      </c>
      <c r="BG629" s="2" t="str">
        <f>VLOOKUP([jobnumber],OvalData[],MATCH(Table2[[#Headers],[Inner Spring Stretch]],Table2[#Headers],0),0)</f>
        <v>Null</v>
      </c>
      <c r="BH629" s="2" t="str">
        <f>VLOOKUP([jobnumber],OvalData[],MATCH(Table2[[#Headers],[Inner Spring Torque]],Table2[#Headers],0),0)</f>
        <v>Null</v>
      </c>
      <c r="BI629" s="2" t="str">
        <f>VLOOKUP([jobnumber],OvalData[],MATCH(Table2[[#Headers],[Inner Spring Max Turns]],Table2[#Headers],0),0)</f>
        <v>Null</v>
      </c>
      <c r="BJ629" s="2" t="str">
        <f>VLOOKUP([jobnumber],OvalData[],MATCH(Table2[[#Headers],[Inner Spring Weight]],Table2[#Headers],0),0)</f>
        <v>Null</v>
      </c>
      <c r="BK629" s="2">
        <f>VLOOKUP([jobnumber],OvalData[],MATCH(Table2[[#Headers],[Cycles]],Table2[#Headers],0),0)</f>
        <v>0</v>
      </c>
      <c r="BL629" s="2">
        <f>VLOOKUP([jobnumber],OvalData[],MATCH(Table2[[#Headers],[Total Spring Torque]],Table2[#Headers],0),0)</f>
        <v>0</v>
      </c>
      <c r="BM629" s="2">
        <f>VLOOKUP([jobnumber],OvalData[],MATCH(Table2[[#Headers],[Total Spring Weight]],Table2[#Headers],0),0)</f>
        <v>0</v>
      </c>
      <c r="BN629" s="2">
        <f>VLOOKUP([jobnumber],OvalData[],MATCH(Table2[[#Headers],[Pipe Weight]],Table2[#Headers],0),0)</f>
        <v>688.24239999999998</v>
      </c>
      <c r="BO629" s="2">
        <f>VLOOKUP([jobnumber],OvalData[],MATCH(Table2[[#Headers],[Max Pipe Deflection]],Table2[#Headers],0),0)</f>
        <v>2309</v>
      </c>
      <c r="BP629" s="2">
        <f>VLOOKUP([jobnumber],OvalData[],MATCH(Table2[[#Headers],[Number Non-Insulated Wrap Slats]],Table2[#Headers],0),0)</f>
        <v>0</v>
      </c>
      <c r="BQ629" s="2">
        <f>VLOOKUP([jobnumber],OvalData[],MATCH(Table2[[#Headers],[Number of Insolated Top Slats]],Table2[#Headers],0),0)</f>
        <v>45</v>
      </c>
      <c r="BR629" s="2">
        <f>VLOOKUP([jobnumber],OvalData[],MATCH(Table2[[#Headers],[Insolated Total Slats]],Table2[#Headers],0),0)</f>
        <v>45</v>
      </c>
      <c r="BS629" s="2">
        <f>VLOOKUP([jobnumber],OvalData[],MATCH(Table2[[#Headers],[Number of Slats]],Table2[#Headers],0),0)</f>
        <v>44.69</v>
      </c>
      <c r="BT629" s="2">
        <f>VLOOKUP([jobnumber],OvalData[],MATCH(Table2[[#Headers],[Wrap]],Table2[#Headers],0),0)</f>
        <v>0</v>
      </c>
      <c r="BU629" s="2">
        <f>VLOOKUP([jobnumber],OvalData[],MATCH(Table2[[#Headers],[Wall Angle Thickness]],Table2[#Headers],0),0)</f>
        <v>0</v>
      </c>
      <c r="BV629" s="2">
        <f>VLOOKUP([jobnumber],OvalData[],MATCH(Table2[[#Headers],[windlocks]],Table2[#Headers],0),0)</f>
        <v>0</v>
      </c>
      <c r="BW629" s="2" t="str">
        <f>VLOOKUP([jobnumber],OvalData[],MATCH(Table2[[#Headers],[bottombartype]],Table2[#Headers],0),0)</f>
        <v>SPECIAL</v>
      </c>
      <c r="BX629" s="2">
        <f>VLOOKUP([jobnumber],OvalData[],MATCH(Table2[[#Headers],[endlockweight]],Table2[#Headers],0),0)</f>
        <v>0.17</v>
      </c>
      <c r="BY629" s="2">
        <f>VLOOKUP([jobnumber],OvalData[],MATCH(Table2[[#Headers],[Endlock Total Weight]],Table2[#Headers],0),0)</f>
        <v>7.5972999999999997</v>
      </c>
      <c r="BZ629" s="2">
        <f>VLOOKUP([jobnumber],OvalData[],MATCH(Table2[[#Headers],[Grille Weight]],Table2[#Headers],0),0)</f>
        <v>0</v>
      </c>
      <c r="CA629" s="2">
        <f>VLOOKUP([jobnumber],OvalData[],MATCH(Table2[[#Headers],[barrelrings]],Table2[#Headers],0),0)</f>
        <v>1</v>
      </c>
    </row>
    <row r="630" spans="2:79">
      <c r="B630" s="2" t="str">
        <f>VLOOKUP([jobnumber],OvalData[],MATCH(Table2[[#Headers],[Hand]],Table2[#Headers],0),0)</f>
        <v>RH</v>
      </c>
      <c r="C630" s="2" t="str">
        <f>VLOOKUP([jobnumber],OvalData[],MATCH(Table2[[#Headers],[Model]],Table2[#Headers],0),0)</f>
        <v>SFMPP</v>
      </c>
      <c r="D630" s="2" t="str">
        <f>VLOOKUP([jobnumber],OvalData[],MATCH(Table2[[#Headers],[width]],Table2[#Headers],0),0)</f>
        <v xml:space="preserve"> 18 ft.- 2"</v>
      </c>
      <c r="E630" s="2" t="str">
        <f>VLOOKUP([jobnumber],OvalData[],MATCH(Table2[[#Headers],[stopheight]],Table2[#Headers],0),0)</f>
        <v xml:space="preserve"> 10 ft.- 0"</v>
      </c>
      <c r="F630" s="2" t="str">
        <f>VLOOKUP([jobnumber],OvalData[],MATCH(Table2[[#Headers],[Between Brackets]],Table2[#Headers],0),0)</f>
        <v xml:space="preserve"> 18 ft.- 7 7/ 8"</v>
      </c>
      <c r="G630" s="2" t="str">
        <f>VLOOKUP([jobnumber],OvalData[],MATCH(Table2[[#Headers],[shell]],Table2[#Headers],0),0)</f>
        <v>6 INCH TUBE</v>
      </c>
      <c r="H630" s="2" t="str">
        <f>VLOOKUP([jobnumber],OvalData[],MATCH(Table2[[#Headers],[pipewidth]],Table2[#Headers],0),0)</f>
        <v xml:space="preserve"> 18 ft.- 1 3/ 8"</v>
      </c>
      <c r="I630" s="2">
        <f>VLOOKUP([jobnumber],OvalData[],MATCH(Table2[[#Headers],[Support Tubes]],Table2[#Headers],0),0)</f>
        <v>0</v>
      </c>
      <c r="J630" s="2">
        <f>VLOOKUP([jobnumber],OvalData[],MATCH(Table2[[#Headers],[Upset]],Table2[#Headers],0),0)</f>
        <v>2</v>
      </c>
      <c r="K630" s="2" t="str">
        <f>VLOOKUP([jobnumber],OvalData[],MATCH(Table2[[#Headers],[Guide Type]],Table2[#Headers],0),0)</f>
        <v>SN2-4 5/8-E</v>
      </c>
      <c r="L630" s="2" t="str">
        <f>VLOOKUP([jobnumber],OvalData[],MATCH(Table2[[#Headers],[Wall Angle]],Table2[#Headers],0),0)</f>
        <v xml:space="preserve"> 11 ft.- 8"</v>
      </c>
      <c r="M630" s="2" t="str">
        <f>VLOOKUP([jobnumber],OvalData[],MATCH(Table2[[#Headers],[Middle Angle]],Table2[#Headers],0),0)</f>
        <v xml:space="preserve"> 10 ft.- 4 1/ 2"</v>
      </c>
      <c r="N630" s="2" t="str">
        <f>VLOOKUP([jobnumber],OvalData[],MATCH(Table2[[#Headers],[Front Angle]],Table2[#Headers],0),0)</f>
        <v xml:space="preserve"> 10 ft.- 3"</v>
      </c>
      <c r="O630" s="2">
        <f>VLOOKUP([jobnumber],OvalData[],MATCH(Table2[[#Headers],[Pipe Center Line]],Table2[#Headers],0),0)</f>
        <v>131</v>
      </c>
      <c r="P630" s="2">
        <f>VLOOKUP([jobnumber],OvalData[],MATCH(Table2[[#Headers],[Heat Expansion Gap]],Table2[#Headers],0),0)</f>
        <v>0</v>
      </c>
      <c r="Q630" s="2">
        <f>VLOOKUP([jobnumber],OvalData[],MATCH(Table2[[#Headers],[Hanging Weight Closed]],Table2[#Headers],0),0)</f>
        <v>795</v>
      </c>
      <c r="R630" s="2">
        <f>VLOOKUP([jobnumber],OvalData[],MATCH(Table2[[#Headers],[Hanging Weight Open]],Table2[#Headers],0),0)</f>
        <v>140</v>
      </c>
      <c r="S630" s="2">
        <f>VLOOKUP([jobnumber],OvalData[],MATCH(Table2[[#Headers],[Initial Lever Arm]],Table2[#Headers],0),0)</f>
        <v>4.25</v>
      </c>
      <c r="T630" s="2">
        <f>VLOOKUP([jobnumber],OvalData[],MATCH(Table2[[#Headers],[Turns to Raise]],Table2[#Headers],0),0)</f>
        <v>3.5859999999999999</v>
      </c>
      <c r="U630" s="2">
        <f>VLOOKUP([jobnumber],OvalData[],MATCH(Table2[[#Headers],[Final Lever Arm]],Table2[#Headers],0),0)</f>
        <v>6.37</v>
      </c>
      <c r="V630" s="2">
        <f>VLOOKUP([jobnumber],OvalData[],MATCH(Table2[[#Headers],[Torque Required Closed]],Table2[#Headers],0),0)</f>
        <v>3377.9</v>
      </c>
      <c r="W630" s="2">
        <f>VLOOKUP([jobnumber],OvalData[],MATCH(Table2[[#Headers],[Torque Required Open]],Table2[#Headers],0),0)</f>
        <v>892</v>
      </c>
      <c r="X630" s="2">
        <f>VLOOKUP([jobnumber],OvalData[],MATCH(Table2[[#Headers],[Pre Turns]],Table2[#Headers],0),0)</f>
        <v>1.3332999999999999</v>
      </c>
      <c r="Y630" s="2">
        <f>VLOOKUP([jobnumber],OvalData[],MATCH(Table2[[#Headers],[Required Torque Per Turn]],Table2[#Headers],0),0)</f>
        <v>688</v>
      </c>
      <c r="Z630" s="2">
        <f>VLOOKUP([jobnumber],OvalData[],MATCH(Table2[[#Headers],[Total Turns]],Table2[#Headers],0),0)</f>
        <v>4.91</v>
      </c>
      <c r="AA630" s="2">
        <f>VLOOKUP([jobnumber],OvalData[],MATCH(Table2[[#Headers],[Grille Vision Section]],Table2[#Headers],0),0)</f>
        <v>0</v>
      </c>
      <c r="AB630" s="2">
        <f>VLOOKUP([jobnumber],OvalData[],MATCH(Table2[[#Headers],[Grille Amount]],Table2[#Headers],0),0)</f>
        <v>0</v>
      </c>
      <c r="AC630" s="2">
        <f>VLOOKUP([jobnumber],OvalData[],MATCH(Table2[[#Headers],[Grille Center]],Table2[#Headers],0),0)</f>
        <v>0</v>
      </c>
      <c r="AD630" s="2">
        <f>VLOOKUP([jobnumber],OvalData[],MATCH(Table2[[#Headers],[Grille Pattern]],Table2[#Headers],0),0)</f>
        <v>0</v>
      </c>
      <c r="AE630" s="2">
        <f>VLOOKUP([jobnumber],OvalData[],MATCH(Table2[[#Headers],[Grille First Tube]],Table2[#Headers],0),0)</f>
        <v>0</v>
      </c>
      <c r="AF630" s="2">
        <f>VLOOKUP([jobnumber],OvalData[],MATCH(Table2[[#Headers],[Grille Standard Tube]],Table2[#Headers],0),0)</f>
        <v>0</v>
      </c>
      <c r="AG630" s="2">
        <f>VLOOKUP([jobnumber],OvalData[],MATCH(Table2[[#Headers],[Grille Total Links]],Table2[#Headers],0),0)</f>
        <v>0</v>
      </c>
      <c r="AH630" s="2">
        <f>VLOOKUP([jobnumber],OvalData[],MATCH(Table2[[#Headers],[Grille Rods]],Table2[#Headers],0),0)</f>
        <v>0</v>
      </c>
      <c r="AI630" s="2">
        <f>VLOOKUP([jobnumber],OvalData[],MATCH(Table2[[#Headers],[Grille Rod Length]],Table2[#Headers],0),0)</f>
        <v>0</v>
      </c>
      <c r="AJ630" s="2">
        <f>VLOOKUP([jobnumber],OvalData[],MATCH(Table2[[#Headers],[slattype]],Table2[#Headers],0),0)</f>
        <v>2</v>
      </c>
      <c r="AK630" s="2">
        <f>VLOOKUP([jobnumber],OvalData[],MATCH(Table2[[#Headers],[slatgage]],Table2[#Headers],0),0)</f>
        <v>18</v>
      </c>
      <c r="AL630" s="2">
        <f>VLOOKUP([jobnumber],OvalData[],MATCH(Table2[[#Headers],[Numer of Top Slats]],Table2[#Headers],0),0)</f>
        <v>0</v>
      </c>
      <c r="AM630" s="2">
        <f>VLOOKUP([jobnumber],OvalData[],MATCH(Table2[[#Headers],[Number of Bottom Slats]],Table2[#Headers],0),0)</f>
        <v>0</v>
      </c>
      <c r="AN630" s="2">
        <f>VLOOKUP([jobnumber],OvalData[],MATCH(Table2[[#Headers],[Solid Bottom Height]],Table2[#Headers],0),0)</f>
        <v>0</v>
      </c>
      <c r="AO630" s="2" t="str">
        <f>VLOOKUP([jobnumber],OvalData[],MATCH(Table2[[#Headers],[slatlength]],Table2[#Headers],0),0)</f>
        <v xml:space="preserve"> 18 ft.- 5 7/ 8"</v>
      </c>
      <c r="AP630" s="2">
        <f>VLOOKUP([jobnumber],OvalData[],MATCH(Table2[[#Headers],[Bottom Slat Length]],Table2[#Headers],0),0)</f>
        <v>0</v>
      </c>
      <c r="AQ630" s="2">
        <f>VLOOKUP([jobnumber],OvalData[],MATCH(Table2[[#Headers],[Number of Perferated Slats]],Table2[#Headers],0),0)</f>
        <v>0</v>
      </c>
      <c r="AR630" s="2">
        <f>VLOOKUP([jobnumber],OvalData[],MATCH(Table2[[#Headers],[First Preferated Slat From End]],Table2[#Headers],0),0)</f>
        <v>0</v>
      </c>
      <c r="AS630" s="2">
        <f>VLOOKUP([jobnumber],OvalData[],MATCH(Table2[[#Headers],[First Preferated Slat From Bottom]],Table2[#Headers],0),0)</f>
        <v>0</v>
      </c>
      <c r="AT630" s="2">
        <f>VLOOKUP([jobnumber],OvalData[],MATCH(Table2[[#Headers],[Total Number of Slats]],Table2[#Headers],0),0)</f>
        <v>51</v>
      </c>
      <c r="AU630" s="2">
        <f>VLOOKUP([jobnumber],OvalData[],MATCH(Table2[[#Headers],[Bottom Bar Slope]],Table2[#Headers],0),0)</f>
        <v>0</v>
      </c>
      <c r="AV630" s="2">
        <f>VLOOKUP([jobnumber],OvalData[],MATCH(Table2[[#Headers],[Bottom Bar Weight]],Table2[#Headers],0),0)</f>
        <v>80.5</v>
      </c>
      <c r="AW630" s="2" t="str">
        <f>VLOOKUP([jobnumber],OvalData[],MATCH(Table2[[#Headers],[Outer Spring Gage]],Table2[#Headers],0),0)</f>
        <v>Null</v>
      </c>
      <c r="AX630" s="2" t="str">
        <f>VLOOKUP([jobnumber],OvalData[],MATCH(Table2[[#Headers],[Outer Spring OD]],Table2[#Headers],0),0)</f>
        <v>Null</v>
      </c>
      <c r="AY630" s="2" t="str">
        <f>VLOOKUP([jobnumber],OvalData[],MATCH(Table2[[#Headers],[Outer Spring Length]],Table2[#Headers],0),0)</f>
        <v>Null</v>
      </c>
      <c r="AZ630" s="2" t="str">
        <f>VLOOKUP([jobnumber],OvalData[],MATCH(Table2[[#Headers],[Outer Spring Stretch]],Table2[#Headers],0),0)</f>
        <v>Null</v>
      </c>
      <c r="BA630" s="2" t="str">
        <f>VLOOKUP([jobnumber],OvalData[],MATCH(Table2[[#Headers],[Outer Spring Torque]],Table2[#Headers],0),0)</f>
        <v>Null</v>
      </c>
      <c r="BB630" s="2" t="str">
        <f>VLOOKUP([jobnumber],OvalData[],MATCH(Table2[[#Headers],[Outer Spring Max Turns]],Table2[#Headers],0),0)</f>
        <v>Null</v>
      </c>
      <c r="BC630" s="2" t="str">
        <f>VLOOKUP([jobnumber],OvalData[],MATCH(Table2[[#Headers],[Outer Spring Weight]],Table2[#Headers],0),0)</f>
        <v>Null</v>
      </c>
      <c r="BD630" s="2" t="str">
        <f>VLOOKUP([jobnumber],OvalData[],MATCH(Table2[[#Headers],[Inner Spring Gage]],Table2[#Headers],0),0)</f>
        <v>Null</v>
      </c>
      <c r="BE630" s="2" t="str">
        <f>VLOOKUP([jobnumber],OvalData[],MATCH(Table2[[#Headers],[Inner Spring OD]],Table2[#Headers],0),0)</f>
        <v>Null</v>
      </c>
      <c r="BF630" s="2" t="str">
        <f>VLOOKUP([jobnumber],OvalData[],MATCH(Table2[[#Headers],[Inner Spring Length]],Table2[#Headers],0),0)</f>
        <v>Null</v>
      </c>
      <c r="BG630" s="2" t="str">
        <f>VLOOKUP([jobnumber],OvalData[],MATCH(Table2[[#Headers],[Inner Spring Stretch]],Table2[#Headers],0),0)</f>
        <v>Null</v>
      </c>
      <c r="BH630" s="2" t="str">
        <f>VLOOKUP([jobnumber],OvalData[],MATCH(Table2[[#Headers],[Inner Spring Torque]],Table2[#Headers],0),0)</f>
        <v>Null</v>
      </c>
      <c r="BI630" s="2" t="str">
        <f>VLOOKUP([jobnumber],OvalData[],MATCH(Table2[[#Headers],[Inner Spring Max Turns]],Table2[#Headers],0),0)</f>
        <v>Null</v>
      </c>
      <c r="BJ630" s="2" t="str">
        <f>VLOOKUP([jobnumber],OvalData[],MATCH(Table2[[#Headers],[Inner Spring Weight]],Table2[#Headers],0),0)</f>
        <v>Null</v>
      </c>
      <c r="BK630" s="2">
        <f>VLOOKUP([jobnumber],OvalData[],MATCH(Table2[[#Headers],[Cycles]],Table2[#Headers],0),0)</f>
        <v>0</v>
      </c>
      <c r="BL630" s="2">
        <f>VLOOKUP([jobnumber],OvalData[],MATCH(Table2[[#Headers],[Total Spring Torque]],Table2[#Headers],0),0)</f>
        <v>0</v>
      </c>
      <c r="BM630" s="2">
        <f>VLOOKUP([jobnumber],OvalData[],MATCH(Table2[[#Headers],[Total Spring Weight]],Table2[#Headers],0),0)</f>
        <v>0</v>
      </c>
      <c r="BN630" s="2">
        <f>VLOOKUP([jobnumber],OvalData[],MATCH(Table2[[#Headers],[Pipe Weight]],Table2[#Headers],0),0)</f>
        <v>688.24239999999998</v>
      </c>
      <c r="BO630" s="2">
        <f>VLOOKUP([jobnumber],OvalData[],MATCH(Table2[[#Headers],[Max Pipe Deflection]],Table2[#Headers],0),0)</f>
        <v>2309</v>
      </c>
      <c r="BP630" s="2">
        <f>VLOOKUP([jobnumber],OvalData[],MATCH(Table2[[#Headers],[Number Non-Insulated Wrap Slats]],Table2[#Headers],0),0)</f>
        <v>0</v>
      </c>
      <c r="BQ630" s="2">
        <f>VLOOKUP([jobnumber],OvalData[],MATCH(Table2[[#Headers],[Number of Insolated Top Slats]],Table2[#Headers],0),0)</f>
        <v>45</v>
      </c>
      <c r="BR630" s="2">
        <f>VLOOKUP([jobnumber],OvalData[],MATCH(Table2[[#Headers],[Insolated Total Slats]],Table2[#Headers],0),0)</f>
        <v>45</v>
      </c>
      <c r="BS630" s="2">
        <f>VLOOKUP([jobnumber],OvalData[],MATCH(Table2[[#Headers],[Number of Slats]],Table2[#Headers],0),0)</f>
        <v>44.69</v>
      </c>
      <c r="BT630" s="2">
        <f>VLOOKUP([jobnumber],OvalData[],MATCH(Table2[[#Headers],[Wrap]],Table2[#Headers],0),0)</f>
        <v>0</v>
      </c>
      <c r="BU630" s="2">
        <f>VLOOKUP([jobnumber],OvalData[],MATCH(Table2[[#Headers],[Wall Angle Thickness]],Table2[#Headers],0),0)</f>
        <v>0</v>
      </c>
      <c r="BV630" s="2">
        <f>VLOOKUP([jobnumber],OvalData[],MATCH(Table2[[#Headers],[windlocks]],Table2[#Headers],0),0)</f>
        <v>0</v>
      </c>
      <c r="BW630" s="2" t="str">
        <f>VLOOKUP([jobnumber],OvalData[],MATCH(Table2[[#Headers],[bottombartype]],Table2[#Headers],0),0)</f>
        <v>SPECIAL</v>
      </c>
      <c r="BX630" s="2">
        <f>VLOOKUP([jobnumber],OvalData[],MATCH(Table2[[#Headers],[endlockweight]],Table2[#Headers],0),0)</f>
        <v>0.17</v>
      </c>
      <c r="BY630" s="2">
        <f>VLOOKUP([jobnumber],OvalData[],MATCH(Table2[[#Headers],[Endlock Total Weight]],Table2[#Headers],0),0)</f>
        <v>7.5972999999999997</v>
      </c>
      <c r="BZ630" s="2">
        <f>VLOOKUP([jobnumber],OvalData[],MATCH(Table2[[#Headers],[Grille Weight]],Table2[#Headers],0),0)</f>
        <v>0</v>
      </c>
      <c r="CA630" s="2">
        <f>VLOOKUP([jobnumber],OvalData[],MATCH(Table2[[#Headers],[barrelrings]],Table2[#Headers],0),0)</f>
        <v>1</v>
      </c>
    </row>
    <row r="631" spans="2:79">
      <c r="B631" s="2" t="str">
        <f>VLOOKUP([jobnumber],OvalData[],MATCH(Table2[[#Headers],[Hand]],Table2[#Headers],0),0)</f>
        <v>RH</v>
      </c>
      <c r="C631" s="2" t="str">
        <f>VLOOKUP([jobnumber],OvalData[],MATCH(Table2[[#Headers],[Model]],Table2[#Headers],0),0)</f>
        <v>SFMPP</v>
      </c>
      <c r="D631" s="2" t="str">
        <f>VLOOKUP([jobnumber],OvalData[],MATCH(Table2[[#Headers],[width]],Table2[#Headers],0),0)</f>
        <v xml:space="preserve"> 18 ft.- 2"</v>
      </c>
      <c r="E631" s="2" t="str">
        <f>VLOOKUP([jobnumber],OvalData[],MATCH(Table2[[#Headers],[stopheight]],Table2[#Headers],0),0)</f>
        <v xml:space="preserve"> 10 ft.- 0"</v>
      </c>
      <c r="F631" s="2" t="str">
        <f>VLOOKUP([jobnumber],OvalData[],MATCH(Table2[[#Headers],[Between Brackets]],Table2[#Headers],0),0)</f>
        <v xml:space="preserve"> 18 ft.- 7 7/ 8"</v>
      </c>
      <c r="G631" s="2" t="str">
        <f>VLOOKUP([jobnumber],OvalData[],MATCH(Table2[[#Headers],[shell]],Table2[#Headers],0),0)</f>
        <v>6 INCH TUBE</v>
      </c>
      <c r="H631" s="2" t="str">
        <f>VLOOKUP([jobnumber],OvalData[],MATCH(Table2[[#Headers],[pipewidth]],Table2[#Headers],0),0)</f>
        <v xml:space="preserve"> 18 ft.- 1 3/ 8"</v>
      </c>
      <c r="I631" s="2">
        <f>VLOOKUP([jobnumber],OvalData[],MATCH(Table2[[#Headers],[Support Tubes]],Table2[#Headers],0),0)</f>
        <v>0</v>
      </c>
      <c r="J631" s="2">
        <f>VLOOKUP([jobnumber],OvalData[],MATCH(Table2[[#Headers],[Upset]],Table2[#Headers],0),0)</f>
        <v>2</v>
      </c>
      <c r="K631" s="2" t="str">
        <f>VLOOKUP([jobnumber],OvalData[],MATCH(Table2[[#Headers],[Guide Type]],Table2[#Headers],0),0)</f>
        <v>SN2-4 5/8-E</v>
      </c>
      <c r="L631" s="2" t="str">
        <f>VLOOKUP([jobnumber],OvalData[],MATCH(Table2[[#Headers],[Wall Angle]],Table2[#Headers],0),0)</f>
        <v xml:space="preserve"> 11 ft.- 8"</v>
      </c>
      <c r="M631" s="2" t="str">
        <f>VLOOKUP([jobnumber],OvalData[],MATCH(Table2[[#Headers],[Middle Angle]],Table2[#Headers],0),0)</f>
        <v xml:space="preserve"> 10 ft.- 4 1/ 2"</v>
      </c>
      <c r="N631" s="2" t="str">
        <f>VLOOKUP([jobnumber],OvalData[],MATCH(Table2[[#Headers],[Front Angle]],Table2[#Headers],0),0)</f>
        <v xml:space="preserve"> 10 ft.- 3"</v>
      </c>
      <c r="O631" s="2">
        <f>VLOOKUP([jobnumber],OvalData[],MATCH(Table2[[#Headers],[Pipe Center Line]],Table2[#Headers],0),0)</f>
        <v>131</v>
      </c>
      <c r="P631" s="2">
        <f>VLOOKUP([jobnumber],OvalData[],MATCH(Table2[[#Headers],[Heat Expansion Gap]],Table2[#Headers],0),0)</f>
        <v>0</v>
      </c>
      <c r="Q631" s="2">
        <f>VLOOKUP([jobnumber],OvalData[],MATCH(Table2[[#Headers],[Hanging Weight Closed]],Table2[#Headers],0),0)</f>
        <v>795</v>
      </c>
      <c r="R631" s="2">
        <f>VLOOKUP([jobnumber],OvalData[],MATCH(Table2[[#Headers],[Hanging Weight Open]],Table2[#Headers],0),0)</f>
        <v>140</v>
      </c>
      <c r="S631" s="2">
        <f>VLOOKUP([jobnumber],OvalData[],MATCH(Table2[[#Headers],[Initial Lever Arm]],Table2[#Headers],0),0)</f>
        <v>4.25</v>
      </c>
      <c r="T631" s="2">
        <f>VLOOKUP([jobnumber],OvalData[],MATCH(Table2[[#Headers],[Turns to Raise]],Table2[#Headers],0),0)</f>
        <v>3.5859999999999999</v>
      </c>
      <c r="U631" s="2">
        <f>VLOOKUP([jobnumber],OvalData[],MATCH(Table2[[#Headers],[Final Lever Arm]],Table2[#Headers],0),0)</f>
        <v>6.37</v>
      </c>
      <c r="V631" s="2">
        <f>VLOOKUP([jobnumber],OvalData[],MATCH(Table2[[#Headers],[Torque Required Closed]],Table2[#Headers],0),0)</f>
        <v>3377.9</v>
      </c>
      <c r="W631" s="2">
        <f>VLOOKUP([jobnumber],OvalData[],MATCH(Table2[[#Headers],[Torque Required Open]],Table2[#Headers],0),0)</f>
        <v>892</v>
      </c>
      <c r="X631" s="2">
        <f>VLOOKUP([jobnumber],OvalData[],MATCH(Table2[[#Headers],[Pre Turns]],Table2[#Headers],0),0)</f>
        <v>1.3332999999999999</v>
      </c>
      <c r="Y631" s="2">
        <f>VLOOKUP([jobnumber],OvalData[],MATCH(Table2[[#Headers],[Required Torque Per Turn]],Table2[#Headers],0),0)</f>
        <v>688</v>
      </c>
      <c r="Z631" s="2">
        <f>VLOOKUP([jobnumber],OvalData[],MATCH(Table2[[#Headers],[Total Turns]],Table2[#Headers],0),0)</f>
        <v>4.91</v>
      </c>
      <c r="AA631" s="2">
        <f>VLOOKUP([jobnumber],OvalData[],MATCH(Table2[[#Headers],[Grille Vision Section]],Table2[#Headers],0),0)</f>
        <v>0</v>
      </c>
      <c r="AB631" s="2">
        <f>VLOOKUP([jobnumber],OvalData[],MATCH(Table2[[#Headers],[Grille Amount]],Table2[#Headers],0),0)</f>
        <v>0</v>
      </c>
      <c r="AC631" s="2">
        <f>VLOOKUP([jobnumber],OvalData[],MATCH(Table2[[#Headers],[Grille Center]],Table2[#Headers],0),0)</f>
        <v>0</v>
      </c>
      <c r="AD631" s="2">
        <f>VLOOKUP([jobnumber],OvalData[],MATCH(Table2[[#Headers],[Grille Pattern]],Table2[#Headers],0),0)</f>
        <v>0</v>
      </c>
      <c r="AE631" s="2">
        <f>VLOOKUP([jobnumber],OvalData[],MATCH(Table2[[#Headers],[Grille First Tube]],Table2[#Headers],0),0)</f>
        <v>0</v>
      </c>
      <c r="AF631" s="2">
        <f>VLOOKUP([jobnumber],OvalData[],MATCH(Table2[[#Headers],[Grille Standard Tube]],Table2[#Headers],0),0)</f>
        <v>0</v>
      </c>
      <c r="AG631" s="2">
        <f>VLOOKUP([jobnumber],OvalData[],MATCH(Table2[[#Headers],[Grille Total Links]],Table2[#Headers],0),0)</f>
        <v>0</v>
      </c>
      <c r="AH631" s="2">
        <f>VLOOKUP([jobnumber],OvalData[],MATCH(Table2[[#Headers],[Grille Rods]],Table2[#Headers],0),0)</f>
        <v>0</v>
      </c>
      <c r="AI631" s="2">
        <f>VLOOKUP([jobnumber],OvalData[],MATCH(Table2[[#Headers],[Grille Rod Length]],Table2[#Headers],0),0)</f>
        <v>0</v>
      </c>
      <c r="AJ631" s="2">
        <f>VLOOKUP([jobnumber],OvalData[],MATCH(Table2[[#Headers],[slattype]],Table2[#Headers],0),0)</f>
        <v>2</v>
      </c>
      <c r="AK631" s="2">
        <f>VLOOKUP([jobnumber],OvalData[],MATCH(Table2[[#Headers],[slatgage]],Table2[#Headers],0),0)</f>
        <v>18</v>
      </c>
      <c r="AL631" s="2">
        <f>VLOOKUP([jobnumber],OvalData[],MATCH(Table2[[#Headers],[Numer of Top Slats]],Table2[#Headers],0),0)</f>
        <v>0</v>
      </c>
      <c r="AM631" s="2">
        <f>VLOOKUP([jobnumber],OvalData[],MATCH(Table2[[#Headers],[Number of Bottom Slats]],Table2[#Headers],0),0)</f>
        <v>0</v>
      </c>
      <c r="AN631" s="2">
        <f>VLOOKUP([jobnumber],OvalData[],MATCH(Table2[[#Headers],[Solid Bottom Height]],Table2[#Headers],0),0)</f>
        <v>0</v>
      </c>
      <c r="AO631" s="2" t="str">
        <f>VLOOKUP([jobnumber],OvalData[],MATCH(Table2[[#Headers],[slatlength]],Table2[#Headers],0),0)</f>
        <v xml:space="preserve"> 18 ft.- 5 7/ 8"</v>
      </c>
      <c r="AP631" s="2">
        <f>VLOOKUP([jobnumber],OvalData[],MATCH(Table2[[#Headers],[Bottom Slat Length]],Table2[#Headers],0),0)</f>
        <v>0</v>
      </c>
      <c r="AQ631" s="2">
        <f>VLOOKUP([jobnumber],OvalData[],MATCH(Table2[[#Headers],[Number of Perferated Slats]],Table2[#Headers],0),0)</f>
        <v>0</v>
      </c>
      <c r="AR631" s="2">
        <f>VLOOKUP([jobnumber],OvalData[],MATCH(Table2[[#Headers],[First Preferated Slat From End]],Table2[#Headers],0),0)</f>
        <v>0</v>
      </c>
      <c r="AS631" s="2">
        <f>VLOOKUP([jobnumber],OvalData[],MATCH(Table2[[#Headers],[First Preferated Slat From Bottom]],Table2[#Headers],0),0)</f>
        <v>0</v>
      </c>
      <c r="AT631" s="2">
        <f>VLOOKUP([jobnumber],OvalData[],MATCH(Table2[[#Headers],[Total Number of Slats]],Table2[#Headers],0),0)</f>
        <v>51</v>
      </c>
      <c r="AU631" s="2">
        <f>VLOOKUP([jobnumber],OvalData[],MATCH(Table2[[#Headers],[Bottom Bar Slope]],Table2[#Headers],0),0)</f>
        <v>0</v>
      </c>
      <c r="AV631" s="2">
        <f>VLOOKUP([jobnumber],OvalData[],MATCH(Table2[[#Headers],[Bottom Bar Weight]],Table2[#Headers],0),0)</f>
        <v>80.5</v>
      </c>
      <c r="AW631" s="2" t="str">
        <f>VLOOKUP([jobnumber],OvalData[],MATCH(Table2[[#Headers],[Outer Spring Gage]],Table2[#Headers],0),0)</f>
        <v>Null</v>
      </c>
      <c r="AX631" s="2" t="str">
        <f>VLOOKUP([jobnumber],OvalData[],MATCH(Table2[[#Headers],[Outer Spring OD]],Table2[#Headers],0),0)</f>
        <v>Null</v>
      </c>
      <c r="AY631" s="2" t="str">
        <f>VLOOKUP([jobnumber],OvalData[],MATCH(Table2[[#Headers],[Outer Spring Length]],Table2[#Headers],0),0)</f>
        <v>Null</v>
      </c>
      <c r="AZ631" s="2" t="str">
        <f>VLOOKUP([jobnumber],OvalData[],MATCH(Table2[[#Headers],[Outer Spring Stretch]],Table2[#Headers],0),0)</f>
        <v>Null</v>
      </c>
      <c r="BA631" s="2" t="str">
        <f>VLOOKUP([jobnumber],OvalData[],MATCH(Table2[[#Headers],[Outer Spring Torque]],Table2[#Headers],0),0)</f>
        <v>Null</v>
      </c>
      <c r="BB631" s="2" t="str">
        <f>VLOOKUP([jobnumber],OvalData[],MATCH(Table2[[#Headers],[Outer Spring Max Turns]],Table2[#Headers],0),0)</f>
        <v>Null</v>
      </c>
      <c r="BC631" s="2" t="str">
        <f>VLOOKUP([jobnumber],OvalData[],MATCH(Table2[[#Headers],[Outer Spring Weight]],Table2[#Headers],0),0)</f>
        <v>Null</v>
      </c>
      <c r="BD631" s="2" t="str">
        <f>VLOOKUP([jobnumber],OvalData[],MATCH(Table2[[#Headers],[Inner Spring Gage]],Table2[#Headers],0),0)</f>
        <v>Null</v>
      </c>
      <c r="BE631" s="2" t="str">
        <f>VLOOKUP([jobnumber],OvalData[],MATCH(Table2[[#Headers],[Inner Spring OD]],Table2[#Headers],0),0)</f>
        <v>Null</v>
      </c>
      <c r="BF631" s="2" t="str">
        <f>VLOOKUP([jobnumber],OvalData[],MATCH(Table2[[#Headers],[Inner Spring Length]],Table2[#Headers],0),0)</f>
        <v>Null</v>
      </c>
      <c r="BG631" s="2" t="str">
        <f>VLOOKUP([jobnumber],OvalData[],MATCH(Table2[[#Headers],[Inner Spring Stretch]],Table2[#Headers],0),0)</f>
        <v>Null</v>
      </c>
      <c r="BH631" s="2" t="str">
        <f>VLOOKUP([jobnumber],OvalData[],MATCH(Table2[[#Headers],[Inner Spring Torque]],Table2[#Headers],0),0)</f>
        <v>Null</v>
      </c>
      <c r="BI631" s="2" t="str">
        <f>VLOOKUP([jobnumber],OvalData[],MATCH(Table2[[#Headers],[Inner Spring Max Turns]],Table2[#Headers],0),0)</f>
        <v>Null</v>
      </c>
      <c r="BJ631" s="2" t="str">
        <f>VLOOKUP([jobnumber],OvalData[],MATCH(Table2[[#Headers],[Inner Spring Weight]],Table2[#Headers],0),0)</f>
        <v>Null</v>
      </c>
      <c r="BK631" s="2">
        <f>VLOOKUP([jobnumber],OvalData[],MATCH(Table2[[#Headers],[Cycles]],Table2[#Headers],0),0)</f>
        <v>0</v>
      </c>
      <c r="BL631" s="2">
        <f>VLOOKUP([jobnumber],OvalData[],MATCH(Table2[[#Headers],[Total Spring Torque]],Table2[#Headers],0),0)</f>
        <v>0</v>
      </c>
      <c r="BM631" s="2">
        <f>VLOOKUP([jobnumber],OvalData[],MATCH(Table2[[#Headers],[Total Spring Weight]],Table2[#Headers],0),0)</f>
        <v>0</v>
      </c>
      <c r="BN631" s="2">
        <f>VLOOKUP([jobnumber],OvalData[],MATCH(Table2[[#Headers],[Pipe Weight]],Table2[#Headers],0),0)</f>
        <v>688.24239999999998</v>
      </c>
      <c r="BO631" s="2">
        <f>VLOOKUP([jobnumber],OvalData[],MATCH(Table2[[#Headers],[Max Pipe Deflection]],Table2[#Headers],0),0)</f>
        <v>2309</v>
      </c>
      <c r="BP631" s="2">
        <f>VLOOKUP([jobnumber],OvalData[],MATCH(Table2[[#Headers],[Number Non-Insulated Wrap Slats]],Table2[#Headers],0),0)</f>
        <v>0</v>
      </c>
      <c r="BQ631" s="2">
        <f>VLOOKUP([jobnumber],OvalData[],MATCH(Table2[[#Headers],[Number of Insolated Top Slats]],Table2[#Headers],0),0)</f>
        <v>45</v>
      </c>
      <c r="BR631" s="2">
        <f>VLOOKUP([jobnumber],OvalData[],MATCH(Table2[[#Headers],[Insolated Total Slats]],Table2[#Headers],0),0)</f>
        <v>45</v>
      </c>
      <c r="BS631" s="2">
        <f>VLOOKUP([jobnumber],OvalData[],MATCH(Table2[[#Headers],[Number of Slats]],Table2[#Headers],0),0)</f>
        <v>44.69</v>
      </c>
      <c r="BT631" s="2">
        <f>VLOOKUP([jobnumber],OvalData[],MATCH(Table2[[#Headers],[Wrap]],Table2[#Headers],0),0)</f>
        <v>0</v>
      </c>
      <c r="BU631" s="2">
        <f>VLOOKUP([jobnumber],OvalData[],MATCH(Table2[[#Headers],[Wall Angle Thickness]],Table2[#Headers],0),0)</f>
        <v>0</v>
      </c>
      <c r="BV631" s="2">
        <f>VLOOKUP([jobnumber],OvalData[],MATCH(Table2[[#Headers],[windlocks]],Table2[#Headers],0),0)</f>
        <v>0</v>
      </c>
      <c r="BW631" s="2" t="str">
        <f>VLOOKUP([jobnumber],OvalData[],MATCH(Table2[[#Headers],[bottombartype]],Table2[#Headers],0),0)</f>
        <v>SPECIAL</v>
      </c>
      <c r="BX631" s="2">
        <f>VLOOKUP([jobnumber],OvalData[],MATCH(Table2[[#Headers],[endlockweight]],Table2[#Headers],0),0)</f>
        <v>0.17</v>
      </c>
      <c r="BY631" s="2">
        <f>VLOOKUP([jobnumber],OvalData[],MATCH(Table2[[#Headers],[Endlock Total Weight]],Table2[#Headers],0),0)</f>
        <v>7.5972999999999997</v>
      </c>
      <c r="BZ631" s="2">
        <f>VLOOKUP([jobnumber],OvalData[],MATCH(Table2[[#Headers],[Grille Weight]],Table2[#Headers],0),0)</f>
        <v>0</v>
      </c>
      <c r="CA631" s="2">
        <f>VLOOKUP([jobnumber],OvalData[],MATCH(Table2[[#Headers],[barrelrings]],Table2[#Headers],0),0)</f>
        <v>1</v>
      </c>
    </row>
    <row r="632" spans="2:79">
      <c r="B632" s="2" t="str">
        <f>VLOOKUP([jobnumber],OvalData[],MATCH(Table2[[#Headers],[Hand]],Table2[#Headers],0),0)</f>
        <v>RH</v>
      </c>
      <c r="C632" s="2" t="str">
        <f>VLOOKUP([jobnumber],OvalData[],MATCH(Table2[[#Headers],[Model]],Table2[#Headers],0),0)</f>
        <v>SFMPP</v>
      </c>
      <c r="D632" s="2" t="str">
        <f>VLOOKUP([jobnumber],OvalData[],MATCH(Table2[[#Headers],[width]],Table2[#Headers],0),0)</f>
        <v xml:space="preserve"> 18 ft.- 2"</v>
      </c>
      <c r="E632" s="2" t="str">
        <f>VLOOKUP([jobnumber],OvalData[],MATCH(Table2[[#Headers],[stopheight]],Table2[#Headers],0),0)</f>
        <v xml:space="preserve"> 10 ft.- 0"</v>
      </c>
      <c r="F632" s="2" t="str">
        <f>VLOOKUP([jobnumber],OvalData[],MATCH(Table2[[#Headers],[Between Brackets]],Table2[#Headers],0),0)</f>
        <v xml:space="preserve"> 18 ft.- 7 7/ 8"</v>
      </c>
      <c r="G632" s="2" t="str">
        <f>VLOOKUP([jobnumber],OvalData[],MATCH(Table2[[#Headers],[shell]],Table2[#Headers],0),0)</f>
        <v>6 INCH TUBE</v>
      </c>
      <c r="H632" s="2" t="str">
        <f>VLOOKUP([jobnumber],OvalData[],MATCH(Table2[[#Headers],[pipewidth]],Table2[#Headers],0),0)</f>
        <v xml:space="preserve"> 18 ft.- 1 3/ 8"</v>
      </c>
      <c r="I632" s="2">
        <f>VLOOKUP([jobnumber],OvalData[],MATCH(Table2[[#Headers],[Support Tubes]],Table2[#Headers],0),0)</f>
        <v>0</v>
      </c>
      <c r="J632" s="2">
        <f>VLOOKUP([jobnumber],OvalData[],MATCH(Table2[[#Headers],[Upset]],Table2[#Headers],0),0)</f>
        <v>2</v>
      </c>
      <c r="K632" s="2" t="str">
        <f>VLOOKUP([jobnumber],OvalData[],MATCH(Table2[[#Headers],[Guide Type]],Table2[#Headers],0),0)</f>
        <v>SN2-4 5/8-E</v>
      </c>
      <c r="L632" s="2" t="str">
        <f>VLOOKUP([jobnumber],OvalData[],MATCH(Table2[[#Headers],[Wall Angle]],Table2[#Headers],0),0)</f>
        <v xml:space="preserve"> 11 ft.- 8"</v>
      </c>
      <c r="M632" s="2" t="str">
        <f>VLOOKUP([jobnumber],OvalData[],MATCH(Table2[[#Headers],[Middle Angle]],Table2[#Headers],0),0)</f>
        <v xml:space="preserve"> 10 ft.- 4 1/ 2"</v>
      </c>
      <c r="N632" s="2" t="str">
        <f>VLOOKUP([jobnumber],OvalData[],MATCH(Table2[[#Headers],[Front Angle]],Table2[#Headers],0),0)</f>
        <v xml:space="preserve"> 10 ft.- 3"</v>
      </c>
      <c r="O632" s="2">
        <f>VLOOKUP([jobnumber],OvalData[],MATCH(Table2[[#Headers],[Pipe Center Line]],Table2[#Headers],0),0)</f>
        <v>131</v>
      </c>
      <c r="P632" s="2">
        <f>VLOOKUP([jobnumber],OvalData[],MATCH(Table2[[#Headers],[Heat Expansion Gap]],Table2[#Headers],0),0)</f>
        <v>0</v>
      </c>
      <c r="Q632" s="2">
        <f>VLOOKUP([jobnumber],OvalData[],MATCH(Table2[[#Headers],[Hanging Weight Closed]],Table2[#Headers],0),0)</f>
        <v>795</v>
      </c>
      <c r="R632" s="2">
        <f>VLOOKUP([jobnumber],OvalData[],MATCH(Table2[[#Headers],[Hanging Weight Open]],Table2[#Headers],0),0)</f>
        <v>140</v>
      </c>
      <c r="S632" s="2">
        <f>VLOOKUP([jobnumber],OvalData[],MATCH(Table2[[#Headers],[Initial Lever Arm]],Table2[#Headers],0),0)</f>
        <v>4.25</v>
      </c>
      <c r="T632" s="2">
        <f>VLOOKUP([jobnumber],OvalData[],MATCH(Table2[[#Headers],[Turns to Raise]],Table2[#Headers],0),0)</f>
        <v>3.5859999999999999</v>
      </c>
      <c r="U632" s="2">
        <f>VLOOKUP([jobnumber],OvalData[],MATCH(Table2[[#Headers],[Final Lever Arm]],Table2[#Headers],0),0)</f>
        <v>6.37</v>
      </c>
      <c r="V632" s="2">
        <f>VLOOKUP([jobnumber],OvalData[],MATCH(Table2[[#Headers],[Torque Required Closed]],Table2[#Headers],0),0)</f>
        <v>3377.9</v>
      </c>
      <c r="W632" s="2">
        <f>VLOOKUP([jobnumber],OvalData[],MATCH(Table2[[#Headers],[Torque Required Open]],Table2[#Headers],0),0)</f>
        <v>892</v>
      </c>
      <c r="X632" s="2">
        <f>VLOOKUP([jobnumber],OvalData[],MATCH(Table2[[#Headers],[Pre Turns]],Table2[#Headers],0),0)</f>
        <v>1.3332999999999999</v>
      </c>
      <c r="Y632" s="2">
        <f>VLOOKUP([jobnumber],OvalData[],MATCH(Table2[[#Headers],[Required Torque Per Turn]],Table2[#Headers],0),0)</f>
        <v>688</v>
      </c>
      <c r="Z632" s="2">
        <f>VLOOKUP([jobnumber],OvalData[],MATCH(Table2[[#Headers],[Total Turns]],Table2[#Headers],0),0)</f>
        <v>4.91</v>
      </c>
      <c r="AA632" s="2">
        <f>VLOOKUP([jobnumber],OvalData[],MATCH(Table2[[#Headers],[Grille Vision Section]],Table2[#Headers],0),0)</f>
        <v>0</v>
      </c>
      <c r="AB632" s="2">
        <f>VLOOKUP([jobnumber],OvalData[],MATCH(Table2[[#Headers],[Grille Amount]],Table2[#Headers],0),0)</f>
        <v>0</v>
      </c>
      <c r="AC632" s="2">
        <f>VLOOKUP([jobnumber],OvalData[],MATCH(Table2[[#Headers],[Grille Center]],Table2[#Headers],0),0)</f>
        <v>0</v>
      </c>
      <c r="AD632" s="2">
        <f>VLOOKUP([jobnumber],OvalData[],MATCH(Table2[[#Headers],[Grille Pattern]],Table2[#Headers],0),0)</f>
        <v>0</v>
      </c>
      <c r="AE632" s="2">
        <f>VLOOKUP([jobnumber],OvalData[],MATCH(Table2[[#Headers],[Grille First Tube]],Table2[#Headers],0),0)</f>
        <v>0</v>
      </c>
      <c r="AF632" s="2">
        <f>VLOOKUP([jobnumber],OvalData[],MATCH(Table2[[#Headers],[Grille Standard Tube]],Table2[#Headers],0),0)</f>
        <v>0</v>
      </c>
      <c r="AG632" s="2">
        <f>VLOOKUP([jobnumber],OvalData[],MATCH(Table2[[#Headers],[Grille Total Links]],Table2[#Headers],0),0)</f>
        <v>0</v>
      </c>
      <c r="AH632" s="2">
        <f>VLOOKUP([jobnumber],OvalData[],MATCH(Table2[[#Headers],[Grille Rods]],Table2[#Headers],0),0)</f>
        <v>0</v>
      </c>
      <c r="AI632" s="2">
        <f>VLOOKUP([jobnumber],OvalData[],MATCH(Table2[[#Headers],[Grille Rod Length]],Table2[#Headers],0),0)</f>
        <v>0</v>
      </c>
      <c r="AJ632" s="2">
        <f>VLOOKUP([jobnumber],OvalData[],MATCH(Table2[[#Headers],[slattype]],Table2[#Headers],0),0)</f>
        <v>2</v>
      </c>
      <c r="AK632" s="2">
        <f>VLOOKUP([jobnumber],OvalData[],MATCH(Table2[[#Headers],[slatgage]],Table2[#Headers],0),0)</f>
        <v>18</v>
      </c>
      <c r="AL632" s="2">
        <f>VLOOKUP([jobnumber],OvalData[],MATCH(Table2[[#Headers],[Numer of Top Slats]],Table2[#Headers],0),0)</f>
        <v>0</v>
      </c>
      <c r="AM632" s="2">
        <f>VLOOKUP([jobnumber],OvalData[],MATCH(Table2[[#Headers],[Number of Bottom Slats]],Table2[#Headers],0),0)</f>
        <v>0</v>
      </c>
      <c r="AN632" s="2">
        <f>VLOOKUP([jobnumber],OvalData[],MATCH(Table2[[#Headers],[Solid Bottom Height]],Table2[#Headers],0),0)</f>
        <v>0</v>
      </c>
      <c r="AO632" s="2" t="str">
        <f>VLOOKUP([jobnumber],OvalData[],MATCH(Table2[[#Headers],[slatlength]],Table2[#Headers],0),0)</f>
        <v xml:space="preserve"> 18 ft.- 5 7/ 8"</v>
      </c>
      <c r="AP632" s="2">
        <f>VLOOKUP([jobnumber],OvalData[],MATCH(Table2[[#Headers],[Bottom Slat Length]],Table2[#Headers],0),0)</f>
        <v>0</v>
      </c>
      <c r="AQ632" s="2">
        <f>VLOOKUP([jobnumber],OvalData[],MATCH(Table2[[#Headers],[Number of Perferated Slats]],Table2[#Headers],0),0)</f>
        <v>0</v>
      </c>
      <c r="AR632" s="2">
        <f>VLOOKUP([jobnumber],OvalData[],MATCH(Table2[[#Headers],[First Preferated Slat From End]],Table2[#Headers],0),0)</f>
        <v>0</v>
      </c>
      <c r="AS632" s="2">
        <f>VLOOKUP([jobnumber],OvalData[],MATCH(Table2[[#Headers],[First Preferated Slat From Bottom]],Table2[#Headers],0),0)</f>
        <v>0</v>
      </c>
      <c r="AT632" s="2">
        <f>VLOOKUP([jobnumber],OvalData[],MATCH(Table2[[#Headers],[Total Number of Slats]],Table2[#Headers],0),0)</f>
        <v>51</v>
      </c>
      <c r="AU632" s="2">
        <f>VLOOKUP([jobnumber],OvalData[],MATCH(Table2[[#Headers],[Bottom Bar Slope]],Table2[#Headers],0),0)</f>
        <v>0</v>
      </c>
      <c r="AV632" s="2">
        <f>VLOOKUP([jobnumber],OvalData[],MATCH(Table2[[#Headers],[Bottom Bar Weight]],Table2[#Headers],0),0)</f>
        <v>80.5</v>
      </c>
      <c r="AW632" s="2" t="str">
        <f>VLOOKUP([jobnumber],OvalData[],MATCH(Table2[[#Headers],[Outer Spring Gage]],Table2[#Headers],0),0)</f>
        <v>Null</v>
      </c>
      <c r="AX632" s="2" t="str">
        <f>VLOOKUP([jobnumber],OvalData[],MATCH(Table2[[#Headers],[Outer Spring OD]],Table2[#Headers],0),0)</f>
        <v>Null</v>
      </c>
      <c r="AY632" s="2" t="str">
        <f>VLOOKUP([jobnumber],OvalData[],MATCH(Table2[[#Headers],[Outer Spring Length]],Table2[#Headers],0),0)</f>
        <v>Null</v>
      </c>
      <c r="AZ632" s="2" t="str">
        <f>VLOOKUP([jobnumber],OvalData[],MATCH(Table2[[#Headers],[Outer Spring Stretch]],Table2[#Headers],0),0)</f>
        <v>Null</v>
      </c>
      <c r="BA632" s="2" t="str">
        <f>VLOOKUP([jobnumber],OvalData[],MATCH(Table2[[#Headers],[Outer Spring Torque]],Table2[#Headers],0),0)</f>
        <v>Null</v>
      </c>
      <c r="BB632" s="2" t="str">
        <f>VLOOKUP([jobnumber],OvalData[],MATCH(Table2[[#Headers],[Outer Spring Max Turns]],Table2[#Headers],0),0)</f>
        <v>Null</v>
      </c>
      <c r="BC632" s="2" t="str">
        <f>VLOOKUP([jobnumber],OvalData[],MATCH(Table2[[#Headers],[Outer Spring Weight]],Table2[#Headers],0),0)</f>
        <v>Null</v>
      </c>
      <c r="BD632" s="2" t="str">
        <f>VLOOKUP([jobnumber],OvalData[],MATCH(Table2[[#Headers],[Inner Spring Gage]],Table2[#Headers],0),0)</f>
        <v>Null</v>
      </c>
      <c r="BE632" s="2" t="str">
        <f>VLOOKUP([jobnumber],OvalData[],MATCH(Table2[[#Headers],[Inner Spring OD]],Table2[#Headers],0),0)</f>
        <v>Null</v>
      </c>
      <c r="BF632" s="2" t="str">
        <f>VLOOKUP([jobnumber],OvalData[],MATCH(Table2[[#Headers],[Inner Spring Length]],Table2[#Headers],0),0)</f>
        <v>Null</v>
      </c>
      <c r="BG632" s="2" t="str">
        <f>VLOOKUP([jobnumber],OvalData[],MATCH(Table2[[#Headers],[Inner Spring Stretch]],Table2[#Headers],0),0)</f>
        <v>Null</v>
      </c>
      <c r="BH632" s="2" t="str">
        <f>VLOOKUP([jobnumber],OvalData[],MATCH(Table2[[#Headers],[Inner Spring Torque]],Table2[#Headers],0),0)</f>
        <v>Null</v>
      </c>
      <c r="BI632" s="2" t="str">
        <f>VLOOKUP([jobnumber],OvalData[],MATCH(Table2[[#Headers],[Inner Spring Max Turns]],Table2[#Headers],0),0)</f>
        <v>Null</v>
      </c>
      <c r="BJ632" s="2" t="str">
        <f>VLOOKUP([jobnumber],OvalData[],MATCH(Table2[[#Headers],[Inner Spring Weight]],Table2[#Headers],0),0)</f>
        <v>Null</v>
      </c>
      <c r="BK632" s="2">
        <f>VLOOKUP([jobnumber],OvalData[],MATCH(Table2[[#Headers],[Cycles]],Table2[#Headers],0),0)</f>
        <v>0</v>
      </c>
      <c r="BL632" s="2">
        <f>VLOOKUP([jobnumber],OvalData[],MATCH(Table2[[#Headers],[Total Spring Torque]],Table2[#Headers],0),0)</f>
        <v>0</v>
      </c>
      <c r="BM632" s="2">
        <f>VLOOKUP([jobnumber],OvalData[],MATCH(Table2[[#Headers],[Total Spring Weight]],Table2[#Headers],0),0)</f>
        <v>0</v>
      </c>
      <c r="BN632" s="2">
        <f>VLOOKUP([jobnumber],OvalData[],MATCH(Table2[[#Headers],[Pipe Weight]],Table2[#Headers],0),0)</f>
        <v>688.24239999999998</v>
      </c>
      <c r="BO632" s="2">
        <f>VLOOKUP([jobnumber],OvalData[],MATCH(Table2[[#Headers],[Max Pipe Deflection]],Table2[#Headers],0),0)</f>
        <v>2309</v>
      </c>
      <c r="BP632" s="2">
        <f>VLOOKUP([jobnumber],OvalData[],MATCH(Table2[[#Headers],[Number Non-Insulated Wrap Slats]],Table2[#Headers],0),0)</f>
        <v>0</v>
      </c>
      <c r="BQ632" s="2">
        <f>VLOOKUP([jobnumber],OvalData[],MATCH(Table2[[#Headers],[Number of Insolated Top Slats]],Table2[#Headers],0),0)</f>
        <v>45</v>
      </c>
      <c r="BR632" s="2">
        <f>VLOOKUP([jobnumber],OvalData[],MATCH(Table2[[#Headers],[Insolated Total Slats]],Table2[#Headers],0),0)</f>
        <v>45</v>
      </c>
      <c r="BS632" s="2">
        <f>VLOOKUP([jobnumber],OvalData[],MATCH(Table2[[#Headers],[Number of Slats]],Table2[#Headers],0),0)</f>
        <v>44.69</v>
      </c>
      <c r="BT632" s="2">
        <f>VLOOKUP([jobnumber],OvalData[],MATCH(Table2[[#Headers],[Wrap]],Table2[#Headers],0),0)</f>
        <v>0</v>
      </c>
      <c r="BU632" s="2">
        <f>VLOOKUP([jobnumber],OvalData[],MATCH(Table2[[#Headers],[Wall Angle Thickness]],Table2[#Headers],0),0)</f>
        <v>0</v>
      </c>
      <c r="BV632" s="2">
        <f>VLOOKUP([jobnumber],OvalData[],MATCH(Table2[[#Headers],[windlocks]],Table2[#Headers],0),0)</f>
        <v>0</v>
      </c>
      <c r="BW632" s="2" t="str">
        <f>VLOOKUP([jobnumber],OvalData[],MATCH(Table2[[#Headers],[bottombartype]],Table2[#Headers],0),0)</f>
        <v>SPECIAL</v>
      </c>
      <c r="BX632" s="2">
        <f>VLOOKUP([jobnumber],OvalData[],MATCH(Table2[[#Headers],[endlockweight]],Table2[#Headers],0),0)</f>
        <v>0.17</v>
      </c>
      <c r="BY632" s="2">
        <f>VLOOKUP([jobnumber],OvalData[],MATCH(Table2[[#Headers],[Endlock Total Weight]],Table2[#Headers],0),0)</f>
        <v>7.5972999999999997</v>
      </c>
      <c r="BZ632" s="2">
        <f>VLOOKUP([jobnumber],OvalData[],MATCH(Table2[[#Headers],[Grille Weight]],Table2[#Headers],0),0)</f>
        <v>0</v>
      </c>
      <c r="CA632" s="2">
        <f>VLOOKUP([jobnumber],OvalData[],MATCH(Table2[[#Headers],[barrelrings]],Table2[#Headers],0),0)</f>
        <v>1</v>
      </c>
    </row>
    <row r="633" spans="2:79">
      <c r="B633" s="2" t="str">
        <f>VLOOKUP([jobnumber],OvalData[],MATCH(Table2[[#Headers],[Hand]],Table2[#Headers],0),0)</f>
        <v>RH</v>
      </c>
      <c r="C633" s="2" t="str">
        <f>VLOOKUP([jobnumber],OvalData[],MATCH(Table2[[#Headers],[Model]],Table2[#Headers],0),0)</f>
        <v>SFMPP</v>
      </c>
      <c r="D633" s="2" t="str">
        <f>VLOOKUP([jobnumber],OvalData[],MATCH(Table2[[#Headers],[width]],Table2[#Headers],0),0)</f>
        <v xml:space="preserve"> 18 ft.- 2"</v>
      </c>
      <c r="E633" s="2" t="str">
        <f>VLOOKUP([jobnumber],OvalData[],MATCH(Table2[[#Headers],[stopheight]],Table2[#Headers],0),0)</f>
        <v xml:space="preserve"> 10 ft.- 0"</v>
      </c>
      <c r="F633" s="2" t="str">
        <f>VLOOKUP([jobnumber],OvalData[],MATCH(Table2[[#Headers],[Between Brackets]],Table2[#Headers],0),0)</f>
        <v xml:space="preserve"> 18 ft.- 7 7/ 8"</v>
      </c>
      <c r="G633" s="2" t="str">
        <f>VLOOKUP([jobnumber],OvalData[],MATCH(Table2[[#Headers],[shell]],Table2[#Headers],0),0)</f>
        <v>6 INCH TUBE</v>
      </c>
      <c r="H633" s="2" t="str">
        <f>VLOOKUP([jobnumber],OvalData[],MATCH(Table2[[#Headers],[pipewidth]],Table2[#Headers],0),0)</f>
        <v xml:space="preserve"> 18 ft.- 1 3/ 8"</v>
      </c>
      <c r="I633" s="2">
        <f>VLOOKUP([jobnumber],OvalData[],MATCH(Table2[[#Headers],[Support Tubes]],Table2[#Headers],0),0)</f>
        <v>0</v>
      </c>
      <c r="J633" s="2">
        <f>VLOOKUP([jobnumber],OvalData[],MATCH(Table2[[#Headers],[Upset]],Table2[#Headers],0),0)</f>
        <v>2</v>
      </c>
      <c r="K633" s="2" t="str">
        <f>VLOOKUP([jobnumber],OvalData[],MATCH(Table2[[#Headers],[Guide Type]],Table2[#Headers],0),0)</f>
        <v>SN2-4 5/8-E</v>
      </c>
      <c r="L633" s="2" t="str">
        <f>VLOOKUP([jobnumber],OvalData[],MATCH(Table2[[#Headers],[Wall Angle]],Table2[#Headers],0),0)</f>
        <v xml:space="preserve"> 11 ft.- 8"</v>
      </c>
      <c r="M633" s="2" t="str">
        <f>VLOOKUP([jobnumber],OvalData[],MATCH(Table2[[#Headers],[Middle Angle]],Table2[#Headers],0),0)</f>
        <v xml:space="preserve"> 10 ft.- 4 1/ 2"</v>
      </c>
      <c r="N633" s="2" t="str">
        <f>VLOOKUP([jobnumber],OvalData[],MATCH(Table2[[#Headers],[Front Angle]],Table2[#Headers],0),0)</f>
        <v xml:space="preserve"> 10 ft.- 3"</v>
      </c>
      <c r="O633" s="2">
        <f>VLOOKUP([jobnumber],OvalData[],MATCH(Table2[[#Headers],[Pipe Center Line]],Table2[#Headers],0),0)</f>
        <v>131</v>
      </c>
      <c r="P633" s="2">
        <f>VLOOKUP([jobnumber],OvalData[],MATCH(Table2[[#Headers],[Heat Expansion Gap]],Table2[#Headers],0),0)</f>
        <v>0</v>
      </c>
      <c r="Q633" s="2">
        <f>VLOOKUP([jobnumber],OvalData[],MATCH(Table2[[#Headers],[Hanging Weight Closed]],Table2[#Headers],0),0)</f>
        <v>795</v>
      </c>
      <c r="R633" s="2">
        <f>VLOOKUP([jobnumber],OvalData[],MATCH(Table2[[#Headers],[Hanging Weight Open]],Table2[#Headers],0),0)</f>
        <v>140</v>
      </c>
      <c r="S633" s="2">
        <f>VLOOKUP([jobnumber],OvalData[],MATCH(Table2[[#Headers],[Initial Lever Arm]],Table2[#Headers],0),0)</f>
        <v>4.25</v>
      </c>
      <c r="T633" s="2">
        <f>VLOOKUP([jobnumber],OvalData[],MATCH(Table2[[#Headers],[Turns to Raise]],Table2[#Headers],0),0)</f>
        <v>3.5859999999999999</v>
      </c>
      <c r="U633" s="2">
        <f>VLOOKUP([jobnumber],OvalData[],MATCH(Table2[[#Headers],[Final Lever Arm]],Table2[#Headers],0),0)</f>
        <v>6.37</v>
      </c>
      <c r="V633" s="2">
        <f>VLOOKUP([jobnumber],OvalData[],MATCH(Table2[[#Headers],[Torque Required Closed]],Table2[#Headers],0),0)</f>
        <v>3377.9</v>
      </c>
      <c r="W633" s="2">
        <f>VLOOKUP([jobnumber],OvalData[],MATCH(Table2[[#Headers],[Torque Required Open]],Table2[#Headers],0),0)</f>
        <v>892</v>
      </c>
      <c r="X633" s="2">
        <f>VLOOKUP([jobnumber],OvalData[],MATCH(Table2[[#Headers],[Pre Turns]],Table2[#Headers],0),0)</f>
        <v>1.3332999999999999</v>
      </c>
      <c r="Y633" s="2">
        <f>VLOOKUP([jobnumber],OvalData[],MATCH(Table2[[#Headers],[Required Torque Per Turn]],Table2[#Headers],0),0)</f>
        <v>688</v>
      </c>
      <c r="Z633" s="2">
        <f>VLOOKUP([jobnumber],OvalData[],MATCH(Table2[[#Headers],[Total Turns]],Table2[#Headers],0),0)</f>
        <v>4.91</v>
      </c>
      <c r="AA633" s="2">
        <f>VLOOKUP([jobnumber],OvalData[],MATCH(Table2[[#Headers],[Grille Vision Section]],Table2[#Headers],0),0)</f>
        <v>0</v>
      </c>
      <c r="AB633" s="2">
        <f>VLOOKUP([jobnumber],OvalData[],MATCH(Table2[[#Headers],[Grille Amount]],Table2[#Headers],0),0)</f>
        <v>0</v>
      </c>
      <c r="AC633" s="2">
        <f>VLOOKUP([jobnumber],OvalData[],MATCH(Table2[[#Headers],[Grille Center]],Table2[#Headers],0),0)</f>
        <v>0</v>
      </c>
      <c r="AD633" s="2">
        <f>VLOOKUP([jobnumber],OvalData[],MATCH(Table2[[#Headers],[Grille Pattern]],Table2[#Headers],0),0)</f>
        <v>0</v>
      </c>
      <c r="AE633" s="2">
        <f>VLOOKUP([jobnumber],OvalData[],MATCH(Table2[[#Headers],[Grille First Tube]],Table2[#Headers],0),0)</f>
        <v>0</v>
      </c>
      <c r="AF633" s="2">
        <f>VLOOKUP([jobnumber],OvalData[],MATCH(Table2[[#Headers],[Grille Standard Tube]],Table2[#Headers],0),0)</f>
        <v>0</v>
      </c>
      <c r="AG633" s="2">
        <f>VLOOKUP([jobnumber],OvalData[],MATCH(Table2[[#Headers],[Grille Total Links]],Table2[#Headers],0),0)</f>
        <v>0</v>
      </c>
      <c r="AH633" s="2">
        <f>VLOOKUP([jobnumber],OvalData[],MATCH(Table2[[#Headers],[Grille Rods]],Table2[#Headers],0),0)</f>
        <v>0</v>
      </c>
      <c r="AI633" s="2">
        <f>VLOOKUP([jobnumber],OvalData[],MATCH(Table2[[#Headers],[Grille Rod Length]],Table2[#Headers],0),0)</f>
        <v>0</v>
      </c>
      <c r="AJ633" s="2">
        <f>VLOOKUP([jobnumber],OvalData[],MATCH(Table2[[#Headers],[slattype]],Table2[#Headers],0),0)</f>
        <v>2</v>
      </c>
      <c r="AK633" s="2">
        <f>VLOOKUP([jobnumber],OvalData[],MATCH(Table2[[#Headers],[slatgage]],Table2[#Headers],0),0)</f>
        <v>18</v>
      </c>
      <c r="AL633" s="2">
        <f>VLOOKUP([jobnumber],OvalData[],MATCH(Table2[[#Headers],[Numer of Top Slats]],Table2[#Headers],0),0)</f>
        <v>0</v>
      </c>
      <c r="AM633" s="2">
        <f>VLOOKUP([jobnumber],OvalData[],MATCH(Table2[[#Headers],[Number of Bottom Slats]],Table2[#Headers],0),0)</f>
        <v>0</v>
      </c>
      <c r="AN633" s="2">
        <f>VLOOKUP([jobnumber],OvalData[],MATCH(Table2[[#Headers],[Solid Bottom Height]],Table2[#Headers],0),0)</f>
        <v>0</v>
      </c>
      <c r="AO633" s="2" t="str">
        <f>VLOOKUP([jobnumber],OvalData[],MATCH(Table2[[#Headers],[slatlength]],Table2[#Headers],0),0)</f>
        <v xml:space="preserve"> 18 ft.- 5 7/ 8"</v>
      </c>
      <c r="AP633" s="2">
        <f>VLOOKUP([jobnumber],OvalData[],MATCH(Table2[[#Headers],[Bottom Slat Length]],Table2[#Headers],0),0)</f>
        <v>0</v>
      </c>
      <c r="AQ633" s="2">
        <f>VLOOKUP([jobnumber],OvalData[],MATCH(Table2[[#Headers],[Number of Perferated Slats]],Table2[#Headers],0),0)</f>
        <v>0</v>
      </c>
      <c r="AR633" s="2">
        <f>VLOOKUP([jobnumber],OvalData[],MATCH(Table2[[#Headers],[First Preferated Slat From End]],Table2[#Headers],0),0)</f>
        <v>0</v>
      </c>
      <c r="AS633" s="2">
        <f>VLOOKUP([jobnumber],OvalData[],MATCH(Table2[[#Headers],[First Preferated Slat From Bottom]],Table2[#Headers],0),0)</f>
        <v>0</v>
      </c>
      <c r="AT633" s="2">
        <f>VLOOKUP([jobnumber],OvalData[],MATCH(Table2[[#Headers],[Total Number of Slats]],Table2[#Headers],0),0)</f>
        <v>51</v>
      </c>
      <c r="AU633" s="2">
        <f>VLOOKUP([jobnumber],OvalData[],MATCH(Table2[[#Headers],[Bottom Bar Slope]],Table2[#Headers],0),0)</f>
        <v>0</v>
      </c>
      <c r="AV633" s="2">
        <f>VLOOKUP([jobnumber],OvalData[],MATCH(Table2[[#Headers],[Bottom Bar Weight]],Table2[#Headers],0),0)</f>
        <v>80.5</v>
      </c>
      <c r="AW633" s="2" t="str">
        <f>VLOOKUP([jobnumber],OvalData[],MATCH(Table2[[#Headers],[Outer Spring Gage]],Table2[#Headers],0),0)</f>
        <v>Null</v>
      </c>
      <c r="AX633" s="2" t="str">
        <f>VLOOKUP([jobnumber],OvalData[],MATCH(Table2[[#Headers],[Outer Spring OD]],Table2[#Headers],0),0)</f>
        <v>Null</v>
      </c>
      <c r="AY633" s="2" t="str">
        <f>VLOOKUP([jobnumber],OvalData[],MATCH(Table2[[#Headers],[Outer Spring Length]],Table2[#Headers],0),0)</f>
        <v>Null</v>
      </c>
      <c r="AZ633" s="2" t="str">
        <f>VLOOKUP([jobnumber],OvalData[],MATCH(Table2[[#Headers],[Outer Spring Stretch]],Table2[#Headers],0),0)</f>
        <v>Null</v>
      </c>
      <c r="BA633" s="2" t="str">
        <f>VLOOKUP([jobnumber],OvalData[],MATCH(Table2[[#Headers],[Outer Spring Torque]],Table2[#Headers],0),0)</f>
        <v>Null</v>
      </c>
      <c r="BB633" s="2" t="str">
        <f>VLOOKUP([jobnumber],OvalData[],MATCH(Table2[[#Headers],[Outer Spring Max Turns]],Table2[#Headers],0),0)</f>
        <v>Null</v>
      </c>
      <c r="BC633" s="2" t="str">
        <f>VLOOKUP([jobnumber],OvalData[],MATCH(Table2[[#Headers],[Outer Spring Weight]],Table2[#Headers],0),0)</f>
        <v>Null</v>
      </c>
      <c r="BD633" s="2" t="str">
        <f>VLOOKUP([jobnumber],OvalData[],MATCH(Table2[[#Headers],[Inner Spring Gage]],Table2[#Headers],0),0)</f>
        <v>Null</v>
      </c>
      <c r="BE633" s="2" t="str">
        <f>VLOOKUP([jobnumber],OvalData[],MATCH(Table2[[#Headers],[Inner Spring OD]],Table2[#Headers],0),0)</f>
        <v>Null</v>
      </c>
      <c r="BF633" s="2" t="str">
        <f>VLOOKUP([jobnumber],OvalData[],MATCH(Table2[[#Headers],[Inner Spring Length]],Table2[#Headers],0),0)</f>
        <v>Null</v>
      </c>
      <c r="BG633" s="2" t="str">
        <f>VLOOKUP([jobnumber],OvalData[],MATCH(Table2[[#Headers],[Inner Spring Stretch]],Table2[#Headers],0),0)</f>
        <v>Null</v>
      </c>
      <c r="BH633" s="2" t="str">
        <f>VLOOKUP([jobnumber],OvalData[],MATCH(Table2[[#Headers],[Inner Spring Torque]],Table2[#Headers],0),0)</f>
        <v>Null</v>
      </c>
      <c r="BI633" s="2" t="str">
        <f>VLOOKUP([jobnumber],OvalData[],MATCH(Table2[[#Headers],[Inner Spring Max Turns]],Table2[#Headers],0),0)</f>
        <v>Null</v>
      </c>
      <c r="BJ633" s="2" t="str">
        <f>VLOOKUP([jobnumber],OvalData[],MATCH(Table2[[#Headers],[Inner Spring Weight]],Table2[#Headers],0),0)</f>
        <v>Null</v>
      </c>
      <c r="BK633" s="2">
        <f>VLOOKUP([jobnumber],OvalData[],MATCH(Table2[[#Headers],[Cycles]],Table2[#Headers],0),0)</f>
        <v>0</v>
      </c>
      <c r="BL633" s="2">
        <f>VLOOKUP([jobnumber],OvalData[],MATCH(Table2[[#Headers],[Total Spring Torque]],Table2[#Headers],0),0)</f>
        <v>0</v>
      </c>
      <c r="BM633" s="2">
        <f>VLOOKUP([jobnumber],OvalData[],MATCH(Table2[[#Headers],[Total Spring Weight]],Table2[#Headers],0),0)</f>
        <v>0</v>
      </c>
      <c r="BN633" s="2">
        <f>VLOOKUP([jobnumber],OvalData[],MATCH(Table2[[#Headers],[Pipe Weight]],Table2[#Headers],0),0)</f>
        <v>688.24239999999998</v>
      </c>
      <c r="BO633" s="2">
        <f>VLOOKUP([jobnumber],OvalData[],MATCH(Table2[[#Headers],[Max Pipe Deflection]],Table2[#Headers],0),0)</f>
        <v>2309</v>
      </c>
      <c r="BP633" s="2">
        <f>VLOOKUP([jobnumber],OvalData[],MATCH(Table2[[#Headers],[Number Non-Insulated Wrap Slats]],Table2[#Headers],0),0)</f>
        <v>0</v>
      </c>
      <c r="BQ633" s="2">
        <f>VLOOKUP([jobnumber],OvalData[],MATCH(Table2[[#Headers],[Number of Insolated Top Slats]],Table2[#Headers],0),0)</f>
        <v>45</v>
      </c>
      <c r="BR633" s="2">
        <f>VLOOKUP([jobnumber],OvalData[],MATCH(Table2[[#Headers],[Insolated Total Slats]],Table2[#Headers],0),0)</f>
        <v>45</v>
      </c>
      <c r="BS633" s="2">
        <f>VLOOKUP([jobnumber],OvalData[],MATCH(Table2[[#Headers],[Number of Slats]],Table2[#Headers],0),0)</f>
        <v>44.69</v>
      </c>
      <c r="BT633" s="2">
        <f>VLOOKUP([jobnumber],OvalData[],MATCH(Table2[[#Headers],[Wrap]],Table2[#Headers],0),0)</f>
        <v>0</v>
      </c>
      <c r="BU633" s="2">
        <f>VLOOKUP([jobnumber],OvalData[],MATCH(Table2[[#Headers],[Wall Angle Thickness]],Table2[#Headers],0),0)</f>
        <v>0</v>
      </c>
      <c r="BV633" s="2">
        <f>VLOOKUP([jobnumber],OvalData[],MATCH(Table2[[#Headers],[windlocks]],Table2[#Headers],0),0)</f>
        <v>0</v>
      </c>
      <c r="BW633" s="2" t="str">
        <f>VLOOKUP([jobnumber],OvalData[],MATCH(Table2[[#Headers],[bottombartype]],Table2[#Headers],0),0)</f>
        <v>SPECIAL</v>
      </c>
      <c r="BX633" s="2">
        <f>VLOOKUP([jobnumber],OvalData[],MATCH(Table2[[#Headers],[endlockweight]],Table2[#Headers],0),0)</f>
        <v>0.17</v>
      </c>
      <c r="BY633" s="2">
        <f>VLOOKUP([jobnumber],OvalData[],MATCH(Table2[[#Headers],[Endlock Total Weight]],Table2[#Headers],0),0)</f>
        <v>7.5972999999999997</v>
      </c>
      <c r="BZ633" s="2">
        <f>VLOOKUP([jobnumber],OvalData[],MATCH(Table2[[#Headers],[Grille Weight]],Table2[#Headers],0),0)</f>
        <v>0</v>
      </c>
      <c r="CA633" s="2">
        <f>VLOOKUP([jobnumber],OvalData[],MATCH(Table2[[#Headers],[barrelrings]],Table2[#Headers],0),0)</f>
        <v>1</v>
      </c>
    </row>
    <row r="634" spans="2:79">
      <c r="B634" s="2" t="str">
        <f>VLOOKUP([jobnumber],OvalData[],MATCH(Table2[[#Headers],[Hand]],Table2[#Headers],0),0)</f>
        <v>RH</v>
      </c>
      <c r="C634" s="2" t="str">
        <f>VLOOKUP([jobnumber],OvalData[],MATCH(Table2[[#Headers],[Model]],Table2[#Headers],0),0)</f>
        <v>SFMPP</v>
      </c>
      <c r="D634" s="2" t="str">
        <f>VLOOKUP([jobnumber],OvalData[],MATCH(Table2[[#Headers],[width]],Table2[#Headers],0),0)</f>
        <v xml:space="preserve"> 18 ft.- 2"</v>
      </c>
      <c r="E634" s="2" t="str">
        <f>VLOOKUP([jobnumber],OvalData[],MATCH(Table2[[#Headers],[stopheight]],Table2[#Headers],0),0)</f>
        <v xml:space="preserve"> 10 ft.- 0"</v>
      </c>
      <c r="F634" s="2" t="str">
        <f>VLOOKUP([jobnumber],OvalData[],MATCH(Table2[[#Headers],[Between Brackets]],Table2[#Headers],0),0)</f>
        <v xml:space="preserve"> 18 ft.- 7 7/ 8"</v>
      </c>
      <c r="G634" s="2" t="str">
        <f>VLOOKUP([jobnumber],OvalData[],MATCH(Table2[[#Headers],[shell]],Table2[#Headers],0),0)</f>
        <v>6 INCH TUBE</v>
      </c>
      <c r="H634" s="2" t="str">
        <f>VLOOKUP([jobnumber],OvalData[],MATCH(Table2[[#Headers],[pipewidth]],Table2[#Headers],0),0)</f>
        <v xml:space="preserve"> 18 ft.- 1 3/ 8"</v>
      </c>
      <c r="I634" s="2">
        <f>VLOOKUP([jobnumber],OvalData[],MATCH(Table2[[#Headers],[Support Tubes]],Table2[#Headers],0),0)</f>
        <v>0</v>
      </c>
      <c r="J634" s="2">
        <f>VLOOKUP([jobnumber],OvalData[],MATCH(Table2[[#Headers],[Upset]],Table2[#Headers],0),0)</f>
        <v>2</v>
      </c>
      <c r="K634" s="2" t="str">
        <f>VLOOKUP([jobnumber],OvalData[],MATCH(Table2[[#Headers],[Guide Type]],Table2[#Headers],0),0)</f>
        <v>SN2-4 5/8-E</v>
      </c>
      <c r="L634" s="2" t="str">
        <f>VLOOKUP([jobnumber],OvalData[],MATCH(Table2[[#Headers],[Wall Angle]],Table2[#Headers],0),0)</f>
        <v xml:space="preserve"> 11 ft.- 8"</v>
      </c>
      <c r="M634" s="2" t="str">
        <f>VLOOKUP([jobnumber],OvalData[],MATCH(Table2[[#Headers],[Middle Angle]],Table2[#Headers],0),0)</f>
        <v xml:space="preserve"> 10 ft.- 4 1/ 2"</v>
      </c>
      <c r="N634" s="2" t="str">
        <f>VLOOKUP([jobnumber],OvalData[],MATCH(Table2[[#Headers],[Front Angle]],Table2[#Headers],0),0)</f>
        <v xml:space="preserve"> 10 ft.- 3"</v>
      </c>
      <c r="O634" s="2">
        <f>VLOOKUP([jobnumber],OvalData[],MATCH(Table2[[#Headers],[Pipe Center Line]],Table2[#Headers],0),0)</f>
        <v>131</v>
      </c>
      <c r="P634" s="2">
        <f>VLOOKUP([jobnumber],OvalData[],MATCH(Table2[[#Headers],[Heat Expansion Gap]],Table2[#Headers],0),0)</f>
        <v>0</v>
      </c>
      <c r="Q634" s="2">
        <f>VLOOKUP([jobnumber],OvalData[],MATCH(Table2[[#Headers],[Hanging Weight Closed]],Table2[#Headers],0),0)</f>
        <v>795</v>
      </c>
      <c r="R634" s="2">
        <f>VLOOKUP([jobnumber],OvalData[],MATCH(Table2[[#Headers],[Hanging Weight Open]],Table2[#Headers],0),0)</f>
        <v>140</v>
      </c>
      <c r="S634" s="2">
        <f>VLOOKUP([jobnumber],OvalData[],MATCH(Table2[[#Headers],[Initial Lever Arm]],Table2[#Headers],0),0)</f>
        <v>4.25</v>
      </c>
      <c r="T634" s="2">
        <f>VLOOKUP([jobnumber],OvalData[],MATCH(Table2[[#Headers],[Turns to Raise]],Table2[#Headers],0),0)</f>
        <v>3.5859999999999999</v>
      </c>
      <c r="U634" s="2">
        <f>VLOOKUP([jobnumber],OvalData[],MATCH(Table2[[#Headers],[Final Lever Arm]],Table2[#Headers],0),0)</f>
        <v>6.37</v>
      </c>
      <c r="V634" s="2">
        <f>VLOOKUP([jobnumber],OvalData[],MATCH(Table2[[#Headers],[Torque Required Closed]],Table2[#Headers],0),0)</f>
        <v>3377.9</v>
      </c>
      <c r="W634" s="2">
        <f>VLOOKUP([jobnumber],OvalData[],MATCH(Table2[[#Headers],[Torque Required Open]],Table2[#Headers],0),0)</f>
        <v>892</v>
      </c>
      <c r="X634" s="2">
        <f>VLOOKUP([jobnumber],OvalData[],MATCH(Table2[[#Headers],[Pre Turns]],Table2[#Headers],0),0)</f>
        <v>1.3332999999999999</v>
      </c>
      <c r="Y634" s="2">
        <f>VLOOKUP([jobnumber],OvalData[],MATCH(Table2[[#Headers],[Required Torque Per Turn]],Table2[#Headers],0),0)</f>
        <v>688</v>
      </c>
      <c r="Z634" s="2">
        <f>VLOOKUP([jobnumber],OvalData[],MATCH(Table2[[#Headers],[Total Turns]],Table2[#Headers],0),0)</f>
        <v>4.91</v>
      </c>
      <c r="AA634" s="2">
        <f>VLOOKUP([jobnumber],OvalData[],MATCH(Table2[[#Headers],[Grille Vision Section]],Table2[#Headers],0),0)</f>
        <v>0</v>
      </c>
      <c r="AB634" s="2">
        <f>VLOOKUP([jobnumber],OvalData[],MATCH(Table2[[#Headers],[Grille Amount]],Table2[#Headers],0),0)</f>
        <v>0</v>
      </c>
      <c r="AC634" s="2">
        <f>VLOOKUP([jobnumber],OvalData[],MATCH(Table2[[#Headers],[Grille Center]],Table2[#Headers],0),0)</f>
        <v>0</v>
      </c>
      <c r="AD634" s="2">
        <f>VLOOKUP([jobnumber],OvalData[],MATCH(Table2[[#Headers],[Grille Pattern]],Table2[#Headers],0),0)</f>
        <v>0</v>
      </c>
      <c r="AE634" s="2">
        <f>VLOOKUP([jobnumber],OvalData[],MATCH(Table2[[#Headers],[Grille First Tube]],Table2[#Headers],0),0)</f>
        <v>0</v>
      </c>
      <c r="AF634" s="2">
        <f>VLOOKUP([jobnumber],OvalData[],MATCH(Table2[[#Headers],[Grille Standard Tube]],Table2[#Headers],0),0)</f>
        <v>0</v>
      </c>
      <c r="AG634" s="2">
        <f>VLOOKUP([jobnumber],OvalData[],MATCH(Table2[[#Headers],[Grille Total Links]],Table2[#Headers],0),0)</f>
        <v>0</v>
      </c>
      <c r="AH634" s="2">
        <f>VLOOKUP([jobnumber],OvalData[],MATCH(Table2[[#Headers],[Grille Rods]],Table2[#Headers],0),0)</f>
        <v>0</v>
      </c>
      <c r="AI634" s="2">
        <f>VLOOKUP([jobnumber],OvalData[],MATCH(Table2[[#Headers],[Grille Rod Length]],Table2[#Headers],0),0)</f>
        <v>0</v>
      </c>
      <c r="AJ634" s="2">
        <f>VLOOKUP([jobnumber],OvalData[],MATCH(Table2[[#Headers],[slattype]],Table2[#Headers],0),0)</f>
        <v>2</v>
      </c>
      <c r="AK634" s="2">
        <f>VLOOKUP([jobnumber],OvalData[],MATCH(Table2[[#Headers],[slatgage]],Table2[#Headers],0),0)</f>
        <v>18</v>
      </c>
      <c r="AL634" s="2">
        <f>VLOOKUP([jobnumber],OvalData[],MATCH(Table2[[#Headers],[Numer of Top Slats]],Table2[#Headers],0),0)</f>
        <v>0</v>
      </c>
      <c r="AM634" s="2">
        <f>VLOOKUP([jobnumber],OvalData[],MATCH(Table2[[#Headers],[Number of Bottom Slats]],Table2[#Headers],0),0)</f>
        <v>0</v>
      </c>
      <c r="AN634" s="2">
        <f>VLOOKUP([jobnumber],OvalData[],MATCH(Table2[[#Headers],[Solid Bottom Height]],Table2[#Headers],0),0)</f>
        <v>0</v>
      </c>
      <c r="AO634" s="2" t="str">
        <f>VLOOKUP([jobnumber],OvalData[],MATCH(Table2[[#Headers],[slatlength]],Table2[#Headers],0),0)</f>
        <v xml:space="preserve"> 18 ft.- 5 7/ 8"</v>
      </c>
      <c r="AP634" s="2">
        <f>VLOOKUP([jobnumber],OvalData[],MATCH(Table2[[#Headers],[Bottom Slat Length]],Table2[#Headers],0),0)</f>
        <v>0</v>
      </c>
      <c r="AQ634" s="2">
        <f>VLOOKUP([jobnumber],OvalData[],MATCH(Table2[[#Headers],[Number of Perferated Slats]],Table2[#Headers],0),0)</f>
        <v>0</v>
      </c>
      <c r="AR634" s="2">
        <f>VLOOKUP([jobnumber],OvalData[],MATCH(Table2[[#Headers],[First Preferated Slat From End]],Table2[#Headers],0),0)</f>
        <v>0</v>
      </c>
      <c r="AS634" s="2">
        <f>VLOOKUP([jobnumber],OvalData[],MATCH(Table2[[#Headers],[First Preferated Slat From Bottom]],Table2[#Headers],0),0)</f>
        <v>0</v>
      </c>
      <c r="AT634" s="2">
        <f>VLOOKUP([jobnumber],OvalData[],MATCH(Table2[[#Headers],[Total Number of Slats]],Table2[#Headers],0),0)</f>
        <v>51</v>
      </c>
      <c r="AU634" s="2">
        <f>VLOOKUP([jobnumber],OvalData[],MATCH(Table2[[#Headers],[Bottom Bar Slope]],Table2[#Headers],0),0)</f>
        <v>0</v>
      </c>
      <c r="AV634" s="2">
        <f>VLOOKUP([jobnumber],OvalData[],MATCH(Table2[[#Headers],[Bottom Bar Weight]],Table2[#Headers],0),0)</f>
        <v>80.5</v>
      </c>
      <c r="AW634" s="2" t="str">
        <f>VLOOKUP([jobnumber],OvalData[],MATCH(Table2[[#Headers],[Outer Spring Gage]],Table2[#Headers],0),0)</f>
        <v>Null</v>
      </c>
      <c r="AX634" s="2" t="str">
        <f>VLOOKUP([jobnumber],OvalData[],MATCH(Table2[[#Headers],[Outer Spring OD]],Table2[#Headers],0),0)</f>
        <v>Null</v>
      </c>
      <c r="AY634" s="2" t="str">
        <f>VLOOKUP([jobnumber],OvalData[],MATCH(Table2[[#Headers],[Outer Spring Length]],Table2[#Headers],0),0)</f>
        <v>Null</v>
      </c>
      <c r="AZ634" s="2" t="str">
        <f>VLOOKUP([jobnumber],OvalData[],MATCH(Table2[[#Headers],[Outer Spring Stretch]],Table2[#Headers],0),0)</f>
        <v>Null</v>
      </c>
      <c r="BA634" s="2" t="str">
        <f>VLOOKUP([jobnumber],OvalData[],MATCH(Table2[[#Headers],[Outer Spring Torque]],Table2[#Headers],0),0)</f>
        <v>Null</v>
      </c>
      <c r="BB634" s="2" t="str">
        <f>VLOOKUP([jobnumber],OvalData[],MATCH(Table2[[#Headers],[Outer Spring Max Turns]],Table2[#Headers],0),0)</f>
        <v>Null</v>
      </c>
      <c r="BC634" s="2" t="str">
        <f>VLOOKUP([jobnumber],OvalData[],MATCH(Table2[[#Headers],[Outer Spring Weight]],Table2[#Headers],0),0)</f>
        <v>Null</v>
      </c>
      <c r="BD634" s="2" t="str">
        <f>VLOOKUP([jobnumber],OvalData[],MATCH(Table2[[#Headers],[Inner Spring Gage]],Table2[#Headers],0),0)</f>
        <v>Null</v>
      </c>
      <c r="BE634" s="2" t="str">
        <f>VLOOKUP([jobnumber],OvalData[],MATCH(Table2[[#Headers],[Inner Spring OD]],Table2[#Headers],0),0)</f>
        <v>Null</v>
      </c>
      <c r="BF634" s="2" t="str">
        <f>VLOOKUP([jobnumber],OvalData[],MATCH(Table2[[#Headers],[Inner Spring Length]],Table2[#Headers],0),0)</f>
        <v>Null</v>
      </c>
      <c r="BG634" s="2" t="str">
        <f>VLOOKUP([jobnumber],OvalData[],MATCH(Table2[[#Headers],[Inner Spring Stretch]],Table2[#Headers],0),0)</f>
        <v>Null</v>
      </c>
      <c r="BH634" s="2" t="str">
        <f>VLOOKUP([jobnumber],OvalData[],MATCH(Table2[[#Headers],[Inner Spring Torque]],Table2[#Headers],0),0)</f>
        <v>Null</v>
      </c>
      <c r="BI634" s="2" t="str">
        <f>VLOOKUP([jobnumber],OvalData[],MATCH(Table2[[#Headers],[Inner Spring Max Turns]],Table2[#Headers],0),0)</f>
        <v>Null</v>
      </c>
      <c r="BJ634" s="2" t="str">
        <f>VLOOKUP([jobnumber],OvalData[],MATCH(Table2[[#Headers],[Inner Spring Weight]],Table2[#Headers],0),0)</f>
        <v>Null</v>
      </c>
      <c r="BK634" s="2">
        <f>VLOOKUP([jobnumber],OvalData[],MATCH(Table2[[#Headers],[Cycles]],Table2[#Headers],0),0)</f>
        <v>0</v>
      </c>
      <c r="BL634" s="2">
        <f>VLOOKUP([jobnumber],OvalData[],MATCH(Table2[[#Headers],[Total Spring Torque]],Table2[#Headers],0),0)</f>
        <v>0</v>
      </c>
      <c r="BM634" s="2">
        <f>VLOOKUP([jobnumber],OvalData[],MATCH(Table2[[#Headers],[Total Spring Weight]],Table2[#Headers],0),0)</f>
        <v>0</v>
      </c>
      <c r="BN634" s="2">
        <f>VLOOKUP([jobnumber],OvalData[],MATCH(Table2[[#Headers],[Pipe Weight]],Table2[#Headers],0),0)</f>
        <v>688.24239999999998</v>
      </c>
      <c r="BO634" s="2">
        <f>VLOOKUP([jobnumber],OvalData[],MATCH(Table2[[#Headers],[Max Pipe Deflection]],Table2[#Headers],0),0)</f>
        <v>2309</v>
      </c>
      <c r="BP634" s="2">
        <f>VLOOKUP([jobnumber],OvalData[],MATCH(Table2[[#Headers],[Number Non-Insulated Wrap Slats]],Table2[#Headers],0),0)</f>
        <v>0</v>
      </c>
      <c r="BQ634" s="2">
        <f>VLOOKUP([jobnumber],OvalData[],MATCH(Table2[[#Headers],[Number of Insolated Top Slats]],Table2[#Headers],0),0)</f>
        <v>45</v>
      </c>
      <c r="BR634" s="2">
        <f>VLOOKUP([jobnumber],OvalData[],MATCH(Table2[[#Headers],[Insolated Total Slats]],Table2[#Headers],0),0)</f>
        <v>45</v>
      </c>
      <c r="BS634" s="2">
        <f>VLOOKUP([jobnumber],OvalData[],MATCH(Table2[[#Headers],[Number of Slats]],Table2[#Headers],0),0)</f>
        <v>44.69</v>
      </c>
      <c r="BT634" s="2">
        <f>VLOOKUP([jobnumber],OvalData[],MATCH(Table2[[#Headers],[Wrap]],Table2[#Headers],0),0)</f>
        <v>0</v>
      </c>
      <c r="BU634" s="2">
        <f>VLOOKUP([jobnumber],OvalData[],MATCH(Table2[[#Headers],[Wall Angle Thickness]],Table2[#Headers],0),0)</f>
        <v>0</v>
      </c>
      <c r="BV634" s="2">
        <f>VLOOKUP([jobnumber],OvalData[],MATCH(Table2[[#Headers],[windlocks]],Table2[#Headers],0),0)</f>
        <v>0</v>
      </c>
      <c r="BW634" s="2" t="str">
        <f>VLOOKUP([jobnumber],OvalData[],MATCH(Table2[[#Headers],[bottombartype]],Table2[#Headers],0),0)</f>
        <v>SPECIAL</v>
      </c>
      <c r="BX634" s="2">
        <f>VLOOKUP([jobnumber],OvalData[],MATCH(Table2[[#Headers],[endlockweight]],Table2[#Headers],0),0)</f>
        <v>0.17</v>
      </c>
      <c r="BY634" s="2">
        <f>VLOOKUP([jobnumber],OvalData[],MATCH(Table2[[#Headers],[Endlock Total Weight]],Table2[#Headers],0),0)</f>
        <v>7.5972999999999997</v>
      </c>
      <c r="BZ634" s="2">
        <f>VLOOKUP([jobnumber],OvalData[],MATCH(Table2[[#Headers],[Grille Weight]],Table2[#Headers],0),0)</f>
        <v>0</v>
      </c>
      <c r="CA634" s="2">
        <f>VLOOKUP([jobnumber],OvalData[],MATCH(Table2[[#Headers],[barrelrings]],Table2[#Headers],0),0)</f>
        <v>1</v>
      </c>
    </row>
    <row r="635" spans="2:79">
      <c r="B635" s="2" t="str">
        <f>VLOOKUP([jobnumber],OvalData[],MATCH(Table2[[#Headers],[Hand]],Table2[#Headers],0),0)</f>
        <v>RH</v>
      </c>
      <c r="C635" s="2" t="str">
        <f>VLOOKUP([jobnumber],OvalData[],MATCH(Table2[[#Headers],[Model]],Table2[#Headers],0),0)</f>
        <v>SFMPP</v>
      </c>
      <c r="D635" s="2" t="str">
        <f>VLOOKUP([jobnumber],OvalData[],MATCH(Table2[[#Headers],[width]],Table2[#Headers],0),0)</f>
        <v xml:space="preserve"> 18 ft.- 2"</v>
      </c>
      <c r="E635" s="2" t="str">
        <f>VLOOKUP([jobnumber],OvalData[],MATCH(Table2[[#Headers],[stopheight]],Table2[#Headers],0),0)</f>
        <v xml:space="preserve"> 10 ft.- 0"</v>
      </c>
      <c r="F635" s="2" t="str">
        <f>VLOOKUP([jobnumber],OvalData[],MATCH(Table2[[#Headers],[Between Brackets]],Table2[#Headers],0),0)</f>
        <v xml:space="preserve"> 18 ft.- 7 7/ 8"</v>
      </c>
      <c r="G635" s="2" t="str">
        <f>VLOOKUP([jobnumber],OvalData[],MATCH(Table2[[#Headers],[shell]],Table2[#Headers],0),0)</f>
        <v>6 INCH TUBE</v>
      </c>
      <c r="H635" s="2" t="str">
        <f>VLOOKUP([jobnumber],OvalData[],MATCH(Table2[[#Headers],[pipewidth]],Table2[#Headers],0),0)</f>
        <v xml:space="preserve"> 18 ft.- 1 3/ 8"</v>
      </c>
      <c r="I635" s="2">
        <f>VLOOKUP([jobnumber],OvalData[],MATCH(Table2[[#Headers],[Support Tubes]],Table2[#Headers],0),0)</f>
        <v>0</v>
      </c>
      <c r="J635" s="2">
        <f>VLOOKUP([jobnumber],OvalData[],MATCH(Table2[[#Headers],[Upset]],Table2[#Headers],0),0)</f>
        <v>2</v>
      </c>
      <c r="K635" s="2" t="str">
        <f>VLOOKUP([jobnumber],OvalData[],MATCH(Table2[[#Headers],[Guide Type]],Table2[#Headers],0),0)</f>
        <v>SN2-4 5/8-E</v>
      </c>
      <c r="L635" s="2" t="str">
        <f>VLOOKUP([jobnumber],OvalData[],MATCH(Table2[[#Headers],[Wall Angle]],Table2[#Headers],0),0)</f>
        <v xml:space="preserve"> 11 ft.- 8"</v>
      </c>
      <c r="M635" s="2" t="str">
        <f>VLOOKUP([jobnumber],OvalData[],MATCH(Table2[[#Headers],[Middle Angle]],Table2[#Headers],0),0)</f>
        <v xml:space="preserve"> 10 ft.- 4 1/ 2"</v>
      </c>
      <c r="N635" s="2" t="str">
        <f>VLOOKUP([jobnumber],OvalData[],MATCH(Table2[[#Headers],[Front Angle]],Table2[#Headers],0),0)</f>
        <v xml:space="preserve"> 10 ft.- 3"</v>
      </c>
      <c r="O635" s="2">
        <f>VLOOKUP([jobnumber],OvalData[],MATCH(Table2[[#Headers],[Pipe Center Line]],Table2[#Headers],0),0)</f>
        <v>131</v>
      </c>
      <c r="P635" s="2">
        <f>VLOOKUP([jobnumber],OvalData[],MATCH(Table2[[#Headers],[Heat Expansion Gap]],Table2[#Headers],0),0)</f>
        <v>0</v>
      </c>
      <c r="Q635" s="2">
        <f>VLOOKUP([jobnumber],OvalData[],MATCH(Table2[[#Headers],[Hanging Weight Closed]],Table2[#Headers],0),0)</f>
        <v>795</v>
      </c>
      <c r="R635" s="2">
        <f>VLOOKUP([jobnumber],OvalData[],MATCH(Table2[[#Headers],[Hanging Weight Open]],Table2[#Headers],0),0)</f>
        <v>140</v>
      </c>
      <c r="S635" s="2">
        <f>VLOOKUP([jobnumber],OvalData[],MATCH(Table2[[#Headers],[Initial Lever Arm]],Table2[#Headers],0),0)</f>
        <v>4.25</v>
      </c>
      <c r="T635" s="2">
        <f>VLOOKUP([jobnumber],OvalData[],MATCH(Table2[[#Headers],[Turns to Raise]],Table2[#Headers],0),0)</f>
        <v>3.5859999999999999</v>
      </c>
      <c r="U635" s="2">
        <f>VLOOKUP([jobnumber],OvalData[],MATCH(Table2[[#Headers],[Final Lever Arm]],Table2[#Headers],0),0)</f>
        <v>6.37</v>
      </c>
      <c r="V635" s="2">
        <f>VLOOKUP([jobnumber],OvalData[],MATCH(Table2[[#Headers],[Torque Required Closed]],Table2[#Headers],0),0)</f>
        <v>3377.9</v>
      </c>
      <c r="W635" s="2">
        <f>VLOOKUP([jobnumber],OvalData[],MATCH(Table2[[#Headers],[Torque Required Open]],Table2[#Headers],0),0)</f>
        <v>892</v>
      </c>
      <c r="X635" s="2">
        <f>VLOOKUP([jobnumber],OvalData[],MATCH(Table2[[#Headers],[Pre Turns]],Table2[#Headers],0),0)</f>
        <v>1.3332999999999999</v>
      </c>
      <c r="Y635" s="2">
        <f>VLOOKUP([jobnumber],OvalData[],MATCH(Table2[[#Headers],[Required Torque Per Turn]],Table2[#Headers],0),0)</f>
        <v>688</v>
      </c>
      <c r="Z635" s="2">
        <f>VLOOKUP([jobnumber],OvalData[],MATCH(Table2[[#Headers],[Total Turns]],Table2[#Headers],0),0)</f>
        <v>4.91</v>
      </c>
      <c r="AA635" s="2">
        <f>VLOOKUP([jobnumber],OvalData[],MATCH(Table2[[#Headers],[Grille Vision Section]],Table2[#Headers],0),0)</f>
        <v>0</v>
      </c>
      <c r="AB635" s="2">
        <f>VLOOKUP([jobnumber],OvalData[],MATCH(Table2[[#Headers],[Grille Amount]],Table2[#Headers],0),0)</f>
        <v>0</v>
      </c>
      <c r="AC635" s="2">
        <f>VLOOKUP([jobnumber],OvalData[],MATCH(Table2[[#Headers],[Grille Center]],Table2[#Headers],0),0)</f>
        <v>0</v>
      </c>
      <c r="AD635" s="2">
        <f>VLOOKUP([jobnumber],OvalData[],MATCH(Table2[[#Headers],[Grille Pattern]],Table2[#Headers],0),0)</f>
        <v>0</v>
      </c>
      <c r="AE635" s="2">
        <f>VLOOKUP([jobnumber],OvalData[],MATCH(Table2[[#Headers],[Grille First Tube]],Table2[#Headers],0),0)</f>
        <v>0</v>
      </c>
      <c r="AF635" s="2">
        <f>VLOOKUP([jobnumber],OvalData[],MATCH(Table2[[#Headers],[Grille Standard Tube]],Table2[#Headers],0),0)</f>
        <v>0</v>
      </c>
      <c r="AG635" s="2">
        <f>VLOOKUP([jobnumber],OvalData[],MATCH(Table2[[#Headers],[Grille Total Links]],Table2[#Headers],0),0)</f>
        <v>0</v>
      </c>
      <c r="AH635" s="2">
        <f>VLOOKUP([jobnumber],OvalData[],MATCH(Table2[[#Headers],[Grille Rods]],Table2[#Headers],0),0)</f>
        <v>0</v>
      </c>
      <c r="AI635" s="2">
        <f>VLOOKUP([jobnumber],OvalData[],MATCH(Table2[[#Headers],[Grille Rod Length]],Table2[#Headers],0),0)</f>
        <v>0</v>
      </c>
      <c r="AJ635" s="2">
        <f>VLOOKUP([jobnumber],OvalData[],MATCH(Table2[[#Headers],[slattype]],Table2[#Headers],0),0)</f>
        <v>2</v>
      </c>
      <c r="AK635" s="2">
        <f>VLOOKUP([jobnumber],OvalData[],MATCH(Table2[[#Headers],[slatgage]],Table2[#Headers],0),0)</f>
        <v>18</v>
      </c>
      <c r="AL635" s="2">
        <f>VLOOKUP([jobnumber],OvalData[],MATCH(Table2[[#Headers],[Numer of Top Slats]],Table2[#Headers],0),0)</f>
        <v>0</v>
      </c>
      <c r="AM635" s="2">
        <f>VLOOKUP([jobnumber],OvalData[],MATCH(Table2[[#Headers],[Number of Bottom Slats]],Table2[#Headers],0),0)</f>
        <v>0</v>
      </c>
      <c r="AN635" s="2">
        <f>VLOOKUP([jobnumber],OvalData[],MATCH(Table2[[#Headers],[Solid Bottom Height]],Table2[#Headers],0),0)</f>
        <v>0</v>
      </c>
      <c r="AO635" s="2" t="str">
        <f>VLOOKUP([jobnumber],OvalData[],MATCH(Table2[[#Headers],[slatlength]],Table2[#Headers],0),0)</f>
        <v xml:space="preserve"> 18 ft.- 5 7/ 8"</v>
      </c>
      <c r="AP635" s="2">
        <f>VLOOKUP([jobnumber],OvalData[],MATCH(Table2[[#Headers],[Bottom Slat Length]],Table2[#Headers],0),0)</f>
        <v>0</v>
      </c>
      <c r="AQ635" s="2">
        <f>VLOOKUP([jobnumber],OvalData[],MATCH(Table2[[#Headers],[Number of Perferated Slats]],Table2[#Headers],0),0)</f>
        <v>0</v>
      </c>
      <c r="AR635" s="2">
        <f>VLOOKUP([jobnumber],OvalData[],MATCH(Table2[[#Headers],[First Preferated Slat From End]],Table2[#Headers],0),0)</f>
        <v>0</v>
      </c>
      <c r="AS635" s="2">
        <f>VLOOKUP([jobnumber],OvalData[],MATCH(Table2[[#Headers],[First Preferated Slat From Bottom]],Table2[#Headers],0),0)</f>
        <v>0</v>
      </c>
      <c r="AT635" s="2">
        <f>VLOOKUP([jobnumber],OvalData[],MATCH(Table2[[#Headers],[Total Number of Slats]],Table2[#Headers],0),0)</f>
        <v>51</v>
      </c>
      <c r="AU635" s="2">
        <f>VLOOKUP([jobnumber],OvalData[],MATCH(Table2[[#Headers],[Bottom Bar Slope]],Table2[#Headers],0),0)</f>
        <v>0</v>
      </c>
      <c r="AV635" s="2">
        <f>VLOOKUP([jobnumber],OvalData[],MATCH(Table2[[#Headers],[Bottom Bar Weight]],Table2[#Headers],0),0)</f>
        <v>80.5</v>
      </c>
      <c r="AW635" s="2" t="str">
        <f>VLOOKUP([jobnumber],OvalData[],MATCH(Table2[[#Headers],[Outer Spring Gage]],Table2[#Headers],0),0)</f>
        <v>Null</v>
      </c>
      <c r="AX635" s="2" t="str">
        <f>VLOOKUP([jobnumber],OvalData[],MATCH(Table2[[#Headers],[Outer Spring OD]],Table2[#Headers],0),0)</f>
        <v>Null</v>
      </c>
      <c r="AY635" s="2" t="str">
        <f>VLOOKUP([jobnumber],OvalData[],MATCH(Table2[[#Headers],[Outer Spring Length]],Table2[#Headers],0),0)</f>
        <v>Null</v>
      </c>
      <c r="AZ635" s="2" t="str">
        <f>VLOOKUP([jobnumber],OvalData[],MATCH(Table2[[#Headers],[Outer Spring Stretch]],Table2[#Headers],0),0)</f>
        <v>Null</v>
      </c>
      <c r="BA635" s="2" t="str">
        <f>VLOOKUP([jobnumber],OvalData[],MATCH(Table2[[#Headers],[Outer Spring Torque]],Table2[#Headers],0),0)</f>
        <v>Null</v>
      </c>
      <c r="BB635" s="2" t="str">
        <f>VLOOKUP([jobnumber],OvalData[],MATCH(Table2[[#Headers],[Outer Spring Max Turns]],Table2[#Headers],0),0)</f>
        <v>Null</v>
      </c>
      <c r="BC635" s="2" t="str">
        <f>VLOOKUP([jobnumber],OvalData[],MATCH(Table2[[#Headers],[Outer Spring Weight]],Table2[#Headers],0),0)</f>
        <v>Null</v>
      </c>
      <c r="BD635" s="2" t="str">
        <f>VLOOKUP([jobnumber],OvalData[],MATCH(Table2[[#Headers],[Inner Spring Gage]],Table2[#Headers],0),0)</f>
        <v>Null</v>
      </c>
      <c r="BE635" s="2" t="str">
        <f>VLOOKUP([jobnumber],OvalData[],MATCH(Table2[[#Headers],[Inner Spring OD]],Table2[#Headers],0),0)</f>
        <v>Null</v>
      </c>
      <c r="BF635" s="2" t="str">
        <f>VLOOKUP([jobnumber],OvalData[],MATCH(Table2[[#Headers],[Inner Spring Length]],Table2[#Headers],0),0)</f>
        <v>Null</v>
      </c>
      <c r="BG635" s="2" t="str">
        <f>VLOOKUP([jobnumber],OvalData[],MATCH(Table2[[#Headers],[Inner Spring Stretch]],Table2[#Headers],0),0)</f>
        <v>Null</v>
      </c>
      <c r="BH635" s="2" t="str">
        <f>VLOOKUP([jobnumber],OvalData[],MATCH(Table2[[#Headers],[Inner Spring Torque]],Table2[#Headers],0),0)</f>
        <v>Null</v>
      </c>
      <c r="BI635" s="2" t="str">
        <f>VLOOKUP([jobnumber],OvalData[],MATCH(Table2[[#Headers],[Inner Spring Max Turns]],Table2[#Headers],0),0)</f>
        <v>Null</v>
      </c>
      <c r="BJ635" s="2" t="str">
        <f>VLOOKUP([jobnumber],OvalData[],MATCH(Table2[[#Headers],[Inner Spring Weight]],Table2[#Headers],0),0)</f>
        <v>Null</v>
      </c>
      <c r="BK635" s="2">
        <f>VLOOKUP([jobnumber],OvalData[],MATCH(Table2[[#Headers],[Cycles]],Table2[#Headers],0),0)</f>
        <v>0</v>
      </c>
      <c r="BL635" s="2">
        <f>VLOOKUP([jobnumber],OvalData[],MATCH(Table2[[#Headers],[Total Spring Torque]],Table2[#Headers],0),0)</f>
        <v>0</v>
      </c>
      <c r="BM635" s="2">
        <f>VLOOKUP([jobnumber],OvalData[],MATCH(Table2[[#Headers],[Total Spring Weight]],Table2[#Headers],0),0)</f>
        <v>0</v>
      </c>
      <c r="BN635" s="2">
        <f>VLOOKUP([jobnumber],OvalData[],MATCH(Table2[[#Headers],[Pipe Weight]],Table2[#Headers],0),0)</f>
        <v>688.24239999999998</v>
      </c>
      <c r="BO635" s="2">
        <f>VLOOKUP([jobnumber],OvalData[],MATCH(Table2[[#Headers],[Max Pipe Deflection]],Table2[#Headers],0),0)</f>
        <v>2309</v>
      </c>
      <c r="BP635" s="2">
        <f>VLOOKUP([jobnumber],OvalData[],MATCH(Table2[[#Headers],[Number Non-Insulated Wrap Slats]],Table2[#Headers],0),0)</f>
        <v>0</v>
      </c>
      <c r="BQ635" s="2">
        <f>VLOOKUP([jobnumber],OvalData[],MATCH(Table2[[#Headers],[Number of Insolated Top Slats]],Table2[#Headers],0),0)</f>
        <v>45</v>
      </c>
      <c r="BR635" s="2">
        <f>VLOOKUP([jobnumber],OvalData[],MATCH(Table2[[#Headers],[Insolated Total Slats]],Table2[#Headers],0),0)</f>
        <v>45</v>
      </c>
      <c r="BS635" s="2">
        <f>VLOOKUP([jobnumber],OvalData[],MATCH(Table2[[#Headers],[Number of Slats]],Table2[#Headers],0),0)</f>
        <v>44.69</v>
      </c>
      <c r="BT635" s="2">
        <f>VLOOKUP([jobnumber],OvalData[],MATCH(Table2[[#Headers],[Wrap]],Table2[#Headers],0),0)</f>
        <v>0</v>
      </c>
      <c r="BU635" s="2">
        <f>VLOOKUP([jobnumber],OvalData[],MATCH(Table2[[#Headers],[Wall Angle Thickness]],Table2[#Headers],0),0)</f>
        <v>0</v>
      </c>
      <c r="BV635" s="2">
        <f>VLOOKUP([jobnumber],OvalData[],MATCH(Table2[[#Headers],[windlocks]],Table2[#Headers],0),0)</f>
        <v>0</v>
      </c>
      <c r="BW635" s="2" t="str">
        <f>VLOOKUP([jobnumber],OvalData[],MATCH(Table2[[#Headers],[bottombartype]],Table2[#Headers],0),0)</f>
        <v>SPECIAL</v>
      </c>
      <c r="BX635" s="2">
        <f>VLOOKUP([jobnumber],OvalData[],MATCH(Table2[[#Headers],[endlockweight]],Table2[#Headers],0),0)</f>
        <v>0.17</v>
      </c>
      <c r="BY635" s="2">
        <f>VLOOKUP([jobnumber],OvalData[],MATCH(Table2[[#Headers],[Endlock Total Weight]],Table2[#Headers],0),0)</f>
        <v>7.5972999999999997</v>
      </c>
      <c r="BZ635" s="2">
        <f>VLOOKUP([jobnumber],OvalData[],MATCH(Table2[[#Headers],[Grille Weight]],Table2[#Headers],0),0)</f>
        <v>0</v>
      </c>
      <c r="CA635" s="2">
        <f>VLOOKUP([jobnumber],OvalData[],MATCH(Table2[[#Headers],[barrelrings]],Table2[#Headers],0),0)</f>
        <v>1</v>
      </c>
    </row>
    <row r="636" spans="2:79">
      <c r="B636" s="2" t="str">
        <f>VLOOKUP([jobnumber],OvalData[],MATCH(Table2[[#Headers],[Hand]],Table2[#Headers],0),0)</f>
        <v>RH</v>
      </c>
      <c r="C636" s="2" t="str">
        <f>VLOOKUP([jobnumber],OvalData[],MATCH(Table2[[#Headers],[Model]],Table2[#Headers],0),0)</f>
        <v>SFMPP</v>
      </c>
      <c r="D636" s="2" t="str">
        <f>VLOOKUP([jobnumber],OvalData[],MATCH(Table2[[#Headers],[width]],Table2[#Headers],0),0)</f>
        <v xml:space="preserve"> 18 ft.- 2"</v>
      </c>
      <c r="E636" s="2" t="str">
        <f>VLOOKUP([jobnumber],OvalData[],MATCH(Table2[[#Headers],[stopheight]],Table2[#Headers],0),0)</f>
        <v xml:space="preserve"> 10 ft.- 0"</v>
      </c>
      <c r="F636" s="2" t="str">
        <f>VLOOKUP([jobnumber],OvalData[],MATCH(Table2[[#Headers],[Between Brackets]],Table2[#Headers],0),0)</f>
        <v xml:space="preserve"> 18 ft.- 7 7/ 8"</v>
      </c>
      <c r="G636" s="2" t="str">
        <f>VLOOKUP([jobnumber],OvalData[],MATCH(Table2[[#Headers],[shell]],Table2[#Headers],0),0)</f>
        <v>6 INCH TUBE</v>
      </c>
      <c r="H636" s="2" t="str">
        <f>VLOOKUP([jobnumber],OvalData[],MATCH(Table2[[#Headers],[pipewidth]],Table2[#Headers],0),0)</f>
        <v xml:space="preserve"> 18 ft.- 1 3/ 8"</v>
      </c>
      <c r="I636" s="2">
        <f>VLOOKUP([jobnumber],OvalData[],MATCH(Table2[[#Headers],[Support Tubes]],Table2[#Headers],0),0)</f>
        <v>0</v>
      </c>
      <c r="J636" s="2">
        <f>VLOOKUP([jobnumber],OvalData[],MATCH(Table2[[#Headers],[Upset]],Table2[#Headers],0),0)</f>
        <v>2</v>
      </c>
      <c r="K636" s="2" t="str">
        <f>VLOOKUP([jobnumber],OvalData[],MATCH(Table2[[#Headers],[Guide Type]],Table2[#Headers],0),0)</f>
        <v>SN2-4 5/8-E</v>
      </c>
      <c r="L636" s="2" t="str">
        <f>VLOOKUP([jobnumber],OvalData[],MATCH(Table2[[#Headers],[Wall Angle]],Table2[#Headers],0),0)</f>
        <v xml:space="preserve"> 11 ft.- 8"</v>
      </c>
      <c r="M636" s="2" t="str">
        <f>VLOOKUP([jobnumber],OvalData[],MATCH(Table2[[#Headers],[Middle Angle]],Table2[#Headers],0),0)</f>
        <v xml:space="preserve"> 10 ft.- 4 1/ 2"</v>
      </c>
      <c r="N636" s="2" t="str">
        <f>VLOOKUP([jobnumber],OvalData[],MATCH(Table2[[#Headers],[Front Angle]],Table2[#Headers],0),0)</f>
        <v xml:space="preserve"> 10 ft.- 3"</v>
      </c>
      <c r="O636" s="2">
        <f>VLOOKUP([jobnumber],OvalData[],MATCH(Table2[[#Headers],[Pipe Center Line]],Table2[#Headers],0),0)</f>
        <v>131</v>
      </c>
      <c r="P636" s="2">
        <f>VLOOKUP([jobnumber],OvalData[],MATCH(Table2[[#Headers],[Heat Expansion Gap]],Table2[#Headers],0),0)</f>
        <v>0</v>
      </c>
      <c r="Q636" s="2">
        <f>VLOOKUP([jobnumber],OvalData[],MATCH(Table2[[#Headers],[Hanging Weight Closed]],Table2[#Headers],0),0)</f>
        <v>795</v>
      </c>
      <c r="R636" s="2">
        <f>VLOOKUP([jobnumber],OvalData[],MATCH(Table2[[#Headers],[Hanging Weight Open]],Table2[#Headers],0),0)</f>
        <v>140</v>
      </c>
      <c r="S636" s="2">
        <f>VLOOKUP([jobnumber],OvalData[],MATCH(Table2[[#Headers],[Initial Lever Arm]],Table2[#Headers],0),0)</f>
        <v>4.25</v>
      </c>
      <c r="T636" s="2">
        <f>VLOOKUP([jobnumber],OvalData[],MATCH(Table2[[#Headers],[Turns to Raise]],Table2[#Headers],0),0)</f>
        <v>3.5859999999999999</v>
      </c>
      <c r="U636" s="2">
        <f>VLOOKUP([jobnumber],OvalData[],MATCH(Table2[[#Headers],[Final Lever Arm]],Table2[#Headers],0),0)</f>
        <v>6.37</v>
      </c>
      <c r="V636" s="2">
        <f>VLOOKUP([jobnumber],OvalData[],MATCH(Table2[[#Headers],[Torque Required Closed]],Table2[#Headers],0),0)</f>
        <v>3377.9</v>
      </c>
      <c r="W636" s="2">
        <f>VLOOKUP([jobnumber],OvalData[],MATCH(Table2[[#Headers],[Torque Required Open]],Table2[#Headers],0),0)</f>
        <v>892</v>
      </c>
      <c r="X636" s="2">
        <f>VLOOKUP([jobnumber],OvalData[],MATCH(Table2[[#Headers],[Pre Turns]],Table2[#Headers],0),0)</f>
        <v>1.3332999999999999</v>
      </c>
      <c r="Y636" s="2">
        <f>VLOOKUP([jobnumber],OvalData[],MATCH(Table2[[#Headers],[Required Torque Per Turn]],Table2[#Headers],0),0)</f>
        <v>688</v>
      </c>
      <c r="Z636" s="2">
        <f>VLOOKUP([jobnumber],OvalData[],MATCH(Table2[[#Headers],[Total Turns]],Table2[#Headers],0),0)</f>
        <v>4.91</v>
      </c>
      <c r="AA636" s="2">
        <f>VLOOKUP([jobnumber],OvalData[],MATCH(Table2[[#Headers],[Grille Vision Section]],Table2[#Headers],0),0)</f>
        <v>0</v>
      </c>
      <c r="AB636" s="2">
        <f>VLOOKUP([jobnumber],OvalData[],MATCH(Table2[[#Headers],[Grille Amount]],Table2[#Headers],0),0)</f>
        <v>0</v>
      </c>
      <c r="AC636" s="2">
        <f>VLOOKUP([jobnumber],OvalData[],MATCH(Table2[[#Headers],[Grille Center]],Table2[#Headers],0),0)</f>
        <v>0</v>
      </c>
      <c r="AD636" s="2">
        <f>VLOOKUP([jobnumber],OvalData[],MATCH(Table2[[#Headers],[Grille Pattern]],Table2[#Headers],0),0)</f>
        <v>0</v>
      </c>
      <c r="AE636" s="2">
        <f>VLOOKUP([jobnumber],OvalData[],MATCH(Table2[[#Headers],[Grille First Tube]],Table2[#Headers],0),0)</f>
        <v>0</v>
      </c>
      <c r="AF636" s="2">
        <f>VLOOKUP([jobnumber],OvalData[],MATCH(Table2[[#Headers],[Grille Standard Tube]],Table2[#Headers],0),0)</f>
        <v>0</v>
      </c>
      <c r="AG636" s="2">
        <f>VLOOKUP([jobnumber],OvalData[],MATCH(Table2[[#Headers],[Grille Total Links]],Table2[#Headers],0),0)</f>
        <v>0</v>
      </c>
      <c r="AH636" s="2">
        <f>VLOOKUP([jobnumber],OvalData[],MATCH(Table2[[#Headers],[Grille Rods]],Table2[#Headers],0),0)</f>
        <v>0</v>
      </c>
      <c r="AI636" s="2">
        <f>VLOOKUP([jobnumber],OvalData[],MATCH(Table2[[#Headers],[Grille Rod Length]],Table2[#Headers],0),0)</f>
        <v>0</v>
      </c>
      <c r="AJ636" s="2">
        <f>VLOOKUP([jobnumber],OvalData[],MATCH(Table2[[#Headers],[slattype]],Table2[#Headers],0),0)</f>
        <v>2</v>
      </c>
      <c r="AK636" s="2">
        <f>VLOOKUP([jobnumber],OvalData[],MATCH(Table2[[#Headers],[slatgage]],Table2[#Headers],0),0)</f>
        <v>18</v>
      </c>
      <c r="AL636" s="2">
        <f>VLOOKUP([jobnumber],OvalData[],MATCH(Table2[[#Headers],[Numer of Top Slats]],Table2[#Headers],0),0)</f>
        <v>0</v>
      </c>
      <c r="AM636" s="2">
        <f>VLOOKUP([jobnumber],OvalData[],MATCH(Table2[[#Headers],[Number of Bottom Slats]],Table2[#Headers],0),0)</f>
        <v>0</v>
      </c>
      <c r="AN636" s="2">
        <f>VLOOKUP([jobnumber],OvalData[],MATCH(Table2[[#Headers],[Solid Bottom Height]],Table2[#Headers],0),0)</f>
        <v>0</v>
      </c>
      <c r="AO636" s="2" t="str">
        <f>VLOOKUP([jobnumber],OvalData[],MATCH(Table2[[#Headers],[slatlength]],Table2[#Headers],0),0)</f>
        <v xml:space="preserve"> 18 ft.- 5 7/ 8"</v>
      </c>
      <c r="AP636" s="2">
        <f>VLOOKUP([jobnumber],OvalData[],MATCH(Table2[[#Headers],[Bottom Slat Length]],Table2[#Headers],0),0)</f>
        <v>0</v>
      </c>
      <c r="AQ636" s="2">
        <f>VLOOKUP([jobnumber],OvalData[],MATCH(Table2[[#Headers],[Number of Perferated Slats]],Table2[#Headers],0),0)</f>
        <v>0</v>
      </c>
      <c r="AR636" s="2">
        <f>VLOOKUP([jobnumber],OvalData[],MATCH(Table2[[#Headers],[First Preferated Slat From End]],Table2[#Headers],0),0)</f>
        <v>0</v>
      </c>
      <c r="AS636" s="2">
        <f>VLOOKUP([jobnumber],OvalData[],MATCH(Table2[[#Headers],[First Preferated Slat From Bottom]],Table2[#Headers],0),0)</f>
        <v>0</v>
      </c>
      <c r="AT636" s="2">
        <f>VLOOKUP([jobnumber],OvalData[],MATCH(Table2[[#Headers],[Total Number of Slats]],Table2[#Headers],0),0)</f>
        <v>51</v>
      </c>
      <c r="AU636" s="2">
        <f>VLOOKUP([jobnumber],OvalData[],MATCH(Table2[[#Headers],[Bottom Bar Slope]],Table2[#Headers],0),0)</f>
        <v>0</v>
      </c>
      <c r="AV636" s="2">
        <f>VLOOKUP([jobnumber],OvalData[],MATCH(Table2[[#Headers],[Bottom Bar Weight]],Table2[#Headers],0),0)</f>
        <v>80.5</v>
      </c>
      <c r="AW636" s="2" t="str">
        <f>VLOOKUP([jobnumber],OvalData[],MATCH(Table2[[#Headers],[Outer Spring Gage]],Table2[#Headers],0),0)</f>
        <v>Null</v>
      </c>
      <c r="AX636" s="2" t="str">
        <f>VLOOKUP([jobnumber],OvalData[],MATCH(Table2[[#Headers],[Outer Spring OD]],Table2[#Headers],0),0)</f>
        <v>Null</v>
      </c>
      <c r="AY636" s="2" t="str">
        <f>VLOOKUP([jobnumber],OvalData[],MATCH(Table2[[#Headers],[Outer Spring Length]],Table2[#Headers],0),0)</f>
        <v>Null</v>
      </c>
      <c r="AZ636" s="2" t="str">
        <f>VLOOKUP([jobnumber],OvalData[],MATCH(Table2[[#Headers],[Outer Spring Stretch]],Table2[#Headers],0),0)</f>
        <v>Null</v>
      </c>
      <c r="BA636" s="2" t="str">
        <f>VLOOKUP([jobnumber],OvalData[],MATCH(Table2[[#Headers],[Outer Spring Torque]],Table2[#Headers],0),0)</f>
        <v>Null</v>
      </c>
      <c r="BB636" s="2" t="str">
        <f>VLOOKUP([jobnumber],OvalData[],MATCH(Table2[[#Headers],[Outer Spring Max Turns]],Table2[#Headers],0),0)</f>
        <v>Null</v>
      </c>
      <c r="BC636" s="2" t="str">
        <f>VLOOKUP([jobnumber],OvalData[],MATCH(Table2[[#Headers],[Outer Spring Weight]],Table2[#Headers],0),0)</f>
        <v>Null</v>
      </c>
      <c r="BD636" s="2" t="str">
        <f>VLOOKUP([jobnumber],OvalData[],MATCH(Table2[[#Headers],[Inner Spring Gage]],Table2[#Headers],0),0)</f>
        <v>Null</v>
      </c>
      <c r="BE636" s="2" t="str">
        <f>VLOOKUP([jobnumber],OvalData[],MATCH(Table2[[#Headers],[Inner Spring OD]],Table2[#Headers],0),0)</f>
        <v>Null</v>
      </c>
      <c r="BF636" s="2" t="str">
        <f>VLOOKUP([jobnumber],OvalData[],MATCH(Table2[[#Headers],[Inner Spring Length]],Table2[#Headers],0),0)</f>
        <v>Null</v>
      </c>
      <c r="BG636" s="2" t="str">
        <f>VLOOKUP([jobnumber],OvalData[],MATCH(Table2[[#Headers],[Inner Spring Stretch]],Table2[#Headers],0),0)</f>
        <v>Null</v>
      </c>
      <c r="BH636" s="2" t="str">
        <f>VLOOKUP([jobnumber],OvalData[],MATCH(Table2[[#Headers],[Inner Spring Torque]],Table2[#Headers],0),0)</f>
        <v>Null</v>
      </c>
      <c r="BI636" s="2" t="str">
        <f>VLOOKUP([jobnumber],OvalData[],MATCH(Table2[[#Headers],[Inner Spring Max Turns]],Table2[#Headers],0),0)</f>
        <v>Null</v>
      </c>
      <c r="BJ636" s="2" t="str">
        <f>VLOOKUP([jobnumber],OvalData[],MATCH(Table2[[#Headers],[Inner Spring Weight]],Table2[#Headers],0),0)</f>
        <v>Null</v>
      </c>
      <c r="BK636" s="2">
        <f>VLOOKUP([jobnumber],OvalData[],MATCH(Table2[[#Headers],[Cycles]],Table2[#Headers],0),0)</f>
        <v>0</v>
      </c>
      <c r="BL636" s="2">
        <f>VLOOKUP([jobnumber],OvalData[],MATCH(Table2[[#Headers],[Total Spring Torque]],Table2[#Headers],0),0)</f>
        <v>0</v>
      </c>
      <c r="BM636" s="2">
        <f>VLOOKUP([jobnumber],OvalData[],MATCH(Table2[[#Headers],[Total Spring Weight]],Table2[#Headers],0),0)</f>
        <v>0</v>
      </c>
      <c r="BN636" s="2">
        <f>VLOOKUP([jobnumber],OvalData[],MATCH(Table2[[#Headers],[Pipe Weight]],Table2[#Headers],0),0)</f>
        <v>688.24239999999998</v>
      </c>
      <c r="BO636" s="2">
        <f>VLOOKUP([jobnumber],OvalData[],MATCH(Table2[[#Headers],[Max Pipe Deflection]],Table2[#Headers],0),0)</f>
        <v>2309</v>
      </c>
      <c r="BP636" s="2">
        <f>VLOOKUP([jobnumber],OvalData[],MATCH(Table2[[#Headers],[Number Non-Insulated Wrap Slats]],Table2[#Headers],0),0)</f>
        <v>0</v>
      </c>
      <c r="BQ636" s="2">
        <f>VLOOKUP([jobnumber],OvalData[],MATCH(Table2[[#Headers],[Number of Insolated Top Slats]],Table2[#Headers],0),0)</f>
        <v>45</v>
      </c>
      <c r="BR636" s="2">
        <f>VLOOKUP([jobnumber],OvalData[],MATCH(Table2[[#Headers],[Insolated Total Slats]],Table2[#Headers],0),0)</f>
        <v>45</v>
      </c>
      <c r="BS636" s="2">
        <f>VLOOKUP([jobnumber],OvalData[],MATCH(Table2[[#Headers],[Number of Slats]],Table2[#Headers],0),0)</f>
        <v>44.69</v>
      </c>
      <c r="BT636" s="2">
        <f>VLOOKUP([jobnumber],OvalData[],MATCH(Table2[[#Headers],[Wrap]],Table2[#Headers],0),0)</f>
        <v>0</v>
      </c>
      <c r="BU636" s="2">
        <f>VLOOKUP([jobnumber],OvalData[],MATCH(Table2[[#Headers],[Wall Angle Thickness]],Table2[#Headers],0),0)</f>
        <v>0</v>
      </c>
      <c r="BV636" s="2">
        <f>VLOOKUP([jobnumber],OvalData[],MATCH(Table2[[#Headers],[windlocks]],Table2[#Headers],0),0)</f>
        <v>0</v>
      </c>
      <c r="BW636" s="2" t="str">
        <f>VLOOKUP([jobnumber],OvalData[],MATCH(Table2[[#Headers],[bottombartype]],Table2[#Headers],0),0)</f>
        <v>SPECIAL</v>
      </c>
      <c r="BX636" s="2">
        <f>VLOOKUP([jobnumber],OvalData[],MATCH(Table2[[#Headers],[endlockweight]],Table2[#Headers],0),0)</f>
        <v>0.17</v>
      </c>
      <c r="BY636" s="2">
        <f>VLOOKUP([jobnumber],OvalData[],MATCH(Table2[[#Headers],[Endlock Total Weight]],Table2[#Headers],0),0)</f>
        <v>7.5972999999999997</v>
      </c>
      <c r="BZ636" s="2">
        <f>VLOOKUP([jobnumber],OvalData[],MATCH(Table2[[#Headers],[Grille Weight]],Table2[#Headers],0),0)</f>
        <v>0</v>
      </c>
      <c r="CA636" s="2">
        <f>VLOOKUP([jobnumber],OvalData[],MATCH(Table2[[#Headers],[barrelrings]],Table2[#Headers],0),0)</f>
        <v>1</v>
      </c>
    </row>
    <row r="637" spans="2:79">
      <c r="B637" s="2" t="str">
        <f>VLOOKUP([jobnumber],OvalData[],MATCH(Table2[[#Headers],[Hand]],Table2[#Headers],0),0)</f>
        <v>RH</v>
      </c>
      <c r="C637" s="2" t="str">
        <f>VLOOKUP([jobnumber],OvalData[],MATCH(Table2[[#Headers],[Model]],Table2[#Headers],0),0)</f>
        <v>SFMPP</v>
      </c>
      <c r="D637" s="2" t="str">
        <f>VLOOKUP([jobnumber],OvalData[],MATCH(Table2[[#Headers],[width]],Table2[#Headers],0),0)</f>
        <v xml:space="preserve"> 18 ft.- 2"</v>
      </c>
      <c r="E637" s="2" t="str">
        <f>VLOOKUP([jobnumber],OvalData[],MATCH(Table2[[#Headers],[stopheight]],Table2[#Headers],0),0)</f>
        <v xml:space="preserve"> 10 ft.- 0"</v>
      </c>
      <c r="F637" s="2" t="str">
        <f>VLOOKUP([jobnumber],OvalData[],MATCH(Table2[[#Headers],[Between Brackets]],Table2[#Headers],0),0)</f>
        <v xml:space="preserve"> 18 ft.- 7 7/ 8"</v>
      </c>
      <c r="G637" s="2" t="str">
        <f>VLOOKUP([jobnumber],OvalData[],MATCH(Table2[[#Headers],[shell]],Table2[#Headers],0),0)</f>
        <v>6 INCH TUBE</v>
      </c>
      <c r="H637" s="2" t="str">
        <f>VLOOKUP([jobnumber],OvalData[],MATCH(Table2[[#Headers],[pipewidth]],Table2[#Headers],0),0)</f>
        <v xml:space="preserve"> 18 ft.- 1 3/ 8"</v>
      </c>
      <c r="I637" s="2">
        <f>VLOOKUP([jobnumber],OvalData[],MATCH(Table2[[#Headers],[Support Tubes]],Table2[#Headers],0),0)</f>
        <v>0</v>
      </c>
      <c r="J637" s="2">
        <f>VLOOKUP([jobnumber],OvalData[],MATCH(Table2[[#Headers],[Upset]],Table2[#Headers],0),0)</f>
        <v>2</v>
      </c>
      <c r="K637" s="2" t="str">
        <f>VLOOKUP([jobnumber],OvalData[],MATCH(Table2[[#Headers],[Guide Type]],Table2[#Headers],0),0)</f>
        <v>SN2-4 5/8-E</v>
      </c>
      <c r="L637" s="2" t="str">
        <f>VLOOKUP([jobnumber],OvalData[],MATCH(Table2[[#Headers],[Wall Angle]],Table2[#Headers],0),0)</f>
        <v xml:space="preserve"> 11 ft.- 8"</v>
      </c>
      <c r="M637" s="2" t="str">
        <f>VLOOKUP([jobnumber],OvalData[],MATCH(Table2[[#Headers],[Middle Angle]],Table2[#Headers],0),0)</f>
        <v xml:space="preserve"> 10 ft.- 4 1/ 2"</v>
      </c>
      <c r="N637" s="2" t="str">
        <f>VLOOKUP([jobnumber],OvalData[],MATCH(Table2[[#Headers],[Front Angle]],Table2[#Headers],0),0)</f>
        <v xml:space="preserve"> 10 ft.- 3"</v>
      </c>
      <c r="O637" s="2">
        <f>VLOOKUP([jobnumber],OvalData[],MATCH(Table2[[#Headers],[Pipe Center Line]],Table2[#Headers],0),0)</f>
        <v>131</v>
      </c>
      <c r="P637" s="2">
        <f>VLOOKUP([jobnumber],OvalData[],MATCH(Table2[[#Headers],[Heat Expansion Gap]],Table2[#Headers],0),0)</f>
        <v>0</v>
      </c>
      <c r="Q637" s="2">
        <f>VLOOKUP([jobnumber],OvalData[],MATCH(Table2[[#Headers],[Hanging Weight Closed]],Table2[#Headers],0),0)</f>
        <v>795</v>
      </c>
      <c r="R637" s="2">
        <f>VLOOKUP([jobnumber],OvalData[],MATCH(Table2[[#Headers],[Hanging Weight Open]],Table2[#Headers],0),0)</f>
        <v>140</v>
      </c>
      <c r="S637" s="2">
        <f>VLOOKUP([jobnumber],OvalData[],MATCH(Table2[[#Headers],[Initial Lever Arm]],Table2[#Headers],0),0)</f>
        <v>4.25</v>
      </c>
      <c r="T637" s="2">
        <f>VLOOKUP([jobnumber],OvalData[],MATCH(Table2[[#Headers],[Turns to Raise]],Table2[#Headers],0),0)</f>
        <v>3.5859999999999999</v>
      </c>
      <c r="U637" s="2">
        <f>VLOOKUP([jobnumber],OvalData[],MATCH(Table2[[#Headers],[Final Lever Arm]],Table2[#Headers],0),0)</f>
        <v>6.37</v>
      </c>
      <c r="V637" s="2">
        <f>VLOOKUP([jobnumber],OvalData[],MATCH(Table2[[#Headers],[Torque Required Closed]],Table2[#Headers],0),0)</f>
        <v>3377.9</v>
      </c>
      <c r="W637" s="2">
        <f>VLOOKUP([jobnumber],OvalData[],MATCH(Table2[[#Headers],[Torque Required Open]],Table2[#Headers],0),0)</f>
        <v>892</v>
      </c>
      <c r="X637" s="2">
        <f>VLOOKUP([jobnumber],OvalData[],MATCH(Table2[[#Headers],[Pre Turns]],Table2[#Headers],0),0)</f>
        <v>1.3332999999999999</v>
      </c>
      <c r="Y637" s="2">
        <f>VLOOKUP([jobnumber],OvalData[],MATCH(Table2[[#Headers],[Required Torque Per Turn]],Table2[#Headers],0),0)</f>
        <v>688</v>
      </c>
      <c r="Z637" s="2">
        <f>VLOOKUP([jobnumber],OvalData[],MATCH(Table2[[#Headers],[Total Turns]],Table2[#Headers],0),0)</f>
        <v>4.91</v>
      </c>
      <c r="AA637" s="2">
        <f>VLOOKUP([jobnumber],OvalData[],MATCH(Table2[[#Headers],[Grille Vision Section]],Table2[#Headers],0),0)</f>
        <v>0</v>
      </c>
      <c r="AB637" s="2">
        <f>VLOOKUP([jobnumber],OvalData[],MATCH(Table2[[#Headers],[Grille Amount]],Table2[#Headers],0),0)</f>
        <v>0</v>
      </c>
      <c r="AC637" s="2">
        <f>VLOOKUP([jobnumber],OvalData[],MATCH(Table2[[#Headers],[Grille Center]],Table2[#Headers],0),0)</f>
        <v>0</v>
      </c>
      <c r="AD637" s="2">
        <f>VLOOKUP([jobnumber],OvalData[],MATCH(Table2[[#Headers],[Grille Pattern]],Table2[#Headers],0),0)</f>
        <v>0</v>
      </c>
      <c r="AE637" s="2">
        <f>VLOOKUP([jobnumber],OvalData[],MATCH(Table2[[#Headers],[Grille First Tube]],Table2[#Headers],0),0)</f>
        <v>0</v>
      </c>
      <c r="AF637" s="2">
        <f>VLOOKUP([jobnumber],OvalData[],MATCH(Table2[[#Headers],[Grille Standard Tube]],Table2[#Headers],0),0)</f>
        <v>0</v>
      </c>
      <c r="AG637" s="2">
        <f>VLOOKUP([jobnumber],OvalData[],MATCH(Table2[[#Headers],[Grille Total Links]],Table2[#Headers],0),0)</f>
        <v>0</v>
      </c>
      <c r="AH637" s="2">
        <f>VLOOKUP([jobnumber],OvalData[],MATCH(Table2[[#Headers],[Grille Rods]],Table2[#Headers],0),0)</f>
        <v>0</v>
      </c>
      <c r="AI637" s="2">
        <f>VLOOKUP([jobnumber],OvalData[],MATCH(Table2[[#Headers],[Grille Rod Length]],Table2[#Headers],0),0)</f>
        <v>0</v>
      </c>
      <c r="AJ637" s="2">
        <f>VLOOKUP([jobnumber],OvalData[],MATCH(Table2[[#Headers],[slattype]],Table2[#Headers],0),0)</f>
        <v>2</v>
      </c>
      <c r="AK637" s="2">
        <f>VLOOKUP([jobnumber],OvalData[],MATCH(Table2[[#Headers],[slatgage]],Table2[#Headers],0),0)</f>
        <v>18</v>
      </c>
      <c r="AL637" s="2">
        <f>VLOOKUP([jobnumber],OvalData[],MATCH(Table2[[#Headers],[Numer of Top Slats]],Table2[#Headers],0),0)</f>
        <v>0</v>
      </c>
      <c r="AM637" s="2">
        <f>VLOOKUP([jobnumber],OvalData[],MATCH(Table2[[#Headers],[Number of Bottom Slats]],Table2[#Headers],0),0)</f>
        <v>0</v>
      </c>
      <c r="AN637" s="2">
        <f>VLOOKUP([jobnumber],OvalData[],MATCH(Table2[[#Headers],[Solid Bottom Height]],Table2[#Headers],0),0)</f>
        <v>0</v>
      </c>
      <c r="AO637" s="2" t="str">
        <f>VLOOKUP([jobnumber],OvalData[],MATCH(Table2[[#Headers],[slatlength]],Table2[#Headers],0),0)</f>
        <v xml:space="preserve"> 18 ft.- 5 7/ 8"</v>
      </c>
      <c r="AP637" s="2">
        <f>VLOOKUP([jobnumber],OvalData[],MATCH(Table2[[#Headers],[Bottom Slat Length]],Table2[#Headers],0),0)</f>
        <v>0</v>
      </c>
      <c r="AQ637" s="2">
        <f>VLOOKUP([jobnumber],OvalData[],MATCH(Table2[[#Headers],[Number of Perferated Slats]],Table2[#Headers],0),0)</f>
        <v>0</v>
      </c>
      <c r="AR637" s="2">
        <f>VLOOKUP([jobnumber],OvalData[],MATCH(Table2[[#Headers],[First Preferated Slat From End]],Table2[#Headers],0),0)</f>
        <v>0</v>
      </c>
      <c r="AS637" s="2">
        <f>VLOOKUP([jobnumber],OvalData[],MATCH(Table2[[#Headers],[First Preferated Slat From Bottom]],Table2[#Headers],0),0)</f>
        <v>0</v>
      </c>
      <c r="AT637" s="2">
        <f>VLOOKUP([jobnumber],OvalData[],MATCH(Table2[[#Headers],[Total Number of Slats]],Table2[#Headers],0),0)</f>
        <v>51</v>
      </c>
      <c r="AU637" s="2">
        <f>VLOOKUP([jobnumber],OvalData[],MATCH(Table2[[#Headers],[Bottom Bar Slope]],Table2[#Headers],0),0)</f>
        <v>0</v>
      </c>
      <c r="AV637" s="2">
        <f>VLOOKUP([jobnumber],OvalData[],MATCH(Table2[[#Headers],[Bottom Bar Weight]],Table2[#Headers],0),0)</f>
        <v>80.5</v>
      </c>
      <c r="AW637" s="2" t="str">
        <f>VLOOKUP([jobnumber],OvalData[],MATCH(Table2[[#Headers],[Outer Spring Gage]],Table2[#Headers],0),0)</f>
        <v>Null</v>
      </c>
      <c r="AX637" s="2" t="str">
        <f>VLOOKUP([jobnumber],OvalData[],MATCH(Table2[[#Headers],[Outer Spring OD]],Table2[#Headers],0),0)</f>
        <v>Null</v>
      </c>
      <c r="AY637" s="2" t="str">
        <f>VLOOKUP([jobnumber],OvalData[],MATCH(Table2[[#Headers],[Outer Spring Length]],Table2[#Headers],0),0)</f>
        <v>Null</v>
      </c>
      <c r="AZ637" s="2" t="str">
        <f>VLOOKUP([jobnumber],OvalData[],MATCH(Table2[[#Headers],[Outer Spring Stretch]],Table2[#Headers],0),0)</f>
        <v>Null</v>
      </c>
      <c r="BA637" s="2" t="str">
        <f>VLOOKUP([jobnumber],OvalData[],MATCH(Table2[[#Headers],[Outer Spring Torque]],Table2[#Headers],0),0)</f>
        <v>Null</v>
      </c>
      <c r="BB637" s="2" t="str">
        <f>VLOOKUP([jobnumber],OvalData[],MATCH(Table2[[#Headers],[Outer Spring Max Turns]],Table2[#Headers],0),0)</f>
        <v>Null</v>
      </c>
      <c r="BC637" s="2" t="str">
        <f>VLOOKUP([jobnumber],OvalData[],MATCH(Table2[[#Headers],[Outer Spring Weight]],Table2[#Headers],0),0)</f>
        <v>Null</v>
      </c>
      <c r="BD637" s="2" t="str">
        <f>VLOOKUP([jobnumber],OvalData[],MATCH(Table2[[#Headers],[Inner Spring Gage]],Table2[#Headers],0),0)</f>
        <v>Null</v>
      </c>
      <c r="BE637" s="2" t="str">
        <f>VLOOKUP([jobnumber],OvalData[],MATCH(Table2[[#Headers],[Inner Spring OD]],Table2[#Headers],0),0)</f>
        <v>Null</v>
      </c>
      <c r="BF637" s="2" t="str">
        <f>VLOOKUP([jobnumber],OvalData[],MATCH(Table2[[#Headers],[Inner Spring Length]],Table2[#Headers],0),0)</f>
        <v>Null</v>
      </c>
      <c r="BG637" s="2" t="str">
        <f>VLOOKUP([jobnumber],OvalData[],MATCH(Table2[[#Headers],[Inner Spring Stretch]],Table2[#Headers],0),0)</f>
        <v>Null</v>
      </c>
      <c r="BH637" s="2" t="str">
        <f>VLOOKUP([jobnumber],OvalData[],MATCH(Table2[[#Headers],[Inner Spring Torque]],Table2[#Headers],0),0)</f>
        <v>Null</v>
      </c>
      <c r="BI637" s="2" t="str">
        <f>VLOOKUP([jobnumber],OvalData[],MATCH(Table2[[#Headers],[Inner Spring Max Turns]],Table2[#Headers],0),0)</f>
        <v>Null</v>
      </c>
      <c r="BJ637" s="2" t="str">
        <f>VLOOKUP([jobnumber],OvalData[],MATCH(Table2[[#Headers],[Inner Spring Weight]],Table2[#Headers],0),0)</f>
        <v>Null</v>
      </c>
      <c r="BK637" s="2">
        <f>VLOOKUP([jobnumber],OvalData[],MATCH(Table2[[#Headers],[Cycles]],Table2[#Headers],0),0)</f>
        <v>0</v>
      </c>
      <c r="BL637" s="2">
        <f>VLOOKUP([jobnumber],OvalData[],MATCH(Table2[[#Headers],[Total Spring Torque]],Table2[#Headers],0),0)</f>
        <v>0</v>
      </c>
      <c r="BM637" s="2">
        <f>VLOOKUP([jobnumber],OvalData[],MATCH(Table2[[#Headers],[Total Spring Weight]],Table2[#Headers],0),0)</f>
        <v>0</v>
      </c>
      <c r="BN637" s="2">
        <f>VLOOKUP([jobnumber],OvalData[],MATCH(Table2[[#Headers],[Pipe Weight]],Table2[#Headers],0),0)</f>
        <v>688.24239999999998</v>
      </c>
      <c r="BO637" s="2">
        <f>VLOOKUP([jobnumber],OvalData[],MATCH(Table2[[#Headers],[Max Pipe Deflection]],Table2[#Headers],0),0)</f>
        <v>2309</v>
      </c>
      <c r="BP637" s="2">
        <f>VLOOKUP([jobnumber],OvalData[],MATCH(Table2[[#Headers],[Number Non-Insulated Wrap Slats]],Table2[#Headers],0),0)</f>
        <v>0</v>
      </c>
      <c r="BQ637" s="2">
        <f>VLOOKUP([jobnumber],OvalData[],MATCH(Table2[[#Headers],[Number of Insolated Top Slats]],Table2[#Headers],0),0)</f>
        <v>45</v>
      </c>
      <c r="BR637" s="2">
        <f>VLOOKUP([jobnumber],OvalData[],MATCH(Table2[[#Headers],[Insolated Total Slats]],Table2[#Headers],0),0)</f>
        <v>45</v>
      </c>
      <c r="BS637" s="2">
        <f>VLOOKUP([jobnumber],OvalData[],MATCH(Table2[[#Headers],[Number of Slats]],Table2[#Headers],0),0)</f>
        <v>44.69</v>
      </c>
      <c r="BT637" s="2">
        <f>VLOOKUP([jobnumber],OvalData[],MATCH(Table2[[#Headers],[Wrap]],Table2[#Headers],0),0)</f>
        <v>0</v>
      </c>
      <c r="BU637" s="2">
        <f>VLOOKUP([jobnumber],OvalData[],MATCH(Table2[[#Headers],[Wall Angle Thickness]],Table2[#Headers],0),0)</f>
        <v>0</v>
      </c>
      <c r="BV637" s="2">
        <f>VLOOKUP([jobnumber],OvalData[],MATCH(Table2[[#Headers],[windlocks]],Table2[#Headers],0),0)</f>
        <v>0</v>
      </c>
      <c r="BW637" s="2" t="str">
        <f>VLOOKUP([jobnumber],OvalData[],MATCH(Table2[[#Headers],[bottombartype]],Table2[#Headers],0),0)</f>
        <v>SPECIAL</v>
      </c>
      <c r="BX637" s="2">
        <f>VLOOKUP([jobnumber],OvalData[],MATCH(Table2[[#Headers],[endlockweight]],Table2[#Headers],0),0)</f>
        <v>0.17</v>
      </c>
      <c r="BY637" s="2">
        <f>VLOOKUP([jobnumber],OvalData[],MATCH(Table2[[#Headers],[Endlock Total Weight]],Table2[#Headers],0),0)</f>
        <v>7.5972999999999997</v>
      </c>
      <c r="BZ637" s="2">
        <f>VLOOKUP([jobnumber],OvalData[],MATCH(Table2[[#Headers],[Grille Weight]],Table2[#Headers],0),0)</f>
        <v>0</v>
      </c>
      <c r="CA637" s="2">
        <f>VLOOKUP([jobnumber],OvalData[],MATCH(Table2[[#Headers],[barrelrings]],Table2[#Headers],0),0)</f>
        <v>1</v>
      </c>
    </row>
    <row r="638" spans="2:79">
      <c r="B638" s="2" t="str">
        <f>VLOOKUP([jobnumber],OvalData[],MATCH(Table2[[#Headers],[Hand]],Table2[#Headers],0),0)</f>
        <v>RH</v>
      </c>
      <c r="C638" s="2" t="str">
        <f>VLOOKUP([jobnumber],OvalData[],MATCH(Table2[[#Headers],[Model]],Table2[#Headers],0),0)</f>
        <v>SFMPP</v>
      </c>
      <c r="D638" s="2" t="str">
        <f>VLOOKUP([jobnumber],OvalData[],MATCH(Table2[[#Headers],[width]],Table2[#Headers],0),0)</f>
        <v xml:space="preserve"> 18 ft.- 2"</v>
      </c>
      <c r="E638" s="2" t="str">
        <f>VLOOKUP([jobnumber],OvalData[],MATCH(Table2[[#Headers],[stopheight]],Table2[#Headers],0),0)</f>
        <v xml:space="preserve"> 10 ft.- 0"</v>
      </c>
      <c r="F638" s="2" t="str">
        <f>VLOOKUP([jobnumber],OvalData[],MATCH(Table2[[#Headers],[Between Brackets]],Table2[#Headers],0),0)</f>
        <v xml:space="preserve"> 18 ft.- 7 7/ 8"</v>
      </c>
      <c r="G638" s="2" t="str">
        <f>VLOOKUP([jobnumber],OvalData[],MATCH(Table2[[#Headers],[shell]],Table2[#Headers],0),0)</f>
        <v>6 INCH TUBE</v>
      </c>
      <c r="H638" s="2" t="str">
        <f>VLOOKUP([jobnumber],OvalData[],MATCH(Table2[[#Headers],[pipewidth]],Table2[#Headers],0),0)</f>
        <v xml:space="preserve"> 18 ft.- 1 3/ 8"</v>
      </c>
      <c r="I638" s="2">
        <f>VLOOKUP([jobnumber],OvalData[],MATCH(Table2[[#Headers],[Support Tubes]],Table2[#Headers],0),0)</f>
        <v>0</v>
      </c>
      <c r="J638" s="2">
        <f>VLOOKUP([jobnumber],OvalData[],MATCH(Table2[[#Headers],[Upset]],Table2[#Headers],0),0)</f>
        <v>2</v>
      </c>
      <c r="K638" s="2" t="str">
        <f>VLOOKUP([jobnumber],OvalData[],MATCH(Table2[[#Headers],[Guide Type]],Table2[#Headers],0),0)</f>
        <v>SN2-4 5/8-E</v>
      </c>
      <c r="L638" s="2" t="str">
        <f>VLOOKUP([jobnumber],OvalData[],MATCH(Table2[[#Headers],[Wall Angle]],Table2[#Headers],0),0)</f>
        <v xml:space="preserve"> 11 ft.- 8"</v>
      </c>
      <c r="M638" s="2" t="str">
        <f>VLOOKUP([jobnumber],OvalData[],MATCH(Table2[[#Headers],[Middle Angle]],Table2[#Headers],0),0)</f>
        <v xml:space="preserve"> 10 ft.- 4 1/ 2"</v>
      </c>
      <c r="N638" s="2" t="str">
        <f>VLOOKUP([jobnumber],OvalData[],MATCH(Table2[[#Headers],[Front Angle]],Table2[#Headers],0),0)</f>
        <v xml:space="preserve"> 10 ft.- 3"</v>
      </c>
      <c r="O638" s="2">
        <f>VLOOKUP([jobnumber],OvalData[],MATCH(Table2[[#Headers],[Pipe Center Line]],Table2[#Headers],0),0)</f>
        <v>131</v>
      </c>
      <c r="P638" s="2">
        <f>VLOOKUP([jobnumber],OvalData[],MATCH(Table2[[#Headers],[Heat Expansion Gap]],Table2[#Headers],0),0)</f>
        <v>0</v>
      </c>
      <c r="Q638" s="2">
        <f>VLOOKUP([jobnumber],OvalData[],MATCH(Table2[[#Headers],[Hanging Weight Closed]],Table2[#Headers],0),0)</f>
        <v>795</v>
      </c>
      <c r="R638" s="2">
        <f>VLOOKUP([jobnumber],OvalData[],MATCH(Table2[[#Headers],[Hanging Weight Open]],Table2[#Headers],0),0)</f>
        <v>140</v>
      </c>
      <c r="S638" s="2">
        <f>VLOOKUP([jobnumber],OvalData[],MATCH(Table2[[#Headers],[Initial Lever Arm]],Table2[#Headers],0),0)</f>
        <v>4.25</v>
      </c>
      <c r="T638" s="2">
        <f>VLOOKUP([jobnumber],OvalData[],MATCH(Table2[[#Headers],[Turns to Raise]],Table2[#Headers],0),0)</f>
        <v>3.5859999999999999</v>
      </c>
      <c r="U638" s="2">
        <f>VLOOKUP([jobnumber],OvalData[],MATCH(Table2[[#Headers],[Final Lever Arm]],Table2[#Headers],0),0)</f>
        <v>6.37</v>
      </c>
      <c r="V638" s="2">
        <f>VLOOKUP([jobnumber],OvalData[],MATCH(Table2[[#Headers],[Torque Required Closed]],Table2[#Headers],0),0)</f>
        <v>3377.9</v>
      </c>
      <c r="W638" s="2">
        <f>VLOOKUP([jobnumber],OvalData[],MATCH(Table2[[#Headers],[Torque Required Open]],Table2[#Headers],0),0)</f>
        <v>892</v>
      </c>
      <c r="X638" s="2">
        <f>VLOOKUP([jobnumber],OvalData[],MATCH(Table2[[#Headers],[Pre Turns]],Table2[#Headers],0),0)</f>
        <v>1.3332999999999999</v>
      </c>
      <c r="Y638" s="2">
        <f>VLOOKUP([jobnumber],OvalData[],MATCH(Table2[[#Headers],[Required Torque Per Turn]],Table2[#Headers],0),0)</f>
        <v>688</v>
      </c>
      <c r="Z638" s="2">
        <f>VLOOKUP([jobnumber],OvalData[],MATCH(Table2[[#Headers],[Total Turns]],Table2[#Headers],0),0)</f>
        <v>4.91</v>
      </c>
      <c r="AA638" s="2">
        <f>VLOOKUP([jobnumber],OvalData[],MATCH(Table2[[#Headers],[Grille Vision Section]],Table2[#Headers],0),0)</f>
        <v>0</v>
      </c>
      <c r="AB638" s="2">
        <f>VLOOKUP([jobnumber],OvalData[],MATCH(Table2[[#Headers],[Grille Amount]],Table2[#Headers],0),0)</f>
        <v>0</v>
      </c>
      <c r="AC638" s="2">
        <f>VLOOKUP([jobnumber],OvalData[],MATCH(Table2[[#Headers],[Grille Center]],Table2[#Headers],0),0)</f>
        <v>0</v>
      </c>
      <c r="AD638" s="2">
        <f>VLOOKUP([jobnumber],OvalData[],MATCH(Table2[[#Headers],[Grille Pattern]],Table2[#Headers],0),0)</f>
        <v>0</v>
      </c>
      <c r="AE638" s="2">
        <f>VLOOKUP([jobnumber],OvalData[],MATCH(Table2[[#Headers],[Grille First Tube]],Table2[#Headers],0),0)</f>
        <v>0</v>
      </c>
      <c r="AF638" s="2">
        <f>VLOOKUP([jobnumber],OvalData[],MATCH(Table2[[#Headers],[Grille Standard Tube]],Table2[#Headers],0),0)</f>
        <v>0</v>
      </c>
      <c r="AG638" s="2">
        <f>VLOOKUP([jobnumber],OvalData[],MATCH(Table2[[#Headers],[Grille Total Links]],Table2[#Headers],0),0)</f>
        <v>0</v>
      </c>
      <c r="AH638" s="2">
        <f>VLOOKUP([jobnumber],OvalData[],MATCH(Table2[[#Headers],[Grille Rods]],Table2[#Headers],0),0)</f>
        <v>0</v>
      </c>
      <c r="AI638" s="2">
        <f>VLOOKUP([jobnumber],OvalData[],MATCH(Table2[[#Headers],[Grille Rod Length]],Table2[#Headers],0),0)</f>
        <v>0</v>
      </c>
      <c r="AJ638" s="2">
        <f>VLOOKUP([jobnumber],OvalData[],MATCH(Table2[[#Headers],[slattype]],Table2[#Headers],0),0)</f>
        <v>2</v>
      </c>
      <c r="AK638" s="2">
        <f>VLOOKUP([jobnumber],OvalData[],MATCH(Table2[[#Headers],[slatgage]],Table2[#Headers],0),0)</f>
        <v>18</v>
      </c>
      <c r="AL638" s="2">
        <f>VLOOKUP([jobnumber],OvalData[],MATCH(Table2[[#Headers],[Numer of Top Slats]],Table2[#Headers],0),0)</f>
        <v>0</v>
      </c>
      <c r="AM638" s="2">
        <f>VLOOKUP([jobnumber],OvalData[],MATCH(Table2[[#Headers],[Number of Bottom Slats]],Table2[#Headers],0),0)</f>
        <v>0</v>
      </c>
      <c r="AN638" s="2">
        <f>VLOOKUP([jobnumber],OvalData[],MATCH(Table2[[#Headers],[Solid Bottom Height]],Table2[#Headers],0),0)</f>
        <v>0</v>
      </c>
      <c r="AO638" s="2" t="str">
        <f>VLOOKUP([jobnumber],OvalData[],MATCH(Table2[[#Headers],[slatlength]],Table2[#Headers],0),0)</f>
        <v xml:space="preserve"> 18 ft.- 5 7/ 8"</v>
      </c>
      <c r="AP638" s="2">
        <f>VLOOKUP([jobnumber],OvalData[],MATCH(Table2[[#Headers],[Bottom Slat Length]],Table2[#Headers],0),0)</f>
        <v>0</v>
      </c>
      <c r="AQ638" s="2">
        <f>VLOOKUP([jobnumber],OvalData[],MATCH(Table2[[#Headers],[Number of Perferated Slats]],Table2[#Headers],0),0)</f>
        <v>0</v>
      </c>
      <c r="AR638" s="2">
        <f>VLOOKUP([jobnumber],OvalData[],MATCH(Table2[[#Headers],[First Preferated Slat From End]],Table2[#Headers],0),0)</f>
        <v>0</v>
      </c>
      <c r="AS638" s="2">
        <f>VLOOKUP([jobnumber],OvalData[],MATCH(Table2[[#Headers],[First Preferated Slat From Bottom]],Table2[#Headers],0),0)</f>
        <v>0</v>
      </c>
      <c r="AT638" s="2">
        <f>VLOOKUP([jobnumber],OvalData[],MATCH(Table2[[#Headers],[Total Number of Slats]],Table2[#Headers],0),0)</f>
        <v>51</v>
      </c>
      <c r="AU638" s="2">
        <f>VLOOKUP([jobnumber],OvalData[],MATCH(Table2[[#Headers],[Bottom Bar Slope]],Table2[#Headers],0),0)</f>
        <v>0</v>
      </c>
      <c r="AV638" s="2">
        <f>VLOOKUP([jobnumber],OvalData[],MATCH(Table2[[#Headers],[Bottom Bar Weight]],Table2[#Headers],0),0)</f>
        <v>80.5</v>
      </c>
      <c r="AW638" s="2" t="str">
        <f>VLOOKUP([jobnumber],OvalData[],MATCH(Table2[[#Headers],[Outer Spring Gage]],Table2[#Headers],0),0)</f>
        <v>Null</v>
      </c>
      <c r="AX638" s="2" t="str">
        <f>VLOOKUP([jobnumber],OvalData[],MATCH(Table2[[#Headers],[Outer Spring OD]],Table2[#Headers],0),0)</f>
        <v>Null</v>
      </c>
      <c r="AY638" s="2" t="str">
        <f>VLOOKUP([jobnumber],OvalData[],MATCH(Table2[[#Headers],[Outer Spring Length]],Table2[#Headers],0),0)</f>
        <v>Null</v>
      </c>
      <c r="AZ638" s="2" t="str">
        <f>VLOOKUP([jobnumber],OvalData[],MATCH(Table2[[#Headers],[Outer Spring Stretch]],Table2[#Headers],0),0)</f>
        <v>Null</v>
      </c>
      <c r="BA638" s="2" t="str">
        <f>VLOOKUP([jobnumber],OvalData[],MATCH(Table2[[#Headers],[Outer Spring Torque]],Table2[#Headers],0),0)</f>
        <v>Null</v>
      </c>
      <c r="BB638" s="2" t="str">
        <f>VLOOKUP([jobnumber],OvalData[],MATCH(Table2[[#Headers],[Outer Spring Max Turns]],Table2[#Headers],0),0)</f>
        <v>Null</v>
      </c>
      <c r="BC638" s="2" t="str">
        <f>VLOOKUP([jobnumber],OvalData[],MATCH(Table2[[#Headers],[Outer Spring Weight]],Table2[#Headers],0),0)</f>
        <v>Null</v>
      </c>
      <c r="BD638" s="2" t="str">
        <f>VLOOKUP([jobnumber],OvalData[],MATCH(Table2[[#Headers],[Inner Spring Gage]],Table2[#Headers],0),0)</f>
        <v>Null</v>
      </c>
      <c r="BE638" s="2" t="str">
        <f>VLOOKUP([jobnumber],OvalData[],MATCH(Table2[[#Headers],[Inner Spring OD]],Table2[#Headers],0),0)</f>
        <v>Null</v>
      </c>
      <c r="BF638" s="2" t="str">
        <f>VLOOKUP([jobnumber],OvalData[],MATCH(Table2[[#Headers],[Inner Spring Length]],Table2[#Headers],0),0)</f>
        <v>Null</v>
      </c>
      <c r="BG638" s="2" t="str">
        <f>VLOOKUP([jobnumber],OvalData[],MATCH(Table2[[#Headers],[Inner Spring Stretch]],Table2[#Headers],0),0)</f>
        <v>Null</v>
      </c>
      <c r="BH638" s="2" t="str">
        <f>VLOOKUP([jobnumber],OvalData[],MATCH(Table2[[#Headers],[Inner Spring Torque]],Table2[#Headers],0),0)</f>
        <v>Null</v>
      </c>
      <c r="BI638" s="2" t="str">
        <f>VLOOKUP([jobnumber],OvalData[],MATCH(Table2[[#Headers],[Inner Spring Max Turns]],Table2[#Headers],0),0)</f>
        <v>Null</v>
      </c>
      <c r="BJ638" s="2" t="str">
        <f>VLOOKUP([jobnumber],OvalData[],MATCH(Table2[[#Headers],[Inner Spring Weight]],Table2[#Headers],0),0)</f>
        <v>Null</v>
      </c>
      <c r="BK638" s="2">
        <f>VLOOKUP([jobnumber],OvalData[],MATCH(Table2[[#Headers],[Cycles]],Table2[#Headers],0),0)</f>
        <v>0</v>
      </c>
      <c r="BL638" s="2">
        <f>VLOOKUP([jobnumber],OvalData[],MATCH(Table2[[#Headers],[Total Spring Torque]],Table2[#Headers],0),0)</f>
        <v>0</v>
      </c>
      <c r="BM638" s="2">
        <f>VLOOKUP([jobnumber],OvalData[],MATCH(Table2[[#Headers],[Total Spring Weight]],Table2[#Headers],0),0)</f>
        <v>0</v>
      </c>
      <c r="BN638" s="2">
        <f>VLOOKUP([jobnumber],OvalData[],MATCH(Table2[[#Headers],[Pipe Weight]],Table2[#Headers],0),0)</f>
        <v>688.24239999999998</v>
      </c>
      <c r="BO638" s="2">
        <f>VLOOKUP([jobnumber],OvalData[],MATCH(Table2[[#Headers],[Max Pipe Deflection]],Table2[#Headers],0),0)</f>
        <v>2309</v>
      </c>
      <c r="BP638" s="2">
        <f>VLOOKUP([jobnumber],OvalData[],MATCH(Table2[[#Headers],[Number Non-Insulated Wrap Slats]],Table2[#Headers],0),0)</f>
        <v>0</v>
      </c>
      <c r="BQ638" s="2">
        <f>VLOOKUP([jobnumber],OvalData[],MATCH(Table2[[#Headers],[Number of Insolated Top Slats]],Table2[#Headers],0),0)</f>
        <v>45</v>
      </c>
      <c r="BR638" s="2">
        <f>VLOOKUP([jobnumber],OvalData[],MATCH(Table2[[#Headers],[Insolated Total Slats]],Table2[#Headers],0),0)</f>
        <v>45</v>
      </c>
      <c r="BS638" s="2">
        <f>VLOOKUP([jobnumber],OvalData[],MATCH(Table2[[#Headers],[Number of Slats]],Table2[#Headers],0),0)</f>
        <v>44.69</v>
      </c>
      <c r="BT638" s="2">
        <f>VLOOKUP([jobnumber],OvalData[],MATCH(Table2[[#Headers],[Wrap]],Table2[#Headers],0),0)</f>
        <v>0</v>
      </c>
      <c r="BU638" s="2">
        <f>VLOOKUP([jobnumber],OvalData[],MATCH(Table2[[#Headers],[Wall Angle Thickness]],Table2[#Headers],0),0)</f>
        <v>0</v>
      </c>
      <c r="BV638" s="2">
        <f>VLOOKUP([jobnumber],OvalData[],MATCH(Table2[[#Headers],[windlocks]],Table2[#Headers],0),0)</f>
        <v>0</v>
      </c>
      <c r="BW638" s="2" t="str">
        <f>VLOOKUP([jobnumber],OvalData[],MATCH(Table2[[#Headers],[bottombartype]],Table2[#Headers],0),0)</f>
        <v>SPECIAL</v>
      </c>
      <c r="BX638" s="2">
        <f>VLOOKUP([jobnumber],OvalData[],MATCH(Table2[[#Headers],[endlockweight]],Table2[#Headers],0),0)</f>
        <v>0.17</v>
      </c>
      <c r="BY638" s="2">
        <f>VLOOKUP([jobnumber],OvalData[],MATCH(Table2[[#Headers],[Endlock Total Weight]],Table2[#Headers],0),0)</f>
        <v>7.5972999999999997</v>
      </c>
      <c r="BZ638" s="2">
        <f>VLOOKUP([jobnumber],OvalData[],MATCH(Table2[[#Headers],[Grille Weight]],Table2[#Headers],0),0)</f>
        <v>0</v>
      </c>
      <c r="CA638" s="2">
        <f>VLOOKUP([jobnumber],OvalData[],MATCH(Table2[[#Headers],[barrelrings]],Table2[#Headers],0),0)</f>
        <v>1</v>
      </c>
    </row>
    <row r="639" spans="2:79">
      <c r="B639" s="2" t="str">
        <f>VLOOKUP([jobnumber],OvalData[],MATCH(Table2[[#Headers],[Hand]],Table2[#Headers],0),0)</f>
        <v>RH</v>
      </c>
      <c r="C639" s="2" t="str">
        <f>VLOOKUP([jobnumber],OvalData[],MATCH(Table2[[#Headers],[Model]],Table2[#Headers],0),0)</f>
        <v>SFMPP</v>
      </c>
      <c r="D639" s="2" t="str">
        <f>VLOOKUP([jobnumber],OvalData[],MATCH(Table2[[#Headers],[width]],Table2[#Headers],0),0)</f>
        <v xml:space="preserve"> 18 ft.- 2"</v>
      </c>
      <c r="E639" s="2" t="str">
        <f>VLOOKUP([jobnumber],OvalData[],MATCH(Table2[[#Headers],[stopheight]],Table2[#Headers],0),0)</f>
        <v xml:space="preserve"> 10 ft.- 0"</v>
      </c>
      <c r="F639" s="2" t="str">
        <f>VLOOKUP([jobnumber],OvalData[],MATCH(Table2[[#Headers],[Between Brackets]],Table2[#Headers],0),0)</f>
        <v xml:space="preserve"> 18 ft.- 7 7/ 8"</v>
      </c>
      <c r="G639" s="2" t="str">
        <f>VLOOKUP([jobnumber],OvalData[],MATCH(Table2[[#Headers],[shell]],Table2[#Headers],0),0)</f>
        <v>6 INCH TUBE</v>
      </c>
      <c r="H639" s="2" t="str">
        <f>VLOOKUP([jobnumber],OvalData[],MATCH(Table2[[#Headers],[pipewidth]],Table2[#Headers],0),0)</f>
        <v xml:space="preserve"> 18 ft.- 1 3/ 8"</v>
      </c>
      <c r="I639" s="2">
        <f>VLOOKUP([jobnumber],OvalData[],MATCH(Table2[[#Headers],[Support Tubes]],Table2[#Headers],0),0)</f>
        <v>0</v>
      </c>
      <c r="J639" s="2">
        <f>VLOOKUP([jobnumber],OvalData[],MATCH(Table2[[#Headers],[Upset]],Table2[#Headers],0),0)</f>
        <v>2</v>
      </c>
      <c r="K639" s="2" t="str">
        <f>VLOOKUP([jobnumber],OvalData[],MATCH(Table2[[#Headers],[Guide Type]],Table2[#Headers],0),0)</f>
        <v>SN2-4 5/8-E</v>
      </c>
      <c r="L639" s="2" t="str">
        <f>VLOOKUP([jobnumber],OvalData[],MATCH(Table2[[#Headers],[Wall Angle]],Table2[#Headers],0),0)</f>
        <v xml:space="preserve"> 11 ft.- 8"</v>
      </c>
      <c r="M639" s="2" t="str">
        <f>VLOOKUP([jobnumber],OvalData[],MATCH(Table2[[#Headers],[Middle Angle]],Table2[#Headers],0),0)</f>
        <v xml:space="preserve"> 10 ft.- 4 1/ 2"</v>
      </c>
      <c r="N639" s="2" t="str">
        <f>VLOOKUP([jobnumber],OvalData[],MATCH(Table2[[#Headers],[Front Angle]],Table2[#Headers],0),0)</f>
        <v xml:space="preserve"> 10 ft.- 3"</v>
      </c>
      <c r="O639" s="2">
        <f>VLOOKUP([jobnumber],OvalData[],MATCH(Table2[[#Headers],[Pipe Center Line]],Table2[#Headers],0),0)</f>
        <v>131</v>
      </c>
      <c r="P639" s="2">
        <f>VLOOKUP([jobnumber],OvalData[],MATCH(Table2[[#Headers],[Heat Expansion Gap]],Table2[#Headers],0),0)</f>
        <v>0</v>
      </c>
      <c r="Q639" s="2">
        <f>VLOOKUP([jobnumber],OvalData[],MATCH(Table2[[#Headers],[Hanging Weight Closed]],Table2[#Headers],0),0)</f>
        <v>795</v>
      </c>
      <c r="R639" s="2">
        <f>VLOOKUP([jobnumber],OvalData[],MATCH(Table2[[#Headers],[Hanging Weight Open]],Table2[#Headers],0),0)</f>
        <v>140</v>
      </c>
      <c r="S639" s="2">
        <f>VLOOKUP([jobnumber],OvalData[],MATCH(Table2[[#Headers],[Initial Lever Arm]],Table2[#Headers],0),0)</f>
        <v>4.25</v>
      </c>
      <c r="T639" s="2">
        <f>VLOOKUP([jobnumber],OvalData[],MATCH(Table2[[#Headers],[Turns to Raise]],Table2[#Headers],0),0)</f>
        <v>3.5859999999999999</v>
      </c>
      <c r="U639" s="2">
        <f>VLOOKUP([jobnumber],OvalData[],MATCH(Table2[[#Headers],[Final Lever Arm]],Table2[#Headers],0),0)</f>
        <v>6.37</v>
      </c>
      <c r="V639" s="2">
        <f>VLOOKUP([jobnumber],OvalData[],MATCH(Table2[[#Headers],[Torque Required Closed]],Table2[#Headers],0),0)</f>
        <v>3377.9</v>
      </c>
      <c r="W639" s="2">
        <f>VLOOKUP([jobnumber],OvalData[],MATCH(Table2[[#Headers],[Torque Required Open]],Table2[#Headers],0),0)</f>
        <v>892</v>
      </c>
      <c r="X639" s="2">
        <f>VLOOKUP([jobnumber],OvalData[],MATCH(Table2[[#Headers],[Pre Turns]],Table2[#Headers],0),0)</f>
        <v>1.3332999999999999</v>
      </c>
      <c r="Y639" s="2">
        <f>VLOOKUP([jobnumber],OvalData[],MATCH(Table2[[#Headers],[Required Torque Per Turn]],Table2[#Headers],0),0)</f>
        <v>688</v>
      </c>
      <c r="Z639" s="2">
        <f>VLOOKUP([jobnumber],OvalData[],MATCH(Table2[[#Headers],[Total Turns]],Table2[#Headers],0),0)</f>
        <v>4.91</v>
      </c>
      <c r="AA639" s="2">
        <f>VLOOKUP([jobnumber],OvalData[],MATCH(Table2[[#Headers],[Grille Vision Section]],Table2[#Headers],0),0)</f>
        <v>0</v>
      </c>
      <c r="AB639" s="2">
        <f>VLOOKUP([jobnumber],OvalData[],MATCH(Table2[[#Headers],[Grille Amount]],Table2[#Headers],0),0)</f>
        <v>0</v>
      </c>
      <c r="AC639" s="2">
        <f>VLOOKUP([jobnumber],OvalData[],MATCH(Table2[[#Headers],[Grille Center]],Table2[#Headers],0),0)</f>
        <v>0</v>
      </c>
      <c r="AD639" s="2">
        <f>VLOOKUP([jobnumber],OvalData[],MATCH(Table2[[#Headers],[Grille Pattern]],Table2[#Headers],0),0)</f>
        <v>0</v>
      </c>
      <c r="AE639" s="2">
        <f>VLOOKUP([jobnumber],OvalData[],MATCH(Table2[[#Headers],[Grille First Tube]],Table2[#Headers],0),0)</f>
        <v>0</v>
      </c>
      <c r="AF639" s="2">
        <f>VLOOKUP([jobnumber],OvalData[],MATCH(Table2[[#Headers],[Grille Standard Tube]],Table2[#Headers],0),0)</f>
        <v>0</v>
      </c>
      <c r="AG639" s="2">
        <f>VLOOKUP([jobnumber],OvalData[],MATCH(Table2[[#Headers],[Grille Total Links]],Table2[#Headers],0),0)</f>
        <v>0</v>
      </c>
      <c r="AH639" s="2">
        <f>VLOOKUP([jobnumber],OvalData[],MATCH(Table2[[#Headers],[Grille Rods]],Table2[#Headers],0),0)</f>
        <v>0</v>
      </c>
      <c r="AI639" s="2">
        <f>VLOOKUP([jobnumber],OvalData[],MATCH(Table2[[#Headers],[Grille Rod Length]],Table2[#Headers],0),0)</f>
        <v>0</v>
      </c>
      <c r="AJ639" s="2">
        <f>VLOOKUP([jobnumber],OvalData[],MATCH(Table2[[#Headers],[slattype]],Table2[#Headers],0),0)</f>
        <v>2</v>
      </c>
      <c r="AK639" s="2">
        <f>VLOOKUP([jobnumber],OvalData[],MATCH(Table2[[#Headers],[slatgage]],Table2[#Headers],0),0)</f>
        <v>18</v>
      </c>
      <c r="AL639" s="2">
        <f>VLOOKUP([jobnumber],OvalData[],MATCH(Table2[[#Headers],[Numer of Top Slats]],Table2[#Headers],0),0)</f>
        <v>0</v>
      </c>
      <c r="AM639" s="2">
        <f>VLOOKUP([jobnumber],OvalData[],MATCH(Table2[[#Headers],[Number of Bottom Slats]],Table2[#Headers],0),0)</f>
        <v>0</v>
      </c>
      <c r="AN639" s="2">
        <f>VLOOKUP([jobnumber],OvalData[],MATCH(Table2[[#Headers],[Solid Bottom Height]],Table2[#Headers],0),0)</f>
        <v>0</v>
      </c>
      <c r="AO639" s="2" t="str">
        <f>VLOOKUP([jobnumber],OvalData[],MATCH(Table2[[#Headers],[slatlength]],Table2[#Headers],0),0)</f>
        <v xml:space="preserve"> 18 ft.- 5 7/ 8"</v>
      </c>
      <c r="AP639" s="2">
        <f>VLOOKUP([jobnumber],OvalData[],MATCH(Table2[[#Headers],[Bottom Slat Length]],Table2[#Headers],0),0)</f>
        <v>0</v>
      </c>
      <c r="AQ639" s="2">
        <f>VLOOKUP([jobnumber],OvalData[],MATCH(Table2[[#Headers],[Number of Perferated Slats]],Table2[#Headers],0),0)</f>
        <v>0</v>
      </c>
      <c r="AR639" s="2">
        <f>VLOOKUP([jobnumber],OvalData[],MATCH(Table2[[#Headers],[First Preferated Slat From End]],Table2[#Headers],0),0)</f>
        <v>0</v>
      </c>
      <c r="AS639" s="2">
        <f>VLOOKUP([jobnumber],OvalData[],MATCH(Table2[[#Headers],[First Preferated Slat From Bottom]],Table2[#Headers],0),0)</f>
        <v>0</v>
      </c>
      <c r="AT639" s="2">
        <f>VLOOKUP([jobnumber],OvalData[],MATCH(Table2[[#Headers],[Total Number of Slats]],Table2[#Headers],0),0)</f>
        <v>51</v>
      </c>
      <c r="AU639" s="2">
        <f>VLOOKUP([jobnumber],OvalData[],MATCH(Table2[[#Headers],[Bottom Bar Slope]],Table2[#Headers],0),0)</f>
        <v>0</v>
      </c>
      <c r="AV639" s="2">
        <f>VLOOKUP([jobnumber],OvalData[],MATCH(Table2[[#Headers],[Bottom Bar Weight]],Table2[#Headers],0),0)</f>
        <v>80.5</v>
      </c>
      <c r="AW639" s="2" t="str">
        <f>VLOOKUP([jobnumber],OvalData[],MATCH(Table2[[#Headers],[Outer Spring Gage]],Table2[#Headers],0),0)</f>
        <v>Null</v>
      </c>
      <c r="AX639" s="2" t="str">
        <f>VLOOKUP([jobnumber],OvalData[],MATCH(Table2[[#Headers],[Outer Spring OD]],Table2[#Headers],0),0)</f>
        <v>Null</v>
      </c>
      <c r="AY639" s="2" t="str">
        <f>VLOOKUP([jobnumber],OvalData[],MATCH(Table2[[#Headers],[Outer Spring Length]],Table2[#Headers],0),0)</f>
        <v>Null</v>
      </c>
      <c r="AZ639" s="2" t="str">
        <f>VLOOKUP([jobnumber],OvalData[],MATCH(Table2[[#Headers],[Outer Spring Stretch]],Table2[#Headers],0),0)</f>
        <v>Null</v>
      </c>
      <c r="BA639" s="2" t="str">
        <f>VLOOKUP([jobnumber],OvalData[],MATCH(Table2[[#Headers],[Outer Spring Torque]],Table2[#Headers],0),0)</f>
        <v>Null</v>
      </c>
      <c r="BB639" s="2" t="str">
        <f>VLOOKUP([jobnumber],OvalData[],MATCH(Table2[[#Headers],[Outer Spring Max Turns]],Table2[#Headers],0),0)</f>
        <v>Null</v>
      </c>
      <c r="BC639" s="2" t="str">
        <f>VLOOKUP([jobnumber],OvalData[],MATCH(Table2[[#Headers],[Outer Spring Weight]],Table2[#Headers],0),0)</f>
        <v>Null</v>
      </c>
      <c r="BD639" s="2" t="str">
        <f>VLOOKUP([jobnumber],OvalData[],MATCH(Table2[[#Headers],[Inner Spring Gage]],Table2[#Headers],0),0)</f>
        <v>Null</v>
      </c>
      <c r="BE639" s="2" t="str">
        <f>VLOOKUP([jobnumber],OvalData[],MATCH(Table2[[#Headers],[Inner Spring OD]],Table2[#Headers],0),0)</f>
        <v>Null</v>
      </c>
      <c r="BF639" s="2" t="str">
        <f>VLOOKUP([jobnumber],OvalData[],MATCH(Table2[[#Headers],[Inner Spring Length]],Table2[#Headers],0),0)</f>
        <v>Null</v>
      </c>
      <c r="BG639" s="2" t="str">
        <f>VLOOKUP([jobnumber],OvalData[],MATCH(Table2[[#Headers],[Inner Spring Stretch]],Table2[#Headers],0),0)</f>
        <v>Null</v>
      </c>
      <c r="BH639" s="2" t="str">
        <f>VLOOKUP([jobnumber],OvalData[],MATCH(Table2[[#Headers],[Inner Spring Torque]],Table2[#Headers],0),0)</f>
        <v>Null</v>
      </c>
      <c r="BI639" s="2" t="str">
        <f>VLOOKUP([jobnumber],OvalData[],MATCH(Table2[[#Headers],[Inner Spring Max Turns]],Table2[#Headers],0),0)</f>
        <v>Null</v>
      </c>
      <c r="BJ639" s="2" t="str">
        <f>VLOOKUP([jobnumber],OvalData[],MATCH(Table2[[#Headers],[Inner Spring Weight]],Table2[#Headers],0),0)</f>
        <v>Null</v>
      </c>
      <c r="BK639" s="2">
        <f>VLOOKUP([jobnumber],OvalData[],MATCH(Table2[[#Headers],[Cycles]],Table2[#Headers],0),0)</f>
        <v>0</v>
      </c>
      <c r="BL639" s="2">
        <f>VLOOKUP([jobnumber],OvalData[],MATCH(Table2[[#Headers],[Total Spring Torque]],Table2[#Headers],0),0)</f>
        <v>0</v>
      </c>
      <c r="BM639" s="2">
        <f>VLOOKUP([jobnumber],OvalData[],MATCH(Table2[[#Headers],[Total Spring Weight]],Table2[#Headers],0),0)</f>
        <v>0</v>
      </c>
      <c r="BN639" s="2">
        <f>VLOOKUP([jobnumber],OvalData[],MATCH(Table2[[#Headers],[Pipe Weight]],Table2[#Headers],0),0)</f>
        <v>688.24239999999998</v>
      </c>
      <c r="BO639" s="2">
        <f>VLOOKUP([jobnumber],OvalData[],MATCH(Table2[[#Headers],[Max Pipe Deflection]],Table2[#Headers],0),0)</f>
        <v>2309</v>
      </c>
      <c r="BP639" s="2">
        <f>VLOOKUP([jobnumber],OvalData[],MATCH(Table2[[#Headers],[Number Non-Insulated Wrap Slats]],Table2[#Headers],0),0)</f>
        <v>0</v>
      </c>
      <c r="BQ639" s="2">
        <f>VLOOKUP([jobnumber],OvalData[],MATCH(Table2[[#Headers],[Number of Insolated Top Slats]],Table2[#Headers],0),0)</f>
        <v>45</v>
      </c>
      <c r="BR639" s="2">
        <f>VLOOKUP([jobnumber],OvalData[],MATCH(Table2[[#Headers],[Insolated Total Slats]],Table2[#Headers],0),0)</f>
        <v>45</v>
      </c>
      <c r="BS639" s="2">
        <f>VLOOKUP([jobnumber],OvalData[],MATCH(Table2[[#Headers],[Number of Slats]],Table2[#Headers],0),0)</f>
        <v>44.69</v>
      </c>
      <c r="BT639" s="2">
        <f>VLOOKUP([jobnumber],OvalData[],MATCH(Table2[[#Headers],[Wrap]],Table2[#Headers],0),0)</f>
        <v>0</v>
      </c>
      <c r="BU639" s="2">
        <f>VLOOKUP([jobnumber],OvalData[],MATCH(Table2[[#Headers],[Wall Angle Thickness]],Table2[#Headers],0),0)</f>
        <v>0</v>
      </c>
      <c r="BV639" s="2">
        <f>VLOOKUP([jobnumber],OvalData[],MATCH(Table2[[#Headers],[windlocks]],Table2[#Headers],0),0)</f>
        <v>0</v>
      </c>
      <c r="BW639" s="2" t="str">
        <f>VLOOKUP([jobnumber],OvalData[],MATCH(Table2[[#Headers],[bottombartype]],Table2[#Headers],0),0)</f>
        <v>SPECIAL</v>
      </c>
      <c r="BX639" s="2">
        <f>VLOOKUP([jobnumber],OvalData[],MATCH(Table2[[#Headers],[endlockweight]],Table2[#Headers],0),0)</f>
        <v>0.17</v>
      </c>
      <c r="BY639" s="2">
        <f>VLOOKUP([jobnumber],OvalData[],MATCH(Table2[[#Headers],[Endlock Total Weight]],Table2[#Headers],0),0)</f>
        <v>7.5972999999999997</v>
      </c>
      <c r="BZ639" s="2">
        <f>VLOOKUP([jobnumber],OvalData[],MATCH(Table2[[#Headers],[Grille Weight]],Table2[#Headers],0),0)</f>
        <v>0</v>
      </c>
      <c r="CA639" s="2">
        <f>VLOOKUP([jobnumber],OvalData[],MATCH(Table2[[#Headers],[barrelrings]],Table2[#Headers],0),0)</f>
        <v>1</v>
      </c>
    </row>
    <row r="640" spans="2:79">
      <c r="B640" s="2" t="str">
        <f>VLOOKUP([jobnumber],OvalData[],MATCH(Table2[[#Headers],[Hand]],Table2[#Headers],0),0)</f>
        <v>RH</v>
      </c>
      <c r="C640" s="2" t="str">
        <f>VLOOKUP([jobnumber],OvalData[],MATCH(Table2[[#Headers],[Model]],Table2[#Headers],0),0)</f>
        <v>SFMPP</v>
      </c>
      <c r="D640" s="2" t="str">
        <f>VLOOKUP([jobnumber],OvalData[],MATCH(Table2[[#Headers],[width]],Table2[#Headers],0),0)</f>
        <v xml:space="preserve"> 18 ft.- 2"</v>
      </c>
      <c r="E640" s="2" t="str">
        <f>VLOOKUP([jobnumber],OvalData[],MATCH(Table2[[#Headers],[stopheight]],Table2[#Headers],0),0)</f>
        <v xml:space="preserve"> 10 ft.- 0"</v>
      </c>
      <c r="F640" s="2" t="str">
        <f>VLOOKUP([jobnumber],OvalData[],MATCH(Table2[[#Headers],[Between Brackets]],Table2[#Headers],0),0)</f>
        <v xml:space="preserve"> 18 ft.- 7 7/ 8"</v>
      </c>
      <c r="G640" s="2" t="str">
        <f>VLOOKUP([jobnumber],OvalData[],MATCH(Table2[[#Headers],[shell]],Table2[#Headers],0),0)</f>
        <v>6 INCH TUBE</v>
      </c>
      <c r="H640" s="2" t="str">
        <f>VLOOKUP([jobnumber],OvalData[],MATCH(Table2[[#Headers],[pipewidth]],Table2[#Headers],0),0)</f>
        <v xml:space="preserve"> 18 ft.- 1 3/ 8"</v>
      </c>
      <c r="I640" s="2">
        <f>VLOOKUP([jobnumber],OvalData[],MATCH(Table2[[#Headers],[Support Tubes]],Table2[#Headers],0),0)</f>
        <v>0</v>
      </c>
      <c r="J640" s="2">
        <f>VLOOKUP([jobnumber],OvalData[],MATCH(Table2[[#Headers],[Upset]],Table2[#Headers],0),0)</f>
        <v>2</v>
      </c>
      <c r="K640" s="2" t="str">
        <f>VLOOKUP([jobnumber],OvalData[],MATCH(Table2[[#Headers],[Guide Type]],Table2[#Headers],0),0)</f>
        <v>SN2-4 5/8-E</v>
      </c>
      <c r="L640" s="2" t="str">
        <f>VLOOKUP([jobnumber],OvalData[],MATCH(Table2[[#Headers],[Wall Angle]],Table2[#Headers],0),0)</f>
        <v xml:space="preserve"> 11 ft.- 8"</v>
      </c>
      <c r="M640" s="2" t="str">
        <f>VLOOKUP([jobnumber],OvalData[],MATCH(Table2[[#Headers],[Middle Angle]],Table2[#Headers],0),0)</f>
        <v xml:space="preserve"> 10 ft.- 4 1/ 2"</v>
      </c>
      <c r="N640" s="2" t="str">
        <f>VLOOKUP([jobnumber],OvalData[],MATCH(Table2[[#Headers],[Front Angle]],Table2[#Headers],0),0)</f>
        <v xml:space="preserve"> 10 ft.- 3"</v>
      </c>
      <c r="O640" s="2">
        <f>VLOOKUP([jobnumber],OvalData[],MATCH(Table2[[#Headers],[Pipe Center Line]],Table2[#Headers],0),0)</f>
        <v>131</v>
      </c>
      <c r="P640" s="2">
        <f>VLOOKUP([jobnumber],OvalData[],MATCH(Table2[[#Headers],[Heat Expansion Gap]],Table2[#Headers],0),0)</f>
        <v>0</v>
      </c>
      <c r="Q640" s="2">
        <f>VLOOKUP([jobnumber],OvalData[],MATCH(Table2[[#Headers],[Hanging Weight Closed]],Table2[#Headers],0),0)</f>
        <v>795</v>
      </c>
      <c r="R640" s="2">
        <f>VLOOKUP([jobnumber],OvalData[],MATCH(Table2[[#Headers],[Hanging Weight Open]],Table2[#Headers],0),0)</f>
        <v>140</v>
      </c>
      <c r="S640" s="2">
        <f>VLOOKUP([jobnumber],OvalData[],MATCH(Table2[[#Headers],[Initial Lever Arm]],Table2[#Headers],0),0)</f>
        <v>4.25</v>
      </c>
      <c r="T640" s="2">
        <f>VLOOKUP([jobnumber],OvalData[],MATCH(Table2[[#Headers],[Turns to Raise]],Table2[#Headers],0),0)</f>
        <v>3.5859999999999999</v>
      </c>
      <c r="U640" s="2">
        <f>VLOOKUP([jobnumber],OvalData[],MATCH(Table2[[#Headers],[Final Lever Arm]],Table2[#Headers],0),0)</f>
        <v>6.37</v>
      </c>
      <c r="V640" s="2">
        <f>VLOOKUP([jobnumber],OvalData[],MATCH(Table2[[#Headers],[Torque Required Closed]],Table2[#Headers],0),0)</f>
        <v>3377.9</v>
      </c>
      <c r="W640" s="2">
        <f>VLOOKUP([jobnumber],OvalData[],MATCH(Table2[[#Headers],[Torque Required Open]],Table2[#Headers],0),0)</f>
        <v>892</v>
      </c>
      <c r="X640" s="2">
        <f>VLOOKUP([jobnumber],OvalData[],MATCH(Table2[[#Headers],[Pre Turns]],Table2[#Headers],0),0)</f>
        <v>1.3332999999999999</v>
      </c>
      <c r="Y640" s="2">
        <f>VLOOKUP([jobnumber],OvalData[],MATCH(Table2[[#Headers],[Required Torque Per Turn]],Table2[#Headers],0),0)</f>
        <v>688</v>
      </c>
      <c r="Z640" s="2">
        <f>VLOOKUP([jobnumber],OvalData[],MATCH(Table2[[#Headers],[Total Turns]],Table2[#Headers],0),0)</f>
        <v>4.91</v>
      </c>
      <c r="AA640" s="2">
        <f>VLOOKUP([jobnumber],OvalData[],MATCH(Table2[[#Headers],[Grille Vision Section]],Table2[#Headers],0),0)</f>
        <v>0</v>
      </c>
      <c r="AB640" s="2">
        <f>VLOOKUP([jobnumber],OvalData[],MATCH(Table2[[#Headers],[Grille Amount]],Table2[#Headers],0),0)</f>
        <v>0</v>
      </c>
      <c r="AC640" s="2">
        <f>VLOOKUP([jobnumber],OvalData[],MATCH(Table2[[#Headers],[Grille Center]],Table2[#Headers],0),0)</f>
        <v>0</v>
      </c>
      <c r="AD640" s="2">
        <f>VLOOKUP([jobnumber],OvalData[],MATCH(Table2[[#Headers],[Grille Pattern]],Table2[#Headers],0),0)</f>
        <v>0</v>
      </c>
      <c r="AE640" s="2">
        <f>VLOOKUP([jobnumber],OvalData[],MATCH(Table2[[#Headers],[Grille First Tube]],Table2[#Headers],0),0)</f>
        <v>0</v>
      </c>
      <c r="AF640" s="2">
        <f>VLOOKUP([jobnumber],OvalData[],MATCH(Table2[[#Headers],[Grille Standard Tube]],Table2[#Headers],0),0)</f>
        <v>0</v>
      </c>
      <c r="AG640" s="2">
        <f>VLOOKUP([jobnumber],OvalData[],MATCH(Table2[[#Headers],[Grille Total Links]],Table2[#Headers],0),0)</f>
        <v>0</v>
      </c>
      <c r="AH640" s="2">
        <f>VLOOKUP([jobnumber],OvalData[],MATCH(Table2[[#Headers],[Grille Rods]],Table2[#Headers],0),0)</f>
        <v>0</v>
      </c>
      <c r="AI640" s="2">
        <f>VLOOKUP([jobnumber],OvalData[],MATCH(Table2[[#Headers],[Grille Rod Length]],Table2[#Headers],0),0)</f>
        <v>0</v>
      </c>
      <c r="AJ640" s="2">
        <f>VLOOKUP([jobnumber],OvalData[],MATCH(Table2[[#Headers],[slattype]],Table2[#Headers],0),0)</f>
        <v>2</v>
      </c>
      <c r="AK640" s="2">
        <f>VLOOKUP([jobnumber],OvalData[],MATCH(Table2[[#Headers],[slatgage]],Table2[#Headers],0),0)</f>
        <v>18</v>
      </c>
      <c r="AL640" s="2">
        <f>VLOOKUP([jobnumber],OvalData[],MATCH(Table2[[#Headers],[Numer of Top Slats]],Table2[#Headers],0),0)</f>
        <v>0</v>
      </c>
      <c r="AM640" s="2">
        <f>VLOOKUP([jobnumber],OvalData[],MATCH(Table2[[#Headers],[Number of Bottom Slats]],Table2[#Headers],0),0)</f>
        <v>0</v>
      </c>
      <c r="AN640" s="2">
        <f>VLOOKUP([jobnumber],OvalData[],MATCH(Table2[[#Headers],[Solid Bottom Height]],Table2[#Headers],0),0)</f>
        <v>0</v>
      </c>
      <c r="AO640" s="2" t="str">
        <f>VLOOKUP([jobnumber],OvalData[],MATCH(Table2[[#Headers],[slatlength]],Table2[#Headers],0),0)</f>
        <v xml:space="preserve"> 18 ft.- 5 7/ 8"</v>
      </c>
      <c r="AP640" s="2">
        <f>VLOOKUP([jobnumber],OvalData[],MATCH(Table2[[#Headers],[Bottom Slat Length]],Table2[#Headers],0),0)</f>
        <v>0</v>
      </c>
      <c r="AQ640" s="2">
        <f>VLOOKUP([jobnumber],OvalData[],MATCH(Table2[[#Headers],[Number of Perferated Slats]],Table2[#Headers],0),0)</f>
        <v>0</v>
      </c>
      <c r="AR640" s="2">
        <f>VLOOKUP([jobnumber],OvalData[],MATCH(Table2[[#Headers],[First Preferated Slat From End]],Table2[#Headers],0),0)</f>
        <v>0</v>
      </c>
      <c r="AS640" s="2">
        <f>VLOOKUP([jobnumber],OvalData[],MATCH(Table2[[#Headers],[First Preferated Slat From Bottom]],Table2[#Headers],0),0)</f>
        <v>0</v>
      </c>
      <c r="AT640" s="2">
        <f>VLOOKUP([jobnumber],OvalData[],MATCH(Table2[[#Headers],[Total Number of Slats]],Table2[#Headers],0),0)</f>
        <v>51</v>
      </c>
      <c r="AU640" s="2">
        <f>VLOOKUP([jobnumber],OvalData[],MATCH(Table2[[#Headers],[Bottom Bar Slope]],Table2[#Headers],0),0)</f>
        <v>0</v>
      </c>
      <c r="AV640" s="2">
        <f>VLOOKUP([jobnumber],OvalData[],MATCH(Table2[[#Headers],[Bottom Bar Weight]],Table2[#Headers],0),0)</f>
        <v>80.5</v>
      </c>
      <c r="AW640" s="2" t="str">
        <f>VLOOKUP([jobnumber],OvalData[],MATCH(Table2[[#Headers],[Outer Spring Gage]],Table2[#Headers],0),0)</f>
        <v>Null</v>
      </c>
      <c r="AX640" s="2" t="str">
        <f>VLOOKUP([jobnumber],OvalData[],MATCH(Table2[[#Headers],[Outer Spring OD]],Table2[#Headers],0),0)</f>
        <v>Null</v>
      </c>
      <c r="AY640" s="2" t="str">
        <f>VLOOKUP([jobnumber],OvalData[],MATCH(Table2[[#Headers],[Outer Spring Length]],Table2[#Headers],0),0)</f>
        <v>Null</v>
      </c>
      <c r="AZ640" s="2" t="str">
        <f>VLOOKUP([jobnumber],OvalData[],MATCH(Table2[[#Headers],[Outer Spring Stretch]],Table2[#Headers],0),0)</f>
        <v>Null</v>
      </c>
      <c r="BA640" s="2" t="str">
        <f>VLOOKUP([jobnumber],OvalData[],MATCH(Table2[[#Headers],[Outer Spring Torque]],Table2[#Headers],0),0)</f>
        <v>Null</v>
      </c>
      <c r="BB640" s="2" t="str">
        <f>VLOOKUP([jobnumber],OvalData[],MATCH(Table2[[#Headers],[Outer Spring Max Turns]],Table2[#Headers],0),0)</f>
        <v>Null</v>
      </c>
      <c r="BC640" s="2" t="str">
        <f>VLOOKUP([jobnumber],OvalData[],MATCH(Table2[[#Headers],[Outer Spring Weight]],Table2[#Headers],0),0)</f>
        <v>Null</v>
      </c>
      <c r="BD640" s="2" t="str">
        <f>VLOOKUP([jobnumber],OvalData[],MATCH(Table2[[#Headers],[Inner Spring Gage]],Table2[#Headers],0),0)</f>
        <v>Null</v>
      </c>
      <c r="BE640" s="2" t="str">
        <f>VLOOKUP([jobnumber],OvalData[],MATCH(Table2[[#Headers],[Inner Spring OD]],Table2[#Headers],0),0)</f>
        <v>Null</v>
      </c>
      <c r="BF640" s="2" t="str">
        <f>VLOOKUP([jobnumber],OvalData[],MATCH(Table2[[#Headers],[Inner Spring Length]],Table2[#Headers],0),0)</f>
        <v>Null</v>
      </c>
      <c r="BG640" s="2" t="str">
        <f>VLOOKUP([jobnumber],OvalData[],MATCH(Table2[[#Headers],[Inner Spring Stretch]],Table2[#Headers],0),0)</f>
        <v>Null</v>
      </c>
      <c r="BH640" s="2" t="str">
        <f>VLOOKUP([jobnumber],OvalData[],MATCH(Table2[[#Headers],[Inner Spring Torque]],Table2[#Headers],0),0)</f>
        <v>Null</v>
      </c>
      <c r="BI640" s="2" t="str">
        <f>VLOOKUP([jobnumber],OvalData[],MATCH(Table2[[#Headers],[Inner Spring Max Turns]],Table2[#Headers],0),0)</f>
        <v>Null</v>
      </c>
      <c r="BJ640" s="2" t="str">
        <f>VLOOKUP([jobnumber],OvalData[],MATCH(Table2[[#Headers],[Inner Spring Weight]],Table2[#Headers],0),0)</f>
        <v>Null</v>
      </c>
      <c r="BK640" s="2">
        <f>VLOOKUP([jobnumber],OvalData[],MATCH(Table2[[#Headers],[Cycles]],Table2[#Headers],0),0)</f>
        <v>0</v>
      </c>
      <c r="BL640" s="2">
        <f>VLOOKUP([jobnumber],OvalData[],MATCH(Table2[[#Headers],[Total Spring Torque]],Table2[#Headers],0),0)</f>
        <v>0</v>
      </c>
      <c r="BM640" s="2">
        <f>VLOOKUP([jobnumber],OvalData[],MATCH(Table2[[#Headers],[Total Spring Weight]],Table2[#Headers],0),0)</f>
        <v>0</v>
      </c>
      <c r="BN640" s="2">
        <f>VLOOKUP([jobnumber],OvalData[],MATCH(Table2[[#Headers],[Pipe Weight]],Table2[#Headers],0),0)</f>
        <v>688.24239999999998</v>
      </c>
      <c r="BO640" s="2">
        <f>VLOOKUP([jobnumber],OvalData[],MATCH(Table2[[#Headers],[Max Pipe Deflection]],Table2[#Headers],0),0)</f>
        <v>2309</v>
      </c>
      <c r="BP640" s="2">
        <f>VLOOKUP([jobnumber],OvalData[],MATCH(Table2[[#Headers],[Number Non-Insulated Wrap Slats]],Table2[#Headers],0),0)</f>
        <v>0</v>
      </c>
      <c r="BQ640" s="2">
        <f>VLOOKUP([jobnumber],OvalData[],MATCH(Table2[[#Headers],[Number of Insolated Top Slats]],Table2[#Headers],0),0)</f>
        <v>45</v>
      </c>
      <c r="BR640" s="2">
        <f>VLOOKUP([jobnumber],OvalData[],MATCH(Table2[[#Headers],[Insolated Total Slats]],Table2[#Headers],0),0)</f>
        <v>45</v>
      </c>
      <c r="BS640" s="2">
        <f>VLOOKUP([jobnumber],OvalData[],MATCH(Table2[[#Headers],[Number of Slats]],Table2[#Headers],0),0)</f>
        <v>44.69</v>
      </c>
      <c r="BT640" s="2">
        <f>VLOOKUP([jobnumber],OvalData[],MATCH(Table2[[#Headers],[Wrap]],Table2[#Headers],0),0)</f>
        <v>0</v>
      </c>
      <c r="BU640" s="2">
        <f>VLOOKUP([jobnumber],OvalData[],MATCH(Table2[[#Headers],[Wall Angle Thickness]],Table2[#Headers],0),0)</f>
        <v>0</v>
      </c>
      <c r="BV640" s="2">
        <f>VLOOKUP([jobnumber],OvalData[],MATCH(Table2[[#Headers],[windlocks]],Table2[#Headers],0),0)</f>
        <v>0</v>
      </c>
      <c r="BW640" s="2" t="str">
        <f>VLOOKUP([jobnumber],OvalData[],MATCH(Table2[[#Headers],[bottombartype]],Table2[#Headers],0),0)</f>
        <v>SPECIAL</v>
      </c>
      <c r="BX640" s="2">
        <f>VLOOKUP([jobnumber],OvalData[],MATCH(Table2[[#Headers],[endlockweight]],Table2[#Headers],0),0)</f>
        <v>0.17</v>
      </c>
      <c r="BY640" s="2">
        <f>VLOOKUP([jobnumber],OvalData[],MATCH(Table2[[#Headers],[Endlock Total Weight]],Table2[#Headers],0),0)</f>
        <v>7.5972999999999997</v>
      </c>
      <c r="BZ640" s="2">
        <f>VLOOKUP([jobnumber],OvalData[],MATCH(Table2[[#Headers],[Grille Weight]],Table2[#Headers],0),0)</f>
        <v>0</v>
      </c>
      <c r="CA640" s="2">
        <f>VLOOKUP([jobnumber],OvalData[],MATCH(Table2[[#Headers],[barrelrings]],Table2[#Headers],0),0)</f>
        <v>1</v>
      </c>
    </row>
    <row r="641" spans="2:79">
      <c r="B641" s="2" t="str">
        <f>VLOOKUP([jobnumber],OvalData[],MATCH(Table2[[#Headers],[Hand]],Table2[#Headers],0),0)</f>
        <v>RH</v>
      </c>
      <c r="C641" s="2" t="str">
        <f>VLOOKUP([jobnumber],OvalData[],MATCH(Table2[[#Headers],[Model]],Table2[#Headers],0),0)</f>
        <v>SFMPP</v>
      </c>
      <c r="D641" s="2" t="str">
        <f>VLOOKUP([jobnumber],OvalData[],MATCH(Table2[[#Headers],[width]],Table2[#Headers],0),0)</f>
        <v xml:space="preserve"> 18 ft.- 2"</v>
      </c>
      <c r="E641" s="2" t="str">
        <f>VLOOKUP([jobnumber],OvalData[],MATCH(Table2[[#Headers],[stopheight]],Table2[#Headers],0),0)</f>
        <v xml:space="preserve"> 10 ft.- 0"</v>
      </c>
      <c r="F641" s="2" t="str">
        <f>VLOOKUP([jobnumber],OvalData[],MATCH(Table2[[#Headers],[Between Brackets]],Table2[#Headers],0),0)</f>
        <v xml:space="preserve"> 18 ft.- 7 7/ 8"</v>
      </c>
      <c r="G641" s="2" t="str">
        <f>VLOOKUP([jobnumber],OvalData[],MATCH(Table2[[#Headers],[shell]],Table2[#Headers],0),0)</f>
        <v>6 INCH TUBE</v>
      </c>
      <c r="H641" s="2" t="str">
        <f>VLOOKUP([jobnumber],OvalData[],MATCH(Table2[[#Headers],[pipewidth]],Table2[#Headers],0),0)</f>
        <v xml:space="preserve"> 18 ft.- 1 3/ 8"</v>
      </c>
      <c r="I641" s="2">
        <f>VLOOKUP([jobnumber],OvalData[],MATCH(Table2[[#Headers],[Support Tubes]],Table2[#Headers],0),0)</f>
        <v>0</v>
      </c>
      <c r="J641" s="2">
        <f>VLOOKUP([jobnumber],OvalData[],MATCH(Table2[[#Headers],[Upset]],Table2[#Headers],0),0)</f>
        <v>2</v>
      </c>
      <c r="K641" s="2" t="str">
        <f>VLOOKUP([jobnumber],OvalData[],MATCH(Table2[[#Headers],[Guide Type]],Table2[#Headers],0),0)</f>
        <v>SN2-4 5/8-E</v>
      </c>
      <c r="L641" s="2" t="str">
        <f>VLOOKUP([jobnumber],OvalData[],MATCH(Table2[[#Headers],[Wall Angle]],Table2[#Headers],0),0)</f>
        <v xml:space="preserve"> 11 ft.- 8"</v>
      </c>
      <c r="M641" s="2" t="str">
        <f>VLOOKUP([jobnumber],OvalData[],MATCH(Table2[[#Headers],[Middle Angle]],Table2[#Headers],0),0)</f>
        <v xml:space="preserve"> 10 ft.- 4 1/ 2"</v>
      </c>
      <c r="N641" s="2" t="str">
        <f>VLOOKUP([jobnumber],OvalData[],MATCH(Table2[[#Headers],[Front Angle]],Table2[#Headers],0),0)</f>
        <v xml:space="preserve"> 10 ft.- 3"</v>
      </c>
      <c r="O641" s="2">
        <f>VLOOKUP([jobnumber],OvalData[],MATCH(Table2[[#Headers],[Pipe Center Line]],Table2[#Headers],0),0)</f>
        <v>131</v>
      </c>
      <c r="P641" s="2">
        <f>VLOOKUP([jobnumber],OvalData[],MATCH(Table2[[#Headers],[Heat Expansion Gap]],Table2[#Headers],0),0)</f>
        <v>0</v>
      </c>
      <c r="Q641" s="2">
        <f>VLOOKUP([jobnumber],OvalData[],MATCH(Table2[[#Headers],[Hanging Weight Closed]],Table2[#Headers],0),0)</f>
        <v>795</v>
      </c>
      <c r="R641" s="2">
        <f>VLOOKUP([jobnumber],OvalData[],MATCH(Table2[[#Headers],[Hanging Weight Open]],Table2[#Headers],0),0)</f>
        <v>140</v>
      </c>
      <c r="S641" s="2">
        <f>VLOOKUP([jobnumber],OvalData[],MATCH(Table2[[#Headers],[Initial Lever Arm]],Table2[#Headers],0),0)</f>
        <v>4.25</v>
      </c>
      <c r="T641" s="2">
        <f>VLOOKUP([jobnumber],OvalData[],MATCH(Table2[[#Headers],[Turns to Raise]],Table2[#Headers],0),0)</f>
        <v>3.5859999999999999</v>
      </c>
      <c r="U641" s="2">
        <f>VLOOKUP([jobnumber],OvalData[],MATCH(Table2[[#Headers],[Final Lever Arm]],Table2[#Headers],0),0)</f>
        <v>6.37</v>
      </c>
      <c r="V641" s="2">
        <f>VLOOKUP([jobnumber],OvalData[],MATCH(Table2[[#Headers],[Torque Required Closed]],Table2[#Headers],0),0)</f>
        <v>3377.9</v>
      </c>
      <c r="W641" s="2">
        <f>VLOOKUP([jobnumber],OvalData[],MATCH(Table2[[#Headers],[Torque Required Open]],Table2[#Headers],0),0)</f>
        <v>892</v>
      </c>
      <c r="X641" s="2">
        <f>VLOOKUP([jobnumber],OvalData[],MATCH(Table2[[#Headers],[Pre Turns]],Table2[#Headers],0),0)</f>
        <v>1.3332999999999999</v>
      </c>
      <c r="Y641" s="2">
        <f>VLOOKUP([jobnumber],OvalData[],MATCH(Table2[[#Headers],[Required Torque Per Turn]],Table2[#Headers],0),0)</f>
        <v>688</v>
      </c>
      <c r="Z641" s="2">
        <f>VLOOKUP([jobnumber],OvalData[],MATCH(Table2[[#Headers],[Total Turns]],Table2[#Headers],0),0)</f>
        <v>4.91</v>
      </c>
      <c r="AA641" s="2">
        <f>VLOOKUP([jobnumber],OvalData[],MATCH(Table2[[#Headers],[Grille Vision Section]],Table2[#Headers],0),0)</f>
        <v>0</v>
      </c>
      <c r="AB641" s="2">
        <f>VLOOKUP([jobnumber],OvalData[],MATCH(Table2[[#Headers],[Grille Amount]],Table2[#Headers],0),0)</f>
        <v>0</v>
      </c>
      <c r="AC641" s="2">
        <f>VLOOKUP([jobnumber],OvalData[],MATCH(Table2[[#Headers],[Grille Center]],Table2[#Headers],0),0)</f>
        <v>0</v>
      </c>
      <c r="AD641" s="2">
        <f>VLOOKUP([jobnumber],OvalData[],MATCH(Table2[[#Headers],[Grille Pattern]],Table2[#Headers],0),0)</f>
        <v>0</v>
      </c>
      <c r="AE641" s="2">
        <f>VLOOKUP([jobnumber],OvalData[],MATCH(Table2[[#Headers],[Grille First Tube]],Table2[#Headers],0),0)</f>
        <v>0</v>
      </c>
      <c r="AF641" s="2">
        <f>VLOOKUP([jobnumber],OvalData[],MATCH(Table2[[#Headers],[Grille Standard Tube]],Table2[#Headers],0),0)</f>
        <v>0</v>
      </c>
      <c r="AG641" s="2">
        <f>VLOOKUP([jobnumber],OvalData[],MATCH(Table2[[#Headers],[Grille Total Links]],Table2[#Headers],0),0)</f>
        <v>0</v>
      </c>
      <c r="AH641" s="2">
        <f>VLOOKUP([jobnumber],OvalData[],MATCH(Table2[[#Headers],[Grille Rods]],Table2[#Headers],0),0)</f>
        <v>0</v>
      </c>
      <c r="AI641" s="2">
        <f>VLOOKUP([jobnumber],OvalData[],MATCH(Table2[[#Headers],[Grille Rod Length]],Table2[#Headers],0),0)</f>
        <v>0</v>
      </c>
      <c r="AJ641" s="2">
        <f>VLOOKUP([jobnumber],OvalData[],MATCH(Table2[[#Headers],[slattype]],Table2[#Headers],0),0)</f>
        <v>2</v>
      </c>
      <c r="AK641" s="2">
        <f>VLOOKUP([jobnumber],OvalData[],MATCH(Table2[[#Headers],[slatgage]],Table2[#Headers],0),0)</f>
        <v>18</v>
      </c>
      <c r="AL641" s="2">
        <f>VLOOKUP([jobnumber],OvalData[],MATCH(Table2[[#Headers],[Numer of Top Slats]],Table2[#Headers],0),0)</f>
        <v>0</v>
      </c>
      <c r="AM641" s="2">
        <f>VLOOKUP([jobnumber],OvalData[],MATCH(Table2[[#Headers],[Number of Bottom Slats]],Table2[#Headers],0),0)</f>
        <v>0</v>
      </c>
      <c r="AN641" s="2">
        <f>VLOOKUP([jobnumber],OvalData[],MATCH(Table2[[#Headers],[Solid Bottom Height]],Table2[#Headers],0),0)</f>
        <v>0</v>
      </c>
      <c r="AO641" s="2" t="str">
        <f>VLOOKUP([jobnumber],OvalData[],MATCH(Table2[[#Headers],[slatlength]],Table2[#Headers],0),0)</f>
        <v xml:space="preserve"> 18 ft.- 5 7/ 8"</v>
      </c>
      <c r="AP641" s="2">
        <f>VLOOKUP([jobnumber],OvalData[],MATCH(Table2[[#Headers],[Bottom Slat Length]],Table2[#Headers],0),0)</f>
        <v>0</v>
      </c>
      <c r="AQ641" s="2">
        <f>VLOOKUP([jobnumber],OvalData[],MATCH(Table2[[#Headers],[Number of Perferated Slats]],Table2[#Headers],0),0)</f>
        <v>0</v>
      </c>
      <c r="AR641" s="2">
        <f>VLOOKUP([jobnumber],OvalData[],MATCH(Table2[[#Headers],[First Preferated Slat From End]],Table2[#Headers],0),0)</f>
        <v>0</v>
      </c>
      <c r="AS641" s="2">
        <f>VLOOKUP([jobnumber],OvalData[],MATCH(Table2[[#Headers],[First Preferated Slat From Bottom]],Table2[#Headers],0),0)</f>
        <v>0</v>
      </c>
      <c r="AT641" s="2">
        <f>VLOOKUP([jobnumber],OvalData[],MATCH(Table2[[#Headers],[Total Number of Slats]],Table2[#Headers],0),0)</f>
        <v>51</v>
      </c>
      <c r="AU641" s="2">
        <f>VLOOKUP([jobnumber],OvalData[],MATCH(Table2[[#Headers],[Bottom Bar Slope]],Table2[#Headers],0),0)</f>
        <v>0</v>
      </c>
      <c r="AV641" s="2">
        <f>VLOOKUP([jobnumber],OvalData[],MATCH(Table2[[#Headers],[Bottom Bar Weight]],Table2[#Headers],0),0)</f>
        <v>80.5</v>
      </c>
      <c r="AW641" s="2" t="str">
        <f>VLOOKUP([jobnumber],OvalData[],MATCH(Table2[[#Headers],[Outer Spring Gage]],Table2[#Headers],0),0)</f>
        <v>Null</v>
      </c>
      <c r="AX641" s="2" t="str">
        <f>VLOOKUP([jobnumber],OvalData[],MATCH(Table2[[#Headers],[Outer Spring OD]],Table2[#Headers],0),0)</f>
        <v>Null</v>
      </c>
      <c r="AY641" s="2" t="str">
        <f>VLOOKUP([jobnumber],OvalData[],MATCH(Table2[[#Headers],[Outer Spring Length]],Table2[#Headers],0),0)</f>
        <v>Null</v>
      </c>
      <c r="AZ641" s="2" t="str">
        <f>VLOOKUP([jobnumber],OvalData[],MATCH(Table2[[#Headers],[Outer Spring Stretch]],Table2[#Headers],0),0)</f>
        <v>Null</v>
      </c>
      <c r="BA641" s="2" t="str">
        <f>VLOOKUP([jobnumber],OvalData[],MATCH(Table2[[#Headers],[Outer Spring Torque]],Table2[#Headers],0),0)</f>
        <v>Null</v>
      </c>
      <c r="BB641" s="2" t="str">
        <f>VLOOKUP([jobnumber],OvalData[],MATCH(Table2[[#Headers],[Outer Spring Max Turns]],Table2[#Headers],0),0)</f>
        <v>Null</v>
      </c>
      <c r="BC641" s="2" t="str">
        <f>VLOOKUP([jobnumber],OvalData[],MATCH(Table2[[#Headers],[Outer Spring Weight]],Table2[#Headers],0),0)</f>
        <v>Null</v>
      </c>
      <c r="BD641" s="2" t="str">
        <f>VLOOKUP([jobnumber],OvalData[],MATCH(Table2[[#Headers],[Inner Spring Gage]],Table2[#Headers],0),0)</f>
        <v>Null</v>
      </c>
      <c r="BE641" s="2" t="str">
        <f>VLOOKUP([jobnumber],OvalData[],MATCH(Table2[[#Headers],[Inner Spring OD]],Table2[#Headers],0),0)</f>
        <v>Null</v>
      </c>
      <c r="BF641" s="2" t="str">
        <f>VLOOKUP([jobnumber],OvalData[],MATCH(Table2[[#Headers],[Inner Spring Length]],Table2[#Headers],0),0)</f>
        <v>Null</v>
      </c>
      <c r="BG641" s="2" t="str">
        <f>VLOOKUP([jobnumber],OvalData[],MATCH(Table2[[#Headers],[Inner Spring Stretch]],Table2[#Headers],0),0)</f>
        <v>Null</v>
      </c>
      <c r="BH641" s="2" t="str">
        <f>VLOOKUP([jobnumber],OvalData[],MATCH(Table2[[#Headers],[Inner Spring Torque]],Table2[#Headers],0),0)</f>
        <v>Null</v>
      </c>
      <c r="BI641" s="2" t="str">
        <f>VLOOKUP([jobnumber],OvalData[],MATCH(Table2[[#Headers],[Inner Spring Max Turns]],Table2[#Headers],0),0)</f>
        <v>Null</v>
      </c>
      <c r="BJ641" s="2" t="str">
        <f>VLOOKUP([jobnumber],OvalData[],MATCH(Table2[[#Headers],[Inner Spring Weight]],Table2[#Headers],0),0)</f>
        <v>Null</v>
      </c>
      <c r="BK641" s="2">
        <f>VLOOKUP([jobnumber],OvalData[],MATCH(Table2[[#Headers],[Cycles]],Table2[#Headers],0),0)</f>
        <v>0</v>
      </c>
      <c r="BL641" s="2">
        <f>VLOOKUP([jobnumber],OvalData[],MATCH(Table2[[#Headers],[Total Spring Torque]],Table2[#Headers],0),0)</f>
        <v>0</v>
      </c>
      <c r="BM641" s="2">
        <f>VLOOKUP([jobnumber],OvalData[],MATCH(Table2[[#Headers],[Total Spring Weight]],Table2[#Headers],0),0)</f>
        <v>0</v>
      </c>
      <c r="BN641" s="2">
        <f>VLOOKUP([jobnumber],OvalData[],MATCH(Table2[[#Headers],[Pipe Weight]],Table2[#Headers],0),0)</f>
        <v>688.24239999999998</v>
      </c>
      <c r="BO641" s="2">
        <f>VLOOKUP([jobnumber],OvalData[],MATCH(Table2[[#Headers],[Max Pipe Deflection]],Table2[#Headers],0),0)</f>
        <v>2309</v>
      </c>
      <c r="BP641" s="2">
        <f>VLOOKUP([jobnumber],OvalData[],MATCH(Table2[[#Headers],[Number Non-Insulated Wrap Slats]],Table2[#Headers],0),0)</f>
        <v>0</v>
      </c>
      <c r="BQ641" s="2">
        <f>VLOOKUP([jobnumber],OvalData[],MATCH(Table2[[#Headers],[Number of Insolated Top Slats]],Table2[#Headers],0),0)</f>
        <v>45</v>
      </c>
      <c r="BR641" s="2">
        <f>VLOOKUP([jobnumber],OvalData[],MATCH(Table2[[#Headers],[Insolated Total Slats]],Table2[#Headers],0),0)</f>
        <v>45</v>
      </c>
      <c r="BS641" s="2">
        <f>VLOOKUP([jobnumber],OvalData[],MATCH(Table2[[#Headers],[Number of Slats]],Table2[#Headers],0),0)</f>
        <v>44.69</v>
      </c>
      <c r="BT641" s="2">
        <f>VLOOKUP([jobnumber],OvalData[],MATCH(Table2[[#Headers],[Wrap]],Table2[#Headers],0),0)</f>
        <v>0</v>
      </c>
      <c r="BU641" s="2">
        <f>VLOOKUP([jobnumber],OvalData[],MATCH(Table2[[#Headers],[Wall Angle Thickness]],Table2[#Headers],0),0)</f>
        <v>0</v>
      </c>
      <c r="BV641" s="2">
        <f>VLOOKUP([jobnumber],OvalData[],MATCH(Table2[[#Headers],[windlocks]],Table2[#Headers],0),0)</f>
        <v>0</v>
      </c>
      <c r="BW641" s="2" t="str">
        <f>VLOOKUP([jobnumber],OvalData[],MATCH(Table2[[#Headers],[bottombartype]],Table2[#Headers],0),0)</f>
        <v>SPECIAL</v>
      </c>
      <c r="BX641" s="2">
        <f>VLOOKUP([jobnumber],OvalData[],MATCH(Table2[[#Headers],[endlockweight]],Table2[#Headers],0),0)</f>
        <v>0.17</v>
      </c>
      <c r="BY641" s="2">
        <f>VLOOKUP([jobnumber],OvalData[],MATCH(Table2[[#Headers],[Endlock Total Weight]],Table2[#Headers],0),0)</f>
        <v>7.5972999999999997</v>
      </c>
      <c r="BZ641" s="2">
        <f>VLOOKUP([jobnumber],OvalData[],MATCH(Table2[[#Headers],[Grille Weight]],Table2[#Headers],0),0)</f>
        <v>0</v>
      </c>
      <c r="CA641" s="2">
        <f>VLOOKUP([jobnumber],OvalData[],MATCH(Table2[[#Headers],[barrelrings]],Table2[#Headers],0),0)</f>
        <v>1</v>
      </c>
    </row>
    <row r="642" spans="2:79">
      <c r="B642" s="2" t="str">
        <f>VLOOKUP([jobnumber],OvalData[],MATCH(Table2[[#Headers],[Hand]],Table2[#Headers],0),0)</f>
        <v>RH</v>
      </c>
      <c r="C642" s="2" t="str">
        <f>VLOOKUP([jobnumber],OvalData[],MATCH(Table2[[#Headers],[Model]],Table2[#Headers],0),0)</f>
        <v>SFMPP</v>
      </c>
      <c r="D642" s="2" t="str">
        <f>VLOOKUP([jobnumber],OvalData[],MATCH(Table2[[#Headers],[width]],Table2[#Headers],0),0)</f>
        <v xml:space="preserve"> 18 ft.- 2"</v>
      </c>
      <c r="E642" s="2" t="str">
        <f>VLOOKUP([jobnumber],OvalData[],MATCH(Table2[[#Headers],[stopheight]],Table2[#Headers],0),0)</f>
        <v xml:space="preserve"> 10 ft.- 0"</v>
      </c>
      <c r="F642" s="2" t="str">
        <f>VLOOKUP([jobnumber],OvalData[],MATCH(Table2[[#Headers],[Between Brackets]],Table2[#Headers],0),0)</f>
        <v xml:space="preserve"> 18 ft.- 7 7/ 8"</v>
      </c>
      <c r="G642" s="2" t="str">
        <f>VLOOKUP([jobnumber],OvalData[],MATCH(Table2[[#Headers],[shell]],Table2[#Headers],0),0)</f>
        <v>6 INCH TUBE</v>
      </c>
      <c r="H642" s="2" t="str">
        <f>VLOOKUP([jobnumber],OvalData[],MATCH(Table2[[#Headers],[pipewidth]],Table2[#Headers],0),0)</f>
        <v xml:space="preserve"> 18 ft.- 1 3/ 8"</v>
      </c>
      <c r="I642" s="2">
        <f>VLOOKUP([jobnumber],OvalData[],MATCH(Table2[[#Headers],[Support Tubes]],Table2[#Headers],0),0)</f>
        <v>0</v>
      </c>
      <c r="J642" s="2">
        <f>VLOOKUP([jobnumber],OvalData[],MATCH(Table2[[#Headers],[Upset]],Table2[#Headers],0),0)</f>
        <v>2</v>
      </c>
      <c r="K642" s="2" t="str">
        <f>VLOOKUP([jobnumber],OvalData[],MATCH(Table2[[#Headers],[Guide Type]],Table2[#Headers],0),0)</f>
        <v>SN2-4 5/8-E</v>
      </c>
      <c r="L642" s="2" t="str">
        <f>VLOOKUP([jobnumber],OvalData[],MATCH(Table2[[#Headers],[Wall Angle]],Table2[#Headers],0),0)</f>
        <v xml:space="preserve"> 11 ft.- 8"</v>
      </c>
      <c r="M642" s="2" t="str">
        <f>VLOOKUP([jobnumber],OvalData[],MATCH(Table2[[#Headers],[Middle Angle]],Table2[#Headers],0),0)</f>
        <v xml:space="preserve"> 10 ft.- 4 1/ 2"</v>
      </c>
      <c r="N642" s="2" t="str">
        <f>VLOOKUP([jobnumber],OvalData[],MATCH(Table2[[#Headers],[Front Angle]],Table2[#Headers],0),0)</f>
        <v xml:space="preserve"> 10 ft.- 3"</v>
      </c>
      <c r="O642" s="2">
        <f>VLOOKUP([jobnumber],OvalData[],MATCH(Table2[[#Headers],[Pipe Center Line]],Table2[#Headers],0),0)</f>
        <v>131</v>
      </c>
      <c r="P642" s="2">
        <f>VLOOKUP([jobnumber],OvalData[],MATCH(Table2[[#Headers],[Heat Expansion Gap]],Table2[#Headers],0),0)</f>
        <v>0</v>
      </c>
      <c r="Q642" s="2">
        <f>VLOOKUP([jobnumber],OvalData[],MATCH(Table2[[#Headers],[Hanging Weight Closed]],Table2[#Headers],0),0)</f>
        <v>795</v>
      </c>
      <c r="R642" s="2">
        <f>VLOOKUP([jobnumber],OvalData[],MATCH(Table2[[#Headers],[Hanging Weight Open]],Table2[#Headers],0),0)</f>
        <v>140</v>
      </c>
      <c r="S642" s="2">
        <f>VLOOKUP([jobnumber],OvalData[],MATCH(Table2[[#Headers],[Initial Lever Arm]],Table2[#Headers],0),0)</f>
        <v>4.25</v>
      </c>
      <c r="T642" s="2">
        <f>VLOOKUP([jobnumber],OvalData[],MATCH(Table2[[#Headers],[Turns to Raise]],Table2[#Headers],0),0)</f>
        <v>3.5859999999999999</v>
      </c>
      <c r="U642" s="2">
        <f>VLOOKUP([jobnumber],OvalData[],MATCH(Table2[[#Headers],[Final Lever Arm]],Table2[#Headers],0),0)</f>
        <v>6.37</v>
      </c>
      <c r="V642" s="2">
        <f>VLOOKUP([jobnumber],OvalData[],MATCH(Table2[[#Headers],[Torque Required Closed]],Table2[#Headers],0),0)</f>
        <v>3377.9</v>
      </c>
      <c r="W642" s="2">
        <f>VLOOKUP([jobnumber],OvalData[],MATCH(Table2[[#Headers],[Torque Required Open]],Table2[#Headers],0),0)</f>
        <v>892</v>
      </c>
      <c r="X642" s="2">
        <f>VLOOKUP([jobnumber],OvalData[],MATCH(Table2[[#Headers],[Pre Turns]],Table2[#Headers],0),0)</f>
        <v>1.3332999999999999</v>
      </c>
      <c r="Y642" s="2">
        <f>VLOOKUP([jobnumber],OvalData[],MATCH(Table2[[#Headers],[Required Torque Per Turn]],Table2[#Headers],0),0)</f>
        <v>688</v>
      </c>
      <c r="Z642" s="2">
        <f>VLOOKUP([jobnumber],OvalData[],MATCH(Table2[[#Headers],[Total Turns]],Table2[#Headers],0),0)</f>
        <v>4.91</v>
      </c>
      <c r="AA642" s="2">
        <f>VLOOKUP([jobnumber],OvalData[],MATCH(Table2[[#Headers],[Grille Vision Section]],Table2[#Headers],0),0)</f>
        <v>0</v>
      </c>
      <c r="AB642" s="2">
        <f>VLOOKUP([jobnumber],OvalData[],MATCH(Table2[[#Headers],[Grille Amount]],Table2[#Headers],0),0)</f>
        <v>0</v>
      </c>
      <c r="AC642" s="2">
        <f>VLOOKUP([jobnumber],OvalData[],MATCH(Table2[[#Headers],[Grille Center]],Table2[#Headers],0),0)</f>
        <v>0</v>
      </c>
      <c r="AD642" s="2">
        <f>VLOOKUP([jobnumber],OvalData[],MATCH(Table2[[#Headers],[Grille Pattern]],Table2[#Headers],0),0)</f>
        <v>0</v>
      </c>
      <c r="AE642" s="2">
        <f>VLOOKUP([jobnumber],OvalData[],MATCH(Table2[[#Headers],[Grille First Tube]],Table2[#Headers],0),0)</f>
        <v>0</v>
      </c>
      <c r="AF642" s="2">
        <f>VLOOKUP([jobnumber],OvalData[],MATCH(Table2[[#Headers],[Grille Standard Tube]],Table2[#Headers],0),0)</f>
        <v>0</v>
      </c>
      <c r="AG642" s="2">
        <f>VLOOKUP([jobnumber],OvalData[],MATCH(Table2[[#Headers],[Grille Total Links]],Table2[#Headers],0),0)</f>
        <v>0</v>
      </c>
      <c r="AH642" s="2">
        <f>VLOOKUP([jobnumber],OvalData[],MATCH(Table2[[#Headers],[Grille Rods]],Table2[#Headers],0),0)</f>
        <v>0</v>
      </c>
      <c r="AI642" s="2">
        <f>VLOOKUP([jobnumber],OvalData[],MATCH(Table2[[#Headers],[Grille Rod Length]],Table2[#Headers],0),0)</f>
        <v>0</v>
      </c>
      <c r="AJ642" s="2">
        <f>VLOOKUP([jobnumber],OvalData[],MATCH(Table2[[#Headers],[slattype]],Table2[#Headers],0),0)</f>
        <v>2</v>
      </c>
      <c r="AK642" s="2">
        <f>VLOOKUP([jobnumber],OvalData[],MATCH(Table2[[#Headers],[slatgage]],Table2[#Headers],0),0)</f>
        <v>18</v>
      </c>
      <c r="AL642" s="2">
        <f>VLOOKUP([jobnumber],OvalData[],MATCH(Table2[[#Headers],[Numer of Top Slats]],Table2[#Headers],0),0)</f>
        <v>0</v>
      </c>
      <c r="AM642" s="2">
        <f>VLOOKUP([jobnumber],OvalData[],MATCH(Table2[[#Headers],[Number of Bottom Slats]],Table2[#Headers],0),0)</f>
        <v>0</v>
      </c>
      <c r="AN642" s="2">
        <f>VLOOKUP([jobnumber],OvalData[],MATCH(Table2[[#Headers],[Solid Bottom Height]],Table2[#Headers],0),0)</f>
        <v>0</v>
      </c>
      <c r="AO642" s="2" t="str">
        <f>VLOOKUP([jobnumber],OvalData[],MATCH(Table2[[#Headers],[slatlength]],Table2[#Headers],0),0)</f>
        <v xml:space="preserve"> 18 ft.- 5 7/ 8"</v>
      </c>
      <c r="AP642" s="2">
        <f>VLOOKUP([jobnumber],OvalData[],MATCH(Table2[[#Headers],[Bottom Slat Length]],Table2[#Headers],0),0)</f>
        <v>0</v>
      </c>
      <c r="AQ642" s="2">
        <f>VLOOKUP([jobnumber],OvalData[],MATCH(Table2[[#Headers],[Number of Perferated Slats]],Table2[#Headers],0),0)</f>
        <v>0</v>
      </c>
      <c r="AR642" s="2">
        <f>VLOOKUP([jobnumber],OvalData[],MATCH(Table2[[#Headers],[First Preferated Slat From End]],Table2[#Headers],0),0)</f>
        <v>0</v>
      </c>
      <c r="AS642" s="2">
        <f>VLOOKUP([jobnumber],OvalData[],MATCH(Table2[[#Headers],[First Preferated Slat From Bottom]],Table2[#Headers],0),0)</f>
        <v>0</v>
      </c>
      <c r="AT642" s="2">
        <f>VLOOKUP([jobnumber],OvalData[],MATCH(Table2[[#Headers],[Total Number of Slats]],Table2[#Headers],0),0)</f>
        <v>51</v>
      </c>
      <c r="AU642" s="2">
        <f>VLOOKUP([jobnumber],OvalData[],MATCH(Table2[[#Headers],[Bottom Bar Slope]],Table2[#Headers],0),0)</f>
        <v>0</v>
      </c>
      <c r="AV642" s="2">
        <f>VLOOKUP([jobnumber],OvalData[],MATCH(Table2[[#Headers],[Bottom Bar Weight]],Table2[#Headers],0),0)</f>
        <v>80.5</v>
      </c>
      <c r="AW642" s="2" t="str">
        <f>VLOOKUP([jobnumber],OvalData[],MATCH(Table2[[#Headers],[Outer Spring Gage]],Table2[#Headers],0),0)</f>
        <v>Null</v>
      </c>
      <c r="AX642" s="2" t="str">
        <f>VLOOKUP([jobnumber],OvalData[],MATCH(Table2[[#Headers],[Outer Spring OD]],Table2[#Headers],0),0)</f>
        <v>Null</v>
      </c>
      <c r="AY642" s="2" t="str">
        <f>VLOOKUP([jobnumber],OvalData[],MATCH(Table2[[#Headers],[Outer Spring Length]],Table2[#Headers],0),0)</f>
        <v>Null</v>
      </c>
      <c r="AZ642" s="2" t="str">
        <f>VLOOKUP([jobnumber],OvalData[],MATCH(Table2[[#Headers],[Outer Spring Stretch]],Table2[#Headers],0),0)</f>
        <v>Null</v>
      </c>
      <c r="BA642" s="2" t="str">
        <f>VLOOKUP([jobnumber],OvalData[],MATCH(Table2[[#Headers],[Outer Spring Torque]],Table2[#Headers],0),0)</f>
        <v>Null</v>
      </c>
      <c r="BB642" s="2" t="str">
        <f>VLOOKUP([jobnumber],OvalData[],MATCH(Table2[[#Headers],[Outer Spring Max Turns]],Table2[#Headers],0),0)</f>
        <v>Null</v>
      </c>
      <c r="BC642" s="2" t="str">
        <f>VLOOKUP([jobnumber],OvalData[],MATCH(Table2[[#Headers],[Outer Spring Weight]],Table2[#Headers],0),0)</f>
        <v>Null</v>
      </c>
      <c r="BD642" s="2" t="str">
        <f>VLOOKUP([jobnumber],OvalData[],MATCH(Table2[[#Headers],[Inner Spring Gage]],Table2[#Headers],0),0)</f>
        <v>Null</v>
      </c>
      <c r="BE642" s="2" t="str">
        <f>VLOOKUP([jobnumber],OvalData[],MATCH(Table2[[#Headers],[Inner Spring OD]],Table2[#Headers],0),0)</f>
        <v>Null</v>
      </c>
      <c r="BF642" s="2" t="str">
        <f>VLOOKUP([jobnumber],OvalData[],MATCH(Table2[[#Headers],[Inner Spring Length]],Table2[#Headers],0),0)</f>
        <v>Null</v>
      </c>
      <c r="BG642" s="2" t="str">
        <f>VLOOKUP([jobnumber],OvalData[],MATCH(Table2[[#Headers],[Inner Spring Stretch]],Table2[#Headers],0),0)</f>
        <v>Null</v>
      </c>
      <c r="BH642" s="2" t="str">
        <f>VLOOKUP([jobnumber],OvalData[],MATCH(Table2[[#Headers],[Inner Spring Torque]],Table2[#Headers],0),0)</f>
        <v>Null</v>
      </c>
      <c r="BI642" s="2" t="str">
        <f>VLOOKUP([jobnumber],OvalData[],MATCH(Table2[[#Headers],[Inner Spring Max Turns]],Table2[#Headers],0),0)</f>
        <v>Null</v>
      </c>
      <c r="BJ642" s="2" t="str">
        <f>VLOOKUP([jobnumber],OvalData[],MATCH(Table2[[#Headers],[Inner Spring Weight]],Table2[#Headers],0),0)</f>
        <v>Null</v>
      </c>
      <c r="BK642" s="2">
        <f>VLOOKUP([jobnumber],OvalData[],MATCH(Table2[[#Headers],[Cycles]],Table2[#Headers],0),0)</f>
        <v>0</v>
      </c>
      <c r="BL642" s="2">
        <f>VLOOKUP([jobnumber],OvalData[],MATCH(Table2[[#Headers],[Total Spring Torque]],Table2[#Headers],0),0)</f>
        <v>0</v>
      </c>
      <c r="BM642" s="2">
        <f>VLOOKUP([jobnumber],OvalData[],MATCH(Table2[[#Headers],[Total Spring Weight]],Table2[#Headers],0),0)</f>
        <v>0</v>
      </c>
      <c r="BN642" s="2">
        <f>VLOOKUP([jobnumber],OvalData[],MATCH(Table2[[#Headers],[Pipe Weight]],Table2[#Headers],0),0)</f>
        <v>688.24239999999998</v>
      </c>
      <c r="BO642" s="2">
        <f>VLOOKUP([jobnumber],OvalData[],MATCH(Table2[[#Headers],[Max Pipe Deflection]],Table2[#Headers],0),0)</f>
        <v>2309</v>
      </c>
      <c r="BP642" s="2">
        <f>VLOOKUP([jobnumber],OvalData[],MATCH(Table2[[#Headers],[Number Non-Insulated Wrap Slats]],Table2[#Headers],0),0)</f>
        <v>0</v>
      </c>
      <c r="BQ642" s="2">
        <f>VLOOKUP([jobnumber],OvalData[],MATCH(Table2[[#Headers],[Number of Insolated Top Slats]],Table2[#Headers],0),0)</f>
        <v>45</v>
      </c>
      <c r="BR642" s="2">
        <f>VLOOKUP([jobnumber],OvalData[],MATCH(Table2[[#Headers],[Insolated Total Slats]],Table2[#Headers],0),0)</f>
        <v>45</v>
      </c>
      <c r="BS642" s="2">
        <f>VLOOKUP([jobnumber],OvalData[],MATCH(Table2[[#Headers],[Number of Slats]],Table2[#Headers],0),0)</f>
        <v>44.69</v>
      </c>
      <c r="BT642" s="2">
        <f>VLOOKUP([jobnumber],OvalData[],MATCH(Table2[[#Headers],[Wrap]],Table2[#Headers],0),0)</f>
        <v>0</v>
      </c>
      <c r="BU642" s="2">
        <f>VLOOKUP([jobnumber],OvalData[],MATCH(Table2[[#Headers],[Wall Angle Thickness]],Table2[#Headers],0),0)</f>
        <v>0</v>
      </c>
      <c r="BV642" s="2">
        <f>VLOOKUP([jobnumber],OvalData[],MATCH(Table2[[#Headers],[windlocks]],Table2[#Headers],0),0)</f>
        <v>0</v>
      </c>
      <c r="BW642" s="2" t="str">
        <f>VLOOKUP([jobnumber],OvalData[],MATCH(Table2[[#Headers],[bottombartype]],Table2[#Headers],0),0)</f>
        <v>SPECIAL</v>
      </c>
      <c r="BX642" s="2">
        <f>VLOOKUP([jobnumber],OvalData[],MATCH(Table2[[#Headers],[endlockweight]],Table2[#Headers],0),0)</f>
        <v>0.17</v>
      </c>
      <c r="BY642" s="2">
        <f>VLOOKUP([jobnumber],OvalData[],MATCH(Table2[[#Headers],[Endlock Total Weight]],Table2[#Headers],0),0)</f>
        <v>7.5972999999999997</v>
      </c>
      <c r="BZ642" s="2">
        <f>VLOOKUP([jobnumber],OvalData[],MATCH(Table2[[#Headers],[Grille Weight]],Table2[#Headers],0),0)</f>
        <v>0</v>
      </c>
      <c r="CA642" s="2">
        <f>VLOOKUP([jobnumber],OvalData[],MATCH(Table2[[#Headers],[barrelrings]],Table2[#Headers],0),0)</f>
        <v>1</v>
      </c>
    </row>
    <row r="643" spans="2:79">
      <c r="B643" s="2" t="str">
        <f>VLOOKUP([jobnumber],OvalData[],MATCH(Table2[[#Headers],[Hand]],Table2[#Headers],0),0)</f>
        <v>RH</v>
      </c>
      <c r="C643" s="2" t="str">
        <f>VLOOKUP([jobnumber],OvalData[],MATCH(Table2[[#Headers],[Model]],Table2[#Headers],0),0)</f>
        <v>SFMPP</v>
      </c>
      <c r="D643" s="2" t="str">
        <f>VLOOKUP([jobnumber],OvalData[],MATCH(Table2[[#Headers],[width]],Table2[#Headers],0),0)</f>
        <v xml:space="preserve"> 18 ft.- 2"</v>
      </c>
      <c r="E643" s="2" t="str">
        <f>VLOOKUP([jobnumber],OvalData[],MATCH(Table2[[#Headers],[stopheight]],Table2[#Headers],0),0)</f>
        <v xml:space="preserve"> 10 ft.- 0"</v>
      </c>
      <c r="F643" s="2" t="str">
        <f>VLOOKUP([jobnumber],OvalData[],MATCH(Table2[[#Headers],[Between Brackets]],Table2[#Headers],0),0)</f>
        <v xml:space="preserve"> 18 ft.- 7 7/ 8"</v>
      </c>
      <c r="G643" s="2" t="str">
        <f>VLOOKUP([jobnumber],OvalData[],MATCH(Table2[[#Headers],[shell]],Table2[#Headers],0),0)</f>
        <v>6 INCH TUBE</v>
      </c>
      <c r="H643" s="2" t="str">
        <f>VLOOKUP([jobnumber],OvalData[],MATCH(Table2[[#Headers],[pipewidth]],Table2[#Headers],0),0)</f>
        <v xml:space="preserve"> 18 ft.- 1 3/ 8"</v>
      </c>
      <c r="I643" s="2">
        <f>VLOOKUP([jobnumber],OvalData[],MATCH(Table2[[#Headers],[Support Tubes]],Table2[#Headers],0),0)</f>
        <v>0</v>
      </c>
      <c r="J643" s="2">
        <f>VLOOKUP([jobnumber],OvalData[],MATCH(Table2[[#Headers],[Upset]],Table2[#Headers],0),0)</f>
        <v>2</v>
      </c>
      <c r="K643" s="2" t="str">
        <f>VLOOKUP([jobnumber],OvalData[],MATCH(Table2[[#Headers],[Guide Type]],Table2[#Headers],0),0)</f>
        <v>SN2-4 5/8-E</v>
      </c>
      <c r="L643" s="2" t="str">
        <f>VLOOKUP([jobnumber],OvalData[],MATCH(Table2[[#Headers],[Wall Angle]],Table2[#Headers],0),0)</f>
        <v xml:space="preserve"> 11 ft.- 8"</v>
      </c>
      <c r="M643" s="2" t="str">
        <f>VLOOKUP([jobnumber],OvalData[],MATCH(Table2[[#Headers],[Middle Angle]],Table2[#Headers],0),0)</f>
        <v xml:space="preserve"> 10 ft.- 4 1/ 2"</v>
      </c>
      <c r="N643" s="2" t="str">
        <f>VLOOKUP([jobnumber],OvalData[],MATCH(Table2[[#Headers],[Front Angle]],Table2[#Headers],0),0)</f>
        <v xml:space="preserve"> 10 ft.- 3"</v>
      </c>
      <c r="O643" s="2">
        <f>VLOOKUP([jobnumber],OvalData[],MATCH(Table2[[#Headers],[Pipe Center Line]],Table2[#Headers],0),0)</f>
        <v>131</v>
      </c>
      <c r="P643" s="2">
        <f>VLOOKUP([jobnumber],OvalData[],MATCH(Table2[[#Headers],[Heat Expansion Gap]],Table2[#Headers],0),0)</f>
        <v>0</v>
      </c>
      <c r="Q643" s="2">
        <f>VLOOKUP([jobnumber],OvalData[],MATCH(Table2[[#Headers],[Hanging Weight Closed]],Table2[#Headers],0),0)</f>
        <v>795</v>
      </c>
      <c r="R643" s="2">
        <f>VLOOKUP([jobnumber],OvalData[],MATCH(Table2[[#Headers],[Hanging Weight Open]],Table2[#Headers],0),0)</f>
        <v>140</v>
      </c>
      <c r="S643" s="2">
        <f>VLOOKUP([jobnumber],OvalData[],MATCH(Table2[[#Headers],[Initial Lever Arm]],Table2[#Headers],0),0)</f>
        <v>4.25</v>
      </c>
      <c r="T643" s="2">
        <f>VLOOKUP([jobnumber],OvalData[],MATCH(Table2[[#Headers],[Turns to Raise]],Table2[#Headers],0),0)</f>
        <v>3.5859999999999999</v>
      </c>
      <c r="U643" s="2">
        <f>VLOOKUP([jobnumber],OvalData[],MATCH(Table2[[#Headers],[Final Lever Arm]],Table2[#Headers],0),0)</f>
        <v>6.37</v>
      </c>
      <c r="V643" s="2">
        <f>VLOOKUP([jobnumber],OvalData[],MATCH(Table2[[#Headers],[Torque Required Closed]],Table2[#Headers],0),0)</f>
        <v>3377.9</v>
      </c>
      <c r="W643" s="2">
        <f>VLOOKUP([jobnumber],OvalData[],MATCH(Table2[[#Headers],[Torque Required Open]],Table2[#Headers],0),0)</f>
        <v>892</v>
      </c>
      <c r="X643" s="2">
        <f>VLOOKUP([jobnumber],OvalData[],MATCH(Table2[[#Headers],[Pre Turns]],Table2[#Headers],0),0)</f>
        <v>1.3332999999999999</v>
      </c>
      <c r="Y643" s="2">
        <f>VLOOKUP([jobnumber],OvalData[],MATCH(Table2[[#Headers],[Required Torque Per Turn]],Table2[#Headers],0),0)</f>
        <v>688</v>
      </c>
      <c r="Z643" s="2">
        <f>VLOOKUP([jobnumber],OvalData[],MATCH(Table2[[#Headers],[Total Turns]],Table2[#Headers],0),0)</f>
        <v>4.91</v>
      </c>
      <c r="AA643" s="2">
        <f>VLOOKUP([jobnumber],OvalData[],MATCH(Table2[[#Headers],[Grille Vision Section]],Table2[#Headers],0),0)</f>
        <v>0</v>
      </c>
      <c r="AB643" s="2">
        <f>VLOOKUP([jobnumber],OvalData[],MATCH(Table2[[#Headers],[Grille Amount]],Table2[#Headers],0),0)</f>
        <v>0</v>
      </c>
      <c r="AC643" s="2">
        <f>VLOOKUP([jobnumber],OvalData[],MATCH(Table2[[#Headers],[Grille Center]],Table2[#Headers],0),0)</f>
        <v>0</v>
      </c>
      <c r="AD643" s="2">
        <f>VLOOKUP([jobnumber],OvalData[],MATCH(Table2[[#Headers],[Grille Pattern]],Table2[#Headers],0),0)</f>
        <v>0</v>
      </c>
      <c r="AE643" s="2">
        <f>VLOOKUP([jobnumber],OvalData[],MATCH(Table2[[#Headers],[Grille First Tube]],Table2[#Headers],0),0)</f>
        <v>0</v>
      </c>
      <c r="AF643" s="2">
        <f>VLOOKUP([jobnumber],OvalData[],MATCH(Table2[[#Headers],[Grille Standard Tube]],Table2[#Headers],0),0)</f>
        <v>0</v>
      </c>
      <c r="AG643" s="2">
        <f>VLOOKUP([jobnumber],OvalData[],MATCH(Table2[[#Headers],[Grille Total Links]],Table2[#Headers],0),0)</f>
        <v>0</v>
      </c>
      <c r="AH643" s="2">
        <f>VLOOKUP([jobnumber],OvalData[],MATCH(Table2[[#Headers],[Grille Rods]],Table2[#Headers],0),0)</f>
        <v>0</v>
      </c>
      <c r="AI643" s="2">
        <f>VLOOKUP([jobnumber],OvalData[],MATCH(Table2[[#Headers],[Grille Rod Length]],Table2[#Headers],0),0)</f>
        <v>0</v>
      </c>
      <c r="AJ643" s="2">
        <f>VLOOKUP([jobnumber],OvalData[],MATCH(Table2[[#Headers],[slattype]],Table2[#Headers],0),0)</f>
        <v>2</v>
      </c>
      <c r="AK643" s="2">
        <f>VLOOKUP([jobnumber],OvalData[],MATCH(Table2[[#Headers],[slatgage]],Table2[#Headers],0),0)</f>
        <v>18</v>
      </c>
      <c r="AL643" s="2">
        <f>VLOOKUP([jobnumber],OvalData[],MATCH(Table2[[#Headers],[Numer of Top Slats]],Table2[#Headers],0),0)</f>
        <v>0</v>
      </c>
      <c r="AM643" s="2">
        <f>VLOOKUP([jobnumber],OvalData[],MATCH(Table2[[#Headers],[Number of Bottom Slats]],Table2[#Headers],0),0)</f>
        <v>0</v>
      </c>
      <c r="AN643" s="2">
        <f>VLOOKUP([jobnumber],OvalData[],MATCH(Table2[[#Headers],[Solid Bottom Height]],Table2[#Headers],0),0)</f>
        <v>0</v>
      </c>
      <c r="AO643" s="2" t="str">
        <f>VLOOKUP([jobnumber],OvalData[],MATCH(Table2[[#Headers],[slatlength]],Table2[#Headers],0),0)</f>
        <v xml:space="preserve"> 18 ft.- 5 7/ 8"</v>
      </c>
      <c r="AP643" s="2">
        <f>VLOOKUP([jobnumber],OvalData[],MATCH(Table2[[#Headers],[Bottom Slat Length]],Table2[#Headers],0),0)</f>
        <v>0</v>
      </c>
      <c r="AQ643" s="2">
        <f>VLOOKUP([jobnumber],OvalData[],MATCH(Table2[[#Headers],[Number of Perferated Slats]],Table2[#Headers],0),0)</f>
        <v>0</v>
      </c>
      <c r="AR643" s="2">
        <f>VLOOKUP([jobnumber],OvalData[],MATCH(Table2[[#Headers],[First Preferated Slat From End]],Table2[#Headers],0),0)</f>
        <v>0</v>
      </c>
      <c r="AS643" s="2">
        <f>VLOOKUP([jobnumber],OvalData[],MATCH(Table2[[#Headers],[First Preferated Slat From Bottom]],Table2[#Headers],0),0)</f>
        <v>0</v>
      </c>
      <c r="AT643" s="2">
        <f>VLOOKUP([jobnumber],OvalData[],MATCH(Table2[[#Headers],[Total Number of Slats]],Table2[#Headers],0),0)</f>
        <v>51</v>
      </c>
      <c r="AU643" s="2">
        <f>VLOOKUP([jobnumber],OvalData[],MATCH(Table2[[#Headers],[Bottom Bar Slope]],Table2[#Headers],0),0)</f>
        <v>0</v>
      </c>
      <c r="AV643" s="2">
        <f>VLOOKUP([jobnumber],OvalData[],MATCH(Table2[[#Headers],[Bottom Bar Weight]],Table2[#Headers],0),0)</f>
        <v>80.5</v>
      </c>
      <c r="AW643" s="2" t="str">
        <f>VLOOKUP([jobnumber],OvalData[],MATCH(Table2[[#Headers],[Outer Spring Gage]],Table2[#Headers],0),0)</f>
        <v>Null</v>
      </c>
      <c r="AX643" s="2" t="str">
        <f>VLOOKUP([jobnumber],OvalData[],MATCH(Table2[[#Headers],[Outer Spring OD]],Table2[#Headers],0),0)</f>
        <v>Null</v>
      </c>
      <c r="AY643" s="2" t="str">
        <f>VLOOKUP([jobnumber],OvalData[],MATCH(Table2[[#Headers],[Outer Spring Length]],Table2[#Headers],0),0)</f>
        <v>Null</v>
      </c>
      <c r="AZ643" s="2" t="str">
        <f>VLOOKUP([jobnumber],OvalData[],MATCH(Table2[[#Headers],[Outer Spring Stretch]],Table2[#Headers],0),0)</f>
        <v>Null</v>
      </c>
      <c r="BA643" s="2" t="str">
        <f>VLOOKUP([jobnumber],OvalData[],MATCH(Table2[[#Headers],[Outer Spring Torque]],Table2[#Headers],0),0)</f>
        <v>Null</v>
      </c>
      <c r="BB643" s="2" t="str">
        <f>VLOOKUP([jobnumber],OvalData[],MATCH(Table2[[#Headers],[Outer Spring Max Turns]],Table2[#Headers],0),0)</f>
        <v>Null</v>
      </c>
      <c r="BC643" s="2" t="str">
        <f>VLOOKUP([jobnumber],OvalData[],MATCH(Table2[[#Headers],[Outer Spring Weight]],Table2[#Headers],0),0)</f>
        <v>Null</v>
      </c>
      <c r="BD643" s="2" t="str">
        <f>VLOOKUP([jobnumber],OvalData[],MATCH(Table2[[#Headers],[Inner Spring Gage]],Table2[#Headers],0),0)</f>
        <v>Null</v>
      </c>
      <c r="BE643" s="2" t="str">
        <f>VLOOKUP([jobnumber],OvalData[],MATCH(Table2[[#Headers],[Inner Spring OD]],Table2[#Headers],0),0)</f>
        <v>Null</v>
      </c>
      <c r="BF643" s="2" t="str">
        <f>VLOOKUP([jobnumber],OvalData[],MATCH(Table2[[#Headers],[Inner Spring Length]],Table2[#Headers],0),0)</f>
        <v>Null</v>
      </c>
      <c r="BG643" s="2" t="str">
        <f>VLOOKUP([jobnumber],OvalData[],MATCH(Table2[[#Headers],[Inner Spring Stretch]],Table2[#Headers],0),0)</f>
        <v>Null</v>
      </c>
      <c r="BH643" s="2" t="str">
        <f>VLOOKUP([jobnumber],OvalData[],MATCH(Table2[[#Headers],[Inner Spring Torque]],Table2[#Headers],0),0)</f>
        <v>Null</v>
      </c>
      <c r="BI643" s="2" t="str">
        <f>VLOOKUP([jobnumber],OvalData[],MATCH(Table2[[#Headers],[Inner Spring Max Turns]],Table2[#Headers],0),0)</f>
        <v>Null</v>
      </c>
      <c r="BJ643" s="2" t="str">
        <f>VLOOKUP([jobnumber],OvalData[],MATCH(Table2[[#Headers],[Inner Spring Weight]],Table2[#Headers],0),0)</f>
        <v>Null</v>
      </c>
      <c r="BK643" s="2">
        <f>VLOOKUP([jobnumber],OvalData[],MATCH(Table2[[#Headers],[Cycles]],Table2[#Headers],0),0)</f>
        <v>0</v>
      </c>
      <c r="BL643" s="2">
        <f>VLOOKUP([jobnumber],OvalData[],MATCH(Table2[[#Headers],[Total Spring Torque]],Table2[#Headers],0),0)</f>
        <v>0</v>
      </c>
      <c r="BM643" s="2">
        <f>VLOOKUP([jobnumber],OvalData[],MATCH(Table2[[#Headers],[Total Spring Weight]],Table2[#Headers],0),0)</f>
        <v>0</v>
      </c>
      <c r="BN643" s="2">
        <f>VLOOKUP([jobnumber],OvalData[],MATCH(Table2[[#Headers],[Pipe Weight]],Table2[#Headers],0),0)</f>
        <v>688.24239999999998</v>
      </c>
      <c r="BO643" s="2">
        <f>VLOOKUP([jobnumber],OvalData[],MATCH(Table2[[#Headers],[Max Pipe Deflection]],Table2[#Headers],0),0)</f>
        <v>2309</v>
      </c>
      <c r="BP643" s="2">
        <f>VLOOKUP([jobnumber],OvalData[],MATCH(Table2[[#Headers],[Number Non-Insulated Wrap Slats]],Table2[#Headers],0),0)</f>
        <v>0</v>
      </c>
      <c r="BQ643" s="2">
        <f>VLOOKUP([jobnumber],OvalData[],MATCH(Table2[[#Headers],[Number of Insolated Top Slats]],Table2[#Headers],0),0)</f>
        <v>45</v>
      </c>
      <c r="BR643" s="2">
        <f>VLOOKUP([jobnumber],OvalData[],MATCH(Table2[[#Headers],[Insolated Total Slats]],Table2[#Headers],0),0)</f>
        <v>45</v>
      </c>
      <c r="BS643" s="2">
        <f>VLOOKUP([jobnumber],OvalData[],MATCH(Table2[[#Headers],[Number of Slats]],Table2[#Headers],0),0)</f>
        <v>44.69</v>
      </c>
      <c r="BT643" s="2">
        <f>VLOOKUP([jobnumber],OvalData[],MATCH(Table2[[#Headers],[Wrap]],Table2[#Headers],0),0)</f>
        <v>0</v>
      </c>
      <c r="BU643" s="2">
        <f>VLOOKUP([jobnumber],OvalData[],MATCH(Table2[[#Headers],[Wall Angle Thickness]],Table2[#Headers],0),0)</f>
        <v>0</v>
      </c>
      <c r="BV643" s="2">
        <f>VLOOKUP([jobnumber],OvalData[],MATCH(Table2[[#Headers],[windlocks]],Table2[#Headers],0),0)</f>
        <v>0</v>
      </c>
      <c r="BW643" s="2" t="str">
        <f>VLOOKUP([jobnumber],OvalData[],MATCH(Table2[[#Headers],[bottombartype]],Table2[#Headers],0),0)</f>
        <v>SPECIAL</v>
      </c>
      <c r="BX643" s="2">
        <f>VLOOKUP([jobnumber],OvalData[],MATCH(Table2[[#Headers],[endlockweight]],Table2[#Headers],0),0)</f>
        <v>0.17</v>
      </c>
      <c r="BY643" s="2">
        <f>VLOOKUP([jobnumber],OvalData[],MATCH(Table2[[#Headers],[Endlock Total Weight]],Table2[#Headers],0),0)</f>
        <v>7.5972999999999997</v>
      </c>
      <c r="BZ643" s="2">
        <f>VLOOKUP([jobnumber],OvalData[],MATCH(Table2[[#Headers],[Grille Weight]],Table2[#Headers],0),0)</f>
        <v>0</v>
      </c>
      <c r="CA643" s="2">
        <f>VLOOKUP([jobnumber],OvalData[],MATCH(Table2[[#Headers],[barrelrings]],Table2[#Headers],0),0)</f>
        <v>1</v>
      </c>
    </row>
    <row r="644" spans="2:79">
      <c r="B644" s="2" t="str">
        <f>VLOOKUP([jobnumber],OvalData[],MATCH(Table2[[#Headers],[Hand]],Table2[#Headers],0),0)</f>
        <v>RH</v>
      </c>
      <c r="C644" s="2" t="str">
        <f>VLOOKUP([jobnumber],OvalData[],MATCH(Table2[[#Headers],[Model]],Table2[#Headers],0),0)</f>
        <v>SFMPP</v>
      </c>
      <c r="D644" s="2" t="str">
        <f>VLOOKUP([jobnumber],OvalData[],MATCH(Table2[[#Headers],[width]],Table2[#Headers],0),0)</f>
        <v xml:space="preserve"> 18 ft.- 2"</v>
      </c>
      <c r="E644" s="2" t="str">
        <f>VLOOKUP([jobnumber],OvalData[],MATCH(Table2[[#Headers],[stopheight]],Table2[#Headers],0),0)</f>
        <v xml:space="preserve"> 10 ft.- 0"</v>
      </c>
      <c r="F644" s="2" t="str">
        <f>VLOOKUP([jobnumber],OvalData[],MATCH(Table2[[#Headers],[Between Brackets]],Table2[#Headers],0),0)</f>
        <v xml:space="preserve"> 18 ft.- 7 7/ 8"</v>
      </c>
      <c r="G644" s="2" t="str">
        <f>VLOOKUP([jobnumber],OvalData[],MATCH(Table2[[#Headers],[shell]],Table2[#Headers],0),0)</f>
        <v>6 INCH TUBE</v>
      </c>
      <c r="H644" s="2" t="str">
        <f>VLOOKUP([jobnumber],OvalData[],MATCH(Table2[[#Headers],[pipewidth]],Table2[#Headers],0),0)</f>
        <v xml:space="preserve"> 18 ft.- 1 3/ 8"</v>
      </c>
      <c r="I644" s="2">
        <f>VLOOKUP([jobnumber],OvalData[],MATCH(Table2[[#Headers],[Support Tubes]],Table2[#Headers],0),0)</f>
        <v>0</v>
      </c>
      <c r="J644" s="2">
        <f>VLOOKUP([jobnumber],OvalData[],MATCH(Table2[[#Headers],[Upset]],Table2[#Headers],0),0)</f>
        <v>2</v>
      </c>
      <c r="K644" s="2" t="str">
        <f>VLOOKUP([jobnumber],OvalData[],MATCH(Table2[[#Headers],[Guide Type]],Table2[#Headers],0),0)</f>
        <v>SN2-4 5/8-E</v>
      </c>
      <c r="L644" s="2" t="str">
        <f>VLOOKUP([jobnumber],OvalData[],MATCH(Table2[[#Headers],[Wall Angle]],Table2[#Headers],0),0)</f>
        <v xml:space="preserve"> 11 ft.- 8"</v>
      </c>
      <c r="M644" s="2" t="str">
        <f>VLOOKUP([jobnumber],OvalData[],MATCH(Table2[[#Headers],[Middle Angle]],Table2[#Headers],0),0)</f>
        <v xml:space="preserve"> 10 ft.- 4 1/ 2"</v>
      </c>
      <c r="N644" s="2" t="str">
        <f>VLOOKUP([jobnumber],OvalData[],MATCH(Table2[[#Headers],[Front Angle]],Table2[#Headers],0),0)</f>
        <v xml:space="preserve"> 10 ft.- 3"</v>
      </c>
      <c r="O644" s="2">
        <f>VLOOKUP([jobnumber],OvalData[],MATCH(Table2[[#Headers],[Pipe Center Line]],Table2[#Headers],0),0)</f>
        <v>131</v>
      </c>
      <c r="P644" s="2">
        <f>VLOOKUP([jobnumber],OvalData[],MATCH(Table2[[#Headers],[Heat Expansion Gap]],Table2[#Headers],0),0)</f>
        <v>0</v>
      </c>
      <c r="Q644" s="2">
        <f>VLOOKUP([jobnumber],OvalData[],MATCH(Table2[[#Headers],[Hanging Weight Closed]],Table2[#Headers],0),0)</f>
        <v>795</v>
      </c>
      <c r="R644" s="2">
        <f>VLOOKUP([jobnumber],OvalData[],MATCH(Table2[[#Headers],[Hanging Weight Open]],Table2[#Headers],0),0)</f>
        <v>140</v>
      </c>
      <c r="S644" s="2">
        <f>VLOOKUP([jobnumber],OvalData[],MATCH(Table2[[#Headers],[Initial Lever Arm]],Table2[#Headers],0),0)</f>
        <v>4.25</v>
      </c>
      <c r="T644" s="2">
        <f>VLOOKUP([jobnumber],OvalData[],MATCH(Table2[[#Headers],[Turns to Raise]],Table2[#Headers],0),0)</f>
        <v>3.5859999999999999</v>
      </c>
      <c r="U644" s="2">
        <f>VLOOKUP([jobnumber],OvalData[],MATCH(Table2[[#Headers],[Final Lever Arm]],Table2[#Headers],0),0)</f>
        <v>6.37</v>
      </c>
      <c r="V644" s="2">
        <f>VLOOKUP([jobnumber],OvalData[],MATCH(Table2[[#Headers],[Torque Required Closed]],Table2[#Headers],0),0)</f>
        <v>3377.9</v>
      </c>
      <c r="W644" s="2">
        <f>VLOOKUP([jobnumber],OvalData[],MATCH(Table2[[#Headers],[Torque Required Open]],Table2[#Headers],0),0)</f>
        <v>892</v>
      </c>
      <c r="X644" s="2">
        <f>VLOOKUP([jobnumber],OvalData[],MATCH(Table2[[#Headers],[Pre Turns]],Table2[#Headers],0),0)</f>
        <v>1.3332999999999999</v>
      </c>
      <c r="Y644" s="2">
        <f>VLOOKUP([jobnumber],OvalData[],MATCH(Table2[[#Headers],[Required Torque Per Turn]],Table2[#Headers],0),0)</f>
        <v>688</v>
      </c>
      <c r="Z644" s="2">
        <f>VLOOKUP([jobnumber],OvalData[],MATCH(Table2[[#Headers],[Total Turns]],Table2[#Headers],0),0)</f>
        <v>4.91</v>
      </c>
      <c r="AA644" s="2">
        <f>VLOOKUP([jobnumber],OvalData[],MATCH(Table2[[#Headers],[Grille Vision Section]],Table2[#Headers],0),0)</f>
        <v>0</v>
      </c>
      <c r="AB644" s="2">
        <f>VLOOKUP([jobnumber],OvalData[],MATCH(Table2[[#Headers],[Grille Amount]],Table2[#Headers],0),0)</f>
        <v>0</v>
      </c>
      <c r="AC644" s="2">
        <f>VLOOKUP([jobnumber],OvalData[],MATCH(Table2[[#Headers],[Grille Center]],Table2[#Headers],0),0)</f>
        <v>0</v>
      </c>
      <c r="AD644" s="2">
        <f>VLOOKUP([jobnumber],OvalData[],MATCH(Table2[[#Headers],[Grille Pattern]],Table2[#Headers],0),0)</f>
        <v>0</v>
      </c>
      <c r="AE644" s="2">
        <f>VLOOKUP([jobnumber],OvalData[],MATCH(Table2[[#Headers],[Grille First Tube]],Table2[#Headers],0),0)</f>
        <v>0</v>
      </c>
      <c r="AF644" s="2">
        <f>VLOOKUP([jobnumber],OvalData[],MATCH(Table2[[#Headers],[Grille Standard Tube]],Table2[#Headers],0),0)</f>
        <v>0</v>
      </c>
      <c r="AG644" s="2">
        <f>VLOOKUP([jobnumber],OvalData[],MATCH(Table2[[#Headers],[Grille Total Links]],Table2[#Headers],0),0)</f>
        <v>0</v>
      </c>
      <c r="AH644" s="2">
        <f>VLOOKUP([jobnumber],OvalData[],MATCH(Table2[[#Headers],[Grille Rods]],Table2[#Headers],0),0)</f>
        <v>0</v>
      </c>
      <c r="AI644" s="2">
        <f>VLOOKUP([jobnumber],OvalData[],MATCH(Table2[[#Headers],[Grille Rod Length]],Table2[#Headers],0),0)</f>
        <v>0</v>
      </c>
      <c r="AJ644" s="2">
        <f>VLOOKUP([jobnumber],OvalData[],MATCH(Table2[[#Headers],[slattype]],Table2[#Headers],0),0)</f>
        <v>2</v>
      </c>
      <c r="AK644" s="2">
        <f>VLOOKUP([jobnumber],OvalData[],MATCH(Table2[[#Headers],[slatgage]],Table2[#Headers],0),0)</f>
        <v>18</v>
      </c>
      <c r="AL644" s="2">
        <f>VLOOKUP([jobnumber],OvalData[],MATCH(Table2[[#Headers],[Numer of Top Slats]],Table2[#Headers],0),0)</f>
        <v>0</v>
      </c>
      <c r="AM644" s="2">
        <f>VLOOKUP([jobnumber],OvalData[],MATCH(Table2[[#Headers],[Number of Bottom Slats]],Table2[#Headers],0),0)</f>
        <v>0</v>
      </c>
      <c r="AN644" s="2">
        <f>VLOOKUP([jobnumber],OvalData[],MATCH(Table2[[#Headers],[Solid Bottom Height]],Table2[#Headers],0),0)</f>
        <v>0</v>
      </c>
      <c r="AO644" s="2" t="str">
        <f>VLOOKUP([jobnumber],OvalData[],MATCH(Table2[[#Headers],[slatlength]],Table2[#Headers],0),0)</f>
        <v xml:space="preserve"> 18 ft.- 5 7/ 8"</v>
      </c>
      <c r="AP644" s="2">
        <f>VLOOKUP([jobnumber],OvalData[],MATCH(Table2[[#Headers],[Bottom Slat Length]],Table2[#Headers],0),0)</f>
        <v>0</v>
      </c>
      <c r="AQ644" s="2">
        <f>VLOOKUP([jobnumber],OvalData[],MATCH(Table2[[#Headers],[Number of Perferated Slats]],Table2[#Headers],0),0)</f>
        <v>0</v>
      </c>
      <c r="AR644" s="2">
        <f>VLOOKUP([jobnumber],OvalData[],MATCH(Table2[[#Headers],[First Preferated Slat From End]],Table2[#Headers],0),0)</f>
        <v>0</v>
      </c>
      <c r="AS644" s="2">
        <f>VLOOKUP([jobnumber],OvalData[],MATCH(Table2[[#Headers],[First Preferated Slat From Bottom]],Table2[#Headers],0),0)</f>
        <v>0</v>
      </c>
      <c r="AT644" s="2">
        <f>VLOOKUP([jobnumber],OvalData[],MATCH(Table2[[#Headers],[Total Number of Slats]],Table2[#Headers],0),0)</f>
        <v>51</v>
      </c>
      <c r="AU644" s="2">
        <f>VLOOKUP([jobnumber],OvalData[],MATCH(Table2[[#Headers],[Bottom Bar Slope]],Table2[#Headers],0),0)</f>
        <v>0</v>
      </c>
      <c r="AV644" s="2">
        <f>VLOOKUP([jobnumber],OvalData[],MATCH(Table2[[#Headers],[Bottom Bar Weight]],Table2[#Headers],0),0)</f>
        <v>80.5</v>
      </c>
      <c r="AW644" s="2" t="str">
        <f>VLOOKUP([jobnumber],OvalData[],MATCH(Table2[[#Headers],[Outer Spring Gage]],Table2[#Headers],0),0)</f>
        <v>Null</v>
      </c>
      <c r="AX644" s="2" t="str">
        <f>VLOOKUP([jobnumber],OvalData[],MATCH(Table2[[#Headers],[Outer Spring OD]],Table2[#Headers],0),0)</f>
        <v>Null</v>
      </c>
      <c r="AY644" s="2" t="str">
        <f>VLOOKUP([jobnumber],OvalData[],MATCH(Table2[[#Headers],[Outer Spring Length]],Table2[#Headers],0),0)</f>
        <v>Null</v>
      </c>
      <c r="AZ644" s="2" t="str">
        <f>VLOOKUP([jobnumber],OvalData[],MATCH(Table2[[#Headers],[Outer Spring Stretch]],Table2[#Headers],0),0)</f>
        <v>Null</v>
      </c>
      <c r="BA644" s="2" t="str">
        <f>VLOOKUP([jobnumber],OvalData[],MATCH(Table2[[#Headers],[Outer Spring Torque]],Table2[#Headers],0),0)</f>
        <v>Null</v>
      </c>
      <c r="BB644" s="2" t="str">
        <f>VLOOKUP([jobnumber],OvalData[],MATCH(Table2[[#Headers],[Outer Spring Max Turns]],Table2[#Headers],0),0)</f>
        <v>Null</v>
      </c>
      <c r="BC644" s="2" t="str">
        <f>VLOOKUP([jobnumber],OvalData[],MATCH(Table2[[#Headers],[Outer Spring Weight]],Table2[#Headers],0),0)</f>
        <v>Null</v>
      </c>
      <c r="BD644" s="2" t="str">
        <f>VLOOKUP([jobnumber],OvalData[],MATCH(Table2[[#Headers],[Inner Spring Gage]],Table2[#Headers],0),0)</f>
        <v>Null</v>
      </c>
      <c r="BE644" s="2" t="str">
        <f>VLOOKUP([jobnumber],OvalData[],MATCH(Table2[[#Headers],[Inner Spring OD]],Table2[#Headers],0),0)</f>
        <v>Null</v>
      </c>
      <c r="BF644" s="2" t="str">
        <f>VLOOKUP([jobnumber],OvalData[],MATCH(Table2[[#Headers],[Inner Spring Length]],Table2[#Headers],0),0)</f>
        <v>Null</v>
      </c>
      <c r="BG644" s="2" t="str">
        <f>VLOOKUP([jobnumber],OvalData[],MATCH(Table2[[#Headers],[Inner Spring Stretch]],Table2[#Headers],0),0)</f>
        <v>Null</v>
      </c>
      <c r="BH644" s="2" t="str">
        <f>VLOOKUP([jobnumber],OvalData[],MATCH(Table2[[#Headers],[Inner Spring Torque]],Table2[#Headers],0),0)</f>
        <v>Null</v>
      </c>
      <c r="BI644" s="2" t="str">
        <f>VLOOKUP([jobnumber],OvalData[],MATCH(Table2[[#Headers],[Inner Spring Max Turns]],Table2[#Headers],0),0)</f>
        <v>Null</v>
      </c>
      <c r="BJ644" s="2" t="str">
        <f>VLOOKUP([jobnumber],OvalData[],MATCH(Table2[[#Headers],[Inner Spring Weight]],Table2[#Headers],0),0)</f>
        <v>Null</v>
      </c>
      <c r="BK644" s="2">
        <f>VLOOKUP([jobnumber],OvalData[],MATCH(Table2[[#Headers],[Cycles]],Table2[#Headers],0),0)</f>
        <v>0</v>
      </c>
      <c r="BL644" s="2">
        <f>VLOOKUP([jobnumber],OvalData[],MATCH(Table2[[#Headers],[Total Spring Torque]],Table2[#Headers],0),0)</f>
        <v>0</v>
      </c>
      <c r="BM644" s="2">
        <f>VLOOKUP([jobnumber],OvalData[],MATCH(Table2[[#Headers],[Total Spring Weight]],Table2[#Headers],0),0)</f>
        <v>0</v>
      </c>
      <c r="BN644" s="2">
        <f>VLOOKUP([jobnumber],OvalData[],MATCH(Table2[[#Headers],[Pipe Weight]],Table2[#Headers],0),0)</f>
        <v>688.24239999999998</v>
      </c>
      <c r="BO644" s="2">
        <f>VLOOKUP([jobnumber],OvalData[],MATCH(Table2[[#Headers],[Max Pipe Deflection]],Table2[#Headers],0),0)</f>
        <v>2309</v>
      </c>
      <c r="BP644" s="2">
        <f>VLOOKUP([jobnumber],OvalData[],MATCH(Table2[[#Headers],[Number Non-Insulated Wrap Slats]],Table2[#Headers],0),0)</f>
        <v>0</v>
      </c>
      <c r="BQ644" s="2">
        <f>VLOOKUP([jobnumber],OvalData[],MATCH(Table2[[#Headers],[Number of Insolated Top Slats]],Table2[#Headers],0),0)</f>
        <v>45</v>
      </c>
      <c r="BR644" s="2">
        <f>VLOOKUP([jobnumber],OvalData[],MATCH(Table2[[#Headers],[Insolated Total Slats]],Table2[#Headers],0),0)</f>
        <v>45</v>
      </c>
      <c r="BS644" s="2">
        <f>VLOOKUP([jobnumber],OvalData[],MATCH(Table2[[#Headers],[Number of Slats]],Table2[#Headers],0),0)</f>
        <v>44.69</v>
      </c>
      <c r="BT644" s="2">
        <f>VLOOKUP([jobnumber],OvalData[],MATCH(Table2[[#Headers],[Wrap]],Table2[#Headers],0),0)</f>
        <v>0</v>
      </c>
      <c r="BU644" s="2">
        <f>VLOOKUP([jobnumber],OvalData[],MATCH(Table2[[#Headers],[Wall Angle Thickness]],Table2[#Headers],0),0)</f>
        <v>0</v>
      </c>
      <c r="BV644" s="2">
        <f>VLOOKUP([jobnumber],OvalData[],MATCH(Table2[[#Headers],[windlocks]],Table2[#Headers],0),0)</f>
        <v>0</v>
      </c>
      <c r="BW644" s="2" t="str">
        <f>VLOOKUP([jobnumber],OvalData[],MATCH(Table2[[#Headers],[bottombartype]],Table2[#Headers],0),0)</f>
        <v>SPECIAL</v>
      </c>
      <c r="BX644" s="2">
        <f>VLOOKUP([jobnumber],OvalData[],MATCH(Table2[[#Headers],[endlockweight]],Table2[#Headers],0),0)</f>
        <v>0.17</v>
      </c>
      <c r="BY644" s="2">
        <f>VLOOKUP([jobnumber],OvalData[],MATCH(Table2[[#Headers],[Endlock Total Weight]],Table2[#Headers],0),0)</f>
        <v>7.5972999999999997</v>
      </c>
      <c r="BZ644" s="2">
        <f>VLOOKUP([jobnumber],OvalData[],MATCH(Table2[[#Headers],[Grille Weight]],Table2[#Headers],0),0)</f>
        <v>0</v>
      </c>
      <c r="CA644" s="2">
        <f>VLOOKUP([jobnumber],OvalData[],MATCH(Table2[[#Headers],[barrelrings]],Table2[#Headers],0),0)</f>
        <v>1</v>
      </c>
    </row>
    <row r="645" spans="2:79">
      <c r="B645" s="2" t="str">
        <f>VLOOKUP([jobnumber],OvalData[],MATCH(Table2[[#Headers],[Hand]],Table2[#Headers],0),0)</f>
        <v>RH</v>
      </c>
      <c r="C645" s="2" t="str">
        <f>VLOOKUP([jobnumber],OvalData[],MATCH(Table2[[#Headers],[Model]],Table2[#Headers],0),0)</f>
        <v>SFMPP</v>
      </c>
      <c r="D645" s="2" t="str">
        <f>VLOOKUP([jobnumber],OvalData[],MATCH(Table2[[#Headers],[width]],Table2[#Headers],0),0)</f>
        <v xml:space="preserve"> 18 ft.- 2"</v>
      </c>
      <c r="E645" s="2" t="str">
        <f>VLOOKUP([jobnumber],OvalData[],MATCH(Table2[[#Headers],[stopheight]],Table2[#Headers],0),0)</f>
        <v xml:space="preserve"> 10 ft.- 0"</v>
      </c>
      <c r="F645" s="2" t="str">
        <f>VLOOKUP([jobnumber],OvalData[],MATCH(Table2[[#Headers],[Between Brackets]],Table2[#Headers],0),0)</f>
        <v xml:space="preserve"> 18 ft.- 7 7/ 8"</v>
      </c>
      <c r="G645" s="2" t="str">
        <f>VLOOKUP([jobnumber],OvalData[],MATCH(Table2[[#Headers],[shell]],Table2[#Headers],0),0)</f>
        <v>6 INCH TUBE</v>
      </c>
      <c r="H645" s="2" t="str">
        <f>VLOOKUP([jobnumber],OvalData[],MATCH(Table2[[#Headers],[pipewidth]],Table2[#Headers],0),0)</f>
        <v xml:space="preserve"> 18 ft.- 1 3/ 8"</v>
      </c>
      <c r="I645" s="2">
        <f>VLOOKUP([jobnumber],OvalData[],MATCH(Table2[[#Headers],[Support Tubes]],Table2[#Headers],0),0)</f>
        <v>0</v>
      </c>
      <c r="J645" s="2">
        <f>VLOOKUP([jobnumber],OvalData[],MATCH(Table2[[#Headers],[Upset]],Table2[#Headers],0),0)</f>
        <v>2</v>
      </c>
      <c r="K645" s="2" t="str">
        <f>VLOOKUP([jobnumber],OvalData[],MATCH(Table2[[#Headers],[Guide Type]],Table2[#Headers],0),0)</f>
        <v>SN2-4 5/8-E</v>
      </c>
      <c r="L645" s="2" t="str">
        <f>VLOOKUP([jobnumber],OvalData[],MATCH(Table2[[#Headers],[Wall Angle]],Table2[#Headers],0),0)</f>
        <v xml:space="preserve"> 11 ft.- 8"</v>
      </c>
      <c r="M645" s="2" t="str">
        <f>VLOOKUP([jobnumber],OvalData[],MATCH(Table2[[#Headers],[Middle Angle]],Table2[#Headers],0),0)</f>
        <v xml:space="preserve"> 10 ft.- 4 1/ 2"</v>
      </c>
      <c r="N645" s="2" t="str">
        <f>VLOOKUP([jobnumber],OvalData[],MATCH(Table2[[#Headers],[Front Angle]],Table2[#Headers],0),0)</f>
        <v xml:space="preserve"> 10 ft.- 3"</v>
      </c>
      <c r="O645" s="2">
        <f>VLOOKUP([jobnumber],OvalData[],MATCH(Table2[[#Headers],[Pipe Center Line]],Table2[#Headers],0),0)</f>
        <v>131</v>
      </c>
      <c r="P645" s="2">
        <f>VLOOKUP([jobnumber],OvalData[],MATCH(Table2[[#Headers],[Heat Expansion Gap]],Table2[#Headers],0),0)</f>
        <v>0</v>
      </c>
      <c r="Q645" s="2">
        <f>VLOOKUP([jobnumber],OvalData[],MATCH(Table2[[#Headers],[Hanging Weight Closed]],Table2[#Headers],0),0)</f>
        <v>795</v>
      </c>
      <c r="R645" s="2">
        <f>VLOOKUP([jobnumber],OvalData[],MATCH(Table2[[#Headers],[Hanging Weight Open]],Table2[#Headers],0),0)</f>
        <v>140</v>
      </c>
      <c r="S645" s="2">
        <f>VLOOKUP([jobnumber],OvalData[],MATCH(Table2[[#Headers],[Initial Lever Arm]],Table2[#Headers],0),0)</f>
        <v>4.25</v>
      </c>
      <c r="T645" s="2">
        <f>VLOOKUP([jobnumber],OvalData[],MATCH(Table2[[#Headers],[Turns to Raise]],Table2[#Headers],0),0)</f>
        <v>3.5859999999999999</v>
      </c>
      <c r="U645" s="2">
        <f>VLOOKUP([jobnumber],OvalData[],MATCH(Table2[[#Headers],[Final Lever Arm]],Table2[#Headers],0),0)</f>
        <v>6.37</v>
      </c>
      <c r="V645" s="2">
        <f>VLOOKUP([jobnumber],OvalData[],MATCH(Table2[[#Headers],[Torque Required Closed]],Table2[#Headers],0),0)</f>
        <v>3377.9</v>
      </c>
      <c r="W645" s="2">
        <f>VLOOKUP([jobnumber],OvalData[],MATCH(Table2[[#Headers],[Torque Required Open]],Table2[#Headers],0),0)</f>
        <v>892</v>
      </c>
      <c r="X645" s="2">
        <f>VLOOKUP([jobnumber],OvalData[],MATCH(Table2[[#Headers],[Pre Turns]],Table2[#Headers],0),0)</f>
        <v>1.3332999999999999</v>
      </c>
      <c r="Y645" s="2">
        <f>VLOOKUP([jobnumber],OvalData[],MATCH(Table2[[#Headers],[Required Torque Per Turn]],Table2[#Headers],0),0)</f>
        <v>688</v>
      </c>
      <c r="Z645" s="2">
        <f>VLOOKUP([jobnumber],OvalData[],MATCH(Table2[[#Headers],[Total Turns]],Table2[#Headers],0),0)</f>
        <v>4.91</v>
      </c>
      <c r="AA645" s="2">
        <f>VLOOKUP([jobnumber],OvalData[],MATCH(Table2[[#Headers],[Grille Vision Section]],Table2[#Headers],0),0)</f>
        <v>0</v>
      </c>
      <c r="AB645" s="2">
        <f>VLOOKUP([jobnumber],OvalData[],MATCH(Table2[[#Headers],[Grille Amount]],Table2[#Headers],0),0)</f>
        <v>0</v>
      </c>
      <c r="AC645" s="2">
        <f>VLOOKUP([jobnumber],OvalData[],MATCH(Table2[[#Headers],[Grille Center]],Table2[#Headers],0),0)</f>
        <v>0</v>
      </c>
      <c r="AD645" s="2">
        <f>VLOOKUP([jobnumber],OvalData[],MATCH(Table2[[#Headers],[Grille Pattern]],Table2[#Headers],0),0)</f>
        <v>0</v>
      </c>
      <c r="AE645" s="2">
        <f>VLOOKUP([jobnumber],OvalData[],MATCH(Table2[[#Headers],[Grille First Tube]],Table2[#Headers],0),0)</f>
        <v>0</v>
      </c>
      <c r="AF645" s="2">
        <f>VLOOKUP([jobnumber],OvalData[],MATCH(Table2[[#Headers],[Grille Standard Tube]],Table2[#Headers],0),0)</f>
        <v>0</v>
      </c>
      <c r="AG645" s="2">
        <f>VLOOKUP([jobnumber],OvalData[],MATCH(Table2[[#Headers],[Grille Total Links]],Table2[#Headers],0),0)</f>
        <v>0</v>
      </c>
      <c r="AH645" s="2">
        <f>VLOOKUP([jobnumber],OvalData[],MATCH(Table2[[#Headers],[Grille Rods]],Table2[#Headers],0),0)</f>
        <v>0</v>
      </c>
      <c r="AI645" s="2">
        <f>VLOOKUP([jobnumber],OvalData[],MATCH(Table2[[#Headers],[Grille Rod Length]],Table2[#Headers],0),0)</f>
        <v>0</v>
      </c>
      <c r="AJ645" s="2">
        <f>VLOOKUP([jobnumber],OvalData[],MATCH(Table2[[#Headers],[slattype]],Table2[#Headers],0),0)</f>
        <v>2</v>
      </c>
      <c r="AK645" s="2">
        <f>VLOOKUP([jobnumber],OvalData[],MATCH(Table2[[#Headers],[slatgage]],Table2[#Headers],0),0)</f>
        <v>18</v>
      </c>
      <c r="AL645" s="2">
        <f>VLOOKUP([jobnumber],OvalData[],MATCH(Table2[[#Headers],[Numer of Top Slats]],Table2[#Headers],0),0)</f>
        <v>0</v>
      </c>
      <c r="AM645" s="2">
        <f>VLOOKUP([jobnumber],OvalData[],MATCH(Table2[[#Headers],[Number of Bottom Slats]],Table2[#Headers],0),0)</f>
        <v>0</v>
      </c>
      <c r="AN645" s="2">
        <f>VLOOKUP([jobnumber],OvalData[],MATCH(Table2[[#Headers],[Solid Bottom Height]],Table2[#Headers],0),0)</f>
        <v>0</v>
      </c>
      <c r="AO645" s="2" t="str">
        <f>VLOOKUP([jobnumber],OvalData[],MATCH(Table2[[#Headers],[slatlength]],Table2[#Headers],0),0)</f>
        <v xml:space="preserve"> 18 ft.- 5 7/ 8"</v>
      </c>
      <c r="AP645" s="2">
        <f>VLOOKUP([jobnumber],OvalData[],MATCH(Table2[[#Headers],[Bottom Slat Length]],Table2[#Headers],0),0)</f>
        <v>0</v>
      </c>
      <c r="AQ645" s="2">
        <f>VLOOKUP([jobnumber],OvalData[],MATCH(Table2[[#Headers],[Number of Perferated Slats]],Table2[#Headers],0),0)</f>
        <v>0</v>
      </c>
      <c r="AR645" s="2">
        <f>VLOOKUP([jobnumber],OvalData[],MATCH(Table2[[#Headers],[First Preferated Slat From End]],Table2[#Headers],0),0)</f>
        <v>0</v>
      </c>
      <c r="AS645" s="2">
        <f>VLOOKUP([jobnumber],OvalData[],MATCH(Table2[[#Headers],[First Preferated Slat From Bottom]],Table2[#Headers],0),0)</f>
        <v>0</v>
      </c>
      <c r="AT645" s="2">
        <f>VLOOKUP([jobnumber],OvalData[],MATCH(Table2[[#Headers],[Total Number of Slats]],Table2[#Headers],0),0)</f>
        <v>51</v>
      </c>
      <c r="AU645" s="2">
        <f>VLOOKUP([jobnumber],OvalData[],MATCH(Table2[[#Headers],[Bottom Bar Slope]],Table2[#Headers],0),0)</f>
        <v>0</v>
      </c>
      <c r="AV645" s="2">
        <f>VLOOKUP([jobnumber],OvalData[],MATCH(Table2[[#Headers],[Bottom Bar Weight]],Table2[#Headers],0),0)</f>
        <v>80.5</v>
      </c>
      <c r="AW645" s="2" t="str">
        <f>VLOOKUP([jobnumber],OvalData[],MATCH(Table2[[#Headers],[Outer Spring Gage]],Table2[#Headers],0),0)</f>
        <v>Null</v>
      </c>
      <c r="AX645" s="2" t="str">
        <f>VLOOKUP([jobnumber],OvalData[],MATCH(Table2[[#Headers],[Outer Spring OD]],Table2[#Headers],0),0)</f>
        <v>Null</v>
      </c>
      <c r="AY645" s="2" t="str">
        <f>VLOOKUP([jobnumber],OvalData[],MATCH(Table2[[#Headers],[Outer Spring Length]],Table2[#Headers],0),0)</f>
        <v>Null</v>
      </c>
      <c r="AZ645" s="2" t="str">
        <f>VLOOKUP([jobnumber],OvalData[],MATCH(Table2[[#Headers],[Outer Spring Stretch]],Table2[#Headers],0),0)</f>
        <v>Null</v>
      </c>
      <c r="BA645" s="2" t="str">
        <f>VLOOKUP([jobnumber],OvalData[],MATCH(Table2[[#Headers],[Outer Spring Torque]],Table2[#Headers],0),0)</f>
        <v>Null</v>
      </c>
      <c r="BB645" s="2" t="str">
        <f>VLOOKUP([jobnumber],OvalData[],MATCH(Table2[[#Headers],[Outer Spring Max Turns]],Table2[#Headers],0),0)</f>
        <v>Null</v>
      </c>
      <c r="BC645" s="2" t="str">
        <f>VLOOKUP([jobnumber],OvalData[],MATCH(Table2[[#Headers],[Outer Spring Weight]],Table2[#Headers],0),0)</f>
        <v>Null</v>
      </c>
      <c r="BD645" s="2" t="str">
        <f>VLOOKUP([jobnumber],OvalData[],MATCH(Table2[[#Headers],[Inner Spring Gage]],Table2[#Headers],0),0)</f>
        <v>Null</v>
      </c>
      <c r="BE645" s="2" t="str">
        <f>VLOOKUP([jobnumber],OvalData[],MATCH(Table2[[#Headers],[Inner Spring OD]],Table2[#Headers],0),0)</f>
        <v>Null</v>
      </c>
      <c r="BF645" s="2" t="str">
        <f>VLOOKUP([jobnumber],OvalData[],MATCH(Table2[[#Headers],[Inner Spring Length]],Table2[#Headers],0),0)</f>
        <v>Null</v>
      </c>
      <c r="BG645" s="2" t="str">
        <f>VLOOKUP([jobnumber],OvalData[],MATCH(Table2[[#Headers],[Inner Spring Stretch]],Table2[#Headers],0),0)</f>
        <v>Null</v>
      </c>
      <c r="BH645" s="2" t="str">
        <f>VLOOKUP([jobnumber],OvalData[],MATCH(Table2[[#Headers],[Inner Spring Torque]],Table2[#Headers],0),0)</f>
        <v>Null</v>
      </c>
      <c r="BI645" s="2" t="str">
        <f>VLOOKUP([jobnumber],OvalData[],MATCH(Table2[[#Headers],[Inner Spring Max Turns]],Table2[#Headers],0),0)</f>
        <v>Null</v>
      </c>
      <c r="BJ645" s="2" t="str">
        <f>VLOOKUP([jobnumber],OvalData[],MATCH(Table2[[#Headers],[Inner Spring Weight]],Table2[#Headers],0),0)</f>
        <v>Null</v>
      </c>
      <c r="BK645" s="2">
        <f>VLOOKUP([jobnumber],OvalData[],MATCH(Table2[[#Headers],[Cycles]],Table2[#Headers],0),0)</f>
        <v>0</v>
      </c>
      <c r="BL645" s="2">
        <f>VLOOKUP([jobnumber],OvalData[],MATCH(Table2[[#Headers],[Total Spring Torque]],Table2[#Headers],0),0)</f>
        <v>0</v>
      </c>
      <c r="BM645" s="2">
        <f>VLOOKUP([jobnumber],OvalData[],MATCH(Table2[[#Headers],[Total Spring Weight]],Table2[#Headers],0),0)</f>
        <v>0</v>
      </c>
      <c r="BN645" s="2">
        <f>VLOOKUP([jobnumber],OvalData[],MATCH(Table2[[#Headers],[Pipe Weight]],Table2[#Headers],0),0)</f>
        <v>688.24239999999998</v>
      </c>
      <c r="BO645" s="2">
        <f>VLOOKUP([jobnumber],OvalData[],MATCH(Table2[[#Headers],[Max Pipe Deflection]],Table2[#Headers],0),0)</f>
        <v>2309</v>
      </c>
      <c r="BP645" s="2">
        <f>VLOOKUP([jobnumber],OvalData[],MATCH(Table2[[#Headers],[Number Non-Insulated Wrap Slats]],Table2[#Headers],0),0)</f>
        <v>0</v>
      </c>
      <c r="BQ645" s="2">
        <f>VLOOKUP([jobnumber],OvalData[],MATCH(Table2[[#Headers],[Number of Insolated Top Slats]],Table2[#Headers],0),0)</f>
        <v>45</v>
      </c>
      <c r="BR645" s="2">
        <f>VLOOKUP([jobnumber],OvalData[],MATCH(Table2[[#Headers],[Insolated Total Slats]],Table2[#Headers],0),0)</f>
        <v>45</v>
      </c>
      <c r="BS645" s="2">
        <f>VLOOKUP([jobnumber],OvalData[],MATCH(Table2[[#Headers],[Number of Slats]],Table2[#Headers],0),0)</f>
        <v>44.69</v>
      </c>
      <c r="BT645" s="2">
        <f>VLOOKUP([jobnumber],OvalData[],MATCH(Table2[[#Headers],[Wrap]],Table2[#Headers],0),0)</f>
        <v>0</v>
      </c>
      <c r="BU645" s="2">
        <f>VLOOKUP([jobnumber],OvalData[],MATCH(Table2[[#Headers],[Wall Angle Thickness]],Table2[#Headers],0),0)</f>
        <v>0</v>
      </c>
      <c r="BV645" s="2">
        <f>VLOOKUP([jobnumber],OvalData[],MATCH(Table2[[#Headers],[windlocks]],Table2[#Headers],0),0)</f>
        <v>0</v>
      </c>
      <c r="BW645" s="2" t="str">
        <f>VLOOKUP([jobnumber],OvalData[],MATCH(Table2[[#Headers],[bottombartype]],Table2[#Headers],0),0)</f>
        <v>SPECIAL</v>
      </c>
      <c r="BX645" s="2">
        <f>VLOOKUP([jobnumber],OvalData[],MATCH(Table2[[#Headers],[endlockweight]],Table2[#Headers],0),0)</f>
        <v>0.17</v>
      </c>
      <c r="BY645" s="2">
        <f>VLOOKUP([jobnumber],OvalData[],MATCH(Table2[[#Headers],[Endlock Total Weight]],Table2[#Headers],0),0)</f>
        <v>7.5972999999999997</v>
      </c>
      <c r="BZ645" s="2">
        <f>VLOOKUP([jobnumber],OvalData[],MATCH(Table2[[#Headers],[Grille Weight]],Table2[#Headers],0),0)</f>
        <v>0</v>
      </c>
      <c r="CA645" s="2">
        <f>VLOOKUP([jobnumber],OvalData[],MATCH(Table2[[#Headers],[barrelrings]],Table2[#Headers],0),0)</f>
        <v>1</v>
      </c>
    </row>
    <row r="646" spans="2:79">
      <c r="B646" s="2" t="str">
        <f>VLOOKUP([jobnumber],OvalData[],MATCH(Table2[[#Headers],[Hand]],Table2[#Headers],0),0)</f>
        <v>RH</v>
      </c>
      <c r="C646" s="2" t="str">
        <f>VLOOKUP([jobnumber],OvalData[],MATCH(Table2[[#Headers],[Model]],Table2[#Headers],0),0)</f>
        <v>SFMPP</v>
      </c>
      <c r="D646" s="2" t="str">
        <f>VLOOKUP([jobnumber],OvalData[],MATCH(Table2[[#Headers],[width]],Table2[#Headers],0),0)</f>
        <v xml:space="preserve"> 18 ft.- 2"</v>
      </c>
      <c r="E646" s="2" t="str">
        <f>VLOOKUP([jobnumber],OvalData[],MATCH(Table2[[#Headers],[stopheight]],Table2[#Headers],0),0)</f>
        <v xml:space="preserve"> 10 ft.- 0"</v>
      </c>
      <c r="F646" s="2" t="str">
        <f>VLOOKUP([jobnumber],OvalData[],MATCH(Table2[[#Headers],[Between Brackets]],Table2[#Headers],0),0)</f>
        <v xml:space="preserve"> 18 ft.- 7 7/ 8"</v>
      </c>
      <c r="G646" s="2" t="str">
        <f>VLOOKUP([jobnumber],OvalData[],MATCH(Table2[[#Headers],[shell]],Table2[#Headers],0),0)</f>
        <v>6 INCH TUBE</v>
      </c>
      <c r="H646" s="2" t="str">
        <f>VLOOKUP([jobnumber],OvalData[],MATCH(Table2[[#Headers],[pipewidth]],Table2[#Headers],0),0)</f>
        <v xml:space="preserve"> 18 ft.- 1 3/ 8"</v>
      </c>
      <c r="I646" s="2">
        <f>VLOOKUP([jobnumber],OvalData[],MATCH(Table2[[#Headers],[Support Tubes]],Table2[#Headers],0),0)</f>
        <v>0</v>
      </c>
      <c r="J646" s="2">
        <f>VLOOKUP([jobnumber],OvalData[],MATCH(Table2[[#Headers],[Upset]],Table2[#Headers],0),0)</f>
        <v>2</v>
      </c>
      <c r="K646" s="2" t="str">
        <f>VLOOKUP([jobnumber],OvalData[],MATCH(Table2[[#Headers],[Guide Type]],Table2[#Headers],0),0)</f>
        <v>SN2-4 5/8-E</v>
      </c>
      <c r="L646" s="2" t="str">
        <f>VLOOKUP([jobnumber],OvalData[],MATCH(Table2[[#Headers],[Wall Angle]],Table2[#Headers],0),0)</f>
        <v xml:space="preserve"> 11 ft.- 8"</v>
      </c>
      <c r="M646" s="2" t="str">
        <f>VLOOKUP([jobnumber],OvalData[],MATCH(Table2[[#Headers],[Middle Angle]],Table2[#Headers],0),0)</f>
        <v xml:space="preserve"> 10 ft.- 4 1/ 2"</v>
      </c>
      <c r="N646" s="2" t="str">
        <f>VLOOKUP([jobnumber],OvalData[],MATCH(Table2[[#Headers],[Front Angle]],Table2[#Headers],0),0)</f>
        <v xml:space="preserve"> 10 ft.- 3"</v>
      </c>
      <c r="O646" s="2">
        <f>VLOOKUP([jobnumber],OvalData[],MATCH(Table2[[#Headers],[Pipe Center Line]],Table2[#Headers],0),0)</f>
        <v>131</v>
      </c>
      <c r="P646" s="2">
        <f>VLOOKUP([jobnumber],OvalData[],MATCH(Table2[[#Headers],[Heat Expansion Gap]],Table2[#Headers],0),0)</f>
        <v>0</v>
      </c>
      <c r="Q646" s="2">
        <f>VLOOKUP([jobnumber],OvalData[],MATCH(Table2[[#Headers],[Hanging Weight Closed]],Table2[#Headers],0),0)</f>
        <v>795</v>
      </c>
      <c r="R646" s="2">
        <f>VLOOKUP([jobnumber],OvalData[],MATCH(Table2[[#Headers],[Hanging Weight Open]],Table2[#Headers],0),0)</f>
        <v>140</v>
      </c>
      <c r="S646" s="2">
        <f>VLOOKUP([jobnumber],OvalData[],MATCH(Table2[[#Headers],[Initial Lever Arm]],Table2[#Headers],0),0)</f>
        <v>4.25</v>
      </c>
      <c r="T646" s="2">
        <f>VLOOKUP([jobnumber],OvalData[],MATCH(Table2[[#Headers],[Turns to Raise]],Table2[#Headers],0),0)</f>
        <v>3.5859999999999999</v>
      </c>
      <c r="U646" s="2">
        <f>VLOOKUP([jobnumber],OvalData[],MATCH(Table2[[#Headers],[Final Lever Arm]],Table2[#Headers],0),0)</f>
        <v>6.37</v>
      </c>
      <c r="V646" s="2">
        <f>VLOOKUP([jobnumber],OvalData[],MATCH(Table2[[#Headers],[Torque Required Closed]],Table2[#Headers],0),0)</f>
        <v>3377.9</v>
      </c>
      <c r="W646" s="2">
        <f>VLOOKUP([jobnumber],OvalData[],MATCH(Table2[[#Headers],[Torque Required Open]],Table2[#Headers],0),0)</f>
        <v>892</v>
      </c>
      <c r="X646" s="2">
        <f>VLOOKUP([jobnumber],OvalData[],MATCH(Table2[[#Headers],[Pre Turns]],Table2[#Headers],0),0)</f>
        <v>1.3332999999999999</v>
      </c>
      <c r="Y646" s="2">
        <f>VLOOKUP([jobnumber],OvalData[],MATCH(Table2[[#Headers],[Required Torque Per Turn]],Table2[#Headers],0),0)</f>
        <v>688</v>
      </c>
      <c r="Z646" s="2">
        <f>VLOOKUP([jobnumber],OvalData[],MATCH(Table2[[#Headers],[Total Turns]],Table2[#Headers],0),0)</f>
        <v>4.91</v>
      </c>
      <c r="AA646" s="2">
        <f>VLOOKUP([jobnumber],OvalData[],MATCH(Table2[[#Headers],[Grille Vision Section]],Table2[#Headers],0),0)</f>
        <v>0</v>
      </c>
      <c r="AB646" s="2">
        <f>VLOOKUP([jobnumber],OvalData[],MATCH(Table2[[#Headers],[Grille Amount]],Table2[#Headers],0),0)</f>
        <v>0</v>
      </c>
      <c r="AC646" s="2">
        <f>VLOOKUP([jobnumber],OvalData[],MATCH(Table2[[#Headers],[Grille Center]],Table2[#Headers],0),0)</f>
        <v>0</v>
      </c>
      <c r="AD646" s="2">
        <f>VLOOKUP([jobnumber],OvalData[],MATCH(Table2[[#Headers],[Grille Pattern]],Table2[#Headers],0),0)</f>
        <v>0</v>
      </c>
      <c r="AE646" s="2">
        <f>VLOOKUP([jobnumber],OvalData[],MATCH(Table2[[#Headers],[Grille First Tube]],Table2[#Headers],0),0)</f>
        <v>0</v>
      </c>
      <c r="AF646" s="2">
        <f>VLOOKUP([jobnumber],OvalData[],MATCH(Table2[[#Headers],[Grille Standard Tube]],Table2[#Headers],0),0)</f>
        <v>0</v>
      </c>
      <c r="AG646" s="2">
        <f>VLOOKUP([jobnumber],OvalData[],MATCH(Table2[[#Headers],[Grille Total Links]],Table2[#Headers],0),0)</f>
        <v>0</v>
      </c>
      <c r="AH646" s="2">
        <f>VLOOKUP([jobnumber],OvalData[],MATCH(Table2[[#Headers],[Grille Rods]],Table2[#Headers],0),0)</f>
        <v>0</v>
      </c>
      <c r="AI646" s="2">
        <f>VLOOKUP([jobnumber],OvalData[],MATCH(Table2[[#Headers],[Grille Rod Length]],Table2[#Headers],0),0)</f>
        <v>0</v>
      </c>
      <c r="AJ646" s="2">
        <f>VLOOKUP([jobnumber],OvalData[],MATCH(Table2[[#Headers],[slattype]],Table2[#Headers],0),0)</f>
        <v>2</v>
      </c>
      <c r="AK646" s="2">
        <f>VLOOKUP([jobnumber],OvalData[],MATCH(Table2[[#Headers],[slatgage]],Table2[#Headers],0),0)</f>
        <v>18</v>
      </c>
      <c r="AL646" s="2">
        <f>VLOOKUP([jobnumber],OvalData[],MATCH(Table2[[#Headers],[Numer of Top Slats]],Table2[#Headers],0),0)</f>
        <v>0</v>
      </c>
      <c r="AM646" s="2">
        <f>VLOOKUP([jobnumber],OvalData[],MATCH(Table2[[#Headers],[Number of Bottom Slats]],Table2[#Headers],0),0)</f>
        <v>0</v>
      </c>
      <c r="AN646" s="2">
        <f>VLOOKUP([jobnumber],OvalData[],MATCH(Table2[[#Headers],[Solid Bottom Height]],Table2[#Headers],0),0)</f>
        <v>0</v>
      </c>
      <c r="AO646" s="2" t="str">
        <f>VLOOKUP([jobnumber],OvalData[],MATCH(Table2[[#Headers],[slatlength]],Table2[#Headers],0),0)</f>
        <v xml:space="preserve"> 18 ft.- 5 7/ 8"</v>
      </c>
      <c r="AP646" s="2">
        <f>VLOOKUP([jobnumber],OvalData[],MATCH(Table2[[#Headers],[Bottom Slat Length]],Table2[#Headers],0),0)</f>
        <v>0</v>
      </c>
      <c r="AQ646" s="2">
        <f>VLOOKUP([jobnumber],OvalData[],MATCH(Table2[[#Headers],[Number of Perferated Slats]],Table2[#Headers],0),0)</f>
        <v>0</v>
      </c>
      <c r="AR646" s="2">
        <f>VLOOKUP([jobnumber],OvalData[],MATCH(Table2[[#Headers],[First Preferated Slat From End]],Table2[#Headers],0),0)</f>
        <v>0</v>
      </c>
      <c r="AS646" s="2">
        <f>VLOOKUP([jobnumber],OvalData[],MATCH(Table2[[#Headers],[First Preferated Slat From Bottom]],Table2[#Headers],0),0)</f>
        <v>0</v>
      </c>
      <c r="AT646" s="2">
        <f>VLOOKUP([jobnumber],OvalData[],MATCH(Table2[[#Headers],[Total Number of Slats]],Table2[#Headers],0),0)</f>
        <v>51</v>
      </c>
      <c r="AU646" s="2">
        <f>VLOOKUP([jobnumber],OvalData[],MATCH(Table2[[#Headers],[Bottom Bar Slope]],Table2[#Headers],0),0)</f>
        <v>0</v>
      </c>
      <c r="AV646" s="2">
        <f>VLOOKUP([jobnumber],OvalData[],MATCH(Table2[[#Headers],[Bottom Bar Weight]],Table2[#Headers],0),0)</f>
        <v>80.5</v>
      </c>
      <c r="AW646" s="2" t="str">
        <f>VLOOKUP([jobnumber],OvalData[],MATCH(Table2[[#Headers],[Outer Spring Gage]],Table2[#Headers],0),0)</f>
        <v>Null</v>
      </c>
      <c r="AX646" s="2" t="str">
        <f>VLOOKUP([jobnumber],OvalData[],MATCH(Table2[[#Headers],[Outer Spring OD]],Table2[#Headers],0),0)</f>
        <v>Null</v>
      </c>
      <c r="AY646" s="2" t="str">
        <f>VLOOKUP([jobnumber],OvalData[],MATCH(Table2[[#Headers],[Outer Spring Length]],Table2[#Headers],0),0)</f>
        <v>Null</v>
      </c>
      <c r="AZ646" s="2" t="str">
        <f>VLOOKUP([jobnumber],OvalData[],MATCH(Table2[[#Headers],[Outer Spring Stretch]],Table2[#Headers],0),0)</f>
        <v>Null</v>
      </c>
      <c r="BA646" s="2" t="str">
        <f>VLOOKUP([jobnumber],OvalData[],MATCH(Table2[[#Headers],[Outer Spring Torque]],Table2[#Headers],0),0)</f>
        <v>Null</v>
      </c>
      <c r="BB646" s="2" t="str">
        <f>VLOOKUP([jobnumber],OvalData[],MATCH(Table2[[#Headers],[Outer Spring Max Turns]],Table2[#Headers],0),0)</f>
        <v>Null</v>
      </c>
      <c r="BC646" s="2" t="str">
        <f>VLOOKUP([jobnumber],OvalData[],MATCH(Table2[[#Headers],[Outer Spring Weight]],Table2[#Headers],0),0)</f>
        <v>Null</v>
      </c>
      <c r="BD646" s="2" t="str">
        <f>VLOOKUP([jobnumber],OvalData[],MATCH(Table2[[#Headers],[Inner Spring Gage]],Table2[#Headers],0),0)</f>
        <v>Null</v>
      </c>
      <c r="BE646" s="2" t="str">
        <f>VLOOKUP([jobnumber],OvalData[],MATCH(Table2[[#Headers],[Inner Spring OD]],Table2[#Headers],0),0)</f>
        <v>Null</v>
      </c>
      <c r="BF646" s="2" t="str">
        <f>VLOOKUP([jobnumber],OvalData[],MATCH(Table2[[#Headers],[Inner Spring Length]],Table2[#Headers],0),0)</f>
        <v>Null</v>
      </c>
      <c r="BG646" s="2" t="str">
        <f>VLOOKUP([jobnumber],OvalData[],MATCH(Table2[[#Headers],[Inner Spring Stretch]],Table2[#Headers],0),0)</f>
        <v>Null</v>
      </c>
      <c r="BH646" s="2" t="str">
        <f>VLOOKUP([jobnumber],OvalData[],MATCH(Table2[[#Headers],[Inner Spring Torque]],Table2[#Headers],0),0)</f>
        <v>Null</v>
      </c>
      <c r="BI646" s="2" t="str">
        <f>VLOOKUP([jobnumber],OvalData[],MATCH(Table2[[#Headers],[Inner Spring Max Turns]],Table2[#Headers],0),0)</f>
        <v>Null</v>
      </c>
      <c r="BJ646" s="2" t="str">
        <f>VLOOKUP([jobnumber],OvalData[],MATCH(Table2[[#Headers],[Inner Spring Weight]],Table2[#Headers],0),0)</f>
        <v>Null</v>
      </c>
      <c r="BK646" s="2">
        <f>VLOOKUP([jobnumber],OvalData[],MATCH(Table2[[#Headers],[Cycles]],Table2[#Headers],0),0)</f>
        <v>0</v>
      </c>
      <c r="BL646" s="2">
        <f>VLOOKUP([jobnumber],OvalData[],MATCH(Table2[[#Headers],[Total Spring Torque]],Table2[#Headers],0),0)</f>
        <v>0</v>
      </c>
      <c r="BM646" s="2">
        <f>VLOOKUP([jobnumber],OvalData[],MATCH(Table2[[#Headers],[Total Spring Weight]],Table2[#Headers],0),0)</f>
        <v>0</v>
      </c>
      <c r="BN646" s="2">
        <f>VLOOKUP([jobnumber],OvalData[],MATCH(Table2[[#Headers],[Pipe Weight]],Table2[#Headers],0),0)</f>
        <v>688.24239999999998</v>
      </c>
      <c r="BO646" s="2">
        <f>VLOOKUP([jobnumber],OvalData[],MATCH(Table2[[#Headers],[Max Pipe Deflection]],Table2[#Headers],0),0)</f>
        <v>2309</v>
      </c>
      <c r="BP646" s="2">
        <f>VLOOKUP([jobnumber],OvalData[],MATCH(Table2[[#Headers],[Number Non-Insulated Wrap Slats]],Table2[#Headers],0),0)</f>
        <v>0</v>
      </c>
      <c r="BQ646" s="2">
        <f>VLOOKUP([jobnumber],OvalData[],MATCH(Table2[[#Headers],[Number of Insolated Top Slats]],Table2[#Headers],0),0)</f>
        <v>45</v>
      </c>
      <c r="BR646" s="2">
        <f>VLOOKUP([jobnumber],OvalData[],MATCH(Table2[[#Headers],[Insolated Total Slats]],Table2[#Headers],0),0)</f>
        <v>45</v>
      </c>
      <c r="BS646" s="2">
        <f>VLOOKUP([jobnumber],OvalData[],MATCH(Table2[[#Headers],[Number of Slats]],Table2[#Headers],0),0)</f>
        <v>44.69</v>
      </c>
      <c r="BT646" s="2">
        <f>VLOOKUP([jobnumber],OvalData[],MATCH(Table2[[#Headers],[Wrap]],Table2[#Headers],0),0)</f>
        <v>0</v>
      </c>
      <c r="BU646" s="2">
        <f>VLOOKUP([jobnumber],OvalData[],MATCH(Table2[[#Headers],[Wall Angle Thickness]],Table2[#Headers],0),0)</f>
        <v>0</v>
      </c>
      <c r="BV646" s="2">
        <f>VLOOKUP([jobnumber],OvalData[],MATCH(Table2[[#Headers],[windlocks]],Table2[#Headers],0),0)</f>
        <v>0</v>
      </c>
      <c r="BW646" s="2" t="str">
        <f>VLOOKUP([jobnumber],OvalData[],MATCH(Table2[[#Headers],[bottombartype]],Table2[#Headers],0),0)</f>
        <v>SPECIAL</v>
      </c>
      <c r="BX646" s="2">
        <f>VLOOKUP([jobnumber],OvalData[],MATCH(Table2[[#Headers],[endlockweight]],Table2[#Headers],0),0)</f>
        <v>0.17</v>
      </c>
      <c r="BY646" s="2">
        <f>VLOOKUP([jobnumber],OvalData[],MATCH(Table2[[#Headers],[Endlock Total Weight]],Table2[#Headers],0),0)</f>
        <v>7.5972999999999997</v>
      </c>
      <c r="BZ646" s="2">
        <f>VLOOKUP([jobnumber],OvalData[],MATCH(Table2[[#Headers],[Grille Weight]],Table2[#Headers],0),0)</f>
        <v>0</v>
      </c>
      <c r="CA646" s="2">
        <f>VLOOKUP([jobnumber],OvalData[],MATCH(Table2[[#Headers],[barrelrings]],Table2[#Headers],0),0)</f>
        <v>1</v>
      </c>
    </row>
    <row r="647" spans="2:79">
      <c r="B647" s="2" t="str">
        <f>VLOOKUP([jobnumber],OvalData[],MATCH(Table2[[#Headers],[Hand]],Table2[#Headers],0),0)</f>
        <v>RH</v>
      </c>
      <c r="C647" s="2" t="str">
        <f>VLOOKUP([jobnumber],OvalData[],MATCH(Table2[[#Headers],[Model]],Table2[#Headers],0),0)</f>
        <v>SFMPP</v>
      </c>
      <c r="D647" s="2" t="str">
        <f>VLOOKUP([jobnumber],OvalData[],MATCH(Table2[[#Headers],[width]],Table2[#Headers],0),0)</f>
        <v xml:space="preserve"> 18 ft.- 2"</v>
      </c>
      <c r="E647" s="2" t="str">
        <f>VLOOKUP([jobnumber],OvalData[],MATCH(Table2[[#Headers],[stopheight]],Table2[#Headers],0),0)</f>
        <v xml:space="preserve"> 10 ft.- 0"</v>
      </c>
      <c r="F647" s="2" t="str">
        <f>VLOOKUP([jobnumber],OvalData[],MATCH(Table2[[#Headers],[Between Brackets]],Table2[#Headers],0),0)</f>
        <v xml:space="preserve"> 18 ft.- 7 7/ 8"</v>
      </c>
      <c r="G647" s="2" t="str">
        <f>VLOOKUP([jobnumber],OvalData[],MATCH(Table2[[#Headers],[shell]],Table2[#Headers],0),0)</f>
        <v>6 INCH TUBE</v>
      </c>
      <c r="H647" s="2" t="str">
        <f>VLOOKUP([jobnumber],OvalData[],MATCH(Table2[[#Headers],[pipewidth]],Table2[#Headers],0),0)</f>
        <v xml:space="preserve"> 18 ft.- 1 3/ 8"</v>
      </c>
      <c r="I647" s="2">
        <f>VLOOKUP([jobnumber],OvalData[],MATCH(Table2[[#Headers],[Support Tubes]],Table2[#Headers],0),0)</f>
        <v>0</v>
      </c>
      <c r="J647" s="2">
        <f>VLOOKUP([jobnumber],OvalData[],MATCH(Table2[[#Headers],[Upset]],Table2[#Headers],0),0)</f>
        <v>2</v>
      </c>
      <c r="K647" s="2" t="str">
        <f>VLOOKUP([jobnumber],OvalData[],MATCH(Table2[[#Headers],[Guide Type]],Table2[#Headers],0),0)</f>
        <v>SN2-4 5/8-E</v>
      </c>
      <c r="L647" s="2" t="str">
        <f>VLOOKUP([jobnumber],OvalData[],MATCH(Table2[[#Headers],[Wall Angle]],Table2[#Headers],0),0)</f>
        <v xml:space="preserve"> 11 ft.- 8"</v>
      </c>
      <c r="M647" s="2" t="str">
        <f>VLOOKUP([jobnumber],OvalData[],MATCH(Table2[[#Headers],[Middle Angle]],Table2[#Headers],0),0)</f>
        <v xml:space="preserve"> 10 ft.- 4 1/ 2"</v>
      </c>
      <c r="N647" s="2" t="str">
        <f>VLOOKUP([jobnumber],OvalData[],MATCH(Table2[[#Headers],[Front Angle]],Table2[#Headers],0),0)</f>
        <v xml:space="preserve"> 10 ft.- 3"</v>
      </c>
      <c r="O647" s="2">
        <f>VLOOKUP([jobnumber],OvalData[],MATCH(Table2[[#Headers],[Pipe Center Line]],Table2[#Headers],0),0)</f>
        <v>131</v>
      </c>
      <c r="P647" s="2">
        <f>VLOOKUP([jobnumber],OvalData[],MATCH(Table2[[#Headers],[Heat Expansion Gap]],Table2[#Headers],0),0)</f>
        <v>0</v>
      </c>
      <c r="Q647" s="2">
        <f>VLOOKUP([jobnumber],OvalData[],MATCH(Table2[[#Headers],[Hanging Weight Closed]],Table2[#Headers],0),0)</f>
        <v>795</v>
      </c>
      <c r="R647" s="2">
        <f>VLOOKUP([jobnumber],OvalData[],MATCH(Table2[[#Headers],[Hanging Weight Open]],Table2[#Headers],0),0)</f>
        <v>140</v>
      </c>
      <c r="S647" s="2">
        <f>VLOOKUP([jobnumber],OvalData[],MATCH(Table2[[#Headers],[Initial Lever Arm]],Table2[#Headers],0),0)</f>
        <v>4.25</v>
      </c>
      <c r="T647" s="2">
        <f>VLOOKUP([jobnumber],OvalData[],MATCH(Table2[[#Headers],[Turns to Raise]],Table2[#Headers],0),0)</f>
        <v>3.5859999999999999</v>
      </c>
      <c r="U647" s="2">
        <f>VLOOKUP([jobnumber],OvalData[],MATCH(Table2[[#Headers],[Final Lever Arm]],Table2[#Headers],0),0)</f>
        <v>6.37</v>
      </c>
      <c r="V647" s="2">
        <f>VLOOKUP([jobnumber],OvalData[],MATCH(Table2[[#Headers],[Torque Required Closed]],Table2[#Headers],0),0)</f>
        <v>3377.9</v>
      </c>
      <c r="W647" s="2">
        <f>VLOOKUP([jobnumber],OvalData[],MATCH(Table2[[#Headers],[Torque Required Open]],Table2[#Headers],0),0)</f>
        <v>892</v>
      </c>
      <c r="X647" s="2">
        <f>VLOOKUP([jobnumber],OvalData[],MATCH(Table2[[#Headers],[Pre Turns]],Table2[#Headers],0),0)</f>
        <v>1.3332999999999999</v>
      </c>
      <c r="Y647" s="2">
        <f>VLOOKUP([jobnumber],OvalData[],MATCH(Table2[[#Headers],[Required Torque Per Turn]],Table2[#Headers],0),0)</f>
        <v>688</v>
      </c>
      <c r="Z647" s="2">
        <f>VLOOKUP([jobnumber],OvalData[],MATCH(Table2[[#Headers],[Total Turns]],Table2[#Headers],0),0)</f>
        <v>4.91</v>
      </c>
      <c r="AA647" s="2">
        <f>VLOOKUP([jobnumber],OvalData[],MATCH(Table2[[#Headers],[Grille Vision Section]],Table2[#Headers],0),0)</f>
        <v>0</v>
      </c>
      <c r="AB647" s="2">
        <f>VLOOKUP([jobnumber],OvalData[],MATCH(Table2[[#Headers],[Grille Amount]],Table2[#Headers],0),0)</f>
        <v>0</v>
      </c>
      <c r="AC647" s="2">
        <f>VLOOKUP([jobnumber],OvalData[],MATCH(Table2[[#Headers],[Grille Center]],Table2[#Headers],0),0)</f>
        <v>0</v>
      </c>
      <c r="AD647" s="2">
        <f>VLOOKUP([jobnumber],OvalData[],MATCH(Table2[[#Headers],[Grille Pattern]],Table2[#Headers],0),0)</f>
        <v>0</v>
      </c>
      <c r="AE647" s="2">
        <f>VLOOKUP([jobnumber],OvalData[],MATCH(Table2[[#Headers],[Grille First Tube]],Table2[#Headers],0),0)</f>
        <v>0</v>
      </c>
      <c r="AF647" s="2">
        <f>VLOOKUP([jobnumber],OvalData[],MATCH(Table2[[#Headers],[Grille Standard Tube]],Table2[#Headers],0),0)</f>
        <v>0</v>
      </c>
      <c r="AG647" s="2">
        <f>VLOOKUP([jobnumber],OvalData[],MATCH(Table2[[#Headers],[Grille Total Links]],Table2[#Headers],0),0)</f>
        <v>0</v>
      </c>
      <c r="AH647" s="2">
        <f>VLOOKUP([jobnumber],OvalData[],MATCH(Table2[[#Headers],[Grille Rods]],Table2[#Headers],0),0)</f>
        <v>0</v>
      </c>
      <c r="AI647" s="2">
        <f>VLOOKUP([jobnumber],OvalData[],MATCH(Table2[[#Headers],[Grille Rod Length]],Table2[#Headers],0),0)</f>
        <v>0</v>
      </c>
      <c r="AJ647" s="2">
        <f>VLOOKUP([jobnumber],OvalData[],MATCH(Table2[[#Headers],[slattype]],Table2[#Headers],0),0)</f>
        <v>2</v>
      </c>
      <c r="AK647" s="2">
        <f>VLOOKUP([jobnumber],OvalData[],MATCH(Table2[[#Headers],[slatgage]],Table2[#Headers],0),0)</f>
        <v>18</v>
      </c>
      <c r="AL647" s="2">
        <f>VLOOKUP([jobnumber],OvalData[],MATCH(Table2[[#Headers],[Numer of Top Slats]],Table2[#Headers],0),0)</f>
        <v>0</v>
      </c>
      <c r="AM647" s="2">
        <f>VLOOKUP([jobnumber],OvalData[],MATCH(Table2[[#Headers],[Number of Bottom Slats]],Table2[#Headers],0),0)</f>
        <v>0</v>
      </c>
      <c r="AN647" s="2">
        <f>VLOOKUP([jobnumber],OvalData[],MATCH(Table2[[#Headers],[Solid Bottom Height]],Table2[#Headers],0),0)</f>
        <v>0</v>
      </c>
      <c r="AO647" s="2" t="str">
        <f>VLOOKUP([jobnumber],OvalData[],MATCH(Table2[[#Headers],[slatlength]],Table2[#Headers],0),0)</f>
        <v xml:space="preserve"> 18 ft.- 5 7/ 8"</v>
      </c>
      <c r="AP647" s="2">
        <f>VLOOKUP([jobnumber],OvalData[],MATCH(Table2[[#Headers],[Bottom Slat Length]],Table2[#Headers],0),0)</f>
        <v>0</v>
      </c>
      <c r="AQ647" s="2">
        <f>VLOOKUP([jobnumber],OvalData[],MATCH(Table2[[#Headers],[Number of Perferated Slats]],Table2[#Headers],0),0)</f>
        <v>0</v>
      </c>
      <c r="AR647" s="2">
        <f>VLOOKUP([jobnumber],OvalData[],MATCH(Table2[[#Headers],[First Preferated Slat From End]],Table2[#Headers],0),0)</f>
        <v>0</v>
      </c>
      <c r="AS647" s="2">
        <f>VLOOKUP([jobnumber],OvalData[],MATCH(Table2[[#Headers],[First Preferated Slat From Bottom]],Table2[#Headers],0),0)</f>
        <v>0</v>
      </c>
      <c r="AT647" s="2">
        <f>VLOOKUP([jobnumber],OvalData[],MATCH(Table2[[#Headers],[Total Number of Slats]],Table2[#Headers],0),0)</f>
        <v>51</v>
      </c>
      <c r="AU647" s="2">
        <f>VLOOKUP([jobnumber],OvalData[],MATCH(Table2[[#Headers],[Bottom Bar Slope]],Table2[#Headers],0),0)</f>
        <v>0</v>
      </c>
      <c r="AV647" s="2">
        <f>VLOOKUP([jobnumber],OvalData[],MATCH(Table2[[#Headers],[Bottom Bar Weight]],Table2[#Headers],0),0)</f>
        <v>80.5</v>
      </c>
      <c r="AW647" s="2" t="str">
        <f>VLOOKUP([jobnumber],OvalData[],MATCH(Table2[[#Headers],[Outer Spring Gage]],Table2[#Headers],0),0)</f>
        <v>Null</v>
      </c>
      <c r="AX647" s="2" t="str">
        <f>VLOOKUP([jobnumber],OvalData[],MATCH(Table2[[#Headers],[Outer Spring OD]],Table2[#Headers],0),0)</f>
        <v>Null</v>
      </c>
      <c r="AY647" s="2" t="str">
        <f>VLOOKUP([jobnumber],OvalData[],MATCH(Table2[[#Headers],[Outer Spring Length]],Table2[#Headers],0),0)</f>
        <v>Null</v>
      </c>
      <c r="AZ647" s="2" t="str">
        <f>VLOOKUP([jobnumber],OvalData[],MATCH(Table2[[#Headers],[Outer Spring Stretch]],Table2[#Headers],0),0)</f>
        <v>Null</v>
      </c>
      <c r="BA647" s="2" t="str">
        <f>VLOOKUP([jobnumber],OvalData[],MATCH(Table2[[#Headers],[Outer Spring Torque]],Table2[#Headers],0),0)</f>
        <v>Null</v>
      </c>
      <c r="BB647" s="2" t="str">
        <f>VLOOKUP([jobnumber],OvalData[],MATCH(Table2[[#Headers],[Outer Spring Max Turns]],Table2[#Headers],0),0)</f>
        <v>Null</v>
      </c>
      <c r="BC647" s="2" t="str">
        <f>VLOOKUP([jobnumber],OvalData[],MATCH(Table2[[#Headers],[Outer Spring Weight]],Table2[#Headers],0),0)</f>
        <v>Null</v>
      </c>
      <c r="BD647" s="2" t="str">
        <f>VLOOKUP([jobnumber],OvalData[],MATCH(Table2[[#Headers],[Inner Spring Gage]],Table2[#Headers],0),0)</f>
        <v>Null</v>
      </c>
      <c r="BE647" s="2" t="str">
        <f>VLOOKUP([jobnumber],OvalData[],MATCH(Table2[[#Headers],[Inner Spring OD]],Table2[#Headers],0),0)</f>
        <v>Null</v>
      </c>
      <c r="BF647" s="2" t="str">
        <f>VLOOKUP([jobnumber],OvalData[],MATCH(Table2[[#Headers],[Inner Spring Length]],Table2[#Headers],0),0)</f>
        <v>Null</v>
      </c>
      <c r="BG647" s="2" t="str">
        <f>VLOOKUP([jobnumber],OvalData[],MATCH(Table2[[#Headers],[Inner Spring Stretch]],Table2[#Headers],0),0)</f>
        <v>Null</v>
      </c>
      <c r="BH647" s="2" t="str">
        <f>VLOOKUP([jobnumber],OvalData[],MATCH(Table2[[#Headers],[Inner Spring Torque]],Table2[#Headers],0),0)</f>
        <v>Null</v>
      </c>
      <c r="BI647" s="2" t="str">
        <f>VLOOKUP([jobnumber],OvalData[],MATCH(Table2[[#Headers],[Inner Spring Max Turns]],Table2[#Headers],0),0)</f>
        <v>Null</v>
      </c>
      <c r="BJ647" s="2" t="str">
        <f>VLOOKUP([jobnumber],OvalData[],MATCH(Table2[[#Headers],[Inner Spring Weight]],Table2[#Headers],0),0)</f>
        <v>Null</v>
      </c>
      <c r="BK647" s="2">
        <f>VLOOKUP([jobnumber],OvalData[],MATCH(Table2[[#Headers],[Cycles]],Table2[#Headers],0),0)</f>
        <v>0</v>
      </c>
      <c r="BL647" s="2">
        <f>VLOOKUP([jobnumber],OvalData[],MATCH(Table2[[#Headers],[Total Spring Torque]],Table2[#Headers],0),0)</f>
        <v>0</v>
      </c>
      <c r="BM647" s="2">
        <f>VLOOKUP([jobnumber],OvalData[],MATCH(Table2[[#Headers],[Total Spring Weight]],Table2[#Headers],0),0)</f>
        <v>0</v>
      </c>
      <c r="BN647" s="2">
        <f>VLOOKUP([jobnumber],OvalData[],MATCH(Table2[[#Headers],[Pipe Weight]],Table2[#Headers],0),0)</f>
        <v>688.24239999999998</v>
      </c>
      <c r="BO647" s="2">
        <f>VLOOKUP([jobnumber],OvalData[],MATCH(Table2[[#Headers],[Max Pipe Deflection]],Table2[#Headers],0),0)</f>
        <v>2309</v>
      </c>
      <c r="BP647" s="2">
        <f>VLOOKUP([jobnumber],OvalData[],MATCH(Table2[[#Headers],[Number Non-Insulated Wrap Slats]],Table2[#Headers],0),0)</f>
        <v>0</v>
      </c>
      <c r="BQ647" s="2">
        <f>VLOOKUP([jobnumber],OvalData[],MATCH(Table2[[#Headers],[Number of Insolated Top Slats]],Table2[#Headers],0),0)</f>
        <v>45</v>
      </c>
      <c r="BR647" s="2">
        <f>VLOOKUP([jobnumber],OvalData[],MATCH(Table2[[#Headers],[Insolated Total Slats]],Table2[#Headers],0),0)</f>
        <v>45</v>
      </c>
      <c r="BS647" s="2">
        <f>VLOOKUP([jobnumber],OvalData[],MATCH(Table2[[#Headers],[Number of Slats]],Table2[#Headers],0),0)</f>
        <v>44.69</v>
      </c>
      <c r="BT647" s="2">
        <f>VLOOKUP([jobnumber],OvalData[],MATCH(Table2[[#Headers],[Wrap]],Table2[#Headers],0),0)</f>
        <v>0</v>
      </c>
      <c r="BU647" s="2">
        <f>VLOOKUP([jobnumber],OvalData[],MATCH(Table2[[#Headers],[Wall Angle Thickness]],Table2[#Headers],0),0)</f>
        <v>0</v>
      </c>
      <c r="BV647" s="2">
        <f>VLOOKUP([jobnumber],OvalData[],MATCH(Table2[[#Headers],[windlocks]],Table2[#Headers],0),0)</f>
        <v>0</v>
      </c>
      <c r="BW647" s="2" t="str">
        <f>VLOOKUP([jobnumber],OvalData[],MATCH(Table2[[#Headers],[bottombartype]],Table2[#Headers],0),0)</f>
        <v>SPECIAL</v>
      </c>
      <c r="BX647" s="2">
        <f>VLOOKUP([jobnumber],OvalData[],MATCH(Table2[[#Headers],[endlockweight]],Table2[#Headers],0),0)</f>
        <v>0.17</v>
      </c>
      <c r="BY647" s="2">
        <f>VLOOKUP([jobnumber],OvalData[],MATCH(Table2[[#Headers],[Endlock Total Weight]],Table2[#Headers],0),0)</f>
        <v>7.5972999999999997</v>
      </c>
      <c r="BZ647" s="2">
        <f>VLOOKUP([jobnumber],OvalData[],MATCH(Table2[[#Headers],[Grille Weight]],Table2[#Headers],0),0)</f>
        <v>0</v>
      </c>
      <c r="CA647" s="2">
        <f>VLOOKUP([jobnumber],OvalData[],MATCH(Table2[[#Headers],[barrelrings]],Table2[#Headers],0),0)</f>
        <v>1</v>
      </c>
    </row>
    <row r="648" spans="2:79">
      <c r="B648" s="2" t="str">
        <f>VLOOKUP([jobnumber],OvalData[],MATCH(Table2[[#Headers],[Hand]],Table2[#Headers],0),0)</f>
        <v>RH</v>
      </c>
      <c r="C648" s="2" t="str">
        <f>VLOOKUP([jobnumber],OvalData[],MATCH(Table2[[#Headers],[Model]],Table2[#Headers],0),0)</f>
        <v>SFMPP</v>
      </c>
      <c r="D648" s="2" t="str">
        <f>VLOOKUP([jobnumber],OvalData[],MATCH(Table2[[#Headers],[width]],Table2[#Headers],0),0)</f>
        <v xml:space="preserve"> 18 ft.- 2"</v>
      </c>
      <c r="E648" s="2" t="str">
        <f>VLOOKUP([jobnumber],OvalData[],MATCH(Table2[[#Headers],[stopheight]],Table2[#Headers],0),0)</f>
        <v xml:space="preserve"> 10 ft.- 0"</v>
      </c>
      <c r="F648" s="2" t="str">
        <f>VLOOKUP([jobnumber],OvalData[],MATCH(Table2[[#Headers],[Between Brackets]],Table2[#Headers],0),0)</f>
        <v xml:space="preserve"> 18 ft.- 7 7/ 8"</v>
      </c>
      <c r="G648" s="2" t="str">
        <f>VLOOKUP([jobnumber],OvalData[],MATCH(Table2[[#Headers],[shell]],Table2[#Headers],0),0)</f>
        <v>6 INCH TUBE</v>
      </c>
      <c r="H648" s="2" t="str">
        <f>VLOOKUP([jobnumber],OvalData[],MATCH(Table2[[#Headers],[pipewidth]],Table2[#Headers],0),0)</f>
        <v xml:space="preserve"> 18 ft.- 1 3/ 8"</v>
      </c>
      <c r="I648" s="2">
        <f>VLOOKUP([jobnumber],OvalData[],MATCH(Table2[[#Headers],[Support Tubes]],Table2[#Headers],0),0)</f>
        <v>0</v>
      </c>
      <c r="J648" s="2">
        <f>VLOOKUP([jobnumber],OvalData[],MATCH(Table2[[#Headers],[Upset]],Table2[#Headers],0),0)</f>
        <v>2</v>
      </c>
      <c r="K648" s="2" t="str">
        <f>VLOOKUP([jobnumber],OvalData[],MATCH(Table2[[#Headers],[Guide Type]],Table2[#Headers],0),0)</f>
        <v>SN2-4 5/8-E</v>
      </c>
      <c r="L648" s="2" t="str">
        <f>VLOOKUP([jobnumber],OvalData[],MATCH(Table2[[#Headers],[Wall Angle]],Table2[#Headers],0),0)</f>
        <v xml:space="preserve"> 11 ft.- 8"</v>
      </c>
      <c r="M648" s="2" t="str">
        <f>VLOOKUP([jobnumber],OvalData[],MATCH(Table2[[#Headers],[Middle Angle]],Table2[#Headers],0),0)</f>
        <v xml:space="preserve"> 10 ft.- 4 1/ 2"</v>
      </c>
      <c r="N648" s="2" t="str">
        <f>VLOOKUP([jobnumber],OvalData[],MATCH(Table2[[#Headers],[Front Angle]],Table2[#Headers],0),0)</f>
        <v xml:space="preserve"> 10 ft.- 3"</v>
      </c>
      <c r="O648" s="2">
        <f>VLOOKUP([jobnumber],OvalData[],MATCH(Table2[[#Headers],[Pipe Center Line]],Table2[#Headers],0),0)</f>
        <v>131</v>
      </c>
      <c r="P648" s="2">
        <f>VLOOKUP([jobnumber],OvalData[],MATCH(Table2[[#Headers],[Heat Expansion Gap]],Table2[#Headers],0),0)</f>
        <v>0</v>
      </c>
      <c r="Q648" s="2">
        <f>VLOOKUP([jobnumber],OvalData[],MATCH(Table2[[#Headers],[Hanging Weight Closed]],Table2[#Headers],0),0)</f>
        <v>795</v>
      </c>
      <c r="R648" s="2">
        <f>VLOOKUP([jobnumber],OvalData[],MATCH(Table2[[#Headers],[Hanging Weight Open]],Table2[#Headers],0),0)</f>
        <v>140</v>
      </c>
      <c r="S648" s="2">
        <f>VLOOKUP([jobnumber],OvalData[],MATCH(Table2[[#Headers],[Initial Lever Arm]],Table2[#Headers],0),0)</f>
        <v>4.25</v>
      </c>
      <c r="T648" s="2">
        <f>VLOOKUP([jobnumber],OvalData[],MATCH(Table2[[#Headers],[Turns to Raise]],Table2[#Headers],0),0)</f>
        <v>3.5859999999999999</v>
      </c>
      <c r="U648" s="2">
        <f>VLOOKUP([jobnumber],OvalData[],MATCH(Table2[[#Headers],[Final Lever Arm]],Table2[#Headers],0),0)</f>
        <v>6.37</v>
      </c>
      <c r="V648" s="2">
        <f>VLOOKUP([jobnumber],OvalData[],MATCH(Table2[[#Headers],[Torque Required Closed]],Table2[#Headers],0),0)</f>
        <v>3377.9</v>
      </c>
      <c r="W648" s="2">
        <f>VLOOKUP([jobnumber],OvalData[],MATCH(Table2[[#Headers],[Torque Required Open]],Table2[#Headers],0),0)</f>
        <v>892</v>
      </c>
      <c r="X648" s="2">
        <f>VLOOKUP([jobnumber],OvalData[],MATCH(Table2[[#Headers],[Pre Turns]],Table2[#Headers],0),0)</f>
        <v>1.3332999999999999</v>
      </c>
      <c r="Y648" s="2">
        <f>VLOOKUP([jobnumber],OvalData[],MATCH(Table2[[#Headers],[Required Torque Per Turn]],Table2[#Headers],0),0)</f>
        <v>688</v>
      </c>
      <c r="Z648" s="2">
        <f>VLOOKUP([jobnumber],OvalData[],MATCH(Table2[[#Headers],[Total Turns]],Table2[#Headers],0),0)</f>
        <v>4.91</v>
      </c>
      <c r="AA648" s="2">
        <f>VLOOKUP([jobnumber],OvalData[],MATCH(Table2[[#Headers],[Grille Vision Section]],Table2[#Headers],0),0)</f>
        <v>0</v>
      </c>
      <c r="AB648" s="2">
        <f>VLOOKUP([jobnumber],OvalData[],MATCH(Table2[[#Headers],[Grille Amount]],Table2[#Headers],0),0)</f>
        <v>0</v>
      </c>
      <c r="AC648" s="2">
        <f>VLOOKUP([jobnumber],OvalData[],MATCH(Table2[[#Headers],[Grille Center]],Table2[#Headers],0),0)</f>
        <v>0</v>
      </c>
      <c r="AD648" s="2">
        <f>VLOOKUP([jobnumber],OvalData[],MATCH(Table2[[#Headers],[Grille Pattern]],Table2[#Headers],0),0)</f>
        <v>0</v>
      </c>
      <c r="AE648" s="2">
        <f>VLOOKUP([jobnumber],OvalData[],MATCH(Table2[[#Headers],[Grille First Tube]],Table2[#Headers],0),0)</f>
        <v>0</v>
      </c>
      <c r="AF648" s="2">
        <f>VLOOKUP([jobnumber],OvalData[],MATCH(Table2[[#Headers],[Grille Standard Tube]],Table2[#Headers],0),0)</f>
        <v>0</v>
      </c>
      <c r="AG648" s="2">
        <f>VLOOKUP([jobnumber],OvalData[],MATCH(Table2[[#Headers],[Grille Total Links]],Table2[#Headers],0),0)</f>
        <v>0</v>
      </c>
      <c r="AH648" s="2">
        <f>VLOOKUP([jobnumber],OvalData[],MATCH(Table2[[#Headers],[Grille Rods]],Table2[#Headers],0),0)</f>
        <v>0</v>
      </c>
      <c r="AI648" s="2">
        <f>VLOOKUP([jobnumber],OvalData[],MATCH(Table2[[#Headers],[Grille Rod Length]],Table2[#Headers],0),0)</f>
        <v>0</v>
      </c>
      <c r="AJ648" s="2">
        <f>VLOOKUP([jobnumber],OvalData[],MATCH(Table2[[#Headers],[slattype]],Table2[#Headers],0),0)</f>
        <v>2</v>
      </c>
      <c r="AK648" s="2">
        <f>VLOOKUP([jobnumber],OvalData[],MATCH(Table2[[#Headers],[slatgage]],Table2[#Headers],0),0)</f>
        <v>18</v>
      </c>
      <c r="AL648" s="2">
        <f>VLOOKUP([jobnumber],OvalData[],MATCH(Table2[[#Headers],[Numer of Top Slats]],Table2[#Headers],0),0)</f>
        <v>0</v>
      </c>
      <c r="AM648" s="2">
        <f>VLOOKUP([jobnumber],OvalData[],MATCH(Table2[[#Headers],[Number of Bottom Slats]],Table2[#Headers],0),0)</f>
        <v>0</v>
      </c>
      <c r="AN648" s="2">
        <f>VLOOKUP([jobnumber],OvalData[],MATCH(Table2[[#Headers],[Solid Bottom Height]],Table2[#Headers],0),0)</f>
        <v>0</v>
      </c>
      <c r="AO648" s="2" t="str">
        <f>VLOOKUP([jobnumber],OvalData[],MATCH(Table2[[#Headers],[slatlength]],Table2[#Headers],0),0)</f>
        <v xml:space="preserve"> 18 ft.- 5 7/ 8"</v>
      </c>
      <c r="AP648" s="2">
        <f>VLOOKUP([jobnumber],OvalData[],MATCH(Table2[[#Headers],[Bottom Slat Length]],Table2[#Headers],0),0)</f>
        <v>0</v>
      </c>
      <c r="AQ648" s="2">
        <f>VLOOKUP([jobnumber],OvalData[],MATCH(Table2[[#Headers],[Number of Perferated Slats]],Table2[#Headers],0),0)</f>
        <v>0</v>
      </c>
      <c r="AR648" s="2">
        <f>VLOOKUP([jobnumber],OvalData[],MATCH(Table2[[#Headers],[First Preferated Slat From End]],Table2[#Headers],0),0)</f>
        <v>0</v>
      </c>
      <c r="AS648" s="2">
        <f>VLOOKUP([jobnumber],OvalData[],MATCH(Table2[[#Headers],[First Preferated Slat From Bottom]],Table2[#Headers],0),0)</f>
        <v>0</v>
      </c>
      <c r="AT648" s="2">
        <f>VLOOKUP([jobnumber],OvalData[],MATCH(Table2[[#Headers],[Total Number of Slats]],Table2[#Headers],0),0)</f>
        <v>51</v>
      </c>
      <c r="AU648" s="2">
        <f>VLOOKUP([jobnumber],OvalData[],MATCH(Table2[[#Headers],[Bottom Bar Slope]],Table2[#Headers],0),0)</f>
        <v>0</v>
      </c>
      <c r="AV648" s="2">
        <f>VLOOKUP([jobnumber],OvalData[],MATCH(Table2[[#Headers],[Bottom Bar Weight]],Table2[#Headers],0),0)</f>
        <v>80.5</v>
      </c>
      <c r="AW648" s="2" t="str">
        <f>VLOOKUP([jobnumber],OvalData[],MATCH(Table2[[#Headers],[Outer Spring Gage]],Table2[#Headers],0),0)</f>
        <v>Null</v>
      </c>
      <c r="AX648" s="2" t="str">
        <f>VLOOKUP([jobnumber],OvalData[],MATCH(Table2[[#Headers],[Outer Spring OD]],Table2[#Headers],0),0)</f>
        <v>Null</v>
      </c>
      <c r="AY648" s="2" t="str">
        <f>VLOOKUP([jobnumber],OvalData[],MATCH(Table2[[#Headers],[Outer Spring Length]],Table2[#Headers],0),0)</f>
        <v>Null</v>
      </c>
      <c r="AZ648" s="2" t="str">
        <f>VLOOKUP([jobnumber],OvalData[],MATCH(Table2[[#Headers],[Outer Spring Stretch]],Table2[#Headers],0),0)</f>
        <v>Null</v>
      </c>
      <c r="BA648" s="2" t="str">
        <f>VLOOKUP([jobnumber],OvalData[],MATCH(Table2[[#Headers],[Outer Spring Torque]],Table2[#Headers],0),0)</f>
        <v>Null</v>
      </c>
      <c r="BB648" s="2" t="str">
        <f>VLOOKUP([jobnumber],OvalData[],MATCH(Table2[[#Headers],[Outer Spring Max Turns]],Table2[#Headers],0),0)</f>
        <v>Null</v>
      </c>
      <c r="BC648" s="2" t="str">
        <f>VLOOKUP([jobnumber],OvalData[],MATCH(Table2[[#Headers],[Outer Spring Weight]],Table2[#Headers],0),0)</f>
        <v>Null</v>
      </c>
      <c r="BD648" s="2" t="str">
        <f>VLOOKUP([jobnumber],OvalData[],MATCH(Table2[[#Headers],[Inner Spring Gage]],Table2[#Headers],0),0)</f>
        <v>Null</v>
      </c>
      <c r="BE648" s="2" t="str">
        <f>VLOOKUP([jobnumber],OvalData[],MATCH(Table2[[#Headers],[Inner Spring OD]],Table2[#Headers],0),0)</f>
        <v>Null</v>
      </c>
      <c r="BF648" s="2" t="str">
        <f>VLOOKUP([jobnumber],OvalData[],MATCH(Table2[[#Headers],[Inner Spring Length]],Table2[#Headers],0),0)</f>
        <v>Null</v>
      </c>
      <c r="BG648" s="2" t="str">
        <f>VLOOKUP([jobnumber],OvalData[],MATCH(Table2[[#Headers],[Inner Spring Stretch]],Table2[#Headers],0),0)</f>
        <v>Null</v>
      </c>
      <c r="BH648" s="2" t="str">
        <f>VLOOKUP([jobnumber],OvalData[],MATCH(Table2[[#Headers],[Inner Spring Torque]],Table2[#Headers],0),0)</f>
        <v>Null</v>
      </c>
      <c r="BI648" s="2" t="str">
        <f>VLOOKUP([jobnumber],OvalData[],MATCH(Table2[[#Headers],[Inner Spring Max Turns]],Table2[#Headers],0),0)</f>
        <v>Null</v>
      </c>
      <c r="BJ648" s="2" t="str">
        <f>VLOOKUP([jobnumber],OvalData[],MATCH(Table2[[#Headers],[Inner Spring Weight]],Table2[#Headers],0),0)</f>
        <v>Null</v>
      </c>
      <c r="BK648" s="2">
        <f>VLOOKUP([jobnumber],OvalData[],MATCH(Table2[[#Headers],[Cycles]],Table2[#Headers],0),0)</f>
        <v>0</v>
      </c>
      <c r="BL648" s="2">
        <f>VLOOKUP([jobnumber],OvalData[],MATCH(Table2[[#Headers],[Total Spring Torque]],Table2[#Headers],0),0)</f>
        <v>0</v>
      </c>
      <c r="BM648" s="2">
        <f>VLOOKUP([jobnumber],OvalData[],MATCH(Table2[[#Headers],[Total Spring Weight]],Table2[#Headers],0),0)</f>
        <v>0</v>
      </c>
      <c r="BN648" s="2">
        <f>VLOOKUP([jobnumber],OvalData[],MATCH(Table2[[#Headers],[Pipe Weight]],Table2[#Headers],0),0)</f>
        <v>688.24239999999998</v>
      </c>
      <c r="BO648" s="2">
        <f>VLOOKUP([jobnumber],OvalData[],MATCH(Table2[[#Headers],[Max Pipe Deflection]],Table2[#Headers],0),0)</f>
        <v>2309</v>
      </c>
      <c r="BP648" s="2">
        <f>VLOOKUP([jobnumber],OvalData[],MATCH(Table2[[#Headers],[Number Non-Insulated Wrap Slats]],Table2[#Headers],0),0)</f>
        <v>0</v>
      </c>
      <c r="BQ648" s="2">
        <f>VLOOKUP([jobnumber],OvalData[],MATCH(Table2[[#Headers],[Number of Insolated Top Slats]],Table2[#Headers],0),0)</f>
        <v>45</v>
      </c>
      <c r="BR648" s="2">
        <f>VLOOKUP([jobnumber],OvalData[],MATCH(Table2[[#Headers],[Insolated Total Slats]],Table2[#Headers],0),0)</f>
        <v>45</v>
      </c>
      <c r="BS648" s="2">
        <f>VLOOKUP([jobnumber],OvalData[],MATCH(Table2[[#Headers],[Number of Slats]],Table2[#Headers],0),0)</f>
        <v>44.69</v>
      </c>
      <c r="BT648" s="2">
        <f>VLOOKUP([jobnumber],OvalData[],MATCH(Table2[[#Headers],[Wrap]],Table2[#Headers],0),0)</f>
        <v>0</v>
      </c>
      <c r="BU648" s="2">
        <f>VLOOKUP([jobnumber],OvalData[],MATCH(Table2[[#Headers],[Wall Angle Thickness]],Table2[#Headers],0),0)</f>
        <v>0</v>
      </c>
      <c r="BV648" s="2">
        <f>VLOOKUP([jobnumber],OvalData[],MATCH(Table2[[#Headers],[windlocks]],Table2[#Headers],0),0)</f>
        <v>0</v>
      </c>
      <c r="BW648" s="2" t="str">
        <f>VLOOKUP([jobnumber],OvalData[],MATCH(Table2[[#Headers],[bottombartype]],Table2[#Headers],0),0)</f>
        <v>SPECIAL</v>
      </c>
      <c r="BX648" s="2">
        <f>VLOOKUP([jobnumber],OvalData[],MATCH(Table2[[#Headers],[endlockweight]],Table2[#Headers],0),0)</f>
        <v>0.17</v>
      </c>
      <c r="BY648" s="2">
        <f>VLOOKUP([jobnumber],OvalData[],MATCH(Table2[[#Headers],[Endlock Total Weight]],Table2[#Headers],0),0)</f>
        <v>7.5972999999999997</v>
      </c>
      <c r="BZ648" s="2">
        <f>VLOOKUP([jobnumber],OvalData[],MATCH(Table2[[#Headers],[Grille Weight]],Table2[#Headers],0),0)</f>
        <v>0</v>
      </c>
      <c r="CA648" s="2">
        <f>VLOOKUP([jobnumber],OvalData[],MATCH(Table2[[#Headers],[barrelrings]],Table2[#Headers],0),0)</f>
        <v>1</v>
      </c>
    </row>
    <row r="649" spans="2:79">
      <c r="B649" s="2" t="str">
        <f>VLOOKUP([jobnumber],OvalData[],MATCH(Table2[[#Headers],[Hand]],Table2[#Headers],0),0)</f>
        <v>RH</v>
      </c>
      <c r="C649" s="2" t="str">
        <f>VLOOKUP([jobnumber],OvalData[],MATCH(Table2[[#Headers],[Model]],Table2[#Headers],0),0)</f>
        <v>SFMPP</v>
      </c>
      <c r="D649" s="2" t="str">
        <f>VLOOKUP([jobnumber],OvalData[],MATCH(Table2[[#Headers],[width]],Table2[#Headers],0),0)</f>
        <v xml:space="preserve"> 18 ft.- 2"</v>
      </c>
      <c r="E649" s="2" t="str">
        <f>VLOOKUP([jobnumber],OvalData[],MATCH(Table2[[#Headers],[stopheight]],Table2[#Headers],0),0)</f>
        <v xml:space="preserve"> 10 ft.- 0"</v>
      </c>
      <c r="F649" s="2" t="str">
        <f>VLOOKUP([jobnumber],OvalData[],MATCH(Table2[[#Headers],[Between Brackets]],Table2[#Headers],0),0)</f>
        <v xml:space="preserve"> 18 ft.- 7 7/ 8"</v>
      </c>
      <c r="G649" s="2" t="str">
        <f>VLOOKUP([jobnumber],OvalData[],MATCH(Table2[[#Headers],[shell]],Table2[#Headers],0),0)</f>
        <v>6 INCH TUBE</v>
      </c>
      <c r="H649" s="2" t="str">
        <f>VLOOKUP([jobnumber],OvalData[],MATCH(Table2[[#Headers],[pipewidth]],Table2[#Headers],0),0)</f>
        <v xml:space="preserve"> 18 ft.- 1 3/ 8"</v>
      </c>
      <c r="I649" s="2">
        <f>VLOOKUP([jobnumber],OvalData[],MATCH(Table2[[#Headers],[Support Tubes]],Table2[#Headers],0),0)</f>
        <v>0</v>
      </c>
      <c r="J649" s="2">
        <f>VLOOKUP([jobnumber],OvalData[],MATCH(Table2[[#Headers],[Upset]],Table2[#Headers],0),0)</f>
        <v>2</v>
      </c>
      <c r="K649" s="2" t="str">
        <f>VLOOKUP([jobnumber],OvalData[],MATCH(Table2[[#Headers],[Guide Type]],Table2[#Headers],0),0)</f>
        <v>SN2-4 5/8-E</v>
      </c>
      <c r="L649" s="2" t="str">
        <f>VLOOKUP([jobnumber],OvalData[],MATCH(Table2[[#Headers],[Wall Angle]],Table2[#Headers],0),0)</f>
        <v xml:space="preserve"> 11 ft.- 8"</v>
      </c>
      <c r="M649" s="2" t="str">
        <f>VLOOKUP([jobnumber],OvalData[],MATCH(Table2[[#Headers],[Middle Angle]],Table2[#Headers],0),0)</f>
        <v xml:space="preserve"> 10 ft.- 4 1/ 2"</v>
      </c>
      <c r="N649" s="2" t="str">
        <f>VLOOKUP([jobnumber],OvalData[],MATCH(Table2[[#Headers],[Front Angle]],Table2[#Headers],0),0)</f>
        <v xml:space="preserve"> 10 ft.- 3"</v>
      </c>
      <c r="O649" s="2">
        <f>VLOOKUP([jobnumber],OvalData[],MATCH(Table2[[#Headers],[Pipe Center Line]],Table2[#Headers],0),0)</f>
        <v>131</v>
      </c>
      <c r="P649" s="2">
        <f>VLOOKUP([jobnumber],OvalData[],MATCH(Table2[[#Headers],[Heat Expansion Gap]],Table2[#Headers],0),0)</f>
        <v>0</v>
      </c>
      <c r="Q649" s="2">
        <f>VLOOKUP([jobnumber],OvalData[],MATCH(Table2[[#Headers],[Hanging Weight Closed]],Table2[#Headers],0),0)</f>
        <v>795</v>
      </c>
      <c r="R649" s="2">
        <f>VLOOKUP([jobnumber],OvalData[],MATCH(Table2[[#Headers],[Hanging Weight Open]],Table2[#Headers],0),0)</f>
        <v>140</v>
      </c>
      <c r="S649" s="2">
        <f>VLOOKUP([jobnumber],OvalData[],MATCH(Table2[[#Headers],[Initial Lever Arm]],Table2[#Headers],0),0)</f>
        <v>4.25</v>
      </c>
      <c r="T649" s="2">
        <f>VLOOKUP([jobnumber],OvalData[],MATCH(Table2[[#Headers],[Turns to Raise]],Table2[#Headers],0),0)</f>
        <v>3.5859999999999999</v>
      </c>
      <c r="U649" s="2">
        <f>VLOOKUP([jobnumber],OvalData[],MATCH(Table2[[#Headers],[Final Lever Arm]],Table2[#Headers],0),0)</f>
        <v>6.37</v>
      </c>
      <c r="V649" s="2">
        <f>VLOOKUP([jobnumber],OvalData[],MATCH(Table2[[#Headers],[Torque Required Closed]],Table2[#Headers],0),0)</f>
        <v>3377.9</v>
      </c>
      <c r="W649" s="2">
        <f>VLOOKUP([jobnumber],OvalData[],MATCH(Table2[[#Headers],[Torque Required Open]],Table2[#Headers],0),0)</f>
        <v>892</v>
      </c>
      <c r="X649" s="2">
        <f>VLOOKUP([jobnumber],OvalData[],MATCH(Table2[[#Headers],[Pre Turns]],Table2[#Headers],0),0)</f>
        <v>1.3332999999999999</v>
      </c>
      <c r="Y649" s="2">
        <f>VLOOKUP([jobnumber],OvalData[],MATCH(Table2[[#Headers],[Required Torque Per Turn]],Table2[#Headers],0),0)</f>
        <v>688</v>
      </c>
      <c r="Z649" s="2">
        <f>VLOOKUP([jobnumber],OvalData[],MATCH(Table2[[#Headers],[Total Turns]],Table2[#Headers],0),0)</f>
        <v>4.91</v>
      </c>
      <c r="AA649" s="2">
        <f>VLOOKUP([jobnumber],OvalData[],MATCH(Table2[[#Headers],[Grille Vision Section]],Table2[#Headers],0),0)</f>
        <v>0</v>
      </c>
      <c r="AB649" s="2">
        <f>VLOOKUP([jobnumber],OvalData[],MATCH(Table2[[#Headers],[Grille Amount]],Table2[#Headers],0),0)</f>
        <v>0</v>
      </c>
      <c r="AC649" s="2">
        <f>VLOOKUP([jobnumber],OvalData[],MATCH(Table2[[#Headers],[Grille Center]],Table2[#Headers],0),0)</f>
        <v>0</v>
      </c>
      <c r="AD649" s="2">
        <f>VLOOKUP([jobnumber],OvalData[],MATCH(Table2[[#Headers],[Grille Pattern]],Table2[#Headers],0),0)</f>
        <v>0</v>
      </c>
      <c r="AE649" s="2">
        <f>VLOOKUP([jobnumber],OvalData[],MATCH(Table2[[#Headers],[Grille First Tube]],Table2[#Headers],0),0)</f>
        <v>0</v>
      </c>
      <c r="AF649" s="2">
        <f>VLOOKUP([jobnumber],OvalData[],MATCH(Table2[[#Headers],[Grille Standard Tube]],Table2[#Headers],0),0)</f>
        <v>0</v>
      </c>
      <c r="AG649" s="2">
        <f>VLOOKUP([jobnumber],OvalData[],MATCH(Table2[[#Headers],[Grille Total Links]],Table2[#Headers],0),0)</f>
        <v>0</v>
      </c>
      <c r="AH649" s="2">
        <f>VLOOKUP([jobnumber],OvalData[],MATCH(Table2[[#Headers],[Grille Rods]],Table2[#Headers],0),0)</f>
        <v>0</v>
      </c>
      <c r="AI649" s="2">
        <f>VLOOKUP([jobnumber],OvalData[],MATCH(Table2[[#Headers],[Grille Rod Length]],Table2[#Headers],0),0)</f>
        <v>0</v>
      </c>
      <c r="AJ649" s="2">
        <f>VLOOKUP([jobnumber],OvalData[],MATCH(Table2[[#Headers],[slattype]],Table2[#Headers],0),0)</f>
        <v>2</v>
      </c>
      <c r="AK649" s="2">
        <f>VLOOKUP([jobnumber],OvalData[],MATCH(Table2[[#Headers],[slatgage]],Table2[#Headers],0),0)</f>
        <v>18</v>
      </c>
      <c r="AL649" s="2">
        <f>VLOOKUP([jobnumber],OvalData[],MATCH(Table2[[#Headers],[Numer of Top Slats]],Table2[#Headers],0),0)</f>
        <v>0</v>
      </c>
      <c r="AM649" s="2">
        <f>VLOOKUP([jobnumber],OvalData[],MATCH(Table2[[#Headers],[Number of Bottom Slats]],Table2[#Headers],0),0)</f>
        <v>0</v>
      </c>
      <c r="AN649" s="2">
        <f>VLOOKUP([jobnumber],OvalData[],MATCH(Table2[[#Headers],[Solid Bottom Height]],Table2[#Headers],0),0)</f>
        <v>0</v>
      </c>
      <c r="AO649" s="2" t="str">
        <f>VLOOKUP([jobnumber],OvalData[],MATCH(Table2[[#Headers],[slatlength]],Table2[#Headers],0),0)</f>
        <v xml:space="preserve"> 18 ft.- 5 7/ 8"</v>
      </c>
      <c r="AP649" s="2">
        <f>VLOOKUP([jobnumber],OvalData[],MATCH(Table2[[#Headers],[Bottom Slat Length]],Table2[#Headers],0),0)</f>
        <v>0</v>
      </c>
      <c r="AQ649" s="2">
        <f>VLOOKUP([jobnumber],OvalData[],MATCH(Table2[[#Headers],[Number of Perferated Slats]],Table2[#Headers],0),0)</f>
        <v>0</v>
      </c>
      <c r="AR649" s="2">
        <f>VLOOKUP([jobnumber],OvalData[],MATCH(Table2[[#Headers],[First Preferated Slat From End]],Table2[#Headers],0),0)</f>
        <v>0</v>
      </c>
      <c r="AS649" s="2">
        <f>VLOOKUP([jobnumber],OvalData[],MATCH(Table2[[#Headers],[First Preferated Slat From Bottom]],Table2[#Headers],0),0)</f>
        <v>0</v>
      </c>
      <c r="AT649" s="2">
        <f>VLOOKUP([jobnumber],OvalData[],MATCH(Table2[[#Headers],[Total Number of Slats]],Table2[#Headers],0),0)</f>
        <v>51</v>
      </c>
      <c r="AU649" s="2">
        <f>VLOOKUP([jobnumber],OvalData[],MATCH(Table2[[#Headers],[Bottom Bar Slope]],Table2[#Headers],0),0)</f>
        <v>0</v>
      </c>
      <c r="AV649" s="2">
        <f>VLOOKUP([jobnumber],OvalData[],MATCH(Table2[[#Headers],[Bottom Bar Weight]],Table2[#Headers],0),0)</f>
        <v>80.5</v>
      </c>
      <c r="AW649" s="2" t="str">
        <f>VLOOKUP([jobnumber],OvalData[],MATCH(Table2[[#Headers],[Outer Spring Gage]],Table2[#Headers],0),0)</f>
        <v>Null</v>
      </c>
      <c r="AX649" s="2" t="str">
        <f>VLOOKUP([jobnumber],OvalData[],MATCH(Table2[[#Headers],[Outer Spring OD]],Table2[#Headers],0),0)</f>
        <v>Null</v>
      </c>
      <c r="AY649" s="2" t="str">
        <f>VLOOKUP([jobnumber],OvalData[],MATCH(Table2[[#Headers],[Outer Spring Length]],Table2[#Headers],0),0)</f>
        <v>Null</v>
      </c>
      <c r="AZ649" s="2" t="str">
        <f>VLOOKUP([jobnumber],OvalData[],MATCH(Table2[[#Headers],[Outer Spring Stretch]],Table2[#Headers],0),0)</f>
        <v>Null</v>
      </c>
      <c r="BA649" s="2" t="str">
        <f>VLOOKUP([jobnumber],OvalData[],MATCH(Table2[[#Headers],[Outer Spring Torque]],Table2[#Headers],0),0)</f>
        <v>Null</v>
      </c>
      <c r="BB649" s="2" t="str">
        <f>VLOOKUP([jobnumber],OvalData[],MATCH(Table2[[#Headers],[Outer Spring Max Turns]],Table2[#Headers],0),0)</f>
        <v>Null</v>
      </c>
      <c r="BC649" s="2" t="str">
        <f>VLOOKUP([jobnumber],OvalData[],MATCH(Table2[[#Headers],[Outer Spring Weight]],Table2[#Headers],0),0)</f>
        <v>Null</v>
      </c>
      <c r="BD649" s="2" t="str">
        <f>VLOOKUP([jobnumber],OvalData[],MATCH(Table2[[#Headers],[Inner Spring Gage]],Table2[#Headers],0),0)</f>
        <v>Null</v>
      </c>
      <c r="BE649" s="2" t="str">
        <f>VLOOKUP([jobnumber],OvalData[],MATCH(Table2[[#Headers],[Inner Spring OD]],Table2[#Headers],0),0)</f>
        <v>Null</v>
      </c>
      <c r="BF649" s="2" t="str">
        <f>VLOOKUP([jobnumber],OvalData[],MATCH(Table2[[#Headers],[Inner Spring Length]],Table2[#Headers],0),0)</f>
        <v>Null</v>
      </c>
      <c r="BG649" s="2" t="str">
        <f>VLOOKUP([jobnumber],OvalData[],MATCH(Table2[[#Headers],[Inner Spring Stretch]],Table2[#Headers],0),0)</f>
        <v>Null</v>
      </c>
      <c r="BH649" s="2" t="str">
        <f>VLOOKUP([jobnumber],OvalData[],MATCH(Table2[[#Headers],[Inner Spring Torque]],Table2[#Headers],0),0)</f>
        <v>Null</v>
      </c>
      <c r="BI649" s="2" t="str">
        <f>VLOOKUP([jobnumber],OvalData[],MATCH(Table2[[#Headers],[Inner Spring Max Turns]],Table2[#Headers],0),0)</f>
        <v>Null</v>
      </c>
      <c r="BJ649" s="2" t="str">
        <f>VLOOKUP([jobnumber],OvalData[],MATCH(Table2[[#Headers],[Inner Spring Weight]],Table2[#Headers],0),0)</f>
        <v>Null</v>
      </c>
      <c r="BK649" s="2">
        <f>VLOOKUP([jobnumber],OvalData[],MATCH(Table2[[#Headers],[Cycles]],Table2[#Headers],0),0)</f>
        <v>0</v>
      </c>
      <c r="BL649" s="2">
        <f>VLOOKUP([jobnumber],OvalData[],MATCH(Table2[[#Headers],[Total Spring Torque]],Table2[#Headers],0),0)</f>
        <v>0</v>
      </c>
      <c r="BM649" s="2">
        <f>VLOOKUP([jobnumber],OvalData[],MATCH(Table2[[#Headers],[Total Spring Weight]],Table2[#Headers],0),0)</f>
        <v>0</v>
      </c>
      <c r="BN649" s="2">
        <f>VLOOKUP([jobnumber],OvalData[],MATCH(Table2[[#Headers],[Pipe Weight]],Table2[#Headers],0),0)</f>
        <v>688.24239999999998</v>
      </c>
      <c r="BO649" s="2">
        <f>VLOOKUP([jobnumber],OvalData[],MATCH(Table2[[#Headers],[Max Pipe Deflection]],Table2[#Headers],0),0)</f>
        <v>2309</v>
      </c>
      <c r="BP649" s="2">
        <f>VLOOKUP([jobnumber],OvalData[],MATCH(Table2[[#Headers],[Number Non-Insulated Wrap Slats]],Table2[#Headers],0),0)</f>
        <v>0</v>
      </c>
      <c r="BQ649" s="2">
        <f>VLOOKUP([jobnumber],OvalData[],MATCH(Table2[[#Headers],[Number of Insolated Top Slats]],Table2[#Headers],0),0)</f>
        <v>45</v>
      </c>
      <c r="BR649" s="2">
        <f>VLOOKUP([jobnumber],OvalData[],MATCH(Table2[[#Headers],[Insolated Total Slats]],Table2[#Headers],0),0)</f>
        <v>45</v>
      </c>
      <c r="BS649" s="2">
        <f>VLOOKUP([jobnumber],OvalData[],MATCH(Table2[[#Headers],[Number of Slats]],Table2[#Headers],0),0)</f>
        <v>44.69</v>
      </c>
      <c r="BT649" s="2">
        <f>VLOOKUP([jobnumber],OvalData[],MATCH(Table2[[#Headers],[Wrap]],Table2[#Headers],0),0)</f>
        <v>0</v>
      </c>
      <c r="BU649" s="2">
        <f>VLOOKUP([jobnumber],OvalData[],MATCH(Table2[[#Headers],[Wall Angle Thickness]],Table2[#Headers],0),0)</f>
        <v>0</v>
      </c>
      <c r="BV649" s="2">
        <f>VLOOKUP([jobnumber],OvalData[],MATCH(Table2[[#Headers],[windlocks]],Table2[#Headers],0),0)</f>
        <v>0</v>
      </c>
      <c r="BW649" s="2" t="str">
        <f>VLOOKUP([jobnumber],OvalData[],MATCH(Table2[[#Headers],[bottombartype]],Table2[#Headers],0),0)</f>
        <v>SPECIAL</v>
      </c>
      <c r="BX649" s="2">
        <f>VLOOKUP([jobnumber],OvalData[],MATCH(Table2[[#Headers],[endlockweight]],Table2[#Headers],0),0)</f>
        <v>0.17</v>
      </c>
      <c r="BY649" s="2">
        <f>VLOOKUP([jobnumber],OvalData[],MATCH(Table2[[#Headers],[Endlock Total Weight]],Table2[#Headers],0),0)</f>
        <v>7.5972999999999997</v>
      </c>
      <c r="BZ649" s="2">
        <f>VLOOKUP([jobnumber],OvalData[],MATCH(Table2[[#Headers],[Grille Weight]],Table2[#Headers],0),0)</f>
        <v>0</v>
      </c>
      <c r="CA649" s="2">
        <f>VLOOKUP([jobnumber],OvalData[],MATCH(Table2[[#Headers],[barrelrings]],Table2[#Headers],0),0)</f>
        <v>1</v>
      </c>
    </row>
    <row r="650" spans="2:79">
      <c r="B650" s="2" t="str">
        <f>VLOOKUP([jobnumber],OvalData[],MATCH(Table2[[#Headers],[Hand]],Table2[#Headers],0),0)</f>
        <v>RH</v>
      </c>
      <c r="C650" s="2" t="str">
        <f>VLOOKUP([jobnumber],OvalData[],MATCH(Table2[[#Headers],[Model]],Table2[#Headers],0),0)</f>
        <v>SFMPP</v>
      </c>
      <c r="D650" s="2" t="str">
        <f>VLOOKUP([jobnumber],OvalData[],MATCH(Table2[[#Headers],[width]],Table2[#Headers],0),0)</f>
        <v xml:space="preserve"> 18 ft.- 2"</v>
      </c>
      <c r="E650" s="2" t="str">
        <f>VLOOKUP([jobnumber],OvalData[],MATCH(Table2[[#Headers],[stopheight]],Table2[#Headers],0),0)</f>
        <v xml:space="preserve"> 10 ft.- 0"</v>
      </c>
      <c r="F650" s="2" t="str">
        <f>VLOOKUP([jobnumber],OvalData[],MATCH(Table2[[#Headers],[Between Brackets]],Table2[#Headers],0),0)</f>
        <v xml:space="preserve"> 18 ft.- 7 7/ 8"</v>
      </c>
      <c r="G650" s="2" t="str">
        <f>VLOOKUP([jobnumber],OvalData[],MATCH(Table2[[#Headers],[shell]],Table2[#Headers],0),0)</f>
        <v>6 INCH TUBE</v>
      </c>
      <c r="H650" s="2" t="str">
        <f>VLOOKUP([jobnumber],OvalData[],MATCH(Table2[[#Headers],[pipewidth]],Table2[#Headers],0),0)</f>
        <v xml:space="preserve"> 18 ft.- 1 3/ 8"</v>
      </c>
      <c r="I650" s="2">
        <f>VLOOKUP([jobnumber],OvalData[],MATCH(Table2[[#Headers],[Support Tubes]],Table2[#Headers],0),0)</f>
        <v>0</v>
      </c>
      <c r="J650" s="2">
        <f>VLOOKUP([jobnumber],OvalData[],MATCH(Table2[[#Headers],[Upset]],Table2[#Headers],0),0)</f>
        <v>2</v>
      </c>
      <c r="K650" s="2" t="str">
        <f>VLOOKUP([jobnumber],OvalData[],MATCH(Table2[[#Headers],[Guide Type]],Table2[#Headers],0),0)</f>
        <v>SN2-4 5/8-E</v>
      </c>
      <c r="L650" s="2" t="str">
        <f>VLOOKUP([jobnumber],OvalData[],MATCH(Table2[[#Headers],[Wall Angle]],Table2[#Headers],0),0)</f>
        <v xml:space="preserve"> 11 ft.- 8"</v>
      </c>
      <c r="M650" s="2" t="str">
        <f>VLOOKUP([jobnumber],OvalData[],MATCH(Table2[[#Headers],[Middle Angle]],Table2[#Headers],0),0)</f>
        <v xml:space="preserve"> 10 ft.- 4 1/ 2"</v>
      </c>
      <c r="N650" s="2" t="str">
        <f>VLOOKUP([jobnumber],OvalData[],MATCH(Table2[[#Headers],[Front Angle]],Table2[#Headers],0),0)</f>
        <v xml:space="preserve"> 10 ft.- 3"</v>
      </c>
      <c r="O650" s="2">
        <f>VLOOKUP([jobnumber],OvalData[],MATCH(Table2[[#Headers],[Pipe Center Line]],Table2[#Headers],0),0)</f>
        <v>131</v>
      </c>
      <c r="P650" s="2">
        <f>VLOOKUP([jobnumber],OvalData[],MATCH(Table2[[#Headers],[Heat Expansion Gap]],Table2[#Headers],0),0)</f>
        <v>0</v>
      </c>
      <c r="Q650" s="2">
        <f>VLOOKUP([jobnumber],OvalData[],MATCH(Table2[[#Headers],[Hanging Weight Closed]],Table2[#Headers],0),0)</f>
        <v>795</v>
      </c>
      <c r="R650" s="2">
        <f>VLOOKUP([jobnumber],OvalData[],MATCH(Table2[[#Headers],[Hanging Weight Open]],Table2[#Headers],0),0)</f>
        <v>140</v>
      </c>
      <c r="S650" s="2">
        <f>VLOOKUP([jobnumber],OvalData[],MATCH(Table2[[#Headers],[Initial Lever Arm]],Table2[#Headers],0),0)</f>
        <v>4.25</v>
      </c>
      <c r="T650" s="2">
        <f>VLOOKUP([jobnumber],OvalData[],MATCH(Table2[[#Headers],[Turns to Raise]],Table2[#Headers],0),0)</f>
        <v>3.5859999999999999</v>
      </c>
      <c r="U650" s="2">
        <f>VLOOKUP([jobnumber],OvalData[],MATCH(Table2[[#Headers],[Final Lever Arm]],Table2[#Headers],0),0)</f>
        <v>6.37</v>
      </c>
      <c r="V650" s="2">
        <f>VLOOKUP([jobnumber],OvalData[],MATCH(Table2[[#Headers],[Torque Required Closed]],Table2[#Headers],0),0)</f>
        <v>3377.9</v>
      </c>
      <c r="W650" s="2">
        <f>VLOOKUP([jobnumber],OvalData[],MATCH(Table2[[#Headers],[Torque Required Open]],Table2[#Headers],0),0)</f>
        <v>892</v>
      </c>
      <c r="X650" s="2">
        <f>VLOOKUP([jobnumber],OvalData[],MATCH(Table2[[#Headers],[Pre Turns]],Table2[#Headers],0),0)</f>
        <v>1.3332999999999999</v>
      </c>
      <c r="Y650" s="2">
        <f>VLOOKUP([jobnumber],OvalData[],MATCH(Table2[[#Headers],[Required Torque Per Turn]],Table2[#Headers],0),0)</f>
        <v>688</v>
      </c>
      <c r="Z650" s="2">
        <f>VLOOKUP([jobnumber],OvalData[],MATCH(Table2[[#Headers],[Total Turns]],Table2[#Headers],0),0)</f>
        <v>4.91</v>
      </c>
      <c r="AA650" s="2">
        <f>VLOOKUP([jobnumber],OvalData[],MATCH(Table2[[#Headers],[Grille Vision Section]],Table2[#Headers],0),0)</f>
        <v>0</v>
      </c>
      <c r="AB650" s="2">
        <f>VLOOKUP([jobnumber],OvalData[],MATCH(Table2[[#Headers],[Grille Amount]],Table2[#Headers],0),0)</f>
        <v>0</v>
      </c>
      <c r="AC650" s="2">
        <f>VLOOKUP([jobnumber],OvalData[],MATCH(Table2[[#Headers],[Grille Center]],Table2[#Headers],0),0)</f>
        <v>0</v>
      </c>
      <c r="AD650" s="2">
        <f>VLOOKUP([jobnumber],OvalData[],MATCH(Table2[[#Headers],[Grille Pattern]],Table2[#Headers],0),0)</f>
        <v>0</v>
      </c>
      <c r="AE650" s="2">
        <f>VLOOKUP([jobnumber],OvalData[],MATCH(Table2[[#Headers],[Grille First Tube]],Table2[#Headers],0),0)</f>
        <v>0</v>
      </c>
      <c r="AF650" s="2">
        <f>VLOOKUP([jobnumber],OvalData[],MATCH(Table2[[#Headers],[Grille Standard Tube]],Table2[#Headers],0),0)</f>
        <v>0</v>
      </c>
      <c r="AG650" s="2">
        <f>VLOOKUP([jobnumber],OvalData[],MATCH(Table2[[#Headers],[Grille Total Links]],Table2[#Headers],0),0)</f>
        <v>0</v>
      </c>
      <c r="AH650" s="2">
        <f>VLOOKUP([jobnumber],OvalData[],MATCH(Table2[[#Headers],[Grille Rods]],Table2[#Headers],0),0)</f>
        <v>0</v>
      </c>
      <c r="AI650" s="2">
        <f>VLOOKUP([jobnumber],OvalData[],MATCH(Table2[[#Headers],[Grille Rod Length]],Table2[#Headers],0),0)</f>
        <v>0</v>
      </c>
      <c r="AJ650" s="2">
        <f>VLOOKUP([jobnumber],OvalData[],MATCH(Table2[[#Headers],[slattype]],Table2[#Headers],0),0)</f>
        <v>2</v>
      </c>
      <c r="AK650" s="2">
        <f>VLOOKUP([jobnumber],OvalData[],MATCH(Table2[[#Headers],[slatgage]],Table2[#Headers],0),0)</f>
        <v>18</v>
      </c>
      <c r="AL650" s="2">
        <f>VLOOKUP([jobnumber],OvalData[],MATCH(Table2[[#Headers],[Numer of Top Slats]],Table2[#Headers],0),0)</f>
        <v>0</v>
      </c>
      <c r="AM650" s="2">
        <f>VLOOKUP([jobnumber],OvalData[],MATCH(Table2[[#Headers],[Number of Bottom Slats]],Table2[#Headers],0),0)</f>
        <v>0</v>
      </c>
      <c r="AN650" s="2">
        <f>VLOOKUP([jobnumber],OvalData[],MATCH(Table2[[#Headers],[Solid Bottom Height]],Table2[#Headers],0),0)</f>
        <v>0</v>
      </c>
      <c r="AO650" s="2" t="str">
        <f>VLOOKUP([jobnumber],OvalData[],MATCH(Table2[[#Headers],[slatlength]],Table2[#Headers],0),0)</f>
        <v xml:space="preserve"> 18 ft.- 5 7/ 8"</v>
      </c>
      <c r="AP650" s="2">
        <f>VLOOKUP([jobnumber],OvalData[],MATCH(Table2[[#Headers],[Bottom Slat Length]],Table2[#Headers],0),0)</f>
        <v>0</v>
      </c>
      <c r="AQ650" s="2">
        <f>VLOOKUP([jobnumber],OvalData[],MATCH(Table2[[#Headers],[Number of Perferated Slats]],Table2[#Headers],0),0)</f>
        <v>0</v>
      </c>
      <c r="AR650" s="2">
        <f>VLOOKUP([jobnumber],OvalData[],MATCH(Table2[[#Headers],[First Preferated Slat From End]],Table2[#Headers],0),0)</f>
        <v>0</v>
      </c>
      <c r="AS650" s="2">
        <f>VLOOKUP([jobnumber],OvalData[],MATCH(Table2[[#Headers],[First Preferated Slat From Bottom]],Table2[#Headers],0),0)</f>
        <v>0</v>
      </c>
      <c r="AT650" s="2">
        <f>VLOOKUP([jobnumber],OvalData[],MATCH(Table2[[#Headers],[Total Number of Slats]],Table2[#Headers],0),0)</f>
        <v>51</v>
      </c>
      <c r="AU650" s="2">
        <f>VLOOKUP([jobnumber],OvalData[],MATCH(Table2[[#Headers],[Bottom Bar Slope]],Table2[#Headers],0),0)</f>
        <v>0</v>
      </c>
      <c r="AV650" s="2">
        <f>VLOOKUP([jobnumber],OvalData[],MATCH(Table2[[#Headers],[Bottom Bar Weight]],Table2[#Headers],0),0)</f>
        <v>80.5</v>
      </c>
      <c r="AW650" s="2" t="str">
        <f>VLOOKUP([jobnumber],OvalData[],MATCH(Table2[[#Headers],[Outer Spring Gage]],Table2[#Headers],0),0)</f>
        <v>Null</v>
      </c>
      <c r="AX650" s="2" t="str">
        <f>VLOOKUP([jobnumber],OvalData[],MATCH(Table2[[#Headers],[Outer Spring OD]],Table2[#Headers],0),0)</f>
        <v>Null</v>
      </c>
      <c r="AY650" s="2" t="str">
        <f>VLOOKUP([jobnumber],OvalData[],MATCH(Table2[[#Headers],[Outer Spring Length]],Table2[#Headers],0),0)</f>
        <v>Null</v>
      </c>
      <c r="AZ650" s="2" t="str">
        <f>VLOOKUP([jobnumber],OvalData[],MATCH(Table2[[#Headers],[Outer Spring Stretch]],Table2[#Headers],0),0)</f>
        <v>Null</v>
      </c>
      <c r="BA650" s="2" t="str">
        <f>VLOOKUP([jobnumber],OvalData[],MATCH(Table2[[#Headers],[Outer Spring Torque]],Table2[#Headers],0),0)</f>
        <v>Null</v>
      </c>
      <c r="BB650" s="2" t="str">
        <f>VLOOKUP([jobnumber],OvalData[],MATCH(Table2[[#Headers],[Outer Spring Max Turns]],Table2[#Headers],0),0)</f>
        <v>Null</v>
      </c>
      <c r="BC650" s="2" t="str">
        <f>VLOOKUP([jobnumber],OvalData[],MATCH(Table2[[#Headers],[Outer Spring Weight]],Table2[#Headers],0),0)</f>
        <v>Null</v>
      </c>
      <c r="BD650" s="2" t="str">
        <f>VLOOKUP([jobnumber],OvalData[],MATCH(Table2[[#Headers],[Inner Spring Gage]],Table2[#Headers],0),0)</f>
        <v>Null</v>
      </c>
      <c r="BE650" s="2" t="str">
        <f>VLOOKUP([jobnumber],OvalData[],MATCH(Table2[[#Headers],[Inner Spring OD]],Table2[#Headers],0),0)</f>
        <v>Null</v>
      </c>
      <c r="BF650" s="2" t="str">
        <f>VLOOKUP([jobnumber],OvalData[],MATCH(Table2[[#Headers],[Inner Spring Length]],Table2[#Headers],0),0)</f>
        <v>Null</v>
      </c>
      <c r="BG650" s="2" t="str">
        <f>VLOOKUP([jobnumber],OvalData[],MATCH(Table2[[#Headers],[Inner Spring Stretch]],Table2[#Headers],0),0)</f>
        <v>Null</v>
      </c>
      <c r="BH650" s="2" t="str">
        <f>VLOOKUP([jobnumber],OvalData[],MATCH(Table2[[#Headers],[Inner Spring Torque]],Table2[#Headers],0),0)</f>
        <v>Null</v>
      </c>
      <c r="BI650" s="2" t="str">
        <f>VLOOKUP([jobnumber],OvalData[],MATCH(Table2[[#Headers],[Inner Spring Max Turns]],Table2[#Headers],0),0)</f>
        <v>Null</v>
      </c>
      <c r="BJ650" s="2" t="str">
        <f>VLOOKUP([jobnumber],OvalData[],MATCH(Table2[[#Headers],[Inner Spring Weight]],Table2[#Headers],0),0)</f>
        <v>Null</v>
      </c>
      <c r="BK650" s="2">
        <f>VLOOKUP([jobnumber],OvalData[],MATCH(Table2[[#Headers],[Cycles]],Table2[#Headers],0),0)</f>
        <v>0</v>
      </c>
      <c r="BL650" s="2">
        <f>VLOOKUP([jobnumber],OvalData[],MATCH(Table2[[#Headers],[Total Spring Torque]],Table2[#Headers],0),0)</f>
        <v>0</v>
      </c>
      <c r="BM650" s="2">
        <f>VLOOKUP([jobnumber],OvalData[],MATCH(Table2[[#Headers],[Total Spring Weight]],Table2[#Headers],0),0)</f>
        <v>0</v>
      </c>
      <c r="BN650" s="2">
        <f>VLOOKUP([jobnumber],OvalData[],MATCH(Table2[[#Headers],[Pipe Weight]],Table2[#Headers],0),0)</f>
        <v>688.24239999999998</v>
      </c>
      <c r="BO650" s="2">
        <f>VLOOKUP([jobnumber],OvalData[],MATCH(Table2[[#Headers],[Max Pipe Deflection]],Table2[#Headers],0),0)</f>
        <v>2309</v>
      </c>
      <c r="BP650" s="2">
        <f>VLOOKUP([jobnumber],OvalData[],MATCH(Table2[[#Headers],[Number Non-Insulated Wrap Slats]],Table2[#Headers],0),0)</f>
        <v>0</v>
      </c>
      <c r="BQ650" s="2">
        <f>VLOOKUP([jobnumber],OvalData[],MATCH(Table2[[#Headers],[Number of Insolated Top Slats]],Table2[#Headers],0),0)</f>
        <v>45</v>
      </c>
      <c r="BR650" s="2">
        <f>VLOOKUP([jobnumber],OvalData[],MATCH(Table2[[#Headers],[Insolated Total Slats]],Table2[#Headers],0),0)</f>
        <v>45</v>
      </c>
      <c r="BS650" s="2">
        <f>VLOOKUP([jobnumber],OvalData[],MATCH(Table2[[#Headers],[Number of Slats]],Table2[#Headers],0),0)</f>
        <v>44.69</v>
      </c>
      <c r="BT650" s="2">
        <f>VLOOKUP([jobnumber],OvalData[],MATCH(Table2[[#Headers],[Wrap]],Table2[#Headers],0),0)</f>
        <v>0</v>
      </c>
      <c r="BU650" s="2">
        <f>VLOOKUP([jobnumber],OvalData[],MATCH(Table2[[#Headers],[Wall Angle Thickness]],Table2[#Headers],0),0)</f>
        <v>0</v>
      </c>
      <c r="BV650" s="2">
        <f>VLOOKUP([jobnumber],OvalData[],MATCH(Table2[[#Headers],[windlocks]],Table2[#Headers],0),0)</f>
        <v>0</v>
      </c>
      <c r="BW650" s="2" t="str">
        <f>VLOOKUP([jobnumber],OvalData[],MATCH(Table2[[#Headers],[bottombartype]],Table2[#Headers],0),0)</f>
        <v>SPECIAL</v>
      </c>
      <c r="BX650" s="2">
        <f>VLOOKUP([jobnumber],OvalData[],MATCH(Table2[[#Headers],[endlockweight]],Table2[#Headers],0),0)</f>
        <v>0.17</v>
      </c>
      <c r="BY650" s="2">
        <f>VLOOKUP([jobnumber],OvalData[],MATCH(Table2[[#Headers],[Endlock Total Weight]],Table2[#Headers],0),0)</f>
        <v>7.5972999999999997</v>
      </c>
      <c r="BZ650" s="2">
        <f>VLOOKUP([jobnumber],OvalData[],MATCH(Table2[[#Headers],[Grille Weight]],Table2[#Headers],0),0)</f>
        <v>0</v>
      </c>
      <c r="CA650" s="2">
        <f>VLOOKUP([jobnumber],OvalData[],MATCH(Table2[[#Headers],[barrelrings]],Table2[#Headers],0),0)</f>
        <v>1</v>
      </c>
    </row>
    <row r="651" spans="2:79">
      <c r="B651" s="2" t="str">
        <f>VLOOKUP([jobnumber],OvalData[],MATCH(Table2[[#Headers],[Hand]],Table2[#Headers],0),0)</f>
        <v>RH</v>
      </c>
      <c r="C651" s="2" t="str">
        <f>VLOOKUP([jobnumber],OvalData[],MATCH(Table2[[#Headers],[Model]],Table2[#Headers],0),0)</f>
        <v>SFMPP</v>
      </c>
      <c r="D651" s="2" t="str">
        <f>VLOOKUP([jobnumber],OvalData[],MATCH(Table2[[#Headers],[width]],Table2[#Headers],0),0)</f>
        <v xml:space="preserve"> 18 ft.- 2"</v>
      </c>
      <c r="E651" s="2" t="str">
        <f>VLOOKUP([jobnumber],OvalData[],MATCH(Table2[[#Headers],[stopheight]],Table2[#Headers],0),0)</f>
        <v xml:space="preserve"> 10 ft.- 0"</v>
      </c>
      <c r="F651" s="2" t="str">
        <f>VLOOKUP([jobnumber],OvalData[],MATCH(Table2[[#Headers],[Between Brackets]],Table2[#Headers],0),0)</f>
        <v xml:space="preserve"> 18 ft.- 7 7/ 8"</v>
      </c>
      <c r="G651" s="2" t="str">
        <f>VLOOKUP([jobnumber],OvalData[],MATCH(Table2[[#Headers],[shell]],Table2[#Headers],0),0)</f>
        <v>6 INCH TUBE</v>
      </c>
      <c r="H651" s="2" t="str">
        <f>VLOOKUP([jobnumber],OvalData[],MATCH(Table2[[#Headers],[pipewidth]],Table2[#Headers],0),0)</f>
        <v xml:space="preserve"> 18 ft.- 1 3/ 8"</v>
      </c>
      <c r="I651" s="2">
        <f>VLOOKUP([jobnumber],OvalData[],MATCH(Table2[[#Headers],[Support Tubes]],Table2[#Headers],0),0)</f>
        <v>0</v>
      </c>
      <c r="J651" s="2">
        <f>VLOOKUP([jobnumber],OvalData[],MATCH(Table2[[#Headers],[Upset]],Table2[#Headers],0),0)</f>
        <v>2</v>
      </c>
      <c r="K651" s="2" t="str">
        <f>VLOOKUP([jobnumber],OvalData[],MATCH(Table2[[#Headers],[Guide Type]],Table2[#Headers],0),0)</f>
        <v>SN2-4 5/8-E</v>
      </c>
      <c r="L651" s="2" t="str">
        <f>VLOOKUP([jobnumber],OvalData[],MATCH(Table2[[#Headers],[Wall Angle]],Table2[#Headers],0),0)</f>
        <v xml:space="preserve"> 11 ft.- 8"</v>
      </c>
      <c r="M651" s="2" t="str">
        <f>VLOOKUP([jobnumber],OvalData[],MATCH(Table2[[#Headers],[Middle Angle]],Table2[#Headers],0),0)</f>
        <v xml:space="preserve"> 10 ft.- 4 1/ 2"</v>
      </c>
      <c r="N651" s="2" t="str">
        <f>VLOOKUP([jobnumber],OvalData[],MATCH(Table2[[#Headers],[Front Angle]],Table2[#Headers],0),0)</f>
        <v xml:space="preserve"> 10 ft.- 3"</v>
      </c>
      <c r="O651" s="2">
        <f>VLOOKUP([jobnumber],OvalData[],MATCH(Table2[[#Headers],[Pipe Center Line]],Table2[#Headers],0),0)</f>
        <v>131</v>
      </c>
      <c r="P651" s="2">
        <f>VLOOKUP([jobnumber],OvalData[],MATCH(Table2[[#Headers],[Heat Expansion Gap]],Table2[#Headers],0),0)</f>
        <v>0</v>
      </c>
      <c r="Q651" s="2">
        <f>VLOOKUP([jobnumber],OvalData[],MATCH(Table2[[#Headers],[Hanging Weight Closed]],Table2[#Headers],0),0)</f>
        <v>795</v>
      </c>
      <c r="R651" s="2">
        <f>VLOOKUP([jobnumber],OvalData[],MATCH(Table2[[#Headers],[Hanging Weight Open]],Table2[#Headers],0),0)</f>
        <v>140</v>
      </c>
      <c r="S651" s="2">
        <f>VLOOKUP([jobnumber],OvalData[],MATCH(Table2[[#Headers],[Initial Lever Arm]],Table2[#Headers],0),0)</f>
        <v>4.25</v>
      </c>
      <c r="T651" s="2">
        <f>VLOOKUP([jobnumber],OvalData[],MATCH(Table2[[#Headers],[Turns to Raise]],Table2[#Headers],0),0)</f>
        <v>3.5859999999999999</v>
      </c>
      <c r="U651" s="2">
        <f>VLOOKUP([jobnumber],OvalData[],MATCH(Table2[[#Headers],[Final Lever Arm]],Table2[#Headers],0),0)</f>
        <v>6.37</v>
      </c>
      <c r="V651" s="2">
        <f>VLOOKUP([jobnumber],OvalData[],MATCH(Table2[[#Headers],[Torque Required Closed]],Table2[#Headers],0),0)</f>
        <v>3377.9</v>
      </c>
      <c r="W651" s="2">
        <f>VLOOKUP([jobnumber],OvalData[],MATCH(Table2[[#Headers],[Torque Required Open]],Table2[#Headers],0),0)</f>
        <v>892</v>
      </c>
      <c r="X651" s="2">
        <f>VLOOKUP([jobnumber],OvalData[],MATCH(Table2[[#Headers],[Pre Turns]],Table2[#Headers],0),0)</f>
        <v>1.3332999999999999</v>
      </c>
      <c r="Y651" s="2">
        <f>VLOOKUP([jobnumber],OvalData[],MATCH(Table2[[#Headers],[Required Torque Per Turn]],Table2[#Headers],0),0)</f>
        <v>688</v>
      </c>
      <c r="Z651" s="2">
        <f>VLOOKUP([jobnumber],OvalData[],MATCH(Table2[[#Headers],[Total Turns]],Table2[#Headers],0),0)</f>
        <v>4.91</v>
      </c>
      <c r="AA651" s="2">
        <f>VLOOKUP([jobnumber],OvalData[],MATCH(Table2[[#Headers],[Grille Vision Section]],Table2[#Headers],0),0)</f>
        <v>0</v>
      </c>
      <c r="AB651" s="2">
        <f>VLOOKUP([jobnumber],OvalData[],MATCH(Table2[[#Headers],[Grille Amount]],Table2[#Headers],0),0)</f>
        <v>0</v>
      </c>
      <c r="AC651" s="2">
        <f>VLOOKUP([jobnumber],OvalData[],MATCH(Table2[[#Headers],[Grille Center]],Table2[#Headers],0),0)</f>
        <v>0</v>
      </c>
      <c r="AD651" s="2">
        <f>VLOOKUP([jobnumber],OvalData[],MATCH(Table2[[#Headers],[Grille Pattern]],Table2[#Headers],0),0)</f>
        <v>0</v>
      </c>
      <c r="AE651" s="2">
        <f>VLOOKUP([jobnumber],OvalData[],MATCH(Table2[[#Headers],[Grille First Tube]],Table2[#Headers],0),0)</f>
        <v>0</v>
      </c>
      <c r="AF651" s="2">
        <f>VLOOKUP([jobnumber],OvalData[],MATCH(Table2[[#Headers],[Grille Standard Tube]],Table2[#Headers],0),0)</f>
        <v>0</v>
      </c>
      <c r="AG651" s="2">
        <f>VLOOKUP([jobnumber],OvalData[],MATCH(Table2[[#Headers],[Grille Total Links]],Table2[#Headers],0),0)</f>
        <v>0</v>
      </c>
      <c r="AH651" s="2">
        <f>VLOOKUP([jobnumber],OvalData[],MATCH(Table2[[#Headers],[Grille Rods]],Table2[#Headers],0),0)</f>
        <v>0</v>
      </c>
      <c r="AI651" s="2">
        <f>VLOOKUP([jobnumber],OvalData[],MATCH(Table2[[#Headers],[Grille Rod Length]],Table2[#Headers],0),0)</f>
        <v>0</v>
      </c>
      <c r="AJ651" s="2">
        <f>VLOOKUP([jobnumber],OvalData[],MATCH(Table2[[#Headers],[slattype]],Table2[#Headers],0),0)</f>
        <v>2</v>
      </c>
      <c r="AK651" s="2">
        <f>VLOOKUP([jobnumber],OvalData[],MATCH(Table2[[#Headers],[slatgage]],Table2[#Headers],0),0)</f>
        <v>18</v>
      </c>
      <c r="AL651" s="2">
        <f>VLOOKUP([jobnumber],OvalData[],MATCH(Table2[[#Headers],[Numer of Top Slats]],Table2[#Headers],0),0)</f>
        <v>0</v>
      </c>
      <c r="AM651" s="2">
        <f>VLOOKUP([jobnumber],OvalData[],MATCH(Table2[[#Headers],[Number of Bottom Slats]],Table2[#Headers],0),0)</f>
        <v>0</v>
      </c>
      <c r="AN651" s="2">
        <f>VLOOKUP([jobnumber],OvalData[],MATCH(Table2[[#Headers],[Solid Bottom Height]],Table2[#Headers],0),0)</f>
        <v>0</v>
      </c>
      <c r="AO651" s="2" t="str">
        <f>VLOOKUP([jobnumber],OvalData[],MATCH(Table2[[#Headers],[slatlength]],Table2[#Headers],0),0)</f>
        <v xml:space="preserve"> 18 ft.- 5 7/ 8"</v>
      </c>
      <c r="AP651" s="2">
        <f>VLOOKUP([jobnumber],OvalData[],MATCH(Table2[[#Headers],[Bottom Slat Length]],Table2[#Headers],0),0)</f>
        <v>0</v>
      </c>
      <c r="AQ651" s="2">
        <f>VLOOKUP([jobnumber],OvalData[],MATCH(Table2[[#Headers],[Number of Perferated Slats]],Table2[#Headers],0),0)</f>
        <v>0</v>
      </c>
      <c r="AR651" s="2">
        <f>VLOOKUP([jobnumber],OvalData[],MATCH(Table2[[#Headers],[First Preferated Slat From End]],Table2[#Headers],0),0)</f>
        <v>0</v>
      </c>
      <c r="AS651" s="2">
        <f>VLOOKUP([jobnumber],OvalData[],MATCH(Table2[[#Headers],[First Preferated Slat From Bottom]],Table2[#Headers],0),0)</f>
        <v>0</v>
      </c>
      <c r="AT651" s="2">
        <f>VLOOKUP([jobnumber],OvalData[],MATCH(Table2[[#Headers],[Total Number of Slats]],Table2[#Headers],0),0)</f>
        <v>51</v>
      </c>
      <c r="AU651" s="2">
        <f>VLOOKUP([jobnumber],OvalData[],MATCH(Table2[[#Headers],[Bottom Bar Slope]],Table2[#Headers],0),0)</f>
        <v>0</v>
      </c>
      <c r="AV651" s="2">
        <f>VLOOKUP([jobnumber],OvalData[],MATCH(Table2[[#Headers],[Bottom Bar Weight]],Table2[#Headers],0),0)</f>
        <v>80.5</v>
      </c>
      <c r="AW651" s="2" t="str">
        <f>VLOOKUP([jobnumber],OvalData[],MATCH(Table2[[#Headers],[Outer Spring Gage]],Table2[#Headers],0),0)</f>
        <v>Null</v>
      </c>
      <c r="AX651" s="2" t="str">
        <f>VLOOKUP([jobnumber],OvalData[],MATCH(Table2[[#Headers],[Outer Spring OD]],Table2[#Headers],0),0)</f>
        <v>Null</v>
      </c>
      <c r="AY651" s="2" t="str">
        <f>VLOOKUP([jobnumber],OvalData[],MATCH(Table2[[#Headers],[Outer Spring Length]],Table2[#Headers],0),0)</f>
        <v>Null</v>
      </c>
      <c r="AZ651" s="2" t="str">
        <f>VLOOKUP([jobnumber],OvalData[],MATCH(Table2[[#Headers],[Outer Spring Stretch]],Table2[#Headers],0),0)</f>
        <v>Null</v>
      </c>
      <c r="BA651" s="2" t="str">
        <f>VLOOKUP([jobnumber],OvalData[],MATCH(Table2[[#Headers],[Outer Spring Torque]],Table2[#Headers],0),0)</f>
        <v>Null</v>
      </c>
      <c r="BB651" s="2" t="str">
        <f>VLOOKUP([jobnumber],OvalData[],MATCH(Table2[[#Headers],[Outer Spring Max Turns]],Table2[#Headers],0),0)</f>
        <v>Null</v>
      </c>
      <c r="BC651" s="2" t="str">
        <f>VLOOKUP([jobnumber],OvalData[],MATCH(Table2[[#Headers],[Outer Spring Weight]],Table2[#Headers],0),0)</f>
        <v>Null</v>
      </c>
      <c r="BD651" s="2" t="str">
        <f>VLOOKUP([jobnumber],OvalData[],MATCH(Table2[[#Headers],[Inner Spring Gage]],Table2[#Headers],0),0)</f>
        <v>Null</v>
      </c>
      <c r="BE651" s="2" t="str">
        <f>VLOOKUP([jobnumber],OvalData[],MATCH(Table2[[#Headers],[Inner Spring OD]],Table2[#Headers],0),0)</f>
        <v>Null</v>
      </c>
      <c r="BF651" s="2" t="str">
        <f>VLOOKUP([jobnumber],OvalData[],MATCH(Table2[[#Headers],[Inner Spring Length]],Table2[#Headers],0),0)</f>
        <v>Null</v>
      </c>
      <c r="BG651" s="2" t="str">
        <f>VLOOKUP([jobnumber],OvalData[],MATCH(Table2[[#Headers],[Inner Spring Stretch]],Table2[#Headers],0),0)</f>
        <v>Null</v>
      </c>
      <c r="BH651" s="2" t="str">
        <f>VLOOKUP([jobnumber],OvalData[],MATCH(Table2[[#Headers],[Inner Spring Torque]],Table2[#Headers],0),0)</f>
        <v>Null</v>
      </c>
      <c r="BI651" s="2" t="str">
        <f>VLOOKUP([jobnumber],OvalData[],MATCH(Table2[[#Headers],[Inner Spring Max Turns]],Table2[#Headers],0),0)</f>
        <v>Null</v>
      </c>
      <c r="BJ651" s="2" t="str">
        <f>VLOOKUP([jobnumber],OvalData[],MATCH(Table2[[#Headers],[Inner Spring Weight]],Table2[#Headers],0),0)</f>
        <v>Null</v>
      </c>
      <c r="BK651" s="2">
        <f>VLOOKUP([jobnumber],OvalData[],MATCH(Table2[[#Headers],[Cycles]],Table2[#Headers],0),0)</f>
        <v>0</v>
      </c>
      <c r="BL651" s="2">
        <f>VLOOKUP([jobnumber],OvalData[],MATCH(Table2[[#Headers],[Total Spring Torque]],Table2[#Headers],0),0)</f>
        <v>0</v>
      </c>
      <c r="BM651" s="2">
        <f>VLOOKUP([jobnumber],OvalData[],MATCH(Table2[[#Headers],[Total Spring Weight]],Table2[#Headers],0),0)</f>
        <v>0</v>
      </c>
      <c r="BN651" s="2">
        <f>VLOOKUP([jobnumber],OvalData[],MATCH(Table2[[#Headers],[Pipe Weight]],Table2[#Headers],0),0)</f>
        <v>688.24239999999998</v>
      </c>
      <c r="BO651" s="2">
        <f>VLOOKUP([jobnumber],OvalData[],MATCH(Table2[[#Headers],[Max Pipe Deflection]],Table2[#Headers],0),0)</f>
        <v>2309</v>
      </c>
      <c r="BP651" s="2">
        <f>VLOOKUP([jobnumber],OvalData[],MATCH(Table2[[#Headers],[Number Non-Insulated Wrap Slats]],Table2[#Headers],0),0)</f>
        <v>0</v>
      </c>
      <c r="BQ651" s="2">
        <f>VLOOKUP([jobnumber],OvalData[],MATCH(Table2[[#Headers],[Number of Insolated Top Slats]],Table2[#Headers],0),0)</f>
        <v>45</v>
      </c>
      <c r="BR651" s="2">
        <f>VLOOKUP([jobnumber],OvalData[],MATCH(Table2[[#Headers],[Insolated Total Slats]],Table2[#Headers],0),0)</f>
        <v>45</v>
      </c>
      <c r="BS651" s="2">
        <f>VLOOKUP([jobnumber],OvalData[],MATCH(Table2[[#Headers],[Number of Slats]],Table2[#Headers],0),0)</f>
        <v>44.69</v>
      </c>
      <c r="BT651" s="2">
        <f>VLOOKUP([jobnumber],OvalData[],MATCH(Table2[[#Headers],[Wrap]],Table2[#Headers],0),0)</f>
        <v>0</v>
      </c>
      <c r="BU651" s="2">
        <f>VLOOKUP([jobnumber],OvalData[],MATCH(Table2[[#Headers],[Wall Angle Thickness]],Table2[#Headers],0),0)</f>
        <v>0</v>
      </c>
      <c r="BV651" s="2">
        <f>VLOOKUP([jobnumber],OvalData[],MATCH(Table2[[#Headers],[windlocks]],Table2[#Headers],0),0)</f>
        <v>0</v>
      </c>
      <c r="BW651" s="2" t="str">
        <f>VLOOKUP([jobnumber],OvalData[],MATCH(Table2[[#Headers],[bottombartype]],Table2[#Headers],0),0)</f>
        <v>SPECIAL</v>
      </c>
      <c r="BX651" s="2">
        <f>VLOOKUP([jobnumber],OvalData[],MATCH(Table2[[#Headers],[endlockweight]],Table2[#Headers],0),0)</f>
        <v>0.17</v>
      </c>
      <c r="BY651" s="2">
        <f>VLOOKUP([jobnumber],OvalData[],MATCH(Table2[[#Headers],[Endlock Total Weight]],Table2[#Headers],0),0)</f>
        <v>7.5972999999999997</v>
      </c>
      <c r="BZ651" s="2">
        <f>VLOOKUP([jobnumber],OvalData[],MATCH(Table2[[#Headers],[Grille Weight]],Table2[#Headers],0),0)</f>
        <v>0</v>
      </c>
      <c r="CA651" s="2">
        <f>VLOOKUP([jobnumber],OvalData[],MATCH(Table2[[#Headers],[barrelrings]],Table2[#Headers],0),0)</f>
        <v>1</v>
      </c>
    </row>
    <row r="652" spans="2:79">
      <c r="B652" s="2" t="str">
        <f>VLOOKUP([jobnumber],OvalData[],MATCH(Table2[[#Headers],[Hand]],Table2[#Headers],0),0)</f>
        <v>RH</v>
      </c>
      <c r="C652" s="2" t="str">
        <f>VLOOKUP([jobnumber],OvalData[],MATCH(Table2[[#Headers],[Model]],Table2[#Headers],0),0)</f>
        <v>SFMPP</v>
      </c>
      <c r="D652" s="2" t="str">
        <f>VLOOKUP([jobnumber],OvalData[],MATCH(Table2[[#Headers],[width]],Table2[#Headers],0),0)</f>
        <v xml:space="preserve"> 18 ft.- 2"</v>
      </c>
      <c r="E652" s="2" t="str">
        <f>VLOOKUP([jobnumber],OvalData[],MATCH(Table2[[#Headers],[stopheight]],Table2[#Headers],0),0)</f>
        <v xml:space="preserve"> 10 ft.- 0"</v>
      </c>
      <c r="F652" s="2" t="str">
        <f>VLOOKUP([jobnumber],OvalData[],MATCH(Table2[[#Headers],[Between Brackets]],Table2[#Headers],0),0)</f>
        <v xml:space="preserve"> 18 ft.- 7 7/ 8"</v>
      </c>
      <c r="G652" s="2" t="str">
        <f>VLOOKUP([jobnumber],OvalData[],MATCH(Table2[[#Headers],[shell]],Table2[#Headers],0),0)</f>
        <v>6 INCH TUBE</v>
      </c>
      <c r="H652" s="2" t="str">
        <f>VLOOKUP([jobnumber],OvalData[],MATCH(Table2[[#Headers],[pipewidth]],Table2[#Headers],0),0)</f>
        <v xml:space="preserve"> 18 ft.- 1 3/ 8"</v>
      </c>
      <c r="I652" s="2">
        <f>VLOOKUP([jobnumber],OvalData[],MATCH(Table2[[#Headers],[Support Tubes]],Table2[#Headers],0),0)</f>
        <v>0</v>
      </c>
      <c r="J652" s="2">
        <f>VLOOKUP([jobnumber],OvalData[],MATCH(Table2[[#Headers],[Upset]],Table2[#Headers],0),0)</f>
        <v>2</v>
      </c>
      <c r="K652" s="2" t="str">
        <f>VLOOKUP([jobnumber],OvalData[],MATCH(Table2[[#Headers],[Guide Type]],Table2[#Headers],0),0)</f>
        <v>SN2-4 5/8-E</v>
      </c>
      <c r="L652" s="2" t="str">
        <f>VLOOKUP([jobnumber],OvalData[],MATCH(Table2[[#Headers],[Wall Angle]],Table2[#Headers],0),0)</f>
        <v xml:space="preserve"> 11 ft.- 8"</v>
      </c>
      <c r="M652" s="2" t="str">
        <f>VLOOKUP([jobnumber],OvalData[],MATCH(Table2[[#Headers],[Middle Angle]],Table2[#Headers],0),0)</f>
        <v xml:space="preserve"> 10 ft.- 4 1/ 2"</v>
      </c>
      <c r="N652" s="2" t="str">
        <f>VLOOKUP([jobnumber],OvalData[],MATCH(Table2[[#Headers],[Front Angle]],Table2[#Headers],0),0)</f>
        <v xml:space="preserve"> 10 ft.- 3"</v>
      </c>
      <c r="O652" s="2">
        <f>VLOOKUP([jobnumber],OvalData[],MATCH(Table2[[#Headers],[Pipe Center Line]],Table2[#Headers],0),0)</f>
        <v>131</v>
      </c>
      <c r="P652" s="2">
        <f>VLOOKUP([jobnumber],OvalData[],MATCH(Table2[[#Headers],[Heat Expansion Gap]],Table2[#Headers],0),0)</f>
        <v>0</v>
      </c>
      <c r="Q652" s="2">
        <f>VLOOKUP([jobnumber],OvalData[],MATCH(Table2[[#Headers],[Hanging Weight Closed]],Table2[#Headers],0),0)</f>
        <v>795</v>
      </c>
      <c r="R652" s="2">
        <f>VLOOKUP([jobnumber],OvalData[],MATCH(Table2[[#Headers],[Hanging Weight Open]],Table2[#Headers],0),0)</f>
        <v>140</v>
      </c>
      <c r="S652" s="2">
        <f>VLOOKUP([jobnumber],OvalData[],MATCH(Table2[[#Headers],[Initial Lever Arm]],Table2[#Headers],0),0)</f>
        <v>4.25</v>
      </c>
      <c r="T652" s="2">
        <f>VLOOKUP([jobnumber],OvalData[],MATCH(Table2[[#Headers],[Turns to Raise]],Table2[#Headers],0),0)</f>
        <v>3.5859999999999999</v>
      </c>
      <c r="U652" s="2">
        <f>VLOOKUP([jobnumber],OvalData[],MATCH(Table2[[#Headers],[Final Lever Arm]],Table2[#Headers],0),0)</f>
        <v>6.37</v>
      </c>
      <c r="V652" s="2">
        <f>VLOOKUP([jobnumber],OvalData[],MATCH(Table2[[#Headers],[Torque Required Closed]],Table2[#Headers],0),0)</f>
        <v>3377.9</v>
      </c>
      <c r="W652" s="2">
        <f>VLOOKUP([jobnumber],OvalData[],MATCH(Table2[[#Headers],[Torque Required Open]],Table2[#Headers],0),0)</f>
        <v>892</v>
      </c>
      <c r="X652" s="2">
        <f>VLOOKUP([jobnumber],OvalData[],MATCH(Table2[[#Headers],[Pre Turns]],Table2[#Headers],0),0)</f>
        <v>1.3332999999999999</v>
      </c>
      <c r="Y652" s="2">
        <f>VLOOKUP([jobnumber],OvalData[],MATCH(Table2[[#Headers],[Required Torque Per Turn]],Table2[#Headers],0),0)</f>
        <v>688</v>
      </c>
      <c r="Z652" s="2">
        <f>VLOOKUP([jobnumber],OvalData[],MATCH(Table2[[#Headers],[Total Turns]],Table2[#Headers],0),0)</f>
        <v>4.91</v>
      </c>
      <c r="AA652" s="2">
        <f>VLOOKUP([jobnumber],OvalData[],MATCH(Table2[[#Headers],[Grille Vision Section]],Table2[#Headers],0),0)</f>
        <v>0</v>
      </c>
      <c r="AB652" s="2">
        <f>VLOOKUP([jobnumber],OvalData[],MATCH(Table2[[#Headers],[Grille Amount]],Table2[#Headers],0),0)</f>
        <v>0</v>
      </c>
      <c r="AC652" s="2">
        <f>VLOOKUP([jobnumber],OvalData[],MATCH(Table2[[#Headers],[Grille Center]],Table2[#Headers],0),0)</f>
        <v>0</v>
      </c>
      <c r="AD652" s="2">
        <f>VLOOKUP([jobnumber],OvalData[],MATCH(Table2[[#Headers],[Grille Pattern]],Table2[#Headers],0),0)</f>
        <v>0</v>
      </c>
      <c r="AE652" s="2">
        <f>VLOOKUP([jobnumber],OvalData[],MATCH(Table2[[#Headers],[Grille First Tube]],Table2[#Headers],0),0)</f>
        <v>0</v>
      </c>
      <c r="AF652" s="2">
        <f>VLOOKUP([jobnumber],OvalData[],MATCH(Table2[[#Headers],[Grille Standard Tube]],Table2[#Headers],0),0)</f>
        <v>0</v>
      </c>
      <c r="AG652" s="2">
        <f>VLOOKUP([jobnumber],OvalData[],MATCH(Table2[[#Headers],[Grille Total Links]],Table2[#Headers],0),0)</f>
        <v>0</v>
      </c>
      <c r="AH652" s="2">
        <f>VLOOKUP([jobnumber],OvalData[],MATCH(Table2[[#Headers],[Grille Rods]],Table2[#Headers],0),0)</f>
        <v>0</v>
      </c>
      <c r="AI652" s="2">
        <f>VLOOKUP([jobnumber],OvalData[],MATCH(Table2[[#Headers],[Grille Rod Length]],Table2[#Headers],0),0)</f>
        <v>0</v>
      </c>
      <c r="AJ652" s="2">
        <f>VLOOKUP([jobnumber],OvalData[],MATCH(Table2[[#Headers],[slattype]],Table2[#Headers],0),0)</f>
        <v>2</v>
      </c>
      <c r="AK652" s="2">
        <f>VLOOKUP([jobnumber],OvalData[],MATCH(Table2[[#Headers],[slatgage]],Table2[#Headers],0),0)</f>
        <v>18</v>
      </c>
      <c r="AL652" s="2">
        <f>VLOOKUP([jobnumber],OvalData[],MATCH(Table2[[#Headers],[Numer of Top Slats]],Table2[#Headers],0),0)</f>
        <v>0</v>
      </c>
      <c r="AM652" s="2">
        <f>VLOOKUP([jobnumber],OvalData[],MATCH(Table2[[#Headers],[Number of Bottom Slats]],Table2[#Headers],0),0)</f>
        <v>0</v>
      </c>
      <c r="AN652" s="2">
        <f>VLOOKUP([jobnumber],OvalData[],MATCH(Table2[[#Headers],[Solid Bottom Height]],Table2[#Headers],0),0)</f>
        <v>0</v>
      </c>
      <c r="AO652" s="2" t="str">
        <f>VLOOKUP([jobnumber],OvalData[],MATCH(Table2[[#Headers],[slatlength]],Table2[#Headers],0),0)</f>
        <v xml:space="preserve"> 18 ft.- 5 7/ 8"</v>
      </c>
      <c r="AP652" s="2">
        <f>VLOOKUP([jobnumber],OvalData[],MATCH(Table2[[#Headers],[Bottom Slat Length]],Table2[#Headers],0),0)</f>
        <v>0</v>
      </c>
      <c r="AQ652" s="2">
        <f>VLOOKUP([jobnumber],OvalData[],MATCH(Table2[[#Headers],[Number of Perferated Slats]],Table2[#Headers],0),0)</f>
        <v>0</v>
      </c>
      <c r="AR652" s="2">
        <f>VLOOKUP([jobnumber],OvalData[],MATCH(Table2[[#Headers],[First Preferated Slat From End]],Table2[#Headers],0),0)</f>
        <v>0</v>
      </c>
      <c r="AS652" s="2">
        <f>VLOOKUP([jobnumber],OvalData[],MATCH(Table2[[#Headers],[First Preferated Slat From Bottom]],Table2[#Headers],0),0)</f>
        <v>0</v>
      </c>
      <c r="AT652" s="2">
        <f>VLOOKUP([jobnumber],OvalData[],MATCH(Table2[[#Headers],[Total Number of Slats]],Table2[#Headers],0),0)</f>
        <v>51</v>
      </c>
      <c r="AU652" s="2">
        <f>VLOOKUP([jobnumber],OvalData[],MATCH(Table2[[#Headers],[Bottom Bar Slope]],Table2[#Headers],0),0)</f>
        <v>0</v>
      </c>
      <c r="AV652" s="2">
        <f>VLOOKUP([jobnumber],OvalData[],MATCH(Table2[[#Headers],[Bottom Bar Weight]],Table2[#Headers],0),0)</f>
        <v>80.5</v>
      </c>
      <c r="AW652" s="2" t="str">
        <f>VLOOKUP([jobnumber],OvalData[],MATCH(Table2[[#Headers],[Outer Spring Gage]],Table2[#Headers],0),0)</f>
        <v>Null</v>
      </c>
      <c r="AX652" s="2" t="str">
        <f>VLOOKUP([jobnumber],OvalData[],MATCH(Table2[[#Headers],[Outer Spring OD]],Table2[#Headers],0),0)</f>
        <v>Null</v>
      </c>
      <c r="AY652" s="2" t="str">
        <f>VLOOKUP([jobnumber],OvalData[],MATCH(Table2[[#Headers],[Outer Spring Length]],Table2[#Headers],0),0)</f>
        <v>Null</v>
      </c>
      <c r="AZ652" s="2" t="str">
        <f>VLOOKUP([jobnumber],OvalData[],MATCH(Table2[[#Headers],[Outer Spring Stretch]],Table2[#Headers],0),0)</f>
        <v>Null</v>
      </c>
      <c r="BA652" s="2" t="str">
        <f>VLOOKUP([jobnumber],OvalData[],MATCH(Table2[[#Headers],[Outer Spring Torque]],Table2[#Headers],0),0)</f>
        <v>Null</v>
      </c>
      <c r="BB652" s="2" t="str">
        <f>VLOOKUP([jobnumber],OvalData[],MATCH(Table2[[#Headers],[Outer Spring Max Turns]],Table2[#Headers],0),0)</f>
        <v>Null</v>
      </c>
      <c r="BC652" s="2" t="str">
        <f>VLOOKUP([jobnumber],OvalData[],MATCH(Table2[[#Headers],[Outer Spring Weight]],Table2[#Headers],0),0)</f>
        <v>Null</v>
      </c>
      <c r="BD652" s="2" t="str">
        <f>VLOOKUP([jobnumber],OvalData[],MATCH(Table2[[#Headers],[Inner Spring Gage]],Table2[#Headers],0),0)</f>
        <v>Null</v>
      </c>
      <c r="BE652" s="2" t="str">
        <f>VLOOKUP([jobnumber],OvalData[],MATCH(Table2[[#Headers],[Inner Spring OD]],Table2[#Headers],0),0)</f>
        <v>Null</v>
      </c>
      <c r="BF652" s="2" t="str">
        <f>VLOOKUP([jobnumber],OvalData[],MATCH(Table2[[#Headers],[Inner Spring Length]],Table2[#Headers],0),0)</f>
        <v>Null</v>
      </c>
      <c r="BG652" s="2" t="str">
        <f>VLOOKUP([jobnumber],OvalData[],MATCH(Table2[[#Headers],[Inner Spring Stretch]],Table2[#Headers],0),0)</f>
        <v>Null</v>
      </c>
      <c r="BH652" s="2" t="str">
        <f>VLOOKUP([jobnumber],OvalData[],MATCH(Table2[[#Headers],[Inner Spring Torque]],Table2[#Headers],0),0)</f>
        <v>Null</v>
      </c>
      <c r="BI652" s="2" t="str">
        <f>VLOOKUP([jobnumber],OvalData[],MATCH(Table2[[#Headers],[Inner Spring Max Turns]],Table2[#Headers],0),0)</f>
        <v>Null</v>
      </c>
      <c r="BJ652" s="2" t="str">
        <f>VLOOKUP([jobnumber],OvalData[],MATCH(Table2[[#Headers],[Inner Spring Weight]],Table2[#Headers],0),0)</f>
        <v>Null</v>
      </c>
      <c r="BK652" s="2">
        <f>VLOOKUP([jobnumber],OvalData[],MATCH(Table2[[#Headers],[Cycles]],Table2[#Headers],0),0)</f>
        <v>0</v>
      </c>
      <c r="BL652" s="2">
        <f>VLOOKUP([jobnumber],OvalData[],MATCH(Table2[[#Headers],[Total Spring Torque]],Table2[#Headers],0),0)</f>
        <v>0</v>
      </c>
      <c r="BM652" s="2">
        <f>VLOOKUP([jobnumber],OvalData[],MATCH(Table2[[#Headers],[Total Spring Weight]],Table2[#Headers],0),0)</f>
        <v>0</v>
      </c>
      <c r="BN652" s="2">
        <f>VLOOKUP([jobnumber],OvalData[],MATCH(Table2[[#Headers],[Pipe Weight]],Table2[#Headers],0),0)</f>
        <v>688.24239999999998</v>
      </c>
      <c r="BO652" s="2">
        <f>VLOOKUP([jobnumber],OvalData[],MATCH(Table2[[#Headers],[Max Pipe Deflection]],Table2[#Headers],0),0)</f>
        <v>2309</v>
      </c>
      <c r="BP652" s="2">
        <f>VLOOKUP([jobnumber],OvalData[],MATCH(Table2[[#Headers],[Number Non-Insulated Wrap Slats]],Table2[#Headers],0),0)</f>
        <v>0</v>
      </c>
      <c r="BQ652" s="2">
        <f>VLOOKUP([jobnumber],OvalData[],MATCH(Table2[[#Headers],[Number of Insolated Top Slats]],Table2[#Headers],0),0)</f>
        <v>45</v>
      </c>
      <c r="BR652" s="2">
        <f>VLOOKUP([jobnumber],OvalData[],MATCH(Table2[[#Headers],[Insolated Total Slats]],Table2[#Headers],0),0)</f>
        <v>45</v>
      </c>
      <c r="BS652" s="2">
        <f>VLOOKUP([jobnumber],OvalData[],MATCH(Table2[[#Headers],[Number of Slats]],Table2[#Headers],0),0)</f>
        <v>44.69</v>
      </c>
      <c r="BT652" s="2">
        <f>VLOOKUP([jobnumber],OvalData[],MATCH(Table2[[#Headers],[Wrap]],Table2[#Headers],0),0)</f>
        <v>0</v>
      </c>
      <c r="BU652" s="2">
        <f>VLOOKUP([jobnumber],OvalData[],MATCH(Table2[[#Headers],[Wall Angle Thickness]],Table2[#Headers],0),0)</f>
        <v>0</v>
      </c>
      <c r="BV652" s="2">
        <f>VLOOKUP([jobnumber],OvalData[],MATCH(Table2[[#Headers],[windlocks]],Table2[#Headers],0),0)</f>
        <v>0</v>
      </c>
      <c r="BW652" s="2" t="str">
        <f>VLOOKUP([jobnumber],OvalData[],MATCH(Table2[[#Headers],[bottombartype]],Table2[#Headers],0),0)</f>
        <v>SPECIAL</v>
      </c>
      <c r="BX652" s="2">
        <f>VLOOKUP([jobnumber],OvalData[],MATCH(Table2[[#Headers],[endlockweight]],Table2[#Headers],0),0)</f>
        <v>0.17</v>
      </c>
      <c r="BY652" s="2">
        <f>VLOOKUP([jobnumber],OvalData[],MATCH(Table2[[#Headers],[Endlock Total Weight]],Table2[#Headers],0),0)</f>
        <v>7.5972999999999997</v>
      </c>
      <c r="BZ652" s="2">
        <f>VLOOKUP([jobnumber],OvalData[],MATCH(Table2[[#Headers],[Grille Weight]],Table2[#Headers],0),0)</f>
        <v>0</v>
      </c>
      <c r="CA652" s="2">
        <f>VLOOKUP([jobnumber],OvalData[],MATCH(Table2[[#Headers],[barrelrings]],Table2[#Headers],0),0)</f>
        <v>1</v>
      </c>
    </row>
    <row r="653" spans="2:79">
      <c r="B653" s="2" t="str">
        <f>VLOOKUP([jobnumber],OvalData[],MATCH(Table2[[#Headers],[Hand]],Table2[#Headers],0),0)</f>
        <v>RH</v>
      </c>
      <c r="C653" s="2" t="str">
        <f>VLOOKUP([jobnumber],OvalData[],MATCH(Table2[[#Headers],[Model]],Table2[#Headers],0),0)</f>
        <v>SFMPP</v>
      </c>
      <c r="D653" s="2" t="str">
        <f>VLOOKUP([jobnumber],OvalData[],MATCH(Table2[[#Headers],[width]],Table2[#Headers],0),0)</f>
        <v xml:space="preserve"> 18 ft.- 2"</v>
      </c>
      <c r="E653" s="2" t="str">
        <f>VLOOKUP([jobnumber],OvalData[],MATCH(Table2[[#Headers],[stopheight]],Table2[#Headers],0),0)</f>
        <v xml:space="preserve"> 10 ft.- 0"</v>
      </c>
      <c r="F653" s="2" t="str">
        <f>VLOOKUP([jobnumber],OvalData[],MATCH(Table2[[#Headers],[Between Brackets]],Table2[#Headers],0),0)</f>
        <v xml:space="preserve"> 18 ft.- 7 7/ 8"</v>
      </c>
      <c r="G653" s="2" t="str">
        <f>VLOOKUP([jobnumber],OvalData[],MATCH(Table2[[#Headers],[shell]],Table2[#Headers],0),0)</f>
        <v>6 INCH TUBE</v>
      </c>
      <c r="H653" s="2" t="str">
        <f>VLOOKUP([jobnumber],OvalData[],MATCH(Table2[[#Headers],[pipewidth]],Table2[#Headers],0),0)</f>
        <v xml:space="preserve"> 18 ft.- 1 3/ 8"</v>
      </c>
      <c r="I653" s="2">
        <f>VLOOKUP([jobnumber],OvalData[],MATCH(Table2[[#Headers],[Support Tubes]],Table2[#Headers],0),0)</f>
        <v>0</v>
      </c>
      <c r="J653" s="2">
        <f>VLOOKUP([jobnumber],OvalData[],MATCH(Table2[[#Headers],[Upset]],Table2[#Headers],0),0)</f>
        <v>2</v>
      </c>
      <c r="K653" s="2" t="str">
        <f>VLOOKUP([jobnumber],OvalData[],MATCH(Table2[[#Headers],[Guide Type]],Table2[#Headers],0),0)</f>
        <v>SN2-4 5/8-E</v>
      </c>
      <c r="L653" s="2" t="str">
        <f>VLOOKUP([jobnumber],OvalData[],MATCH(Table2[[#Headers],[Wall Angle]],Table2[#Headers],0),0)</f>
        <v xml:space="preserve"> 11 ft.- 8"</v>
      </c>
      <c r="M653" s="2" t="str">
        <f>VLOOKUP([jobnumber],OvalData[],MATCH(Table2[[#Headers],[Middle Angle]],Table2[#Headers],0),0)</f>
        <v xml:space="preserve"> 10 ft.- 4 1/ 2"</v>
      </c>
      <c r="N653" s="2" t="str">
        <f>VLOOKUP([jobnumber],OvalData[],MATCH(Table2[[#Headers],[Front Angle]],Table2[#Headers],0),0)</f>
        <v xml:space="preserve"> 10 ft.- 3"</v>
      </c>
      <c r="O653" s="2">
        <f>VLOOKUP([jobnumber],OvalData[],MATCH(Table2[[#Headers],[Pipe Center Line]],Table2[#Headers],0),0)</f>
        <v>131</v>
      </c>
      <c r="P653" s="2">
        <f>VLOOKUP([jobnumber],OvalData[],MATCH(Table2[[#Headers],[Heat Expansion Gap]],Table2[#Headers],0),0)</f>
        <v>0</v>
      </c>
      <c r="Q653" s="2">
        <f>VLOOKUP([jobnumber],OvalData[],MATCH(Table2[[#Headers],[Hanging Weight Closed]],Table2[#Headers],0),0)</f>
        <v>795</v>
      </c>
      <c r="R653" s="2">
        <f>VLOOKUP([jobnumber],OvalData[],MATCH(Table2[[#Headers],[Hanging Weight Open]],Table2[#Headers],0),0)</f>
        <v>140</v>
      </c>
      <c r="S653" s="2">
        <f>VLOOKUP([jobnumber],OvalData[],MATCH(Table2[[#Headers],[Initial Lever Arm]],Table2[#Headers],0),0)</f>
        <v>4.25</v>
      </c>
      <c r="T653" s="2">
        <f>VLOOKUP([jobnumber],OvalData[],MATCH(Table2[[#Headers],[Turns to Raise]],Table2[#Headers],0),0)</f>
        <v>3.5859999999999999</v>
      </c>
      <c r="U653" s="2">
        <f>VLOOKUP([jobnumber],OvalData[],MATCH(Table2[[#Headers],[Final Lever Arm]],Table2[#Headers],0),0)</f>
        <v>6.37</v>
      </c>
      <c r="V653" s="2">
        <f>VLOOKUP([jobnumber],OvalData[],MATCH(Table2[[#Headers],[Torque Required Closed]],Table2[#Headers],0),0)</f>
        <v>3377.9</v>
      </c>
      <c r="W653" s="2">
        <f>VLOOKUP([jobnumber],OvalData[],MATCH(Table2[[#Headers],[Torque Required Open]],Table2[#Headers],0),0)</f>
        <v>892</v>
      </c>
      <c r="X653" s="2">
        <f>VLOOKUP([jobnumber],OvalData[],MATCH(Table2[[#Headers],[Pre Turns]],Table2[#Headers],0),0)</f>
        <v>1.3332999999999999</v>
      </c>
      <c r="Y653" s="2">
        <f>VLOOKUP([jobnumber],OvalData[],MATCH(Table2[[#Headers],[Required Torque Per Turn]],Table2[#Headers],0),0)</f>
        <v>688</v>
      </c>
      <c r="Z653" s="2">
        <f>VLOOKUP([jobnumber],OvalData[],MATCH(Table2[[#Headers],[Total Turns]],Table2[#Headers],0),0)</f>
        <v>4.91</v>
      </c>
      <c r="AA653" s="2">
        <f>VLOOKUP([jobnumber],OvalData[],MATCH(Table2[[#Headers],[Grille Vision Section]],Table2[#Headers],0),0)</f>
        <v>0</v>
      </c>
      <c r="AB653" s="2">
        <f>VLOOKUP([jobnumber],OvalData[],MATCH(Table2[[#Headers],[Grille Amount]],Table2[#Headers],0),0)</f>
        <v>0</v>
      </c>
      <c r="AC653" s="2">
        <f>VLOOKUP([jobnumber],OvalData[],MATCH(Table2[[#Headers],[Grille Center]],Table2[#Headers],0),0)</f>
        <v>0</v>
      </c>
      <c r="AD653" s="2">
        <f>VLOOKUP([jobnumber],OvalData[],MATCH(Table2[[#Headers],[Grille Pattern]],Table2[#Headers],0),0)</f>
        <v>0</v>
      </c>
      <c r="AE653" s="2">
        <f>VLOOKUP([jobnumber],OvalData[],MATCH(Table2[[#Headers],[Grille First Tube]],Table2[#Headers],0),0)</f>
        <v>0</v>
      </c>
      <c r="AF653" s="2">
        <f>VLOOKUP([jobnumber],OvalData[],MATCH(Table2[[#Headers],[Grille Standard Tube]],Table2[#Headers],0),0)</f>
        <v>0</v>
      </c>
      <c r="AG653" s="2">
        <f>VLOOKUP([jobnumber],OvalData[],MATCH(Table2[[#Headers],[Grille Total Links]],Table2[#Headers],0),0)</f>
        <v>0</v>
      </c>
      <c r="AH653" s="2">
        <f>VLOOKUP([jobnumber],OvalData[],MATCH(Table2[[#Headers],[Grille Rods]],Table2[#Headers],0),0)</f>
        <v>0</v>
      </c>
      <c r="AI653" s="2">
        <f>VLOOKUP([jobnumber],OvalData[],MATCH(Table2[[#Headers],[Grille Rod Length]],Table2[#Headers],0),0)</f>
        <v>0</v>
      </c>
      <c r="AJ653" s="2">
        <f>VLOOKUP([jobnumber],OvalData[],MATCH(Table2[[#Headers],[slattype]],Table2[#Headers],0),0)</f>
        <v>2</v>
      </c>
      <c r="AK653" s="2">
        <f>VLOOKUP([jobnumber],OvalData[],MATCH(Table2[[#Headers],[slatgage]],Table2[#Headers],0),0)</f>
        <v>18</v>
      </c>
      <c r="AL653" s="2">
        <f>VLOOKUP([jobnumber],OvalData[],MATCH(Table2[[#Headers],[Numer of Top Slats]],Table2[#Headers],0),0)</f>
        <v>0</v>
      </c>
      <c r="AM653" s="2">
        <f>VLOOKUP([jobnumber],OvalData[],MATCH(Table2[[#Headers],[Number of Bottom Slats]],Table2[#Headers],0),0)</f>
        <v>0</v>
      </c>
      <c r="AN653" s="2">
        <f>VLOOKUP([jobnumber],OvalData[],MATCH(Table2[[#Headers],[Solid Bottom Height]],Table2[#Headers],0),0)</f>
        <v>0</v>
      </c>
      <c r="AO653" s="2" t="str">
        <f>VLOOKUP([jobnumber],OvalData[],MATCH(Table2[[#Headers],[slatlength]],Table2[#Headers],0),0)</f>
        <v xml:space="preserve"> 18 ft.- 5 7/ 8"</v>
      </c>
      <c r="AP653" s="2">
        <f>VLOOKUP([jobnumber],OvalData[],MATCH(Table2[[#Headers],[Bottom Slat Length]],Table2[#Headers],0),0)</f>
        <v>0</v>
      </c>
      <c r="AQ653" s="2">
        <f>VLOOKUP([jobnumber],OvalData[],MATCH(Table2[[#Headers],[Number of Perferated Slats]],Table2[#Headers],0),0)</f>
        <v>0</v>
      </c>
      <c r="AR653" s="2">
        <f>VLOOKUP([jobnumber],OvalData[],MATCH(Table2[[#Headers],[First Preferated Slat From End]],Table2[#Headers],0),0)</f>
        <v>0</v>
      </c>
      <c r="AS653" s="2">
        <f>VLOOKUP([jobnumber],OvalData[],MATCH(Table2[[#Headers],[First Preferated Slat From Bottom]],Table2[#Headers],0),0)</f>
        <v>0</v>
      </c>
      <c r="AT653" s="2">
        <f>VLOOKUP([jobnumber],OvalData[],MATCH(Table2[[#Headers],[Total Number of Slats]],Table2[#Headers],0),0)</f>
        <v>51</v>
      </c>
      <c r="AU653" s="2">
        <f>VLOOKUP([jobnumber],OvalData[],MATCH(Table2[[#Headers],[Bottom Bar Slope]],Table2[#Headers],0),0)</f>
        <v>0</v>
      </c>
      <c r="AV653" s="2">
        <f>VLOOKUP([jobnumber],OvalData[],MATCH(Table2[[#Headers],[Bottom Bar Weight]],Table2[#Headers],0),0)</f>
        <v>80.5</v>
      </c>
      <c r="AW653" s="2" t="str">
        <f>VLOOKUP([jobnumber],OvalData[],MATCH(Table2[[#Headers],[Outer Spring Gage]],Table2[#Headers],0),0)</f>
        <v>Null</v>
      </c>
      <c r="AX653" s="2" t="str">
        <f>VLOOKUP([jobnumber],OvalData[],MATCH(Table2[[#Headers],[Outer Spring OD]],Table2[#Headers],0),0)</f>
        <v>Null</v>
      </c>
      <c r="AY653" s="2" t="str">
        <f>VLOOKUP([jobnumber],OvalData[],MATCH(Table2[[#Headers],[Outer Spring Length]],Table2[#Headers],0),0)</f>
        <v>Null</v>
      </c>
      <c r="AZ653" s="2" t="str">
        <f>VLOOKUP([jobnumber],OvalData[],MATCH(Table2[[#Headers],[Outer Spring Stretch]],Table2[#Headers],0),0)</f>
        <v>Null</v>
      </c>
      <c r="BA653" s="2" t="str">
        <f>VLOOKUP([jobnumber],OvalData[],MATCH(Table2[[#Headers],[Outer Spring Torque]],Table2[#Headers],0),0)</f>
        <v>Null</v>
      </c>
      <c r="BB653" s="2" t="str">
        <f>VLOOKUP([jobnumber],OvalData[],MATCH(Table2[[#Headers],[Outer Spring Max Turns]],Table2[#Headers],0),0)</f>
        <v>Null</v>
      </c>
      <c r="BC653" s="2" t="str">
        <f>VLOOKUP([jobnumber],OvalData[],MATCH(Table2[[#Headers],[Outer Spring Weight]],Table2[#Headers],0),0)</f>
        <v>Null</v>
      </c>
      <c r="BD653" s="2" t="str">
        <f>VLOOKUP([jobnumber],OvalData[],MATCH(Table2[[#Headers],[Inner Spring Gage]],Table2[#Headers],0),0)</f>
        <v>Null</v>
      </c>
      <c r="BE653" s="2" t="str">
        <f>VLOOKUP([jobnumber],OvalData[],MATCH(Table2[[#Headers],[Inner Spring OD]],Table2[#Headers],0),0)</f>
        <v>Null</v>
      </c>
      <c r="BF653" s="2" t="str">
        <f>VLOOKUP([jobnumber],OvalData[],MATCH(Table2[[#Headers],[Inner Spring Length]],Table2[#Headers],0),0)</f>
        <v>Null</v>
      </c>
      <c r="BG653" s="2" t="str">
        <f>VLOOKUP([jobnumber],OvalData[],MATCH(Table2[[#Headers],[Inner Spring Stretch]],Table2[#Headers],0),0)</f>
        <v>Null</v>
      </c>
      <c r="BH653" s="2" t="str">
        <f>VLOOKUP([jobnumber],OvalData[],MATCH(Table2[[#Headers],[Inner Spring Torque]],Table2[#Headers],0),0)</f>
        <v>Null</v>
      </c>
      <c r="BI653" s="2" t="str">
        <f>VLOOKUP([jobnumber],OvalData[],MATCH(Table2[[#Headers],[Inner Spring Max Turns]],Table2[#Headers],0),0)</f>
        <v>Null</v>
      </c>
      <c r="BJ653" s="2" t="str">
        <f>VLOOKUP([jobnumber],OvalData[],MATCH(Table2[[#Headers],[Inner Spring Weight]],Table2[#Headers],0),0)</f>
        <v>Null</v>
      </c>
      <c r="BK653" s="2">
        <f>VLOOKUP([jobnumber],OvalData[],MATCH(Table2[[#Headers],[Cycles]],Table2[#Headers],0),0)</f>
        <v>0</v>
      </c>
      <c r="BL653" s="2">
        <f>VLOOKUP([jobnumber],OvalData[],MATCH(Table2[[#Headers],[Total Spring Torque]],Table2[#Headers],0),0)</f>
        <v>0</v>
      </c>
      <c r="BM653" s="2">
        <f>VLOOKUP([jobnumber],OvalData[],MATCH(Table2[[#Headers],[Total Spring Weight]],Table2[#Headers],0),0)</f>
        <v>0</v>
      </c>
      <c r="BN653" s="2">
        <f>VLOOKUP([jobnumber],OvalData[],MATCH(Table2[[#Headers],[Pipe Weight]],Table2[#Headers],0),0)</f>
        <v>688.24239999999998</v>
      </c>
      <c r="BO653" s="2">
        <f>VLOOKUP([jobnumber],OvalData[],MATCH(Table2[[#Headers],[Max Pipe Deflection]],Table2[#Headers],0),0)</f>
        <v>2309</v>
      </c>
      <c r="BP653" s="2">
        <f>VLOOKUP([jobnumber],OvalData[],MATCH(Table2[[#Headers],[Number Non-Insulated Wrap Slats]],Table2[#Headers],0),0)</f>
        <v>0</v>
      </c>
      <c r="BQ653" s="2">
        <f>VLOOKUP([jobnumber],OvalData[],MATCH(Table2[[#Headers],[Number of Insolated Top Slats]],Table2[#Headers],0),0)</f>
        <v>45</v>
      </c>
      <c r="BR653" s="2">
        <f>VLOOKUP([jobnumber],OvalData[],MATCH(Table2[[#Headers],[Insolated Total Slats]],Table2[#Headers],0),0)</f>
        <v>45</v>
      </c>
      <c r="BS653" s="2">
        <f>VLOOKUP([jobnumber],OvalData[],MATCH(Table2[[#Headers],[Number of Slats]],Table2[#Headers],0),0)</f>
        <v>44.69</v>
      </c>
      <c r="BT653" s="2">
        <f>VLOOKUP([jobnumber],OvalData[],MATCH(Table2[[#Headers],[Wrap]],Table2[#Headers],0),0)</f>
        <v>0</v>
      </c>
      <c r="BU653" s="2">
        <f>VLOOKUP([jobnumber],OvalData[],MATCH(Table2[[#Headers],[Wall Angle Thickness]],Table2[#Headers],0),0)</f>
        <v>0</v>
      </c>
      <c r="BV653" s="2">
        <f>VLOOKUP([jobnumber],OvalData[],MATCH(Table2[[#Headers],[windlocks]],Table2[#Headers],0),0)</f>
        <v>0</v>
      </c>
      <c r="BW653" s="2" t="str">
        <f>VLOOKUP([jobnumber],OvalData[],MATCH(Table2[[#Headers],[bottombartype]],Table2[#Headers],0),0)</f>
        <v>SPECIAL</v>
      </c>
      <c r="BX653" s="2">
        <f>VLOOKUP([jobnumber],OvalData[],MATCH(Table2[[#Headers],[endlockweight]],Table2[#Headers],0),0)</f>
        <v>0.17</v>
      </c>
      <c r="BY653" s="2">
        <f>VLOOKUP([jobnumber],OvalData[],MATCH(Table2[[#Headers],[Endlock Total Weight]],Table2[#Headers],0),0)</f>
        <v>7.5972999999999997</v>
      </c>
      <c r="BZ653" s="2">
        <f>VLOOKUP([jobnumber],OvalData[],MATCH(Table2[[#Headers],[Grille Weight]],Table2[#Headers],0),0)</f>
        <v>0</v>
      </c>
      <c r="CA653" s="2">
        <f>VLOOKUP([jobnumber],OvalData[],MATCH(Table2[[#Headers],[barrelrings]],Table2[#Headers],0),0)</f>
        <v>1</v>
      </c>
    </row>
    <row r="654" spans="2:79">
      <c r="B654" s="2" t="str">
        <f>VLOOKUP([jobnumber],OvalData[],MATCH(Table2[[#Headers],[Hand]],Table2[#Headers],0),0)</f>
        <v>RH</v>
      </c>
      <c r="C654" s="2" t="str">
        <f>VLOOKUP([jobnumber],OvalData[],MATCH(Table2[[#Headers],[Model]],Table2[#Headers],0),0)</f>
        <v>SFMPP</v>
      </c>
      <c r="D654" s="2" t="str">
        <f>VLOOKUP([jobnumber],OvalData[],MATCH(Table2[[#Headers],[width]],Table2[#Headers],0),0)</f>
        <v xml:space="preserve"> 18 ft.- 2"</v>
      </c>
      <c r="E654" s="2" t="str">
        <f>VLOOKUP([jobnumber],OvalData[],MATCH(Table2[[#Headers],[stopheight]],Table2[#Headers],0),0)</f>
        <v xml:space="preserve"> 10 ft.- 0"</v>
      </c>
      <c r="F654" s="2" t="str">
        <f>VLOOKUP([jobnumber],OvalData[],MATCH(Table2[[#Headers],[Between Brackets]],Table2[#Headers],0),0)</f>
        <v xml:space="preserve"> 18 ft.- 7 7/ 8"</v>
      </c>
      <c r="G654" s="2" t="str">
        <f>VLOOKUP([jobnumber],OvalData[],MATCH(Table2[[#Headers],[shell]],Table2[#Headers],0),0)</f>
        <v>6 INCH TUBE</v>
      </c>
      <c r="H654" s="2" t="str">
        <f>VLOOKUP([jobnumber],OvalData[],MATCH(Table2[[#Headers],[pipewidth]],Table2[#Headers],0),0)</f>
        <v xml:space="preserve"> 18 ft.- 1 3/ 8"</v>
      </c>
      <c r="I654" s="2">
        <f>VLOOKUP([jobnumber],OvalData[],MATCH(Table2[[#Headers],[Support Tubes]],Table2[#Headers],0),0)</f>
        <v>0</v>
      </c>
      <c r="J654" s="2">
        <f>VLOOKUP([jobnumber],OvalData[],MATCH(Table2[[#Headers],[Upset]],Table2[#Headers],0),0)</f>
        <v>2</v>
      </c>
      <c r="K654" s="2" t="str">
        <f>VLOOKUP([jobnumber],OvalData[],MATCH(Table2[[#Headers],[Guide Type]],Table2[#Headers],0),0)</f>
        <v>SN2-4 5/8-E</v>
      </c>
      <c r="L654" s="2" t="str">
        <f>VLOOKUP([jobnumber],OvalData[],MATCH(Table2[[#Headers],[Wall Angle]],Table2[#Headers],0),0)</f>
        <v xml:space="preserve"> 11 ft.- 8"</v>
      </c>
      <c r="M654" s="2" t="str">
        <f>VLOOKUP([jobnumber],OvalData[],MATCH(Table2[[#Headers],[Middle Angle]],Table2[#Headers],0),0)</f>
        <v xml:space="preserve"> 10 ft.- 4 1/ 2"</v>
      </c>
      <c r="N654" s="2" t="str">
        <f>VLOOKUP([jobnumber],OvalData[],MATCH(Table2[[#Headers],[Front Angle]],Table2[#Headers],0),0)</f>
        <v xml:space="preserve"> 10 ft.- 3"</v>
      </c>
      <c r="O654" s="2">
        <f>VLOOKUP([jobnumber],OvalData[],MATCH(Table2[[#Headers],[Pipe Center Line]],Table2[#Headers],0),0)</f>
        <v>131</v>
      </c>
      <c r="P654" s="2">
        <f>VLOOKUP([jobnumber],OvalData[],MATCH(Table2[[#Headers],[Heat Expansion Gap]],Table2[#Headers],0),0)</f>
        <v>0</v>
      </c>
      <c r="Q654" s="2">
        <f>VLOOKUP([jobnumber],OvalData[],MATCH(Table2[[#Headers],[Hanging Weight Closed]],Table2[#Headers],0),0)</f>
        <v>795</v>
      </c>
      <c r="R654" s="2">
        <f>VLOOKUP([jobnumber],OvalData[],MATCH(Table2[[#Headers],[Hanging Weight Open]],Table2[#Headers],0),0)</f>
        <v>140</v>
      </c>
      <c r="S654" s="2">
        <f>VLOOKUP([jobnumber],OvalData[],MATCH(Table2[[#Headers],[Initial Lever Arm]],Table2[#Headers],0),0)</f>
        <v>4.25</v>
      </c>
      <c r="T654" s="2">
        <f>VLOOKUP([jobnumber],OvalData[],MATCH(Table2[[#Headers],[Turns to Raise]],Table2[#Headers],0),0)</f>
        <v>3.5859999999999999</v>
      </c>
      <c r="U654" s="2">
        <f>VLOOKUP([jobnumber],OvalData[],MATCH(Table2[[#Headers],[Final Lever Arm]],Table2[#Headers],0),0)</f>
        <v>6.37</v>
      </c>
      <c r="V654" s="2">
        <f>VLOOKUP([jobnumber],OvalData[],MATCH(Table2[[#Headers],[Torque Required Closed]],Table2[#Headers],0),0)</f>
        <v>3377.9</v>
      </c>
      <c r="W654" s="2">
        <f>VLOOKUP([jobnumber],OvalData[],MATCH(Table2[[#Headers],[Torque Required Open]],Table2[#Headers],0),0)</f>
        <v>892</v>
      </c>
      <c r="X654" s="2">
        <f>VLOOKUP([jobnumber],OvalData[],MATCH(Table2[[#Headers],[Pre Turns]],Table2[#Headers],0),0)</f>
        <v>1.3332999999999999</v>
      </c>
      <c r="Y654" s="2">
        <f>VLOOKUP([jobnumber],OvalData[],MATCH(Table2[[#Headers],[Required Torque Per Turn]],Table2[#Headers],0),0)</f>
        <v>688</v>
      </c>
      <c r="Z654" s="2">
        <f>VLOOKUP([jobnumber],OvalData[],MATCH(Table2[[#Headers],[Total Turns]],Table2[#Headers],0),0)</f>
        <v>4.91</v>
      </c>
      <c r="AA654" s="2">
        <f>VLOOKUP([jobnumber],OvalData[],MATCH(Table2[[#Headers],[Grille Vision Section]],Table2[#Headers],0),0)</f>
        <v>0</v>
      </c>
      <c r="AB654" s="2">
        <f>VLOOKUP([jobnumber],OvalData[],MATCH(Table2[[#Headers],[Grille Amount]],Table2[#Headers],0),0)</f>
        <v>0</v>
      </c>
      <c r="AC654" s="2">
        <f>VLOOKUP([jobnumber],OvalData[],MATCH(Table2[[#Headers],[Grille Center]],Table2[#Headers],0),0)</f>
        <v>0</v>
      </c>
      <c r="AD654" s="2">
        <f>VLOOKUP([jobnumber],OvalData[],MATCH(Table2[[#Headers],[Grille Pattern]],Table2[#Headers],0),0)</f>
        <v>0</v>
      </c>
      <c r="AE654" s="2">
        <f>VLOOKUP([jobnumber],OvalData[],MATCH(Table2[[#Headers],[Grille First Tube]],Table2[#Headers],0),0)</f>
        <v>0</v>
      </c>
      <c r="AF654" s="2">
        <f>VLOOKUP([jobnumber],OvalData[],MATCH(Table2[[#Headers],[Grille Standard Tube]],Table2[#Headers],0),0)</f>
        <v>0</v>
      </c>
      <c r="AG654" s="2">
        <f>VLOOKUP([jobnumber],OvalData[],MATCH(Table2[[#Headers],[Grille Total Links]],Table2[#Headers],0),0)</f>
        <v>0</v>
      </c>
      <c r="AH654" s="2">
        <f>VLOOKUP([jobnumber],OvalData[],MATCH(Table2[[#Headers],[Grille Rods]],Table2[#Headers],0),0)</f>
        <v>0</v>
      </c>
      <c r="AI654" s="2">
        <f>VLOOKUP([jobnumber],OvalData[],MATCH(Table2[[#Headers],[Grille Rod Length]],Table2[#Headers],0),0)</f>
        <v>0</v>
      </c>
      <c r="AJ654" s="2">
        <f>VLOOKUP([jobnumber],OvalData[],MATCH(Table2[[#Headers],[slattype]],Table2[#Headers],0),0)</f>
        <v>2</v>
      </c>
      <c r="AK654" s="2">
        <f>VLOOKUP([jobnumber],OvalData[],MATCH(Table2[[#Headers],[slatgage]],Table2[#Headers],0),0)</f>
        <v>18</v>
      </c>
      <c r="AL654" s="2">
        <f>VLOOKUP([jobnumber],OvalData[],MATCH(Table2[[#Headers],[Numer of Top Slats]],Table2[#Headers],0),0)</f>
        <v>0</v>
      </c>
      <c r="AM654" s="2">
        <f>VLOOKUP([jobnumber],OvalData[],MATCH(Table2[[#Headers],[Number of Bottom Slats]],Table2[#Headers],0),0)</f>
        <v>0</v>
      </c>
      <c r="AN654" s="2">
        <f>VLOOKUP([jobnumber],OvalData[],MATCH(Table2[[#Headers],[Solid Bottom Height]],Table2[#Headers],0),0)</f>
        <v>0</v>
      </c>
      <c r="AO654" s="2" t="str">
        <f>VLOOKUP([jobnumber],OvalData[],MATCH(Table2[[#Headers],[slatlength]],Table2[#Headers],0),0)</f>
        <v xml:space="preserve"> 18 ft.- 5 7/ 8"</v>
      </c>
      <c r="AP654" s="2">
        <f>VLOOKUP([jobnumber],OvalData[],MATCH(Table2[[#Headers],[Bottom Slat Length]],Table2[#Headers],0),0)</f>
        <v>0</v>
      </c>
      <c r="AQ654" s="2">
        <f>VLOOKUP([jobnumber],OvalData[],MATCH(Table2[[#Headers],[Number of Perferated Slats]],Table2[#Headers],0),0)</f>
        <v>0</v>
      </c>
      <c r="AR654" s="2">
        <f>VLOOKUP([jobnumber],OvalData[],MATCH(Table2[[#Headers],[First Preferated Slat From End]],Table2[#Headers],0),0)</f>
        <v>0</v>
      </c>
      <c r="AS654" s="2">
        <f>VLOOKUP([jobnumber],OvalData[],MATCH(Table2[[#Headers],[First Preferated Slat From Bottom]],Table2[#Headers],0),0)</f>
        <v>0</v>
      </c>
      <c r="AT654" s="2">
        <f>VLOOKUP([jobnumber],OvalData[],MATCH(Table2[[#Headers],[Total Number of Slats]],Table2[#Headers],0),0)</f>
        <v>51</v>
      </c>
      <c r="AU654" s="2">
        <f>VLOOKUP([jobnumber],OvalData[],MATCH(Table2[[#Headers],[Bottom Bar Slope]],Table2[#Headers],0),0)</f>
        <v>0</v>
      </c>
      <c r="AV654" s="2">
        <f>VLOOKUP([jobnumber],OvalData[],MATCH(Table2[[#Headers],[Bottom Bar Weight]],Table2[#Headers],0),0)</f>
        <v>80.5</v>
      </c>
      <c r="AW654" s="2" t="str">
        <f>VLOOKUP([jobnumber],OvalData[],MATCH(Table2[[#Headers],[Outer Spring Gage]],Table2[#Headers],0),0)</f>
        <v>Null</v>
      </c>
      <c r="AX654" s="2" t="str">
        <f>VLOOKUP([jobnumber],OvalData[],MATCH(Table2[[#Headers],[Outer Spring OD]],Table2[#Headers],0),0)</f>
        <v>Null</v>
      </c>
      <c r="AY654" s="2" t="str">
        <f>VLOOKUP([jobnumber],OvalData[],MATCH(Table2[[#Headers],[Outer Spring Length]],Table2[#Headers],0),0)</f>
        <v>Null</v>
      </c>
      <c r="AZ654" s="2" t="str">
        <f>VLOOKUP([jobnumber],OvalData[],MATCH(Table2[[#Headers],[Outer Spring Stretch]],Table2[#Headers],0),0)</f>
        <v>Null</v>
      </c>
      <c r="BA654" s="2" t="str">
        <f>VLOOKUP([jobnumber],OvalData[],MATCH(Table2[[#Headers],[Outer Spring Torque]],Table2[#Headers],0),0)</f>
        <v>Null</v>
      </c>
      <c r="BB654" s="2" t="str">
        <f>VLOOKUP([jobnumber],OvalData[],MATCH(Table2[[#Headers],[Outer Spring Max Turns]],Table2[#Headers],0),0)</f>
        <v>Null</v>
      </c>
      <c r="BC654" s="2" t="str">
        <f>VLOOKUP([jobnumber],OvalData[],MATCH(Table2[[#Headers],[Outer Spring Weight]],Table2[#Headers],0),0)</f>
        <v>Null</v>
      </c>
      <c r="BD654" s="2" t="str">
        <f>VLOOKUP([jobnumber],OvalData[],MATCH(Table2[[#Headers],[Inner Spring Gage]],Table2[#Headers],0),0)</f>
        <v>Null</v>
      </c>
      <c r="BE654" s="2" t="str">
        <f>VLOOKUP([jobnumber],OvalData[],MATCH(Table2[[#Headers],[Inner Spring OD]],Table2[#Headers],0),0)</f>
        <v>Null</v>
      </c>
      <c r="BF654" s="2" t="str">
        <f>VLOOKUP([jobnumber],OvalData[],MATCH(Table2[[#Headers],[Inner Spring Length]],Table2[#Headers],0),0)</f>
        <v>Null</v>
      </c>
      <c r="BG654" s="2" t="str">
        <f>VLOOKUP([jobnumber],OvalData[],MATCH(Table2[[#Headers],[Inner Spring Stretch]],Table2[#Headers],0),0)</f>
        <v>Null</v>
      </c>
      <c r="BH654" s="2" t="str">
        <f>VLOOKUP([jobnumber],OvalData[],MATCH(Table2[[#Headers],[Inner Spring Torque]],Table2[#Headers],0),0)</f>
        <v>Null</v>
      </c>
      <c r="BI654" s="2" t="str">
        <f>VLOOKUP([jobnumber],OvalData[],MATCH(Table2[[#Headers],[Inner Spring Max Turns]],Table2[#Headers],0),0)</f>
        <v>Null</v>
      </c>
      <c r="BJ654" s="2" t="str">
        <f>VLOOKUP([jobnumber],OvalData[],MATCH(Table2[[#Headers],[Inner Spring Weight]],Table2[#Headers],0),0)</f>
        <v>Null</v>
      </c>
      <c r="BK654" s="2">
        <f>VLOOKUP([jobnumber],OvalData[],MATCH(Table2[[#Headers],[Cycles]],Table2[#Headers],0),0)</f>
        <v>0</v>
      </c>
      <c r="BL654" s="2">
        <f>VLOOKUP([jobnumber],OvalData[],MATCH(Table2[[#Headers],[Total Spring Torque]],Table2[#Headers],0),0)</f>
        <v>0</v>
      </c>
      <c r="BM654" s="2">
        <f>VLOOKUP([jobnumber],OvalData[],MATCH(Table2[[#Headers],[Total Spring Weight]],Table2[#Headers],0),0)</f>
        <v>0</v>
      </c>
      <c r="BN654" s="2">
        <f>VLOOKUP([jobnumber],OvalData[],MATCH(Table2[[#Headers],[Pipe Weight]],Table2[#Headers],0),0)</f>
        <v>688.24239999999998</v>
      </c>
      <c r="BO654" s="2">
        <f>VLOOKUP([jobnumber],OvalData[],MATCH(Table2[[#Headers],[Max Pipe Deflection]],Table2[#Headers],0),0)</f>
        <v>2309</v>
      </c>
      <c r="BP654" s="2">
        <f>VLOOKUP([jobnumber],OvalData[],MATCH(Table2[[#Headers],[Number Non-Insulated Wrap Slats]],Table2[#Headers],0),0)</f>
        <v>0</v>
      </c>
      <c r="BQ654" s="2">
        <f>VLOOKUP([jobnumber],OvalData[],MATCH(Table2[[#Headers],[Number of Insolated Top Slats]],Table2[#Headers],0),0)</f>
        <v>45</v>
      </c>
      <c r="BR654" s="2">
        <f>VLOOKUP([jobnumber],OvalData[],MATCH(Table2[[#Headers],[Insolated Total Slats]],Table2[#Headers],0),0)</f>
        <v>45</v>
      </c>
      <c r="BS654" s="2">
        <f>VLOOKUP([jobnumber],OvalData[],MATCH(Table2[[#Headers],[Number of Slats]],Table2[#Headers],0),0)</f>
        <v>44.69</v>
      </c>
      <c r="BT654" s="2">
        <f>VLOOKUP([jobnumber],OvalData[],MATCH(Table2[[#Headers],[Wrap]],Table2[#Headers],0),0)</f>
        <v>0</v>
      </c>
      <c r="BU654" s="2">
        <f>VLOOKUP([jobnumber],OvalData[],MATCH(Table2[[#Headers],[Wall Angle Thickness]],Table2[#Headers],0),0)</f>
        <v>0</v>
      </c>
      <c r="BV654" s="2">
        <f>VLOOKUP([jobnumber],OvalData[],MATCH(Table2[[#Headers],[windlocks]],Table2[#Headers],0),0)</f>
        <v>0</v>
      </c>
      <c r="BW654" s="2" t="str">
        <f>VLOOKUP([jobnumber],OvalData[],MATCH(Table2[[#Headers],[bottombartype]],Table2[#Headers],0),0)</f>
        <v>SPECIAL</v>
      </c>
      <c r="BX654" s="2">
        <f>VLOOKUP([jobnumber],OvalData[],MATCH(Table2[[#Headers],[endlockweight]],Table2[#Headers],0),0)</f>
        <v>0.17</v>
      </c>
      <c r="BY654" s="2">
        <f>VLOOKUP([jobnumber],OvalData[],MATCH(Table2[[#Headers],[Endlock Total Weight]],Table2[#Headers],0),0)</f>
        <v>7.5972999999999997</v>
      </c>
      <c r="BZ654" s="2">
        <f>VLOOKUP([jobnumber],OvalData[],MATCH(Table2[[#Headers],[Grille Weight]],Table2[#Headers],0),0)</f>
        <v>0</v>
      </c>
      <c r="CA654" s="2">
        <f>VLOOKUP([jobnumber],OvalData[],MATCH(Table2[[#Headers],[barrelrings]],Table2[#Headers],0),0)</f>
        <v>1</v>
      </c>
    </row>
    <row r="655" spans="2:79">
      <c r="B655" s="2" t="str">
        <f>VLOOKUP([jobnumber],OvalData[],MATCH(Table2[[#Headers],[Hand]],Table2[#Headers],0),0)</f>
        <v>RH</v>
      </c>
      <c r="C655" s="2" t="str">
        <f>VLOOKUP([jobnumber],OvalData[],MATCH(Table2[[#Headers],[Model]],Table2[#Headers],0),0)</f>
        <v>SFMPP</v>
      </c>
      <c r="D655" s="2" t="str">
        <f>VLOOKUP([jobnumber],OvalData[],MATCH(Table2[[#Headers],[width]],Table2[#Headers],0),0)</f>
        <v xml:space="preserve"> 18 ft.- 2"</v>
      </c>
      <c r="E655" s="2" t="str">
        <f>VLOOKUP([jobnumber],OvalData[],MATCH(Table2[[#Headers],[stopheight]],Table2[#Headers],0),0)</f>
        <v xml:space="preserve"> 10 ft.- 0"</v>
      </c>
      <c r="F655" s="2" t="str">
        <f>VLOOKUP([jobnumber],OvalData[],MATCH(Table2[[#Headers],[Between Brackets]],Table2[#Headers],0),0)</f>
        <v xml:space="preserve"> 18 ft.- 7 7/ 8"</v>
      </c>
      <c r="G655" s="2" t="str">
        <f>VLOOKUP([jobnumber],OvalData[],MATCH(Table2[[#Headers],[shell]],Table2[#Headers],0),0)</f>
        <v>6 INCH TUBE</v>
      </c>
      <c r="H655" s="2" t="str">
        <f>VLOOKUP([jobnumber],OvalData[],MATCH(Table2[[#Headers],[pipewidth]],Table2[#Headers],0),0)</f>
        <v xml:space="preserve"> 18 ft.- 1 3/ 8"</v>
      </c>
      <c r="I655" s="2">
        <f>VLOOKUP([jobnumber],OvalData[],MATCH(Table2[[#Headers],[Support Tubes]],Table2[#Headers],0),0)</f>
        <v>0</v>
      </c>
      <c r="J655" s="2">
        <f>VLOOKUP([jobnumber],OvalData[],MATCH(Table2[[#Headers],[Upset]],Table2[#Headers],0),0)</f>
        <v>2</v>
      </c>
      <c r="K655" s="2" t="str">
        <f>VLOOKUP([jobnumber],OvalData[],MATCH(Table2[[#Headers],[Guide Type]],Table2[#Headers],0),0)</f>
        <v>SN2-4 5/8-E</v>
      </c>
      <c r="L655" s="2" t="str">
        <f>VLOOKUP([jobnumber],OvalData[],MATCH(Table2[[#Headers],[Wall Angle]],Table2[#Headers],0),0)</f>
        <v xml:space="preserve"> 11 ft.- 8"</v>
      </c>
      <c r="M655" s="2" t="str">
        <f>VLOOKUP([jobnumber],OvalData[],MATCH(Table2[[#Headers],[Middle Angle]],Table2[#Headers],0),0)</f>
        <v xml:space="preserve"> 10 ft.- 4 1/ 2"</v>
      </c>
      <c r="N655" s="2" t="str">
        <f>VLOOKUP([jobnumber],OvalData[],MATCH(Table2[[#Headers],[Front Angle]],Table2[#Headers],0),0)</f>
        <v xml:space="preserve"> 10 ft.- 3"</v>
      </c>
      <c r="O655" s="2">
        <f>VLOOKUP([jobnumber],OvalData[],MATCH(Table2[[#Headers],[Pipe Center Line]],Table2[#Headers],0),0)</f>
        <v>131</v>
      </c>
      <c r="P655" s="2">
        <f>VLOOKUP([jobnumber],OvalData[],MATCH(Table2[[#Headers],[Heat Expansion Gap]],Table2[#Headers],0),0)</f>
        <v>0</v>
      </c>
      <c r="Q655" s="2">
        <f>VLOOKUP([jobnumber],OvalData[],MATCH(Table2[[#Headers],[Hanging Weight Closed]],Table2[#Headers],0),0)</f>
        <v>795</v>
      </c>
      <c r="R655" s="2">
        <f>VLOOKUP([jobnumber],OvalData[],MATCH(Table2[[#Headers],[Hanging Weight Open]],Table2[#Headers],0),0)</f>
        <v>140</v>
      </c>
      <c r="S655" s="2">
        <f>VLOOKUP([jobnumber],OvalData[],MATCH(Table2[[#Headers],[Initial Lever Arm]],Table2[#Headers],0),0)</f>
        <v>4.25</v>
      </c>
      <c r="T655" s="2">
        <f>VLOOKUP([jobnumber],OvalData[],MATCH(Table2[[#Headers],[Turns to Raise]],Table2[#Headers],0),0)</f>
        <v>3.5859999999999999</v>
      </c>
      <c r="U655" s="2">
        <f>VLOOKUP([jobnumber],OvalData[],MATCH(Table2[[#Headers],[Final Lever Arm]],Table2[#Headers],0),0)</f>
        <v>6.37</v>
      </c>
      <c r="V655" s="2">
        <f>VLOOKUP([jobnumber],OvalData[],MATCH(Table2[[#Headers],[Torque Required Closed]],Table2[#Headers],0),0)</f>
        <v>3377.9</v>
      </c>
      <c r="W655" s="2">
        <f>VLOOKUP([jobnumber],OvalData[],MATCH(Table2[[#Headers],[Torque Required Open]],Table2[#Headers],0),0)</f>
        <v>892</v>
      </c>
      <c r="X655" s="2">
        <f>VLOOKUP([jobnumber],OvalData[],MATCH(Table2[[#Headers],[Pre Turns]],Table2[#Headers],0),0)</f>
        <v>1.3332999999999999</v>
      </c>
      <c r="Y655" s="2">
        <f>VLOOKUP([jobnumber],OvalData[],MATCH(Table2[[#Headers],[Required Torque Per Turn]],Table2[#Headers],0),0)</f>
        <v>688</v>
      </c>
      <c r="Z655" s="2">
        <f>VLOOKUP([jobnumber],OvalData[],MATCH(Table2[[#Headers],[Total Turns]],Table2[#Headers],0),0)</f>
        <v>4.91</v>
      </c>
      <c r="AA655" s="2">
        <f>VLOOKUP([jobnumber],OvalData[],MATCH(Table2[[#Headers],[Grille Vision Section]],Table2[#Headers],0),0)</f>
        <v>0</v>
      </c>
      <c r="AB655" s="2">
        <f>VLOOKUP([jobnumber],OvalData[],MATCH(Table2[[#Headers],[Grille Amount]],Table2[#Headers],0),0)</f>
        <v>0</v>
      </c>
      <c r="AC655" s="2">
        <f>VLOOKUP([jobnumber],OvalData[],MATCH(Table2[[#Headers],[Grille Center]],Table2[#Headers],0),0)</f>
        <v>0</v>
      </c>
      <c r="AD655" s="2">
        <f>VLOOKUP([jobnumber],OvalData[],MATCH(Table2[[#Headers],[Grille Pattern]],Table2[#Headers],0),0)</f>
        <v>0</v>
      </c>
      <c r="AE655" s="2">
        <f>VLOOKUP([jobnumber],OvalData[],MATCH(Table2[[#Headers],[Grille First Tube]],Table2[#Headers],0),0)</f>
        <v>0</v>
      </c>
      <c r="AF655" s="2">
        <f>VLOOKUP([jobnumber],OvalData[],MATCH(Table2[[#Headers],[Grille Standard Tube]],Table2[#Headers],0),0)</f>
        <v>0</v>
      </c>
      <c r="AG655" s="2">
        <f>VLOOKUP([jobnumber],OvalData[],MATCH(Table2[[#Headers],[Grille Total Links]],Table2[#Headers],0),0)</f>
        <v>0</v>
      </c>
      <c r="AH655" s="2">
        <f>VLOOKUP([jobnumber],OvalData[],MATCH(Table2[[#Headers],[Grille Rods]],Table2[#Headers],0),0)</f>
        <v>0</v>
      </c>
      <c r="AI655" s="2">
        <f>VLOOKUP([jobnumber],OvalData[],MATCH(Table2[[#Headers],[Grille Rod Length]],Table2[#Headers],0),0)</f>
        <v>0</v>
      </c>
      <c r="AJ655" s="2">
        <f>VLOOKUP([jobnumber],OvalData[],MATCH(Table2[[#Headers],[slattype]],Table2[#Headers],0),0)</f>
        <v>2</v>
      </c>
      <c r="AK655" s="2">
        <f>VLOOKUP([jobnumber],OvalData[],MATCH(Table2[[#Headers],[slatgage]],Table2[#Headers],0),0)</f>
        <v>18</v>
      </c>
      <c r="AL655" s="2">
        <f>VLOOKUP([jobnumber],OvalData[],MATCH(Table2[[#Headers],[Numer of Top Slats]],Table2[#Headers],0),0)</f>
        <v>0</v>
      </c>
      <c r="AM655" s="2">
        <f>VLOOKUP([jobnumber],OvalData[],MATCH(Table2[[#Headers],[Number of Bottom Slats]],Table2[#Headers],0),0)</f>
        <v>0</v>
      </c>
      <c r="AN655" s="2">
        <f>VLOOKUP([jobnumber],OvalData[],MATCH(Table2[[#Headers],[Solid Bottom Height]],Table2[#Headers],0),0)</f>
        <v>0</v>
      </c>
      <c r="AO655" s="2" t="str">
        <f>VLOOKUP([jobnumber],OvalData[],MATCH(Table2[[#Headers],[slatlength]],Table2[#Headers],0),0)</f>
        <v xml:space="preserve"> 18 ft.- 5 7/ 8"</v>
      </c>
      <c r="AP655" s="2">
        <f>VLOOKUP([jobnumber],OvalData[],MATCH(Table2[[#Headers],[Bottom Slat Length]],Table2[#Headers],0),0)</f>
        <v>0</v>
      </c>
      <c r="AQ655" s="2">
        <f>VLOOKUP([jobnumber],OvalData[],MATCH(Table2[[#Headers],[Number of Perferated Slats]],Table2[#Headers],0),0)</f>
        <v>0</v>
      </c>
      <c r="AR655" s="2">
        <f>VLOOKUP([jobnumber],OvalData[],MATCH(Table2[[#Headers],[First Preferated Slat From End]],Table2[#Headers],0),0)</f>
        <v>0</v>
      </c>
      <c r="AS655" s="2">
        <f>VLOOKUP([jobnumber],OvalData[],MATCH(Table2[[#Headers],[First Preferated Slat From Bottom]],Table2[#Headers],0),0)</f>
        <v>0</v>
      </c>
      <c r="AT655" s="2">
        <f>VLOOKUP([jobnumber],OvalData[],MATCH(Table2[[#Headers],[Total Number of Slats]],Table2[#Headers],0),0)</f>
        <v>51</v>
      </c>
      <c r="AU655" s="2">
        <f>VLOOKUP([jobnumber],OvalData[],MATCH(Table2[[#Headers],[Bottom Bar Slope]],Table2[#Headers],0),0)</f>
        <v>0</v>
      </c>
      <c r="AV655" s="2">
        <f>VLOOKUP([jobnumber],OvalData[],MATCH(Table2[[#Headers],[Bottom Bar Weight]],Table2[#Headers],0),0)</f>
        <v>80.5</v>
      </c>
      <c r="AW655" s="2" t="str">
        <f>VLOOKUP([jobnumber],OvalData[],MATCH(Table2[[#Headers],[Outer Spring Gage]],Table2[#Headers],0),0)</f>
        <v>Null</v>
      </c>
      <c r="AX655" s="2" t="str">
        <f>VLOOKUP([jobnumber],OvalData[],MATCH(Table2[[#Headers],[Outer Spring OD]],Table2[#Headers],0),0)</f>
        <v>Null</v>
      </c>
      <c r="AY655" s="2" t="str">
        <f>VLOOKUP([jobnumber],OvalData[],MATCH(Table2[[#Headers],[Outer Spring Length]],Table2[#Headers],0),0)</f>
        <v>Null</v>
      </c>
      <c r="AZ655" s="2" t="str">
        <f>VLOOKUP([jobnumber],OvalData[],MATCH(Table2[[#Headers],[Outer Spring Stretch]],Table2[#Headers],0),0)</f>
        <v>Null</v>
      </c>
      <c r="BA655" s="2" t="str">
        <f>VLOOKUP([jobnumber],OvalData[],MATCH(Table2[[#Headers],[Outer Spring Torque]],Table2[#Headers],0),0)</f>
        <v>Null</v>
      </c>
      <c r="BB655" s="2" t="str">
        <f>VLOOKUP([jobnumber],OvalData[],MATCH(Table2[[#Headers],[Outer Spring Max Turns]],Table2[#Headers],0),0)</f>
        <v>Null</v>
      </c>
      <c r="BC655" s="2" t="str">
        <f>VLOOKUP([jobnumber],OvalData[],MATCH(Table2[[#Headers],[Outer Spring Weight]],Table2[#Headers],0),0)</f>
        <v>Null</v>
      </c>
      <c r="BD655" s="2" t="str">
        <f>VLOOKUP([jobnumber],OvalData[],MATCH(Table2[[#Headers],[Inner Spring Gage]],Table2[#Headers],0),0)</f>
        <v>Null</v>
      </c>
      <c r="BE655" s="2" t="str">
        <f>VLOOKUP([jobnumber],OvalData[],MATCH(Table2[[#Headers],[Inner Spring OD]],Table2[#Headers],0),0)</f>
        <v>Null</v>
      </c>
      <c r="BF655" s="2" t="str">
        <f>VLOOKUP([jobnumber],OvalData[],MATCH(Table2[[#Headers],[Inner Spring Length]],Table2[#Headers],0),0)</f>
        <v>Null</v>
      </c>
      <c r="BG655" s="2" t="str">
        <f>VLOOKUP([jobnumber],OvalData[],MATCH(Table2[[#Headers],[Inner Spring Stretch]],Table2[#Headers],0),0)</f>
        <v>Null</v>
      </c>
      <c r="BH655" s="2" t="str">
        <f>VLOOKUP([jobnumber],OvalData[],MATCH(Table2[[#Headers],[Inner Spring Torque]],Table2[#Headers],0),0)</f>
        <v>Null</v>
      </c>
      <c r="BI655" s="2" t="str">
        <f>VLOOKUP([jobnumber],OvalData[],MATCH(Table2[[#Headers],[Inner Spring Max Turns]],Table2[#Headers],0),0)</f>
        <v>Null</v>
      </c>
      <c r="BJ655" s="2" t="str">
        <f>VLOOKUP([jobnumber],OvalData[],MATCH(Table2[[#Headers],[Inner Spring Weight]],Table2[#Headers],0),0)</f>
        <v>Null</v>
      </c>
      <c r="BK655" s="2">
        <f>VLOOKUP([jobnumber],OvalData[],MATCH(Table2[[#Headers],[Cycles]],Table2[#Headers],0),0)</f>
        <v>0</v>
      </c>
      <c r="BL655" s="2">
        <f>VLOOKUP([jobnumber],OvalData[],MATCH(Table2[[#Headers],[Total Spring Torque]],Table2[#Headers],0),0)</f>
        <v>0</v>
      </c>
      <c r="BM655" s="2">
        <f>VLOOKUP([jobnumber],OvalData[],MATCH(Table2[[#Headers],[Total Spring Weight]],Table2[#Headers],0),0)</f>
        <v>0</v>
      </c>
      <c r="BN655" s="2">
        <f>VLOOKUP([jobnumber],OvalData[],MATCH(Table2[[#Headers],[Pipe Weight]],Table2[#Headers],0),0)</f>
        <v>688.24239999999998</v>
      </c>
      <c r="BO655" s="2">
        <f>VLOOKUP([jobnumber],OvalData[],MATCH(Table2[[#Headers],[Max Pipe Deflection]],Table2[#Headers],0),0)</f>
        <v>2309</v>
      </c>
      <c r="BP655" s="2">
        <f>VLOOKUP([jobnumber],OvalData[],MATCH(Table2[[#Headers],[Number Non-Insulated Wrap Slats]],Table2[#Headers],0),0)</f>
        <v>0</v>
      </c>
      <c r="BQ655" s="2">
        <f>VLOOKUP([jobnumber],OvalData[],MATCH(Table2[[#Headers],[Number of Insolated Top Slats]],Table2[#Headers],0),0)</f>
        <v>45</v>
      </c>
      <c r="BR655" s="2">
        <f>VLOOKUP([jobnumber],OvalData[],MATCH(Table2[[#Headers],[Insolated Total Slats]],Table2[#Headers],0),0)</f>
        <v>45</v>
      </c>
      <c r="BS655" s="2">
        <f>VLOOKUP([jobnumber],OvalData[],MATCH(Table2[[#Headers],[Number of Slats]],Table2[#Headers],0),0)</f>
        <v>44.69</v>
      </c>
      <c r="BT655" s="2">
        <f>VLOOKUP([jobnumber],OvalData[],MATCH(Table2[[#Headers],[Wrap]],Table2[#Headers],0),0)</f>
        <v>0</v>
      </c>
      <c r="BU655" s="2">
        <f>VLOOKUP([jobnumber],OvalData[],MATCH(Table2[[#Headers],[Wall Angle Thickness]],Table2[#Headers],0),0)</f>
        <v>0</v>
      </c>
      <c r="BV655" s="2">
        <f>VLOOKUP([jobnumber],OvalData[],MATCH(Table2[[#Headers],[windlocks]],Table2[#Headers],0),0)</f>
        <v>0</v>
      </c>
      <c r="BW655" s="2" t="str">
        <f>VLOOKUP([jobnumber],OvalData[],MATCH(Table2[[#Headers],[bottombartype]],Table2[#Headers],0),0)</f>
        <v>SPECIAL</v>
      </c>
      <c r="BX655" s="2">
        <f>VLOOKUP([jobnumber],OvalData[],MATCH(Table2[[#Headers],[endlockweight]],Table2[#Headers],0),0)</f>
        <v>0.17</v>
      </c>
      <c r="BY655" s="2">
        <f>VLOOKUP([jobnumber],OvalData[],MATCH(Table2[[#Headers],[Endlock Total Weight]],Table2[#Headers],0),0)</f>
        <v>7.5972999999999997</v>
      </c>
      <c r="BZ655" s="2">
        <f>VLOOKUP([jobnumber],OvalData[],MATCH(Table2[[#Headers],[Grille Weight]],Table2[#Headers],0),0)</f>
        <v>0</v>
      </c>
      <c r="CA655" s="2">
        <f>VLOOKUP([jobnumber],OvalData[],MATCH(Table2[[#Headers],[barrelrings]],Table2[#Headers],0),0)</f>
        <v>1</v>
      </c>
    </row>
    <row r="656" spans="2:79">
      <c r="B656" s="2" t="str">
        <f>VLOOKUP([jobnumber],OvalData[],MATCH(Table2[[#Headers],[Hand]],Table2[#Headers],0),0)</f>
        <v>RH</v>
      </c>
      <c r="C656" s="2" t="str">
        <f>VLOOKUP([jobnumber],OvalData[],MATCH(Table2[[#Headers],[Model]],Table2[#Headers],0),0)</f>
        <v>SFMPP</v>
      </c>
      <c r="D656" s="2" t="str">
        <f>VLOOKUP([jobnumber],OvalData[],MATCH(Table2[[#Headers],[width]],Table2[#Headers],0),0)</f>
        <v xml:space="preserve"> 18 ft.- 2"</v>
      </c>
      <c r="E656" s="2" t="str">
        <f>VLOOKUP([jobnumber],OvalData[],MATCH(Table2[[#Headers],[stopheight]],Table2[#Headers],0),0)</f>
        <v xml:space="preserve"> 10 ft.- 0"</v>
      </c>
      <c r="F656" s="2" t="str">
        <f>VLOOKUP([jobnumber],OvalData[],MATCH(Table2[[#Headers],[Between Brackets]],Table2[#Headers],0),0)</f>
        <v xml:space="preserve"> 18 ft.- 7 7/ 8"</v>
      </c>
      <c r="G656" s="2" t="str">
        <f>VLOOKUP([jobnumber],OvalData[],MATCH(Table2[[#Headers],[shell]],Table2[#Headers],0),0)</f>
        <v>6 INCH TUBE</v>
      </c>
      <c r="H656" s="2" t="str">
        <f>VLOOKUP([jobnumber],OvalData[],MATCH(Table2[[#Headers],[pipewidth]],Table2[#Headers],0),0)</f>
        <v xml:space="preserve"> 18 ft.- 1 3/ 8"</v>
      </c>
      <c r="I656" s="2">
        <f>VLOOKUP([jobnumber],OvalData[],MATCH(Table2[[#Headers],[Support Tubes]],Table2[#Headers],0),0)</f>
        <v>0</v>
      </c>
      <c r="J656" s="2">
        <f>VLOOKUP([jobnumber],OvalData[],MATCH(Table2[[#Headers],[Upset]],Table2[#Headers],0),0)</f>
        <v>2</v>
      </c>
      <c r="K656" s="2" t="str">
        <f>VLOOKUP([jobnumber],OvalData[],MATCH(Table2[[#Headers],[Guide Type]],Table2[#Headers],0),0)</f>
        <v>SN2-4 5/8-E</v>
      </c>
      <c r="L656" s="2" t="str">
        <f>VLOOKUP([jobnumber],OvalData[],MATCH(Table2[[#Headers],[Wall Angle]],Table2[#Headers],0),0)</f>
        <v xml:space="preserve"> 11 ft.- 8"</v>
      </c>
      <c r="M656" s="2" t="str">
        <f>VLOOKUP([jobnumber],OvalData[],MATCH(Table2[[#Headers],[Middle Angle]],Table2[#Headers],0),0)</f>
        <v xml:space="preserve"> 10 ft.- 4 1/ 2"</v>
      </c>
      <c r="N656" s="2" t="str">
        <f>VLOOKUP([jobnumber],OvalData[],MATCH(Table2[[#Headers],[Front Angle]],Table2[#Headers],0),0)</f>
        <v xml:space="preserve"> 10 ft.- 3"</v>
      </c>
      <c r="O656" s="2">
        <f>VLOOKUP([jobnumber],OvalData[],MATCH(Table2[[#Headers],[Pipe Center Line]],Table2[#Headers],0),0)</f>
        <v>131</v>
      </c>
      <c r="P656" s="2">
        <f>VLOOKUP([jobnumber],OvalData[],MATCH(Table2[[#Headers],[Heat Expansion Gap]],Table2[#Headers],0),0)</f>
        <v>0</v>
      </c>
      <c r="Q656" s="2">
        <f>VLOOKUP([jobnumber],OvalData[],MATCH(Table2[[#Headers],[Hanging Weight Closed]],Table2[#Headers],0),0)</f>
        <v>795</v>
      </c>
      <c r="R656" s="2">
        <f>VLOOKUP([jobnumber],OvalData[],MATCH(Table2[[#Headers],[Hanging Weight Open]],Table2[#Headers],0),0)</f>
        <v>140</v>
      </c>
      <c r="S656" s="2">
        <f>VLOOKUP([jobnumber],OvalData[],MATCH(Table2[[#Headers],[Initial Lever Arm]],Table2[#Headers],0),0)</f>
        <v>4.25</v>
      </c>
      <c r="T656" s="2">
        <f>VLOOKUP([jobnumber],OvalData[],MATCH(Table2[[#Headers],[Turns to Raise]],Table2[#Headers],0),0)</f>
        <v>3.5859999999999999</v>
      </c>
      <c r="U656" s="2">
        <f>VLOOKUP([jobnumber],OvalData[],MATCH(Table2[[#Headers],[Final Lever Arm]],Table2[#Headers],0),0)</f>
        <v>6.37</v>
      </c>
      <c r="V656" s="2">
        <f>VLOOKUP([jobnumber],OvalData[],MATCH(Table2[[#Headers],[Torque Required Closed]],Table2[#Headers],0),0)</f>
        <v>3377.9</v>
      </c>
      <c r="W656" s="2">
        <f>VLOOKUP([jobnumber],OvalData[],MATCH(Table2[[#Headers],[Torque Required Open]],Table2[#Headers],0),0)</f>
        <v>892</v>
      </c>
      <c r="X656" s="2">
        <f>VLOOKUP([jobnumber],OvalData[],MATCH(Table2[[#Headers],[Pre Turns]],Table2[#Headers],0),0)</f>
        <v>1.3332999999999999</v>
      </c>
      <c r="Y656" s="2">
        <f>VLOOKUP([jobnumber],OvalData[],MATCH(Table2[[#Headers],[Required Torque Per Turn]],Table2[#Headers],0),0)</f>
        <v>688</v>
      </c>
      <c r="Z656" s="2">
        <f>VLOOKUP([jobnumber],OvalData[],MATCH(Table2[[#Headers],[Total Turns]],Table2[#Headers],0),0)</f>
        <v>4.91</v>
      </c>
      <c r="AA656" s="2">
        <f>VLOOKUP([jobnumber],OvalData[],MATCH(Table2[[#Headers],[Grille Vision Section]],Table2[#Headers],0),0)</f>
        <v>0</v>
      </c>
      <c r="AB656" s="2">
        <f>VLOOKUP([jobnumber],OvalData[],MATCH(Table2[[#Headers],[Grille Amount]],Table2[#Headers],0),0)</f>
        <v>0</v>
      </c>
      <c r="AC656" s="2">
        <f>VLOOKUP([jobnumber],OvalData[],MATCH(Table2[[#Headers],[Grille Center]],Table2[#Headers],0),0)</f>
        <v>0</v>
      </c>
      <c r="AD656" s="2">
        <f>VLOOKUP([jobnumber],OvalData[],MATCH(Table2[[#Headers],[Grille Pattern]],Table2[#Headers],0),0)</f>
        <v>0</v>
      </c>
      <c r="AE656" s="2">
        <f>VLOOKUP([jobnumber],OvalData[],MATCH(Table2[[#Headers],[Grille First Tube]],Table2[#Headers],0),0)</f>
        <v>0</v>
      </c>
      <c r="AF656" s="2">
        <f>VLOOKUP([jobnumber],OvalData[],MATCH(Table2[[#Headers],[Grille Standard Tube]],Table2[#Headers],0),0)</f>
        <v>0</v>
      </c>
      <c r="AG656" s="2">
        <f>VLOOKUP([jobnumber],OvalData[],MATCH(Table2[[#Headers],[Grille Total Links]],Table2[#Headers],0),0)</f>
        <v>0</v>
      </c>
      <c r="AH656" s="2">
        <f>VLOOKUP([jobnumber],OvalData[],MATCH(Table2[[#Headers],[Grille Rods]],Table2[#Headers],0),0)</f>
        <v>0</v>
      </c>
      <c r="AI656" s="2">
        <f>VLOOKUP([jobnumber],OvalData[],MATCH(Table2[[#Headers],[Grille Rod Length]],Table2[#Headers],0),0)</f>
        <v>0</v>
      </c>
      <c r="AJ656" s="2">
        <f>VLOOKUP([jobnumber],OvalData[],MATCH(Table2[[#Headers],[slattype]],Table2[#Headers],0),0)</f>
        <v>2</v>
      </c>
      <c r="AK656" s="2">
        <f>VLOOKUP([jobnumber],OvalData[],MATCH(Table2[[#Headers],[slatgage]],Table2[#Headers],0),0)</f>
        <v>18</v>
      </c>
      <c r="AL656" s="2">
        <f>VLOOKUP([jobnumber],OvalData[],MATCH(Table2[[#Headers],[Numer of Top Slats]],Table2[#Headers],0),0)</f>
        <v>0</v>
      </c>
      <c r="AM656" s="2">
        <f>VLOOKUP([jobnumber],OvalData[],MATCH(Table2[[#Headers],[Number of Bottom Slats]],Table2[#Headers],0),0)</f>
        <v>0</v>
      </c>
      <c r="AN656" s="2">
        <f>VLOOKUP([jobnumber],OvalData[],MATCH(Table2[[#Headers],[Solid Bottom Height]],Table2[#Headers],0),0)</f>
        <v>0</v>
      </c>
      <c r="AO656" s="2" t="str">
        <f>VLOOKUP([jobnumber],OvalData[],MATCH(Table2[[#Headers],[slatlength]],Table2[#Headers],0),0)</f>
        <v xml:space="preserve"> 18 ft.- 5 7/ 8"</v>
      </c>
      <c r="AP656" s="2">
        <f>VLOOKUP([jobnumber],OvalData[],MATCH(Table2[[#Headers],[Bottom Slat Length]],Table2[#Headers],0),0)</f>
        <v>0</v>
      </c>
      <c r="AQ656" s="2">
        <f>VLOOKUP([jobnumber],OvalData[],MATCH(Table2[[#Headers],[Number of Perferated Slats]],Table2[#Headers],0),0)</f>
        <v>0</v>
      </c>
      <c r="AR656" s="2">
        <f>VLOOKUP([jobnumber],OvalData[],MATCH(Table2[[#Headers],[First Preferated Slat From End]],Table2[#Headers],0),0)</f>
        <v>0</v>
      </c>
      <c r="AS656" s="2">
        <f>VLOOKUP([jobnumber],OvalData[],MATCH(Table2[[#Headers],[First Preferated Slat From Bottom]],Table2[#Headers],0),0)</f>
        <v>0</v>
      </c>
      <c r="AT656" s="2">
        <f>VLOOKUP([jobnumber],OvalData[],MATCH(Table2[[#Headers],[Total Number of Slats]],Table2[#Headers],0),0)</f>
        <v>51</v>
      </c>
      <c r="AU656" s="2">
        <f>VLOOKUP([jobnumber],OvalData[],MATCH(Table2[[#Headers],[Bottom Bar Slope]],Table2[#Headers],0),0)</f>
        <v>0</v>
      </c>
      <c r="AV656" s="2">
        <f>VLOOKUP([jobnumber],OvalData[],MATCH(Table2[[#Headers],[Bottom Bar Weight]],Table2[#Headers],0),0)</f>
        <v>80.5</v>
      </c>
      <c r="AW656" s="2" t="str">
        <f>VLOOKUP([jobnumber],OvalData[],MATCH(Table2[[#Headers],[Outer Spring Gage]],Table2[#Headers],0),0)</f>
        <v>Null</v>
      </c>
      <c r="AX656" s="2" t="str">
        <f>VLOOKUP([jobnumber],OvalData[],MATCH(Table2[[#Headers],[Outer Spring OD]],Table2[#Headers],0),0)</f>
        <v>Null</v>
      </c>
      <c r="AY656" s="2" t="str">
        <f>VLOOKUP([jobnumber],OvalData[],MATCH(Table2[[#Headers],[Outer Spring Length]],Table2[#Headers],0),0)</f>
        <v>Null</v>
      </c>
      <c r="AZ656" s="2" t="str">
        <f>VLOOKUP([jobnumber],OvalData[],MATCH(Table2[[#Headers],[Outer Spring Stretch]],Table2[#Headers],0),0)</f>
        <v>Null</v>
      </c>
      <c r="BA656" s="2" t="str">
        <f>VLOOKUP([jobnumber],OvalData[],MATCH(Table2[[#Headers],[Outer Spring Torque]],Table2[#Headers],0),0)</f>
        <v>Null</v>
      </c>
      <c r="BB656" s="2" t="str">
        <f>VLOOKUP([jobnumber],OvalData[],MATCH(Table2[[#Headers],[Outer Spring Max Turns]],Table2[#Headers],0),0)</f>
        <v>Null</v>
      </c>
      <c r="BC656" s="2" t="str">
        <f>VLOOKUP([jobnumber],OvalData[],MATCH(Table2[[#Headers],[Outer Spring Weight]],Table2[#Headers],0),0)</f>
        <v>Null</v>
      </c>
      <c r="BD656" s="2" t="str">
        <f>VLOOKUP([jobnumber],OvalData[],MATCH(Table2[[#Headers],[Inner Spring Gage]],Table2[#Headers],0),0)</f>
        <v>Null</v>
      </c>
      <c r="BE656" s="2" t="str">
        <f>VLOOKUP([jobnumber],OvalData[],MATCH(Table2[[#Headers],[Inner Spring OD]],Table2[#Headers],0),0)</f>
        <v>Null</v>
      </c>
      <c r="BF656" s="2" t="str">
        <f>VLOOKUP([jobnumber],OvalData[],MATCH(Table2[[#Headers],[Inner Spring Length]],Table2[#Headers],0),0)</f>
        <v>Null</v>
      </c>
      <c r="BG656" s="2" t="str">
        <f>VLOOKUP([jobnumber],OvalData[],MATCH(Table2[[#Headers],[Inner Spring Stretch]],Table2[#Headers],0),0)</f>
        <v>Null</v>
      </c>
      <c r="BH656" s="2" t="str">
        <f>VLOOKUP([jobnumber],OvalData[],MATCH(Table2[[#Headers],[Inner Spring Torque]],Table2[#Headers],0),0)</f>
        <v>Null</v>
      </c>
      <c r="BI656" s="2" t="str">
        <f>VLOOKUP([jobnumber],OvalData[],MATCH(Table2[[#Headers],[Inner Spring Max Turns]],Table2[#Headers],0),0)</f>
        <v>Null</v>
      </c>
      <c r="BJ656" s="2" t="str">
        <f>VLOOKUP([jobnumber],OvalData[],MATCH(Table2[[#Headers],[Inner Spring Weight]],Table2[#Headers],0),0)</f>
        <v>Null</v>
      </c>
      <c r="BK656" s="2">
        <f>VLOOKUP([jobnumber],OvalData[],MATCH(Table2[[#Headers],[Cycles]],Table2[#Headers],0),0)</f>
        <v>0</v>
      </c>
      <c r="BL656" s="2">
        <f>VLOOKUP([jobnumber],OvalData[],MATCH(Table2[[#Headers],[Total Spring Torque]],Table2[#Headers],0),0)</f>
        <v>0</v>
      </c>
      <c r="BM656" s="2">
        <f>VLOOKUP([jobnumber],OvalData[],MATCH(Table2[[#Headers],[Total Spring Weight]],Table2[#Headers],0),0)</f>
        <v>0</v>
      </c>
      <c r="BN656" s="2">
        <f>VLOOKUP([jobnumber],OvalData[],MATCH(Table2[[#Headers],[Pipe Weight]],Table2[#Headers],0),0)</f>
        <v>688.24239999999998</v>
      </c>
      <c r="BO656" s="2">
        <f>VLOOKUP([jobnumber],OvalData[],MATCH(Table2[[#Headers],[Max Pipe Deflection]],Table2[#Headers],0),0)</f>
        <v>2309</v>
      </c>
      <c r="BP656" s="2">
        <f>VLOOKUP([jobnumber],OvalData[],MATCH(Table2[[#Headers],[Number Non-Insulated Wrap Slats]],Table2[#Headers],0),0)</f>
        <v>0</v>
      </c>
      <c r="BQ656" s="2">
        <f>VLOOKUP([jobnumber],OvalData[],MATCH(Table2[[#Headers],[Number of Insolated Top Slats]],Table2[#Headers],0),0)</f>
        <v>45</v>
      </c>
      <c r="BR656" s="2">
        <f>VLOOKUP([jobnumber],OvalData[],MATCH(Table2[[#Headers],[Insolated Total Slats]],Table2[#Headers],0),0)</f>
        <v>45</v>
      </c>
      <c r="BS656" s="2">
        <f>VLOOKUP([jobnumber],OvalData[],MATCH(Table2[[#Headers],[Number of Slats]],Table2[#Headers],0),0)</f>
        <v>44.69</v>
      </c>
      <c r="BT656" s="2">
        <f>VLOOKUP([jobnumber],OvalData[],MATCH(Table2[[#Headers],[Wrap]],Table2[#Headers],0),0)</f>
        <v>0</v>
      </c>
      <c r="BU656" s="2">
        <f>VLOOKUP([jobnumber],OvalData[],MATCH(Table2[[#Headers],[Wall Angle Thickness]],Table2[#Headers],0),0)</f>
        <v>0</v>
      </c>
      <c r="BV656" s="2">
        <f>VLOOKUP([jobnumber],OvalData[],MATCH(Table2[[#Headers],[windlocks]],Table2[#Headers],0),0)</f>
        <v>0</v>
      </c>
      <c r="BW656" s="2" t="str">
        <f>VLOOKUP([jobnumber],OvalData[],MATCH(Table2[[#Headers],[bottombartype]],Table2[#Headers],0),0)</f>
        <v>SPECIAL</v>
      </c>
      <c r="BX656" s="2">
        <f>VLOOKUP([jobnumber],OvalData[],MATCH(Table2[[#Headers],[endlockweight]],Table2[#Headers],0),0)</f>
        <v>0.17</v>
      </c>
      <c r="BY656" s="2">
        <f>VLOOKUP([jobnumber],OvalData[],MATCH(Table2[[#Headers],[Endlock Total Weight]],Table2[#Headers],0),0)</f>
        <v>7.5972999999999997</v>
      </c>
      <c r="BZ656" s="2">
        <f>VLOOKUP([jobnumber],OvalData[],MATCH(Table2[[#Headers],[Grille Weight]],Table2[#Headers],0),0)</f>
        <v>0</v>
      </c>
      <c r="CA656" s="2">
        <f>VLOOKUP([jobnumber],OvalData[],MATCH(Table2[[#Headers],[barrelrings]],Table2[#Headers],0),0)</f>
        <v>1</v>
      </c>
    </row>
    <row r="657" spans="2:79">
      <c r="B657" s="2" t="str">
        <f>VLOOKUP([jobnumber],OvalData[],MATCH(Table2[[#Headers],[Hand]],Table2[#Headers],0),0)</f>
        <v>RH</v>
      </c>
      <c r="C657" s="2" t="str">
        <f>VLOOKUP([jobnumber],OvalData[],MATCH(Table2[[#Headers],[Model]],Table2[#Headers],0),0)</f>
        <v>SFMPP</v>
      </c>
      <c r="D657" s="2" t="str">
        <f>VLOOKUP([jobnumber],OvalData[],MATCH(Table2[[#Headers],[width]],Table2[#Headers],0),0)</f>
        <v xml:space="preserve"> 18 ft.- 2"</v>
      </c>
      <c r="E657" s="2" t="str">
        <f>VLOOKUP([jobnumber],OvalData[],MATCH(Table2[[#Headers],[stopheight]],Table2[#Headers],0),0)</f>
        <v xml:space="preserve"> 10 ft.- 0"</v>
      </c>
      <c r="F657" s="2" t="str">
        <f>VLOOKUP([jobnumber],OvalData[],MATCH(Table2[[#Headers],[Between Brackets]],Table2[#Headers],0),0)</f>
        <v xml:space="preserve"> 18 ft.- 7 7/ 8"</v>
      </c>
      <c r="G657" s="2" t="str">
        <f>VLOOKUP([jobnumber],OvalData[],MATCH(Table2[[#Headers],[shell]],Table2[#Headers],0),0)</f>
        <v>6 INCH TUBE</v>
      </c>
      <c r="H657" s="2" t="str">
        <f>VLOOKUP([jobnumber],OvalData[],MATCH(Table2[[#Headers],[pipewidth]],Table2[#Headers],0),0)</f>
        <v xml:space="preserve"> 18 ft.- 1 3/ 8"</v>
      </c>
      <c r="I657" s="2">
        <f>VLOOKUP([jobnumber],OvalData[],MATCH(Table2[[#Headers],[Support Tubes]],Table2[#Headers],0),0)</f>
        <v>0</v>
      </c>
      <c r="J657" s="2">
        <f>VLOOKUP([jobnumber],OvalData[],MATCH(Table2[[#Headers],[Upset]],Table2[#Headers],0),0)</f>
        <v>2</v>
      </c>
      <c r="K657" s="2" t="str">
        <f>VLOOKUP([jobnumber],OvalData[],MATCH(Table2[[#Headers],[Guide Type]],Table2[#Headers],0),0)</f>
        <v>SN2-4 5/8-E</v>
      </c>
      <c r="L657" s="2" t="str">
        <f>VLOOKUP([jobnumber],OvalData[],MATCH(Table2[[#Headers],[Wall Angle]],Table2[#Headers],0),0)</f>
        <v xml:space="preserve"> 11 ft.- 8"</v>
      </c>
      <c r="M657" s="2" t="str">
        <f>VLOOKUP([jobnumber],OvalData[],MATCH(Table2[[#Headers],[Middle Angle]],Table2[#Headers],0),0)</f>
        <v xml:space="preserve"> 10 ft.- 4 1/ 2"</v>
      </c>
      <c r="N657" s="2" t="str">
        <f>VLOOKUP([jobnumber],OvalData[],MATCH(Table2[[#Headers],[Front Angle]],Table2[#Headers],0),0)</f>
        <v xml:space="preserve"> 10 ft.- 3"</v>
      </c>
      <c r="O657" s="2">
        <f>VLOOKUP([jobnumber],OvalData[],MATCH(Table2[[#Headers],[Pipe Center Line]],Table2[#Headers],0),0)</f>
        <v>131</v>
      </c>
      <c r="P657" s="2">
        <f>VLOOKUP([jobnumber],OvalData[],MATCH(Table2[[#Headers],[Heat Expansion Gap]],Table2[#Headers],0),0)</f>
        <v>0</v>
      </c>
      <c r="Q657" s="2">
        <f>VLOOKUP([jobnumber],OvalData[],MATCH(Table2[[#Headers],[Hanging Weight Closed]],Table2[#Headers],0),0)</f>
        <v>795</v>
      </c>
      <c r="R657" s="2">
        <f>VLOOKUP([jobnumber],OvalData[],MATCH(Table2[[#Headers],[Hanging Weight Open]],Table2[#Headers],0),0)</f>
        <v>140</v>
      </c>
      <c r="S657" s="2">
        <f>VLOOKUP([jobnumber],OvalData[],MATCH(Table2[[#Headers],[Initial Lever Arm]],Table2[#Headers],0),0)</f>
        <v>4.25</v>
      </c>
      <c r="T657" s="2">
        <f>VLOOKUP([jobnumber],OvalData[],MATCH(Table2[[#Headers],[Turns to Raise]],Table2[#Headers],0),0)</f>
        <v>3.5859999999999999</v>
      </c>
      <c r="U657" s="2">
        <f>VLOOKUP([jobnumber],OvalData[],MATCH(Table2[[#Headers],[Final Lever Arm]],Table2[#Headers],0),0)</f>
        <v>6.37</v>
      </c>
      <c r="V657" s="2">
        <f>VLOOKUP([jobnumber],OvalData[],MATCH(Table2[[#Headers],[Torque Required Closed]],Table2[#Headers],0),0)</f>
        <v>3377.9</v>
      </c>
      <c r="W657" s="2">
        <f>VLOOKUP([jobnumber],OvalData[],MATCH(Table2[[#Headers],[Torque Required Open]],Table2[#Headers],0),0)</f>
        <v>892</v>
      </c>
      <c r="X657" s="2">
        <f>VLOOKUP([jobnumber],OvalData[],MATCH(Table2[[#Headers],[Pre Turns]],Table2[#Headers],0),0)</f>
        <v>1.3332999999999999</v>
      </c>
      <c r="Y657" s="2">
        <f>VLOOKUP([jobnumber],OvalData[],MATCH(Table2[[#Headers],[Required Torque Per Turn]],Table2[#Headers],0),0)</f>
        <v>688</v>
      </c>
      <c r="Z657" s="2">
        <f>VLOOKUP([jobnumber],OvalData[],MATCH(Table2[[#Headers],[Total Turns]],Table2[#Headers],0),0)</f>
        <v>4.91</v>
      </c>
      <c r="AA657" s="2">
        <f>VLOOKUP([jobnumber],OvalData[],MATCH(Table2[[#Headers],[Grille Vision Section]],Table2[#Headers],0),0)</f>
        <v>0</v>
      </c>
      <c r="AB657" s="2">
        <f>VLOOKUP([jobnumber],OvalData[],MATCH(Table2[[#Headers],[Grille Amount]],Table2[#Headers],0),0)</f>
        <v>0</v>
      </c>
      <c r="AC657" s="2">
        <f>VLOOKUP([jobnumber],OvalData[],MATCH(Table2[[#Headers],[Grille Center]],Table2[#Headers],0),0)</f>
        <v>0</v>
      </c>
      <c r="AD657" s="2">
        <f>VLOOKUP([jobnumber],OvalData[],MATCH(Table2[[#Headers],[Grille Pattern]],Table2[#Headers],0),0)</f>
        <v>0</v>
      </c>
      <c r="AE657" s="2">
        <f>VLOOKUP([jobnumber],OvalData[],MATCH(Table2[[#Headers],[Grille First Tube]],Table2[#Headers],0),0)</f>
        <v>0</v>
      </c>
      <c r="AF657" s="2">
        <f>VLOOKUP([jobnumber],OvalData[],MATCH(Table2[[#Headers],[Grille Standard Tube]],Table2[#Headers],0),0)</f>
        <v>0</v>
      </c>
      <c r="AG657" s="2">
        <f>VLOOKUP([jobnumber],OvalData[],MATCH(Table2[[#Headers],[Grille Total Links]],Table2[#Headers],0),0)</f>
        <v>0</v>
      </c>
      <c r="AH657" s="2">
        <f>VLOOKUP([jobnumber],OvalData[],MATCH(Table2[[#Headers],[Grille Rods]],Table2[#Headers],0),0)</f>
        <v>0</v>
      </c>
      <c r="AI657" s="2">
        <f>VLOOKUP([jobnumber],OvalData[],MATCH(Table2[[#Headers],[Grille Rod Length]],Table2[#Headers],0),0)</f>
        <v>0</v>
      </c>
      <c r="AJ657" s="2">
        <f>VLOOKUP([jobnumber],OvalData[],MATCH(Table2[[#Headers],[slattype]],Table2[#Headers],0),0)</f>
        <v>2</v>
      </c>
      <c r="AK657" s="2">
        <f>VLOOKUP([jobnumber],OvalData[],MATCH(Table2[[#Headers],[slatgage]],Table2[#Headers],0),0)</f>
        <v>18</v>
      </c>
      <c r="AL657" s="2">
        <f>VLOOKUP([jobnumber],OvalData[],MATCH(Table2[[#Headers],[Numer of Top Slats]],Table2[#Headers],0),0)</f>
        <v>0</v>
      </c>
      <c r="AM657" s="2">
        <f>VLOOKUP([jobnumber],OvalData[],MATCH(Table2[[#Headers],[Number of Bottom Slats]],Table2[#Headers],0),0)</f>
        <v>0</v>
      </c>
      <c r="AN657" s="2">
        <f>VLOOKUP([jobnumber],OvalData[],MATCH(Table2[[#Headers],[Solid Bottom Height]],Table2[#Headers],0),0)</f>
        <v>0</v>
      </c>
      <c r="AO657" s="2" t="str">
        <f>VLOOKUP([jobnumber],OvalData[],MATCH(Table2[[#Headers],[slatlength]],Table2[#Headers],0),0)</f>
        <v xml:space="preserve"> 18 ft.- 5 7/ 8"</v>
      </c>
      <c r="AP657" s="2">
        <f>VLOOKUP([jobnumber],OvalData[],MATCH(Table2[[#Headers],[Bottom Slat Length]],Table2[#Headers],0),0)</f>
        <v>0</v>
      </c>
      <c r="AQ657" s="2">
        <f>VLOOKUP([jobnumber],OvalData[],MATCH(Table2[[#Headers],[Number of Perferated Slats]],Table2[#Headers],0),0)</f>
        <v>0</v>
      </c>
      <c r="AR657" s="2">
        <f>VLOOKUP([jobnumber],OvalData[],MATCH(Table2[[#Headers],[First Preferated Slat From End]],Table2[#Headers],0),0)</f>
        <v>0</v>
      </c>
      <c r="AS657" s="2">
        <f>VLOOKUP([jobnumber],OvalData[],MATCH(Table2[[#Headers],[First Preferated Slat From Bottom]],Table2[#Headers],0),0)</f>
        <v>0</v>
      </c>
      <c r="AT657" s="2">
        <f>VLOOKUP([jobnumber],OvalData[],MATCH(Table2[[#Headers],[Total Number of Slats]],Table2[#Headers],0),0)</f>
        <v>51</v>
      </c>
      <c r="AU657" s="2">
        <f>VLOOKUP([jobnumber],OvalData[],MATCH(Table2[[#Headers],[Bottom Bar Slope]],Table2[#Headers],0),0)</f>
        <v>0</v>
      </c>
      <c r="AV657" s="2">
        <f>VLOOKUP([jobnumber],OvalData[],MATCH(Table2[[#Headers],[Bottom Bar Weight]],Table2[#Headers],0),0)</f>
        <v>80.5</v>
      </c>
      <c r="AW657" s="2" t="str">
        <f>VLOOKUP([jobnumber],OvalData[],MATCH(Table2[[#Headers],[Outer Spring Gage]],Table2[#Headers],0),0)</f>
        <v>Null</v>
      </c>
      <c r="AX657" s="2" t="str">
        <f>VLOOKUP([jobnumber],OvalData[],MATCH(Table2[[#Headers],[Outer Spring OD]],Table2[#Headers],0),0)</f>
        <v>Null</v>
      </c>
      <c r="AY657" s="2" t="str">
        <f>VLOOKUP([jobnumber],OvalData[],MATCH(Table2[[#Headers],[Outer Spring Length]],Table2[#Headers],0),0)</f>
        <v>Null</v>
      </c>
      <c r="AZ657" s="2" t="str">
        <f>VLOOKUP([jobnumber],OvalData[],MATCH(Table2[[#Headers],[Outer Spring Stretch]],Table2[#Headers],0),0)</f>
        <v>Null</v>
      </c>
      <c r="BA657" s="2" t="str">
        <f>VLOOKUP([jobnumber],OvalData[],MATCH(Table2[[#Headers],[Outer Spring Torque]],Table2[#Headers],0),0)</f>
        <v>Null</v>
      </c>
      <c r="BB657" s="2" t="str">
        <f>VLOOKUP([jobnumber],OvalData[],MATCH(Table2[[#Headers],[Outer Spring Max Turns]],Table2[#Headers],0),0)</f>
        <v>Null</v>
      </c>
      <c r="BC657" s="2" t="str">
        <f>VLOOKUP([jobnumber],OvalData[],MATCH(Table2[[#Headers],[Outer Spring Weight]],Table2[#Headers],0),0)</f>
        <v>Null</v>
      </c>
      <c r="BD657" s="2" t="str">
        <f>VLOOKUP([jobnumber],OvalData[],MATCH(Table2[[#Headers],[Inner Spring Gage]],Table2[#Headers],0),0)</f>
        <v>Null</v>
      </c>
      <c r="BE657" s="2" t="str">
        <f>VLOOKUP([jobnumber],OvalData[],MATCH(Table2[[#Headers],[Inner Spring OD]],Table2[#Headers],0),0)</f>
        <v>Null</v>
      </c>
      <c r="BF657" s="2" t="str">
        <f>VLOOKUP([jobnumber],OvalData[],MATCH(Table2[[#Headers],[Inner Spring Length]],Table2[#Headers],0),0)</f>
        <v>Null</v>
      </c>
      <c r="BG657" s="2" t="str">
        <f>VLOOKUP([jobnumber],OvalData[],MATCH(Table2[[#Headers],[Inner Spring Stretch]],Table2[#Headers],0),0)</f>
        <v>Null</v>
      </c>
      <c r="BH657" s="2" t="str">
        <f>VLOOKUP([jobnumber],OvalData[],MATCH(Table2[[#Headers],[Inner Spring Torque]],Table2[#Headers],0),0)</f>
        <v>Null</v>
      </c>
      <c r="BI657" s="2" t="str">
        <f>VLOOKUP([jobnumber],OvalData[],MATCH(Table2[[#Headers],[Inner Spring Max Turns]],Table2[#Headers],0),0)</f>
        <v>Null</v>
      </c>
      <c r="BJ657" s="2" t="str">
        <f>VLOOKUP([jobnumber],OvalData[],MATCH(Table2[[#Headers],[Inner Spring Weight]],Table2[#Headers],0),0)</f>
        <v>Null</v>
      </c>
      <c r="BK657" s="2">
        <f>VLOOKUP([jobnumber],OvalData[],MATCH(Table2[[#Headers],[Cycles]],Table2[#Headers],0),0)</f>
        <v>0</v>
      </c>
      <c r="BL657" s="2">
        <f>VLOOKUP([jobnumber],OvalData[],MATCH(Table2[[#Headers],[Total Spring Torque]],Table2[#Headers],0),0)</f>
        <v>0</v>
      </c>
      <c r="BM657" s="2">
        <f>VLOOKUP([jobnumber],OvalData[],MATCH(Table2[[#Headers],[Total Spring Weight]],Table2[#Headers],0),0)</f>
        <v>0</v>
      </c>
      <c r="BN657" s="2">
        <f>VLOOKUP([jobnumber],OvalData[],MATCH(Table2[[#Headers],[Pipe Weight]],Table2[#Headers],0),0)</f>
        <v>688.24239999999998</v>
      </c>
      <c r="BO657" s="2">
        <f>VLOOKUP([jobnumber],OvalData[],MATCH(Table2[[#Headers],[Max Pipe Deflection]],Table2[#Headers],0),0)</f>
        <v>2309</v>
      </c>
      <c r="BP657" s="2">
        <f>VLOOKUP([jobnumber],OvalData[],MATCH(Table2[[#Headers],[Number Non-Insulated Wrap Slats]],Table2[#Headers],0),0)</f>
        <v>0</v>
      </c>
      <c r="BQ657" s="2">
        <f>VLOOKUP([jobnumber],OvalData[],MATCH(Table2[[#Headers],[Number of Insolated Top Slats]],Table2[#Headers],0),0)</f>
        <v>45</v>
      </c>
      <c r="BR657" s="2">
        <f>VLOOKUP([jobnumber],OvalData[],MATCH(Table2[[#Headers],[Insolated Total Slats]],Table2[#Headers],0),0)</f>
        <v>45</v>
      </c>
      <c r="BS657" s="2">
        <f>VLOOKUP([jobnumber],OvalData[],MATCH(Table2[[#Headers],[Number of Slats]],Table2[#Headers],0),0)</f>
        <v>44.69</v>
      </c>
      <c r="BT657" s="2">
        <f>VLOOKUP([jobnumber],OvalData[],MATCH(Table2[[#Headers],[Wrap]],Table2[#Headers],0),0)</f>
        <v>0</v>
      </c>
      <c r="BU657" s="2">
        <f>VLOOKUP([jobnumber],OvalData[],MATCH(Table2[[#Headers],[Wall Angle Thickness]],Table2[#Headers],0),0)</f>
        <v>0</v>
      </c>
      <c r="BV657" s="2">
        <f>VLOOKUP([jobnumber],OvalData[],MATCH(Table2[[#Headers],[windlocks]],Table2[#Headers],0),0)</f>
        <v>0</v>
      </c>
      <c r="BW657" s="2" t="str">
        <f>VLOOKUP([jobnumber],OvalData[],MATCH(Table2[[#Headers],[bottombartype]],Table2[#Headers],0),0)</f>
        <v>SPECIAL</v>
      </c>
      <c r="BX657" s="2">
        <f>VLOOKUP([jobnumber],OvalData[],MATCH(Table2[[#Headers],[endlockweight]],Table2[#Headers],0),0)</f>
        <v>0.17</v>
      </c>
      <c r="BY657" s="2">
        <f>VLOOKUP([jobnumber],OvalData[],MATCH(Table2[[#Headers],[Endlock Total Weight]],Table2[#Headers],0),0)</f>
        <v>7.5972999999999997</v>
      </c>
      <c r="BZ657" s="2">
        <f>VLOOKUP([jobnumber],OvalData[],MATCH(Table2[[#Headers],[Grille Weight]],Table2[#Headers],0),0)</f>
        <v>0</v>
      </c>
      <c r="CA657" s="2">
        <f>VLOOKUP([jobnumber],OvalData[],MATCH(Table2[[#Headers],[barrelrings]],Table2[#Headers],0),0)</f>
        <v>1</v>
      </c>
    </row>
    <row r="658" spans="2:79">
      <c r="B658" s="2" t="str">
        <f>VLOOKUP([jobnumber],OvalData[],MATCH(Table2[[#Headers],[Hand]],Table2[#Headers],0),0)</f>
        <v>RH</v>
      </c>
      <c r="C658" s="2" t="str">
        <f>VLOOKUP([jobnumber],OvalData[],MATCH(Table2[[#Headers],[Model]],Table2[#Headers],0),0)</f>
        <v>SFMPP</v>
      </c>
      <c r="D658" s="2" t="str">
        <f>VLOOKUP([jobnumber],OvalData[],MATCH(Table2[[#Headers],[width]],Table2[#Headers],0),0)</f>
        <v xml:space="preserve"> 18 ft.- 2"</v>
      </c>
      <c r="E658" s="2" t="str">
        <f>VLOOKUP([jobnumber],OvalData[],MATCH(Table2[[#Headers],[stopheight]],Table2[#Headers],0),0)</f>
        <v xml:space="preserve"> 10 ft.- 0"</v>
      </c>
      <c r="F658" s="2" t="str">
        <f>VLOOKUP([jobnumber],OvalData[],MATCH(Table2[[#Headers],[Between Brackets]],Table2[#Headers],0),0)</f>
        <v xml:space="preserve"> 18 ft.- 7 7/ 8"</v>
      </c>
      <c r="G658" s="2" t="str">
        <f>VLOOKUP([jobnumber],OvalData[],MATCH(Table2[[#Headers],[shell]],Table2[#Headers],0),0)</f>
        <v>6 INCH TUBE</v>
      </c>
      <c r="H658" s="2" t="str">
        <f>VLOOKUP([jobnumber],OvalData[],MATCH(Table2[[#Headers],[pipewidth]],Table2[#Headers],0),0)</f>
        <v xml:space="preserve"> 18 ft.- 1 3/ 8"</v>
      </c>
      <c r="I658" s="2">
        <f>VLOOKUP([jobnumber],OvalData[],MATCH(Table2[[#Headers],[Support Tubes]],Table2[#Headers],0),0)</f>
        <v>0</v>
      </c>
      <c r="J658" s="2">
        <f>VLOOKUP([jobnumber],OvalData[],MATCH(Table2[[#Headers],[Upset]],Table2[#Headers],0),0)</f>
        <v>2</v>
      </c>
      <c r="K658" s="2" t="str">
        <f>VLOOKUP([jobnumber],OvalData[],MATCH(Table2[[#Headers],[Guide Type]],Table2[#Headers],0),0)</f>
        <v>SN2-4 5/8-E</v>
      </c>
      <c r="L658" s="2" t="str">
        <f>VLOOKUP([jobnumber],OvalData[],MATCH(Table2[[#Headers],[Wall Angle]],Table2[#Headers],0),0)</f>
        <v xml:space="preserve"> 11 ft.- 8"</v>
      </c>
      <c r="M658" s="2" t="str">
        <f>VLOOKUP([jobnumber],OvalData[],MATCH(Table2[[#Headers],[Middle Angle]],Table2[#Headers],0),0)</f>
        <v xml:space="preserve"> 10 ft.- 4 1/ 2"</v>
      </c>
      <c r="N658" s="2" t="str">
        <f>VLOOKUP([jobnumber],OvalData[],MATCH(Table2[[#Headers],[Front Angle]],Table2[#Headers],0),0)</f>
        <v xml:space="preserve"> 10 ft.- 3"</v>
      </c>
      <c r="O658" s="2">
        <f>VLOOKUP([jobnumber],OvalData[],MATCH(Table2[[#Headers],[Pipe Center Line]],Table2[#Headers],0),0)</f>
        <v>131</v>
      </c>
      <c r="P658" s="2">
        <f>VLOOKUP([jobnumber],OvalData[],MATCH(Table2[[#Headers],[Heat Expansion Gap]],Table2[#Headers],0),0)</f>
        <v>0</v>
      </c>
      <c r="Q658" s="2">
        <f>VLOOKUP([jobnumber],OvalData[],MATCH(Table2[[#Headers],[Hanging Weight Closed]],Table2[#Headers],0),0)</f>
        <v>795</v>
      </c>
      <c r="R658" s="2">
        <f>VLOOKUP([jobnumber],OvalData[],MATCH(Table2[[#Headers],[Hanging Weight Open]],Table2[#Headers],0),0)</f>
        <v>140</v>
      </c>
      <c r="S658" s="2">
        <f>VLOOKUP([jobnumber],OvalData[],MATCH(Table2[[#Headers],[Initial Lever Arm]],Table2[#Headers],0),0)</f>
        <v>4.25</v>
      </c>
      <c r="T658" s="2">
        <f>VLOOKUP([jobnumber],OvalData[],MATCH(Table2[[#Headers],[Turns to Raise]],Table2[#Headers],0),0)</f>
        <v>3.5859999999999999</v>
      </c>
      <c r="U658" s="2">
        <f>VLOOKUP([jobnumber],OvalData[],MATCH(Table2[[#Headers],[Final Lever Arm]],Table2[#Headers],0),0)</f>
        <v>6.37</v>
      </c>
      <c r="V658" s="2">
        <f>VLOOKUP([jobnumber],OvalData[],MATCH(Table2[[#Headers],[Torque Required Closed]],Table2[#Headers],0),0)</f>
        <v>3377.9</v>
      </c>
      <c r="W658" s="2">
        <f>VLOOKUP([jobnumber],OvalData[],MATCH(Table2[[#Headers],[Torque Required Open]],Table2[#Headers],0),0)</f>
        <v>892</v>
      </c>
      <c r="X658" s="2">
        <f>VLOOKUP([jobnumber],OvalData[],MATCH(Table2[[#Headers],[Pre Turns]],Table2[#Headers],0),0)</f>
        <v>1.3332999999999999</v>
      </c>
      <c r="Y658" s="2">
        <f>VLOOKUP([jobnumber],OvalData[],MATCH(Table2[[#Headers],[Required Torque Per Turn]],Table2[#Headers],0),0)</f>
        <v>688</v>
      </c>
      <c r="Z658" s="2">
        <f>VLOOKUP([jobnumber],OvalData[],MATCH(Table2[[#Headers],[Total Turns]],Table2[#Headers],0),0)</f>
        <v>4.91</v>
      </c>
      <c r="AA658" s="2">
        <f>VLOOKUP([jobnumber],OvalData[],MATCH(Table2[[#Headers],[Grille Vision Section]],Table2[#Headers],0),0)</f>
        <v>0</v>
      </c>
      <c r="AB658" s="2">
        <f>VLOOKUP([jobnumber],OvalData[],MATCH(Table2[[#Headers],[Grille Amount]],Table2[#Headers],0),0)</f>
        <v>0</v>
      </c>
      <c r="AC658" s="2">
        <f>VLOOKUP([jobnumber],OvalData[],MATCH(Table2[[#Headers],[Grille Center]],Table2[#Headers],0),0)</f>
        <v>0</v>
      </c>
      <c r="AD658" s="2">
        <f>VLOOKUP([jobnumber],OvalData[],MATCH(Table2[[#Headers],[Grille Pattern]],Table2[#Headers],0),0)</f>
        <v>0</v>
      </c>
      <c r="AE658" s="2">
        <f>VLOOKUP([jobnumber],OvalData[],MATCH(Table2[[#Headers],[Grille First Tube]],Table2[#Headers],0),0)</f>
        <v>0</v>
      </c>
      <c r="AF658" s="2">
        <f>VLOOKUP([jobnumber],OvalData[],MATCH(Table2[[#Headers],[Grille Standard Tube]],Table2[#Headers],0),0)</f>
        <v>0</v>
      </c>
      <c r="AG658" s="2">
        <f>VLOOKUP([jobnumber],OvalData[],MATCH(Table2[[#Headers],[Grille Total Links]],Table2[#Headers],0),0)</f>
        <v>0</v>
      </c>
      <c r="AH658" s="2">
        <f>VLOOKUP([jobnumber],OvalData[],MATCH(Table2[[#Headers],[Grille Rods]],Table2[#Headers],0),0)</f>
        <v>0</v>
      </c>
      <c r="AI658" s="2">
        <f>VLOOKUP([jobnumber],OvalData[],MATCH(Table2[[#Headers],[Grille Rod Length]],Table2[#Headers],0),0)</f>
        <v>0</v>
      </c>
      <c r="AJ658" s="2">
        <f>VLOOKUP([jobnumber],OvalData[],MATCH(Table2[[#Headers],[slattype]],Table2[#Headers],0),0)</f>
        <v>2</v>
      </c>
      <c r="AK658" s="2">
        <f>VLOOKUP([jobnumber],OvalData[],MATCH(Table2[[#Headers],[slatgage]],Table2[#Headers],0),0)</f>
        <v>18</v>
      </c>
      <c r="AL658" s="2">
        <f>VLOOKUP([jobnumber],OvalData[],MATCH(Table2[[#Headers],[Numer of Top Slats]],Table2[#Headers],0),0)</f>
        <v>0</v>
      </c>
      <c r="AM658" s="2">
        <f>VLOOKUP([jobnumber],OvalData[],MATCH(Table2[[#Headers],[Number of Bottom Slats]],Table2[#Headers],0),0)</f>
        <v>0</v>
      </c>
      <c r="AN658" s="2">
        <f>VLOOKUP([jobnumber],OvalData[],MATCH(Table2[[#Headers],[Solid Bottom Height]],Table2[#Headers],0),0)</f>
        <v>0</v>
      </c>
      <c r="AO658" s="2" t="str">
        <f>VLOOKUP([jobnumber],OvalData[],MATCH(Table2[[#Headers],[slatlength]],Table2[#Headers],0),0)</f>
        <v xml:space="preserve"> 18 ft.- 5 7/ 8"</v>
      </c>
      <c r="AP658" s="2">
        <f>VLOOKUP([jobnumber],OvalData[],MATCH(Table2[[#Headers],[Bottom Slat Length]],Table2[#Headers],0),0)</f>
        <v>0</v>
      </c>
      <c r="AQ658" s="2">
        <f>VLOOKUP([jobnumber],OvalData[],MATCH(Table2[[#Headers],[Number of Perferated Slats]],Table2[#Headers],0),0)</f>
        <v>0</v>
      </c>
      <c r="AR658" s="2">
        <f>VLOOKUP([jobnumber],OvalData[],MATCH(Table2[[#Headers],[First Preferated Slat From End]],Table2[#Headers],0),0)</f>
        <v>0</v>
      </c>
      <c r="AS658" s="2">
        <f>VLOOKUP([jobnumber],OvalData[],MATCH(Table2[[#Headers],[First Preferated Slat From Bottom]],Table2[#Headers],0),0)</f>
        <v>0</v>
      </c>
      <c r="AT658" s="2">
        <f>VLOOKUP([jobnumber],OvalData[],MATCH(Table2[[#Headers],[Total Number of Slats]],Table2[#Headers],0),0)</f>
        <v>51</v>
      </c>
      <c r="AU658" s="2">
        <f>VLOOKUP([jobnumber],OvalData[],MATCH(Table2[[#Headers],[Bottom Bar Slope]],Table2[#Headers],0),0)</f>
        <v>0</v>
      </c>
      <c r="AV658" s="2">
        <f>VLOOKUP([jobnumber],OvalData[],MATCH(Table2[[#Headers],[Bottom Bar Weight]],Table2[#Headers],0),0)</f>
        <v>80.5</v>
      </c>
      <c r="AW658" s="2" t="str">
        <f>VLOOKUP([jobnumber],OvalData[],MATCH(Table2[[#Headers],[Outer Spring Gage]],Table2[#Headers],0),0)</f>
        <v>Null</v>
      </c>
      <c r="AX658" s="2" t="str">
        <f>VLOOKUP([jobnumber],OvalData[],MATCH(Table2[[#Headers],[Outer Spring OD]],Table2[#Headers],0),0)</f>
        <v>Null</v>
      </c>
      <c r="AY658" s="2" t="str">
        <f>VLOOKUP([jobnumber],OvalData[],MATCH(Table2[[#Headers],[Outer Spring Length]],Table2[#Headers],0),0)</f>
        <v>Null</v>
      </c>
      <c r="AZ658" s="2" t="str">
        <f>VLOOKUP([jobnumber],OvalData[],MATCH(Table2[[#Headers],[Outer Spring Stretch]],Table2[#Headers],0),0)</f>
        <v>Null</v>
      </c>
      <c r="BA658" s="2" t="str">
        <f>VLOOKUP([jobnumber],OvalData[],MATCH(Table2[[#Headers],[Outer Spring Torque]],Table2[#Headers],0),0)</f>
        <v>Null</v>
      </c>
      <c r="BB658" s="2" t="str">
        <f>VLOOKUP([jobnumber],OvalData[],MATCH(Table2[[#Headers],[Outer Spring Max Turns]],Table2[#Headers],0),0)</f>
        <v>Null</v>
      </c>
      <c r="BC658" s="2" t="str">
        <f>VLOOKUP([jobnumber],OvalData[],MATCH(Table2[[#Headers],[Outer Spring Weight]],Table2[#Headers],0),0)</f>
        <v>Null</v>
      </c>
      <c r="BD658" s="2" t="str">
        <f>VLOOKUP([jobnumber],OvalData[],MATCH(Table2[[#Headers],[Inner Spring Gage]],Table2[#Headers],0),0)</f>
        <v>Null</v>
      </c>
      <c r="BE658" s="2" t="str">
        <f>VLOOKUP([jobnumber],OvalData[],MATCH(Table2[[#Headers],[Inner Spring OD]],Table2[#Headers],0),0)</f>
        <v>Null</v>
      </c>
      <c r="BF658" s="2" t="str">
        <f>VLOOKUP([jobnumber],OvalData[],MATCH(Table2[[#Headers],[Inner Spring Length]],Table2[#Headers],0),0)</f>
        <v>Null</v>
      </c>
      <c r="BG658" s="2" t="str">
        <f>VLOOKUP([jobnumber],OvalData[],MATCH(Table2[[#Headers],[Inner Spring Stretch]],Table2[#Headers],0),0)</f>
        <v>Null</v>
      </c>
      <c r="BH658" s="2" t="str">
        <f>VLOOKUP([jobnumber],OvalData[],MATCH(Table2[[#Headers],[Inner Spring Torque]],Table2[#Headers],0),0)</f>
        <v>Null</v>
      </c>
      <c r="BI658" s="2" t="str">
        <f>VLOOKUP([jobnumber],OvalData[],MATCH(Table2[[#Headers],[Inner Spring Max Turns]],Table2[#Headers],0),0)</f>
        <v>Null</v>
      </c>
      <c r="BJ658" s="2" t="str">
        <f>VLOOKUP([jobnumber],OvalData[],MATCH(Table2[[#Headers],[Inner Spring Weight]],Table2[#Headers],0),0)</f>
        <v>Null</v>
      </c>
      <c r="BK658" s="2">
        <f>VLOOKUP([jobnumber],OvalData[],MATCH(Table2[[#Headers],[Cycles]],Table2[#Headers],0),0)</f>
        <v>0</v>
      </c>
      <c r="BL658" s="2">
        <f>VLOOKUP([jobnumber],OvalData[],MATCH(Table2[[#Headers],[Total Spring Torque]],Table2[#Headers],0),0)</f>
        <v>0</v>
      </c>
      <c r="BM658" s="2">
        <f>VLOOKUP([jobnumber],OvalData[],MATCH(Table2[[#Headers],[Total Spring Weight]],Table2[#Headers],0),0)</f>
        <v>0</v>
      </c>
      <c r="BN658" s="2">
        <f>VLOOKUP([jobnumber],OvalData[],MATCH(Table2[[#Headers],[Pipe Weight]],Table2[#Headers],0),0)</f>
        <v>688.24239999999998</v>
      </c>
      <c r="BO658" s="2">
        <f>VLOOKUP([jobnumber],OvalData[],MATCH(Table2[[#Headers],[Max Pipe Deflection]],Table2[#Headers],0),0)</f>
        <v>2309</v>
      </c>
      <c r="BP658" s="2">
        <f>VLOOKUP([jobnumber],OvalData[],MATCH(Table2[[#Headers],[Number Non-Insulated Wrap Slats]],Table2[#Headers],0),0)</f>
        <v>0</v>
      </c>
      <c r="BQ658" s="2">
        <f>VLOOKUP([jobnumber],OvalData[],MATCH(Table2[[#Headers],[Number of Insolated Top Slats]],Table2[#Headers],0),0)</f>
        <v>45</v>
      </c>
      <c r="BR658" s="2">
        <f>VLOOKUP([jobnumber],OvalData[],MATCH(Table2[[#Headers],[Insolated Total Slats]],Table2[#Headers],0),0)</f>
        <v>45</v>
      </c>
      <c r="BS658" s="2">
        <f>VLOOKUP([jobnumber],OvalData[],MATCH(Table2[[#Headers],[Number of Slats]],Table2[#Headers],0),0)</f>
        <v>44.69</v>
      </c>
      <c r="BT658" s="2">
        <f>VLOOKUP([jobnumber],OvalData[],MATCH(Table2[[#Headers],[Wrap]],Table2[#Headers],0),0)</f>
        <v>0</v>
      </c>
      <c r="BU658" s="2">
        <f>VLOOKUP([jobnumber],OvalData[],MATCH(Table2[[#Headers],[Wall Angle Thickness]],Table2[#Headers],0),0)</f>
        <v>0</v>
      </c>
      <c r="BV658" s="2">
        <f>VLOOKUP([jobnumber],OvalData[],MATCH(Table2[[#Headers],[windlocks]],Table2[#Headers],0),0)</f>
        <v>0</v>
      </c>
      <c r="BW658" s="2" t="str">
        <f>VLOOKUP([jobnumber],OvalData[],MATCH(Table2[[#Headers],[bottombartype]],Table2[#Headers],0),0)</f>
        <v>SPECIAL</v>
      </c>
      <c r="BX658" s="2">
        <f>VLOOKUP([jobnumber],OvalData[],MATCH(Table2[[#Headers],[endlockweight]],Table2[#Headers],0),0)</f>
        <v>0.17</v>
      </c>
      <c r="BY658" s="2">
        <f>VLOOKUP([jobnumber],OvalData[],MATCH(Table2[[#Headers],[Endlock Total Weight]],Table2[#Headers],0),0)</f>
        <v>7.5972999999999997</v>
      </c>
      <c r="BZ658" s="2">
        <f>VLOOKUP([jobnumber],OvalData[],MATCH(Table2[[#Headers],[Grille Weight]],Table2[#Headers],0),0)</f>
        <v>0</v>
      </c>
      <c r="CA658" s="2">
        <f>VLOOKUP([jobnumber],OvalData[],MATCH(Table2[[#Headers],[barrelrings]],Table2[#Headers],0),0)</f>
        <v>1</v>
      </c>
    </row>
    <row r="659" spans="2:79">
      <c r="B659" s="2" t="str">
        <f>VLOOKUP([jobnumber],OvalData[],MATCH(Table2[[#Headers],[Hand]],Table2[#Headers],0),0)</f>
        <v>RH</v>
      </c>
      <c r="C659" s="2" t="str">
        <f>VLOOKUP([jobnumber],OvalData[],MATCH(Table2[[#Headers],[Model]],Table2[#Headers],0),0)</f>
        <v>SFMPP</v>
      </c>
      <c r="D659" s="2" t="str">
        <f>VLOOKUP([jobnumber],OvalData[],MATCH(Table2[[#Headers],[width]],Table2[#Headers],0),0)</f>
        <v xml:space="preserve"> 18 ft.- 2"</v>
      </c>
      <c r="E659" s="2" t="str">
        <f>VLOOKUP([jobnumber],OvalData[],MATCH(Table2[[#Headers],[stopheight]],Table2[#Headers],0),0)</f>
        <v xml:space="preserve"> 10 ft.- 0"</v>
      </c>
      <c r="F659" s="2" t="str">
        <f>VLOOKUP([jobnumber],OvalData[],MATCH(Table2[[#Headers],[Between Brackets]],Table2[#Headers],0),0)</f>
        <v xml:space="preserve"> 18 ft.- 7 7/ 8"</v>
      </c>
      <c r="G659" s="2" t="str">
        <f>VLOOKUP([jobnumber],OvalData[],MATCH(Table2[[#Headers],[shell]],Table2[#Headers],0),0)</f>
        <v>6 INCH TUBE</v>
      </c>
      <c r="H659" s="2" t="str">
        <f>VLOOKUP([jobnumber],OvalData[],MATCH(Table2[[#Headers],[pipewidth]],Table2[#Headers],0),0)</f>
        <v xml:space="preserve"> 18 ft.- 1 3/ 8"</v>
      </c>
      <c r="I659" s="2">
        <f>VLOOKUP([jobnumber],OvalData[],MATCH(Table2[[#Headers],[Support Tubes]],Table2[#Headers],0),0)</f>
        <v>0</v>
      </c>
      <c r="J659" s="2">
        <f>VLOOKUP([jobnumber],OvalData[],MATCH(Table2[[#Headers],[Upset]],Table2[#Headers],0),0)</f>
        <v>2</v>
      </c>
      <c r="K659" s="2" t="str">
        <f>VLOOKUP([jobnumber],OvalData[],MATCH(Table2[[#Headers],[Guide Type]],Table2[#Headers],0),0)</f>
        <v>SN2-4 5/8-E</v>
      </c>
      <c r="L659" s="2" t="str">
        <f>VLOOKUP([jobnumber],OvalData[],MATCH(Table2[[#Headers],[Wall Angle]],Table2[#Headers],0),0)</f>
        <v xml:space="preserve"> 11 ft.- 8"</v>
      </c>
      <c r="M659" s="2" t="str">
        <f>VLOOKUP([jobnumber],OvalData[],MATCH(Table2[[#Headers],[Middle Angle]],Table2[#Headers],0),0)</f>
        <v xml:space="preserve"> 10 ft.- 4 1/ 2"</v>
      </c>
      <c r="N659" s="2" t="str">
        <f>VLOOKUP([jobnumber],OvalData[],MATCH(Table2[[#Headers],[Front Angle]],Table2[#Headers],0),0)</f>
        <v xml:space="preserve"> 10 ft.- 3"</v>
      </c>
      <c r="O659" s="2">
        <f>VLOOKUP([jobnumber],OvalData[],MATCH(Table2[[#Headers],[Pipe Center Line]],Table2[#Headers],0),0)</f>
        <v>131</v>
      </c>
      <c r="P659" s="2">
        <f>VLOOKUP([jobnumber],OvalData[],MATCH(Table2[[#Headers],[Heat Expansion Gap]],Table2[#Headers],0),0)</f>
        <v>0</v>
      </c>
      <c r="Q659" s="2">
        <f>VLOOKUP([jobnumber],OvalData[],MATCH(Table2[[#Headers],[Hanging Weight Closed]],Table2[#Headers],0),0)</f>
        <v>795</v>
      </c>
      <c r="R659" s="2">
        <f>VLOOKUP([jobnumber],OvalData[],MATCH(Table2[[#Headers],[Hanging Weight Open]],Table2[#Headers],0),0)</f>
        <v>140</v>
      </c>
      <c r="S659" s="2">
        <f>VLOOKUP([jobnumber],OvalData[],MATCH(Table2[[#Headers],[Initial Lever Arm]],Table2[#Headers],0),0)</f>
        <v>4.25</v>
      </c>
      <c r="T659" s="2">
        <f>VLOOKUP([jobnumber],OvalData[],MATCH(Table2[[#Headers],[Turns to Raise]],Table2[#Headers],0),0)</f>
        <v>3.5859999999999999</v>
      </c>
      <c r="U659" s="2">
        <f>VLOOKUP([jobnumber],OvalData[],MATCH(Table2[[#Headers],[Final Lever Arm]],Table2[#Headers],0),0)</f>
        <v>6.37</v>
      </c>
      <c r="V659" s="2">
        <f>VLOOKUP([jobnumber],OvalData[],MATCH(Table2[[#Headers],[Torque Required Closed]],Table2[#Headers],0),0)</f>
        <v>3377.9</v>
      </c>
      <c r="W659" s="2">
        <f>VLOOKUP([jobnumber],OvalData[],MATCH(Table2[[#Headers],[Torque Required Open]],Table2[#Headers],0),0)</f>
        <v>892</v>
      </c>
      <c r="X659" s="2">
        <f>VLOOKUP([jobnumber],OvalData[],MATCH(Table2[[#Headers],[Pre Turns]],Table2[#Headers],0),0)</f>
        <v>1.3332999999999999</v>
      </c>
      <c r="Y659" s="2">
        <f>VLOOKUP([jobnumber],OvalData[],MATCH(Table2[[#Headers],[Required Torque Per Turn]],Table2[#Headers],0),0)</f>
        <v>688</v>
      </c>
      <c r="Z659" s="2">
        <f>VLOOKUP([jobnumber],OvalData[],MATCH(Table2[[#Headers],[Total Turns]],Table2[#Headers],0),0)</f>
        <v>4.91</v>
      </c>
      <c r="AA659" s="2">
        <f>VLOOKUP([jobnumber],OvalData[],MATCH(Table2[[#Headers],[Grille Vision Section]],Table2[#Headers],0),0)</f>
        <v>0</v>
      </c>
      <c r="AB659" s="2">
        <f>VLOOKUP([jobnumber],OvalData[],MATCH(Table2[[#Headers],[Grille Amount]],Table2[#Headers],0),0)</f>
        <v>0</v>
      </c>
      <c r="AC659" s="2">
        <f>VLOOKUP([jobnumber],OvalData[],MATCH(Table2[[#Headers],[Grille Center]],Table2[#Headers],0),0)</f>
        <v>0</v>
      </c>
      <c r="AD659" s="2">
        <f>VLOOKUP([jobnumber],OvalData[],MATCH(Table2[[#Headers],[Grille Pattern]],Table2[#Headers],0),0)</f>
        <v>0</v>
      </c>
      <c r="AE659" s="2">
        <f>VLOOKUP([jobnumber],OvalData[],MATCH(Table2[[#Headers],[Grille First Tube]],Table2[#Headers],0),0)</f>
        <v>0</v>
      </c>
      <c r="AF659" s="2">
        <f>VLOOKUP([jobnumber],OvalData[],MATCH(Table2[[#Headers],[Grille Standard Tube]],Table2[#Headers],0),0)</f>
        <v>0</v>
      </c>
      <c r="AG659" s="2">
        <f>VLOOKUP([jobnumber],OvalData[],MATCH(Table2[[#Headers],[Grille Total Links]],Table2[#Headers],0),0)</f>
        <v>0</v>
      </c>
      <c r="AH659" s="2">
        <f>VLOOKUP([jobnumber],OvalData[],MATCH(Table2[[#Headers],[Grille Rods]],Table2[#Headers],0),0)</f>
        <v>0</v>
      </c>
      <c r="AI659" s="2">
        <f>VLOOKUP([jobnumber],OvalData[],MATCH(Table2[[#Headers],[Grille Rod Length]],Table2[#Headers],0),0)</f>
        <v>0</v>
      </c>
      <c r="AJ659" s="2">
        <f>VLOOKUP([jobnumber],OvalData[],MATCH(Table2[[#Headers],[slattype]],Table2[#Headers],0),0)</f>
        <v>2</v>
      </c>
      <c r="AK659" s="2">
        <f>VLOOKUP([jobnumber],OvalData[],MATCH(Table2[[#Headers],[slatgage]],Table2[#Headers],0),0)</f>
        <v>18</v>
      </c>
      <c r="AL659" s="2">
        <f>VLOOKUP([jobnumber],OvalData[],MATCH(Table2[[#Headers],[Numer of Top Slats]],Table2[#Headers],0),0)</f>
        <v>0</v>
      </c>
      <c r="AM659" s="2">
        <f>VLOOKUP([jobnumber],OvalData[],MATCH(Table2[[#Headers],[Number of Bottom Slats]],Table2[#Headers],0),0)</f>
        <v>0</v>
      </c>
      <c r="AN659" s="2">
        <f>VLOOKUP([jobnumber],OvalData[],MATCH(Table2[[#Headers],[Solid Bottom Height]],Table2[#Headers],0),0)</f>
        <v>0</v>
      </c>
      <c r="AO659" s="2" t="str">
        <f>VLOOKUP([jobnumber],OvalData[],MATCH(Table2[[#Headers],[slatlength]],Table2[#Headers],0),0)</f>
        <v xml:space="preserve"> 18 ft.- 5 7/ 8"</v>
      </c>
      <c r="AP659" s="2">
        <f>VLOOKUP([jobnumber],OvalData[],MATCH(Table2[[#Headers],[Bottom Slat Length]],Table2[#Headers],0),0)</f>
        <v>0</v>
      </c>
      <c r="AQ659" s="2">
        <f>VLOOKUP([jobnumber],OvalData[],MATCH(Table2[[#Headers],[Number of Perferated Slats]],Table2[#Headers],0),0)</f>
        <v>0</v>
      </c>
      <c r="AR659" s="2">
        <f>VLOOKUP([jobnumber],OvalData[],MATCH(Table2[[#Headers],[First Preferated Slat From End]],Table2[#Headers],0),0)</f>
        <v>0</v>
      </c>
      <c r="AS659" s="2">
        <f>VLOOKUP([jobnumber],OvalData[],MATCH(Table2[[#Headers],[First Preferated Slat From Bottom]],Table2[#Headers],0),0)</f>
        <v>0</v>
      </c>
      <c r="AT659" s="2">
        <f>VLOOKUP([jobnumber],OvalData[],MATCH(Table2[[#Headers],[Total Number of Slats]],Table2[#Headers],0),0)</f>
        <v>51</v>
      </c>
      <c r="AU659" s="2">
        <f>VLOOKUP([jobnumber],OvalData[],MATCH(Table2[[#Headers],[Bottom Bar Slope]],Table2[#Headers],0),0)</f>
        <v>0</v>
      </c>
      <c r="AV659" s="2">
        <f>VLOOKUP([jobnumber],OvalData[],MATCH(Table2[[#Headers],[Bottom Bar Weight]],Table2[#Headers],0),0)</f>
        <v>80.5</v>
      </c>
      <c r="AW659" s="2" t="str">
        <f>VLOOKUP([jobnumber],OvalData[],MATCH(Table2[[#Headers],[Outer Spring Gage]],Table2[#Headers],0),0)</f>
        <v>Null</v>
      </c>
      <c r="AX659" s="2" t="str">
        <f>VLOOKUP([jobnumber],OvalData[],MATCH(Table2[[#Headers],[Outer Spring OD]],Table2[#Headers],0),0)</f>
        <v>Null</v>
      </c>
      <c r="AY659" s="2" t="str">
        <f>VLOOKUP([jobnumber],OvalData[],MATCH(Table2[[#Headers],[Outer Spring Length]],Table2[#Headers],0),0)</f>
        <v>Null</v>
      </c>
      <c r="AZ659" s="2" t="str">
        <f>VLOOKUP([jobnumber],OvalData[],MATCH(Table2[[#Headers],[Outer Spring Stretch]],Table2[#Headers],0),0)</f>
        <v>Null</v>
      </c>
      <c r="BA659" s="2" t="str">
        <f>VLOOKUP([jobnumber],OvalData[],MATCH(Table2[[#Headers],[Outer Spring Torque]],Table2[#Headers],0),0)</f>
        <v>Null</v>
      </c>
      <c r="BB659" s="2" t="str">
        <f>VLOOKUP([jobnumber],OvalData[],MATCH(Table2[[#Headers],[Outer Spring Max Turns]],Table2[#Headers],0),0)</f>
        <v>Null</v>
      </c>
      <c r="BC659" s="2" t="str">
        <f>VLOOKUP([jobnumber],OvalData[],MATCH(Table2[[#Headers],[Outer Spring Weight]],Table2[#Headers],0),0)</f>
        <v>Null</v>
      </c>
      <c r="BD659" s="2" t="str">
        <f>VLOOKUP([jobnumber],OvalData[],MATCH(Table2[[#Headers],[Inner Spring Gage]],Table2[#Headers],0),0)</f>
        <v>Null</v>
      </c>
      <c r="BE659" s="2" t="str">
        <f>VLOOKUP([jobnumber],OvalData[],MATCH(Table2[[#Headers],[Inner Spring OD]],Table2[#Headers],0),0)</f>
        <v>Null</v>
      </c>
      <c r="BF659" s="2" t="str">
        <f>VLOOKUP([jobnumber],OvalData[],MATCH(Table2[[#Headers],[Inner Spring Length]],Table2[#Headers],0),0)</f>
        <v>Null</v>
      </c>
      <c r="BG659" s="2" t="str">
        <f>VLOOKUP([jobnumber],OvalData[],MATCH(Table2[[#Headers],[Inner Spring Stretch]],Table2[#Headers],0),0)</f>
        <v>Null</v>
      </c>
      <c r="BH659" s="2" t="str">
        <f>VLOOKUP([jobnumber],OvalData[],MATCH(Table2[[#Headers],[Inner Spring Torque]],Table2[#Headers],0),0)</f>
        <v>Null</v>
      </c>
      <c r="BI659" s="2" t="str">
        <f>VLOOKUP([jobnumber],OvalData[],MATCH(Table2[[#Headers],[Inner Spring Max Turns]],Table2[#Headers],0),0)</f>
        <v>Null</v>
      </c>
      <c r="BJ659" s="2" t="str">
        <f>VLOOKUP([jobnumber],OvalData[],MATCH(Table2[[#Headers],[Inner Spring Weight]],Table2[#Headers],0),0)</f>
        <v>Null</v>
      </c>
      <c r="BK659" s="2">
        <f>VLOOKUP([jobnumber],OvalData[],MATCH(Table2[[#Headers],[Cycles]],Table2[#Headers],0),0)</f>
        <v>0</v>
      </c>
      <c r="BL659" s="2">
        <f>VLOOKUP([jobnumber],OvalData[],MATCH(Table2[[#Headers],[Total Spring Torque]],Table2[#Headers],0),0)</f>
        <v>0</v>
      </c>
      <c r="BM659" s="2">
        <f>VLOOKUP([jobnumber],OvalData[],MATCH(Table2[[#Headers],[Total Spring Weight]],Table2[#Headers],0),0)</f>
        <v>0</v>
      </c>
      <c r="BN659" s="2">
        <f>VLOOKUP([jobnumber],OvalData[],MATCH(Table2[[#Headers],[Pipe Weight]],Table2[#Headers],0),0)</f>
        <v>688.24239999999998</v>
      </c>
      <c r="BO659" s="2">
        <f>VLOOKUP([jobnumber],OvalData[],MATCH(Table2[[#Headers],[Max Pipe Deflection]],Table2[#Headers],0),0)</f>
        <v>2309</v>
      </c>
      <c r="BP659" s="2">
        <f>VLOOKUP([jobnumber],OvalData[],MATCH(Table2[[#Headers],[Number Non-Insulated Wrap Slats]],Table2[#Headers],0),0)</f>
        <v>0</v>
      </c>
      <c r="BQ659" s="2">
        <f>VLOOKUP([jobnumber],OvalData[],MATCH(Table2[[#Headers],[Number of Insolated Top Slats]],Table2[#Headers],0),0)</f>
        <v>45</v>
      </c>
      <c r="BR659" s="2">
        <f>VLOOKUP([jobnumber],OvalData[],MATCH(Table2[[#Headers],[Insolated Total Slats]],Table2[#Headers],0),0)</f>
        <v>45</v>
      </c>
      <c r="BS659" s="2">
        <f>VLOOKUP([jobnumber],OvalData[],MATCH(Table2[[#Headers],[Number of Slats]],Table2[#Headers],0),0)</f>
        <v>44.69</v>
      </c>
      <c r="BT659" s="2">
        <f>VLOOKUP([jobnumber],OvalData[],MATCH(Table2[[#Headers],[Wrap]],Table2[#Headers],0),0)</f>
        <v>0</v>
      </c>
      <c r="BU659" s="2">
        <f>VLOOKUP([jobnumber],OvalData[],MATCH(Table2[[#Headers],[Wall Angle Thickness]],Table2[#Headers],0),0)</f>
        <v>0</v>
      </c>
      <c r="BV659" s="2">
        <f>VLOOKUP([jobnumber],OvalData[],MATCH(Table2[[#Headers],[windlocks]],Table2[#Headers],0),0)</f>
        <v>0</v>
      </c>
      <c r="BW659" s="2" t="str">
        <f>VLOOKUP([jobnumber],OvalData[],MATCH(Table2[[#Headers],[bottombartype]],Table2[#Headers],0),0)</f>
        <v>SPECIAL</v>
      </c>
      <c r="BX659" s="2">
        <f>VLOOKUP([jobnumber],OvalData[],MATCH(Table2[[#Headers],[endlockweight]],Table2[#Headers],0),0)</f>
        <v>0.17</v>
      </c>
      <c r="BY659" s="2">
        <f>VLOOKUP([jobnumber],OvalData[],MATCH(Table2[[#Headers],[Endlock Total Weight]],Table2[#Headers],0),0)</f>
        <v>7.5972999999999997</v>
      </c>
      <c r="BZ659" s="2">
        <f>VLOOKUP([jobnumber],OvalData[],MATCH(Table2[[#Headers],[Grille Weight]],Table2[#Headers],0),0)</f>
        <v>0</v>
      </c>
      <c r="CA659" s="2">
        <f>VLOOKUP([jobnumber],OvalData[],MATCH(Table2[[#Headers],[barrelrings]],Table2[#Headers],0),0)</f>
        <v>1</v>
      </c>
    </row>
    <row r="660" spans="2:79">
      <c r="B660" s="2" t="str">
        <f>VLOOKUP([jobnumber],OvalData[],MATCH(Table2[[#Headers],[Hand]],Table2[#Headers],0),0)</f>
        <v>RH</v>
      </c>
      <c r="C660" s="2" t="str">
        <f>VLOOKUP([jobnumber],OvalData[],MATCH(Table2[[#Headers],[Model]],Table2[#Headers],0),0)</f>
        <v>SFMPP</v>
      </c>
      <c r="D660" s="2" t="str">
        <f>VLOOKUP([jobnumber],OvalData[],MATCH(Table2[[#Headers],[width]],Table2[#Headers],0),0)</f>
        <v xml:space="preserve"> 18 ft.- 2"</v>
      </c>
      <c r="E660" s="2" t="str">
        <f>VLOOKUP([jobnumber],OvalData[],MATCH(Table2[[#Headers],[stopheight]],Table2[#Headers],0),0)</f>
        <v xml:space="preserve"> 10 ft.- 0"</v>
      </c>
      <c r="F660" s="2" t="str">
        <f>VLOOKUP([jobnumber],OvalData[],MATCH(Table2[[#Headers],[Between Brackets]],Table2[#Headers],0),0)</f>
        <v xml:space="preserve"> 18 ft.- 7 7/ 8"</v>
      </c>
      <c r="G660" s="2" t="str">
        <f>VLOOKUP([jobnumber],OvalData[],MATCH(Table2[[#Headers],[shell]],Table2[#Headers],0),0)</f>
        <v>6 INCH TUBE</v>
      </c>
      <c r="H660" s="2" t="str">
        <f>VLOOKUP([jobnumber],OvalData[],MATCH(Table2[[#Headers],[pipewidth]],Table2[#Headers],0),0)</f>
        <v xml:space="preserve"> 18 ft.- 1 3/ 8"</v>
      </c>
      <c r="I660" s="2">
        <f>VLOOKUP([jobnumber],OvalData[],MATCH(Table2[[#Headers],[Support Tubes]],Table2[#Headers],0),0)</f>
        <v>0</v>
      </c>
      <c r="J660" s="2">
        <f>VLOOKUP([jobnumber],OvalData[],MATCH(Table2[[#Headers],[Upset]],Table2[#Headers],0),0)</f>
        <v>2</v>
      </c>
      <c r="K660" s="2" t="str">
        <f>VLOOKUP([jobnumber],OvalData[],MATCH(Table2[[#Headers],[Guide Type]],Table2[#Headers],0),0)</f>
        <v>SN2-4 5/8-E</v>
      </c>
      <c r="L660" s="2" t="str">
        <f>VLOOKUP([jobnumber],OvalData[],MATCH(Table2[[#Headers],[Wall Angle]],Table2[#Headers],0),0)</f>
        <v xml:space="preserve"> 11 ft.- 8"</v>
      </c>
      <c r="M660" s="2" t="str">
        <f>VLOOKUP([jobnumber],OvalData[],MATCH(Table2[[#Headers],[Middle Angle]],Table2[#Headers],0),0)</f>
        <v xml:space="preserve"> 10 ft.- 4 1/ 2"</v>
      </c>
      <c r="N660" s="2" t="str">
        <f>VLOOKUP([jobnumber],OvalData[],MATCH(Table2[[#Headers],[Front Angle]],Table2[#Headers],0),0)</f>
        <v xml:space="preserve"> 10 ft.- 3"</v>
      </c>
      <c r="O660" s="2">
        <f>VLOOKUP([jobnumber],OvalData[],MATCH(Table2[[#Headers],[Pipe Center Line]],Table2[#Headers],0),0)</f>
        <v>131</v>
      </c>
      <c r="P660" s="2">
        <f>VLOOKUP([jobnumber],OvalData[],MATCH(Table2[[#Headers],[Heat Expansion Gap]],Table2[#Headers],0),0)</f>
        <v>0</v>
      </c>
      <c r="Q660" s="2">
        <f>VLOOKUP([jobnumber],OvalData[],MATCH(Table2[[#Headers],[Hanging Weight Closed]],Table2[#Headers],0),0)</f>
        <v>795</v>
      </c>
      <c r="R660" s="2">
        <f>VLOOKUP([jobnumber],OvalData[],MATCH(Table2[[#Headers],[Hanging Weight Open]],Table2[#Headers],0),0)</f>
        <v>140</v>
      </c>
      <c r="S660" s="2">
        <f>VLOOKUP([jobnumber],OvalData[],MATCH(Table2[[#Headers],[Initial Lever Arm]],Table2[#Headers],0),0)</f>
        <v>4.25</v>
      </c>
      <c r="T660" s="2">
        <f>VLOOKUP([jobnumber],OvalData[],MATCH(Table2[[#Headers],[Turns to Raise]],Table2[#Headers],0),0)</f>
        <v>3.5859999999999999</v>
      </c>
      <c r="U660" s="2">
        <f>VLOOKUP([jobnumber],OvalData[],MATCH(Table2[[#Headers],[Final Lever Arm]],Table2[#Headers],0),0)</f>
        <v>6.37</v>
      </c>
      <c r="V660" s="2">
        <f>VLOOKUP([jobnumber],OvalData[],MATCH(Table2[[#Headers],[Torque Required Closed]],Table2[#Headers],0),0)</f>
        <v>3377.9</v>
      </c>
      <c r="W660" s="2">
        <f>VLOOKUP([jobnumber],OvalData[],MATCH(Table2[[#Headers],[Torque Required Open]],Table2[#Headers],0),0)</f>
        <v>892</v>
      </c>
      <c r="X660" s="2">
        <f>VLOOKUP([jobnumber],OvalData[],MATCH(Table2[[#Headers],[Pre Turns]],Table2[#Headers],0),0)</f>
        <v>1.3332999999999999</v>
      </c>
      <c r="Y660" s="2">
        <f>VLOOKUP([jobnumber],OvalData[],MATCH(Table2[[#Headers],[Required Torque Per Turn]],Table2[#Headers],0),0)</f>
        <v>688</v>
      </c>
      <c r="Z660" s="2">
        <f>VLOOKUP([jobnumber],OvalData[],MATCH(Table2[[#Headers],[Total Turns]],Table2[#Headers],0),0)</f>
        <v>4.91</v>
      </c>
      <c r="AA660" s="2">
        <f>VLOOKUP([jobnumber],OvalData[],MATCH(Table2[[#Headers],[Grille Vision Section]],Table2[#Headers],0),0)</f>
        <v>0</v>
      </c>
      <c r="AB660" s="2">
        <f>VLOOKUP([jobnumber],OvalData[],MATCH(Table2[[#Headers],[Grille Amount]],Table2[#Headers],0),0)</f>
        <v>0</v>
      </c>
      <c r="AC660" s="2">
        <f>VLOOKUP([jobnumber],OvalData[],MATCH(Table2[[#Headers],[Grille Center]],Table2[#Headers],0),0)</f>
        <v>0</v>
      </c>
      <c r="AD660" s="2">
        <f>VLOOKUP([jobnumber],OvalData[],MATCH(Table2[[#Headers],[Grille Pattern]],Table2[#Headers],0),0)</f>
        <v>0</v>
      </c>
      <c r="AE660" s="2">
        <f>VLOOKUP([jobnumber],OvalData[],MATCH(Table2[[#Headers],[Grille First Tube]],Table2[#Headers],0),0)</f>
        <v>0</v>
      </c>
      <c r="AF660" s="2">
        <f>VLOOKUP([jobnumber],OvalData[],MATCH(Table2[[#Headers],[Grille Standard Tube]],Table2[#Headers],0),0)</f>
        <v>0</v>
      </c>
      <c r="AG660" s="2">
        <f>VLOOKUP([jobnumber],OvalData[],MATCH(Table2[[#Headers],[Grille Total Links]],Table2[#Headers],0),0)</f>
        <v>0</v>
      </c>
      <c r="AH660" s="2">
        <f>VLOOKUP([jobnumber],OvalData[],MATCH(Table2[[#Headers],[Grille Rods]],Table2[#Headers],0),0)</f>
        <v>0</v>
      </c>
      <c r="AI660" s="2">
        <f>VLOOKUP([jobnumber],OvalData[],MATCH(Table2[[#Headers],[Grille Rod Length]],Table2[#Headers],0),0)</f>
        <v>0</v>
      </c>
      <c r="AJ660" s="2">
        <f>VLOOKUP([jobnumber],OvalData[],MATCH(Table2[[#Headers],[slattype]],Table2[#Headers],0),0)</f>
        <v>2</v>
      </c>
      <c r="AK660" s="2">
        <f>VLOOKUP([jobnumber],OvalData[],MATCH(Table2[[#Headers],[slatgage]],Table2[#Headers],0),0)</f>
        <v>18</v>
      </c>
      <c r="AL660" s="2">
        <f>VLOOKUP([jobnumber],OvalData[],MATCH(Table2[[#Headers],[Numer of Top Slats]],Table2[#Headers],0),0)</f>
        <v>0</v>
      </c>
      <c r="AM660" s="2">
        <f>VLOOKUP([jobnumber],OvalData[],MATCH(Table2[[#Headers],[Number of Bottom Slats]],Table2[#Headers],0),0)</f>
        <v>0</v>
      </c>
      <c r="AN660" s="2">
        <f>VLOOKUP([jobnumber],OvalData[],MATCH(Table2[[#Headers],[Solid Bottom Height]],Table2[#Headers],0),0)</f>
        <v>0</v>
      </c>
      <c r="AO660" s="2" t="str">
        <f>VLOOKUP([jobnumber],OvalData[],MATCH(Table2[[#Headers],[slatlength]],Table2[#Headers],0),0)</f>
        <v xml:space="preserve"> 18 ft.- 5 7/ 8"</v>
      </c>
      <c r="AP660" s="2">
        <f>VLOOKUP([jobnumber],OvalData[],MATCH(Table2[[#Headers],[Bottom Slat Length]],Table2[#Headers],0),0)</f>
        <v>0</v>
      </c>
      <c r="AQ660" s="2">
        <f>VLOOKUP([jobnumber],OvalData[],MATCH(Table2[[#Headers],[Number of Perferated Slats]],Table2[#Headers],0),0)</f>
        <v>0</v>
      </c>
      <c r="AR660" s="2">
        <f>VLOOKUP([jobnumber],OvalData[],MATCH(Table2[[#Headers],[First Preferated Slat From End]],Table2[#Headers],0),0)</f>
        <v>0</v>
      </c>
      <c r="AS660" s="2">
        <f>VLOOKUP([jobnumber],OvalData[],MATCH(Table2[[#Headers],[First Preferated Slat From Bottom]],Table2[#Headers],0),0)</f>
        <v>0</v>
      </c>
      <c r="AT660" s="2">
        <f>VLOOKUP([jobnumber],OvalData[],MATCH(Table2[[#Headers],[Total Number of Slats]],Table2[#Headers],0),0)</f>
        <v>51</v>
      </c>
      <c r="AU660" s="2">
        <f>VLOOKUP([jobnumber],OvalData[],MATCH(Table2[[#Headers],[Bottom Bar Slope]],Table2[#Headers],0),0)</f>
        <v>0</v>
      </c>
      <c r="AV660" s="2">
        <f>VLOOKUP([jobnumber],OvalData[],MATCH(Table2[[#Headers],[Bottom Bar Weight]],Table2[#Headers],0),0)</f>
        <v>80.5</v>
      </c>
      <c r="AW660" s="2" t="str">
        <f>VLOOKUP([jobnumber],OvalData[],MATCH(Table2[[#Headers],[Outer Spring Gage]],Table2[#Headers],0),0)</f>
        <v>Null</v>
      </c>
      <c r="AX660" s="2" t="str">
        <f>VLOOKUP([jobnumber],OvalData[],MATCH(Table2[[#Headers],[Outer Spring OD]],Table2[#Headers],0),0)</f>
        <v>Null</v>
      </c>
      <c r="AY660" s="2" t="str">
        <f>VLOOKUP([jobnumber],OvalData[],MATCH(Table2[[#Headers],[Outer Spring Length]],Table2[#Headers],0),0)</f>
        <v>Null</v>
      </c>
      <c r="AZ660" s="2" t="str">
        <f>VLOOKUP([jobnumber],OvalData[],MATCH(Table2[[#Headers],[Outer Spring Stretch]],Table2[#Headers],0),0)</f>
        <v>Null</v>
      </c>
      <c r="BA660" s="2" t="str">
        <f>VLOOKUP([jobnumber],OvalData[],MATCH(Table2[[#Headers],[Outer Spring Torque]],Table2[#Headers],0),0)</f>
        <v>Null</v>
      </c>
      <c r="BB660" s="2" t="str">
        <f>VLOOKUP([jobnumber],OvalData[],MATCH(Table2[[#Headers],[Outer Spring Max Turns]],Table2[#Headers],0),0)</f>
        <v>Null</v>
      </c>
      <c r="BC660" s="2" t="str">
        <f>VLOOKUP([jobnumber],OvalData[],MATCH(Table2[[#Headers],[Outer Spring Weight]],Table2[#Headers],0),0)</f>
        <v>Null</v>
      </c>
      <c r="BD660" s="2" t="str">
        <f>VLOOKUP([jobnumber],OvalData[],MATCH(Table2[[#Headers],[Inner Spring Gage]],Table2[#Headers],0),0)</f>
        <v>Null</v>
      </c>
      <c r="BE660" s="2" t="str">
        <f>VLOOKUP([jobnumber],OvalData[],MATCH(Table2[[#Headers],[Inner Spring OD]],Table2[#Headers],0),0)</f>
        <v>Null</v>
      </c>
      <c r="BF660" s="2" t="str">
        <f>VLOOKUP([jobnumber],OvalData[],MATCH(Table2[[#Headers],[Inner Spring Length]],Table2[#Headers],0),0)</f>
        <v>Null</v>
      </c>
      <c r="BG660" s="2" t="str">
        <f>VLOOKUP([jobnumber],OvalData[],MATCH(Table2[[#Headers],[Inner Spring Stretch]],Table2[#Headers],0),0)</f>
        <v>Null</v>
      </c>
      <c r="BH660" s="2" t="str">
        <f>VLOOKUP([jobnumber],OvalData[],MATCH(Table2[[#Headers],[Inner Spring Torque]],Table2[#Headers],0),0)</f>
        <v>Null</v>
      </c>
      <c r="BI660" s="2" t="str">
        <f>VLOOKUP([jobnumber],OvalData[],MATCH(Table2[[#Headers],[Inner Spring Max Turns]],Table2[#Headers],0),0)</f>
        <v>Null</v>
      </c>
      <c r="BJ660" s="2" t="str">
        <f>VLOOKUP([jobnumber],OvalData[],MATCH(Table2[[#Headers],[Inner Spring Weight]],Table2[#Headers],0),0)</f>
        <v>Null</v>
      </c>
      <c r="BK660" s="2">
        <f>VLOOKUP([jobnumber],OvalData[],MATCH(Table2[[#Headers],[Cycles]],Table2[#Headers],0),0)</f>
        <v>0</v>
      </c>
      <c r="BL660" s="2">
        <f>VLOOKUP([jobnumber],OvalData[],MATCH(Table2[[#Headers],[Total Spring Torque]],Table2[#Headers],0),0)</f>
        <v>0</v>
      </c>
      <c r="BM660" s="2">
        <f>VLOOKUP([jobnumber],OvalData[],MATCH(Table2[[#Headers],[Total Spring Weight]],Table2[#Headers],0),0)</f>
        <v>0</v>
      </c>
      <c r="BN660" s="2">
        <f>VLOOKUP([jobnumber],OvalData[],MATCH(Table2[[#Headers],[Pipe Weight]],Table2[#Headers],0),0)</f>
        <v>688.24239999999998</v>
      </c>
      <c r="BO660" s="2">
        <f>VLOOKUP([jobnumber],OvalData[],MATCH(Table2[[#Headers],[Max Pipe Deflection]],Table2[#Headers],0),0)</f>
        <v>2309</v>
      </c>
      <c r="BP660" s="2">
        <f>VLOOKUP([jobnumber],OvalData[],MATCH(Table2[[#Headers],[Number Non-Insulated Wrap Slats]],Table2[#Headers],0),0)</f>
        <v>0</v>
      </c>
      <c r="BQ660" s="2">
        <f>VLOOKUP([jobnumber],OvalData[],MATCH(Table2[[#Headers],[Number of Insolated Top Slats]],Table2[#Headers],0),0)</f>
        <v>45</v>
      </c>
      <c r="BR660" s="2">
        <f>VLOOKUP([jobnumber],OvalData[],MATCH(Table2[[#Headers],[Insolated Total Slats]],Table2[#Headers],0),0)</f>
        <v>45</v>
      </c>
      <c r="BS660" s="2">
        <f>VLOOKUP([jobnumber],OvalData[],MATCH(Table2[[#Headers],[Number of Slats]],Table2[#Headers],0),0)</f>
        <v>44.69</v>
      </c>
      <c r="BT660" s="2">
        <f>VLOOKUP([jobnumber],OvalData[],MATCH(Table2[[#Headers],[Wrap]],Table2[#Headers],0),0)</f>
        <v>0</v>
      </c>
      <c r="BU660" s="2">
        <f>VLOOKUP([jobnumber],OvalData[],MATCH(Table2[[#Headers],[Wall Angle Thickness]],Table2[#Headers],0),0)</f>
        <v>0</v>
      </c>
      <c r="BV660" s="2">
        <f>VLOOKUP([jobnumber],OvalData[],MATCH(Table2[[#Headers],[windlocks]],Table2[#Headers],0),0)</f>
        <v>0</v>
      </c>
      <c r="BW660" s="2" t="str">
        <f>VLOOKUP([jobnumber],OvalData[],MATCH(Table2[[#Headers],[bottombartype]],Table2[#Headers],0),0)</f>
        <v>SPECIAL</v>
      </c>
      <c r="BX660" s="2">
        <f>VLOOKUP([jobnumber],OvalData[],MATCH(Table2[[#Headers],[endlockweight]],Table2[#Headers],0),0)</f>
        <v>0.17</v>
      </c>
      <c r="BY660" s="2">
        <f>VLOOKUP([jobnumber],OvalData[],MATCH(Table2[[#Headers],[Endlock Total Weight]],Table2[#Headers],0),0)</f>
        <v>7.5972999999999997</v>
      </c>
      <c r="BZ660" s="2">
        <f>VLOOKUP([jobnumber],OvalData[],MATCH(Table2[[#Headers],[Grille Weight]],Table2[#Headers],0),0)</f>
        <v>0</v>
      </c>
      <c r="CA660" s="2">
        <f>VLOOKUP([jobnumber],OvalData[],MATCH(Table2[[#Headers],[barrelrings]],Table2[#Headers],0),0)</f>
        <v>1</v>
      </c>
    </row>
    <row r="661" spans="2:79">
      <c r="B661" s="2" t="str">
        <f>VLOOKUP([jobnumber],OvalData[],MATCH(Table2[[#Headers],[Hand]],Table2[#Headers],0),0)</f>
        <v>RH</v>
      </c>
      <c r="C661" s="2" t="str">
        <f>VLOOKUP([jobnumber],OvalData[],MATCH(Table2[[#Headers],[Model]],Table2[#Headers],0),0)</f>
        <v>SFMPP</v>
      </c>
      <c r="D661" s="2" t="str">
        <f>VLOOKUP([jobnumber],OvalData[],MATCH(Table2[[#Headers],[width]],Table2[#Headers],0),0)</f>
        <v xml:space="preserve"> 18 ft.- 2"</v>
      </c>
      <c r="E661" s="2" t="str">
        <f>VLOOKUP([jobnumber],OvalData[],MATCH(Table2[[#Headers],[stopheight]],Table2[#Headers],0),0)</f>
        <v xml:space="preserve"> 10 ft.- 0"</v>
      </c>
      <c r="F661" s="2" t="str">
        <f>VLOOKUP([jobnumber],OvalData[],MATCH(Table2[[#Headers],[Between Brackets]],Table2[#Headers],0),0)</f>
        <v xml:space="preserve"> 18 ft.- 7 7/ 8"</v>
      </c>
      <c r="G661" s="2" t="str">
        <f>VLOOKUP([jobnumber],OvalData[],MATCH(Table2[[#Headers],[shell]],Table2[#Headers],0),0)</f>
        <v>6 INCH TUBE</v>
      </c>
      <c r="H661" s="2" t="str">
        <f>VLOOKUP([jobnumber],OvalData[],MATCH(Table2[[#Headers],[pipewidth]],Table2[#Headers],0),0)</f>
        <v xml:space="preserve"> 18 ft.- 1 3/ 8"</v>
      </c>
      <c r="I661" s="2">
        <f>VLOOKUP([jobnumber],OvalData[],MATCH(Table2[[#Headers],[Support Tubes]],Table2[#Headers],0),0)</f>
        <v>0</v>
      </c>
      <c r="J661" s="2">
        <f>VLOOKUP([jobnumber],OvalData[],MATCH(Table2[[#Headers],[Upset]],Table2[#Headers],0),0)</f>
        <v>2</v>
      </c>
      <c r="K661" s="2" t="str">
        <f>VLOOKUP([jobnumber],OvalData[],MATCH(Table2[[#Headers],[Guide Type]],Table2[#Headers],0),0)</f>
        <v>SN2-4 5/8-E</v>
      </c>
      <c r="L661" s="2" t="str">
        <f>VLOOKUP([jobnumber],OvalData[],MATCH(Table2[[#Headers],[Wall Angle]],Table2[#Headers],0),0)</f>
        <v xml:space="preserve"> 11 ft.- 8"</v>
      </c>
      <c r="M661" s="2" t="str">
        <f>VLOOKUP([jobnumber],OvalData[],MATCH(Table2[[#Headers],[Middle Angle]],Table2[#Headers],0),0)</f>
        <v xml:space="preserve"> 10 ft.- 4 1/ 2"</v>
      </c>
      <c r="N661" s="2" t="str">
        <f>VLOOKUP([jobnumber],OvalData[],MATCH(Table2[[#Headers],[Front Angle]],Table2[#Headers],0),0)</f>
        <v xml:space="preserve"> 10 ft.- 3"</v>
      </c>
      <c r="O661" s="2">
        <f>VLOOKUP([jobnumber],OvalData[],MATCH(Table2[[#Headers],[Pipe Center Line]],Table2[#Headers],0),0)</f>
        <v>131</v>
      </c>
      <c r="P661" s="2">
        <f>VLOOKUP([jobnumber],OvalData[],MATCH(Table2[[#Headers],[Heat Expansion Gap]],Table2[#Headers],0),0)</f>
        <v>0</v>
      </c>
      <c r="Q661" s="2">
        <f>VLOOKUP([jobnumber],OvalData[],MATCH(Table2[[#Headers],[Hanging Weight Closed]],Table2[#Headers],0),0)</f>
        <v>795</v>
      </c>
      <c r="R661" s="2">
        <f>VLOOKUP([jobnumber],OvalData[],MATCH(Table2[[#Headers],[Hanging Weight Open]],Table2[#Headers],0),0)</f>
        <v>140</v>
      </c>
      <c r="S661" s="2">
        <f>VLOOKUP([jobnumber],OvalData[],MATCH(Table2[[#Headers],[Initial Lever Arm]],Table2[#Headers],0),0)</f>
        <v>4.25</v>
      </c>
      <c r="T661" s="2">
        <f>VLOOKUP([jobnumber],OvalData[],MATCH(Table2[[#Headers],[Turns to Raise]],Table2[#Headers],0),0)</f>
        <v>3.5859999999999999</v>
      </c>
      <c r="U661" s="2">
        <f>VLOOKUP([jobnumber],OvalData[],MATCH(Table2[[#Headers],[Final Lever Arm]],Table2[#Headers],0),0)</f>
        <v>6.37</v>
      </c>
      <c r="V661" s="2">
        <f>VLOOKUP([jobnumber],OvalData[],MATCH(Table2[[#Headers],[Torque Required Closed]],Table2[#Headers],0),0)</f>
        <v>3377.9</v>
      </c>
      <c r="W661" s="2">
        <f>VLOOKUP([jobnumber],OvalData[],MATCH(Table2[[#Headers],[Torque Required Open]],Table2[#Headers],0),0)</f>
        <v>892</v>
      </c>
      <c r="X661" s="2">
        <f>VLOOKUP([jobnumber],OvalData[],MATCH(Table2[[#Headers],[Pre Turns]],Table2[#Headers],0),0)</f>
        <v>1.3332999999999999</v>
      </c>
      <c r="Y661" s="2">
        <f>VLOOKUP([jobnumber],OvalData[],MATCH(Table2[[#Headers],[Required Torque Per Turn]],Table2[#Headers],0),0)</f>
        <v>688</v>
      </c>
      <c r="Z661" s="2">
        <f>VLOOKUP([jobnumber],OvalData[],MATCH(Table2[[#Headers],[Total Turns]],Table2[#Headers],0),0)</f>
        <v>4.91</v>
      </c>
      <c r="AA661" s="2">
        <f>VLOOKUP([jobnumber],OvalData[],MATCH(Table2[[#Headers],[Grille Vision Section]],Table2[#Headers],0),0)</f>
        <v>0</v>
      </c>
      <c r="AB661" s="2">
        <f>VLOOKUP([jobnumber],OvalData[],MATCH(Table2[[#Headers],[Grille Amount]],Table2[#Headers],0),0)</f>
        <v>0</v>
      </c>
      <c r="AC661" s="2">
        <f>VLOOKUP([jobnumber],OvalData[],MATCH(Table2[[#Headers],[Grille Center]],Table2[#Headers],0),0)</f>
        <v>0</v>
      </c>
      <c r="AD661" s="2">
        <f>VLOOKUP([jobnumber],OvalData[],MATCH(Table2[[#Headers],[Grille Pattern]],Table2[#Headers],0),0)</f>
        <v>0</v>
      </c>
      <c r="AE661" s="2">
        <f>VLOOKUP([jobnumber],OvalData[],MATCH(Table2[[#Headers],[Grille First Tube]],Table2[#Headers],0),0)</f>
        <v>0</v>
      </c>
      <c r="AF661" s="2">
        <f>VLOOKUP([jobnumber],OvalData[],MATCH(Table2[[#Headers],[Grille Standard Tube]],Table2[#Headers],0),0)</f>
        <v>0</v>
      </c>
      <c r="AG661" s="2">
        <f>VLOOKUP([jobnumber],OvalData[],MATCH(Table2[[#Headers],[Grille Total Links]],Table2[#Headers],0),0)</f>
        <v>0</v>
      </c>
      <c r="AH661" s="2">
        <f>VLOOKUP([jobnumber],OvalData[],MATCH(Table2[[#Headers],[Grille Rods]],Table2[#Headers],0),0)</f>
        <v>0</v>
      </c>
      <c r="AI661" s="2">
        <f>VLOOKUP([jobnumber],OvalData[],MATCH(Table2[[#Headers],[Grille Rod Length]],Table2[#Headers],0),0)</f>
        <v>0</v>
      </c>
      <c r="AJ661" s="2">
        <f>VLOOKUP([jobnumber],OvalData[],MATCH(Table2[[#Headers],[slattype]],Table2[#Headers],0),0)</f>
        <v>2</v>
      </c>
      <c r="AK661" s="2">
        <f>VLOOKUP([jobnumber],OvalData[],MATCH(Table2[[#Headers],[slatgage]],Table2[#Headers],0),0)</f>
        <v>18</v>
      </c>
      <c r="AL661" s="2">
        <f>VLOOKUP([jobnumber],OvalData[],MATCH(Table2[[#Headers],[Numer of Top Slats]],Table2[#Headers],0),0)</f>
        <v>0</v>
      </c>
      <c r="AM661" s="2">
        <f>VLOOKUP([jobnumber],OvalData[],MATCH(Table2[[#Headers],[Number of Bottom Slats]],Table2[#Headers],0),0)</f>
        <v>0</v>
      </c>
      <c r="AN661" s="2">
        <f>VLOOKUP([jobnumber],OvalData[],MATCH(Table2[[#Headers],[Solid Bottom Height]],Table2[#Headers],0),0)</f>
        <v>0</v>
      </c>
      <c r="AO661" s="2" t="str">
        <f>VLOOKUP([jobnumber],OvalData[],MATCH(Table2[[#Headers],[slatlength]],Table2[#Headers],0),0)</f>
        <v xml:space="preserve"> 18 ft.- 5 7/ 8"</v>
      </c>
      <c r="AP661" s="2">
        <f>VLOOKUP([jobnumber],OvalData[],MATCH(Table2[[#Headers],[Bottom Slat Length]],Table2[#Headers],0),0)</f>
        <v>0</v>
      </c>
      <c r="AQ661" s="2">
        <f>VLOOKUP([jobnumber],OvalData[],MATCH(Table2[[#Headers],[Number of Perferated Slats]],Table2[#Headers],0),0)</f>
        <v>0</v>
      </c>
      <c r="AR661" s="2">
        <f>VLOOKUP([jobnumber],OvalData[],MATCH(Table2[[#Headers],[First Preferated Slat From End]],Table2[#Headers],0),0)</f>
        <v>0</v>
      </c>
      <c r="AS661" s="2">
        <f>VLOOKUP([jobnumber],OvalData[],MATCH(Table2[[#Headers],[First Preferated Slat From Bottom]],Table2[#Headers],0),0)</f>
        <v>0</v>
      </c>
      <c r="AT661" s="2">
        <f>VLOOKUP([jobnumber],OvalData[],MATCH(Table2[[#Headers],[Total Number of Slats]],Table2[#Headers],0),0)</f>
        <v>51</v>
      </c>
      <c r="AU661" s="2">
        <f>VLOOKUP([jobnumber],OvalData[],MATCH(Table2[[#Headers],[Bottom Bar Slope]],Table2[#Headers],0),0)</f>
        <v>0</v>
      </c>
      <c r="AV661" s="2">
        <f>VLOOKUP([jobnumber],OvalData[],MATCH(Table2[[#Headers],[Bottom Bar Weight]],Table2[#Headers],0),0)</f>
        <v>80.5</v>
      </c>
      <c r="AW661" s="2" t="str">
        <f>VLOOKUP([jobnumber],OvalData[],MATCH(Table2[[#Headers],[Outer Spring Gage]],Table2[#Headers],0),0)</f>
        <v>Null</v>
      </c>
      <c r="AX661" s="2" t="str">
        <f>VLOOKUP([jobnumber],OvalData[],MATCH(Table2[[#Headers],[Outer Spring OD]],Table2[#Headers],0),0)</f>
        <v>Null</v>
      </c>
      <c r="AY661" s="2" t="str">
        <f>VLOOKUP([jobnumber],OvalData[],MATCH(Table2[[#Headers],[Outer Spring Length]],Table2[#Headers],0),0)</f>
        <v>Null</v>
      </c>
      <c r="AZ661" s="2" t="str">
        <f>VLOOKUP([jobnumber],OvalData[],MATCH(Table2[[#Headers],[Outer Spring Stretch]],Table2[#Headers],0),0)</f>
        <v>Null</v>
      </c>
      <c r="BA661" s="2" t="str">
        <f>VLOOKUP([jobnumber],OvalData[],MATCH(Table2[[#Headers],[Outer Spring Torque]],Table2[#Headers],0),0)</f>
        <v>Null</v>
      </c>
      <c r="BB661" s="2" t="str">
        <f>VLOOKUP([jobnumber],OvalData[],MATCH(Table2[[#Headers],[Outer Spring Max Turns]],Table2[#Headers],0),0)</f>
        <v>Null</v>
      </c>
      <c r="BC661" s="2" t="str">
        <f>VLOOKUP([jobnumber],OvalData[],MATCH(Table2[[#Headers],[Outer Spring Weight]],Table2[#Headers],0),0)</f>
        <v>Null</v>
      </c>
      <c r="BD661" s="2" t="str">
        <f>VLOOKUP([jobnumber],OvalData[],MATCH(Table2[[#Headers],[Inner Spring Gage]],Table2[#Headers],0),0)</f>
        <v>Null</v>
      </c>
      <c r="BE661" s="2" t="str">
        <f>VLOOKUP([jobnumber],OvalData[],MATCH(Table2[[#Headers],[Inner Spring OD]],Table2[#Headers],0),0)</f>
        <v>Null</v>
      </c>
      <c r="BF661" s="2" t="str">
        <f>VLOOKUP([jobnumber],OvalData[],MATCH(Table2[[#Headers],[Inner Spring Length]],Table2[#Headers],0),0)</f>
        <v>Null</v>
      </c>
      <c r="BG661" s="2" t="str">
        <f>VLOOKUP([jobnumber],OvalData[],MATCH(Table2[[#Headers],[Inner Spring Stretch]],Table2[#Headers],0),0)</f>
        <v>Null</v>
      </c>
      <c r="BH661" s="2" t="str">
        <f>VLOOKUP([jobnumber],OvalData[],MATCH(Table2[[#Headers],[Inner Spring Torque]],Table2[#Headers],0),0)</f>
        <v>Null</v>
      </c>
      <c r="BI661" s="2" t="str">
        <f>VLOOKUP([jobnumber],OvalData[],MATCH(Table2[[#Headers],[Inner Spring Max Turns]],Table2[#Headers],0),0)</f>
        <v>Null</v>
      </c>
      <c r="BJ661" s="2" t="str">
        <f>VLOOKUP([jobnumber],OvalData[],MATCH(Table2[[#Headers],[Inner Spring Weight]],Table2[#Headers],0),0)</f>
        <v>Null</v>
      </c>
      <c r="BK661" s="2">
        <f>VLOOKUP([jobnumber],OvalData[],MATCH(Table2[[#Headers],[Cycles]],Table2[#Headers],0),0)</f>
        <v>0</v>
      </c>
      <c r="BL661" s="2">
        <f>VLOOKUP([jobnumber],OvalData[],MATCH(Table2[[#Headers],[Total Spring Torque]],Table2[#Headers],0),0)</f>
        <v>0</v>
      </c>
      <c r="BM661" s="2">
        <f>VLOOKUP([jobnumber],OvalData[],MATCH(Table2[[#Headers],[Total Spring Weight]],Table2[#Headers],0),0)</f>
        <v>0</v>
      </c>
      <c r="BN661" s="2">
        <f>VLOOKUP([jobnumber],OvalData[],MATCH(Table2[[#Headers],[Pipe Weight]],Table2[#Headers],0),0)</f>
        <v>688.24239999999998</v>
      </c>
      <c r="BO661" s="2">
        <f>VLOOKUP([jobnumber],OvalData[],MATCH(Table2[[#Headers],[Max Pipe Deflection]],Table2[#Headers],0),0)</f>
        <v>2309</v>
      </c>
      <c r="BP661" s="2">
        <f>VLOOKUP([jobnumber],OvalData[],MATCH(Table2[[#Headers],[Number Non-Insulated Wrap Slats]],Table2[#Headers],0),0)</f>
        <v>0</v>
      </c>
      <c r="BQ661" s="2">
        <f>VLOOKUP([jobnumber],OvalData[],MATCH(Table2[[#Headers],[Number of Insolated Top Slats]],Table2[#Headers],0),0)</f>
        <v>45</v>
      </c>
      <c r="BR661" s="2">
        <f>VLOOKUP([jobnumber],OvalData[],MATCH(Table2[[#Headers],[Insolated Total Slats]],Table2[#Headers],0),0)</f>
        <v>45</v>
      </c>
      <c r="BS661" s="2">
        <f>VLOOKUP([jobnumber],OvalData[],MATCH(Table2[[#Headers],[Number of Slats]],Table2[#Headers],0),0)</f>
        <v>44.69</v>
      </c>
      <c r="BT661" s="2">
        <f>VLOOKUP([jobnumber],OvalData[],MATCH(Table2[[#Headers],[Wrap]],Table2[#Headers],0),0)</f>
        <v>0</v>
      </c>
      <c r="BU661" s="2">
        <f>VLOOKUP([jobnumber],OvalData[],MATCH(Table2[[#Headers],[Wall Angle Thickness]],Table2[#Headers],0),0)</f>
        <v>0</v>
      </c>
      <c r="BV661" s="2">
        <f>VLOOKUP([jobnumber],OvalData[],MATCH(Table2[[#Headers],[windlocks]],Table2[#Headers],0),0)</f>
        <v>0</v>
      </c>
      <c r="BW661" s="2" t="str">
        <f>VLOOKUP([jobnumber],OvalData[],MATCH(Table2[[#Headers],[bottombartype]],Table2[#Headers],0),0)</f>
        <v>SPECIAL</v>
      </c>
      <c r="BX661" s="2">
        <f>VLOOKUP([jobnumber],OvalData[],MATCH(Table2[[#Headers],[endlockweight]],Table2[#Headers],0),0)</f>
        <v>0.17</v>
      </c>
      <c r="BY661" s="2">
        <f>VLOOKUP([jobnumber],OvalData[],MATCH(Table2[[#Headers],[Endlock Total Weight]],Table2[#Headers],0),0)</f>
        <v>7.5972999999999997</v>
      </c>
      <c r="BZ661" s="2">
        <f>VLOOKUP([jobnumber],OvalData[],MATCH(Table2[[#Headers],[Grille Weight]],Table2[#Headers],0),0)</f>
        <v>0</v>
      </c>
      <c r="CA661" s="2">
        <f>VLOOKUP([jobnumber],OvalData[],MATCH(Table2[[#Headers],[barrelrings]],Table2[#Headers],0),0)</f>
        <v>1</v>
      </c>
    </row>
    <row r="662" spans="2:79">
      <c r="B662" s="2" t="str">
        <f>VLOOKUP([jobnumber],OvalData[],MATCH(Table2[[#Headers],[Hand]],Table2[#Headers],0),0)</f>
        <v>RH</v>
      </c>
      <c r="C662" s="2" t="str">
        <f>VLOOKUP([jobnumber],OvalData[],MATCH(Table2[[#Headers],[Model]],Table2[#Headers],0),0)</f>
        <v>SFMPP</v>
      </c>
      <c r="D662" s="2" t="str">
        <f>VLOOKUP([jobnumber],OvalData[],MATCH(Table2[[#Headers],[width]],Table2[#Headers],0),0)</f>
        <v xml:space="preserve"> 18 ft.- 2"</v>
      </c>
      <c r="E662" s="2" t="str">
        <f>VLOOKUP([jobnumber],OvalData[],MATCH(Table2[[#Headers],[stopheight]],Table2[#Headers],0),0)</f>
        <v xml:space="preserve"> 10 ft.- 0"</v>
      </c>
      <c r="F662" s="2" t="str">
        <f>VLOOKUP([jobnumber],OvalData[],MATCH(Table2[[#Headers],[Between Brackets]],Table2[#Headers],0),0)</f>
        <v xml:space="preserve"> 18 ft.- 7 7/ 8"</v>
      </c>
      <c r="G662" s="2" t="str">
        <f>VLOOKUP([jobnumber],OvalData[],MATCH(Table2[[#Headers],[shell]],Table2[#Headers],0),0)</f>
        <v>6 INCH TUBE</v>
      </c>
      <c r="H662" s="2" t="str">
        <f>VLOOKUP([jobnumber],OvalData[],MATCH(Table2[[#Headers],[pipewidth]],Table2[#Headers],0),0)</f>
        <v xml:space="preserve"> 18 ft.- 1 3/ 8"</v>
      </c>
      <c r="I662" s="2">
        <f>VLOOKUP([jobnumber],OvalData[],MATCH(Table2[[#Headers],[Support Tubes]],Table2[#Headers],0),0)</f>
        <v>0</v>
      </c>
      <c r="J662" s="2">
        <f>VLOOKUP([jobnumber],OvalData[],MATCH(Table2[[#Headers],[Upset]],Table2[#Headers],0),0)</f>
        <v>2</v>
      </c>
      <c r="K662" s="2" t="str">
        <f>VLOOKUP([jobnumber],OvalData[],MATCH(Table2[[#Headers],[Guide Type]],Table2[#Headers],0),0)</f>
        <v>SN2-4 5/8-E</v>
      </c>
      <c r="L662" s="2" t="str">
        <f>VLOOKUP([jobnumber],OvalData[],MATCH(Table2[[#Headers],[Wall Angle]],Table2[#Headers],0),0)</f>
        <v xml:space="preserve"> 11 ft.- 8"</v>
      </c>
      <c r="M662" s="2" t="str">
        <f>VLOOKUP([jobnumber],OvalData[],MATCH(Table2[[#Headers],[Middle Angle]],Table2[#Headers],0),0)</f>
        <v xml:space="preserve"> 10 ft.- 4 1/ 2"</v>
      </c>
      <c r="N662" s="2" t="str">
        <f>VLOOKUP([jobnumber],OvalData[],MATCH(Table2[[#Headers],[Front Angle]],Table2[#Headers],0),0)</f>
        <v xml:space="preserve"> 10 ft.- 3"</v>
      </c>
      <c r="O662" s="2">
        <f>VLOOKUP([jobnumber],OvalData[],MATCH(Table2[[#Headers],[Pipe Center Line]],Table2[#Headers],0),0)</f>
        <v>131</v>
      </c>
      <c r="P662" s="2">
        <f>VLOOKUP([jobnumber],OvalData[],MATCH(Table2[[#Headers],[Heat Expansion Gap]],Table2[#Headers],0),0)</f>
        <v>0</v>
      </c>
      <c r="Q662" s="2">
        <f>VLOOKUP([jobnumber],OvalData[],MATCH(Table2[[#Headers],[Hanging Weight Closed]],Table2[#Headers],0),0)</f>
        <v>795</v>
      </c>
      <c r="R662" s="2">
        <f>VLOOKUP([jobnumber],OvalData[],MATCH(Table2[[#Headers],[Hanging Weight Open]],Table2[#Headers],0),0)</f>
        <v>140</v>
      </c>
      <c r="S662" s="2">
        <f>VLOOKUP([jobnumber],OvalData[],MATCH(Table2[[#Headers],[Initial Lever Arm]],Table2[#Headers],0),0)</f>
        <v>4.25</v>
      </c>
      <c r="T662" s="2">
        <f>VLOOKUP([jobnumber],OvalData[],MATCH(Table2[[#Headers],[Turns to Raise]],Table2[#Headers],0),0)</f>
        <v>3.5859999999999999</v>
      </c>
      <c r="U662" s="2">
        <f>VLOOKUP([jobnumber],OvalData[],MATCH(Table2[[#Headers],[Final Lever Arm]],Table2[#Headers],0),0)</f>
        <v>6.37</v>
      </c>
      <c r="V662" s="2">
        <f>VLOOKUP([jobnumber],OvalData[],MATCH(Table2[[#Headers],[Torque Required Closed]],Table2[#Headers],0),0)</f>
        <v>3377.9</v>
      </c>
      <c r="W662" s="2">
        <f>VLOOKUP([jobnumber],OvalData[],MATCH(Table2[[#Headers],[Torque Required Open]],Table2[#Headers],0),0)</f>
        <v>892</v>
      </c>
      <c r="X662" s="2">
        <f>VLOOKUP([jobnumber],OvalData[],MATCH(Table2[[#Headers],[Pre Turns]],Table2[#Headers],0),0)</f>
        <v>1.3332999999999999</v>
      </c>
      <c r="Y662" s="2">
        <f>VLOOKUP([jobnumber],OvalData[],MATCH(Table2[[#Headers],[Required Torque Per Turn]],Table2[#Headers],0),0)</f>
        <v>688</v>
      </c>
      <c r="Z662" s="2">
        <f>VLOOKUP([jobnumber],OvalData[],MATCH(Table2[[#Headers],[Total Turns]],Table2[#Headers],0),0)</f>
        <v>4.91</v>
      </c>
      <c r="AA662" s="2">
        <f>VLOOKUP([jobnumber],OvalData[],MATCH(Table2[[#Headers],[Grille Vision Section]],Table2[#Headers],0),0)</f>
        <v>0</v>
      </c>
      <c r="AB662" s="2">
        <f>VLOOKUP([jobnumber],OvalData[],MATCH(Table2[[#Headers],[Grille Amount]],Table2[#Headers],0),0)</f>
        <v>0</v>
      </c>
      <c r="AC662" s="2">
        <f>VLOOKUP([jobnumber],OvalData[],MATCH(Table2[[#Headers],[Grille Center]],Table2[#Headers],0),0)</f>
        <v>0</v>
      </c>
      <c r="AD662" s="2">
        <f>VLOOKUP([jobnumber],OvalData[],MATCH(Table2[[#Headers],[Grille Pattern]],Table2[#Headers],0),0)</f>
        <v>0</v>
      </c>
      <c r="AE662" s="2">
        <f>VLOOKUP([jobnumber],OvalData[],MATCH(Table2[[#Headers],[Grille First Tube]],Table2[#Headers],0),0)</f>
        <v>0</v>
      </c>
      <c r="AF662" s="2">
        <f>VLOOKUP([jobnumber],OvalData[],MATCH(Table2[[#Headers],[Grille Standard Tube]],Table2[#Headers],0),0)</f>
        <v>0</v>
      </c>
      <c r="AG662" s="2">
        <f>VLOOKUP([jobnumber],OvalData[],MATCH(Table2[[#Headers],[Grille Total Links]],Table2[#Headers],0),0)</f>
        <v>0</v>
      </c>
      <c r="AH662" s="2">
        <f>VLOOKUP([jobnumber],OvalData[],MATCH(Table2[[#Headers],[Grille Rods]],Table2[#Headers],0),0)</f>
        <v>0</v>
      </c>
      <c r="AI662" s="2">
        <f>VLOOKUP([jobnumber],OvalData[],MATCH(Table2[[#Headers],[Grille Rod Length]],Table2[#Headers],0),0)</f>
        <v>0</v>
      </c>
      <c r="AJ662" s="2">
        <f>VLOOKUP([jobnumber],OvalData[],MATCH(Table2[[#Headers],[slattype]],Table2[#Headers],0),0)</f>
        <v>2</v>
      </c>
      <c r="AK662" s="2">
        <f>VLOOKUP([jobnumber],OvalData[],MATCH(Table2[[#Headers],[slatgage]],Table2[#Headers],0),0)</f>
        <v>18</v>
      </c>
      <c r="AL662" s="2">
        <f>VLOOKUP([jobnumber],OvalData[],MATCH(Table2[[#Headers],[Numer of Top Slats]],Table2[#Headers],0),0)</f>
        <v>0</v>
      </c>
      <c r="AM662" s="2">
        <f>VLOOKUP([jobnumber],OvalData[],MATCH(Table2[[#Headers],[Number of Bottom Slats]],Table2[#Headers],0),0)</f>
        <v>0</v>
      </c>
      <c r="AN662" s="2">
        <f>VLOOKUP([jobnumber],OvalData[],MATCH(Table2[[#Headers],[Solid Bottom Height]],Table2[#Headers],0),0)</f>
        <v>0</v>
      </c>
      <c r="AO662" s="2" t="str">
        <f>VLOOKUP([jobnumber],OvalData[],MATCH(Table2[[#Headers],[slatlength]],Table2[#Headers],0),0)</f>
        <v xml:space="preserve"> 18 ft.- 5 7/ 8"</v>
      </c>
      <c r="AP662" s="2">
        <f>VLOOKUP([jobnumber],OvalData[],MATCH(Table2[[#Headers],[Bottom Slat Length]],Table2[#Headers],0),0)</f>
        <v>0</v>
      </c>
      <c r="AQ662" s="2">
        <f>VLOOKUP([jobnumber],OvalData[],MATCH(Table2[[#Headers],[Number of Perferated Slats]],Table2[#Headers],0),0)</f>
        <v>0</v>
      </c>
      <c r="AR662" s="2">
        <f>VLOOKUP([jobnumber],OvalData[],MATCH(Table2[[#Headers],[First Preferated Slat From End]],Table2[#Headers],0),0)</f>
        <v>0</v>
      </c>
      <c r="AS662" s="2">
        <f>VLOOKUP([jobnumber],OvalData[],MATCH(Table2[[#Headers],[First Preferated Slat From Bottom]],Table2[#Headers],0),0)</f>
        <v>0</v>
      </c>
      <c r="AT662" s="2">
        <f>VLOOKUP([jobnumber],OvalData[],MATCH(Table2[[#Headers],[Total Number of Slats]],Table2[#Headers],0),0)</f>
        <v>51</v>
      </c>
      <c r="AU662" s="2">
        <f>VLOOKUP([jobnumber],OvalData[],MATCH(Table2[[#Headers],[Bottom Bar Slope]],Table2[#Headers],0),0)</f>
        <v>0</v>
      </c>
      <c r="AV662" s="2">
        <f>VLOOKUP([jobnumber],OvalData[],MATCH(Table2[[#Headers],[Bottom Bar Weight]],Table2[#Headers],0),0)</f>
        <v>80.5</v>
      </c>
      <c r="AW662" s="2" t="str">
        <f>VLOOKUP([jobnumber],OvalData[],MATCH(Table2[[#Headers],[Outer Spring Gage]],Table2[#Headers],0),0)</f>
        <v>Null</v>
      </c>
      <c r="AX662" s="2" t="str">
        <f>VLOOKUP([jobnumber],OvalData[],MATCH(Table2[[#Headers],[Outer Spring OD]],Table2[#Headers],0),0)</f>
        <v>Null</v>
      </c>
      <c r="AY662" s="2" t="str">
        <f>VLOOKUP([jobnumber],OvalData[],MATCH(Table2[[#Headers],[Outer Spring Length]],Table2[#Headers],0),0)</f>
        <v>Null</v>
      </c>
      <c r="AZ662" s="2" t="str">
        <f>VLOOKUP([jobnumber],OvalData[],MATCH(Table2[[#Headers],[Outer Spring Stretch]],Table2[#Headers],0),0)</f>
        <v>Null</v>
      </c>
      <c r="BA662" s="2" t="str">
        <f>VLOOKUP([jobnumber],OvalData[],MATCH(Table2[[#Headers],[Outer Spring Torque]],Table2[#Headers],0),0)</f>
        <v>Null</v>
      </c>
      <c r="BB662" s="2" t="str">
        <f>VLOOKUP([jobnumber],OvalData[],MATCH(Table2[[#Headers],[Outer Spring Max Turns]],Table2[#Headers],0),0)</f>
        <v>Null</v>
      </c>
      <c r="BC662" s="2" t="str">
        <f>VLOOKUP([jobnumber],OvalData[],MATCH(Table2[[#Headers],[Outer Spring Weight]],Table2[#Headers],0),0)</f>
        <v>Null</v>
      </c>
      <c r="BD662" s="2" t="str">
        <f>VLOOKUP([jobnumber],OvalData[],MATCH(Table2[[#Headers],[Inner Spring Gage]],Table2[#Headers],0),0)</f>
        <v>Null</v>
      </c>
      <c r="BE662" s="2" t="str">
        <f>VLOOKUP([jobnumber],OvalData[],MATCH(Table2[[#Headers],[Inner Spring OD]],Table2[#Headers],0),0)</f>
        <v>Null</v>
      </c>
      <c r="BF662" s="2" t="str">
        <f>VLOOKUP([jobnumber],OvalData[],MATCH(Table2[[#Headers],[Inner Spring Length]],Table2[#Headers],0),0)</f>
        <v>Null</v>
      </c>
      <c r="BG662" s="2" t="str">
        <f>VLOOKUP([jobnumber],OvalData[],MATCH(Table2[[#Headers],[Inner Spring Stretch]],Table2[#Headers],0),0)</f>
        <v>Null</v>
      </c>
      <c r="BH662" s="2" t="str">
        <f>VLOOKUP([jobnumber],OvalData[],MATCH(Table2[[#Headers],[Inner Spring Torque]],Table2[#Headers],0),0)</f>
        <v>Null</v>
      </c>
      <c r="BI662" s="2" t="str">
        <f>VLOOKUP([jobnumber],OvalData[],MATCH(Table2[[#Headers],[Inner Spring Max Turns]],Table2[#Headers],0),0)</f>
        <v>Null</v>
      </c>
      <c r="BJ662" s="2" t="str">
        <f>VLOOKUP([jobnumber],OvalData[],MATCH(Table2[[#Headers],[Inner Spring Weight]],Table2[#Headers],0),0)</f>
        <v>Null</v>
      </c>
      <c r="BK662" s="2">
        <f>VLOOKUP([jobnumber],OvalData[],MATCH(Table2[[#Headers],[Cycles]],Table2[#Headers],0),0)</f>
        <v>0</v>
      </c>
      <c r="BL662" s="2">
        <f>VLOOKUP([jobnumber],OvalData[],MATCH(Table2[[#Headers],[Total Spring Torque]],Table2[#Headers],0),0)</f>
        <v>0</v>
      </c>
      <c r="BM662" s="2">
        <f>VLOOKUP([jobnumber],OvalData[],MATCH(Table2[[#Headers],[Total Spring Weight]],Table2[#Headers],0),0)</f>
        <v>0</v>
      </c>
      <c r="BN662" s="2">
        <f>VLOOKUP([jobnumber],OvalData[],MATCH(Table2[[#Headers],[Pipe Weight]],Table2[#Headers],0),0)</f>
        <v>688.24239999999998</v>
      </c>
      <c r="BO662" s="2">
        <f>VLOOKUP([jobnumber],OvalData[],MATCH(Table2[[#Headers],[Max Pipe Deflection]],Table2[#Headers],0),0)</f>
        <v>2309</v>
      </c>
      <c r="BP662" s="2">
        <f>VLOOKUP([jobnumber],OvalData[],MATCH(Table2[[#Headers],[Number Non-Insulated Wrap Slats]],Table2[#Headers],0),0)</f>
        <v>0</v>
      </c>
      <c r="BQ662" s="2">
        <f>VLOOKUP([jobnumber],OvalData[],MATCH(Table2[[#Headers],[Number of Insolated Top Slats]],Table2[#Headers],0),0)</f>
        <v>45</v>
      </c>
      <c r="BR662" s="2">
        <f>VLOOKUP([jobnumber],OvalData[],MATCH(Table2[[#Headers],[Insolated Total Slats]],Table2[#Headers],0),0)</f>
        <v>45</v>
      </c>
      <c r="BS662" s="2">
        <f>VLOOKUP([jobnumber],OvalData[],MATCH(Table2[[#Headers],[Number of Slats]],Table2[#Headers],0),0)</f>
        <v>44.69</v>
      </c>
      <c r="BT662" s="2">
        <f>VLOOKUP([jobnumber],OvalData[],MATCH(Table2[[#Headers],[Wrap]],Table2[#Headers],0),0)</f>
        <v>0</v>
      </c>
      <c r="BU662" s="2">
        <f>VLOOKUP([jobnumber],OvalData[],MATCH(Table2[[#Headers],[Wall Angle Thickness]],Table2[#Headers],0),0)</f>
        <v>0</v>
      </c>
      <c r="BV662" s="2">
        <f>VLOOKUP([jobnumber],OvalData[],MATCH(Table2[[#Headers],[windlocks]],Table2[#Headers],0),0)</f>
        <v>0</v>
      </c>
      <c r="BW662" s="2" t="str">
        <f>VLOOKUP([jobnumber],OvalData[],MATCH(Table2[[#Headers],[bottombartype]],Table2[#Headers],0),0)</f>
        <v>SPECIAL</v>
      </c>
      <c r="BX662" s="2">
        <f>VLOOKUP([jobnumber],OvalData[],MATCH(Table2[[#Headers],[endlockweight]],Table2[#Headers],0),0)</f>
        <v>0.17</v>
      </c>
      <c r="BY662" s="2">
        <f>VLOOKUP([jobnumber],OvalData[],MATCH(Table2[[#Headers],[Endlock Total Weight]],Table2[#Headers],0),0)</f>
        <v>7.5972999999999997</v>
      </c>
      <c r="BZ662" s="2">
        <f>VLOOKUP([jobnumber],OvalData[],MATCH(Table2[[#Headers],[Grille Weight]],Table2[#Headers],0),0)</f>
        <v>0</v>
      </c>
      <c r="CA662" s="2">
        <f>VLOOKUP([jobnumber],OvalData[],MATCH(Table2[[#Headers],[barrelrings]],Table2[#Headers],0),0)</f>
        <v>1</v>
      </c>
    </row>
    <row r="663" spans="2:79">
      <c r="B663" s="2" t="str">
        <f>VLOOKUP([jobnumber],OvalData[],MATCH(Table2[[#Headers],[Hand]],Table2[#Headers],0),0)</f>
        <v>RH</v>
      </c>
      <c r="C663" s="2" t="str">
        <f>VLOOKUP([jobnumber],OvalData[],MATCH(Table2[[#Headers],[Model]],Table2[#Headers],0),0)</f>
        <v>SFMPP</v>
      </c>
      <c r="D663" s="2" t="str">
        <f>VLOOKUP([jobnumber],OvalData[],MATCH(Table2[[#Headers],[width]],Table2[#Headers],0),0)</f>
        <v xml:space="preserve"> 18 ft.- 2"</v>
      </c>
      <c r="E663" s="2" t="str">
        <f>VLOOKUP([jobnumber],OvalData[],MATCH(Table2[[#Headers],[stopheight]],Table2[#Headers],0),0)</f>
        <v xml:space="preserve"> 10 ft.- 0"</v>
      </c>
      <c r="F663" s="2" t="str">
        <f>VLOOKUP([jobnumber],OvalData[],MATCH(Table2[[#Headers],[Between Brackets]],Table2[#Headers],0),0)</f>
        <v xml:space="preserve"> 18 ft.- 7 7/ 8"</v>
      </c>
      <c r="G663" s="2" t="str">
        <f>VLOOKUP([jobnumber],OvalData[],MATCH(Table2[[#Headers],[shell]],Table2[#Headers],0),0)</f>
        <v>6 INCH TUBE</v>
      </c>
      <c r="H663" s="2" t="str">
        <f>VLOOKUP([jobnumber],OvalData[],MATCH(Table2[[#Headers],[pipewidth]],Table2[#Headers],0),0)</f>
        <v xml:space="preserve"> 18 ft.- 1 3/ 8"</v>
      </c>
      <c r="I663" s="2">
        <f>VLOOKUP([jobnumber],OvalData[],MATCH(Table2[[#Headers],[Support Tubes]],Table2[#Headers],0),0)</f>
        <v>0</v>
      </c>
      <c r="J663" s="2">
        <f>VLOOKUP([jobnumber],OvalData[],MATCH(Table2[[#Headers],[Upset]],Table2[#Headers],0),0)</f>
        <v>2</v>
      </c>
      <c r="K663" s="2" t="str">
        <f>VLOOKUP([jobnumber],OvalData[],MATCH(Table2[[#Headers],[Guide Type]],Table2[#Headers],0),0)</f>
        <v>SN2-4 5/8-E</v>
      </c>
      <c r="L663" s="2" t="str">
        <f>VLOOKUP([jobnumber],OvalData[],MATCH(Table2[[#Headers],[Wall Angle]],Table2[#Headers],0),0)</f>
        <v xml:space="preserve"> 11 ft.- 8"</v>
      </c>
      <c r="M663" s="2" t="str">
        <f>VLOOKUP([jobnumber],OvalData[],MATCH(Table2[[#Headers],[Middle Angle]],Table2[#Headers],0),0)</f>
        <v xml:space="preserve"> 10 ft.- 4 1/ 2"</v>
      </c>
      <c r="N663" s="2" t="str">
        <f>VLOOKUP([jobnumber],OvalData[],MATCH(Table2[[#Headers],[Front Angle]],Table2[#Headers],0),0)</f>
        <v xml:space="preserve"> 10 ft.- 3"</v>
      </c>
      <c r="O663" s="2">
        <f>VLOOKUP([jobnumber],OvalData[],MATCH(Table2[[#Headers],[Pipe Center Line]],Table2[#Headers],0),0)</f>
        <v>131</v>
      </c>
      <c r="P663" s="2">
        <f>VLOOKUP([jobnumber],OvalData[],MATCH(Table2[[#Headers],[Heat Expansion Gap]],Table2[#Headers],0),0)</f>
        <v>0</v>
      </c>
      <c r="Q663" s="2">
        <f>VLOOKUP([jobnumber],OvalData[],MATCH(Table2[[#Headers],[Hanging Weight Closed]],Table2[#Headers],0),0)</f>
        <v>795</v>
      </c>
      <c r="R663" s="2">
        <f>VLOOKUP([jobnumber],OvalData[],MATCH(Table2[[#Headers],[Hanging Weight Open]],Table2[#Headers],0),0)</f>
        <v>140</v>
      </c>
      <c r="S663" s="2">
        <f>VLOOKUP([jobnumber],OvalData[],MATCH(Table2[[#Headers],[Initial Lever Arm]],Table2[#Headers],0),0)</f>
        <v>4.25</v>
      </c>
      <c r="T663" s="2">
        <f>VLOOKUP([jobnumber],OvalData[],MATCH(Table2[[#Headers],[Turns to Raise]],Table2[#Headers],0),0)</f>
        <v>3.5859999999999999</v>
      </c>
      <c r="U663" s="2">
        <f>VLOOKUP([jobnumber],OvalData[],MATCH(Table2[[#Headers],[Final Lever Arm]],Table2[#Headers],0),0)</f>
        <v>6.37</v>
      </c>
      <c r="V663" s="2">
        <f>VLOOKUP([jobnumber],OvalData[],MATCH(Table2[[#Headers],[Torque Required Closed]],Table2[#Headers],0),0)</f>
        <v>3377.9</v>
      </c>
      <c r="W663" s="2">
        <f>VLOOKUP([jobnumber],OvalData[],MATCH(Table2[[#Headers],[Torque Required Open]],Table2[#Headers],0),0)</f>
        <v>892</v>
      </c>
      <c r="X663" s="2">
        <f>VLOOKUP([jobnumber],OvalData[],MATCH(Table2[[#Headers],[Pre Turns]],Table2[#Headers],0),0)</f>
        <v>1.3332999999999999</v>
      </c>
      <c r="Y663" s="2">
        <f>VLOOKUP([jobnumber],OvalData[],MATCH(Table2[[#Headers],[Required Torque Per Turn]],Table2[#Headers],0),0)</f>
        <v>688</v>
      </c>
      <c r="Z663" s="2">
        <f>VLOOKUP([jobnumber],OvalData[],MATCH(Table2[[#Headers],[Total Turns]],Table2[#Headers],0),0)</f>
        <v>4.91</v>
      </c>
      <c r="AA663" s="2">
        <f>VLOOKUP([jobnumber],OvalData[],MATCH(Table2[[#Headers],[Grille Vision Section]],Table2[#Headers],0),0)</f>
        <v>0</v>
      </c>
      <c r="AB663" s="2">
        <f>VLOOKUP([jobnumber],OvalData[],MATCH(Table2[[#Headers],[Grille Amount]],Table2[#Headers],0),0)</f>
        <v>0</v>
      </c>
      <c r="AC663" s="2">
        <f>VLOOKUP([jobnumber],OvalData[],MATCH(Table2[[#Headers],[Grille Center]],Table2[#Headers],0),0)</f>
        <v>0</v>
      </c>
      <c r="AD663" s="2">
        <f>VLOOKUP([jobnumber],OvalData[],MATCH(Table2[[#Headers],[Grille Pattern]],Table2[#Headers],0),0)</f>
        <v>0</v>
      </c>
      <c r="AE663" s="2">
        <f>VLOOKUP([jobnumber],OvalData[],MATCH(Table2[[#Headers],[Grille First Tube]],Table2[#Headers],0),0)</f>
        <v>0</v>
      </c>
      <c r="AF663" s="2">
        <f>VLOOKUP([jobnumber],OvalData[],MATCH(Table2[[#Headers],[Grille Standard Tube]],Table2[#Headers],0),0)</f>
        <v>0</v>
      </c>
      <c r="AG663" s="2">
        <f>VLOOKUP([jobnumber],OvalData[],MATCH(Table2[[#Headers],[Grille Total Links]],Table2[#Headers],0),0)</f>
        <v>0</v>
      </c>
      <c r="AH663" s="2">
        <f>VLOOKUP([jobnumber],OvalData[],MATCH(Table2[[#Headers],[Grille Rods]],Table2[#Headers],0),0)</f>
        <v>0</v>
      </c>
      <c r="AI663" s="2">
        <f>VLOOKUP([jobnumber],OvalData[],MATCH(Table2[[#Headers],[Grille Rod Length]],Table2[#Headers],0),0)</f>
        <v>0</v>
      </c>
      <c r="AJ663" s="2">
        <f>VLOOKUP([jobnumber],OvalData[],MATCH(Table2[[#Headers],[slattype]],Table2[#Headers],0),0)</f>
        <v>2</v>
      </c>
      <c r="AK663" s="2">
        <f>VLOOKUP([jobnumber],OvalData[],MATCH(Table2[[#Headers],[slatgage]],Table2[#Headers],0),0)</f>
        <v>18</v>
      </c>
      <c r="AL663" s="2">
        <f>VLOOKUP([jobnumber],OvalData[],MATCH(Table2[[#Headers],[Numer of Top Slats]],Table2[#Headers],0),0)</f>
        <v>0</v>
      </c>
      <c r="AM663" s="2">
        <f>VLOOKUP([jobnumber],OvalData[],MATCH(Table2[[#Headers],[Number of Bottom Slats]],Table2[#Headers],0),0)</f>
        <v>0</v>
      </c>
      <c r="AN663" s="2">
        <f>VLOOKUP([jobnumber],OvalData[],MATCH(Table2[[#Headers],[Solid Bottom Height]],Table2[#Headers],0),0)</f>
        <v>0</v>
      </c>
      <c r="AO663" s="2" t="str">
        <f>VLOOKUP([jobnumber],OvalData[],MATCH(Table2[[#Headers],[slatlength]],Table2[#Headers],0),0)</f>
        <v xml:space="preserve"> 18 ft.- 5 7/ 8"</v>
      </c>
      <c r="AP663" s="2">
        <f>VLOOKUP([jobnumber],OvalData[],MATCH(Table2[[#Headers],[Bottom Slat Length]],Table2[#Headers],0),0)</f>
        <v>0</v>
      </c>
      <c r="AQ663" s="2">
        <f>VLOOKUP([jobnumber],OvalData[],MATCH(Table2[[#Headers],[Number of Perferated Slats]],Table2[#Headers],0),0)</f>
        <v>0</v>
      </c>
      <c r="AR663" s="2">
        <f>VLOOKUP([jobnumber],OvalData[],MATCH(Table2[[#Headers],[First Preferated Slat From End]],Table2[#Headers],0),0)</f>
        <v>0</v>
      </c>
      <c r="AS663" s="2">
        <f>VLOOKUP([jobnumber],OvalData[],MATCH(Table2[[#Headers],[First Preferated Slat From Bottom]],Table2[#Headers],0),0)</f>
        <v>0</v>
      </c>
      <c r="AT663" s="2">
        <f>VLOOKUP([jobnumber],OvalData[],MATCH(Table2[[#Headers],[Total Number of Slats]],Table2[#Headers],0),0)</f>
        <v>51</v>
      </c>
      <c r="AU663" s="2">
        <f>VLOOKUP([jobnumber],OvalData[],MATCH(Table2[[#Headers],[Bottom Bar Slope]],Table2[#Headers],0),0)</f>
        <v>0</v>
      </c>
      <c r="AV663" s="2">
        <f>VLOOKUP([jobnumber],OvalData[],MATCH(Table2[[#Headers],[Bottom Bar Weight]],Table2[#Headers],0),0)</f>
        <v>80.5</v>
      </c>
      <c r="AW663" s="2" t="str">
        <f>VLOOKUP([jobnumber],OvalData[],MATCH(Table2[[#Headers],[Outer Spring Gage]],Table2[#Headers],0),0)</f>
        <v>Null</v>
      </c>
      <c r="AX663" s="2" t="str">
        <f>VLOOKUP([jobnumber],OvalData[],MATCH(Table2[[#Headers],[Outer Spring OD]],Table2[#Headers],0),0)</f>
        <v>Null</v>
      </c>
      <c r="AY663" s="2" t="str">
        <f>VLOOKUP([jobnumber],OvalData[],MATCH(Table2[[#Headers],[Outer Spring Length]],Table2[#Headers],0),0)</f>
        <v>Null</v>
      </c>
      <c r="AZ663" s="2" t="str">
        <f>VLOOKUP([jobnumber],OvalData[],MATCH(Table2[[#Headers],[Outer Spring Stretch]],Table2[#Headers],0),0)</f>
        <v>Null</v>
      </c>
      <c r="BA663" s="2" t="str">
        <f>VLOOKUP([jobnumber],OvalData[],MATCH(Table2[[#Headers],[Outer Spring Torque]],Table2[#Headers],0),0)</f>
        <v>Null</v>
      </c>
      <c r="BB663" s="2" t="str">
        <f>VLOOKUP([jobnumber],OvalData[],MATCH(Table2[[#Headers],[Outer Spring Max Turns]],Table2[#Headers],0),0)</f>
        <v>Null</v>
      </c>
      <c r="BC663" s="2" t="str">
        <f>VLOOKUP([jobnumber],OvalData[],MATCH(Table2[[#Headers],[Outer Spring Weight]],Table2[#Headers],0),0)</f>
        <v>Null</v>
      </c>
      <c r="BD663" s="2" t="str">
        <f>VLOOKUP([jobnumber],OvalData[],MATCH(Table2[[#Headers],[Inner Spring Gage]],Table2[#Headers],0),0)</f>
        <v>Null</v>
      </c>
      <c r="BE663" s="2" t="str">
        <f>VLOOKUP([jobnumber],OvalData[],MATCH(Table2[[#Headers],[Inner Spring OD]],Table2[#Headers],0),0)</f>
        <v>Null</v>
      </c>
      <c r="BF663" s="2" t="str">
        <f>VLOOKUP([jobnumber],OvalData[],MATCH(Table2[[#Headers],[Inner Spring Length]],Table2[#Headers],0),0)</f>
        <v>Null</v>
      </c>
      <c r="BG663" s="2" t="str">
        <f>VLOOKUP([jobnumber],OvalData[],MATCH(Table2[[#Headers],[Inner Spring Stretch]],Table2[#Headers],0),0)</f>
        <v>Null</v>
      </c>
      <c r="BH663" s="2" t="str">
        <f>VLOOKUP([jobnumber],OvalData[],MATCH(Table2[[#Headers],[Inner Spring Torque]],Table2[#Headers],0),0)</f>
        <v>Null</v>
      </c>
      <c r="BI663" s="2" t="str">
        <f>VLOOKUP([jobnumber],OvalData[],MATCH(Table2[[#Headers],[Inner Spring Max Turns]],Table2[#Headers],0),0)</f>
        <v>Null</v>
      </c>
      <c r="BJ663" s="2" t="str">
        <f>VLOOKUP([jobnumber],OvalData[],MATCH(Table2[[#Headers],[Inner Spring Weight]],Table2[#Headers],0),0)</f>
        <v>Null</v>
      </c>
      <c r="BK663" s="2">
        <f>VLOOKUP([jobnumber],OvalData[],MATCH(Table2[[#Headers],[Cycles]],Table2[#Headers],0),0)</f>
        <v>0</v>
      </c>
      <c r="BL663" s="2">
        <f>VLOOKUP([jobnumber],OvalData[],MATCH(Table2[[#Headers],[Total Spring Torque]],Table2[#Headers],0),0)</f>
        <v>0</v>
      </c>
      <c r="BM663" s="2">
        <f>VLOOKUP([jobnumber],OvalData[],MATCH(Table2[[#Headers],[Total Spring Weight]],Table2[#Headers],0),0)</f>
        <v>0</v>
      </c>
      <c r="BN663" s="2">
        <f>VLOOKUP([jobnumber],OvalData[],MATCH(Table2[[#Headers],[Pipe Weight]],Table2[#Headers],0),0)</f>
        <v>688.24239999999998</v>
      </c>
      <c r="BO663" s="2">
        <f>VLOOKUP([jobnumber],OvalData[],MATCH(Table2[[#Headers],[Max Pipe Deflection]],Table2[#Headers],0),0)</f>
        <v>2309</v>
      </c>
      <c r="BP663" s="2">
        <f>VLOOKUP([jobnumber],OvalData[],MATCH(Table2[[#Headers],[Number Non-Insulated Wrap Slats]],Table2[#Headers],0),0)</f>
        <v>0</v>
      </c>
      <c r="BQ663" s="2">
        <f>VLOOKUP([jobnumber],OvalData[],MATCH(Table2[[#Headers],[Number of Insolated Top Slats]],Table2[#Headers],0),0)</f>
        <v>45</v>
      </c>
      <c r="BR663" s="2">
        <f>VLOOKUP([jobnumber],OvalData[],MATCH(Table2[[#Headers],[Insolated Total Slats]],Table2[#Headers],0),0)</f>
        <v>45</v>
      </c>
      <c r="BS663" s="2">
        <f>VLOOKUP([jobnumber],OvalData[],MATCH(Table2[[#Headers],[Number of Slats]],Table2[#Headers],0),0)</f>
        <v>44.69</v>
      </c>
      <c r="BT663" s="2">
        <f>VLOOKUP([jobnumber],OvalData[],MATCH(Table2[[#Headers],[Wrap]],Table2[#Headers],0),0)</f>
        <v>0</v>
      </c>
      <c r="BU663" s="2">
        <f>VLOOKUP([jobnumber],OvalData[],MATCH(Table2[[#Headers],[Wall Angle Thickness]],Table2[#Headers],0),0)</f>
        <v>0</v>
      </c>
      <c r="BV663" s="2">
        <f>VLOOKUP([jobnumber],OvalData[],MATCH(Table2[[#Headers],[windlocks]],Table2[#Headers],0),0)</f>
        <v>0</v>
      </c>
      <c r="BW663" s="2" t="str">
        <f>VLOOKUP([jobnumber],OvalData[],MATCH(Table2[[#Headers],[bottombartype]],Table2[#Headers],0),0)</f>
        <v>SPECIAL</v>
      </c>
      <c r="BX663" s="2">
        <f>VLOOKUP([jobnumber],OvalData[],MATCH(Table2[[#Headers],[endlockweight]],Table2[#Headers],0),0)</f>
        <v>0.17</v>
      </c>
      <c r="BY663" s="2">
        <f>VLOOKUP([jobnumber],OvalData[],MATCH(Table2[[#Headers],[Endlock Total Weight]],Table2[#Headers],0),0)</f>
        <v>7.5972999999999997</v>
      </c>
      <c r="BZ663" s="2">
        <f>VLOOKUP([jobnumber],OvalData[],MATCH(Table2[[#Headers],[Grille Weight]],Table2[#Headers],0),0)</f>
        <v>0</v>
      </c>
      <c r="CA663" s="2">
        <f>VLOOKUP([jobnumber],OvalData[],MATCH(Table2[[#Headers],[barrelrings]],Table2[#Headers],0),0)</f>
        <v>1</v>
      </c>
    </row>
    <row r="664" spans="2:79">
      <c r="B664" s="2" t="str">
        <f>VLOOKUP([jobnumber],OvalData[],MATCH(Table2[[#Headers],[Hand]],Table2[#Headers],0),0)</f>
        <v>RH</v>
      </c>
      <c r="C664" s="2" t="str">
        <f>VLOOKUP([jobnumber],OvalData[],MATCH(Table2[[#Headers],[Model]],Table2[#Headers],0),0)</f>
        <v>SFMPP</v>
      </c>
      <c r="D664" s="2" t="str">
        <f>VLOOKUP([jobnumber],OvalData[],MATCH(Table2[[#Headers],[width]],Table2[#Headers],0),0)</f>
        <v xml:space="preserve"> 18 ft.- 2"</v>
      </c>
      <c r="E664" s="2" t="str">
        <f>VLOOKUP([jobnumber],OvalData[],MATCH(Table2[[#Headers],[stopheight]],Table2[#Headers],0),0)</f>
        <v xml:space="preserve"> 10 ft.- 0"</v>
      </c>
      <c r="F664" s="2" t="str">
        <f>VLOOKUP([jobnumber],OvalData[],MATCH(Table2[[#Headers],[Between Brackets]],Table2[#Headers],0),0)</f>
        <v xml:space="preserve"> 18 ft.- 7 7/ 8"</v>
      </c>
      <c r="G664" s="2" t="str">
        <f>VLOOKUP([jobnumber],OvalData[],MATCH(Table2[[#Headers],[shell]],Table2[#Headers],0),0)</f>
        <v>6 INCH TUBE</v>
      </c>
      <c r="H664" s="2" t="str">
        <f>VLOOKUP([jobnumber],OvalData[],MATCH(Table2[[#Headers],[pipewidth]],Table2[#Headers],0),0)</f>
        <v xml:space="preserve"> 18 ft.- 1 3/ 8"</v>
      </c>
      <c r="I664" s="2">
        <f>VLOOKUP([jobnumber],OvalData[],MATCH(Table2[[#Headers],[Support Tubes]],Table2[#Headers],0),0)</f>
        <v>0</v>
      </c>
      <c r="J664" s="2">
        <f>VLOOKUP([jobnumber],OvalData[],MATCH(Table2[[#Headers],[Upset]],Table2[#Headers],0),0)</f>
        <v>2</v>
      </c>
      <c r="K664" s="2" t="str">
        <f>VLOOKUP([jobnumber],OvalData[],MATCH(Table2[[#Headers],[Guide Type]],Table2[#Headers],0),0)</f>
        <v>SN2-4 5/8-E</v>
      </c>
      <c r="L664" s="2" t="str">
        <f>VLOOKUP([jobnumber],OvalData[],MATCH(Table2[[#Headers],[Wall Angle]],Table2[#Headers],0),0)</f>
        <v xml:space="preserve"> 11 ft.- 8"</v>
      </c>
      <c r="M664" s="2" t="str">
        <f>VLOOKUP([jobnumber],OvalData[],MATCH(Table2[[#Headers],[Middle Angle]],Table2[#Headers],0),0)</f>
        <v xml:space="preserve"> 10 ft.- 4 1/ 2"</v>
      </c>
      <c r="N664" s="2" t="str">
        <f>VLOOKUP([jobnumber],OvalData[],MATCH(Table2[[#Headers],[Front Angle]],Table2[#Headers],0),0)</f>
        <v xml:space="preserve"> 10 ft.- 3"</v>
      </c>
      <c r="O664" s="2">
        <f>VLOOKUP([jobnumber],OvalData[],MATCH(Table2[[#Headers],[Pipe Center Line]],Table2[#Headers],0),0)</f>
        <v>131</v>
      </c>
      <c r="P664" s="2">
        <f>VLOOKUP([jobnumber],OvalData[],MATCH(Table2[[#Headers],[Heat Expansion Gap]],Table2[#Headers],0),0)</f>
        <v>0</v>
      </c>
      <c r="Q664" s="2">
        <f>VLOOKUP([jobnumber],OvalData[],MATCH(Table2[[#Headers],[Hanging Weight Closed]],Table2[#Headers],0),0)</f>
        <v>795</v>
      </c>
      <c r="R664" s="2">
        <f>VLOOKUP([jobnumber],OvalData[],MATCH(Table2[[#Headers],[Hanging Weight Open]],Table2[#Headers],0),0)</f>
        <v>140</v>
      </c>
      <c r="S664" s="2">
        <f>VLOOKUP([jobnumber],OvalData[],MATCH(Table2[[#Headers],[Initial Lever Arm]],Table2[#Headers],0),0)</f>
        <v>4.25</v>
      </c>
      <c r="T664" s="2">
        <f>VLOOKUP([jobnumber],OvalData[],MATCH(Table2[[#Headers],[Turns to Raise]],Table2[#Headers],0),0)</f>
        <v>3.5859999999999999</v>
      </c>
      <c r="U664" s="2">
        <f>VLOOKUP([jobnumber],OvalData[],MATCH(Table2[[#Headers],[Final Lever Arm]],Table2[#Headers],0),0)</f>
        <v>6.37</v>
      </c>
      <c r="V664" s="2">
        <f>VLOOKUP([jobnumber],OvalData[],MATCH(Table2[[#Headers],[Torque Required Closed]],Table2[#Headers],0),0)</f>
        <v>3377.9</v>
      </c>
      <c r="W664" s="2">
        <f>VLOOKUP([jobnumber],OvalData[],MATCH(Table2[[#Headers],[Torque Required Open]],Table2[#Headers],0),0)</f>
        <v>892</v>
      </c>
      <c r="X664" s="2">
        <f>VLOOKUP([jobnumber],OvalData[],MATCH(Table2[[#Headers],[Pre Turns]],Table2[#Headers],0),0)</f>
        <v>1.3332999999999999</v>
      </c>
      <c r="Y664" s="2">
        <f>VLOOKUP([jobnumber],OvalData[],MATCH(Table2[[#Headers],[Required Torque Per Turn]],Table2[#Headers],0),0)</f>
        <v>688</v>
      </c>
      <c r="Z664" s="2">
        <f>VLOOKUP([jobnumber],OvalData[],MATCH(Table2[[#Headers],[Total Turns]],Table2[#Headers],0),0)</f>
        <v>4.91</v>
      </c>
      <c r="AA664" s="2">
        <f>VLOOKUP([jobnumber],OvalData[],MATCH(Table2[[#Headers],[Grille Vision Section]],Table2[#Headers],0),0)</f>
        <v>0</v>
      </c>
      <c r="AB664" s="2">
        <f>VLOOKUP([jobnumber],OvalData[],MATCH(Table2[[#Headers],[Grille Amount]],Table2[#Headers],0),0)</f>
        <v>0</v>
      </c>
      <c r="AC664" s="2">
        <f>VLOOKUP([jobnumber],OvalData[],MATCH(Table2[[#Headers],[Grille Center]],Table2[#Headers],0),0)</f>
        <v>0</v>
      </c>
      <c r="AD664" s="2">
        <f>VLOOKUP([jobnumber],OvalData[],MATCH(Table2[[#Headers],[Grille Pattern]],Table2[#Headers],0),0)</f>
        <v>0</v>
      </c>
      <c r="AE664" s="2">
        <f>VLOOKUP([jobnumber],OvalData[],MATCH(Table2[[#Headers],[Grille First Tube]],Table2[#Headers],0),0)</f>
        <v>0</v>
      </c>
      <c r="AF664" s="2">
        <f>VLOOKUP([jobnumber],OvalData[],MATCH(Table2[[#Headers],[Grille Standard Tube]],Table2[#Headers],0),0)</f>
        <v>0</v>
      </c>
      <c r="AG664" s="2">
        <f>VLOOKUP([jobnumber],OvalData[],MATCH(Table2[[#Headers],[Grille Total Links]],Table2[#Headers],0),0)</f>
        <v>0</v>
      </c>
      <c r="AH664" s="2">
        <f>VLOOKUP([jobnumber],OvalData[],MATCH(Table2[[#Headers],[Grille Rods]],Table2[#Headers],0),0)</f>
        <v>0</v>
      </c>
      <c r="AI664" s="2">
        <f>VLOOKUP([jobnumber],OvalData[],MATCH(Table2[[#Headers],[Grille Rod Length]],Table2[#Headers],0),0)</f>
        <v>0</v>
      </c>
      <c r="AJ664" s="2">
        <f>VLOOKUP([jobnumber],OvalData[],MATCH(Table2[[#Headers],[slattype]],Table2[#Headers],0),0)</f>
        <v>2</v>
      </c>
      <c r="AK664" s="2">
        <f>VLOOKUP([jobnumber],OvalData[],MATCH(Table2[[#Headers],[slatgage]],Table2[#Headers],0),0)</f>
        <v>18</v>
      </c>
      <c r="AL664" s="2">
        <f>VLOOKUP([jobnumber],OvalData[],MATCH(Table2[[#Headers],[Numer of Top Slats]],Table2[#Headers],0),0)</f>
        <v>0</v>
      </c>
      <c r="AM664" s="2">
        <f>VLOOKUP([jobnumber],OvalData[],MATCH(Table2[[#Headers],[Number of Bottom Slats]],Table2[#Headers],0),0)</f>
        <v>0</v>
      </c>
      <c r="AN664" s="2">
        <f>VLOOKUP([jobnumber],OvalData[],MATCH(Table2[[#Headers],[Solid Bottom Height]],Table2[#Headers],0),0)</f>
        <v>0</v>
      </c>
      <c r="AO664" s="2" t="str">
        <f>VLOOKUP([jobnumber],OvalData[],MATCH(Table2[[#Headers],[slatlength]],Table2[#Headers],0),0)</f>
        <v xml:space="preserve"> 18 ft.- 5 7/ 8"</v>
      </c>
      <c r="AP664" s="2">
        <f>VLOOKUP([jobnumber],OvalData[],MATCH(Table2[[#Headers],[Bottom Slat Length]],Table2[#Headers],0),0)</f>
        <v>0</v>
      </c>
      <c r="AQ664" s="2">
        <f>VLOOKUP([jobnumber],OvalData[],MATCH(Table2[[#Headers],[Number of Perferated Slats]],Table2[#Headers],0),0)</f>
        <v>0</v>
      </c>
      <c r="AR664" s="2">
        <f>VLOOKUP([jobnumber],OvalData[],MATCH(Table2[[#Headers],[First Preferated Slat From End]],Table2[#Headers],0),0)</f>
        <v>0</v>
      </c>
      <c r="AS664" s="2">
        <f>VLOOKUP([jobnumber],OvalData[],MATCH(Table2[[#Headers],[First Preferated Slat From Bottom]],Table2[#Headers],0),0)</f>
        <v>0</v>
      </c>
      <c r="AT664" s="2">
        <f>VLOOKUP([jobnumber],OvalData[],MATCH(Table2[[#Headers],[Total Number of Slats]],Table2[#Headers],0),0)</f>
        <v>51</v>
      </c>
      <c r="AU664" s="2">
        <f>VLOOKUP([jobnumber],OvalData[],MATCH(Table2[[#Headers],[Bottom Bar Slope]],Table2[#Headers],0),0)</f>
        <v>0</v>
      </c>
      <c r="AV664" s="2">
        <f>VLOOKUP([jobnumber],OvalData[],MATCH(Table2[[#Headers],[Bottom Bar Weight]],Table2[#Headers],0),0)</f>
        <v>80.5</v>
      </c>
      <c r="AW664" s="2" t="str">
        <f>VLOOKUP([jobnumber],OvalData[],MATCH(Table2[[#Headers],[Outer Spring Gage]],Table2[#Headers],0),0)</f>
        <v>Null</v>
      </c>
      <c r="AX664" s="2" t="str">
        <f>VLOOKUP([jobnumber],OvalData[],MATCH(Table2[[#Headers],[Outer Spring OD]],Table2[#Headers],0),0)</f>
        <v>Null</v>
      </c>
      <c r="AY664" s="2" t="str">
        <f>VLOOKUP([jobnumber],OvalData[],MATCH(Table2[[#Headers],[Outer Spring Length]],Table2[#Headers],0),0)</f>
        <v>Null</v>
      </c>
      <c r="AZ664" s="2" t="str">
        <f>VLOOKUP([jobnumber],OvalData[],MATCH(Table2[[#Headers],[Outer Spring Stretch]],Table2[#Headers],0),0)</f>
        <v>Null</v>
      </c>
      <c r="BA664" s="2" t="str">
        <f>VLOOKUP([jobnumber],OvalData[],MATCH(Table2[[#Headers],[Outer Spring Torque]],Table2[#Headers],0),0)</f>
        <v>Null</v>
      </c>
      <c r="BB664" s="2" t="str">
        <f>VLOOKUP([jobnumber],OvalData[],MATCH(Table2[[#Headers],[Outer Spring Max Turns]],Table2[#Headers],0),0)</f>
        <v>Null</v>
      </c>
      <c r="BC664" s="2" t="str">
        <f>VLOOKUP([jobnumber],OvalData[],MATCH(Table2[[#Headers],[Outer Spring Weight]],Table2[#Headers],0),0)</f>
        <v>Null</v>
      </c>
      <c r="BD664" s="2" t="str">
        <f>VLOOKUP([jobnumber],OvalData[],MATCH(Table2[[#Headers],[Inner Spring Gage]],Table2[#Headers],0),0)</f>
        <v>Null</v>
      </c>
      <c r="BE664" s="2" t="str">
        <f>VLOOKUP([jobnumber],OvalData[],MATCH(Table2[[#Headers],[Inner Spring OD]],Table2[#Headers],0),0)</f>
        <v>Null</v>
      </c>
      <c r="BF664" s="2" t="str">
        <f>VLOOKUP([jobnumber],OvalData[],MATCH(Table2[[#Headers],[Inner Spring Length]],Table2[#Headers],0),0)</f>
        <v>Null</v>
      </c>
      <c r="BG664" s="2" t="str">
        <f>VLOOKUP([jobnumber],OvalData[],MATCH(Table2[[#Headers],[Inner Spring Stretch]],Table2[#Headers],0),0)</f>
        <v>Null</v>
      </c>
      <c r="BH664" s="2" t="str">
        <f>VLOOKUP([jobnumber],OvalData[],MATCH(Table2[[#Headers],[Inner Spring Torque]],Table2[#Headers],0),0)</f>
        <v>Null</v>
      </c>
      <c r="BI664" s="2" t="str">
        <f>VLOOKUP([jobnumber],OvalData[],MATCH(Table2[[#Headers],[Inner Spring Max Turns]],Table2[#Headers],0),0)</f>
        <v>Null</v>
      </c>
      <c r="BJ664" s="2" t="str">
        <f>VLOOKUP([jobnumber],OvalData[],MATCH(Table2[[#Headers],[Inner Spring Weight]],Table2[#Headers],0),0)</f>
        <v>Null</v>
      </c>
      <c r="BK664" s="2">
        <f>VLOOKUP([jobnumber],OvalData[],MATCH(Table2[[#Headers],[Cycles]],Table2[#Headers],0),0)</f>
        <v>0</v>
      </c>
      <c r="BL664" s="2">
        <f>VLOOKUP([jobnumber],OvalData[],MATCH(Table2[[#Headers],[Total Spring Torque]],Table2[#Headers],0),0)</f>
        <v>0</v>
      </c>
      <c r="BM664" s="2">
        <f>VLOOKUP([jobnumber],OvalData[],MATCH(Table2[[#Headers],[Total Spring Weight]],Table2[#Headers],0),0)</f>
        <v>0</v>
      </c>
      <c r="BN664" s="2">
        <f>VLOOKUP([jobnumber],OvalData[],MATCH(Table2[[#Headers],[Pipe Weight]],Table2[#Headers],0),0)</f>
        <v>688.24239999999998</v>
      </c>
      <c r="BO664" s="2">
        <f>VLOOKUP([jobnumber],OvalData[],MATCH(Table2[[#Headers],[Max Pipe Deflection]],Table2[#Headers],0),0)</f>
        <v>2309</v>
      </c>
      <c r="BP664" s="2">
        <f>VLOOKUP([jobnumber],OvalData[],MATCH(Table2[[#Headers],[Number Non-Insulated Wrap Slats]],Table2[#Headers],0),0)</f>
        <v>0</v>
      </c>
      <c r="BQ664" s="2">
        <f>VLOOKUP([jobnumber],OvalData[],MATCH(Table2[[#Headers],[Number of Insolated Top Slats]],Table2[#Headers],0),0)</f>
        <v>45</v>
      </c>
      <c r="BR664" s="2">
        <f>VLOOKUP([jobnumber],OvalData[],MATCH(Table2[[#Headers],[Insolated Total Slats]],Table2[#Headers],0),0)</f>
        <v>45</v>
      </c>
      <c r="BS664" s="2">
        <f>VLOOKUP([jobnumber],OvalData[],MATCH(Table2[[#Headers],[Number of Slats]],Table2[#Headers],0),0)</f>
        <v>44.69</v>
      </c>
      <c r="BT664" s="2">
        <f>VLOOKUP([jobnumber],OvalData[],MATCH(Table2[[#Headers],[Wrap]],Table2[#Headers],0),0)</f>
        <v>0</v>
      </c>
      <c r="BU664" s="2">
        <f>VLOOKUP([jobnumber],OvalData[],MATCH(Table2[[#Headers],[Wall Angle Thickness]],Table2[#Headers],0),0)</f>
        <v>0</v>
      </c>
      <c r="BV664" s="2">
        <f>VLOOKUP([jobnumber],OvalData[],MATCH(Table2[[#Headers],[windlocks]],Table2[#Headers],0),0)</f>
        <v>0</v>
      </c>
      <c r="BW664" s="2" t="str">
        <f>VLOOKUP([jobnumber],OvalData[],MATCH(Table2[[#Headers],[bottombartype]],Table2[#Headers],0),0)</f>
        <v>SPECIAL</v>
      </c>
      <c r="BX664" s="2">
        <f>VLOOKUP([jobnumber],OvalData[],MATCH(Table2[[#Headers],[endlockweight]],Table2[#Headers],0),0)</f>
        <v>0.17</v>
      </c>
      <c r="BY664" s="2">
        <f>VLOOKUP([jobnumber],OvalData[],MATCH(Table2[[#Headers],[Endlock Total Weight]],Table2[#Headers],0),0)</f>
        <v>7.5972999999999997</v>
      </c>
      <c r="BZ664" s="2">
        <f>VLOOKUP([jobnumber],OvalData[],MATCH(Table2[[#Headers],[Grille Weight]],Table2[#Headers],0),0)</f>
        <v>0</v>
      </c>
      <c r="CA664" s="2">
        <f>VLOOKUP([jobnumber],OvalData[],MATCH(Table2[[#Headers],[barrelrings]],Table2[#Headers],0),0)</f>
        <v>1</v>
      </c>
    </row>
    <row r="665" spans="2:79">
      <c r="B665" s="2" t="str">
        <f>VLOOKUP([jobnumber],OvalData[],MATCH(Table2[[#Headers],[Hand]],Table2[#Headers],0),0)</f>
        <v>RH</v>
      </c>
      <c r="C665" s="2" t="str">
        <f>VLOOKUP([jobnumber],OvalData[],MATCH(Table2[[#Headers],[Model]],Table2[#Headers],0),0)</f>
        <v>SFMPP</v>
      </c>
      <c r="D665" s="2" t="str">
        <f>VLOOKUP([jobnumber],OvalData[],MATCH(Table2[[#Headers],[width]],Table2[#Headers],0),0)</f>
        <v xml:space="preserve"> 18 ft.- 2"</v>
      </c>
      <c r="E665" s="2" t="str">
        <f>VLOOKUP([jobnumber],OvalData[],MATCH(Table2[[#Headers],[stopheight]],Table2[#Headers],0),0)</f>
        <v xml:space="preserve"> 10 ft.- 0"</v>
      </c>
      <c r="F665" s="2" t="str">
        <f>VLOOKUP([jobnumber],OvalData[],MATCH(Table2[[#Headers],[Between Brackets]],Table2[#Headers],0),0)</f>
        <v xml:space="preserve"> 18 ft.- 7 7/ 8"</v>
      </c>
      <c r="G665" s="2" t="str">
        <f>VLOOKUP([jobnumber],OvalData[],MATCH(Table2[[#Headers],[shell]],Table2[#Headers],0),0)</f>
        <v>6 INCH TUBE</v>
      </c>
      <c r="H665" s="2" t="str">
        <f>VLOOKUP([jobnumber],OvalData[],MATCH(Table2[[#Headers],[pipewidth]],Table2[#Headers],0),0)</f>
        <v xml:space="preserve"> 18 ft.- 1 3/ 8"</v>
      </c>
      <c r="I665" s="2">
        <f>VLOOKUP([jobnumber],OvalData[],MATCH(Table2[[#Headers],[Support Tubes]],Table2[#Headers],0),0)</f>
        <v>0</v>
      </c>
      <c r="J665" s="2">
        <f>VLOOKUP([jobnumber],OvalData[],MATCH(Table2[[#Headers],[Upset]],Table2[#Headers],0),0)</f>
        <v>2</v>
      </c>
      <c r="K665" s="2" t="str">
        <f>VLOOKUP([jobnumber],OvalData[],MATCH(Table2[[#Headers],[Guide Type]],Table2[#Headers],0),0)</f>
        <v>SN2-4 5/8-E</v>
      </c>
      <c r="L665" s="2" t="str">
        <f>VLOOKUP([jobnumber],OvalData[],MATCH(Table2[[#Headers],[Wall Angle]],Table2[#Headers],0),0)</f>
        <v xml:space="preserve"> 11 ft.- 8"</v>
      </c>
      <c r="M665" s="2" t="str">
        <f>VLOOKUP([jobnumber],OvalData[],MATCH(Table2[[#Headers],[Middle Angle]],Table2[#Headers],0),0)</f>
        <v xml:space="preserve"> 10 ft.- 4 1/ 2"</v>
      </c>
      <c r="N665" s="2" t="str">
        <f>VLOOKUP([jobnumber],OvalData[],MATCH(Table2[[#Headers],[Front Angle]],Table2[#Headers],0),0)</f>
        <v xml:space="preserve"> 10 ft.- 3"</v>
      </c>
      <c r="O665" s="2">
        <f>VLOOKUP([jobnumber],OvalData[],MATCH(Table2[[#Headers],[Pipe Center Line]],Table2[#Headers],0),0)</f>
        <v>131</v>
      </c>
      <c r="P665" s="2">
        <f>VLOOKUP([jobnumber],OvalData[],MATCH(Table2[[#Headers],[Heat Expansion Gap]],Table2[#Headers],0),0)</f>
        <v>0</v>
      </c>
      <c r="Q665" s="2">
        <f>VLOOKUP([jobnumber],OvalData[],MATCH(Table2[[#Headers],[Hanging Weight Closed]],Table2[#Headers],0),0)</f>
        <v>795</v>
      </c>
      <c r="R665" s="2">
        <f>VLOOKUP([jobnumber],OvalData[],MATCH(Table2[[#Headers],[Hanging Weight Open]],Table2[#Headers],0),0)</f>
        <v>140</v>
      </c>
      <c r="S665" s="2">
        <f>VLOOKUP([jobnumber],OvalData[],MATCH(Table2[[#Headers],[Initial Lever Arm]],Table2[#Headers],0),0)</f>
        <v>4.25</v>
      </c>
      <c r="T665" s="2">
        <f>VLOOKUP([jobnumber],OvalData[],MATCH(Table2[[#Headers],[Turns to Raise]],Table2[#Headers],0),0)</f>
        <v>3.5859999999999999</v>
      </c>
      <c r="U665" s="2">
        <f>VLOOKUP([jobnumber],OvalData[],MATCH(Table2[[#Headers],[Final Lever Arm]],Table2[#Headers],0),0)</f>
        <v>6.37</v>
      </c>
      <c r="V665" s="2">
        <f>VLOOKUP([jobnumber],OvalData[],MATCH(Table2[[#Headers],[Torque Required Closed]],Table2[#Headers],0),0)</f>
        <v>3377.9</v>
      </c>
      <c r="W665" s="2">
        <f>VLOOKUP([jobnumber],OvalData[],MATCH(Table2[[#Headers],[Torque Required Open]],Table2[#Headers],0),0)</f>
        <v>892</v>
      </c>
      <c r="X665" s="2">
        <f>VLOOKUP([jobnumber],OvalData[],MATCH(Table2[[#Headers],[Pre Turns]],Table2[#Headers],0),0)</f>
        <v>1.3332999999999999</v>
      </c>
      <c r="Y665" s="2">
        <f>VLOOKUP([jobnumber],OvalData[],MATCH(Table2[[#Headers],[Required Torque Per Turn]],Table2[#Headers],0),0)</f>
        <v>688</v>
      </c>
      <c r="Z665" s="2">
        <f>VLOOKUP([jobnumber],OvalData[],MATCH(Table2[[#Headers],[Total Turns]],Table2[#Headers],0),0)</f>
        <v>4.91</v>
      </c>
      <c r="AA665" s="2">
        <f>VLOOKUP([jobnumber],OvalData[],MATCH(Table2[[#Headers],[Grille Vision Section]],Table2[#Headers],0),0)</f>
        <v>0</v>
      </c>
      <c r="AB665" s="2">
        <f>VLOOKUP([jobnumber],OvalData[],MATCH(Table2[[#Headers],[Grille Amount]],Table2[#Headers],0),0)</f>
        <v>0</v>
      </c>
      <c r="AC665" s="2">
        <f>VLOOKUP([jobnumber],OvalData[],MATCH(Table2[[#Headers],[Grille Center]],Table2[#Headers],0),0)</f>
        <v>0</v>
      </c>
      <c r="AD665" s="2">
        <f>VLOOKUP([jobnumber],OvalData[],MATCH(Table2[[#Headers],[Grille Pattern]],Table2[#Headers],0),0)</f>
        <v>0</v>
      </c>
      <c r="AE665" s="2">
        <f>VLOOKUP([jobnumber],OvalData[],MATCH(Table2[[#Headers],[Grille First Tube]],Table2[#Headers],0),0)</f>
        <v>0</v>
      </c>
      <c r="AF665" s="2">
        <f>VLOOKUP([jobnumber],OvalData[],MATCH(Table2[[#Headers],[Grille Standard Tube]],Table2[#Headers],0),0)</f>
        <v>0</v>
      </c>
      <c r="AG665" s="2">
        <f>VLOOKUP([jobnumber],OvalData[],MATCH(Table2[[#Headers],[Grille Total Links]],Table2[#Headers],0),0)</f>
        <v>0</v>
      </c>
      <c r="AH665" s="2">
        <f>VLOOKUP([jobnumber],OvalData[],MATCH(Table2[[#Headers],[Grille Rods]],Table2[#Headers],0),0)</f>
        <v>0</v>
      </c>
      <c r="AI665" s="2">
        <f>VLOOKUP([jobnumber],OvalData[],MATCH(Table2[[#Headers],[Grille Rod Length]],Table2[#Headers],0),0)</f>
        <v>0</v>
      </c>
      <c r="AJ665" s="2">
        <f>VLOOKUP([jobnumber],OvalData[],MATCH(Table2[[#Headers],[slattype]],Table2[#Headers],0),0)</f>
        <v>2</v>
      </c>
      <c r="AK665" s="2">
        <f>VLOOKUP([jobnumber],OvalData[],MATCH(Table2[[#Headers],[slatgage]],Table2[#Headers],0),0)</f>
        <v>18</v>
      </c>
      <c r="AL665" s="2">
        <f>VLOOKUP([jobnumber],OvalData[],MATCH(Table2[[#Headers],[Numer of Top Slats]],Table2[#Headers],0),0)</f>
        <v>0</v>
      </c>
      <c r="AM665" s="2">
        <f>VLOOKUP([jobnumber],OvalData[],MATCH(Table2[[#Headers],[Number of Bottom Slats]],Table2[#Headers],0),0)</f>
        <v>0</v>
      </c>
      <c r="AN665" s="2">
        <f>VLOOKUP([jobnumber],OvalData[],MATCH(Table2[[#Headers],[Solid Bottom Height]],Table2[#Headers],0),0)</f>
        <v>0</v>
      </c>
      <c r="AO665" s="2" t="str">
        <f>VLOOKUP([jobnumber],OvalData[],MATCH(Table2[[#Headers],[slatlength]],Table2[#Headers],0),0)</f>
        <v xml:space="preserve"> 18 ft.- 5 7/ 8"</v>
      </c>
      <c r="AP665" s="2">
        <f>VLOOKUP([jobnumber],OvalData[],MATCH(Table2[[#Headers],[Bottom Slat Length]],Table2[#Headers],0),0)</f>
        <v>0</v>
      </c>
      <c r="AQ665" s="2">
        <f>VLOOKUP([jobnumber],OvalData[],MATCH(Table2[[#Headers],[Number of Perferated Slats]],Table2[#Headers],0),0)</f>
        <v>0</v>
      </c>
      <c r="AR665" s="2">
        <f>VLOOKUP([jobnumber],OvalData[],MATCH(Table2[[#Headers],[First Preferated Slat From End]],Table2[#Headers],0),0)</f>
        <v>0</v>
      </c>
      <c r="AS665" s="2">
        <f>VLOOKUP([jobnumber],OvalData[],MATCH(Table2[[#Headers],[First Preferated Slat From Bottom]],Table2[#Headers],0),0)</f>
        <v>0</v>
      </c>
      <c r="AT665" s="2">
        <f>VLOOKUP([jobnumber],OvalData[],MATCH(Table2[[#Headers],[Total Number of Slats]],Table2[#Headers],0),0)</f>
        <v>51</v>
      </c>
      <c r="AU665" s="2">
        <f>VLOOKUP([jobnumber],OvalData[],MATCH(Table2[[#Headers],[Bottom Bar Slope]],Table2[#Headers],0),0)</f>
        <v>0</v>
      </c>
      <c r="AV665" s="2">
        <f>VLOOKUP([jobnumber],OvalData[],MATCH(Table2[[#Headers],[Bottom Bar Weight]],Table2[#Headers],0),0)</f>
        <v>80.5</v>
      </c>
      <c r="AW665" s="2" t="str">
        <f>VLOOKUP([jobnumber],OvalData[],MATCH(Table2[[#Headers],[Outer Spring Gage]],Table2[#Headers],0),0)</f>
        <v>Null</v>
      </c>
      <c r="AX665" s="2" t="str">
        <f>VLOOKUP([jobnumber],OvalData[],MATCH(Table2[[#Headers],[Outer Spring OD]],Table2[#Headers],0),0)</f>
        <v>Null</v>
      </c>
      <c r="AY665" s="2" t="str">
        <f>VLOOKUP([jobnumber],OvalData[],MATCH(Table2[[#Headers],[Outer Spring Length]],Table2[#Headers],0),0)</f>
        <v>Null</v>
      </c>
      <c r="AZ665" s="2" t="str">
        <f>VLOOKUP([jobnumber],OvalData[],MATCH(Table2[[#Headers],[Outer Spring Stretch]],Table2[#Headers],0),0)</f>
        <v>Null</v>
      </c>
      <c r="BA665" s="2" t="str">
        <f>VLOOKUP([jobnumber],OvalData[],MATCH(Table2[[#Headers],[Outer Spring Torque]],Table2[#Headers],0),0)</f>
        <v>Null</v>
      </c>
      <c r="BB665" s="2" t="str">
        <f>VLOOKUP([jobnumber],OvalData[],MATCH(Table2[[#Headers],[Outer Spring Max Turns]],Table2[#Headers],0),0)</f>
        <v>Null</v>
      </c>
      <c r="BC665" s="2" t="str">
        <f>VLOOKUP([jobnumber],OvalData[],MATCH(Table2[[#Headers],[Outer Spring Weight]],Table2[#Headers],0),0)</f>
        <v>Null</v>
      </c>
      <c r="BD665" s="2" t="str">
        <f>VLOOKUP([jobnumber],OvalData[],MATCH(Table2[[#Headers],[Inner Spring Gage]],Table2[#Headers],0),0)</f>
        <v>Null</v>
      </c>
      <c r="BE665" s="2" t="str">
        <f>VLOOKUP([jobnumber],OvalData[],MATCH(Table2[[#Headers],[Inner Spring OD]],Table2[#Headers],0),0)</f>
        <v>Null</v>
      </c>
      <c r="BF665" s="2" t="str">
        <f>VLOOKUP([jobnumber],OvalData[],MATCH(Table2[[#Headers],[Inner Spring Length]],Table2[#Headers],0),0)</f>
        <v>Null</v>
      </c>
      <c r="BG665" s="2" t="str">
        <f>VLOOKUP([jobnumber],OvalData[],MATCH(Table2[[#Headers],[Inner Spring Stretch]],Table2[#Headers],0),0)</f>
        <v>Null</v>
      </c>
      <c r="BH665" s="2" t="str">
        <f>VLOOKUP([jobnumber],OvalData[],MATCH(Table2[[#Headers],[Inner Spring Torque]],Table2[#Headers],0),0)</f>
        <v>Null</v>
      </c>
      <c r="BI665" s="2" t="str">
        <f>VLOOKUP([jobnumber],OvalData[],MATCH(Table2[[#Headers],[Inner Spring Max Turns]],Table2[#Headers],0),0)</f>
        <v>Null</v>
      </c>
      <c r="BJ665" s="2" t="str">
        <f>VLOOKUP([jobnumber],OvalData[],MATCH(Table2[[#Headers],[Inner Spring Weight]],Table2[#Headers],0),0)</f>
        <v>Null</v>
      </c>
      <c r="BK665" s="2">
        <f>VLOOKUP([jobnumber],OvalData[],MATCH(Table2[[#Headers],[Cycles]],Table2[#Headers],0),0)</f>
        <v>0</v>
      </c>
      <c r="BL665" s="2">
        <f>VLOOKUP([jobnumber],OvalData[],MATCH(Table2[[#Headers],[Total Spring Torque]],Table2[#Headers],0),0)</f>
        <v>0</v>
      </c>
      <c r="BM665" s="2">
        <f>VLOOKUP([jobnumber],OvalData[],MATCH(Table2[[#Headers],[Total Spring Weight]],Table2[#Headers],0),0)</f>
        <v>0</v>
      </c>
      <c r="BN665" s="2">
        <f>VLOOKUP([jobnumber],OvalData[],MATCH(Table2[[#Headers],[Pipe Weight]],Table2[#Headers],0),0)</f>
        <v>688.24239999999998</v>
      </c>
      <c r="BO665" s="2">
        <f>VLOOKUP([jobnumber],OvalData[],MATCH(Table2[[#Headers],[Max Pipe Deflection]],Table2[#Headers],0),0)</f>
        <v>2309</v>
      </c>
      <c r="BP665" s="2">
        <f>VLOOKUP([jobnumber],OvalData[],MATCH(Table2[[#Headers],[Number Non-Insulated Wrap Slats]],Table2[#Headers],0),0)</f>
        <v>0</v>
      </c>
      <c r="BQ665" s="2">
        <f>VLOOKUP([jobnumber],OvalData[],MATCH(Table2[[#Headers],[Number of Insolated Top Slats]],Table2[#Headers],0),0)</f>
        <v>45</v>
      </c>
      <c r="BR665" s="2">
        <f>VLOOKUP([jobnumber],OvalData[],MATCH(Table2[[#Headers],[Insolated Total Slats]],Table2[#Headers],0),0)</f>
        <v>45</v>
      </c>
      <c r="BS665" s="2">
        <f>VLOOKUP([jobnumber],OvalData[],MATCH(Table2[[#Headers],[Number of Slats]],Table2[#Headers],0),0)</f>
        <v>44.69</v>
      </c>
      <c r="BT665" s="2">
        <f>VLOOKUP([jobnumber],OvalData[],MATCH(Table2[[#Headers],[Wrap]],Table2[#Headers],0),0)</f>
        <v>0</v>
      </c>
      <c r="BU665" s="2">
        <f>VLOOKUP([jobnumber],OvalData[],MATCH(Table2[[#Headers],[Wall Angle Thickness]],Table2[#Headers],0),0)</f>
        <v>0</v>
      </c>
      <c r="BV665" s="2">
        <f>VLOOKUP([jobnumber],OvalData[],MATCH(Table2[[#Headers],[windlocks]],Table2[#Headers],0),0)</f>
        <v>0</v>
      </c>
      <c r="BW665" s="2" t="str">
        <f>VLOOKUP([jobnumber],OvalData[],MATCH(Table2[[#Headers],[bottombartype]],Table2[#Headers],0),0)</f>
        <v>SPECIAL</v>
      </c>
      <c r="BX665" s="2">
        <f>VLOOKUP([jobnumber],OvalData[],MATCH(Table2[[#Headers],[endlockweight]],Table2[#Headers],0),0)</f>
        <v>0.17</v>
      </c>
      <c r="BY665" s="2">
        <f>VLOOKUP([jobnumber],OvalData[],MATCH(Table2[[#Headers],[Endlock Total Weight]],Table2[#Headers],0),0)</f>
        <v>7.5972999999999997</v>
      </c>
      <c r="BZ665" s="2">
        <f>VLOOKUP([jobnumber],OvalData[],MATCH(Table2[[#Headers],[Grille Weight]],Table2[#Headers],0),0)</f>
        <v>0</v>
      </c>
      <c r="CA665" s="2">
        <f>VLOOKUP([jobnumber],OvalData[],MATCH(Table2[[#Headers],[barrelrings]],Table2[#Headers],0),0)</f>
        <v>1</v>
      </c>
    </row>
    <row r="666" spans="2:79">
      <c r="B666" s="2" t="str">
        <f>VLOOKUP([jobnumber],OvalData[],MATCH(Table2[[#Headers],[Hand]],Table2[#Headers],0),0)</f>
        <v>RH</v>
      </c>
      <c r="C666" s="2" t="str">
        <f>VLOOKUP([jobnumber],OvalData[],MATCH(Table2[[#Headers],[Model]],Table2[#Headers],0),0)</f>
        <v>SFMPP</v>
      </c>
      <c r="D666" s="2" t="str">
        <f>VLOOKUP([jobnumber],OvalData[],MATCH(Table2[[#Headers],[width]],Table2[#Headers],0),0)</f>
        <v xml:space="preserve"> 18 ft.- 2"</v>
      </c>
      <c r="E666" s="2" t="str">
        <f>VLOOKUP([jobnumber],OvalData[],MATCH(Table2[[#Headers],[stopheight]],Table2[#Headers],0),0)</f>
        <v xml:space="preserve"> 10 ft.- 0"</v>
      </c>
      <c r="F666" s="2" t="str">
        <f>VLOOKUP([jobnumber],OvalData[],MATCH(Table2[[#Headers],[Between Brackets]],Table2[#Headers],0),0)</f>
        <v xml:space="preserve"> 18 ft.- 7 7/ 8"</v>
      </c>
      <c r="G666" s="2" t="str">
        <f>VLOOKUP([jobnumber],OvalData[],MATCH(Table2[[#Headers],[shell]],Table2[#Headers],0),0)</f>
        <v>6 INCH TUBE</v>
      </c>
      <c r="H666" s="2" t="str">
        <f>VLOOKUP([jobnumber],OvalData[],MATCH(Table2[[#Headers],[pipewidth]],Table2[#Headers],0),0)</f>
        <v xml:space="preserve"> 18 ft.- 1 3/ 8"</v>
      </c>
      <c r="I666" s="2">
        <f>VLOOKUP([jobnumber],OvalData[],MATCH(Table2[[#Headers],[Support Tubes]],Table2[#Headers],0),0)</f>
        <v>0</v>
      </c>
      <c r="J666" s="2">
        <f>VLOOKUP([jobnumber],OvalData[],MATCH(Table2[[#Headers],[Upset]],Table2[#Headers],0),0)</f>
        <v>2</v>
      </c>
      <c r="K666" s="2" t="str">
        <f>VLOOKUP([jobnumber],OvalData[],MATCH(Table2[[#Headers],[Guide Type]],Table2[#Headers],0),0)</f>
        <v>SN2-4 5/8-E</v>
      </c>
      <c r="L666" s="2" t="str">
        <f>VLOOKUP([jobnumber],OvalData[],MATCH(Table2[[#Headers],[Wall Angle]],Table2[#Headers],0),0)</f>
        <v xml:space="preserve"> 11 ft.- 8"</v>
      </c>
      <c r="M666" s="2" t="str">
        <f>VLOOKUP([jobnumber],OvalData[],MATCH(Table2[[#Headers],[Middle Angle]],Table2[#Headers],0),0)</f>
        <v xml:space="preserve"> 10 ft.- 4 1/ 2"</v>
      </c>
      <c r="N666" s="2" t="str">
        <f>VLOOKUP([jobnumber],OvalData[],MATCH(Table2[[#Headers],[Front Angle]],Table2[#Headers],0),0)</f>
        <v xml:space="preserve"> 10 ft.- 3"</v>
      </c>
      <c r="O666" s="2">
        <f>VLOOKUP([jobnumber],OvalData[],MATCH(Table2[[#Headers],[Pipe Center Line]],Table2[#Headers],0),0)</f>
        <v>131</v>
      </c>
      <c r="P666" s="2">
        <f>VLOOKUP([jobnumber],OvalData[],MATCH(Table2[[#Headers],[Heat Expansion Gap]],Table2[#Headers],0),0)</f>
        <v>0</v>
      </c>
      <c r="Q666" s="2">
        <f>VLOOKUP([jobnumber],OvalData[],MATCH(Table2[[#Headers],[Hanging Weight Closed]],Table2[#Headers],0),0)</f>
        <v>795</v>
      </c>
      <c r="R666" s="2">
        <f>VLOOKUP([jobnumber],OvalData[],MATCH(Table2[[#Headers],[Hanging Weight Open]],Table2[#Headers],0),0)</f>
        <v>140</v>
      </c>
      <c r="S666" s="2">
        <f>VLOOKUP([jobnumber],OvalData[],MATCH(Table2[[#Headers],[Initial Lever Arm]],Table2[#Headers],0),0)</f>
        <v>4.25</v>
      </c>
      <c r="T666" s="2">
        <f>VLOOKUP([jobnumber],OvalData[],MATCH(Table2[[#Headers],[Turns to Raise]],Table2[#Headers],0),0)</f>
        <v>3.5859999999999999</v>
      </c>
      <c r="U666" s="2">
        <f>VLOOKUP([jobnumber],OvalData[],MATCH(Table2[[#Headers],[Final Lever Arm]],Table2[#Headers],0),0)</f>
        <v>6.37</v>
      </c>
      <c r="V666" s="2">
        <f>VLOOKUP([jobnumber],OvalData[],MATCH(Table2[[#Headers],[Torque Required Closed]],Table2[#Headers],0),0)</f>
        <v>3377.9</v>
      </c>
      <c r="W666" s="2">
        <f>VLOOKUP([jobnumber],OvalData[],MATCH(Table2[[#Headers],[Torque Required Open]],Table2[#Headers],0),0)</f>
        <v>892</v>
      </c>
      <c r="X666" s="2">
        <f>VLOOKUP([jobnumber],OvalData[],MATCH(Table2[[#Headers],[Pre Turns]],Table2[#Headers],0),0)</f>
        <v>1.3332999999999999</v>
      </c>
      <c r="Y666" s="2">
        <f>VLOOKUP([jobnumber],OvalData[],MATCH(Table2[[#Headers],[Required Torque Per Turn]],Table2[#Headers],0),0)</f>
        <v>688</v>
      </c>
      <c r="Z666" s="2">
        <f>VLOOKUP([jobnumber],OvalData[],MATCH(Table2[[#Headers],[Total Turns]],Table2[#Headers],0),0)</f>
        <v>4.91</v>
      </c>
      <c r="AA666" s="2">
        <f>VLOOKUP([jobnumber],OvalData[],MATCH(Table2[[#Headers],[Grille Vision Section]],Table2[#Headers],0),0)</f>
        <v>0</v>
      </c>
      <c r="AB666" s="2">
        <f>VLOOKUP([jobnumber],OvalData[],MATCH(Table2[[#Headers],[Grille Amount]],Table2[#Headers],0),0)</f>
        <v>0</v>
      </c>
      <c r="AC666" s="2">
        <f>VLOOKUP([jobnumber],OvalData[],MATCH(Table2[[#Headers],[Grille Center]],Table2[#Headers],0),0)</f>
        <v>0</v>
      </c>
      <c r="AD666" s="2">
        <f>VLOOKUP([jobnumber],OvalData[],MATCH(Table2[[#Headers],[Grille Pattern]],Table2[#Headers],0),0)</f>
        <v>0</v>
      </c>
      <c r="AE666" s="2">
        <f>VLOOKUP([jobnumber],OvalData[],MATCH(Table2[[#Headers],[Grille First Tube]],Table2[#Headers],0),0)</f>
        <v>0</v>
      </c>
      <c r="AF666" s="2">
        <f>VLOOKUP([jobnumber],OvalData[],MATCH(Table2[[#Headers],[Grille Standard Tube]],Table2[#Headers],0),0)</f>
        <v>0</v>
      </c>
      <c r="AG666" s="2">
        <f>VLOOKUP([jobnumber],OvalData[],MATCH(Table2[[#Headers],[Grille Total Links]],Table2[#Headers],0),0)</f>
        <v>0</v>
      </c>
      <c r="AH666" s="2">
        <f>VLOOKUP([jobnumber],OvalData[],MATCH(Table2[[#Headers],[Grille Rods]],Table2[#Headers],0),0)</f>
        <v>0</v>
      </c>
      <c r="AI666" s="2">
        <f>VLOOKUP([jobnumber],OvalData[],MATCH(Table2[[#Headers],[Grille Rod Length]],Table2[#Headers],0),0)</f>
        <v>0</v>
      </c>
      <c r="AJ666" s="2">
        <f>VLOOKUP([jobnumber],OvalData[],MATCH(Table2[[#Headers],[slattype]],Table2[#Headers],0),0)</f>
        <v>2</v>
      </c>
      <c r="AK666" s="2">
        <f>VLOOKUP([jobnumber],OvalData[],MATCH(Table2[[#Headers],[slatgage]],Table2[#Headers],0),0)</f>
        <v>18</v>
      </c>
      <c r="AL666" s="2">
        <f>VLOOKUP([jobnumber],OvalData[],MATCH(Table2[[#Headers],[Numer of Top Slats]],Table2[#Headers],0),0)</f>
        <v>0</v>
      </c>
      <c r="AM666" s="2">
        <f>VLOOKUP([jobnumber],OvalData[],MATCH(Table2[[#Headers],[Number of Bottom Slats]],Table2[#Headers],0),0)</f>
        <v>0</v>
      </c>
      <c r="AN666" s="2">
        <f>VLOOKUP([jobnumber],OvalData[],MATCH(Table2[[#Headers],[Solid Bottom Height]],Table2[#Headers],0),0)</f>
        <v>0</v>
      </c>
      <c r="AO666" s="2" t="str">
        <f>VLOOKUP([jobnumber],OvalData[],MATCH(Table2[[#Headers],[slatlength]],Table2[#Headers],0),0)</f>
        <v xml:space="preserve"> 18 ft.- 5 7/ 8"</v>
      </c>
      <c r="AP666" s="2">
        <f>VLOOKUP([jobnumber],OvalData[],MATCH(Table2[[#Headers],[Bottom Slat Length]],Table2[#Headers],0),0)</f>
        <v>0</v>
      </c>
      <c r="AQ666" s="2">
        <f>VLOOKUP([jobnumber],OvalData[],MATCH(Table2[[#Headers],[Number of Perferated Slats]],Table2[#Headers],0),0)</f>
        <v>0</v>
      </c>
      <c r="AR666" s="2">
        <f>VLOOKUP([jobnumber],OvalData[],MATCH(Table2[[#Headers],[First Preferated Slat From End]],Table2[#Headers],0),0)</f>
        <v>0</v>
      </c>
      <c r="AS666" s="2">
        <f>VLOOKUP([jobnumber],OvalData[],MATCH(Table2[[#Headers],[First Preferated Slat From Bottom]],Table2[#Headers],0),0)</f>
        <v>0</v>
      </c>
      <c r="AT666" s="2">
        <f>VLOOKUP([jobnumber],OvalData[],MATCH(Table2[[#Headers],[Total Number of Slats]],Table2[#Headers],0),0)</f>
        <v>51</v>
      </c>
      <c r="AU666" s="2">
        <f>VLOOKUP([jobnumber],OvalData[],MATCH(Table2[[#Headers],[Bottom Bar Slope]],Table2[#Headers],0),0)</f>
        <v>0</v>
      </c>
      <c r="AV666" s="2">
        <f>VLOOKUP([jobnumber],OvalData[],MATCH(Table2[[#Headers],[Bottom Bar Weight]],Table2[#Headers],0),0)</f>
        <v>80.5</v>
      </c>
      <c r="AW666" s="2" t="str">
        <f>VLOOKUP([jobnumber],OvalData[],MATCH(Table2[[#Headers],[Outer Spring Gage]],Table2[#Headers],0),0)</f>
        <v>Null</v>
      </c>
      <c r="AX666" s="2" t="str">
        <f>VLOOKUP([jobnumber],OvalData[],MATCH(Table2[[#Headers],[Outer Spring OD]],Table2[#Headers],0),0)</f>
        <v>Null</v>
      </c>
      <c r="AY666" s="2" t="str">
        <f>VLOOKUP([jobnumber],OvalData[],MATCH(Table2[[#Headers],[Outer Spring Length]],Table2[#Headers],0),0)</f>
        <v>Null</v>
      </c>
      <c r="AZ666" s="2" t="str">
        <f>VLOOKUP([jobnumber],OvalData[],MATCH(Table2[[#Headers],[Outer Spring Stretch]],Table2[#Headers],0),0)</f>
        <v>Null</v>
      </c>
      <c r="BA666" s="2" t="str">
        <f>VLOOKUP([jobnumber],OvalData[],MATCH(Table2[[#Headers],[Outer Spring Torque]],Table2[#Headers],0),0)</f>
        <v>Null</v>
      </c>
      <c r="BB666" s="2" t="str">
        <f>VLOOKUP([jobnumber],OvalData[],MATCH(Table2[[#Headers],[Outer Spring Max Turns]],Table2[#Headers],0),0)</f>
        <v>Null</v>
      </c>
      <c r="BC666" s="2" t="str">
        <f>VLOOKUP([jobnumber],OvalData[],MATCH(Table2[[#Headers],[Outer Spring Weight]],Table2[#Headers],0),0)</f>
        <v>Null</v>
      </c>
      <c r="BD666" s="2" t="str">
        <f>VLOOKUP([jobnumber],OvalData[],MATCH(Table2[[#Headers],[Inner Spring Gage]],Table2[#Headers],0),0)</f>
        <v>Null</v>
      </c>
      <c r="BE666" s="2" t="str">
        <f>VLOOKUP([jobnumber],OvalData[],MATCH(Table2[[#Headers],[Inner Spring OD]],Table2[#Headers],0),0)</f>
        <v>Null</v>
      </c>
      <c r="BF666" s="2" t="str">
        <f>VLOOKUP([jobnumber],OvalData[],MATCH(Table2[[#Headers],[Inner Spring Length]],Table2[#Headers],0),0)</f>
        <v>Null</v>
      </c>
      <c r="BG666" s="2" t="str">
        <f>VLOOKUP([jobnumber],OvalData[],MATCH(Table2[[#Headers],[Inner Spring Stretch]],Table2[#Headers],0),0)</f>
        <v>Null</v>
      </c>
      <c r="BH666" s="2" t="str">
        <f>VLOOKUP([jobnumber],OvalData[],MATCH(Table2[[#Headers],[Inner Spring Torque]],Table2[#Headers],0),0)</f>
        <v>Null</v>
      </c>
      <c r="BI666" s="2" t="str">
        <f>VLOOKUP([jobnumber],OvalData[],MATCH(Table2[[#Headers],[Inner Spring Max Turns]],Table2[#Headers],0),0)</f>
        <v>Null</v>
      </c>
      <c r="BJ666" s="2" t="str">
        <f>VLOOKUP([jobnumber],OvalData[],MATCH(Table2[[#Headers],[Inner Spring Weight]],Table2[#Headers],0),0)</f>
        <v>Null</v>
      </c>
      <c r="BK666" s="2">
        <f>VLOOKUP([jobnumber],OvalData[],MATCH(Table2[[#Headers],[Cycles]],Table2[#Headers],0),0)</f>
        <v>0</v>
      </c>
      <c r="BL666" s="2">
        <f>VLOOKUP([jobnumber],OvalData[],MATCH(Table2[[#Headers],[Total Spring Torque]],Table2[#Headers],0),0)</f>
        <v>0</v>
      </c>
      <c r="BM666" s="2">
        <f>VLOOKUP([jobnumber],OvalData[],MATCH(Table2[[#Headers],[Total Spring Weight]],Table2[#Headers],0),0)</f>
        <v>0</v>
      </c>
      <c r="BN666" s="2">
        <f>VLOOKUP([jobnumber],OvalData[],MATCH(Table2[[#Headers],[Pipe Weight]],Table2[#Headers],0),0)</f>
        <v>688.24239999999998</v>
      </c>
      <c r="BO666" s="2">
        <f>VLOOKUP([jobnumber],OvalData[],MATCH(Table2[[#Headers],[Max Pipe Deflection]],Table2[#Headers],0),0)</f>
        <v>2309</v>
      </c>
      <c r="BP666" s="2">
        <f>VLOOKUP([jobnumber],OvalData[],MATCH(Table2[[#Headers],[Number Non-Insulated Wrap Slats]],Table2[#Headers],0),0)</f>
        <v>0</v>
      </c>
      <c r="BQ666" s="2">
        <f>VLOOKUP([jobnumber],OvalData[],MATCH(Table2[[#Headers],[Number of Insolated Top Slats]],Table2[#Headers],0),0)</f>
        <v>45</v>
      </c>
      <c r="BR666" s="2">
        <f>VLOOKUP([jobnumber],OvalData[],MATCH(Table2[[#Headers],[Insolated Total Slats]],Table2[#Headers],0),0)</f>
        <v>45</v>
      </c>
      <c r="BS666" s="2">
        <f>VLOOKUP([jobnumber],OvalData[],MATCH(Table2[[#Headers],[Number of Slats]],Table2[#Headers],0),0)</f>
        <v>44.69</v>
      </c>
      <c r="BT666" s="2">
        <f>VLOOKUP([jobnumber],OvalData[],MATCH(Table2[[#Headers],[Wrap]],Table2[#Headers],0),0)</f>
        <v>0</v>
      </c>
      <c r="BU666" s="2">
        <f>VLOOKUP([jobnumber],OvalData[],MATCH(Table2[[#Headers],[Wall Angle Thickness]],Table2[#Headers],0),0)</f>
        <v>0</v>
      </c>
      <c r="BV666" s="2">
        <f>VLOOKUP([jobnumber],OvalData[],MATCH(Table2[[#Headers],[windlocks]],Table2[#Headers],0),0)</f>
        <v>0</v>
      </c>
      <c r="BW666" s="2" t="str">
        <f>VLOOKUP([jobnumber],OvalData[],MATCH(Table2[[#Headers],[bottombartype]],Table2[#Headers],0),0)</f>
        <v>SPECIAL</v>
      </c>
      <c r="BX666" s="2">
        <f>VLOOKUP([jobnumber],OvalData[],MATCH(Table2[[#Headers],[endlockweight]],Table2[#Headers],0),0)</f>
        <v>0.17</v>
      </c>
      <c r="BY666" s="2">
        <f>VLOOKUP([jobnumber],OvalData[],MATCH(Table2[[#Headers],[Endlock Total Weight]],Table2[#Headers],0),0)</f>
        <v>7.5972999999999997</v>
      </c>
      <c r="BZ666" s="2">
        <f>VLOOKUP([jobnumber],OvalData[],MATCH(Table2[[#Headers],[Grille Weight]],Table2[#Headers],0),0)</f>
        <v>0</v>
      </c>
      <c r="CA666" s="2">
        <f>VLOOKUP([jobnumber],OvalData[],MATCH(Table2[[#Headers],[barrelrings]],Table2[#Headers],0),0)</f>
        <v>1</v>
      </c>
    </row>
    <row r="667" spans="2:79">
      <c r="B667" s="2" t="str">
        <f>VLOOKUP([jobnumber],OvalData[],MATCH(Table2[[#Headers],[Hand]],Table2[#Headers],0),0)</f>
        <v>RH</v>
      </c>
      <c r="C667" s="2" t="str">
        <f>VLOOKUP([jobnumber],OvalData[],MATCH(Table2[[#Headers],[Model]],Table2[#Headers],0),0)</f>
        <v>SFMPP</v>
      </c>
      <c r="D667" s="2" t="str">
        <f>VLOOKUP([jobnumber],OvalData[],MATCH(Table2[[#Headers],[width]],Table2[#Headers],0),0)</f>
        <v xml:space="preserve"> 18 ft.- 2"</v>
      </c>
      <c r="E667" s="2" t="str">
        <f>VLOOKUP([jobnumber],OvalData[],MATCH(Table2[[#Headers],[stopheight]],Table2[#Headers],0),0)</f>
        <v xml:space="preserve"> 10 ft.- 0"</v>
      </c>
      <c r="F667" s="2" t="str">
        <f>VLOOKUP([jobnumber],OvalData[],MATCH(Table2[[#Headers],[Between Brackets]],Table2[#Headers],0),0)</f>
        <v xml:space="preserve"> 18 ft.- 7 7/ 8"</v>
      </c>
      <c r="G667" s="2" t="str">
        <f>VLOOKUP([jobnumber],OvalData[],MATCH(Table2[[#Headers],[shell]],Table2[#Headers],0),0)</f>
        <v>6 INCH TUBE</v>
      </c>
      <c r="H667" s="2" t="str">
        <f>VLOOKUP([jobnumber],OvalData[],MATCH(Table2[[#Headers],[pipewidth]],Table2[#Headers],0),0)</f>
        <v xml:space="preserve"> 18 ft.- 1 3/ 8"</v>
      </c>
      <c r="I667" s="2">
        <f>VLOOKUP([jobnumber],OvalData[],MATCH(Table2[[#Headers],[Support Tubes]],Table2[#Headers],0),0)</f>
        <v>0</v>
      </c>
      <c r="J667" s="2">
        <f>VLOOKUP([jobnumber],OvalData[],MATCH(Table2[[#Headers],[Upset]],Table2[#Headers],0),0)</f>
        <v>2</v>
      </c>
      <c r="K667" s="2" t="str">
        <f>VLOOKUP([jobnumber],OvalData[],MATCH(Table2[[#Headers],[Guide Type]],Table2[#Headers],0),0)</f>
        <v>SN2-4 5/8-E</v>
      </c>
      <c r="L667" s="2" t="str">
        <f>VLOOKUP([jobnumber],OvalData[],MATCH(Table2[[#Headers],[Wall Angle]],Table2[#Headers],0),0)</f>
        <v xml:space="preserve"> 11 ft.- 8"</v>
      </c>
      <c r="M667" s="2" t="str">
        <f>VLOOKUP([jobnumber],OvalData[],MATCH(Table2[[#Headers],[Middle Angle]],Table2[#Headers],0),0)</f>
        <v xml:space="preserve"> 10 ft.- 4 1/ 2"</v>
      </c>
      <c r="N667" s="2" t="str">
        <f>VLOOKUP([jobnumber],OvalData[],MATCH(Table2[[#Headers],[Front Angle]],Table2[#Headers],0),0)</f>
        <v xml:space="preserve"> 10 ft.- 3"</v>
      </c>
      <c r="O667" s="2">
        <f>VLOOKUP([jobnumber],OvalData[],MATCH(Table2[[#Headers],[Pipe Center Line]],Table2[#Headers],0),0)</f>
        <v>131</v>
      </c>
      <c r="P667" s="2">
        <f>VLOOKUP([jobnumber],OvalData[],MATCH(Table2[[#Headers],[Heat Expansion Gap]],Table2[#Headers],0),0)</f>
        <v>0</v>
      </c>
      <c r="Q667" s="2">
        <f>VLOOKUP([jobnumber],OvalData[],MATCH(Table2[[#Headers],[Hanging Weight Closed]],Table2[#Headers],0),0)</f>
        <v>795</v>
      </c>
      <c r="R667" s="2">
        <f>VLOOKUP([jobnumber],OvalData[],MATCH(Table2[[#Headers],[Hanging Weight Open]],Table2[#Headers],0),0)</f>
        <v>140</v>
      </c>
      <c r="S667" s="2">
        <f>VLOOKUP([jobnumber],OvalData[],MATCH(Table2[[#Headers],[Initial Lever Arm]],Table2[#Headers],0),0)</f>
        <v>4.25</v>
      </c>
      <c r="T667" s="2">
        <f>VLOOKUP([jobnumber],OvalData[],MATCH(Table2[[#Headers],[Turns to Raise]],Table2[#Headers],0),0)</f>
        <v>3.5859999999999999</v>
      </c>
      <c r="U667" s="2">
        <f>VLOOKUP([jobnumber],OvalData[],MATCH(Table2[[#Headers],[Final Lever Arm]],Table2[#Headers],0),0)</f>
        <v>6.37</v>
      </c>
      <c r="V667" s="2">
        <f>VLOOKUP([jobnumber],OvalData[],MATCH(Table2[[#Headers],[Torque Required Closed]],Table2[#Headers],0),0)</f>
        <v>3377.9</v>
      </c>
      <c r="W667" s="2">
        <f>VLOOKUP([jobnumber],OvalData[],MATCH(Table2[[#Headers],[Torque Required Open]],Table2[#Headers],0),0)</f>
        <v>892</v>
      </c>
      <c r="X667" s="2">
        <f>VLOOKUP([jobnumber],OvalData[],MATCH(Table2[[#Headers],[Pre Turns]],Table2[#Headers],0),0)</f>
        <v>1.3332999999999999</v>
      </c>
      <c r="Y667" s="2">
        <f>VLOOKUP([jobnumber],OvalData[],MATCH(Table2[[#Headers],[Required Torque Per Turn]],Table2[#Headers],0),0)</f>
        <v>688</v>
      </c>
      <c r="Z667" s="2">
        <f>VLOOKUP([jobnumber],OvalData[],MATCH(Table2[[#Headers],[Total Turns]],Table2[#Headers],0),0)</f>
        <v>4.91</v>
      </c>
      <c r="AA667" s="2">
        <f>VLOOKUP([jobnumber],OvalData[],MATCH(Table2[[#Headers],[Grille Vision Section]],Table2[#Headers],0),0)</f>
        <v>0</v>
      </c>
      <c r="AB667" s="2">
        <f>VLOOKUP([jobnumber],OvalData[],MATCH(Table2[[#Headers],[Grille Amount]],Table2[#Headers],0),0)</f>
        <v>0</v>
      </c>
      <c r="AC667" s="2">
        <f>VLOOKUP([jobnumber],OvalData[],MATCH(Table2[[#Headers],[Grille Center]],Table2[#Headers],0),0)</f>
        <v>0</v>
      </c>
      <c r="AD667" s="2">
        <f>VLOOKUP([jobnumber],OvalData[],MATCH(Table2[[#Headers],[Grille Pattern]],Table2[#Headers],0),0)</f>
        <v>0</v>
      </c>
      <c r="AE667" s="2">
        <f>VLOOKUP([jobnumber],OvalData[],MATCH(Table2[[#Headers],[Grille First Tube]],Table2[#Headers],0),0)</f>
        <v>0</v>
      </c>
      <c r="AF667" s="2">
        <f>VLOOKUP([jobnumber],OvalData[],MATCH(Table2[[#Headers],[Grille Standard Tube]],Table2[#Headers],0),0)</f>
        <v>0</v>
      </c>
      <c r="AG667" s="2">
        <f>VLOOKUP([jobnumber],OvalData[],MATCH(Table2[[#Headers],[Grille Total Links]],Table2[#Headers],0),0)</f>
        <v>0</v>
      </c>
      <c r="AH667" s="2">
        <f>VLOOKUP([jobnumber],OvalData[],MATCH(Table2[[#Headers],[Grille Rods]],Table2[#Headers],0),0)</f>
        <v>0</v>
      </c>
      <c r="AI667" s="2">
        <f>VLOOKUP([jobnumber],OvalData[],MATCH(Table2[[#Headers],[Grille Rod Length]],Table2[#Headers],0),0)</f>
        <v>0</v>
      </c>
      <c r="AJ667" s="2">
        <f>VLOOKUP([jobnumber],OvalData[],MATCH(Table2[[#Headers],[slattype]],Table2[#Headers],0),0)</f>
        <v>2</v>
      </c>
      <c r="AK667" s="2">
        <f>VLOOKUP([jobnumber],OvalData[],MATCH(Table2[[#Headers],[slatgage]],Table2[#Headers],0),0)</f>
        <v>18</v>
      </c>
      <c r="AL667" s="2">
        <f>VLOOKUP([jobnumber],OvalData[],MATCH(Table2[[#Headers],[Numer of Top Slats]],Table2[#Headers],0),0)</f>
        <v>0</v>
      </c>
      <c r="AM667" s="2">
        <f>VLOOKUP([jobnumber],OvalData[],MATCH(Table2[[#Headers],[Number of Bottom Slats]],Table2[#Headers],0),0)</f>
        <v>0</v>
      </c>
      <c r="AN667" s="2">
        <f>VLOOKUP([jobnumber],OvalData[],MATCH(Table2[[#Headers],[Solid Bottom Height]],Table2[#Headers],0),0)</f>
        <v>0</v>
      </c>
      <c r="AO667" s="2" t="str">
        <f>VLOOKUP([jobnumber],OvalData[],MATCH(Table2[[#Headers],[slatlength]],Table2[#Headers],0),0)</f>
        <v xml:space="preserve"> 18 ft.- 5 7/ 8"</v>
      </c>
      <c r="AP667" s="2">
        <f>VLOOKUP([jobnumber],OvalData[],MATCH(Table2[[#Headers],[Bottom Slat Length]],Table2[#Headers],0),0)</f>
        <v>0</v>
      </c>
      <c r="AQ667" s="2">
        <f>VLOOKUP([jobnumber],OvalData[],MATCH(Table2[[#Headers],[Number of Perferated Slats]],Table2[#Headers],0),0)</f>
        <v>0</v>
      </c>
      <c r="AR667" s="2">
        <f>VLOOKUP([jobnumber],OvalData[],MATCH(Table2[[#Headers],[First Preferated Slat From End]],Table2[#Headers],0),0)</f>
        <v>0</v>
      </c>
      <c r="AS667" s="2">
        <f>VLOOKUP([jobnumber],OvalData[],MATCH(Table2[[#Headers],[First Preferated Slat From Bottom]],Table2[#Headers],0),0)</f>
        <v>0</v>
      </c>
      <c r="AT667" s="2">
        <f>VLOOKUP([jobnumber],OvalData[],MATCH(Table2[[#Headers],[Total Number of Slats]],Table2[#Headers],0),0)</f>
        <v>51</v>
      </c>
      <c r="AU667" s="2">
        <f>VLOOKUP([jobnumber],OvalData[],MATCH(Table2[[#Headers],[Bottom Bar Slope]],Table2[#Headers],0),0)</f>
        <v>0</v>
      </c>
      <c r="AV667" s="2">
        <f>VLOOKUP([jobnumber],OvalData[],MATCH(Table2[[#Headers],[Bottom Bar Weight]],Table2[#Headers],0),0)</f>
        <v>80.5</v>
      </c>
      <c r="AW667" s="2" t="str">
        <f>VLOOKUP([jobnumber],OvalData[],MATCH(Table2[[#Headers],[Outer Spring Gage]],Table2[#Headers],0),0)</f>
        <v>Null</v>
      </c>
      <c r="AX667" s="2" t="str">
        <f>VLOOKUP([jobnumber],OvalData[],MATCH(Table2[[#Headers],[Outer Spring OD]],Table2[#Headers],0),0)</f>
        <v>Null</v>
      </c>
      <c r="AY667" s="2" t="str">
        <f>VLOOKUP([jobnumber],OvalData[],MATCH(Table2[[#Headers],[Outer Spring Length]],Table2[#Headers],0),0)</f>
        <v>Null</v>
      </c>
      <c r="AZ667" s="2" t="str">
        <f>VLOOKUP([jobnumber],OvalData[],MATCH(Table2[[#Headers],[Outer Spring Stretch]],Table2[#Headers],0),0)</f>
        <v>Null</v>
      </c>
      <c r="BA667" s="2" t="str">
        <f>VLOOKUP([jobnumber],OvalData[],MATCH(Table2[[#Headers],[Outer Spring Torque]],Table2[#Headers],0),0)</f>
        <v>Null</v>
      </c>
      <c r="BB667" s="2" t="str">
        <f>VLOOKUP([jobnumber],OvalData[],MATCH(Table2[[#Headers],[Outer Spring Max Turns]],Table2[#Headers],0),0)</f>
        <v>Null</v>
      </c>
      <c r="BC667" s="2" t="str">
        <f>VLOOKUP([jobnumber],OvalData[],MATCH(Table2[[#Headers],[Outer Spring Weight]],Table2[#Headers],0),0)</f>
        <v>Null</v>
      </c>
      <c r="BD667" s="2" t="str">
        <f>VLOOKUP([jobnumber],OvalData[],MATCH(Table2[[#Headers],[Inner Spring Gage]],Table2[#Headers],0),0)</f>
        <v>Null</v>
      </c>
      <c r="BE667" s="2" t="str">
        <f>VLOOKUP([jobnumber],OvalData[],MATCH(Table2[[#Headers],[Inner Spring OD]],Table2[#Headers],0),0)</f>
        <v>Null</v>
      </c>
      <c r="BF667" s="2" t="str">
        <f>VLOOKUP([jobnumber],OvalData[],MATCH(Table2[[#Headers],[Inner Spring Length]],Table2[#Headers],0),0)</f>
        <v>Null</v>
      </c>
      <c r="BG667" s="2" t="str">
        <f>VLOOKUP([jobnumber],OvalData[],MATCH(Table2[[#Headers],[Inner Spring Stretch]],Table2[#Headers],0),0)</f>
        <v>Null</v>
      </c>
      <c r="BH667" s="2" t="str">
        <f>VLOOKUP([jobnumber],OvalData[],MATCH(Table2[[#Headers],[Inner Spring Torque]],Table2[#Headers],0),0)</f>
        <v>Null</v>
      </c>
      <c r="BI667" s="2" t="str">
        <f>VLOOKUP([jobnumber],OvalData[],MATCH(Table2[[#Headers],[Inner Spring Max Turns]],Table2[#Headers],0),0)</f>
        <v>Null</v>
      </c>
      <c r="BJ667" s="2" t="str">
        <f>VLOOKUP([jobnumber],OvalData[],MATCH(Table2[[#Headers],[Inner Spring Weight]],Table2[#Headers],0),0)</f>
        <v>Null</v>
      </c>
      <c r="BK667" s="2">
        <f>VLOOKUP([jobnumber],OvalData[],MATCH(Table2[[#Headers],[Cycles]],Table2[#Headers],0),0)</f>
        <v>0</v>
      </c>
      <c r="BL667" s="2">
        <f>VLOOKUP([jobnumber],OvalData[],MATCH(Table2[[#Headers],[Total Spring Torque]],Table2[#Headers],0),0)</f>
        <v>0</v>
      </c>
      <c r="BM667" s="2">
        <f>VLOOKUP([jobnumber],OvalData[],MATCH(Table2[[#Headers],[Total Spring Weight]],Table2[#Headers],0),0)</f>
        <v>0</v>
      </c>
      <c r="BN667" s="2">
        <f>VLOOKUP([jobnumber],OvalData[],MATCH(Table2[[#Headers],[Pipe Weight]],Table2[#Headers],0),0)</f>
        <v>688.24239999999998</v>
      </c>
      <c r="BO667" s="2">
        <f>VLOOKUP([jobnumber],OvalData[],MATCH(Table2[[#Headers],[Max Pipe Deflection]],Table2[#Headers],0),0)</f>
        <v>2309</v>
      </c>
      <c r="BP667" s="2">
        <f>VLOOKUP([jobnumber],OvalData[],MATCH(Table2[[#Headers],[Number Non-Insulated Wrap Slats]],Table2[#Headers],0),0)</f>
        <v>0</v>
      </c>
      <c r="BQ667" s="2">
        <f>VLOOKUP([jobnumber],OvalData[],MATCH(Table2[[#Headers],[Number of Insolated Top Slats]],Table2[#Headers],0),0)</f>
        <v>45</v>
      </c>
      <c r="BR667" s="2">
        <f>VLOOKUP([jobnumber],OvalData[],MATCH(Table2[[#Headers],[Insolated Total Slats]],Table2[#Headers],0),0)</f>
        <v>45</v>
      </c>
      <c r="BS667" s="2">
        <f>VLOOKUP([jobnumber],OvalData[],MATCH(Table2[[#Headers],[Number of Slats]],Table2[#Headers],0),0)</f>
        <v>44.69</v>
      </c>
      <c r="BT667" s="2">
        <f>VLOOKUP([jobnumber],OvalData[],MATCH(Table2[[#Headers],[Wrap]],Table2[#Headers],0),0)</f>
        <v>0</v>
      </c>
      <c r="BU667" s="2">
        <f>VLOOKUP([jobnumber],OvalData[],MATCH(Table2[[#Headers],[Wall Angle Thickness]],Table2[#Headers],0),0)</f>
        <v>0</v>
      </c>
      <c r="BV667" s="2">
        <f>VLOOKUP([jobnumber],OvalData[],MATCH(Table2[[#Headers],[windlocks]],Table2[#Headers],0),0)</f>
        <v>0</v>
      </c>
      <c r="BW667" s="2" t="str">
        <f>VLOOKUP([jobnumber],OvalData[],MATCH(Table2[[#Headers],[bottombartype]],Table2[#Headers],0),0)</f>
        <v>SPECIAL</v>
      </c>
      <c r="BX667" s="2">
        <f>VLOOKUP([jobnumber],OvalData[],MATCH(Table2[[#Headers],[endlockweight]],Table2[#Headers],0),0)</f>
        <v>0.17</v>
      </c>
      <c r="BY667" s="2">
        <f>VLOOKUP([jobnumber],OvalData[],MATCH(Table2[[#Headers],[Endlock Total Weight]],Table2[#Headers],0),0)</f>
        <v>7.5972999999999997</v>
      </c>
      <c r="BZ667" s="2">
        <f>VLOOKUP([jobnumber],OvalData[],MATCH(Table2[[#Headers],[Grille Weight]],Table2[#Headers],0),0)</f>
        <v>0</v>
      </c>
      <c r="CA667" s="2">
        <f>VLOOKUP([jobnumber],OvalData[],MATCH(Table2[[#Headers],[barrelrings]],Table2[#Headers],0),0)</f>
        <v>1</v>
      </c>
    </row>
    <row r="668" spans="2:79">
      <c r="B668" s="2" t="str">
        <f>VLOOKUP([jobnumber],OvalData[],MATCH(Table2[[#Headers],[Hand]],Table2[#Headers],0),0)</f>
        <v>RH</v>
      </c>
      <c r="C668" s="2" t="str">
        <f>VLOOKUP([jobnumber],OvalData[],MATCH(Table2[[#Headers],[Model]],Table2[#Headers],0),0)</f>
        <v>SFMPP</v>
      </c>
      <c r="D668" s="2" t="str">
        <f>VLOOKUP([jobnumber],OvalData[],MATCH(Table2[[#Headers],[width]],Table2[#Headers],0),0)</f>
        <v xml:space="preserve"> 18 ft.- 2"</v>
      </c>
      <c r="E668" s="2" t="str">
        <f>VLOOKUP([jobnumber],OvalData[],MATCH(Table2[[#Headers],[stopheight]],Table2[#Headers],0),0)</f>
        <v xml:space="preserve"> 10 ft.- 0"</v>
      </c>
      <c r="F668" s="2" t="str">
        <f>VLOOKUP([jobnumber],OvalData[],MATCH(Table2[[#Headers],[Between Brackets]],Table2[#Headers],0),0)</f>
        <v xml:space="preserve"> 18 ft.- 7 7/ 8"</v>
      </c>
      <c r="G668" s="2" t="str">
        <f>VLOOKUP([jobnumber],OvalData[],MATCH(Table2[[#Headers],[shell]],Table2[#Headers],0),0)</f>
        <v>6 INCH TUBE</v>
      </c>
      <c r="H668" s="2" t="str">
        <f>VLOOKUP([jobnumber],OvalData[],MATCH(Table2[[#Headers],[pipewidth]],Table2[#Headers],0),0)</f>
        <v xml:space="preserve"> 18 ft.- 1 3/ 8"</v>
      </c>
      <c r="I668" s="2">
        <f>VLOOKUP([jobnumber],OvalData[],MATCH(Table2[[#Headers],[Support Tubes]],Table2[#Headers],0),0)</f>
        <v>0</v>
      </c>
      <c r="J668" s="2">
        <f>VLOOKUP([jobnumber],OvalData[],MATCH(Table2[[#Headers],[Upset]],Table2[#Headers],0),0)</f>
        <v>2</v>
      </c>
      <c r="K668" s="2" t="str">
        <f>VLOOKUP([jobnumber],OvalData[],MATCH(Table2[[#Headers],[Guide Type]],Table2[#Headers],0),0)</f>
        <v>SN2-4 5/8-E</v>
      </c>
      <c r="L668" s="2" t="str">
        <f>VLOOKUP([jobnumber],OvalData[],MATCH(Table2[[#Headers],[Wall Angle]],Table2[#Headers],0),0)</f>
        <v xml:space="preserve"> 11 ft.- 8"</v>
      </c>
      <c r="M668" s="2" t="str">
        <f>VLOOKUP([jobnumber],OvalData[],MATCH(Table2[[#Headers],[Middle Angle]],Table2[#Headers],0),0)</f>
        <v xml:space="preserve"> 10 ft.- 4 1/ 2"</v>
      </c>
      <c r="N668" s="2" t="str">
        <f>VLOOKUP([jobnumber],OvalData[],MATCH(Table2[[#Headers],[Front Angle]],Table2[#Headers],0),0)</f>
        <v xml:space="preserve"> 10 ft.- 3"</v>
      </c>
      <c r="O668" s="2">
        <f>VLOOKUP([jobnumber],OvalData[],MATCH(Table2[[#Headers],[Pipe Center Line]],Table2[#Headers],0),0)</f>
        <v>131</v>
      </c>
      <c r="P668" s="2">
        <f>VLOOKUP([jobnumber],OvalData[],MATCH(Table2[[#Headers],[Heat Expansion Gap]],Table2[#Headers],0),0)</f>
        <v>0</v>
      </c>
      <c r="Q668" s="2">
        <f>VLOOKUP([jobnumber],OvalData[],MATCH(Table2[[#Headers],[Hanging Weight Closed]],Table2[#Headers],0),0)</f>
        <v>795</v>
      </c>
      <c r="R668" s="2">
        <f>VLOOKUP([jobnumber],OvalData[],MATCH(Table2[[#Headers],[Hanging Weight Open]],Table2[#Headers],0),0)</f>
        <v>140</v>
      </c>
      <c r="S668" s="2">
        <f>VLOOKUP([jobnumber],OvalData[],MATCH(Table2[[#Headers],[Initial Lever Arm]],Table2[#Headers],0),0)</f>
        <v>4.25</v>
      </c>
      <c r="T668" s="2">
        <f>VLOOKUP([jobnumber],OvalData[],MATCH(Table2[[#Headers],[Turns to Raise]],Table2[#Headers],0),0)</f>
        <v>3.5859999999999999</v>
      </c>
      <c r="U668" s="2">
        <f>VLOOKUP([jobnumber],OvalData[],MATCH(Table2[[#Headers],[Final Lever Arm]],Table2[#Headers],0),0)</f>
        <v>6.37</v>
      </c>
      <c r="V668" s="2">
        <f>VLOOKUP([jobnumber],OvalData[],MATCH(Table2[[#Headers],[Torque Required Closed]],Table2[#Headers],0),0)</f>
        <v>3377.9</v>
      </c>
      <c r="W668" s="2">
        <f>VLOOKUP([jobnumber],OvalData[],MATCH(Table2[[#Headers],[Torque Required Open]],Table2[#Headers],0),0)</f>
        <v>892</v>
      </c>
      <c r="X668" s="2">
        <f>VLOOKUP([jobnumber],OvalData[],MATCH(Table2[[#Headers],[Pre Turns]],Table2[#Headers],0),0)</f>
        <v>1.3332999999999999</v>
      </c>
      <c r="Y668" s="2">
        <f>VLOOKUP([jobnumber],OvalData[],MATCH(Table2[[#Headers],[Required Torque Per Turn]],Table2[#Headers],0),0)</f>
        <v>688</v>
      </c>
      <c r="Z668" s="2">
        <f>VLOOKUP([jobnumber],OvalData[],MATCH(Table2[[#Headers],[Total Turns]],Table2[#Headers],0),0)</f>
        <v>4.91</v>
      </c>
      <c r="AA668" s="2">
        <f>VLOOKUP([jobnumber],OvalData[],MATCH(Table2[[#Headers],[Grille Vision Section]],Table2[#Headers],0),0)</f>
        <v>0</v>
      </c>
      <c r="AB668" s="2">
        <f>VLOOKUP([jobnumber],OvalData[],MATCH(Table2[[#Headers],[Grille Amount]],Table2[#Headers],0),0)</f>
        <v>0</v>
      </c>
      <c r="AC668" s="2">
        <f>VLOOKUP([jobnumber],OvalData[],MATCH(Table2[[#Headers],[Grille Center]],Table2[#Headers],0),0)</f>
        <v>0</v>
      </c>
      <c r="AD668" s="2">
        <f>VLOOKUP([jobnumber],OvalData[],MATCH(Table2[[#Headers],[Grille Pattern]],Table2[#Headers],0),0)</f>
        <v>0</v>
      </c>
      <c r="AE668" s="2">
        <f>VLOOKUP([jobnumber],OvalData[],MATCH(Table2[[#Headers],[Grille First Tube]],Table2[#Headers],0),0)</f>
        <v>0</v>
      </c>
      <c r="AF668" s="2">
        <f>VLOOKUP([jobnumber],OvalData[],MATCH(Table2[[#Headers],[Grille Standard Tube]],Table2[#Headers],0),0)</f>
        <v>0</v>
      </c>
      <c r="AG668" s="2">
        <f>VLOOKUP([jobnumber],OvalData[],MATCH(Table2[[#Headers],[Grille Total Links]],Table2[#Headers],0),0)</f>
        <v>0</v>
      </c>
      <c r="AH668" s="2">
        <f>VLOOKUP([jobnumber],OvalData[],MATCH(Table2[[#Headers],[Grille Rods]],Table2[#Headers],0),0)</f>
        <v>0</v>
      </c>
      <c r="AI668" s="2">
        <f>VLOOKUP([jobnumber],OvalData[],MATCH(Table2[[#Headers],[Grille Rod Length]],Table2[#Headers],0),0)</f>
        <v>0</v>
      </c>
      <c r="AJ668" s="2">
        <f>VLOOKUP([jobnumber],OvalData[],MATCH(Table2[[#Headers],[slattype]],Table2[#Headers],0),0)</f>
        <v>2</v>
      </c>
      <c r="AK668" s="2">
        <f>VLOOKUP([jobnumber],OvalData[],MATCH(Table2[[#Headers],[slatgage]],Table2[#Headers],0),0)</f>
        <v>18</v>
      </c>
      <c r="AL668" s="2">
        <f>VLOOKUP([jobnumber],OvalData[],MATCH(Table2[[#Headers],[Numer of Top Slats]],Table2[#Headers],0),0)</f>
        <v>0</v>
      </c>
      <c r="AM668" s="2">
        <f>VLOOKUP([jobnumber],OvalData[],MATCH(Table2[[#Headers],[Number of Bottom Slats]],Table2[#Headers],0),0)</f>
        <v>0</v>
      </c>
      <c r="AN668" s="2">
        <f>VLOOKUP([jobnumber],OvalData[],MATCH(Table2[[#Headers],[Solid Bottom Height]],Table2[#Headers],0),0)</f>
        <v>0</v>
      </c>
      <c r="AO668" s="2" t="str">
        <f>VLOOKUP([jobnumber],OvalData[],MATCH(Table2[[#Headers],[slatlength]],Table2[#Headers],0),0)</f>
        <v xml:space="preserve"> 18 ft.- 5 7/ 8"</v>
      </c>
      <c r="AP668" s="2">
        <f>VLOOKUP([jobnumber],OvalData[],MATCH(Table2[[#Headers],[Bottom Slat Length]],Table2[#Headers],0),0)</f>
        <v>0</v>
      </c>
      <c r="AQ668" s="2">
        <f>VLOOKUP([jobnumber],OvalData[],MATCH(Table2[[#Headers],[Number of Perferated Slats]],Table2[#Headers],0),0)</f>
        <v>0</v>
      </c>
      <c r="AR668" s="2">
        <f>VLOOKUP([jobnumber],OvalData[],MATCH(Table2[[#Headers],[First Preferated Slat From End]],Table2[#Headers],0),0)</f>
        <v>0</v>
      </c>
      <c r="AS668" s="2">
        <f>VLOOKUP([jobnumber],OvalData[],MATCH(Table2[[#Headers],[First Preferated Slat From Bottom]],Table2[#Headers],0),0)</f>
        <v>0</v>
      </c>
      <c r="AT668" s="2">
        <f>VLOOKUP([jobnumber],OvalData[],MATCH(Table2[[#Headers],[Total Number of Slats]],Table2[#Headers],0),0)</f>
        <v>51</v>
      </c>
      <c r="AU668" s="2">
        <f>VLOOKUP([jobnumber],OvalData[],MATCH(Table2[[#Headers],[Bottom Bar Slope]],Table2[#Headers],0),0)</f>
        <v>0</v>
      </c>
      <c r="AV668" s="2">
        <f>VLOOKUP([jobnumber],OvalData[],MATCH(Table2[[#Headers],[Bottom Bar Weight]],Table2[#Headers],0),0)</f>
        <v>80.5</v>
      </c>
      <c r="AW668" s="2" t="str">
        <f>VLOOKUP([jobnumber],OvalData[],MATCH(Table2[[#Headers],[Outer Spring Gage]],Table2[#Headers],0),0)</f>
        <v>Null</v>
      </c>
      <c r="AX668" s="2" t="str">
        <f>VLOOKUP([jobnumber],OvalData[],MATCH(Table2[[#Headers],[Outer Spring OD]],Table2[#Headers],0),0)</f>
        <v>Null</v>
      </c>
      <c r="AY668" s="2" t="str">
        <f>VLOOKUP([jobnumber],OvalData[],MATCH(Table2[[#Headers],[Outer Spring Length]],Table2[#Headers],0),0)</f>
        <v>Null</v>
      </c>
      <c r="AZ668" s="2" t="str">
        <f>VLOOKUP([jobnumber],OvalData[],MATCH(Table2[[#Headers],[Outer Spring Stretch]],Table2[#Headers],0),0)</f>
        <v>Null</v>
      </c>
      <c r="BA668" s="2" t="str">
        <f>VLOOKUP([jobnumber],OvalData[],MATCH(Table2[[#Headers],[Outer Spring Torque]],Table2[#Headers],0),0)</f>
        <v>Null</v>
      </c>
      <c r="BB668" s="2" t="str">
        <f>VLOOKUP([jobnumber],OvalData[],MATCH(Table2[[#Headers],[Outer Spring Max Turns]],Table2[#Headers],0),0)</f>
        <v>Null</v>
      </c>
      <c r="BC668" s="2" t="str">
        <f>VLOOKUP([jobnumber],OvalData[],MATCH(Table2[[#Headers],[Outer Spring Weight]],Table2[#Headers],0),0)</f>
        <v>Null</v>
      </c>
      <c r="BD668" s="2" t="str">
        <f>VLOOKUP([jobnumber],OvalData[],MATCH(Table2[[#Headers],[Inner Spring Gage]],Table2[#Headers],0),0)</f>
        <v>Null</v>
      </c>
      <c r="BE668" s="2" t="str">
        <f>VLOOKUP([jobnumber],OvalData[],MATCH(Table2[[#Headers],[Inner Spring OD]],Table2[#Headers],0),0)</f>
        <v>Null</v>
      </c>
      <c r="BF668" s="2" t="str">
        <f>VLOOKUP([jobnumber],OvalData[],MATCH(Table2[[#Headers],[Inner Spring Length]],Table2[#Headers],0),0)</f>
        <v>Null</v>
      </c>
      <c r="BG668" s="2" t="str">
        <f>VLOOKUP([jobnumber],OvalData[],MATCH(Table2[[#Headers],[Inner Spring Stretch]],Table2[#Headers],0),0)</f>
        <v>Null</v>
      </c>
      <c r="BH668" s="2" t="str">
        <f>VLOOKUP([jobnumber],OvalData[],MATCH(Table2[[#Headers],[Inner Spring Torque]],Table2[#Headers],0),0)</f>
        <v>Null</v>
      </c>
      <c r="BI668" s="2" t="str">
        <f>VLOOKUP([jobnumber],OvalData[],MATCH(Table2[[#Headers],[Inner Spring Max Turns]],Table2[#Headers],0),0)</f>
        <v>Null</v>
      </c>
      <c r="BJ668" s="2" t="str">
        <f>VLOOKUP([jobnumber],OvalData[],MATCH(Table2[[#Headers],[Inner Spring Weight]],Table2[#Headers],0),0)</f>
        <v>Null</v>
      </c>
      <c r="BK668" s="2">
        <f>VLOOKUP([jobnumber],OvalData[],MATCH(Table2[[#Headers],[Cycles]],Table2[#Headers],0),0)</f>
        <v>0</v>
      </c>
      <c r="BL668" s="2">
        <f>VLOOKUP([jobnumber],OvalData[],MATCH(Table2[[#Headers],[Total Spring Torque]],Table2[#Headers],0),0)</f>
        <v>0</v>
      </c>
      <c r="BM668" s="2">
        <f>VLOOKUP([jobnumber],OvalData[],MATCH(Table2[[#Headers],[Total Spring Weight]],Table2[#Headers],0),0)</f>
        <v>0</v>
      </c>
      <c r="BN668" s="2">
        <f>VLOOKUP([jobnumber],OvalData[],MATCH(Table2[[#Headers],[Pipe Weight]],Table2[#Headers],0),0)</f>
        <v>688.24239999999998</v>
      </c>
      <c r="BO668" s="2">
        <f>VLOOKUP([jobnumber],OvalData[],MATCH(Table2[[#Headers],[Max Pipe Deflection]],Table2[#Headers],0),0)</f>
        <v>2309</v>
      </c>
      <c r="BP668" s="2">
        <f>VLOOKUP([jobnumber],OvalData[],MATCH(Table2[[#Headers],[Number Non-Insulated Wrap Slats]],Table2[#Headers],0),0)</f>
        <v>0</v>
      </c>
      <c r="BQ668" s="2">
        <f>VLOOKUP([jobnumber],OvalData[],MATCH(Table2[[#Headers],[Number of Insolated Top Slats]],Table2[#Headers],0),0)</f>
        <v>45</v>
      </c>
      <c r="BR668" s="2">
        <f>VLOOKUP([jobnumber],OvalData[],MATCH(Table2[[#Headers],[Insolated Total Slats]],Table2[#Headers],0),0)</f>
        <v>45</v>
      </c>
      <c r="BS668" s="2">
        <f>VLOOKUP([jobnumber],OvalData[],MATCH(Table2[[#Headers],[Number of Slats]],Table2[#Headers],0),0)</f>
        <v>44.69</v>
      </c>
      <c r="BT668" s="2">
        <f>VLOOKUP([jobnumber],OvalData[],MATCH(Table2[[#Headers],[Wrap]],Table2[#Headers],0),0)</f>
        <v>0</v>
      </c>
      <c r="BU668" s="2">
        <f>VLOOKUP([jobnumber],OvalData[],MATCH(Table2[[#Headers],[Wall Angle Thickness]],Table2[#Headers],0),0)</f>
        <v>0</v>
      </c>
      <c r="BV668" s="2">
        <f>VLOOKUP([jobnumber],OvalData[],MATCH(Table2[[#Headers],[windlocks]],Table2[#Headers],0),0)</f>
        <v>0</v>
      </c>
      <c r="BW668" s="2" t="str">
        <f>VLOOKUP([jobnumber],OvalData[],MATCH(Table2[[#Headers],[bottombartype]],Table2[#Headers],0),0)</f>
        <v>SPECIAL</v>
      </c>
      <c r="BX668" s="2">
        <f>VLOOKUP([jobnumber],OvalData[],MATCH(Table2[[#Headers],[endlockweight]],Table2[#Headers],0),0)</f>
        <v>0.17</v>
      </c>
      <c r="BY668" s="2">
        <f>VLOOKUP([jobnumber],OvalData[],MATCH(Table2[[#Headers],[Endlock Total Weight]],Table2[#Headers],0),0)</f>
        <v>7.5972999999999997</v>
      </c>
      <c r="BZ668" s="2">
        <f>VLOOKUP([jobnumber],OvalData[],MATCH(Table2[[#Headers],[Grille Weight]],Table2[#Headers],0),0)</f>
        <v>0</v>
      </c>
      <c r="CA668" s="2">
        <f>VLOOKUP([jobnumber],OvalData[],MATCH(Table2[[#Headers],[barrelrings]],Table2[#Headers],0),0)</f>
        <v>1</v>
      </c>
    </row>
    <row r="669" spans="2:79">
      <c r="B669" s="2" t="str">
        <f>VLOOKUP([jobnumber],OvalData[],MATCH(Table2[[#Headers],[Hand]],Table2[#Headers],0),0)</f>
        <v>RH</v>
      </c>
      <c r="C669" s="2" t="str">
        <f>VLOOKUP([jobnumber],OvalData[],MATCH(Table2[[#Headers],[Model]],Table2[#Headers],0),0)</f>
        <v>SFMPP</v>
      </c>
      <c r="D669" s="2" t="str">
        <f>VLOOKUP([jobnumber],OvalData[],MATCH(Table2[[#Headers],[width]],Table2[#Headers],0),0)</f>
        <v xml:space="preserve"> 18 ft.- 2"</v>
      </c>
      <c r="E669" s="2" t="str">
        <f>VLOOKUP([jobnumber],OvalData[],MATCH(Table2[[#Headers],[stopheight]],Table2[#Headers],0),0)</f>
        <v xml:space="preserve"> 10 ft.- 0"</v>
      </c>
      <c r="F669" s="2" t="str">
        <f>VLOOKUP([jobnumber],OvalData[],MATCH(Table2[[#Headers],[Between Brackets]],Table2[#Headers],0),0)</f>
        <v xml:space="preserve"> 18 ft.- 7 7/ 8"</v>
      </c>
      <c r="G669" s="2" t="str">
        <f>VLOOKUP([jobnumber],OvalData[],MATCH(Table2[[#Headers],[shell]],Table2[#Headers],0),0)</f>
        <v>6 INCH TUBE</v>
      </c>
      <c r="H669" s="2" t="str">
        <f>VLOOKUP([jobnumber],OvalData[],MATCH(Table2[[#Headers],[pipewidth]],Table2[#Headers],0),0)</f>
        <v xml:space="preserve"> 18 ft.- 1 3/ 8"</v>
      </c>
      <c r="I669" s="2">
        <f>VLOOKUP([jobnumber],OvalData[],MATCH(Table2[[#Headers],[Support Tubes]],Table2[#Headers],0),0)</f>
        <v>0</v>
      </c>
      <c r="J669" s="2">
        <f>VLOOKUP([jobnumber],OvalData[],MATCH(Table2[[#Headers],[Upset]],Table2[#Headers],0),0)</f>
        <v>2</v>
      </c>
      <c r="K669" s="2" t="str">
        <f>VLOOKUP([jobnumber],OvalData[],MATCH(Table2[[#Headers],[Guide Type]],Table2[#Headers],0),0)</f>
        <v>SN2-4 5/8-E</v>
      </c>
      <c r="L669" s="2" t="str">
        <f>VLOOKUP([jobnumber],OvalData[],MATCH(Table2[[#Headers],[Wall Angle]],Table2[#Headers],0),0)</f>
        <v xml:space="preserve"> 11 ft.- 8"</v>
      </c>
      <c r="M669" s="2" t="str">
        <f>VLOOKUP([jobnumber],OvalData[],MATCH(Table2[[#Headers],[Middle Angle]],Table2[#Headers],0),0)</f>
        <v xml:space="preserve"> 10 ft.- 4 1/ 2"</v>
      </c>
      <c r="N669" s="2" t="str">
        <f>VLOOKUP([jobnumber],OvalData[],MATCH(Table2[[#Headers],[Front Angle]],Table2[#Headers],0),0)</f>
        <v xml:space="preserve"> 10 ft.- 3"</v>
      </c>
      <c r="O669" s="2">
        <f>VLOOKUP([jobnumber],OvalData[],MATCH(Table2[[#Headers],[Pipe Center Line]],Table2[#Headers],0),0)</f>
        <v>131</v>
      </c>
      <c r="P669" s="2">
        <f>VLOOKUP([jobnumber],OvalData[],MATCH(Table2[[#Headers],[Heat Expansion Gap]],Table2[#Headers],0),0)</f>
        <v>0</v>
      </c>
      <c r="Q669" s="2">
        <f>VLOOKUP([jobnumber],OvalData[],MATCH(Table2[[#Headers],[Hanging Weight Closed]],Table2[#Headers],0),0)</f>
        <v>795</v>
      </c>
      <c r="R669" s="2">
        <f>VLOOKUP([jobnumber],OvalData[],MATCH(Table2[[#Headers],[Hanging Weight Open]],Table2[#Headers],0),0)</f>
        <v>140</v>
      </c>
      <c r="S669" s="2">
        <f>VLOOKUP([jobnumber],OvalData[],MATCH(Table2[[#Headers],[Initial Lever Arm]],Table2[#Headers],0),0)</f>
        <v>4.25</v>
      </c>
      <c r="T669" s="2">
        <f>VLOOKUP([jobnumber],OvalData[],MATCH(Table2[[#Headers],[Turns to Raise]],Table2[#Headers],0),0)</f>
        <v>3.5859999999999999</v>
      </c>
      <c r="U669" s="2">
        <f>VLOOKUP([jobnumber],OvalData[],MATCH(Table2[[#Headers],[Final Lever Arm]],Table2[#Headers],0),0)</f>
        <v>6.37</v>
      </c>
      <c r="V669" s="2">
        <f>VLOOKUP([jobnumber],OvalData[],MATCH(Table2[[#Headers],[Torque Required Closed]],Table2[#Headers],0),0)</f>
        <v>3377.9</v>
      </c>
      <c r="W669" s="2">
        <f>VLOOKUP([jobnumber],OvalData[],MATCH(Table2[[#Headers],[Torque Required Open]],Table2[#Headers],0),0)</f>
        <v>892</v>
      </c>
      <c r="X669" s="2">
        <f>VLOOKUP([jobnumber],OvalData[],MATCH(Table2[[#Headers],[Pre Turns]],Table2[#Headers],0),0)</f>
        <v>1.3332999999999999</v>
      </c>
      <c r="Y669" s="2">
        <f>VLOOKUP([jobnumber],OvalData[],MATCH(Table2[[#Headers],[Required Torque Per Turn]],Table2[#Headers],0),0)</f>
        <v>688</v>
      </c>
      <c r="Z669" s="2">
        <f>VLOOKUP([jobnumber],OvalData[],MATCH(Table2[[#Headers],[Total Turns]],Table2[#Headers],0),0)</f>
        <v>4.91</v>
      </c>
      <c r="AA669" s="2">
        <f>VLOOKUP([jobnumber],OvalData[],MATCH(Table2[[#Headers],[Grille Vision Section]],Table2[#Headers],0),0)</f>
        <v>0</v>
      </c>
      <c r="AB669" s="2">
        <f>VLOOKUP([jobnumber],OvalData[],MATCH(Table2[[#Headers],[Grille Amount]],Table2[#Headers],0),0)</f>
        <v>0</v>
      </c>
      <c r="AC669" s="2">
        <f>VLOOKUP([jobnumber],OvalData[],MATCH(Table2[[#Headers],[Grille Center]],Table2[#Headers],0),0)</f>
        <v>0</v>
      </c>
      <c r="AD669" s="2">
        <f>VLOOKUP([jobnumber],OvalData[],MATCH(Table2[[#Headers],[Grille Pattern]],Table2[#Headers],0),0)</f>
        <v>0</v>
      </c>
      <c r="AE669" s="2">
        <f>VLOOKUP([jobnumber],OvalData[],MATCH(Table2[[#Headers],[Grille First Tube]],Table2[#Headers],0),0)</f>
        <v>0</v>
      </c>
      <c r="AF669" s="2">
        <f>VLOOKUP([jobnumber],OvalData[],MATCH(Table2[[#Headers],[Grille Standard Tube]],Table2[#Headers],0),0)</f>
        <v>0</v>
      </c>
      <c r="AG669" s="2">
        <f>VLOOKUP([jobnumber],OvalData[],MATCH(Table2[[#Headers],[Grille Total Links]],Table2[#Headers],0),0)</f>
        <v>0</v>
      </c>
      <c r="AH669" s="2">
        <f>VLOOKUP([jobnumber],OvalData[],MATCH(Table2[[#Headers],[Grille Rods]],Table2[#Headers],0),0)</f>
        <v>0</v>
      </c>
      <c r="AI669" s="2">
        <f>VLOOKUP([jobnumber],OvalData[],MATCH(Table2[[#Headers],[Grille Rod Length]],Table2[#Headers],0),0)</f>
        <v>0</v>
      </c>
      <c r="AJ669" s="2">
        <f>VLOOKUP([jobnumber],OvalData[],MATCH(Table2[[#Headers],[slattype]],Table2[#Headers],0),0)</f>
        <v>2</v>
      </c>
      <c r="AK669" s="2">
        <f>VLOOKUP([jobnumber],OvalData[],MATCH(Table2[[#Headers],[slatgage]],Table2[#Headers],0),0)</f>
        <v>18</v>
      </c>
      <c r="AL669" s="2">
        <f>VLOOKUP([jobnumber],OvalData[],MATCH(Table2[[#Headers],[Numer of Top Slats]],Table2[#Headers],0),0)</f>
        <v>0</v>
      </c>
      <c r="AM669" s="2">
        <f>VLOOKUP([jobnumber],OvalData[],MATCH(Table2[[#Headers],[Number of Bottom Slats]],Table2[#Headers],0),0)</f>
        <v>0</v>
      </c>
      <c r="AN669" s="2">
        <f>VLOOKUP([jobnumber],OvalData[],MATCH(Table2[[#Headers],[Solid Bottom Height]],Table2[#Headers],0),0)</f>
        <v>0</v>
      </c>
      <c r="AO669" s="2" t="str">
        <f>VLOOKUP([jobnumber],OvalData[],MATCH(Table2[[#Headers],[slatlength]],Table2[#Headers],0),0)</f>
        <v xml:space="preserve"> 18 ft.- 5 7/ 8"</v>
      </c>
      <c r="AP669" s="2">
        <f>VLOOKUP([jobnumber],OvalData[],MATCH(Table2[[#Headers],[Bottom Slat Length]],Table2[#Headers],0),0)</f>
        <v>0</v>
      </c>
      <c r="AQ669" s="2">
        <f>VLOOKUP([jobnumber],OvalData[],MATCH(Table2[[#Headers],[Number of Perferated Slats]],Table2[#Headers],0),0)</f>
        <v>0</v>
      </c>
      <c r="AR669" s="2">
        <f>VLOOKUP([jobnumber],OvalData[],MATCH(Table2[[#Headers],[First Preferated Slat From End]],Table2[#Headers],0),0)</f>
        <v>0</v>
      </c>
      <c r="AS669" s="2">
        <f>VLOOKUP([jobnumber],OvalData[],MATCH(Table2[[#Headers],[First Preferated Slat From Bottom]],Table2[#Headers],0),0)</f>
        <v>0</v>
      </c>
      <c r="AT669" s="2">
        <f>VLOOKUP([jobnumber],OvalData[],MATCH(Table2[[#Headers],[Total Number of Slats]],Table2[#Headers],0),0)</f>
        <v>51</v>
      </c>
      <c r="AU669" s="2">
        <f>VLOOKUP([jobnumber],OvalData[],MATCH(Table2[[#Headers],[Bottom Bar Slope]],Table2[#Headers],0),0)</f>
        <v>0</v>
      </c>
      <c r="AV669" s="2">
        <f>VLOOKUP([jobnumber],OvalData[],MATCH(Table2[[#Headers],[Bottom Bar Weight]],Table2[#Headers],0),0)</f>
        <v>80.5</v>
      </c>
      <c r="AW669" s="2" t="str">
        <f>VLOOKUP([jobnumber],OvalData[],MATCH(Table2[[#Headers],[Outer Spring Gage]],Table2[#Headers],0),0)</f>
        <v>Null</v>
      </c>
      <c r="AX669" s="2" t="str">
        <f>VLOOKUP([jobnumber],OvalData[],MATCH(Table2[[#Headers],[Outer Spring OD]],Table2[#Headers],0),0)</f>
        <v>Null</v>
      </c>
      <c r="AY669" s="2" t="str">
        <f>VLOOKUP([jobnumber],OvalData[],MATCH(Table2[[#Headers],[Outer Spring Length]],Table2[#Headers],0),0)</f>
        <v>Null</v>
      </c>
      <c r="AZ669" s="2" t="str">
        <f>VLOOKUP([jobnumber],OvalData[],MATCH(Table2[[#Headers],[Outer Spring Stretch]],Table2[#Headers],0),0)</f>
        <v>Null</v>
      </c>
      <c r="BA669" s="2" t="str">
        <f>VLOOKUP([jobnumber],OvalData[],MATCH(Table2[[#Headers],[Outer Spring Torque]],Table2[#Headers],0),0)</f>
        <v>Null</v>
      </c>
      <c r="BB669" s="2" t="str">
        <f>VLOOKUP([jobnumber],OvalData[],MATCH(Table2[[#Headers],[Outer Spring Max Turns]],Table2[#Headers],0),0)</f>
        <v>Null</v>
      </c>
      <c r="BC669" s="2" t="str">
        <f>VLOOKUP([jobnumber],OvalData[],MATCH(Table2[[#Headers],[Outer Spring Weight]],Table2[#Headers],0),0)</f>
        <v>Null</v>
      </c>
      <c r="BD669" s="2" t="str">
        <f>VLOOKUP([jobnumber],OvalData[],MATCH(Table2[[#Headers],[Inner Spring Gage]],Table2[#Headers],0),0)</f>
        <v>Null</v>
      </c>
      <c r="BE669" s="2" t="str">
        <f>VLOOKUP([jobnumber],OvalData[],MATCH(Table2[[#Headers],[Inner Spring OD]],Table2[#Headers],0),0)</f>
        <v>Null</v>
      </c>
      <c r="BF669" s="2" t="str">
        <f>VLOOKUP([jobnumber],OvalData[],MATCH(Table2[[#Headers],[Inner Spring Length]],Table2[#Headers],0),0)</f>
        <v>Null</v>
      </c>
      <c r="BG669" s="2" t="str">
        <f>VLOOKUP([jobnumber],OvalData[],MATCH(Table2[[#Headers],[Inner Spring Stretch]],Table2[#Headers],0),0)</f>
        <v>Null</v>
      </c>
      <c r="BH669" s="2" t="str">
        <f>VLOOKUP([jobnumber],OvalData[],MATCH(Table2[[#Headers],[Inner Spring Torque]],Table2[#Headers],0),0)</f>
        <v>Null</v>
      </c>
      <c r="BI669" s="2" t="str">
        <f>VLOOKUP([jobnumber],OvalData[],MATCH(Table2[[#Headers],[Inner Spring Max Turns]],Table2[#Headers],0),0)</f>
        <v>Null</v>
      </c>
      <c r="BJ669" s="2" t="str">
        <f>VLOOKUP([jobnumber],OvalData[],MATCH(Table2[[#Headers],[Inner Spring Weight]],Table2[#Headers],0),0)</f>
        <v>Null</v>
      </c>
      <c r="BK669" s="2">
        <f>VLOOKUP([jobnumber],OvalData[],MATCH(Table2[[#Headers],[Cycles]],Table2[#Headers],0),0)</f>
        <v>0</v>
      </c>
      <c r="BL669" s="2">
        <f>VLOOKUP([jobnumber],OvalData[],MATCH(Table2[[#Headers],[Total Spring Torque]],Table2[#Headers],0),0)</f>
        <v>0</v>
      </c>
      <c r="BM669" s="2">
        <f>VLOOKUP([jobnumber],OvalData[],MATCH(Table2[[#Headers],[Total Spring Weight]],Table2[#Headers],0),0)</f>
        <v>0</v>
      </c>
      <c r="BN669" s="2">
        <f>VLOOKUP([jobnumber],OvalData[],MATCH(Table2[[#Headers],[Pipe Weight]],Table2[#Headers],0),0)</f>
        <v>688.24239999999998</v>
      </c>
      <c r="BO669" s="2">
        <f>VLOOKUP([jobnumber],OvalData[],MATCH(Table2[[#Headers],[Max Pipe Deflection]],Table2[#Headers],0),0)</f>
        <v>2309</v>
      </c>
      <c r="BP669" s="2">
        <f>VLOOKUP([jobnumber],OvalData[],MATCH(Table2[[#Headers],[Number Non-Insulated Wrap Slats]],Table2[#Headers],0),0)</f>
        <v>0</v>
      </c>
      <c r="BQ669" s="2">
        <f>VLOOKUP([jobnumber],OvalData[],MATCH(Table2[[#Headers],[Number of Insolated Top Slats]],Table2[#Headers],0),0)</f>
        <v>45</v>
      </c>
      <c r="BR669" s="2">
        <f>VLOOKUP([jobnumber],OvalData[],MATCH(Table2[[#Headers],[Insolated Total Slats]],Table2[#Headers],0),0)</f>
        <v>45</v>
      </c>
      <c r="BS669" s="2">
        <f>VLOOKUP([jobnumber],OvalData[],MATCH(Table2[[#Headers],[Number of Slats]],Table2[#Headers],0),0)</f>
        <v>44.69</v>
      </c>
      <c r="BT669" s="2">
        <f>VLOOKUP([jobnumber],OvalData[],MATCH(Table2[[#Headers],[Wrap]],Table2[#Headers],0),0)</f>
        <v>0</v>
      </c>
      <c r="BU669" s="2">
        <f>VLOOKUP([jobnumber],OvalData[],MATCH(Table2[[#Headers],[Wall Angle Thickness]],Table2[#Headers],0),0)</f>
        <v>0</v>
      </c>
      <c r="BV669" s="2">
        <f>VLOOKUP([jobnumber],OvalData[],MATCH(Table2[[#Headers],[windlocks]],Table2[#Headers],0),0)</f>
        <v>0</v>
      </c>
      <c r="BW669" s="2" t="str">
        <f>VLOOKUP([jobnumber],OvalData[],MATCH(Table2[[#Headers],[bottombartype]],Table2[#Headers],0),0)</f>
        <v>SPECIAL</v>
      </c>
      <c r="BX669" s="2">
        <f>VLOOKUP([jobnumber],OvalData[],MATCH(Table2[[#Headers],[endlockweight]],Table2[#Headers],0),0)</f>
        <v>0.17</v>
      </c>
      <c r="BY669" s="2">
        <f>VLOOKUP([jobnumber],OvalData[],MATCH(Table2[[#Headers],[Endlock Total Weight]],Table2[#Headers],0),0)</f>
        <v>7.5972999999999997</v>
      </c>
      <c r="BZ669" s="2">
        <f>VLOOKUP([jobnumber],OvalData[],MATCH(Table2[[#Headers],[Grille Weight]],Table2[#Headers],0),0)</f>
        <v>0</v>
      </c>
      <c r="CA669" s="2">
        <f>VLOOKUP([jobnumber],OvalData[],MATCH(Table2[[#Headers],[barrelrings]],Table2[#Headers],0),0)</f>
        <v>1</v>
      </c>
    </row>
    <row r="670" spans="2:79">
      <c r="B670" s="2" t="str">
        <f>VLOOKUP([jobnumber],OvalData[],MATCH(Table2[[#Headers],[Hand]],Table2[#Headers],0),0)</f>
        <v>RH</v>
      </c>
      <c r="C670" s="2" t="str">
        <f>VLOOKUP([jobnumber],OvalData[],MATCH(Table2[[#Headers],[Model]],Table2[#Headers],0),0)</f>
        <v>SFMPP</v>
      </c>
      <c r="D670" s="2" t="str">
        <f>VLOOKUP([jobnumber],OvalData[],MATCH(Table2[[#Headers],[width]],Table2[#Headers],0),0)</f>
        <v xml:space="preserve"> 18 ft.- 2"</v>
      </c>
      <c r="E670" s="2" t="str">
        <f>VLOOKUP([jobnumber],OvalData[],MATCH(Table2[[#Headers],[stopheight]],Table2[#Headers],0),0)</f>
        <v xml:space="preserve"> 10 ft.- 0"</v>
      </c>
      <c r="F670" s="2" t="str">
        <f>VLOOKUP([jobnumber],OvalData[],MATCH(Table2[[#Headers],[Between Brackets]],Table2[#Headers],0),0)</f>
        <v xml:space="preserve"> 18 ft.- 7 7/ 8"</v>
      </c>
      <c r="G670" s="2" t="str">
        <f>VLOOKUP([jobnumber],OvalData[],MATCH(Table2[[#Headers],[shell]],Table2[#Headers],0),0)</f>
        <v>6 INCH TUBE</v>
      </c>
      <c r="H670" s="2" t="str">
        <f>VLOOKUP([jobnumber],OvalData[],MATCH(Table2[[#Headers],[pipewidth]],Table2[#Headers],0),0)</f>
        <v xml:space="preserve"> 18 ft.- 1 3/ 8"</v>
      </c>
      <c r="I670" s="2">
        <f>VLOOKUP([jobnumber],OvalData[],MATCH(Table2[[#Headers],[Support Tubes]],Table2[#Headers],0),0)</f>
        <v>0</v>
      </c>
      <c r="J670" s="2">
        <f>VLOOKUP([jobnumber],OvalData[],MATCH(Table2[[#Headers],[Upset]],Table2[#Headers],0),0)</f>
        <v>2</v>
      </c>
      <c r="K670" s="2" t="str">
        <f>VLOOKUP([jobnumber],OvalData[],MATCH(Table2[[#Headers],[Guide Type]],Table2[#Headers],0),0)</f>
        <v>SN2-4 5/8-E</v>
      </c>
      <c r="L670" s="2" t="str">
        <f>VLOOKUP([jobnumber],OvalData[],MATCH(Table2[[#Headers],[Wall Angle]],Table2[#Headers],0),0)</f>
        <v xml:space="preserve"> 11 ft.- 8"</v>
      </c>
      <c r="M670" s="2" t="str">
        <f>VLOOKUP([jobnumber],OvalData[],MATCH(Table2[[#Headers],[Middle Angle]],Table2[#Headers],0),0)</f>
        <v xml:space="preserve"> 10 ft.- 4 1/ 2"</v>
      </c>
      <c r="N670" s="2" t="str">
        <f>VLOOKUP([jobnumber],OvalData[],MATCH(Table2[[#Headers],[Front Angle]],Table2[#Headers],0),0)</f>
        <v xml:space="preserve"> 10 ft.- 3"</v>
      </c>
      <c r="O670" s="2">
        <f>VLOOKUP([jobnumber],OvalData[],MATCH(Table2[[#Headers],[Pipe Center Line]],Table2[#Headers],0),0)</f>
        <v>131</v>
      </c>
      <c r="P670" s="2">
        <f>VLOOKUP([jobnumber],OvalData[],MATCH(Table2[[#Headers],[Heat Expansion Gap]],Table2[#Headers],0),0)</f>
        <v>0</v>
      </c>
      <c r="Q670" s="2">
        <f>VLOOKUP([jobnumber],OvalData[],MATCH(Table2[[#Headers],[Hanging Weight Closed]],Table2[#Headers],0),0)</f>
        <v>795</v>
      </c>
      <c r="R670" s="2">
        <f>VLOOKUP([jobnumber],OvalData[],MATCH(Table2[[#Headers],[Hanging Weight Open]],Table2[#Headers],0),0)</f>
        <v>140</v>
      </c>
      <c r="S670" s="2">
        <f>VLOOKUP([jobnumber],OvalData[],MATCH(Table2[[#Headers],[Initial Lever Arm]],Table2[#Headers],0),0)</f>
        <v>4.25</v>
      </c>
      <c r="T670" s="2">
        <f>VLOOKUP([jobnumber],OvalData[],MATCH(Table2[[#Headers],[Turns to Raise]],Table2[#Headers],0),0)</f>
        <v>3.5859999999999999</v>
      </c>
      <c r="U670" s="2">
        <f>VLOOKUP([jobnumber],OvalData[],MATCH(Table2[[#Headers],[Final Lever Arm]],Table2[#Headers],0),0)</f>
        <v>6.37</v>
      </c>
      <c r="V670" s="2">
        <f>VLOOKUP([jobnumber],OvalData[],MATCH(Table2[[#Headers],[Torque Required Closed]],Table2[#Headers],0),0)</f>
        <v>3377.9</v>
      </c>
      <c r="W670" s="2">
        <f>VLOOKUP([jobnumber],OvalData[],MATCH(Table2[[#Headers],[Torque Required Open]],Table2[#Headers],0),0)</f>
        <v>892</v>
      </c>
      <c r="X670" s="2">
        <f>VLOOKUP([jobnumber],OvalData[],MATCH(Table2[[#Headers],[Pre Turns]],Table2[#Headers],0),0)</f>
        <v>1.3332999999999999</v>
      </c>
      <c r="Y670" s="2">
        <f>VLOOKUP([jobnumber],OvalData[],MATCH(Table2[[#Headers],[Required Torque Per Turn]],Table2[#Headers],0),0)</f>
        <v>688</v>
      </c>
      <c r="Z670" s="2">
        <f>VLOOKUP([jobnumber],OvalData[],MATCH(Table2[[#Headers],[Total Turns]],Table2[#Headers],0),0)</f>
        <v>4.91</v>
      </c>
      <c r="AA670" s="2">
        <f>VLOOKUP([jobnumber],OvalData[],MATCH(Table2[[#Headers],[Grille Vision Section]],Table2[#Headers],0),0)</f>
        <v>0</v>
      </c>
      <c r="AB670" s="2">
        <f>VLOOKUP([jobnumber],OvalData[],MATCH(Table2[[#Headers],[Grille Amount]],Table2[#Headers],0),0)</f>
        <v>0</v>
      </c>
      <c r="AC670" s="2">
        <f>VLOOKUP([jobnumber],OvalData[],MATCH(Table2[[#Headers],[Grille Center]],Table2[#Headers],0),0)</f>
        <v>0</v>
      </c>
      <c r="AD670" s="2">
        <f>VLOOKUP([jobnumber],OvalData[],MATCH(Table2[[#Headers],[Grille Pattern]],Table2[#Headers],0),0)</f>
        <v>0</v>
      </c>
      <c r="AE670" s="2">
        <f>VLOOKUP([jobnumber],OvalData[],MATCH(Table2[[#Headers],[Grille First Tube]],Table2[#Headers],0),0)</f>
        <v>0</v>
      </c>
      <c r="AF670" s="2">
        <f>VLOOKUP([jobnumber],OvalData[],MATCH(Table2[[#Headers],[Grille Standard Tube]],Table2[#Headers],0),0)</f>
        <v>0</v>
      </c>
      <c r="AG670" s="2">
        <f>VLOOKUP([jobnumber],OvalData[],MATCH(Table2[[#Headers],[Grille Total Links]],Table2[#Headers],0),0)</f>
        <v>0</v>
      </c>
      <c r="AH670" s="2">
        <f>VLOOKUP([jobnumber],OvalData[],MATCH(Table2[[#Headers],[Grille Rods]],Table2[#Headers],0),0)</f>
        <v>0</v>
      </c>
      <c r="AI670" s="2">
        <f>VLOOKUP([jobnumber],OvalData[],MATCH(Table2[[#Headers],[Grille Rod Length]],Table2[#Headers],0),0)</f>
        <v>0</v>
      </c>
      <c r="AJ670" s="2">
        <f>VLOOKUP([jobnumber],OvalData[],MATCH(Table2[[#Headers],[slattype]],Table2[#Headers],0),0)</f>
        <v>2</v>
      </c>
      <c r="AK670" s="2">
        <f>VLOOKUP([jobnumber],OvalData[],MATCH(Table2[[#Headers],[slatgage]],Table2[#Headers],0),0)</f>
        <v>18</v>
      </c>
      <c r="AL670" s="2">
        <f>VLOOKUP([jobnumber],OvalData[],MATCH(Table2[[#Headers],[Numer of Top Slats]],Table2[#Headers],0),0)</f>
        <v>0</v>
      </c>
      <c r="AM670" s="2">
        <f>VLOOKUP([jobnumber],OvalData[],MATCH(Table2[[#Headers],[Number of Bottom Slats]],Table2[#Headers],0),0)</f>
        <v>0</v>
      </c>
      <c r="AN670" s="2">
        <f>VLOOKUP([jobnumber],OvalData[],MATCH(Table2[[#Headers],[Solid Bottom Height]],Table2[#Headers],0),0)</f>
        <v>0</v>
      </c>
      <c r="AO670" s="2" t="str">
        <f>VLOOKUP([jobnumber],OvalData[],MATCH(Table2[[#Headers],[slatlength]],Table2[#Headers],0),0)</f>
        <v xml:space="preserve"> 18 ft.- 5 7/ 8"</v>
      </c>
      <c r="AP670" s="2">
        <f>VLOOKUP([jobnumber],OvalData[],MATCH(Table2[[#Headers],[Bottom Slat Length]],Table2[#Headers],0),0)</f>
        <v>0</v>
      </c>
      <c r="AQ670" s="2">
        <f>VLOOKUP([jobnumber],OvalData[],MATCH(Table2[[#Headers],[Number of Perferated Slats]],Table2[#Headers],0),0)</f>
        <v>0</v>
      </c>
      <c r="AR670" s="2">
        <f>VLOOKUP([jobnumber],OvalData[],MATCH(Table2[[#Headers],[First Preferated Slat From End]],Table2[#Headers],0),0)</f>
        <v>0</v>
      </c>
      <c r="AS670" s="2">
        <f>VLOOKUP([jobnumber],OvalData[],MATCH(Table2[[#Headers],[First Preferated Slat From Bottom]],Table2[#Headers],0),0)</f>
        <v>0</v>
      </c>
      <c r="AT670" s="2">
        <f>VLOOKUP([jobnumber],OvalData[],MATCH(Table2[[#Headers],[Total Number of Slats]],Table2[#Headers],0),0)</f>
        <v>51</v>
      </c>
      <c r="AU670" s="2">
        <f>VLOOKUP([jobnumber],OvalData[],MATCH(Table2[[#Headers],[Bottom Bar Slope]],Table2[#Headers],0),0)</f>
        <v>0</v>
      </c>
      <c r="AV670" s="2">
        <f>VLOOKUP([jobnumber],OvalData[],MATCH(Table2[[#Headers],[Bottom Bar Weight]],Table2[#Headers],0),0)</f>
        <v>80.5</v>
      </c>
      <c r="AW670" s="2" t="str">
        <f>VLOOKUP([jobnumber],OvalData[],MATCH(Table2[[#Headers],[Outer Spring Gage]],Table2[#Headers],0),0)</f>
        <v>Null</v>
      </c>
      <c r="AX670" s="2" t="str">
        <f>VLOOKUP([jobnumber],OvalData[],MATCH(Table2[[#Headers],[Outer Spring OD]],Table2[#Headers],0),0)</f>
        <v>Null</v>
      </c>
      <c r="AY670" s="2" t="str">
        <f>VLOOKUP([jobnumber],OvalData[],MATCH(Table2[[#Headers],[Outer Spring Length]],Table2[#Headers],0),0)</f>
        <v>Null</v>
      </c>
      <c r="AZ670" s="2" t="str">
        <f>VLOOKUP([jobnumber],OvalData[],MATCH(Table2[[#Headers],[Outer Spring Stretch]],Table2[#Headers],0),0)</f>
        <v>Null</v>
      </c>
      <c r="BA670" s="2" t="str">
        <f>VLOOKUP([jobnumber],OvalData[],MATCH(Table2[[#Headers],[Outer Spring Torque]],Table2[#Headers],0),0)</f>
        <v>Null</v>
      </c>
      <c r="BB670" s="2" t="str">
        <f>VLOOKUP([jobnumber],OvalData[],MATCH(Table2[[#Headers],[Outer Spring Max Turns]],Table2[#Headers],0),0)</f>
        <v>Null</v>
      </c>
      <c r="BC670" s="2" t="str">
        <f>VLOOKUP([jobnumber],OvalData[],MATCH(Table2[[#Headers],[Outer Spring Weight]],Table2[#Headers],0),0)</f>
        <v>Null</v>
      </c>
      <c r="BD670" s="2" t="str">
        <f>VLOOKUP([jobnumber],OvalData[],MATCH(Table2[[#Headers],[Inner Spring Gage]],Table2[#Headers],0),0)</f>
        <v>Null</v>
      </c>
      <c r="BE670" s="2" t="str">
        <f>VLOOKUP([jobnumber],OvalData[],MATCH(Table2[[#Headers],[Inner Spring OD]],Table2[#Headers],0),0)</f>
        <v>Null</v>
      </c>
      <c r="BF670" s="2" t="str">
        <f>VLOOKUP([jobnumber],OvalData[],MATCH(Table2[[#Headers],[Inner Spring Length]],Table2[#Headers],0),0)</f>
        <v>Null</v>
      </c>
      <c r="BG670" s="2" t="str">
        <f>VLOOKUP([jobnumber],OvalData[],MATCH(Table2[[#Headers],[Inner Spring Stretch]],Table2[#Headers],0),0)</f>
        <v>Null</v>
      </c>
      <c r="BH670" s="2" t="str">
        <f>VLOOKUP([jobnumber],OvalData[],MATCH(Table2[[#Headers],[Inner Spring Torque]],Table2[#Headers],0),0)</f>
        <v>Null</v>
      </c>
      <c r="BI670" s="2" t="str">
        <f>VLOOKUP([jobnumber],OvalData[],MATCH(Table2[[#Headers],[Inner Spring Max Turns]],Table2[#Headers],0),0)</f>
        <v>Null</v>
      </c>
      <c r="BJ670" s="2" t="str">
        <f>VLOOKUP([jobnumber],OvalData[],MATCH(Table2[[#Headers],[Inner Spring Weight]],Table2[#Headers],0),0)</f>
        <v>Null</v>
      </c>
      <c r="BK670" s="2">
        <f>VLOOKUP([jobnumber],OvalData[],MATCH(Table2[[#Headers],[Cycles]],Table2[#Headers],0),0)</f>
        <v>0</v>
      </c>
      <c r="BL670" s="2">
        <f>VLOOKUP([jobnumber],OvalData[],MATCH(Table2[[#Headers],[Total Spring Torque]],Table2[#Headers],0),0)</f>
        <v>0</v>
      </c>
      <c r="BM670" s="2">
        <f>VLOOKUP([jobnumber],OvalData[],MATCH(Table2[[#Headers],[Total Spring Weight]],Table2[#Headers],0),0)</f>
        <v>0</v>
      </c>
      <c r="BN670" s="2">
        <f>VLOOKUP([jobnumber],OvalData[],MATCH(Table2[[#Headers],[Pipe Weight]],Table2[#Headers],0),0)</f>
        <v>688.24239999999998</v>
      </c>
      <c r="BO670" s="2">
        <f>VLOOKUP([jobnumber],OvalData[],MATCH(Table2[[#Headers],[Max Pipe Deflection]],Table2[#Headers],0),0)</f>
        <v>2309</v>
      </c>
      <c r="BP670" s="2">
        <f>VLOOKUP([jobnumber],OvalData[],MATCH(Table2[[#Headers],[Number Non-Insulated Wrap Slats]],Table2[#Headers],0),0)</f>
        <v>0</v>
      </c>
      <c r="BQ670" s="2">
        <f>VLOOKUP([jobnumber],OvalData[],MATCH(Table2[[#Headers],[Number of Insolated Top Slats]],Table2[#Headers],0),0)</f>
        <v>45</v>
      </c>
      <c r="BR670" s="2">
        <f>VLOOKUP([jobnumber],OvalData[],MATCH(Table2[[#Headers],[Insolated Total Slats]],Table2[#Headers],0),0)</f>
        <v>45</v>
      </c>
      <c r="BS670" s="2">
        <f>VLOOKUP([jobnumber],OvalData[],MATCH(Table2[[#Headers],[Number of Slats]],Table2[#Headers],0),0)</f>
        <v>44.69</v>
      </c>
      <c r="BT670" s="2">
        <f>VLOOKUP([jobnumber],OvalData[],MATCH(Table2[[#Headers],[Wrap]],Table2[#Headers],0),0)</f>
        <v>0</v>
      </c>
      <c r="BU670" s="2">
        <f>VLOOKUP([jobnumber],OvalData[],MATCH(Table2[[#Headers],[Wall Angle Thickness]],Table2[#Headers],0),0)</f>
        <v>0</v>
      </c>
      <c r="BV670" s="2">
        <f>VLOOKUP([jobnumber],OvalData[],MATCH(Table2[[#Headers],[windlocks]],Table2[#Headers],0),0)</f>
        <v>0</v>
      </c>
      <c r="BW670" s="2" t="str">
        <f>VLOOKUP([jobnumber],OvalData[],MATCH(Table2[[#Headers],[bottombartype]],Table2[#Headers],0),0)</f>
        <v>SPECIAL</v>
      </c>
      <c r="BX670" s="2">
        <f>VLOOKUP([jobnumber],OvalData[],MATCH(Table2[[#Headers],[endlockweight]],Table2[#Headers],0),0)</f>
        <v>0.17</v>
      </c>
      <c r="BY670" s="2">
        <f>VLOOKUP([jobnumber],OvalData[],MATCH(Table2[[#Headers],[Endlock Total Weight]],Table2[#Headers],0),0)</f>
        <v>7.5972999999999997</v>
      </c>
      <c r="BZ670" s="2">
        <f>VLOOKUP([jobnumber],OvalData[],MATCH(Table2[[#Headers],[Grille Weight]],Table2[#Headers],0),0)</f>
        <v>0</v>
      </c>
      <c r="CA670" s="2">
        <f>VLOOKUP([jobnumber],OvalData[],MATCH(Table2[[#Headers],[barrelrings]],Table2[#Headers],0),0)</f>
        <v>1</v>
      </c>
    </row>
    <row r="671" spans="2:79">
      <c r="B671" s="2" t="str">
        <f>VLOOKUP([jobnumber],OvalData[],MATCH(Table2[[#Headers],[Hand]],Table2[#Headers],0),0)</f>
        <v>RH</v>
      </c>
      <c r="C671" s="2" t="str">
        <f>VLOOKUP([jobnumber],OvalData[],MATCH(Table2[[#Headers],[Model]],Table2[#Headers],0),0)</f>
        <v>SFMPP</v>
      </c>
      <c r="D671" s="2" t="str">
        <f>VLOOKUP([jobnumber],OvalData[],MATCH(Table2[[#Headers],[width]],Table2[#Headers],0),0)</f>
        <v xml:space="preserve"> 18 ft.- 2"</v>
      </c>
      <c r="E671" s="2" t="str">
        <f>VLOOKUP([jobnumber],OvalData[],MATCH(Table2[[#Headers],[stopheight]],Table2[#Headers],0),0)</f>
        <v xml:space="preserve"> 10 ft.- 0"</v>
      </c>
      <c r="F671" s="2" t="str">
        <f>VLOOKUP([jobnumber],OvalData[],MATCH(Table2[[#Headers],[Between Brackets]],Table2[#Headers],0),0)</f>
        <v xml:space="preserve"> 18 ft.- 7 7/ 8"</v>
      </c>
      <c r="G671" s="2" t="str">
        <f>VLOOKUP([jobnumber],OvalData[],MATCH(Table2[[#Headers],[shell]],Table2[#Headers],0),0)</f>
        <v>6 INCH TUBE</v>
      </c>
      <c r="H671" s="2" t="str">
        <f>VLOOKUP([jobnumber],OvalData[],MATCH(Table2[[#Headers],[pipewidth]],Table2[#Headers],0),0)</f>
        <v xml:space="preserve"> 18 ft.- 1 3/ 8"</v>
      </c>
      <c r="I671" s="2">
        <f>VLOOKUP([jobnumber],OvalData[],MATCH(Table2[[#Headers],[Support Tubes]],Table2[#Headers],0),0)</f>
        <v>0</v>
      </c>
      <c r="J671" s="2">
        <f>VLOOKUP([jobnumber],OvalData[],MATCH(Table2[[#Headers],[Upset]],Table2[#Headers],0),0)</f>
        <v>2</v>
      </c>
      <c r="K671" s="2" t="str">
        <f>VLOOKUP([jobnumber],OvalData[],MATCH(Table2[[#Headers],[Guide Type]],Table2[#Headers],0),0)</f>
        <v>SN2-4 5/8-E</v>
      </c>
      <c r="L671" s="2" t="str">
        <f>VLOOKUP([jobnumber],OvalData[],MATCH(Table2[[#Headers],[Wall Angle]],Table2[#Headers],0),0)</f>
        <v xml:space="preserve"> 11 ft.- 8"</v>
      </c>
      <c r="M671" s="2" t="str">
        <f>VLOOKUP([jobnumber],OvalData[],MATCH(Table2[[#Headers],[Middle Angle]],Table2[#Headers],0),0)</f>
        <v xml:space="preserve"> 10 ft.- 4 1/ 2"</v>
      </c>
      <c r="N671" s="2" t="str">
        <f>VLOOKUP([jobnumber],OvalData[],MATCH(Table2[[#Headers],[Front Angle]],Table2[#Headers],0),0)</f>
        <v xml:space="preserve"> 10 ft.- 3"</v>
      </c>
      <c r="O671" s="2">
        <f>VLOOKUP([jobnumber],OvalData[],MATCH(Table2[[#Headers],[Pipe Center Line]],Table2[#Headers],0),0)</f>
        <v>131</v>
      </c>
      <c r="P671" s="2">
        <f>VLOOKUP([jobnumber],OvalData[],MATCH(Table2[[#Headers],[Heat Expansion Gap]],Table2[#Headers],0),0)</f>
        <v>0</v>
      </c>
      <c r="Q671" s="2">
        <f>VLOOKUP([jobnumber],OvalData[],MATCH(Table2[[#Headers],[Hanging Weight Closed]],Table2[#Headers],0),0)</f>
        <v>795</v>
      </c>
      <c r="R671" s="2">
        <f>VLOOKUP([jobnumber],OvalData[],MATCH(Table2[[#Headers],[Hanging Weight Open]],Table2[#Headers],0),0)</f>
        <v>140</v>
      </c>
      <c r="S671" s="2">
        <f>VLOOKUP([jobnumber],OvalData[],MATCH(Table2[[#Headers],[Initial Lever Arm]],Table2[#Headers],0),0)</f>
        <v>4.25</v>
      </c>
      <c r="T671" s="2">
        <f>VLOOKUP([jobnumber],OvalData[],MATCH(Table2[[#Headers],[Turns to Raise]],Table2[#Headers],0),0)</f>
        <v>3.5859999999999999</v>
      </c>
      <c r="U671" s="2">
        <f>VLOOKUP([jobnumber],OvalData[],MATCH(Table2[[#Headers],[Final Lever Arm]],Table2[#Headers],0),0)</f>
        <v>6.37</v>
      </c>
      <c r="V671" s="2">
        <f>VLOOKUP([jobnumber],OvalData[],MATCH(Table2[[#Headers],[Torque Required Closed]],Table2[#Headers],0),0)</f>
        <v>3377.9</v>
      </c>
      <c r="W671" s="2">
        <f>VLOOKUP([jobnumber],OvalData[],MATCH(Table2[[#Headers],[Torque Required Open]],Table2[#Headers],0),0)</f>
        <v>892</v>
      </c>
      <c r="X671" s="2">
        <f>VLOOKUP([jobnumber],OvalData[],MATCH(Table2[[#Headers],[Pre Turns]],Table2[#Headers],0),0)</f>
        <v>1.3332999999999999</v>
      </c>
      <c r="Y671" s="2">
        <f>VLOOKUP([jobnumber],OvalData[],MATCH(Table2[[#Headers],[Required Torque Per Turn]],Table2[#Headers],0),0)</f>
        <v>688</v>
      </c>
      <c r="Z671" s="2">
        <f>VLOOKUP([jobnumber],OvalData[],MATCH(Table2[[#Headers],[Total Turns]],Table2[#Headers],0),0)</f>
        <v>4.91</v>
      </c>
      <c r="AA671" s="2">
        <f>VLOOKUP([jobnumber],OvalData[],MATCH(Table2[[#Headers],[Grille Vision Section]],Table2[#Headers],0),0)</f>
        <v>0</v>
      </c>
      <c r="AB671" s="2">
        <f>VLOOKUP([jobnumber],OvalData[],MATCH(Table2[[#Headers],[Grille Amount]],Table2[#Headers],0),0)</f>
        <v>0</v>
      </c>
      <c r="AC671" s="2">
        <f>VLOOKUP([jobnumber],OvalData[],MATCH(Table2[[#Headers],[Grille Center]],Table2[#Headers],0),0)</f>
        <v>0</v>
      </c>
      <c r="AD671" s="2">
        <f>VLOOKUP([jobnumber],OvalData[],MATCH(Table2[[#Headers],[Grille Pattern]],Table2[#Headers],0),0)</f>
        <v>0</v>
      </c>
      <c r="AE671" s="2">
        <f>VLOOKUP([jobnumber],OvalData[],MATCH(Table2[[#Headers],[Grille First Tube]],Table2[#Headers],0),0)</f>
        <v>0</v>
      </c>
      <c r="AF671" s="2">
        <f>VLOOKUP([jobnumber],OvalData[],MATCH(Table2[[#Headers],[Grille Standard Tube]],Table2[#Headers],0),0)</f>
        <v>0</v>
      </c>
      <c r="AG671" s="2">
        <f>VLOOKUP([jobnumber],OvalData[],MATCH(Table2[[#Headers],[Grille Total Links]],Table2[#Headers],0),0)</f>
        <v>0</v>
      </c>
      <c r="AH671" s="2">
        <f>VLOOKUP([jobnumber],OvalData[],MATCH(Table2[[#Headers],[Grille Rods]],Table2[#Headers],0),0)</f>
        <v>0</v>
      </c>
      <c r="AI671" s="2">
        <f>VLOOKUP([jobnumber],OvalData[],MATCH(Table2[[#Headers],[Grille Rod Length]],Table2[#Headers],0),0)</f>
        <v>0</v>
      </c>
      <c r="AJ671" s="2">
        <f>VLOOKUP([jobnumber],OvalData[],MATCH(Table2[[#Headers],[slattype]],Table2[#Headers],0),0)</f>
        <v>2</v>
      </c>
      <c r="AK671" s="2">
        <f>VLOOKUP([jobnumber],OvalData[],MATCH(Table2[[#Headers],[slatgage]],Table2[#Headers],0),0)</f>
        <v>18</v>
      </c>
      <c r="AL671" s="2">
        <f>VLOOKUP([jobnumber],OvalData[],MATCH(Table2[[#Headers],[Numer of Top Slats]],Table2[#Headers],0),0)</f>
        <v>0</v>
      </c>
      <c r="AM671" s="2">
        <f>VLOOKUP([jobnumber],OvalData[],MATCH(Table2[[#Headers],[Number of Bottom Slats]],Table2[#Headers],0),0)</f>
        <v>0</v>
      </c>
      <c r="AN671" s="2">
        <f>VLOOKUP([jobnumber],OvalData[],MATCH(Table2[[#Headers],[Solid Bottom Height]],Table2[#Headers],0),0)</f>
        <v>0</v>
      </c>
      <c r="AO671" s="2" t="str">
        <f>VLOOKUP([jobnumber],OvalData[],MATCH(Table2[[#Headers],[slatlength]],Table2[#Headers],0),0)</f>
        <v xml:space="preserve"> 18 ft.- 5 7/ 8"</v>
      </c>
      <c r="AP671" s="2">
        <f>VLOOKUP([jobnumber],OvalData[],MATCH(Table2[[#Headers],[Bottom Slat Length]],Table2[#Headers],0),0)</f>
        <v>0</v>
      </c>
      <c r="AQ671" s="2">
        <f>VLOOKUP([jobnumber],OvalData[],MATCH(Table2[[#Headers],[Number of Perferated Slats]],Table2[#Headers],0),0)</f>
        <v>0</v>
      </c>
      <c r="AR671" s="2">
        <f>VLOOKUP([jobnumber],OvalData[],MATCH(Table2[[#Headers],[First Preferated Slat From End]],Table2[#Headers],0),0)</f>
        <v>0</v>
      </c>
      <c r="AS671" s="2">
        <f>VLOOKUP([jobnumber],OvalData[],MATCH(Table2[[#Headers],[First Preferated Slat From Bottom]],Table2[#Headers],0),0)</f>
        <v>0</v>
      </c>
      <c r="AT671" s="2">
        <f>VLOOKUP([jobnumber],OvalData[],MATCH(Table2[[#Headers],[Total Number of Slats]],Table2[#Headers],0),0)</f>
        <v>51</v>
      </c>
      <c r="AU671" s="2">
        <f>VLOOKUP([jobnumber],OvalData[],MATCH(Table2[[#Headers],[Bottom Bar Slope]],Table2[#Headers],0),0)</f>
        <v>0</v>
      </c>
      <c r="AV671" s="2">
        <f>VLOOKUP([jobnumber],OvalData[],MATCH(Table2[[#Headers],[Bottom Bar Weight]],Table2[#Headers],0),0)</f>
        <v>80.5</v>
      </c>
      <c r="AW671" s="2" t="str">
        <f>VLOOKUP([jobnumber],OvalData[],MATCH(Table2[[#Headers],[Outer Spring Gage]],Table2[#Headers],0),0)</f>
        <v>Null</v>
      </c>
      <c r="AX671" s="2" t="str">
        <f>VLOOKUP([jobnumber],OvalData[],MATCH(Table2[[#Headers],[Outer Spring OD]],Table2[#Headers],0),0)</f>
        <v>Null</v>
      </c>
      <c r="AY671" s="2" t="str">
        <f>VLOOKUP([jobnumber],OvalData[],MATCH(Table2[[#Headers],[Outer Spring Length]],Table2[#Headers],0),0)</f>
        <v>Null</v>
      </c>
      <c r="AZ671" s="2" t="str">
        <f>VLOOKUP([jobnumber],OvalData[],MATCH(Table2[[#Headers],[Outer Spring Stretch]],Table2[#Headers],0),0)</f>
        <v>Null</v>
      </c>
      <c r="BA671" s="2" t="str">
        <f>VLOOKUP([jobnumber],OvalData[],MATCH(Table2[[#Headers],[Outer Spring Torque]],Table2[#Headers],0),0)</f>
        <v>Null</v>
      </c>
      <c r="BB671" s="2" t="str">
        <f>VLOOKUP([jobnumber],OvalData[],MATCH(Table2[[#Headers],[Outer Spring Max Turns]],Table2[#Headers],0),0)</f>
        <v>Null</v>
      </c>
      <c r="BC671" s="2" t="str">
        <f>VLOOKUP([jobnumber],OvalData[],MATCH(Table2[[#Headers],[Outer Spring Weight]],Table2[#Headers],0),0)</f>
        <v>Null</v>
      </c>
      <c r="BD671" s="2" t="str">
        <f>VLOOKUP([jobnumber],OvalData[],MATCH(Table2[[#Headers],[Inner Spring Gage]],Table2[#Headers],0),0)</f>
        <v>Null</v>
      </c>
      <c r="BE671" s="2" t="str">
        <f>VLOOKUP([jobnumber],OvalData[],MATCH(Table2[[#Headers],[Inner Spring OD]],Table2[#Headers],0),0)</f>
        <v>Null</v>
      </c>
      <c r="BF671" s="2" t="str">
        <f>VLOOKUP([jobnumber],OvalData[],MATCH(Table2[[#Headers],[Inner Spring Length]],Table2[#Headers],0),0)</f>
        <v>Null</v>
      </c>
      <c r="BG671" s="2" t="str">
        <f>VLOOKUP([jobnumber],OvalData[],MATCH(Table2[[#Headers],[Inner Spring Stretch]],Table2[#Headers],0),0)</f>
        <v>Null</v>
      </c>
      <c r="BH671" s="2" t="str">
        <f>VLOOKUP([jobnumber],OvalData[],MATCH(Table2[[#Headers],[Inner Spring Torque]],Table2[#Headers],0),0)</f>
        <v>Null</v>
      </c>
      <c r="BI671" s="2" t="str">
        <f>VLOOKUP([jobnumber],OvalData[],MATCH(Table2[[#Headers],[Inner Spring Max Turns]],Table2[#Headers],0),0)</f>
        <v>Null</v>
      </c>
      <c r="BJ671" s="2" t="str">
        <f>VLOOKUP([jobnumber],OvalData[],MATCH(Table2[[#Headers],[Inner Spring Weight]],Table2[#Headers],0),0)</f>
        <v>Null</v>
      </c>
      <c r="BK671" s="2">
        <f>VLOOKUP([jobnumber],OvalData[],MATCH(Table2[[#Headers],[Cycles]],Table2[#Headers],0),0)</f>
        <v>0</v>
      </c>
      <c r="BL671" s="2">
        <f>VLOOKUP([jobnumber],OvalData[],MATCH(Table2[[#Headers],[Total Spring Torque]],Table2[#Headers],0),0)</f>
        <v>0</v>
      </c>
      <c r="BM671" s="2">
        <f>VLOOKUP([jobnumber],OvalData[],MATCH(Table2[[#Headers],[Total Spring Weight]],Table2[#Headers],0),0)</f>
        <v>0</v>
      </c>
      <c r="BN671" s="2">
        <f>VLOOKUP([jobnumber],OvalData[],MATCH(Table2[[#Headers],[Pipe Weight]],Table2[#Headers],0),0)</f>
        <v>688.24239999999998</v>
      </c>
      <c r="BO671" s="2">
        <f>VLOOKUP([jobnumber],OvalData[],MATCH(Table2[[#Headers],[Max Pipe Deflection]],Table2[#Headers],0),0)</f>
        <v>2309</v>
      </c>
      <c r="BP671" s="2">
        <f>VLOOKUP([jobnumber],OvalData[],MATCH(Table2[[#Headers],[Number Non-Insulated Wrap Slats]],Table2[#Headers],0),0)</f>
        <v>0</v>
      </c>
      <c r="BQ671" s="2">
        <f>VLOOKUP([jobnumber],OvalData[],MATCH(Table2[[#Headers],[Number of Insolated Top Slats]],Table2[#Headers],0),0)</f>
        <v>45</v>
      </c>
      <c r="BR671" s="2">
        <f>VLOOKUP([jobnumber],OvalData[],MATCH(Table2[[#Headers],[Insolated Total Slats]],Table2[#Headers],0),0)</f>
        <v>45</v>
      </c>
      <c r="BS671" s="2">
        <f>VLOOKUP([jobnumber],OvalData[],MATCH(Table2[[#Headers],[Number of Slats]],Table2[#Headers],0),0)</f>
        <v>44.69</v>
      </c>
      <c r="BT671" s="2">
        <f>VLOOKUP([jobnumber],OvalData[],MATCH(Table2[[#Headers],[Wrap]],Table2[#Headers],0),0)</f>
        <v>0</v>
      </c>
      <c r="BU671" s="2">
        <f>VLOOKUP([jobnumber],OvalData[],MATCH(Table2[[#Headers],[Wall Angle Thickness]],Table2[#Headers],0),0)</f>
        <v>0</v>
      </c>
      <c r="BV671" s="2">
        <f>VLOOKUP([jobnumber],OvalData[],MATCH(Table2[[#Headers],[windlocks]],Table2[#Headers],0),0)</f>
        <v>0</v>
      </c>
      <c r="BW671" s="2" t="str">
        <f>VLOOKUP([jobnumber],OvalData[],MATCH(Table2[[#Headers],[bottombartype]],Table2[#Headers],0),0)</f>
        <v>SPECIAL</v>
      </c>
      <c r="BX671" s="2">
        <f>VLOOKUP([jobnumber],OvalData[],MATCH(Table2[[#Headers],[endlockweight]],Table2[#Headers],0),0)</f>
        <v>0.17</v>
      </c>
      <c r="BY671" s="2">
        <f>VLOOKUP([jobnumber],OvalData[],MATCH(Table2[[#Headers],[Endlock Total Weight]],Table2[#Headers],0),0)</f>
        <v>7.5972999999999997</v>
      </c>
      <c r="BZ671" s="2">
        <f>VLOOKUP([jobnumber],OvalData[],MATCH(Table2[[#Headers],[Grille Weight]],Table2[#Headers],0),0)</f>
        <v>0</v>
      </c>
      <c r="CA671" s="2">
        <f>VLOOKUP([jobnumber],OvalData[],MATCH(Table2[[#Headers],[barrelrings]],Table2[#Headers],0),0)</f>
        <v>1</v>
      </c>
    </row>
    <row r="672" spans="2:79">
      <c r="B672" s="2" t="str">
        <f>VLOOKUP([jobnumber],OvalData[],MATCH(Table2[[#Headers],[Hand]],Table2[#Headers],0),0)</f>
        <v>RH</v>
      </c>
      <c r="C672" s="2" t="str">
        <f>VLOOKUP([jobnumber],OvalData[],MATCH(Table2[[#Headers],[Model]],Table2[#Headers],0),0)</f>
        <v>SFMPP</v>
      </c>
      <c r="D672" s="2" t="str">
        <f>VLOOKUP([jobnumber],OvalData[],MATCH(Table2[[#Headers],[width]],Table2[#Headers],0),0)</f>
        <v xml:space="preserve"> 18 ft.- 2"</v>
      </c>
      <c r="E672" s="2" t="str">
        <f>VLOOKUP([jobnumber],OvalData[],MATCH(Table2[[#Headers],[stopheight]],Table2[#Headers],0),0)</f>
        <v xml:space="preserve"> 10 ft.- 0"</v>
      </c>
      <c r="F672" s="2" t="str">
        <f>VLOOKUP([jobnumber],OvalData[],MATCH(Table2[[#Headers],[Between Brackets]],Table2[#Headers],0),0)</f>
        <v xml:space="preserve"> 18 ft.- 7 7/ 8"</v>
      </c>
      <c r="G672" s="2" t="str">
        <f>VLOOKUP([jobnumber],OvalData[],MATCH(Table2[[#Headers],[shell]],Table2[#Headers],0),0)</f>
        <v>6 INCH TUBE</v>
      </c>
      <c r="H672" s="2" t="str">
        <f>VLOOKUP([jobnumber],OvalData[],MATCH(Table2[[#Headers],[pipewidth]],Table2[#Headers],0),0)</f>
        <v xml:space="preserve"> 18 ft.- 1 3/ 8"</v>
      </c>
      <c r="I672" s="2">
        <f>VLOOKUP([jobnumber],OvalData[],MATCH(Table2[[#Headers],[Support Tubes]],Table2[#Headers],0),0)</f>
        <v>0</v>
      </c>
      <c r="J672" s="2">
        <f>VLOOKUP([jobnumber],OvalData[],MATCH(Table2[[#Headers],[Upset]],Table2[#Headers],0),0)</f>
        <v>2</v>
      </c>
      <c r="K672" s="2" t="str">
        <f>VLOOKUP([jobnumber],OvalData[],MATCH(Table2[[#Headers],[Guide Type]],Table2[#Headers],0),0)</f>
        <v>SN2-4 5/8-E</v>
      </c>
      <c r="L672" s="2" t="str">
        <f>VLOOKUP([jobnumber],OvalData[],MATCH(Table2[[#Headers],[Wall Angle]],Table2[#Headers],0),0)</f>
        <v xml:space="preserve"> 11 ft.- 8"</v>
      </c>
      <c r="M672" s="2" t="str">
        <f>VLOOKUP([jobnumber],OvalData[],MATCH(Table2[[#Headers],[Middle Angle]],Table2[#Headers],0),0)</f>
        <v xml:space="preserve"> 10 ft.- 4 1/ 2"</v>
      </c>
      <c r="N672" s="2" t="str">
        <f>VLOOKUP([jobnumber],OvalData[],MATCH(Table2[[#Headers],[Front Angle]],Table2[#Headers],0),0)</f>
        <v xml:space="preserve"> 10 ft.- 3"</v>
      </c>
      <c r="O672" s="2">
        <f>VLOOKUP([jobnumber],OvalData[],MATCH(Table2[[#Headers],[Pipe Center Line]],Table2[#Headers],0),0)</f>
        <v>131</v>
      </c>
      <c r="P672" s="2">
        <f>VLOOKUP([jobnumber],OvalData[],MATCH(Table2[[#Headers],[Heat Expansion Gap]],Table2[#Headers],0),0)</f>
        <v>0</v>
      </c>
      <c r="Q672" s="2">
        <f>VLOOKUP([jobnumber],OvalData[],MATCH(Table2[[#Headers],[Hanging Weight Closed]],Table2[#Headers],0),0)</f>
        <v>795</v>
      </c>
      <c r="R672" s="2">
        <f>VLOOKUP([jobnumber],OvalData[],MATCH(Table2[[#Headers],[Hanging Weight Open]],Table2[#Headers],0),0)</f>
        <v>140</v>
      </c>
      <c r="S672" s="2">
        <f>VLOOKUP([jobnumber],OvalData[],MATCH(Table2[[#Headers],[Initial Lever Arm]],Table2[#Headers],0),0)</f>
        <v>4.25</v>
      </c>
      <c r="T672" s="2">
        <f>VLOOKUP([jobnumber],OvalData[],MATCH(Table2[[#Headers],[Turns to Raise]],Table2[#Headers],0),0)</f>
        <v>3.5859999999999999</v>
      </c>
      <c r="U672" s="2">
        <f>VLOOKUP([jobnumber],OvalData[],MATCH(Table2[[#Headers],[Final Lever Arm]],Table2[#Headers],0),0)</f>
        <v>6.37</v>
      </c>
      <c r="V672" s="2">
        <f>VLOOKUP([jobnumber],OvalData[],MATCH(Table2[[#Headers],[Torque Required Closed]],Table2[#Headers],0),0)</f>
        <v>3377.9</v>
      </c>
      <c r="W672" s="2">
        <f>VLOOKUP([jobnumber],OvalData[],MATCH(Table2[[#Headers],[Torque Required Open]],Table2[#Headers],0),0)</f>
        <v>892</v>
      </c>
      <c r="X672" s="2">
        <f>VLOOKUP([jobnumber],OvalData[],MATCH(Table2[[#Headers],[Pre Turns]],Table2[#Headers],0),0)</f>
        <v>1.3332999999999999</v>
      </c>
      <c r="Y672" s="2">
        <f>VLOOKUP([jobnumber],OvalData[],MATCH(Table2[[#Headers],[Required Torque Per Turn]],Table2[#Headers],0),0)</f>
        <v>688</v>
      </c>
      <c r="Z672" s="2">
        <f>VLOOKUP([jobnumber],OvalData[],MATCH(Table2[[#Headers],[Total Turns]],Table2[#Headers],0),0)</f>
        <v>4.91</v>
      </c>
      <c r="AA672" s="2">
        <f>VLOOKUP([jobnumber],OvalData[],MATCH(Table2[[#Headers],[Grille Vision Section]],Table2[#Headers],0),0)</f>
        <v>0</v>
      </c>
      <c r="AB672" s="2">
        <f>VLOOKUP([jobnumber],OvalData[],MATCH(Table2[[#Headers],[Grille Amount]],Table2[#Headers],0),0)</f>
        <v>0</v>
      </c>
      <c r="AC672" s="2">
        <f>VLOOKUP([jobnumber],OvalData[],MATCH(Table2[[#Headers],[Grille Center]],Table2[#Headers],0),0)</f>
        <v>0</v>
      </c>
      <c r="AD672" s="2">
        <f>VLOOKUP([jobnumber],OvalData[],MATCH(Table2[[#Headers],[Grille Pattern]],Table2[#Headers],0),0)</f>
        <v>0</v>
      </c>
      <c r="AE672" s="2">
        <f>VLOOKUP([jobnumber],OvalData[],MATCH(Table2[[#Headers],[Grille First Tube]],Table2[#Headers],0),0)</f>
        <v>0</v>
      </c>
      <c r="AF672" s="2">
        <f>VLOOKUP([jobnumber],OvalData[],MATCH(Table2[[#Headers],[Grille Standard Tube]],Table2[#Headers],0),0)</f>
        <v>0</v>
      </c>
      <c r="AG672" s="2">
        <f>VLOOKUP([jobnumber],OvalData[],MATCH(Table2[[#Headers],[Grille Total Links]],Table2[#Headers],0),0)</f>
        <v>0</v>
      </c>
      <c r="AH672" s="2">
        <f>VLOOKUP([jobnumber],OvalData[],MATCH(Table2[[#Headers],[Grille Rods]],Table2[#Headers],0),0)</f>
        <v>0</v>
      </c>
      <c r="AI672" s="2">
        <f>VLOOKUP([jobnumber],OvalData[],MATCH(Table2[[#Headers],[Grille Rod Length]],Table2[#Headers],0),0)</f>
        <v>0</v>
      </c>
      <c r="AJ672" s="2">
        <f>VLOOKUP([jobnumber],OvalData[],MATCH(Table2[[#Headers],[slattype]],Table2[#Headers],0),0)</f>
        <v>2</v>
      </c>
      <c r="AK672" s="2">
        <f>VLOOKUP([jobnumber],OvalData[],MATCH(Table2[[#Headers],[slatgage]],Table2[#Headers],0),0)</f>
        <v>18</v>
      </c>
      <c r="AL672" s="2">
        <f>VLOOKUP([jobnumber],OvalData[],MATCH(Table2[[#Headers],[Numer of Top Slats]],Table2[#Headers],0),0)</f>
        <v>0</v>
      </c>
      <c r="AM672" s="2">
        <f>VLOOKUP([jobnumber],OvalData[],MATCH(Table2[[#Headers],[Number of Bottom Slats]],Table2[#Headers],0),0)</f>
        <v>0</v>
      </c>
      <c r="AN672" s="2">
        <f>VLOOKUP([jobnumber],OvalData[],MATCH(Table2[[#Headers],[Solid Bottom Height]],Table2[#Headers],0),0)</f>
        <v>0</v>
      </c>
      <c r="AO672" s="2" t="str">
        <f>VLOOKUP([jobnumber],OvalData[],MATCH(Table2[[#Headers],[slatlength]],Table2[#Headers],0),0)</f>
        <v xml:space="preserve"> 18 ft.- 5 7/ 8"</v>
      </c>
      <c r="AP672" s="2">
        <f>VLOOKUP([jobnumber],OvalData[],MATCH(Table2[[#Headers],[Bottom Slat Length]],Table2[#Headers],0),0)</f>
        <v>0</v>
      </c>
      <c r="AQ672" s="2">
        <f>VLOOKUP([jobnumber],OvalData[],MATCH(Table2[[#Headers],[Number of Perferated Slats]],Table2[#Headers],0),0)</f>
        <v>0</v>
      </c>
      <c r="AR672" s="2">
        <f>VLOOKUP([jobnumber],OvalData[],MATCH(Table2[[#Headers],[First Preferated Slat From End]],Table2[#Headers],0),0)</f>
        <v>0</v>
      </c>
      <c r="AS672" s="2">
        <f>VLOOKUP([jobnumber],OvalData[],MATCH(Table2[[#Headers],[First Preferated Slat From Bottom]],Table2[#Headers],0),0)</f>
        <v>0</v>
      </c>
      <c r="AT672" s="2">
        <f>VLOOKUP([jobnumber],OvalData[],MATCH(Table2[[#Headers],[Total Number of Slats]],Table2[#Headers],0),0)</f>
        <v>51</v>
      </c>
      <c r="AU672" s="2">
        <f>VLOOKUP([jobnumber],OvalData[],MATCH(Table2[[#Headers],[Bottom Bar Slope]],Table2[#Headers],0),0)</f>
        <v>0</v>
      </c>
      <c r="AV672" s="2">
        <f>VLOOKUP([jobnumber],OvalData[],MATCH(Table2[[#Headers],[Bottom Bar Weight]],Table2[#Headers],0),0)</f>
        <v>80.5</v>
      </c>
      <c r="AW672" s="2" t="str">
        <f>VLOOKUP([jobnumber],OvalData[],MATCH(Table2[[#Headers],[Outer Spring Gage]],Table2[#Headers],0),0)</f>
        <v>Null</v>
      </c>
      <c r="AX672" s="2" t="str">
        <f>VLOOKUP([jobnumber],OvalData[],MATCH(Table2[[#Headers],[Outer Spring OD]],Table2[#Headers],0),0)</f>
        <v>Null</v>
      </c>
      <c r="AY672" s="2" t="str">
        <f>VLOOKUP([jobnumber],OvalData[],MATCH(Table2[[#Headers],[Outer Spring Length]],Table2[#Headers],0),0)</f>
        <v>Null</v>
      </c>
      <c r="AZ672" s="2" t="str">
        <f>VLOOKUP([jobnumber],OvalData[],MATCH(Table2[[#Headers],[Outer Spring Stretch]],Table2[#Headers],0),0)</f>
        <v>Null</v>
      </c>
      <c r="BA672" s="2" t="str">
        <f>VLOOKUP([jobnumber],OvalData[],MATCH(Table2[[#Headers],[Outer Spring Torque]],Table2[#Headers],0),0)</f>
        <v>Null</v>
      </c>
      <c r="BB672" s="2" t="str">
        <f>VLOOKUP([jobnumber],OvalData[],MATCH(Table2[[#Headers],[Outer Spring Max Turns]],Table2[#Headers],0),0)</f>
        <v>Null</v>
      </c>
      <c r="BC672" s="2" t="str">
        <f>VLOOKUP([jobnumber],OvalData[],MATCH(Table2[[#Headers],[Outer Spring Weight]],Table2[#Headers],0),0)</f>
        <v>Null</v>
      </c>
      <c r="BD672" s="2" t="str">
        <f>VLOOKUP([jobnumber],OvalData[],MATCH(Table2[[#Headers],[Inner Spring Gage]],Table2[#Headers],0),0)</f>
        <v>Null</v>
      </c>
      <c r="BE672" s="2" t="str">
        <f>VLOOKUP([jobnumber],OvalData[],MATCH(Table2[[#Headers],[Inner Spring OD]],Table2[#Headers],0),0)</f>
        <v>Null</v>
      </c>
      <c r="BF672" s="2" t="str">
        <f>VLOOKUP([jobnumber],OvalData[],MATCH(Table2[[#Headers],[Inner Spring Length]],Table2[#Headers],0),0)</f>
        <v>Null</v>
      </c>
      <c r="BG672" s="2" t="str">
        <f>VLOOKUP([jobnumber],OvalData[],MATCH(Table2[[#Headers],[Inner Spring Stretch]],Table2[#Headers],0),0)</f>
        <v>Null</v>
      </c>
      <c r="BH672" s="2" t="str">
        <f>VLOOKUP([jobnumber],OvalData[],MATCH(Table2[[#Headers],[Inner Spring Torque]],Table2[#Headers],0),0)</f>
        <v>Null</v>
      </c>
      <c r="BI672" s="2" t="str">
        <f>VLOOKUP([jobnumber],OvalData[],MATCH(Table2[[#Headers],[Inner Spring Max Turns]],Table2[#Headers],0),0)</f>
        <v>Null</v>
      </c>
      <c r="BJ672" s="2" t="str">
        <f>VLOOKUP([jobnumber],OvalData[],MATCH(Table2[[#Headers],[Inner Spring Weight]],Table2[#Headers],0),0)</f>
        <v>Null</v>
      </c>
      <c r="BK672" s="2">
        <f>VLOOKUP([jobnumber],OvalData[],MATCH(Table2[[#Headers],[Cycles]],Table2[#Headers],0),0)</f>
        <v>0</v>
      </c>
      <c r="BL672" s="2">
        <f>VLOOKUP([jobnumber],OvalData[],MATCH(Table2[[#Headers],[Total Spring Torque]],Table2[#Headers],0),0)</f>
        <v>0</v>
      </c>
      <c r="BM672" s="2">
        <f>VLOOKUP([jobnumber],OvalData[],MATCH(Table2[[#Headers],[Total Spring Weight]],Table2[#Headers],0),0)</f>
        <v>0</v>
      </c>
      <c r="BN672" s="2">
        <f>VLOOKUP([jobnumber],OvalData[],MATCH(Table2[[#Headers],[Pipe Weight]],Table2[#Headers],0),0)</f>
        <v>688.24239999999998</v>
      </c>
      <c r="BO672" s="2">
        <f>VLOOKUP([jobnumber],OvalData[],MATCH(Table2[[#Headers],[Max Pipe Deflection]],Table2[#Headers],0),0)</f>
        <v>2309</v>
      </c>
      <c r="BP672" s="2">
        <f>VLOOKUP([jobnumber],OvalData[],MATCH(Table2[[#Headers],[Number Non-Insulated Wrap Slats]],Table2[#Headers],0),0)</f>
        <v>0</v>
      </c>
      <c r="BQ672" s="2">
        <f>VLOOKUP([jobnumber],OvalData[],MATCH(Table2[[#Headers],[Number of Insolated Top Slats]],Table2[#Headers],0),0)</f>
        <v>45</v>
      </c>
      <c r="BR672" s="2">
        <f>VLOOKUP([jobnumber],OvalData[],MATCH(Table2[[#Headers],[Insolated Total Slats]],Table2[#Headers],0),0)</f>
        <v>45</v>
      </c>
      <c r="BS672" s="2">
        <f>VLOOKUP([jobnumber],OvalData[],MATCH(Table2[[#Headers],[Number of Slats]],Table2[#Headers],0),0)</f>
        <v>44.69</v>
      </c>
      <c r="BT672" s="2">
        <f>VLOOKUP([jobnumber],OvalData[],MATCH(Table2[[#Headers],[Wrap]],Table2[#Headers],0),0)</f>
        <v>0</v>
      </c>
      <c r="BU672" s="2">
        <f>VLOOKUP([jobnumber],OvalData[],MATCH(Table2[[#Headers],[Wall Angle Thickness]],Table2[#Headers],0),0)</f>
        <v>0</v>
      </c>
      <c r="BV672" s="2">
        <f>VLOOKUP([jobnumber],OvalData[],MATCH(Table2[[#Headers],[windlocks]],Table2[#Headers],0),0)</f>
        <v>0</v>
      </c>
      <c r="BW672" s="2" t="str">
        <f>VLOOKUP([jobnumber],OvalData[],MATCH(Table2[[#Headers],[bottombartype]],Table2[#Headers],0),0)</f>
        <v>SPECIAL</v>
      </c>
      <c r="BX672" s="2">
        <f>VLOOKUP([jobnumber],OvalData[],MATCH(Table2[[#Headers],[endlockweight]],Table2[#Headers],0),0)</f>
        <v>0.17</v>
      </c>
      <c r="BY672" s="2">
        <f>VLOOKUP([jobnumber],OvalData[],MATCH(Table2[[#Headers],[Endlock Total Weight]],Table2[#Headers],0),0)</f>
        <v>7.5972999999999997</v>
      </c>
      <c r="BZ672" s="2">
        <f>VLOOKUP([jobnumber],OvalData[],MATCH(Table2[[#Headers],[Grille Weight]],Table2[#Headers],0),0)</f>
        <v>0</v>
      </c>
      <c r="CA672" s="2">
        <f>VLOOKUP([jobnumber],OvalData[],MATCH(Table2[[#Headers],[barrelrings]],Table2[#Headers],0),0)</f>
        <v>1</v>
      </c>
    </row>
    <row r="673" spans="2:79">
      <c r="B673" s="2" t="str">
        <f>VLOOKUP([jobnumber],OvalData[],MATCH(Table2[[#Headers],[Hand]],Table2[#Headers],0),0)</f>
        <v>RH</v>
      </c>
      <c r="C673" s="2" t="str">
        <f>VLOOKUP([jobnumber],OvalData[],MATCH(Table2[[#Headers],[Model]],Table2[#Headers],0),0)</f>
        <v>SFMPP</v>
      </c>
      <c r="D673" s="2" t="str">
        <f>VLOOKUP([jobnumber],OvalData[],MATCH(Table2[[#Headers],[width]],Table2[#Headers],0),0)</f>
        <v xml:space="preserve"> 18 ft.- 2"</v>
      </c>
      <c r="E673" s="2" t="str">
        <f>VLOOKUP([jobnumber],OvalData[],MATCH(Table2[[#Headers],[stopheight]],Table2[#Headers],0),0)</f>
        <v xml:space="preserve"> 10 ft.- 0"</v>
      </c>
      <c r="F673" s="2" t="str">
        <f>VLOOKUP([jobnumber],OvalData[],MATCH(Table2[[#Headers],[Between Brackets]],Table2[#Headers],0),0)</f>
        <v xml:space="preserve"> 18 ft.- 7 7/ 8"</v>
      </c>
      <c r="G673" s="2" t="str">
        <f>VLOOKUP([jobnumber],OvalData[],MATCH(Table2[[#Headers],[shell]],Table2[#Headers],0),0)</f>
        <v>6 INCH TUBE</v>
      </c>
      <c r="H673" s="2" t="str">
        <f>VLOOKUP([jobnumber],OvalData[],MATCH(Table2[[#Headers],[pipewidth]],Table2[#Headers],0),0)</f>
        <v xml:space="preserve"> 18 ft.- 1 3/ 8"</v>
      </c>
      <c r="I673" s="2">
        <f>VLOOKUP([jobnumber],OvalData[],MATCH(Table2[[#Headers],[Support Tubes]],Table2[#Headers],0),0)</f>
        <v>0</v>
      </c>
      <c r="J673" s="2">
        <f>VLOOKUP([jobnumber],OvalData[],MATCH(Table2[[#Headers],[Upset]],Table2[#Headers],0),0)</f>
        <v>2</v>
      </c>
      <c r="K673" s="2" t="str">
        <f>VLOOKUP([jobnumber],OvalData[],MATCH(Table2[[#Headers],[Guide Type]],Table2[#Headers],0),0)</f>
        <v>SN2-4 5/8-E</v>
      </c>
      <c r="L673" s="2" t="str">
        <f>VLOOKUP([jobnumber],OvalData[],MATCH(Table2[[#Headers],[Wall Angle]],Table2[#Headers],0),0)</f>
        <v xml:space="preserve"> 11 ft.- 8"</v>
      </c>
      <c r="M673" s="2" t="str">
        <f>VLOOKUP([jobnumber],OvalData[],MATCH(Table2[[#Headers],[Middle Angle]],Table2[#Headers],0),0)</f>
        <v xml:space="preserve"> 10 ft.- 4 1/ 2"</v>
      </c>
      <c r="N673" s="2" t="str">
        <f>VLOOKUP([jobnumber],OvalData[],MATCH(Table2[[#Headers],[Front Angle]],Table2[#Headers],0),0)</f>
        <v xml:space="preserve"> 10 ft.- 3"</v>
      </c>
      <c r="O673" s="2">
        <f>VLOOKUP([jobnumber],OvalData[],MATCH(Table2[[#Headers],[Pipe Center Line]],Table2[#Headers],0),0)</f>
        <v>131</v>
      </c>
      <c r="P673" s="2">
        <f>VLOOKUP([jobnumber],OvalData[],MATCH(Table2[[#Headers],[Heat Expansion Gap]],Table2[#Headers],0),0)</f>
        <v>0</v>
      </c>
      <c r="Q673" s="2">
        <f>VLOOKUP([jobnumber],OvalData[],MATCH(Table2[[#Headers],[Hanging Weight Closed]],Table2[#Headers],0),0)</f>
        <v>795</v>
      </c>
      <c r="R673" s="2">
        <f>VLOOKUP([jobnumber],OvalData[],MATCH(Table2[[#Headers],[Hanging Weight Open]],Table2[#Headers],0),0)</f>
        <v>140</v>
      </c>
      <c r="S673" s="2">
        <f>VLOOKUP([jobnumber],OvalData[],MATCH(Table2[[#Headers],[Initial Lever Arm]],Table2[#Headers],0),0)</f>
        <v>4.25</v>
      </c>
      <c r="T673" s="2">
        <f>VLOOKUP([jobnumber],OvalData[],MATCH(Table2[[#Headers],[Turns to Raise]],Table2[#Headers],0),0)</f>
        <v>3.5859999999999999</v>
      </c>
      <c r="U673" s="2">
        <f>VLOOKUP([jobnumber],OvalData[],MATCH(Table2[[#Headers],[Final Lever Arm]],Table2[#Headers],0),0)</f>
        <v>6.37</v>
      </c>
      <c r="V673" s="2">
        <f>VLOOKUP([jobnumber],OvalData[],MATCH(Table2[[#Headers],[Torque Required Closed]],Table2[#Headers],0),0)</f>
        <v>3377.9</v>
      </c>
      <c r="W673" s="2">
        <f>VLOOKUP([jobnumber],OvalData[],MATCH(Table2[[#Headers],[Torque Required Open]],Table2[#Headers],0),0)</f>
        <v>892</v>
      </c>
      <c r="X673" s="2">
        <f>VLOOKUP([jobnumber],OvalData[],MATCH(Table2[[#Headers],[Pre Turns]],Table2[#Headers],0),0)</f>
        <v>1.3332999999999999</v>
      </c>
      <c r="Y673" s="2">
        <f>VLOOKUP([jobnumber],OvalData[],MATCH(Table2[[#Headers],[Required Torque Per Turn]],Table2[#Headers],0),0)</f>
        <v>688</v>
      </c>
      <c r="Z673" s="2">
        <f>VLOOKUP([jobnumber],OvalData[],MATCH(Table2[[#Headers],[Total Turns]],Table2[#Headers],0),0)</f>
        <v>4.91</v>
      </c>
      <c r="AA673" s="2">
        <f>VLOOKUP([jobnumber],OvalData[],MATCH(Table2[[#Headers],[Grille Vision Section]],Table2[#Headers],0),0)</f>
        <v>0</v>
      </c>
      <c r="AB673" s="2">
        <f>VLOOKUP([jobnumber],OvalData[],MATCH(Table2[[#Headers],[Grille Amount]],Table2[#Headers],0),0)</f>
        <v>0</v>
      </c>
      <c r="AC673" s="2">
        <f>VLOOKUP([jobnumber],OvalData[],MATCH(Table2[[#Headers],[Grille Center]],Table2[#Headers],0),0)</f>
        <v>0</v>
      </c>
      <c r="AD673" s="2">
        <f>VLOOKUP([jobnumber],OvalData[],MATCH(Table2[[#Headers],[Grille Pattern]],Table2[#Headers],0),0)</f>
        <v>0</v>
      </c>
      <c r="AE673" s="2">
        <f>VLOOKUP([jobnumber],OvalData[],MATCH(Table2[[#Headers],[Grille First Tube]],Table2[#Headers],0),0)</f>
        <v>0</v>
      </c>
      <c r="AF673" s="2">
        <f>VLOOKUP([jobnumber],OvalData[],MATCH(Table2[[#Headers],[Grille Standard Tube]],Table2[#Headers],0),0)</f>
        <v>0</v>
      </c>
      <c r="AG673" s="2">
        <f>VLOOKUP([jobnumber],OvalData[],MATCH(Table2[[#Headers],[Grille Total Links]],Table2[#Headers],0),0)</f>
        <v>0</v>
      </c>
      <c r="AH673" s="2">
        <f>VLOOKUP([jobnumber],OvalData[],MATCH(Table2[[#Headers],[Grille Rods]],Table2[#Headers],0),0)</f>
        <v>0</v>
      </c>
      <c r="AI673" s="2">
        <f>VLOOKUP([jobnumber],OvalData[],MATCH(Table2[[#Headers],[Grille Rod Length]],Table2[#Headers],0),0)</f>
        <v>0</v>
      </c>
      <c r="AJ673" s="2">
        <f>VLOOKUP([jobnumber],OvalData[],MATCH(Table2[[#Headers],[slattype]],Table2[#Headers],0),0)</f>
        <v>2</v>
      </c>
      <c r="AK673" s="2">
        <f>VLOOKUP([jobnumber],OvalData[],MATCH(Table2[[#Headers],[slatgage]],Table2[#Headers],0),0)</f>
        <v>18</v>
      </c>
      <c r="AL673" s="2">
        <f>VLOOKUP([jobnumber],OvalData[],MATCH(Table2[[#Headers],[Numer of Top Slats]],Table2[#Headers],0),0)</f>
        <v>0</v>
      </c>
      <c r="AM673" s="2">
        <f>VLOOKUP([jobnumber],OvalData[],MATCH(Table2[[#Headers],[Number of Bottom Slats]],Table2[#Headers],0),0)</f>
        <v>0</v>
      </c>
      <c r="AN673" s="2">
        <f>VLOOKUP([jobnumber],OvalData[],MATCH(Table2[[#Headers],[Solid Bottom Height]],Table2[#Headers],0),0)</f>
        <v>0</v>
      </c>
      <c r="AO673" s="2" t="str">
        <f>VLOOKUP([jobnumber],OvalData[],MATCH(Table2[[#Headers],[slatlength]],Table2[#Headers],0),0)</f>
        <v xml:space="preserve"> 18 ft.- 5 7/ 8"</v>
      </c>
      <c r="AP673" s="2">
        <f>VLOOKUP([jobnumber],OvalData[],MATCH(Table2[[#Headers],[Bottom Slat Length]],Table2[#Headers],0),0)</f>
        <v>0</v>
      </c>
      <c r="AQ673" s="2">
        <f>VLOOKUP([jobnumber],OvalData[],MATCH(Table2[[#Headers],[Number of Perferated Slats]],Table2[#Headers],0),0)</f>
        <v>0</v>
      </c>
      <c r="AR673" s="2">
        <f>VLOOKUP([jobnumber],OvalData[],MATCH(Table2[[#Headers],[First Preferated Slat From End]],Table2[#Headers],0),0)</f>
        <v>0</v>
      </c>
      <c r="AS673" s="2">
        <f>VLOOKUP([jobnumber],OvalData[],MATCH(Table2[[#Headers],[First Preferated Slat From Bottom]],Table2[#Headers],0),0)</f>
        <v>0</v>
      </c>
      <c r="AT673" s="2">
        <f>VLOOKUP([jobnumber],OvalData[],MATCH(Table2[[#Headers],[Total Number of Slats]],Table2[#Headers],0),0)</f>
        <v>51</v>
      </c>
      <c r="AU673" s="2">
        <f>VLOOKUP([jobnumber],OvalData[],MATCH(Table2[[#Headers],[Bottom Bar Slope]],Table2[#Headers],0),0)</f>
        <v>0</v>
      </c>
      <c r="AV673" s="2">
        <f>VLOOKUP([jobnumber],OvalData[],MATCH(Table2[[#Headers],[Bottom Bar Weight]],Table2[#Headers],0),0)</f>
        <v>80.5</v>
      </c>
      <c r="AW673" s="2" t="str">
        <f>VLOOKUP([jobnumber],OvalData[],MATCH(Table2[[#Headers],[Outer Spring Gage]],Table2[#Headers],0),0)</f>
        <v>Null</v>
      </c>
      <c r="AX673" s="2" t="str">
        <f>VLOOKUP([jobnumber],OvalData[],MATCH(Table2[[#Headers],[Outer Spring OD]],Table2[#Headers],0),0)</f>
        <v>Null</v>
      </c>
      <c r="AY673" s="2" t="str">
        <f>VLOOKUP([jobnumber],OvalData[],MATCH(Table2[[#Headers],[Outer Spring Length]],Table2[#Headers],0),0)</f>
        <v>Null</v>
      </c>
      <c r="AZ673" s="2" t="str">
        <f>VLOOKUP([jobnumber],OvalData[],MATCH(Table2[[#Headers],[Outer Spring Stretch]],Table2[#Headers],0),0)</f>
        <v>Null</v>
      </c>
      <c r="BA673" s="2" t="str">
        <f>VLOOKUP([jobnumber],OvalData[],MATCH(Table2[[#Headers],[Outer Spring Torque]],Table2[#Headers],0),0)</f>
        <v>Null</v>
      </c>
      <c r="BB673" s="2" t="str">
        <f>VLOOKUP([jobnumber],OvalData[],MATCH(Table2[[#Headers],[Outer Spring Max Turns]],Table2[#Headers],0),0)</f>
        <v>Null</v>
      </c>
      <c r="BC673" s="2" t="str">
        <f>VLOOKUP([jobnumber],OvalData[],MATCH(Table2[[#Headers],[Outer Spring Weight]],Table2[#Headers],0),0)</f>
        <v>Null</v>
      </c>
      <c r="BD673" s="2" t="str">
        <f>VLOOKUP([jobnumber],OvalData[],MATCH(Table2[[#Headers],[Inner Spring Gage]],Table2[#Headers],0),0)</f>
        <v>Null</v>
      </c>
      <c r="BE673" s="2" t="str">
        <f>VLOOKUP([jobnumber],OvalData[],MATCH(Table2[[#Headers],[Inner Spring OD]],Table2[#Headers],0),0)</f>
        <v>Null</v>
      </c>
      <c r="BF673" s="2" t="str">
        <f>VLOOKUP([jobnumber],OvalData[],MATCH(Table2[[#Headers],[Inner Spring Length]],Table2[#Headers],0),0)</f>
        <v>Null</v>
      </c>
      <c r="BG673" s="2" t="str">
        <f>VLOOKUP([jobnumber],OvalData[],MATCH(Table2[[#Headers],[Inner Spring Stretch]],Table2[#Headers],0),0)</f>
        <v>Null</v>
      </c>
      <c r="BH673" s="2" t="str">
        <f>VLOOKUP([jobnumber],OvalData[],MATCH(Table2[[#Headers],[Inner Spring Torque]],Table2[#Headers],0),0)</f>
        <v>Null</v>
      </c>
      <c r="BI673" s="2" t="str">
        <f>VLOOKUP([jobnumber],OvalData[],MATCH(Table2[[#Headers],[Inner Spring Max Turns]],Table2[#Headers],0),0)</f>
        <v>Null</v>
      </c>
      <c r="BJ673" s="2" t="str">
        <f>VLOOKUP([jobnumber],OvalData[],MATCH(Table2[[#Headers],[Inner Spring Weight]],Table2[#Headers],0),0)</f>
        <v>Null</v>
      </c>
      <c r="BK673" s="2">
        <f>VLOOKUP([jobnumber],OvalData[],MATCH(Table2[[#Headers],[Cycles]],Table2[#Headers],0),0)</f>
        <v>0</v>
      </c>
      <c r="BL673" s="2">
        <f>VLOOKUP([jobnumber],OvalData[],MATCH(Table2[[#Headers],[Total Spring Torque]],Table2[#Headers],0),0)</f>
        <v>0</v>
      </c>
      <c r="BM673" s="2">
        <f>VLOOKUP([jobnumber],OvalData[],MATCH(Table2[[#Headers],[Total Spring Weight]],Table2[#Headers],0),0)</f>
        <v>0</v>
      </c>
      <c r="BN673" s="2">
        <f>VLOOKUP([jobnumber],OvalData[],MATCH(Table2[[#Headers],[Pipe Weight]],Table2[#Headers],0),0)</f>
        <v>688.24239999999998</v>
      </c>
      <c r="BO673" s="2">
        <f>VLOOKUP([jobnumber],OvalData[],MATCH(Table2[[#Headers],[Max Pipe Deflection]],Table2[#Headers],0),0)</f>
        <v>2309</v>
      </c>
      <c r="BP673" s="2">
        <f>VLOOKUP([jobnumber],OvalData[],MATCH(Table2[[#Headers],[Number Non-Insulated Wrap Slats]],Table2[#Headers],0),0)</f>
        <v>0</v>
      </c>
      <c r="BQ673" s="2">
        <f>VLOOKUP([jobnumber],OvalData[],MATCH(Table2[[#Headers],[Number of Insolated Top Slats]],Table2[#Headers],0),0)</f>
        <v>45</v>
      </c>
      <c r="BR673" s="2">
        <f>VLOOKUP([jobnumber],OvalData[],MATCH(Table2[[#Headers],[Insolated Total Slats]],Table2[#Headers],0),0)</f>
        <v>45</v>
      </c>
      <c r="BS673" s="2">
        <f>VLOOKUP([jobnumber],OvalData[],MATCH(Table2[[#Headers],[Number of Slats]],Table2[#Headers],0),0)</f>
        <v>44.69</v>
      </c>
      <c r="BT673" s="2">
        <f>VLOOKUP([jobnumber],OvalData[],MATCH(Table2[[#Headers],[Wrap]],Table2[#Headers],0),0)</f>
        <v>0</v>
      </c>
      <c r="BU673" s="2">
        <f>VLOOKUP([jobnumber],OvalData[],MATCH(Table2[[#Headers],[Wall Angle Thickness]],Table2[#Headers],0),0)</f>
        <v>0</v>
      </c>
      <c r="BV673" s="2">
        <f>VLOOKUP([jobnumber],OvalData[],MATCH(Table2[[#Headers],[windlocks]],Table2[#Headers],0),0)</f>
        <v>0</v>
      </c>
      <c r="BW673" s="2" t="str">
        <f>VLOOKUP([jobnumber],OvalData[],MATCH(Table2[[#Headers],[bottombartype]],Table2[#Headers],0),0)</f>
        <v>SPECIAL</v>
      </c>
      <c r="BX673" s="2">
        <f>VLOOKUP([jobnumber],OvalData[],MATCH(Table2[[#Headers],[endlockweight]],Table2[#Headers],0),0)</f>
        <v>0.17</v>
      </c>
      <c r="BY673" s="2">
        <f>VLOOKUP([jobnumber],OvalData[],MATCH(Table2[[#Headers],[Endlock Total Weight]],Table2[#Headers],0),0)</f>
        <v>7.5972999999999997</v>
      </c>
      <c r="BZ673" s="2">
        <f>VLOOKUP([jobnumber],OvalData[],MATCH(Table2[[#Headers],[Grille Weight]],Table2[#Headers],0),0)</f>
        <v>0</v>
      </c>
      <c r="CA673" s="2">
        <f>VLOOKUP([jobnumber],OvalData[],MATCH(Table2[[#Headers],[barrelrings]],Table2[#Headers],0),0)</f>
        <v>1</v>
      </c>
    </row>
    <row r="674" spans="2:79">
      <c r="B674" s="2" t="str">
        <f>VLOOKUP([jobnumber],OvalData[],MATCH(Table2[[#Headers],[Hand]],Table2[#Headers],0),0)</f>
        <v>RH</v>
      </c>
      <c r="C674" s="2" t="str">
        <f>VLOOKUP([jobnumber],OvalData[],MATCH(Table2[[#Headers],[Model]],Table2[#Headers],0),0)</f>
        <v>SFMPP</v>
      </c>
      <c r="D674" s="2" t="str">
        <f>VLOOKUP([jobnumber],OvalData[],MATCH(Table2[[#Headers],[width]],Table2[#Headers],0),0)</f>
        <v xml:space="preserve"> 18 ft.- 2"</v>
      </c>
      <c r="E674" s="2" t="str">
        <f>VLOOKUP([jobnumber],OvalData[],MATCH(Table2[[#Headers],[stopheight]],Table2[#Headers],0),0)</f>
        <v xml:space="preserve"> 10 ft.- 0"</v>
      </c>
      <c r="F674" s="2" t="str">
        <f>VLOOKUP([jobnumber],OvalData[],MATCH(Table2[[#Headers],[Between Brackets]],Table2[#Headers],0),0)</f>
        <v xml:space="preserve"> 18 ft.- 7 7/ 8"</v>
      </c>
      <c r="G674" s="2" t="str">
        <f>VLOOKUP([jobnumber],OvalData[],MATCH(Table2[[#Headers],[shell]],Table2[#Headers],0),0)</f>
        <v>6 INCH TUBE</v>
      </c>
      <c r="H674" s="2" t="str">
        <f>VLOOKUP([jobnumber],OvalData[],MATCH(Table2[[#Headers],[pipewidth]],Table2[#Headers],0),0)</f>
        <v xml:space="preserve"> 18 ft.- 1 3/ 8"</v>
      </c>
      <c r="I674" s="2">
        <f>VLOOKUP([jobnumber],OvalData[],MATCH(Table2[[#Headers],[Support Tubes]],Table2[#Headers],0),0)</f>
        <v>0</v>
      </c>
      <c r="J674" s="2">
        <f>VLOOKUP([jobnumber],OvalData[],MATCH(Table2[[#Headers],[Upset]],Table2[#Headers],0),0)</f>
        <v>2</v>
      </c>
      <c r="K674" s="2" t="str">
        <f>VLOOKUP([jobnumber],OvalData[],MATCH(Table2[[#Headers],[Guide Type]],Table2[#Headers],0),0)</f>
        <v>SN2-4 5/8-E</v>
      </c>
      <c r="L674" s="2" t="str">
        <f>VLOOKUP([jobnumber],OvalData[],MATCH(Table2[[#Headers],[Wall Angle]],Table2[#Headers],0),0)</f>
        <v xml:space="preserve"> 11 ft.- 8"</v>
      </c>
      <c r="M674" s="2" t="str">
        <f>VLOOKUP([jobnumber],OvalData[],MATCH(Table2[[#Headers],[Middle Angle]],Table2[#Headers],0),0)</f>
        <v xml:space="preserve"> 10 ft.- 4 1/ 2"</v>
      </c>
      <c r="N674" s="2" t="str">
        <f>VLOOKUP([jobnumber],OvalData[],MATCH(Table2[[#Headers],[Front Angle]],Table2[#Headers],0),0)</f>
        <v xml:space="preserve"> 10 ft.- 3"</v>
      </c>
      <c r="O674" s="2">
        <f>VLOOKUP([jobnumber],OvalData[],MATCH(Table2[[#Headers],[Pipe Center Line]],Table2[#Headers],0),0)</f>
        <v>131</v>
      </c>
      <c r="P674" s="2">
        <f>VLOOKUP([jobnumber],OvalData[],MATCH(Table2[[#Headers],[Heat Expansion Gap]],Table2[#Headers],0),0)</f>
        <v>0</v>
      </c>
      <c r="Q674" s="2">
        <f>VLOOKUP([jobnumber],OvalData[],MATCH(Table2[[#Headers],[Hanging Weight Closed]],Table2[#Headers],0),0)</f>
        <v>795</v>
      </c>
      <c r="R674" s="2">
        <f>VLOOKUP([jobnumber],OvalData[],MATCH(Table2[[#Headers],[Hanging Weight Open]],Table2[#Headers],0),0)</f>
        <v>140</v>
      </c>
      <c r="S674" s="2">
        <f>VLOOKUP([jobnumber],OvalData[],MATCH(Table2[[#Headers],[Initial Lever Arm]],Table2[#Headers],0),0)</f>
        <v>4.25</v>
      </c>
      <c r="T674" s="2">
        <f>VLOOKUP([jobnumber],OvalData[],MATCH(Table2[[#Headers],[Turns to Raise]],Table2[#Headers],0),0)</f>
        <v>3.5859999999999999</v>
      </c>
      <c r="U674" s="2">
        <f>VLOOKUP([jobnumber],OvalData[],MATCH(Table2[[#Headers],[Final Lever Arm]],Table2[#Headers],0),0)</f>
        <v>6.37</v>
      </c>
      <c r="V674" s="2">
        <f>VLOOKUP([jobnumber],OvalData[],MATCH(Table2[[#Headers],[Torque Required Closed]],Table2[#Headers],0),0)</f>
        <v>3377.9</v>
      </c>
      <c r="W674" s="2">
        <f>VLOOKUP([jobnumber],OvalData[],MATCH(Table2[[#Headers],[Torque Required Open]],Table2[#Headers],0),0)</f>
        <v>892</v>
      </c>
      <c r="X674" s="2">
        <f>VLOOKUP([jobnumber],OvalData[],MATCH(Table2[[#Headers],[Pre Turns]],Table2[#Headers],0),0)</f>
        <v>1.3332999999999999</v>
      </c>
      <c r="Y674" s="2">
        <f>VLOOKUP([jobnumber],OvalData[],MATCH(Table2[[#Headers],[Required Torque Per Turn]],Table2[#Headers],0),0)</f>
        <v>688</v>
      </c>
      <c r="Z674" s="2">
        <f>VLOOKUP([jobnumber],OvalData[],MATCH(Table2[[#Headers],[Total Turns]],Table2[#Headers],0),0)</f>
        <v>4.91</v>
      </c>
      <c r="AA674" s="2">
        <f>VLOOKUP([jobnumber],OvalData[],MATCH(Table2[[#Headers],[Grille Vision Section]],Table2[#Headers],0),0)</f>
        <v>0</v>
      </c>
      <c r="AB674" s="2">
        <f>VLOOKUP([jobnumber],OvalData[],MATCH(Table2[[#Headers],[Grille Amount]],Table2[#Headers],0),0)</f>
        <v>0</v>
      </c>
      <c r="AC674" s="2">
        <f>VLOOKUP([jobnumber],OvalData[],MATCH(Table2[[#Headers],[Grille Center]],Table2[#Headers],0),0)</f>
        <v>0</v>
      </c>
      <c r="AD674" s="2">
        <f>VLOOKUP([jobnumber],OvalData[],MATCH(Table2[[#Headers],[Grille Pattern]],Table2[#Headers],0),0)</f>
        <v>0</v>
      </c>
      <c r="AE674" s="2">
        <f>VLOOKUP([jobnumber],OvalData[],MATCH(Table2[[#Headers],[Grille First Tube]],Table2[#Headers],0),0)</f>
        <v>0</v>
      </c>
      <c r="AF674" s="2">
        <f>VLOOKUP([jobnumber],OvalData[],MATCH(Table2[[#Headers],[Grille Standard Tube]],Table2[#Headers],0),0)</f>
        <v>0</v>
      </c>
      <c r="AG674" s="2">
        <f>VLOOKUP([jobnumber],OvalData[],MATCH(Table2[[#Headers],[Grille Total Links]],Table2[#Headers],0),0)</f>
        <v>0</v>
      </c>
      <c r="AH674" s="2">
        <f>VLOOKUP([jobnumber],OvalData[],MATCH(Table2[[#Headers],[Grille Rods]],Table2[#Headers],0),0)</f>
        <v>0</v>
      </c>
      <c r="AI674" s="2">
        <f>VLOOKUP([jobnumber],OvalData[],MATCH(Table2[[#Headers],[Grille Rod Length]],Table2[#Headers],0),0)</f>
        <v>0</v>
      </c>
      <c r="AJ674" s="2">
        <f>VLOOKUP([jobnumber],OvalData[],MATCH(Table2[[#Headers],[slattype]],Table2[#Headers],0),0)</f>
        <v>2</v>
      </c>
      <c r="AK674" s="2">
        <f>VLOOKUP([jobnumber],OvalData[],MATCH(Table2[[#Headers],[slatgage]],Table2[#Headers],0),0)</f>
        <v>18</v>
      </c>
      <c r="AL674" s="2">
        <f>VLOOKUP([jobnumber],OvalData[],MATCH(Table2[[#Headers],[Numer of Top Slats]],Table2[#Headers],0),0)</f>
        <v>0</v>
      </c>
      <c r="AM674" s="2">
        <f>VLOOKUP([jobnumber],OvalData[],MATCH(Table2[[#Headers],[Number of Bottom Slats]],Table2[#Headers],0),0)</f>
        <v>0</v>
      </c>
      <c r="AN674" s="2">
        <f>VLOOKUP([jobnumber],OvalData[],MATCH(Table2[[#Headers],[Solid Bottom Height]],Table2[#Headers],0),0)</f>
        <v>0</v>
      </c>
      <c r="AO674" s="2" t="str">
        <f>VLOOKUP([jobnumber],OvalData[],MATCH(Table2[[#Headers],[slatlength]],Table2[#Headers],0),0)</f>
        <v xml:space="preserve"> 18 ft.- 5 7/ 8"</v>
      </c>
      <c r="AP674" s="2">
        <f>VLOOKUP([jobnumber],OvalData[],MATCH(Table2[[#Headers],[Bottom Slat Length]],Table2[#Headers],0),0)</f>
        <v>0</v>
      </c>
      <c r="AQ674" s="2">
        <f>VLOOKUP([jobnumber],OvalData[],MATCH(Table2[[#Headers],[Number of Perferated Slats]],Table2[#Headers],0),0)</f>
        <v>0</v>
      </c>
      <c r="AR674" s="2">
        <f>VLOOKUP([jobnumber],OvalData[],MATCH(Table2[[#Headers],[First Preferated Slat From End]],Table2[#Headers],0),0)</f>
        <v>0</v>
      </c>
      <c r="AS674" s="2">
        <f>VLOOKUP([jobnumber],OvalData[],MATCH(Table2[[#Headers],[First Preferated Slat From Bottom]],Table2[#Headers],0),0)</f>
        <v>0</v>
      </c>
      <c r="AT674" s="2">
        <f>VLOOKUP([jobnumber],OvalData[],MATCH(Table2[[#Headers],[Total Number of Slats]],Table2[#Headers],0),0)</f>
        <v>51</v>
      </c>
      <c r="AU674" s="2">
        <f>VLOOKUP([jobnumber],OvalData[],MATCH(Table2[[#Headers],[Bottom Bar Slope]],Table2[#Headers],0),0)</f>
        <v>0</v>
      </c>
      <c r="AV674" s="2">
        <f>VLOOKUP([jobnumber],OvalData[],MATCH(Table2[[#Headers],[Bottom Bar Weight]],Table2[#Headers],0),0)</f>
        <v>80.5</v>
      </c>
      <c r="AW674" s="2" t="str">
        <f>VLOOKUP([jobnumber],OvalData[],MATCH(Table2[[#Headers],[Outer Spring Gage]],Table2[#Headers],0),0)</f>
        <v>Null</v>
      </c>
      <c r="AX674" s="2" t="str">
        <f>VLOOKUP([jobnumber],OvalData[],MATCH(Table2[[#Headers],[Outer Spring OD]],Table2[#Headers],0),0)</f>
        <v>Null</v>
      </c>
      <c r="AY674" s="2" t="str">
        <f>VLOOKUP([jobnumber],OvalData[],MATCH(Table2[[#Headers],[Outer Spring Length]],Table2[#Headers],0),0)</f>
        <v>Null</v>
      </c>
      <c r="AZ674" s="2" t="str">
        <f>VLOOKUP([jobnumber],OvalData[],MATCH(Table2[[#Headers],[Outer Spring Stretch]],Table2[#Headers],0),0)</f>
        <v>Null</v>
      </c>
      <c r="BA674" s="2" t="str">
        <f>VLOOKUP([jobnumber],OvalData[],MATCH(Table2[[#Headers],[Outer Spring Torque]],Table2[#Headers],0),0)</f>
        <v>Null</v>
      </c>
      <c r="BB674" s="2" t="str">
        <f>VLOOKUP([jobnumber],OvalData[],MATCH(Table2[[#Headers],[Outer Spring Max Turns]],Table2[#Headers],0),0)</f>
        <v>Null</v>
      </c>
      <c r="BC674" s="2" t="str">
        <f>VLOOKUP([jobnumber],OvalData[],MATCH(Table2[[#Headers],[Outer Spring Weight]],Table2[#Headers],0),0)</f>
        <v>Null</v>
      </c>
      <c r="BD674" s="2" t="str">
        <f>VLOOKUP([jobnumber],OvalData[],MATCH(Table2[[#Headers],[Inner Spring Gage]],Table2[#Headers],0),0)</f>
        <v>Null</v>
      </c>
      <c r="BE674" s="2" t="str">
        <f>VLOOKUP([jobnumber],OvalData[],MATCH(Table2[[#Headers],[Inner Spring OD]],Table2[#Headers],0),0)</f>
        <v>Null</v>
      </c>
      <c r="BF674" s="2" t="str">
        <f>VLOOKUP([jobnumber],OvalData[],MATCH(Table2[[#Headers],[Inner Spring Length]],Table2[#Headers],0),0)</f>
        <v>Null</v>
      </c>
      <c r="BG674" s="2" t="str">
        <f>VLOOKUP([jobnumber],OvalData[],MATCH(Table2[[#Headers],[Inner Spring Stretch]],Table2[#Headers],0),0)</f>
        <v>Null</v>
      </c>
      <c r="BH674" s="2" t="str">
        <f>VLOOKUP([jobnumber],OvalData[],MATCH(Table2[[#Headers],[Inner Spring Torque]],Table2[#Headers],0),0)</f>
        <v>Null</v>
      </c>
      <c r="BI674" s="2" t="str">
        <f>VLOOKUP([jobnumber],OvalData[],MATCH(Table2[[#Headers],[Inner Spring Max Turns]],Table2[#Headers],0),0)</f>
        <v>Null</v>
      </c>
      <c r="BJ674" s="2" t="str">
        <f>VLOOKUP([jobnumber],OvalData[],MATCH(Table2[[#Headers],[Inner Spring Weight]],Table2[#Headers],0),0)</f>
        <v>Null</v>
      </c>
      <c r="BK674" s="2">
        <f>VLOOKUP([jobnumber],OvalData[],MATCH(Table2[[#Headers],[Cycles]],Table2[#Headers],0),0)</f>
        <v>0</v>
      </c>
      <c r="BL674" s="2">
        <f>VLOOKUP([jobnumber],OvalData[],MATCH(Table2[[#Headers],[Total Spring Torque]],Table2[#Headers],0),0)</f>
        <v>0</v>
      </c>
      <c r="BM674" s="2">
        <f>VLOOKUP([jobnumber],OvalData[],MATCH(Table2[[#Headers],[Total Spring Weight]],Table2[#Headers],0),0)</f>
        <v>0</v>
      </c>
      <c r="BN674" s="2">
        <f>VLOOKUP([jobnumber],OvalData[],MATCH(Table2[[#Headers],[Pipe Weight]],Table2[#Headers],0),0)</f>
        <v>688.24239999999998</v>
      </c>
      <c r="BO674" s="2">
        <f>VLOOKUP([jobnumber],OvalData[],MATCH(Table2[[#Headers],[Max Pipe Deflection]],Table2[#Headers],0),0)</f>
        <v>2309</v>
      </c>
      <c r="BP674" s="2">
        <f>VLOOKUP([jobnumber],OvalData[],MATCH(Table2[[#Headers],[Number Non-Insulated Wrap Slats]],Table2[#Headers],0),0)</f>
        <v>0</v>
      </c>
      <c r="BQ674" s="2">
        <f>VLOOKUP([jobnumber],OvalData[],MATCH(Table2[[#Headers],[Number of Insolated Top Slats]],Table2[#Headers],0),0)</f>
        <v>45</v>
      </c>
      <c r="BR674" s="2">
        <f>VLOOKUP([jobnumber],OvalData[],MATCH(Table2[[#Headers],[Insolated Total Slats]],Table2[#Headers],0),0)</f>
        <v>45</v>
      </c>
      <c r="BS674" s="2">
        <f>VLOOKUP([jobnumber],OvalData[],MATCH(Table2[[#Headers],[Number of Slats]],Table2[#Headers],0),0)</f>
        <v>44.69</v>
      </c>
      <c r="BT674" s="2">
        <f>VLOOKUP([jobnumber],OvalData[],MATCH(Table2[[#Headers],[Wrap]],Table2[#Headers],0),0)</f>
        <v>0</v>
      </c>
      <c r="BU674" s="2">
        <f>VLOOKUP([jobnumber],OvalData[],MATCH(Table2[[#Headers],[Wall Angle Thickness]],Table2[#Headers],0),0)</f>
        <v>0</v>
      </c>
      <c r="BV674" s="2">
        <f>VLOOKUP([jobnumber],OvalData[],MATCH(Table2[[#Headers],[windlocks]],Table2[#Headers],0),0)</f>
        <v>0</v>
      </c>
      <c r="BW674" s="2" t="str">
        <f>VLOOKUP([jobnumber],OvalData[],MATCH(Table2[[#Headers],[bottombartype]],Table2[#Headers],0),0)</f>
        <v>SPECIAL</v>
      </c>
      <c r="BX674" s="2">
        <f>VLOOKUP([jobnumber],OvalData[],MATCH(Table2[[#Headers],[endlockweight]],Table2[#Headers],0),0)</f>
        <v>0.17</v>
      </c>
      <c r="BY674" s="2">
        <f>VLOOKUP([jobnumber],OvalData[],MATCH(Table2[[#Headers],[Endlock Total Weight]],Table2[#Headers],0),0)</f>
        <v>7.5972999999999997</v>
      </c>
      <c r="BZ674" s="2">
        <f>VLOOKUP([jobnumber],OvalData[],MATCH(Table2[[#Headers],[Grille Weight]],Table2[#Headers],0),0)</f>
        <v>0</v>
      </c>
      <c r="CA674" s="2">
        <f>VLOOKUP([jobnumber],OvalData[],MATCH(Table2[[#Headers],[barrelrings]],Table2[#Headers],0),0)</f>
        <v>1</v>
      </c>
    </row>
    <row r="675" spans="2:79">
      <c r="B675" s="2" t="str">
        <f>VLOOKUP([jobnumber],OvalData[],MATCH(Table2[[#Headers],[Hand]],Table2[#Headers],0),0)</f>
        <v>RH</v>
      </c>
      <c r="C675" s="2" t="str">
        <f>VLOOKUP([jobnumber],OvalData[],MATCH(Table2[[#Headers],[Model]],Table2[#Headers],0),0)</f>
        <v>SFMPP</v>
      </c>
      <c r="D675" s="2" t="str">
        <f>VLOOKUP([jobnumber],OvalData[],MATCH(Table2[[#Headers],[width]],Table2[#Headers],0),0)</f>
        <v xml:space="preserve"> 18 ft.- 2"</v>
      </c>
      <c r="E675" s="2" t="str">
        <f>VLOOKUP([jobnumber],OvalData[],MATCH(Table2[[#Headers],[stopheight]],Table2[#Headers],0),0)</f>
        <v xml:space="preserve"> 10 ft.- 0"</v>
      </c>
      <c r="F675" s="2" t="str">
        <f>VLOOKUP([jobnumber],OvalData[],MATCH(Table2[[#Headers],[Between Brackets]],Table2[#Headers],0),0)</f>
        <v xml:space="preserve"> 18 ft.- 7 7/ 8"</v>
      </c>
      <c r="G675" s="2" t="str">
        <f>VLOOKUP([jobnumber],OvalData[],MATCH(Table2[[#Headers],[shell]],Table2[#Headers],0),0)</f>
        <v>6 INCH TUBE</v>
      </c>
      <c r="H675" s="2" t="str">
        <f>VLOOKUP([jobnumber],OvalData[],MATCH(Table2[[#Headers],[pipewidth]],Table2[#Headers],0),0)</f>
        <v xml:space="preserve"> 18 ft.- 1 3/ 8"</v>
      </c>
      <c r="I675" s="2">
        <f>VLOOKUP([jobnumber],OvalData[],MATCH(Table2[[#Headers],[Support Tubes]],Table2[#Headers],0),0)</f>
        <v>0</v>
      </c>
      <c r="J675" s="2">
        <f>VLOOKUP([jobnumber],OvalData[],MATCH(Table2[[#Headers],[Upset]],Table2[#Headers],0),0)</f>
        <v>2</v>
      </c>
      <c r="K675" s="2" t="str">
        <f>VLOOKUP([jobnumber],OvalData[],MATCH(Table2[[#Headers],[Guide Type]],Table2[#Headers],0),0)</f>
        <v>SN2-4 5/8-E</v>
      </c>
      <c r="L675" s="2" t="str">
        <f>VLOOKUP([jobnumber],OvalData[],MATCH(Table2[[#Headers],[Wall Angle]],Table2[#Headers],0),0)</f>
        <v xml:space="preserve"> 11 ft.- 8"</v>
      </c>
      <c r="M675" s="2" t="str">
        <f>VLOOKUP([jobnumber],OvalData[],MATCH(Table2[[#Headers],[Middle Angle]],Table2[#Headers],0),0)</f>
        <v xml:space="preserve"> 10 ft.- 4 1/ 2"</v>
      </c>
      <c r="N675" s="2" t="str">
        <f>VLOOKUP([jobnumber],OvalData[],MATCH(Table2[[#Headers],[Front Angle]],Table2[#Headers],0),0)</f>
        <v xml:space="preserve"> 10 ft.- 3"</v>
      </c>
      <c r="O675" s="2">
        <f>VLOOKUP([jobnumber],OvalData[],MATCH(Table2[[#Headers],[Pipe Center Line]],Table2[#Headers],0),0)</f>
        <v>131</v>
      </c>
      <c r="P675" s="2">
        <f>VLOOKUP([jobnumber],OvalData[],MATCH(Table2[[#Headers],[Heat Expansion Gap]],Table2[#Headers],0),0)</f>
        <v>0</v>
      </c>
      <c r="Q675" s="2">
        <f>VLOOKUP([jobnumber],OvalData[],MATCH(Table2[[#Headers],[Hanging Weight Closed]],Table2[#Headers],0),0)</f>
        <v>795</v>
      </c>
      <c r="R675" s="2">
        <f>VLOOKUP([jobnumber],OvalData[],MATCH(Table2[[#Headers],[Hanging Weight Open]],Table2[#Headers],0),0)</f>
        <v>140</v>
      </c>
      <c r="S675" s="2">
        <f>VLOOKUP([jobnumber],OvalData[],MATCH(Table2[[#Headers],[Initial Lever Arm]],Table2[#Headers],0),0)</f>
        <v>4.25</v>
      </c>
      <c r="T675" s="2">
        <f>VLOOKUP([jobnumber],OvalData[],MATCH(Table2[[#Headers],[Turns to Raise]],Table2[#Headers],0),0)</f>
        <v>3.5859999999999999</v>
      </c>
      <c r="U675" s="2">
        <f>VLOOKUP([jobnumber],OvalData[],MATCH(Table2[[#Headers],[Final Lever Arm]],Table2[#Headers],0),0)</f>
        <v>6.37</v>
      </c>
      <c r="V675" s="2">
        <f>VLOOKUP([jobnumber],OvalData[],MATCH(Table2[[#Headers],[Torque Required Closed]],Table2[#Headers],0),0)</f>
        <v>3377.9</v>
      </c>
      <c r="W675" s="2">
        <f>VLOOKUP([jobnumber],OvalData[],MATCH(Table2[[#Headers],[Torque Required Open]],Table2[#Headers],0),0)</f>
        <v>892</v>
      </c>
      <c r="X675" s="2">
        <f>VLOOKUP([jobnumber],OvalData[],MATCH(Table2[[#Headers],[Pre Turns]],Table2[#Headers],0),0)</f>
        <v>1.3332999999999999</v>
      </c>
      <c r="Y675" s="2">
        <f>VLOOKUP([jobnumber],OvalData[],MATCH(Table2[[#Headers],[Required Torque Per Turn]],Table2[#Headers],0),0)</f>
        <v>688</v>
      </c>
      <c r="Z675" s="2">
        <f>VLOOKUP([jobnumber],OvalData[],MATCH(Table2[[#Headers],[Total Turns]],Table2[#Headers],0),0)</f>
        <v>4.91</v>
      </c>
      <c r="AA675" s="2">
        <f>VLOOKUP([jobnumber],OvalData[],MATCH(Table2[[#Headers],[Grille Vision Section]],Table2[#Headers],0),0)</f>
        <v>0</v>
      </c>
      <c r="AB675" s="2">
        <f>VLOOKUP([jobnumber],OvalData[],MATCH(Table2[[#Headers],[Grille Amount]],Table2[#Headers],0),0)</f>
        <v>0</v>
      </c>
      <c r="AC675" s="2">
        <f>VLOOKUP([jobnumber],OvalData[],MATCH(Table2[[#Headers],[Grille Center]],Table2[#Headers],0),0)</f>
        <v>0</v>
      </c>
      <c r="AD675" s="2">
        <f>VLOOKUP([jobnumber],OvalData[],MATCH(Table2[[#Headers],[Grille Pattern]],Table2[#Headers],0),0)</f>
        <v>0</v>
      </c>
      <c r="AE675" s="2">
        <f>VLOOKUP([jobnumber],OvalData[],MATCH(Table2[[#Headers],[Grille First Tube]],Table2[#Headers],0),0)</f>
        <v>0</v>
      </c>
      <c r="AF675" s="2">
        <f>VLOOKUP([jobnumber],OvalData[],MATCH(Table2[[#Headers],[Grille Standard Tube]],Table2[#Headers],0),0)</f>
        <v>0</v>
      </c>
      <c r="AG675" s="2">
        <f>VLOOKUP([jobnumber],OvalData[],MATCH(Table2[[#Headers],[Grille Total Links]],Table2[#Headers],0),0)</f>
        <v>0</v>
      </c>
      <c r="AH675" s="2">
        <f>VLOOKUP([jobnumber],OvalData[],MATCH(Table2[[#Headers],[Grille Rods]],Table2[#Headers],0),0)</f>
        <v>0</v>
      </c>
      <c r="AI675" s="2">
        <f>VLOOKUP([jobnumber],OvalData[],MATCH(Table2[[#Headers],[Grille Rod Length]],Table2[#Headers],0),0)</f>
        <v>0</v>
      </c>
      <c r="AJ675" s="2">
        <f>VLOOKUP([jobnumber],OvalData[],MATCH(Table2[[#Headers],[slattype]],Table2[#Headers],0),0)</f>
        <v>2</v>
      </c>
      <c r="AK675" s="2">
        <f>VLOOKUP([jobnumber],OvalData[],MATCH(Table2[[#Headers],[slatgage]],Table2[#Headers],0),0)</f>
        <v>18</v>
      </c>
      <c r="AL675" s="2">
        <f>VLOOKUP([jobnumber],OvalData[],MATCH(Table2[[#Headers],[Numer of Top Slats]],Table2[#Headers],0),0)</f>
        <v>0</v>
      </c>
      <c r="AM675" s="2">
        <f>VLOOKUP([jobnumber],OvalData[],MATCH(Table2[[#Headers],[Number of Bottom Slats]],Table2[#Headers],0),0)</f>
        <v>0</v>
      </c>
      <c r="AN675" s="2">
        <f>VLOOKUP([jobnumber],OvalData[],MATCH(Table2[[#Headers],[Solid Bottom Height]],Table2[#Headers],0),0)</f>
        <v>0</v>
      </c>
      <c r="AO675" s="2" t="str">
        <f>VLOOKUP([jobnumber],OvalData[],MATCH(Table2[[#Headers],[slatlength]],Table2[#Headers],0),0)</f>
        <v xml:space="preserve"> 18 ft.- 5 7/ 8"</v>
      </c>
      <c r="AP675" s="2">
        <f>VLOOKUP([jobnumber],OvalData[],MATCH(Table2[[#Headers],[Bottom Slat Length]],Table2[#Headers],0),0)</f>
        <v>0</v>
      </c>
      <c r="AQ675" s="2">
        <f>VLOOKUP([jobnumber],OvalData[],MATCH(Table2[[#Headers],[Number of Perferated Slats]],Table2[#Headers],0),0)</f>
        <v>0</v>
      </c>
      <c r="AR675" s="2">
        <f>VLOOKUP([jobnumber],OvalData[],MATCH(Table2[[#Headers],[First Preferated Slat From End]],Table2[#Headers],0),0)</f>
        <v>0</v>
      </c>
      <c r="AS675" s="2">
        <f>VLOOKUP([jobnumber],OvalData[],MATCH(Table2[[#Headers],[First Preferated Slat From Bottom]],Table2[#Headers],0),0)</f>
        <v>0</v>
      </c>
      <c r="AT675" s="2">
        <f>VLOOKUP([jobnumber],OvalData[],MATCH(Table2[[#Headers],[Total Number of Slats]],Table2[#Headers],0),0)</f>
        <v>51</v>
      </c>
      <c r="AU675" s="2">
        <f>VLOOKUP([jobnumber],OvalData[],MATCH(Table2[[#Headers],[Bottom Bar Slope]],Table2[#Headers],0),0)</f>
        <v>0</v>
      </c>
      <c r="AV675" s="2">
        <f>VLOOKUP([jobnumber],OvalData[],MATCH(Table2[[#Headers],[Bottom Bar Weight]],Table2[#Headers],0),0)</f>
        <v>80.5</v>
      </c>
      <c r="AW675" s="2" t="str">
        <f>VLOOKUP([jobnumber],OvalData[],MATCH(Table2[[#Headers],[Outer Spring Gage]],Table2[#Headers],0),0)</f>
        <v>Null</v>
      </c>
      <c r="AX675" s="2" t="str">
        <f>VLOOKUP([jobnumber],OvalData[],MATCH(Table2[[#Headers],[Outer Spring OD]],Table2[#Headers],0),0)</f>
        <v>Null</v>
      </c>
      <c r="AY675" s="2" t="str">
        <f>VLOOKUP([jobnumber],OvalData[],MATCH(Table2[[#Headers],[Outer Spring Length]],Table2[#Headers],0),0)</f>
        <v>Null</v>
      </c>
      <c r="AZ675" s="2" t="str">
        <f>VLOOKUP([jobnumber],OvalData[],MATCH(Table2[[#Headers],[Outer Spring Stretch]],Table2[#Headers],0),0)</f>
        <v>Null</v>
      </c>
      <c r="BA675" s="2" t="str">
        <f>VLOOKUP([jobnumber],OvalData[],MATCH(Table2[[#Headers],[Outer Spring Torque]],Table2[#Headers],0),0)</f>
        <v>Null</v>
      </c>
      <c r="BB675" s="2" t="str">
        <f>VLOOKUP([jobnumber],OvalData[],MATCH(Table2[[#Headers],[Outer Spring Max Turns]],Table2[#Headers],0),0)</f>
        <v>Null</v>
      </c>
      <c r="BC675" s="2" t="str">
        <f>VLOOKUP([jobnumber],OvalData[],MATCH(Table2[[#Headers],[Outer Spring Weight]],Table2[#Headers],0),0)</f>
        <v>Null</v>
      </c>
      <c r="BD675" s="2" t="str">
        <f>VLOOKUP([jobnumber],OvalData[],MATCH(Table2[[#Headers],[Inner Spring Gage]],Table2[#Headers],0),0)</f>
        <v>Null</v>
      </c>
      <c r="BE675" s="2" t="str">
        <f>VLOOKUP([jobnumber],OvalData[],MATCH(Table2[[#Headers],[Inner Spring OD]],Table2[#Headers],0),0)</f>
        <v>Null</v>
      </c>
      <c r="BF675" s="2" t="str">
        <f>VLOOKUP([jobnumber],OvalData[],MATCH(Table2[[#Headers],[Inner Spring Length]],Table2[#Headers],0),0)</f>
        <v>Null</v>
      </c>
      <c r="BG675" s="2" t="str">
        <f>VLOOKUP([jobnumber],OvalData[],MATCH(Table2[[#Headers],[Inner Spring Stretch]],Table2[#Headers],0),0)</f>
        <v>Null</v>
      </c>
      <c r="BH675" s="2" t="str">
        <f>VLOOKUP([jobnumber],OvalData[],MATCH(Table2[[#Headers],[Inner Spring Torque]],Table2[#Headers],0),0)</f>
        <v>Null</v>
      </c>
      <c r="BI675" s="2" t="str">
        <f>VLOOKUP([jobnumber],OvalData[],MATCH(Table2[[#Headers],[Inner Spring Max Turns]],Table2[#Headers],0),0)</f>
        <v>Null</v>
      </c>
      <c r="BJ675" s="2" t="str">
        <f>VLOOKUP([jobnumber],OvalData[],MATCH(Table2[[#Headers],[Inner Spring Weight]],Table2[#Headers],0),0)</f>
        <v>Null</v>
      </c>
      <c r="BK675" s="2">
        <f>VLOOKUP([jobnumber],OvalData[],MATCH(Table2[[#Headers],[Cycles]],Table2[#Headers],0),0)</f>
        <v>0</v>
      </c>
      <c r="BL675" s="2">
        <f>VLOOKUP([jobnumber],OvalData[],MATCH(Table2[[#Headers],[Total Spring Torque]],Table2[#Headers],0),0)</f>
        <v>0</v>
      </c>
      <c r="BM675" s="2">
        <f>VLOOKUP([jobnumber],OvalData[],MATCH(Table2[[#Headers],[Total Spring Weight]],Table2[#Headers],0),0)</f>
        <v>0</v>
      </c>
      <c r="BN675" s="2">
        <f>VLOOKUP([jobnumber],OvalData[],MATCH(Table2[[#Headers],[Pipe Weight]],Table2[#Headers],0),0)</f>
        <v>688.24239999999998</v>
      </c>
      <c r="BO675" s="2">
        <f>VLOOKUP([jobnumber],OvalData[],MATCH(Table2[[#Headers],[Max Pipe Deflection]],Table2[#Headers],0),0)</f>
        <v>2309</v>
      </c>
      <c r="BP675" s="2">
        <f>VLOOKUP([jobnumber],OvalData[],MATCH(Table2[[#Headers],[Number Non-Insulated Wrap Slats]],Table2[#Headers],0),0)</f>
        <v>0</v>
      </c>
      <c r="BQ675" s="2">
        <f>VLOOKUP([jobnumber],OvalData[],MATCH(Table2[[#Headers],[Number of Insolated Top Slats]],Table2[#Headers],0),0)</f>
        <v>45</v>
      </c>
      <c r="BR675" s="2">
        <f>VLOOKUP([jobnumber],OvalData[],MATCH(Table2[[#Headers],[Insolated Total Slats]],Table2[#Headers],0),0)</f>
        <v>45</v>
      </c>
      <c r="BS675" s="2">
        <f>VLOOKUP([jobnumber],OvalData[],MATCH(Table2[[#Headers],[Number of Slats]],Table2[#Headers],0),0)</f>
        <v>44.69</v>
      </c>
      <c r="BT675" s="2">
        <f>VLOOKUP([jobnumber],OvalData[],MATCH(Table2[[#Headers],[Wrap]],Table2[#Headers],0),0)</f>
        <v>0</v>
      </c>
      <c r="BU675" s="2">
        <f>VLOOKUP([jobnumber],OvalData[],MATCH(Table2[[#Headers],[Wall Angle Thickness]],Table2[#Headers],0),0)</f>
        <v>0</v>
      </c>
      <c r="BV675" s="2">
        <f>VLOOKUP([jobnumber],OvalData[],MATCH(Table2[[#Headers],[windlocks]],Table2[#Headers],0),0)</f>
        <v>0</v>
      </c>
      <c r="BW675" s="2" t="str">
        <f>VLOOKUP([jobnumber],OvalData[],MATCH(Table2[[#Headers],[bottombartype]],Table2[#Headers],0),0)</f>
        <v>SPECIAL</v>
      </c>
      <c r="BX675" s="2">
        <f>VLOOKUP([jobnumber],OvalData[],MATCH(Table2[[#Headers],[endlockweight]],Table2[#Headers],0),0)</f>
        <v>0.17</v>
      </c>
      <c r="BY675" s="2">
        <f>VLOOKUP([jobnumber],OvalData[],MATCH(Table2[[#Headers],[Endlock Total Weight]],Table2[#Headers],0),0)</f>
        <v>7.5972999999999997</v>
      </c>
      <c r="BZ675" s="2">
        <f>VLOOKUP([jobnumber],OvalData[],MATCH(Table2[[#Headers],[Grille Weight]],Table2[#Headers],0),0)</f>
        <v>0</v>
      </c>
      <c r="CA675" s="2">
        <f>VLOOKUP([jobnumber],OvalData[],MATCH(Table2[[#Headers],[barrelrings]],Table2[#Headers],0),0)</f>
        <v>1</v>
      </c>
    </row>
    <row r="676" spans="2:79">
      <c r="B676" s="2" t="str">
        <f>VLOOKUP([jobnumber],OvalData[],MATCH(Table2[[#Headers],[Hand]],Table2[#Headers],0),0)</f>
        <v>RH</v>
      </c>
      <c r="C676" s="2" t="str">
        <f>VLOOKUP([jobnumber],OvalData[],MATCH(Table2[[#Headers],[Model]],Table2[#Headers],0),0)</f>
        <v>SFMPP</v>
      </c>
      <c r="D676" s="2" t="str">
        <f>VLOOKUP([jobnumber],OvalData[],MATCH(Table2[[#Headers],[width]],Table2[#Headers],0),0)</f>
        <v xml:space="preserve"> 18 ft.- 2"</v>
      </c>
      <c r="E676" s="2" t="str">
        <f>VLOOKUP([jobnumber],OvalData[],MATCH(Table2[[#Headers],[stopheight]],Table2[#Headers],0),0)</f>
        <v xml:space="preserve"> 10 ft.- 0"</v>
      </c>
      <c r="F676" s="2" t="str">
        <f>VLOOKUP([jobnumber],OvalData[],MATCH(Table2[[#Headers],[Between Brackets]],Table2[#Headers],0),0)</f>
        <v xml:space="preserve"> 18 ft.- 7 7/ 8"</v>
      </c>
      <c r="G676" s="2" t="str">
        <f>VLOOKUP([jobnumber],OvalData[],MATCH(Table2[[#Headers],[shell]],Table2[#Headers],0),0)</f>
        <v>6 INCH TUBE</v>
      </c>
      <c r="H676" s="2" t="str">
        <f>VLOOKUP([jobnumber],OvalData[],MATCH(Table2[[#Headers],[pipewidth]],Table2[#Headers],0),0)</f>
        <v xml:space="preserve"> 18 ft.- 1 3/ 8"</v>
      </c>
      <c r="I676" s="2">
        <f>VLOOKUP([jobnumber],OvalData[],MATCH(Table2[[#Headers],[Support Tubes]],Table2[#Headers],0),0)</f>
        <v>0</v>
      </c>
      <c r="J676" s="2">
        <f>VLOOKUP([jobnumber],OvalData[],MATCH(Table2[[#Headers],[Upset]],Table2[#Headers],0),0)</f>
        <v>2</v>
      </c>
      <c r="K676" s="2" t="str">
        <f>VLOOKUP([jobnumber],OvalData[],MATCH(Table2[[#Headers],[Guide Type]],Table2[#Headers],0),0)</f>
        <v>SN2-4 5/8-E</v>
      </c>
      <c r="L676" s="2" t="str">
        <f>VLOOKUP([jobnumber],OvalData[],MATCH(Table2[[#Headers],[Wall Angle]],Table2[#Headers],0),0)</f>
        <v xml:space="preserve"> 11 ft.- 8"</v>
      </c>
      <c r="M676" s="2" t="str">
        <f>VLOOKUP([jobnumber],OvalData[],MATCH(Table2[[#Headers],[Middle Angle]],Table2[#Headers],0),0)</f>
        <v xml:space="preserve"> 10 ft.- 4 1/ 2"</v>
      </c>
      <c r="N676" s="2" t="str">
        <f>VLOOKUP([jobnumber],OvalData[],MATCH(Table2[[#Headers],[Front Angle]],Table2[#Headers],0),0)</f>
        <v xml:space="preserve"> 10 ft.- 3"</v>
      </c>
      <c r="O676" s="2">
        <f>VLOOKUP([jobnumber],OvalData[],MATCH(Table2[[#Headers],[Pipe Center Line]],Table2[#Headers],0),0)</f>
        <v>131</v>
      </c>
      <c r="P676" s="2">
        <f>VLOOKUP([jobnumber],OvalData[],MATCH(Table2[[#Headers],[Heat Expansion Gap]],Table2[#Headers],0),0)</f>
        <v>0</v>
      </c>
      <c r="Q676" s="2">
        <f>VLOOKUP([jobnumber],OvalData[],MATCH(Table2[[#Headers],[Hanging Weight Closed]],Table2[#Headers],0),0)</f>
        <v>795</v>
      </c>
      <c r="R676" s="2">
        <f>VLOOKUP([jobnumber],OvalData[],MATCH(Table2[[#Headers],[Hanging Weight Open]],Table2[#Headers],0),0)</f>
        <v>140</v>
      </c>
      <c r="S676" s="2">
        <f>VLOOKUP([jobnumber],OvalData[],MATCH(Table2[[#Headers],[Initial Lever Arm]],Table2[#Headers],0),0)</f>
        <v>4.25</v>
      </c>
      <c r="T676" s="2">
        <f>VLOOKUP([jobnumber],OvalData[],MATCH(Table2[[#Headers],[Turns to Raise]],Table2[#Headers],0),0)</f>
        <v>3.5859999999999999</v>
      </c>
      <c r="U676" s="2">
        <f>VLOOKUP([jobnumber],OvalData[],MATCH(Table2[[#Headers],[Final Lever Arm]],Table2[#Headers],0),0)</f>
        <v>6.37</v>
      </c>
      <c r="V676" s="2">
        <f>VLOOKUP([jobnumber],OvalData[],MATCH(Table2[[#Headers],[Torque Required Closed]],Table2[#Headers],0),0)</f>
        <v>3377.9</v>
      </c>
      <c r="W676" s="2">
        <f>VLOOKUP([jobnumber],OvalData[],MATCH(Table2[[#Headers],[Torque Required Open]],Table2[#Headers],0),0)</f>
        <v>892</v>
      </c>
      <c r="X676" s="2">
        <f>VLOOKUP([jobnumber],OvalData[],MATCH(Table2[[#Headers],[Pre Turns]],Table2[#Headers],0),0)</f>
        <v>1.3332999999999999</v>
      </c>
      <c r="Y676" s="2">
        <f>VLOOKUP([jobnumber],OvalData[],MATCH(Table2[[#Headers],[Required Torque Per Turn]],Table2[#Headers],0),0)</f>
        <v>688</v>
      </c>
      <c r="Z676" s="2">
        <f>VLOOKUP([jobnumber],OvalData[],MATCH(Table2[[#Headers],[Total Turns]],Table2[#Headers],0),0)</f>
        <v>4.91</v>
      </c>
      <c r="AA676" s="2">
        <f>VLOOKUP([jobnumber],OvalData[],MATCH(Table2[[#Headers],[Grille Vision Section]],Table2[#Headers],0),0)</f>
        <v>0</v>
      </c>
      <c r="AB676" s="2">
        <f>VLOOKUP([jobnumber],OvalData[],MATCH(Table2[[#Headers],[Grille Amount]],Table2[#Headers],0),0)</f>
        <v>0</v>
      </c>
      <c r="AC676" s="2">
        <f>VLOOKUP([jobnumber],OvalData[],MATCH(Table2[[#Headers],[Grille Center]],Table2[#Headers],0),0)</f>
        <v>0</v>
      </c>
      <c r="AD676" s="2">
        <f>VLOOKUP([jobnumber],OvalData[],MATCH(Table2[[#Headers],[Grille Pattern]],Table2[#Headers],0),0)</f>
        <v>0</v>
      </c>
      <c r="AE676" s="2">
        <f>VLOOKUP([jobnumber],OvalData[],MATCH(Table2[[#Headers],[Grille First Tube]],Table2[#Headers],0),0)</f>
        <v>0</v>
      </c>
      <c r="AF676" s="2">
        <f>VLOOKUP([jobnumber],OvalData[],MATCH(Table2[[#Headers],[Grille Standard Tube]],Table2[#Headers],0),0)</f>
        <v>0</v>
      </c>
      <c r="AG676" s="2">
        <f>VLOOKUP([jobnumber],OvalData[],MATCH(Table2[[#Headers],[Grille Total Links]],Table2[#Headers],0),0)</f>
        <v>0</v>
      </c>
      <c r="AH676" s="2">
        <f>VLOOKUP([jobnumber],OvalData[],MATCH(Table2[[#Headers],[Grille Rods]],Table2[#Headers],0),0)</f>
        <v>0</v>
      </c>
      <c r="AI676" s="2">
        <f>VLOOKUP([jobnumber],OvalData[],MATCH(Table2[[#Headers],[Grille Rod Length]],Table2[#Headers],0),0)</f>
        <v>0</v>
      </c>
      <c r="AJ676" s="2">
        <f>VLOOKUP([jobnumber],OvalData[],MATCH(Table2[[#Headers],[slattype]],Table2[#Headers],0),0)</f>
        <v>2</v>
      </c>
      <c r="AK676" s="2">
        <f>VLOOKUP([jobnumber],OvalData[],MATCH(Table2[[#Headers],[slatgage]],Table2[#Headers],0),0)</f>
        <v>18</v>
      </c>
      <c r="AL676" s="2">
        <f>VLOOKUP([jobnumber],OvalData[],MATCH(Table2[[#Headers],[Numer of Top Slats]],Table2[#Headers],0),0)</f>
        <v>0</v>
      </c>
      <c r="AM676" s="2">
        <f>VLOOKUP([jobnumber],OvalData[],MATCH(Table2[[#Headers],[Number of Bottom Slats]],Table2[#Headers],0),0)</f>
        <v>0</v>
      </c>
      <c r="AN676" s="2">
        <f>VLOOKUP([jobnumber],OvalData[],MATCH(Table2[[#Headers],[Solid Bottom Height]],Table2[#Headers],0),0)</f>
        <v>0</v>
      </c>
      <c r="AO676" s="2" t="str">
        <f>VLOOKUP([jobnumber],OvalData[],MATCH(Table2[[#Headers],[slatlength]],Table2[#Headers],0),0)</f>
        <v xml:space="preserve"> 18 ft.- 5 7/ 8"</v>
      </c>
      <c r="AP676" s="2">
        <f>VLOOKUP([jobnumber],OvalData[],MATCH(Table2[[#Headers],[Bottom Slat Length]],Table2[#Headers],0),0)</f>
        <v>0</v>
      </c>
      <c r="AQ676" s="2">
        <f>VLOOKUP([jobnumber],OvalData[],MATCH(Table2[[#Headers],[Number of Perferated Slats]],Table2[#Headers],0),0)</f>
        <v>0</v>
      </c>
      <c r="AR676" s="2">
        <f>VLOOKUP([jobnumber],OvalData[],MATCH(Table2[[#Headers],[First Preferated Slat From End]],Table2[#Headers],0),0)</f>
        <v>0</v>
      </c>
      <c r="AS676" s="2">
        <f>VLOOKUP([jobnumber],OvalData[],MATCH(Table2[[#Headers],[First Preferated Slat From Bottom]],Table2[#Headers],0),0)</f>
        <v>0</v>
      </c>
      <c r="AT676" s="2">
        <f>VLOOKUP([jobnumber],OvalData[],MATCH(Table2[[#Headers],[Total Number of Slats]],Table2[#Headers],0),0)</f>
        <v>51</v>
      </c>
      <c r="AU676" s="2">
        <f>VLOOKUP([jobnumber],OvalData[],MATCH(Table2[[#Headers],[Bottom Bar Slope]],Table2[#Headers],0),0)</f>
        <v>0</v>
      </c>
      <c r="AV676" s="2">
        <f>VLOOKUP([jobnumber],OvalData[],MATCH(Table2[[#Headers],[Bottom Bar Weight]],Table2[#Headers],0),0)</f>
        <v>80.5</v>
      </c>
      <c r="AW676" s="2" t="str">
        <f>VLOOKUP([jobnumber],OvalData[],MATCH(Table2[[#Headers],[Outer Spring Gage]],Table2[#Headers],0),0)</f>
        <v>Null</v>
      </c>
      <c r="AX676" s="2" t="str">
        <f>VLOOKUP([jobnumber],OvalData[],MATCH(Table2[[#Headers],[Outer Spring OD]],Table2[#Headers],0),0)</f>
        <v>Null</v>
      </c>
      <c r="AY676" s="2" t="str">
        <f>VLOOKUP([jobnumber],OvalData[],MATCH(Table2[[#Headers],[Outer Spring Length]],Table2[#Headers],0),0)</f>
        <v>Null</v>
      </c>
      <c r="AZ676" s="2" t="str">
        <f>VLOOKUP([jobnumber],OvalData[],MATCH(Table2[[#Headers],[Outer Spring Stretch]],Table2[#Headers],0),0)</f>
        <v>Null</v>
      </c>
      <c r="BA676" s="2" t="str">
        <f>VLOOKUP([jobnumber],OvalData[],MATCH(Table2[[#Headers],[Outer Spring Torque]],Table2[#Headers],0),0)</f>
        <v>Null</v>
      </c>
      <c r="BB676" s="2" t="str">
        <f>VLOOKUP([jobnumber],OvalData[],MATCH(Table2[[#Headers],[Outer Spring Max Turns]],Table2[#Headers],0),0)</f>
        <v>Null</v>
      </c>
      <c r="BC676" s="2" t="str">
        <f>VLOOKUP([jobnumber],OvalData[],MATCH(Table2[[#Headers],[Outer Spring Weight]],Table2[#Headers],0),0)</f>
        <v>Null</v>
      </c>
      <c r="BD676" s="2" t="str">
        <f>VLOOKUP([jobnumber],OvalData[],MATCH(Table2[[#Headers],[Inner Spring Gage]],Table2[#Headers],0),0)</f>
        <v>Null</v>
      </c>
      <c r="BE676" s="2" t="str">
        <f>VLOOKUP([jobnumber],OvalData[],MATCH(Table2[[#Headers],[Inner Spring OD]],Table2[#Headers],0),0)</f>
        <v>Null</v>
      </c>
      <c r="BF676" s="2" t="str">
        <f>VLOOKUP([jobnumber],OvalData[],MATCH(Table2[[#Headers],[Inner Spring Length]],Table2[#Headers],0),0)</f>
        <v>Null</v>
      </c>
      <c r="BG676" s="2" t="str">
        <f>VLOOKUP([jobnumber],OvalData[],MATCH(Table2[[#Headers],[Inner Spring Stretch]],Table2[#Headers],0),0)</f>
        <v>Null</v>
      </c>
      <c r="BH676" s="2" t="str">
        <f>VLOOKUP([jobnumber],OvalData[],MATCH(Table2[[#Headers],[Inner Spring Torque]],Table2[#Headers],0),0)</f>
        <v>Null</v>
      </c>
      <c r="BI676" s="2" t="str">
        <f>VLOOKUP([jobnumber],OvalData[],MATCH(Table2[[#Headers],[Inner Spring Max Turns]],Table2[#Headers],0),0)</f>
        <v>Null</v>
      </c>
      <c r="BJ676" s="2" t="str">
        <f>VLOOKUP([jobnumber],OvalData[],MATCH(Table2[[#Headers],[Inner Spring Weight]],Table2[#Headers],0),0)</f>
        <v>Null</v>
      </c>
      <c r="BK676" s="2">
        <f>VLOOKUP([jobnumber],OvalData[],MATCH(Table2[[#Headers],[Cycles]],Table2[#Headers],0),0)</f>
        <v>0</v>
      </c>
      <c r="BL676" s="2">
        <f>VLOOKUP([jobnumber],OvalData[],MATCH(Table2[[#Headers],[Total Spring Torque]],Table2[#Headers],0),0)</f>
        <v>0</v>
      </c>
      <c r="BM676" s="2">
        <f>VLOOKUP([jobnumber],OvalData[],MATCH(Table2[[#Headers],[Total Spring Weight]],Table2[#Headers],0),0)</f>
        <v>0</v>
      </c>
      <c r="BN676" s="2">
        <f>VLOOKUP([jobnumber],OvalData[],MATCH(Table2[[#Headers],[Pipe Weight]],Table2[#Headers],0),0)</f>
        <v>688.24239999999998</v>
      </c>
      <c r="BO676" s="2">
        <f>VLOOKUP([jobnumber],OvalData[],MATCH(Table2[[#Headers],[Max Pipe Deflection]],Table2[#Headers],0),0)</f>
        <v>2309</v>
      </c>
      <c r="BP676" s="2">
        <f>VLOOKUP([jobnumber],OvalData[],MATCH(Table2[[#Headers],[Number Non-Insulated Wrap Slats]],Table2[#Headers],0),0)</f>
        <v>0</v>
      </c>
      <c r="BQ676" s="2">
        <f>VLOOKUP([jobnumber],OvalData[],MATCH(Table2[[#Headers],[Number of Insolated Top Slats]],Table2[#Headers],0),0)</f>
        <v>45</v>
      </c>
      <c r="BR676" s="2">
        <f>VLOOKUP([jobnumber],OvalData[],MATCH(Table2[[#Headers],[Insolated Total Slats]],Table2[#Headers],0),0)</f>
        <v>45</v>
      </c>
      <c r="BS676" s="2">
        <f>VLOOKUP([jobnumber],OvalData[],MATCH(Table2[[#Headers],[Number of Slats]],Table2[#Headers],0),0)</f>
        <v>44.69</v>
      </c>
      <c r="BT676" s="2">
        <f>VLOOKUP([jobnumber],OvalData[],MATCH(Table2[[#Headers],[Wrap]],Table2[#Headers],0),0)</f>
        <v>0</v>
      </c>
      <c r="BU676" s="2">
        <f>VLOOKUP([jobnumber],OvalData[],MATCH(Table2[[#Headers],[Wall Angle Thickness]],Table2[#Headers],0),0)</f>
        <v>0</v>
      </c>
      <c r="BV676" s="2">
        <f>VLOOKUP([jobnumber],OvalData[],MATCH(Table2[[#Headers],[windlocks]],Table2[#Headers],0),0)</f>
        <v>0</v>
      </c>
      <c r="BW676" s="2" t="str">
        <f>VLOOKUP([jobnumber],OvalData[],MATCH(Table2[[#Headers],[bottombartype]],Table2[#Headers],0),0)</f>
        <v>SPECIAL</v>
      </c>
      <c r="BX676" s="2">
        <f>VLOOKUP([jobnumber],OvalData[],MATCH(Table2[[#Headers],[endlockweight]],Table2[#Headers],0),0)</f>
        <v>0.17</v>
      </c>
      <c r="BY676" s="2">
        <f>VLOOKUP([jobnumber],OvalData[],MATCH(Table2[[#Headers],[Endlock Total Weight]],Table2[#Headers],0),0)</f>
        <v>7.5972999999999997</v>
      </c>
      <c r="BZ676" s="2">
        <f>VLOOKUP([jobnumber],OvalData[],MATCH(Table2[[#Headers],[Grille Weight]],Table2[#Headers],0),0)</f>
        <v>0</v>
      </c>
      <c r="CA676" s="2">
        <f>VLOOKUP([jobnumber],OvalData[],MATCH(Table2[[#Headers],[barrelrings]],Table2[#Headers],0),0)</f>
        <v>1</v>
      </c>
    </row>
    <row r="677" spans="2:79">
      <c r="B677" s="2" t="str">
        <f>VLOOKUP([jobnumber],OvalData[],MATCH(Table2[[#Headers],[Hand]],Table2[#Headers],0),0)</f>
        <v>RH</v>
      </c>
      <c r="C677" s="2" t="str">
        <f>VLOOKUP([jobnumber],OvalData[],MATCH(Table2[[#Headers],[Model]],Table2[#Headers],0),0)</f>
        <v>SFMPP</v>
      </c>
      <c r="D677" s="2" t="str">
        <f>VLOOKUP([jobnumber],OvalData[],MATCH(Table2[[#Headers],[width]],Table2[#Headers],0),0)</f>
        <v xml:space="preserve"> 18 ft.- 2"</v>
      </c>
      <c r="E677" s="2" t="str">
        <f>VLOOKUP([jobnumber],OvalData[],MATCH(Table2[[#Headers],[stopheight]],Table2[#Headers],0),0)</f>
        <v xml:space="preserve"> 10 ft.- 0"</v>
      </c>
      <c r="F677" s="2" t="str">
        <f>VLOOKUP([jobnumber],OvalData[],MATCH(Table2[[#Headers],[Between Brackets]],Table2[#Headers],0),0)</f>
        <v xml:space="preserve"> 18 ft.- 7 7/ 8"</v>
      </c>
      <c r="G677" s="2" t="str">
        <f>VLOOKUP([jobnumber],OvalData[],MATCH(Table2[[#Headers],[shell]],Table2[#Headers],0),0)</f>
        <v>6 INCH TUBE</v>
      </c>
      <c r="H677" s="2" t="str">
        <f>VLOOKUP([jobnumber],OvalData[],MATCH(Table2[[#Headers],[pipewidth]],Table2[#Headers],0),0)</f>
        <v xml:space="preserve"> 18 ft.- 1 3/ 8"</v>
      </c>
      <c r="I677" s="2">
        <f>VLOOKUP([jobnumber],OvalData[],MATCH(Table2[[#Headers],[Support Tubes]],Table2[#Headers],0),0)</f>
        <v>0</v>
      </c>
      <c r="J677" s="2">
        <f>VLOOKUP([jobnumber],OvalData[],MATCH(Table2[[#Headers],[Upset]],Table2[#Headers],0),0)</f>
        <v>2</v>
      </c>
      <c r="K677" s="2" t="str">
        <f>VLOOKUP([jobnumber],OvalData[],MATCH(Table2[[#Headers],[Guide Type]],Table2[#Headers],0),0)</f>
        <v>SN2-4 5/8-E</v>
      </c>
      <c r="L677" s="2" t="str">
        <f>VLOOKUP([jobnumber],OvalData[],MATCH(Table2[[#Headers],[Wall Angle]],Table2[#Headers],0),0)</f>
        <v xml:space="preserve"> 11 ft.- 8"</v>
      </c>
      <c r="M677" s="2" t="str">
        <f>VLOOKUP([jobnumber],OvalData[],MATCH(Table2[[#Headers],[Middle Angle]],Table2[#Headers],0),0)</f>
        <v xml:space="preserve"> 10 ft.- 4 1/ 2"</v>
      </c>
      <c r="N677" s="2" t="str">
        <f>VLOOKUP([jobnumber],OvalData[],MATCH(Table2[[#Headers],[Front Angle]],Table2[#Headers],0),0)</f>
        <v xml:space="preserve"> 10 ft.- 3"</v>
      </c>
      <c r="O677" s="2">
        <f>VLOOKUP([jobnumber],OvalData[],MATCH(Table2[[#Headers],[Pipe Center Line]],Table2[#Headers],0),0)</f>
        <v>131</v>
      </c>
      <c r="P677" s="2">
        <f>VLOOKUP([jobnumber],OvalData[],MATCH(Table2[[#Headers],[Heat Expansion Gap]],Table2[#Headers],0),0)</f>
        <v>0</v>
      </c>
      <c r="Q677" s="2">
        <f>VLOOKUP([jobnumber],OvalData[],MATCH(Table2[[#Headers],[Hanging Weight Closed]],Table2[#Headers],0),0)</f>
        <v>795</v>
      </c>
      <c r="R677" s="2">
        <f>VLOOKUP([jobnumber],OvalData[],MATCH(Table2[[#Headers],[Hanging Weight Open]],Table2[#Headers],0),0)</f>
        <v>140</v>
      </c>
      <c r="S677" s="2">
        <f>VLOOKUP([jobnumber],OvalData[],MATCH(Table2[[#Headers],[Initial Lever Arm]],Table2[#Headers],0),0)</f>
        <v>4.25</v>
      </c>
      <c r="T677" s="2">
        <f>VLOOKUP([jobnumber],OvalData[],MATCH(Table2[[#Headers],[Turns to Raise]],Table2[#Headers],0),0)</f>
        <v>3.5859999999999999</v>
      </c>
      <c r="U677" s="2">
        <f>VLOOKUP([jobnumber],OvalData[],MATCH(Table2[[#Headers],[Final Lever Arm]],Table2[#Headers],0),0)</f>
        <v>6.37</v>
      </c>
      <c r="V677" s="2">
        <f>VLOOKUP([jobnumber],OvalData[],MATCH(Table2[[#Headers],[Torque Required Closed]],Table2[#Headers],0),0)</f>
        <v>3377.9</v>
      </c>
      <c r="W677" s="2">
        <f>VLOOKUP([jobnumber],OvalData[],MATCH(Table2[[#Headers],[Torque Required Open]],Table2[#Headers],0),0)</f>
        <v>892</v>
      </c>
      <c r="X677" s="2">
        <f>VLOOKUP([jobnumber],OvalData[],MATCH(Table2[[#Headers],[Pre Turns]],Table2[#Headers],0),0)</f>
        <v>1.3332999999999999</v>
      </c>
      <c r="Y677" s="2">
        <f>VLOOKUP([jobnumber],OvalData[],MATCH(Table2[[#Headers],[Required Torque Per Turn]],Table2[#Headers],0),0)</f>
        <v>688</v>
      </c>
      <c r="Z677" s="2">
        <f>VLOOKUP([jobnumber],OvalData[],MATCH(Table2[[#Headers],[Total Turns]],Table2[#Headers],0),0)</f>
        <v>4.91</v>
      </c>
      <c r="AA677" s="2">
        <f>VLOOKUP([jobnumber],OvalData[],MATCH(Table2[[#Headers],[Grille Vision Section]],Table2[#Headers],0),0)</f>
        <v>0</v>
      </c>
      <c r="AB677" s="2">
        <f>VLOOKUP([jobnumber],OvalData[],MATCH(Table2[[#Headers],[Grille Amount]],Table2[#Headers],0),0)</f>
        <v>0</v>
      </c>
      <c r="AC677" s="2">
        <f>VLOOKUP([jobnumber],OvalData[],MATCH(Table2[[#Headers],[Grille Center]],Table2[#Headers],0),0)</f>
        <v>0</v>
      </c>
      <c r="AD677" s="2">
        <f>VLOOKUP([jobnumber],OvalData[],MATCH(Table2[[#Headers],[Grille Pattern]],Table2[#Headers],0),0)</f>
        <v>0</v>
      </c>
      <c r="AE677" s="2">
        <f>VLOOKUP([jobnumber],OvalData[],MATCH(Table2[[#Headers],[Grille First Tube]],Table2[#Headers],0),0)</f>
        <v>0</v>
      </c>
      <c r="AF677" s="2">
        <f>VLOOKUP([jobnumber],OvalData[],MATCH(Table2[[#Headers],[Grille Standard Tube]],Table2[#Headers],0),0)</f>
        <v>0</v>
      </c>
      <c r="AG677" s="2">
        <f>VLOOKUP([jobnumber],OvalData[],MATCH(Table2[[#Headers],[Grille Total Links]],Table2[#Headers],0),0)</f>
        <v>0</v>
      </c>
      <c r="AH677" s="2">
        <f>VLOOKUP([jobnumber],OvalData[],MATCH(Table2[[#Headers],[Grille Rods]],Table2[#Headers],0),0)</f>
        <v>0</v>
      </c>
      <c r="AI677" s="2">
        <f>VLOOKUP([jobnumber],OvalData[],MATCH(Table2[[#Headers],[Grille Rod Length]],Table2[#Headers],0),0)</f>
        <v>0</v>
      </c>
      <c r="AJ677" s="2">
        <f>VLOOKUP([jobnumber],OvalData[],MATCH(Table2[[#Headers],[slattype]],Table2[#Headers],0),0)</f>
        <v>2</v>
      </c>
      <c r="AK677" s="2">
        <f>VLOOKUP([jobnumber],OvalData[],MATCH(Table2[[#Headers],[slatgage]],Table2[#Headers],0),0)</f>
        <v>18</v>
      </c>
      <c r="AL677" s="2">
        <f>VLOOKUP([jobnumber],OvalData[],MATCH(Table2[[#Headers],[Numer of Top Slats]],Table2[#Headers],0),0)</f>
        <v>0</v>
      </c>
      <c r="AM677" s="2">
        <f>VLOOKUP([jobnumber],OvalData[],MATCH(Table2[[#Headers],[Number of Bottom Slats]],Table2[#Headers],0),0)</f>
        <v>0</v>
      </c>
      <c r="AN677" s="2">
        <f>VLOOKUP([jobnumber],OvalData[],MATCH(Table2[[#Headers],[Solid Bottom Height]],Table2[#Headers],0),0)</f>
        <v>0</v>
      </c>
      <c r="AO677" s="2" t="str">
        <f>VLOOKUP([jobnumber],OvalData[],MATCH(Table2[[#Headers],[slatlength]],Table2[#Headers],0),0)</f>
        <v xml:space="preserve"> 18 ft.- 5 7/ 8"</v>
      </c>
      <c r="AP677" s="2">
        <f>VLOOKUP([jobnumber],OvalData[],MATCH(Table2[[#Headers],[Bottom Slat Length]],Table2[#Headers],0),0)</f>
        <v>0</v>
      </c>
      <c r="AQ677" s="2">
        <f>VLOOKUP([jobnumber],OvalData[],MATCH(Table2[[#Headers],[Number of Perferated Slats]],Table2[#Headers],0),0)</f>
        <v>0</v>
      </c>
      <c r="AR677" s="2">
        <f>VLOOKUP([jobnumber],OvalData[],MATCH(Table2[[#Headers],[First Preferated Slat From End]],Table2[#Headers],0),0)</f>
        <v>0</v>
      </c>
      <c r="AS677" s="2">
        <f>VLOOKUP([jobnumber],OvalData[],MATCH(Table2[[#Headers],[First Preferated Slat From Bottom]],Table2[#Headers],0),0)</f>
        <v>0</v>
      </c>
      <c r="AT677" s="2">
        <f>VLOOKUP([jobnumber],OvalData[],MATCH(Table2[[#Headers],[Total Number of Slats]],Table2[#Headers],0),0)</f>
        <v>51</v>
      </c>
      <c r="AU677" s="2">
        <f>VLOOKUP([jobnumber],OvalData[],MATCH(Table2[[#Headers],[Bottom Bar Slope]],Table2[#Headers],0),0)</f>
        <v>0</v>
      </c>
      <c r="AV677" s="2">
        <f>VLOOKUP([jobnumber],OvalData[],MATCH(Table2[[#Headers],[Bottom Bar Weight]],Table2[#Headers],0),0)</f>
        <v>80.5</v>
      </c>
      <c r="AW677" s="2" t="str">
        <f>VLOOKUP([jobnumber],OvalData[],MATCH(Table2[[#Headers],[Outer Spring Gage]],Table2[#Headers],0),0)</f>
        <v>Null</v>
      </c>
      <c r="AX677" s="2" t="str">
        <f>VLOOKUP([jobnumber],OvalData[],MATCH(Table2[[#Headers],[Outer Spring OD]],Table2[#Headers],0),0)</f>
        <v>Null</v>
      </c>
      <c r="AY677" s="2" t="str">
        <f>VLOOKUP([jobnumber],OvalData[],MATCH(Table2[[#Headers],[Outer Spring Length]],Table2[#Headers],0),0)</f>
        <v>Null</v>
      </c>
      <c r="AZ677" s="2" t="str">
        <f>VLOOKUP([jobnumber],OvalData[],MATCH(Table2[[#Headers],[Outer Spring Stretch]],Table2[#Headers],0),0)</f>
        <v>Null</v>
      </c>
      <c r="BA677" s="2" t="str">
        <f>VLOOKUP([jobnumber],OvalData[],MATCH(Table2[[#Headers],[Outer Spring Torque]],Table2[#Headers],0),0)</f>
        <v>Null</v>
      </c>
      <c r="BB677" s="2" t="str">
        <f>VLOOKUP([jobnumber],OvalData[],MATCH(Table2[[#Headers],[Outer Spring Max Turns]],Table2[#Headers],0),0)</f>
        <v>Null</v>
      </c>
      <c r="BC677" s="2" t="str">
        <f>VLOOKUP([jobnumber],OvalData[],MATCH(Table2[[#Headers],[Outer Spring Weight]],Table2[#Headers],0),0)</f>
        <v>Null</v>
      </c>
      <c r="BD677" s="2" t="str">
        <f>VLOOKUP([jobnumber],OvalData[],MATCH(Table2[[#Headers],[Inner Spring Gage]],Table2[#Headers],0),0)</f>
        <v>Null</v>
      </c>
      <c r="BE677" s="2" t="str">
        <f>VLOOKUP([jobnumber],OvalData[],MATCH(Table2[[#Headers],[Inner Spring OD]],Table2[#Headers],0),0)</f>
        <v>Null</v>
      </c>
      <c r="BF677" s="2" t="str">
        <f>VLOOKUP([jobnumber],OvalData[],MATCH(Table2[[#Headers],[Inner Spring Length]],Table2[#Headers],0),0)</f>
        <v>Null</v>
      </c>
      <c r="BG677" s="2" t="str">
        <f>VLOOKUP([jobnumber],OvalData[],MATCH(Table2[[#Headers],[Inner Spring Stretch]],Table2[#Headers],0),0)</f>
        <v>Null</v>
      </c>
      <c r="BH677" s="2" t="str">
        <f>VLOOKUP([jobnumber],OvalData[],MATCH(Table2[[#Headers],[Inner Spring Torque]],Table2[#Headers],0),0)</f>
        <v>Null</v>
      </c>
      <c r="BI677" s="2" t="str">
        <f>VLOOKUP([jobnumber],OvalData[],MATCH(Table2[[#Headers],[Inner Spring Max Turns]],Table2[#Headers],0),0)</f>
        <v>Null</v>
      </c>
      <c r="BJ677" s="2" t="str">
        <f>VLOOKUP([jobnumber],OvalData[],MATCH(Table2[[#Headers],[Inner Spring Weight]],Table2[#Headers],0),0)</f>
        <v>Null</v>
      </c>
      <c r="BK677" s="2">
        <f>VLOOKUP([jobnumber],OvalData[],MATCH(Table2[[#Headers],[Cycles]],Table2[#Headers],0),0)</f>
        <v>0</v>
      </c>
      <c r="BL677" s="2">
        <f>VLOOKUP([jobnumber],OvalData[],MATCH(Table2[[#Headers],[Total Spring Torque]],Table2[#Headers],0),0)</f>
        <v>0</v>
      </c>
      <c r="BM677" s="2">
        <f>VLOOKUP([jobnumber],OvalData[],MATCH(Table2[[#Headers],[Total Spring Weight]],Table2[#Headers],0),0)</f>
        <v>0</v>
      </c>
      <c r="BN677" s="2">
        <f>VLOOKUP([jobnumber],OvalData[],MATCH(Table2[[#Headers],[Pipe Weight]],Table2[#Headers],0),0)</f>
        <v>688.24239999999998</v>
      </c>
      <c r="BO677" s="2">
        <f>VLOOKUP([jobnumber],OvalData[],MATCH(Table2[[#Headers],[Max Pipe Deflection]],Table2[#Headers],0),0)</f>
        <v>2309</v>
      </c>
      <c r="BP677" s="2">
        <f>VLOOKUP([jobnumber],OvalData[],MATCH(Table2[[#Headers],[Number Non-Insulated Wrap Slats]],Table2[#Headers],0),0)</f>
        <v>0</v>
      </c>
      <c r="BQ677" s="2">
        <f>VLOOKUP([jobnumber],OvalData[],MATCH(Table2[[#Headers],[Number of Insolated Top Slats]],Table2[#Headers],0),0)</f>
        <v>45</v>
      </c>
      <c r="BR677" s="2">
        <f>VLOOKUP([jobnumber],OvalData[],MATCH(Table2[[#Headers],[Insolated Total Slats]],Table2[#Headers],0),0)</f>
        <v>45</v>
      </c>
      <c r="BS677" s="2">
        <f>VLOOKUP([jobnumber],OvalData[],MATCH(Table2[[#Headers],[Number of Slats]],Table2[#Headers],0),0)</f>
        <v>44.69</v>
      </c>
      <c r="BT677" s="2">
        <f>VLOOKUP([jobnumber],OvalData[],MATCH(Table2[[#Headers],[Wrap]],Table2[#Headers],0),0)</f>
        <v>0</v>
      </c>
      <c r="BU677" s="2">
        <f>VLOOKUP([jobnumber],OvalData[],MATCH(Table2[[#Headers],[Wall Angle Thickness]],Table2[#Headers],0),0)</f>
        <v>0</v>
      </c>
      <c r="BV677" s="2">
        <f>VLOOKUP([jobnumber],OvalData[],MATCH(Table2[[#Headers],[windlocks]],Table2[#Headers],0),0)</f>
        <v>0</v>
      </c>
      <c r="BW677" s="2" t="str">
        <f>VLOOKUP([jobnumber],OvalData[],MATCH(Table2[[#Headers],[bottombartype]],Table2[#Headers],0),0)</f>
        <v>SPECIAL</v>
      </c>
      <c r="BX677" s="2">
        <f>VLOOKUP([jobnumber],OvalData[],MATCH(Table2[[#Headers],[endlockweight]],Table2[#Headers],0),0)</f>
        <v>0.17</v>
      </c>
      <c r="BY677" s="2">
        <f>VLOOKUP([jobnumber],OvalData[],MATCH(Table2[[#Headers],[Endlock Total Weight]],Table2[#Headers],0),0)</f>
        <v>7.5972999999999997</v>
      </c>
      <c r="BZ677" s="2">
        <f>VLOOKUP([jobnumber],OvalData[],MATCH(Table2[[#Headers],[Grille Weight]],Table2[#Headers],0),0)</f>
        <v>0</v>
      </c>
      <c r="CA677" s="2">
        <f>VLOOKUP([jobnumber],OvalData[],MATCH(Table2[[#Headers],[barrelrings]],Table2[#Headers],0),0)</f>
        <v>1</v>
      </c>
    </row>
    <row r="678" spans="2:79">
      <c r="B678" s="2" t="str">
        <f>VLOOKUP([jobnumber],OvalData[],MATCH(Table2[[#Headers],[Hand]],Table2[#Headers],0),0)</f>
        <v>RH</v>
      </c>
      <c r="C678" s="2" t="str">
        <f>VLOOKUP([jobnumber],OvalData[],MATCH(Table2[[#Headers],[Model]],Table2[#Headers],0),0)</f>
        <v>SFMPP</v>
      </c>
      <c r="D678" s="2" t="str">
        <f>VLOOKUP([jobnumber],OvalData[],MATCH(Table2[[#Headers],[width]],Table2[#Headers],0),0)</f>
        <v xml:space="preserve"> 18 ft.- 2"</v>
      </c>
      <c r="E678" s="2" t="str">
        <f>VLOOKUP([jobnumber],OvalData[],MATCH(Table2[[#Headers],[stopheight]],Table2[#Headers],0),0)</f>
        <v xml:space="preserve"> 10 ft.- 0"</v>
      </c>
      <c r="F678" s="2" t="str">
        <f>VLOOKUP([jobnumber],OvalData[],MATCH(Table2[[#Headers],[Between Brackets]],Table2[#Headers],0),0)</f>
        <v xml:space="preserve"> 18 ft.- 7 7/ 8"</v>
      </c>
      <c r="G678" s="2" t="str">
        <f>VLOOKUP([jobnumber],OvalData[],MATCH(Table2[[#Headers],[shell]],Table2[#Headers],0),0)</f>
        <v>6 INCH TUBE</v>
      </c>
      <c r="H678" s="2" t="str">
        <f>VLOOKUP([jobnumber],OvalData[],MATCH(Table2[[#Headers],[pipewidth]],Table2[#Headers],0),0)</f>
        <v xml:space="preserve"> 18 ft.- 1 3/ 8"</v>
      </c>
      <c r="I678" s="2">
        <f>VLOOKUP([jobnumber],OvalData[],MATCH(Table2[[#Headers],[Support Tubes]],Table2[#Headers],0),0)</f>
        <v>0</v>
      </c>
      <c r="J678" s="2">
        <f>VLOOKUP([jobnumber],OvalData[],MATCH(Table2[[#Headers],[Upset]],Table2[#Headers],0),0)</f>
        <v>2</v>
      </c>
      <c r="K678" s="2" t="str">
        <f>VLOOKUP([jobnumber],OvalData[],MATCH(Table2[[#Headers],[Guide Type]],Table2[#Headers],0),0)</f>
        <v>SN2-4 5/8-E</v>
      </c>
      <c r="L678" s="2" t="str">
        <f>VLOOKUP([jobnumber],OvalData[],MATCH(Table2[[#Headers],[Wall Angle]],Table2[#Headers],0),0)</f>
        <v xml:space="preserve"> 11 ft.- 8"</v>
      </c>
      <c r="M678" s="2" t="str">
        <f>VLOOKUP([jobnumber],OvalData[],MATCH(Table2[[#Headers],[Middle Angle]],Table2[#Headers],0),0)</f>
        <v xml:space="preserve"> 10 ft.- 4 1/ 2"</v>
      </c>
      <c r="N678" s="2" t="str">
        <f>VLOOKUP([jobnumber],OvalData[],MATCH(Table2[[#Headers],[Front Angle]],Table2[#Headers],0),0)</f>
        <v xml:space="preserve"> 10 ft.- 3"</v>
      </c>
      <c r="O678" s="2">
        <f>VLOOKUP([jobnumber],OvalData[],MATCH(Table2[[#Headers],[Pipe Center Line]],Table2[#Headers],0),0)</f>
        <v>131</v>
      </c>
      <c r="P678" s="2">
        <f>VLOOKUP([jobnumber],OvalData[],MATCH(Table2[[#Headers],[Heat Expansion Gap]],Table2[#Headers],0),0)</f>
        <v>0</v>
      </c>
      <c r="Q678" s="2">
        <f>VLOOKUP([jobnumber],OvalData[],MATCH(Table2[[#Headers],[Hanging Weight Closed]],Table2[#Headers],0),0)</f>
        <v>795</v>
      </c>
      <c r="R678" s="2">
        <f>VLOOKUP([jobnumber],OvalData[],MATCH(Table2[[#Headers],[Hanging Weight Open]],Table2[#Headers],0),0)</f>
        <v>140</v>
      </c>
      <c r="S678" s="2">
        <f>VLOOKUP([jobnumber],OvalData[],MATCH(Table2[[#Headers],[Initial Lever Arm]],Table2[#Headers],0),0)</f>
        <v>4.25</v>
      </c>
      <c r="T678" s="2">
        <f>VLOOKUP([jobnumber],OvalData[],MATCH(Table2[[#Headers],[Turns to Raise]],Table2[#Headers],0),0)</f>
        <v>3.5859999999999999</v>
      </c>
      <c r="U678" s="2">
        <f>VLOOKUP([jobnumber],OvalData[],MATCH(Table2[[#Headers],[Final Lever Arm]],Table2[#Headers],0),0)</f>
        <v>6.37</v>
      </c>
      <c r="V678" s="2">
        <f>VLOOKUP([jobnumber],OvalData[],MATCH(Table2[[#Headers],[Torque Required Closed]],Table2[#Headers],0),0)</f>
        <v>3377.9</v>
      </c>
      <c r="W678" s="2">
        <f>VLOOKUP([jobnumber],OvalData[],MATCH(Table2[[#Headers],[Torque Required Open]],Table2[#Headers],0),0)</f>
        <v>892</v>
      </c>
      <c r="X678" s="2">
        <f>VLOOKUP([jobnumber],OvalData[],MATCH(Table2[[#Headers],[Pre Turns]],Table2[#Headers],0),0)</f>
        <v>1.3332999999999999</v>
      </c>
      <c r="Y678" s="2">
        <f>VLOOKUP([jobnumber],OvalData[],MATCH(Table2[[#Headers],[Required Torque Per Turn]],Table2[#Headers],0),0)</f>
        <v>688</v>
      </c>
      <c r="Z678" s="2">
        <f>VLOOKUP([jobnumber],OvalData[],MATCH(Table2[[#Headers],[Total Turns]],Table2[#Headers],0),0)</f>
        <v>4.91</v>
      </c>
      <c r="AA678" s="2">
        <f>VLOOKUP([jobnumber],OvalData[],MATCH(Table2[[#Headers],[Grille Vision Section]],Table2[#Headers],0),0)</f>
        <v>0</v>
      </c>
      <c r="AB678" s="2">
        <f>VLOOKUP([jobnumber],OvalData[],MATCH(Table2[[#Headers],[Grille Amount]],Table2[#Headers],0),0)</f>
        <v>0</v>
      </c>
      <c r="AC678" s="2">
        <f>VLOOKUP([jobnumber],OvalData[],MATCH(Table2[[#Headers],[Grille Center]],Table2[#Headers],0),0)</f>
        <v>0</v>
      </c>
      <c r="AD678" s="2">
        <f>VLOOKUP([jobnumber],OvalData[],MATCH(Table2[[#Headers],[Grille Pattern]],Table2[#Headers],0),0)</f>
        <v>0</v>
      </c>
      <c r="AE678" s="2">
        <f>VLOOKUP([jobnumber],OvalData[],MATCH(Table2[[#Headers],[Grille First Tube]],Table2[#Headers],0),0)</f>
        <v>0</v>
      </c>
      <c r="AF678" s="2">
        <f>VLOOKUP([jobnumber],OvalData[],MATCH(Table2[[#Headers],[Grille Standard Tube]],Table2[#Headers],0),0)</f>
        <v>0</v>
      </c>
      <c r="AG678" s="2">
        <f>VLOOKUP([jobnumber],OvalData[],MATCH(Table2[[#Headers],[Grille Total Links]],Table2[#Headers],0),0)</f>
        <v>0</v>
      </c>
      <c r="AH678" s="2">
        <f>VLOOKUP([jobnumber],OvalData[],MATCH(Table2[[#Headers],[Grille Rods]],Table2[#Headers],0),0)</f>
        <v>0</v>
      </c>
      <c r="AI678" s="2">
        <f>VLOOKUP([jobnumber],OvalData[],MATCH(Table2[[#Headers],[Grille Rod Length]],Table2[#Headers],0),0)</f>
        <v>0</v>
      </c>
      <c r="AJ678" s="2">
        <f>VLOOKUP([jobnumber],OvalData[],MATCH(Table2[[#Headers],[slattype]],Table2[#Headers],0),0)</f>
        <v>2</v>
      </c>
      <c r="AK678" s="2">
        <f>VLOOKUP([jobnumber],OvalData[],MATCH(Table2[[#Headers],[slatgage]],Table2[#Headers],0),0)</f>
        <v>18</v>
      </c>
      <c r="AL678" s="2">
        <f>VLOOKUP([jobnumber],OvalData[],MATCH(Table2[[#Headers],[Numer of Top Slats]],Table2[#Headers],0),0)</f>
        <v>0</v>
      </c>
      <c r="AM678" s="2">
        <f>VLOOKUP([jobnumber],OvalData[],MATCH(Table2[[#Headers],[Number of Bottom Slats]],Table2[#Headers],0),0)</f>
        <v>0</v>
      </c>
      <c r="AN678" s="2">
        <f>VLOOKUP([jobnumber],OvalData[],MATCH(Table2[[#Headers],[Solid Bottom Height]],Table2[#Headers],0),0)</f>
        <v>0</v>
      </c>
      <c r="AO678" s="2" t="str">
        <f>VLOOKUP([jobnumber],OvalData[],MATCH(Table2[[#Headers],[slatlength]],Table2[#Headers],0),0)</f>
        <v xml:space="preserve"> 18 ft.- 5 7/ 8"</v>
      </c>
      <c r="AP678" s="2">
        <f>VLOOKUP([jobnumber],OvalData[],MATCH(Table2[[#Headers],[Bottom Slat Length]],Table2[#Headers],0),0)</f>
        <v>0</v>
      </c>
      <c r="AQ678" s="2">
        <f>VLOOKUP([jobnumber],OvalData[],MATCH(Table2[[#Headers],[Number of Perferated Slats]],Table2[#Headers],0),0)</f>
        <v>0</v>
      </c>
      <c r="AR678" s="2">
        <f>VLOOKUP([jobnumber],OvalData[],MATCH(Table2[[#Headers],[First Preferated Slat From End]],Table2[#Headers],0),0)</f>
        <v>0</v>
      </c>
      <c r="AS678" s="2">
        <f>VLOOKUP([jobnumber],OvalData[],MATCH(Table2[[#Headers],[First Preferated Slat From Bottom]],Table2[#Headers],0),0)</f>
        <v>0</v>
      </c>
      <c r="AT678" s="2">
        <f>VLOOKUP([jobnumber],OvalData[],MATCH(Table2[[#Headers],[Total Number of Slats]],Table2[#Headers],0),0)</f>
        <v>51</v>
      </c>
      <c r="AU678" s="2">
        <f>VLOOKUP([jobnumber],OvalData[],MATCH(Table2[[#Headers],[Bottom Bar Slope]],Table2[#Headers],0),0)</f>
        <v>0</v>
      </c>
      <c r="AV678" s="2">
        <f>VLOOKUP([jobnumber],OvalData[],MATCH(Table2[[#Headers],[Bottom Bar Weight]],Table2[#Headers],0),0)</f>
        <v>80.5</v>
      </c>
      <c r="AW678" s="2" t="str">
        <f>VLOOKUP([jobnumber],OvalData[],MATCH(Table2[[#Headers],[Outer Spring Gage]],Table2[#Headers],0),0)</f>
        <v>Null</v>
      </c>
      <c r="AX678" s="2" t="str">
        <f>VLOOKUP([jobnumber],OvalData[],MATCH(Table2[[#Headers],[Outer Spring OD]],Table2[#Headers],0),0)</f>
        <v>Null</v>
      </c>
      <c r="AY678" s="2" t="str">
        <f>VLOOKUP([jobnumber],OvalData[],MATCH(Table2[[#Headers],[Outer Spring Length]],Table2[#Headers],0),0)</f>
        <v>Null</v>
      </c>
      <c r="AZ678" s="2" t="str">
        <f>VLOOKUP([jobnumber],OvalData[],MATCH(Table2[[#Headers],[Outer Spring Stretch]],Table2[#Headers],0),0)</f>
        <v>Null</v>
      </c>
      <c r="BA678" s="2" t="str">
        <f>VLOOKUP([jobnumber],OvalData[],MATCH(Table2[[#Headers],[Outer Spring Torque]],Table2[#Headers],0),0)</f>
        <v>Null</v>
      </c>
      <c r="BB678" s="2" t="str">
        <f>VLOOKUP([jobnumber],OvalData[],MATCH(Table2[[#Headers],[Outer Spring Max Turns]],Table2[#Headers],0),0)</f>
        <v>Null</v>
      </c>
      <c r="BC678" s="2" t="str">
        <f>VLOOKUP([jobnumber],OvalData[],MATCH(Table2[[#Headers],[Outer Spring Weight]],Table2[#Headers],0),0)</f>
        <v>Null</v>
      </c>
      <c r="BD678" s="2" t="str">
        <f>VLOOKUP([jobnumber],OvalData[],MATCH(Table2[[#Headers],[Inner Spring Gage]],Table2[#Headers],0),0)</f>
        <v>Null</v>
      </c>
      <c r="BE678" s="2" t="str">
        <f>VLOOKUP([jobnumber],OvalData[],MATCH(Table2[[#Headers],[Inner Spring OD]],Table2[#Headers],0),0)</f>
        <v>Null</v>
      </c>
      <c r="BF678" s="2" t="str">
        <f>VLOOKUP([jobnumber],OvalData[],MATCH(Table2[[#Headers],[Inner Spring Length]],Table2[#Headers],0),0)</f>
        <v>Null</v>
      </c>
      <c r="BG678" s="2" t="str">
        <f>VLOOKUP([jobnumber],OvalData[],MATCH(Table2[[#Headers],[Inner Spring Stretch]],Table2[#Headers],0),0)</f>
        <v>Null</v>
      </c>
      <c r="BH678" s="2" t="str">
        <f>VLOOKUP([jobnumber],OvalData[],MATCH(Table2[[#Headers],[Inner Spring Torque]],Table2[#Headers],0),0)</f>
        <v>Null</v>
      </c>
      <c r="BI678" s="2" t="str">
        <f>VLOOKUP([jobnumber],OvalData[],MATCH(Table2[[#Headers],[Inner Spring Max Turns]],Table2[#Headers],0),0)</f>
        <v>Null</v>
      </c>
      <c r="BJ678" s="2" t="str">
        <f>VLOOKUP([jobnumber],OvalData[],MATCH(Table2[[#Headers],[Inner Spring Weight]],Table2[#Headers],0),0)</f>
        <v>Null</v>
      </c>
      <c r="BK678" s="2">
        <f>VLOOKUP([jobnumber],OvalData[],MATCH(Table2[[#Headers],[Cycles]],Table2[#Headers],0),0)</f>
        <v>0</v>
      </c>
      <c r="BL678" s="2">
        <f>VLOOKUP([jobnumber],OvalData[],MATCH(Table2[[#Headers],[Total Spring Torque]],Table2[#Headers],0),0)</f>
        <v>0</v>
      </c>
      <c r="BM678" s="2">
        <f>VLOOKUP([jobnumber],OvalData[],MATCH(Table2[[#Headers],[Total Spring Weight]],Table2[#Headers],0),0)</f>
        <v>0</v>
      </c>
      <c r="BN678" s="2">
        <f>VLOOKUP([jobnumber],OvalData[],MATCH(Table2[[#Headers],[Pipe Weight]],Table2[#Headers],0),0)</f>
        <v>688.24239999999998</v>
      </c>
      <c r="BO678" s="2">
        <f>VLOOKUP([jobnumber],OvalData[],MATCH(Table2[[#Headers],[Max Pipe Deflection]],Table2[#Headers],0),0)</f>
        <v>2309</v>
      </c>
      <c r="BP678" s="2">
        <f>VLOOKUP([jobnumber],OvalData[],MATCH(Table2[[#Headers],[Number Non-Insulated Wrap Slats]],Table2[#Headers],0),0)</f>
        <v>0</v>
      </c>
      <c r="BQ678" s="2">
        <f>VLOOKUP([jobnumber],OvalData[],MATCH(Table2[[#Headers],[Number of Insolated Top Slats]],Table2[#Headers],0),0)</f>
        <v>45</v>
      </c>
      <c r="BR678" s="2">
        <f>VLOOKUP([jobnumber],OvalData[],MATCH(Table2[[#Headers],[Insolated Total Slats]],Table2[#Headers],0),0)</f>
        <v>45</v>
      </c>
      <c r="BS678" s="2">
        <f>VLOOKUP([jobnumber],OvalData[],MATCH(Table2[[#Headers],[Number of Slats]],Table2[#Headers],0),0)</f>
        <v>44.69</v>
      </c>
      <c r="BT678" s="2">
        <f>VLOOKUP([jobnumber],OvalData[],MATCH(Table2[[#Headers],[Wrap]],Table2[#Headers],0),0)</f>
        <v>0</v>
      </c>
      <c r="BU678" s="2">
        <f>VLOOKUP([jobnumber],OvalData[],MATCH(Table2[[#Headers],[Wall Angle Thickness]],Table2[#Headers],0),0)</f>
        <v>0</v>
      </c>
      <c r="BV678" s="2">
        <f>VLOOKUP([jobnumber],OvalData[],MATCH(Table2[[#Headers],[windlocks]],Table2[#Headers],0),0)</f>
        <v>0</v>
      </c>
      <c r="BW678" s="2" t="str">
        <f>VLOOKUP([jobnumber],OvalData[],MATCH(Table2[[#Headers],[bottombartype]],Table2[#Headers],0),0)</f>
        <v>SPECIAL</v>
      </c>
      <c r="BX678" s="2">
        <f>VLOOKUP([jobnumber],OvalData[],MATCH(Table2[[#Headers],[endlockweight]],Table2[#Headers],0),0)</f>
        <v>0.17</v>
      </c>
      <c r="BY678" s="2">
        <f>VLOOKUP([jobnumber],OvalData[],MATCH(Table2[[#Headers],[Endlock Total Weight]],Table2[#Headers],0),0)</f>
        <v>7.5972999999999997</v>
      </c>
      <c r="BZ678" s="2">
        <f>VLOOKUP([jobnumber],OvalData[],MATCH(Table2[[#Headers],[Grille Weight]],Table2[#Headers],0),0)</f>
        <v>0</v>
      </c>
      <c r="CA678" s="2">
        <f>VLOOKUP([jobnumber],OvalData[],MATCH(Table2[[#Headers],[barrelrings]],Table2[#Headers],0),0)</f>
        <v>1</v>
      </c>
    </row>
    <row r="679" spans="2:79">
      <c r="B679" s="2" t="str">
        <f>VLOOKUP([jobnumber],OvalData[],MATCH(Table2[[#Headers],[Hand]],Table2[#Headers],0),0)</f>
        <v>RH</v>
      </c>
      <c r="C679" s="2" t="str">
        <f>VLOOKUP([jobnumber],OvalData[],MATCH(Table2[[#Headers],[Model]],Table2[#Headers],0),0)</f>
        <v>SFMPP</v>
      </c>
      <c r="D679" s="2" t="str">
        <f>VLOOKUP([jobnumber],OvalData[],MATCH(Table2[[#Headers],[width]],Table2[#Headers],0),0)</f>
        <v xml:space="preserve"> 18 ft.- 2"</v>
      </c>
      <c r="E679" s="2" t="str">
        <f>VLOOKUP([jobnumber],OvalData[],MATCH(Table2[[#Headers],[stopheight]],Table2[#Headers],0),0)</f>
        <v xml:space="preserve"> 10 ft.- 0"</v>
      </c>
      <c r="F679" s="2" t="str">
        <f>VLOOKUP([jobnumber],OvalData[],MATCH(Table2[[#Headers],[Between Brackets]],Table2[#Headers],0),0)</f>
        <v xml:space="preserve"> 18 ft.- 7 7/ 8"</v>
      </c>
      <c r="G679" s="2" t="str">
        <f>VLOOKUP([jobnumber],OvalData[],MATCH(Table2[[#Headers],[shell]],Table2[#Headers],0),0)</f>
        <v>6 INCH TUBE</v>
      </c>
      <c r="H679" s="2" t="str">
        <f>VLOOKUP([jobnumber],OvalData[],MATCH(Table2[[#Headers],[pipewidth]],Table2[#Headers],0),0)</f>
        <v xml:space="preserve"> 18 ft.- 1 3/ 8"</v>
      </c>
      <c r="I679" s="2">
        <f>VLOOKUP([jobnumber],OvalData[],MATCH(Table2[[#Headers],[Support Tubes]],Table2[#Headers],0),0)</f>
        <v>0</v>
      </c>
      <c r="J679" s="2">
        <f>VLOOKUP([jobnumber],OvalData[],MATCH(Table2[[#Headers],[Upset]],Table2[#Headers],0),0)</f>
        <v>2</v>
      </c>
      <c r="K679" s="2" t="str">
        <f>VLOOKUP([jobnumber],OvalData[],MATCH(Table2[[#Headers],[Guide Type]],Table2[#Headers],0),0)</f>
        <v>SN2-4 5/8-E</v>
      </c>
      <c r="L679" s="2" t="str">
        <f>VLOOKUP([jobnumber],OvalData[],MATCH(Table2[[#Headers],[Wall Angle]],Table2[#Headers],0),0)</f>
        <v xml:space="preserve"> 11 ft.- 8"</v>
      </c>
      <c r="M679" s="2" t="str">
        <f>VLOOKUP([jobnumber],OvalData[],MATCH(Table2[[#Headers],[Middle Angle]],Table2[#Headers],0),0)</f>
        <v xml:space="preserve"> 10 ft.- 4 1/ 2"</v>
      </c>
      <c r="N679" s="2" t="str">
        <f>VLOOKUP([jobnumber],OvalData[],MATCH(Table2[[#Headers],[Front Angle]],Table2[#Headers],0),0)</f>
        <v xml:space="preserve"> 10 ft.- 3"</v>
      </c>
      <c r="O679" s="2">
        <f>VLOOKUP([jobnumber],OvalData[],MATCH(Table2[[#Headers],[Pipe Center Line]],Table2[#Headers],0),0)</f>
        <v>131</v>
      </c>
      <c r="P679" s="2">
        <f>VLOOKUP([jobnumber],OvalData[],MATCH(Table2[[#Headers],[Heat Expansion Gap]],Table2[#Headers],0),0)</f>
        <v>0</v>
      </c>
      <c r="Q679" s="2">
        <f>VLOOKUP([jobnumber],OvalData[],MATCH(Table2[[#Headers],[Hanging Weight Closed]],Table2[#Headers],0),0)</f>
        <v>795</v>
      </c>
      <c r="R679" s="2">
        <f>VLOOKUP([jobnumber],OvalData[],MATCH(Table2[[#Headers],[Hanging Weight Open]],Table2[#Headers],0),0)</f>
        <v>140</v>
      </c>
      <c r="S679" s="2">
        <f>VLOOKUP([jobnumber],OvalData[],MATCH(Table2[[#Headers],[Initial Lever Arm]],Table2[#Headers],0),0)</f>
        <v>4.25</v>
      </c>
      <c r="T679" s="2">
        <f>VLOOKUP([jobnumber],OvalData[],MATCH(Table2[[#Headers],[Turns to Raise]],Table2[#Headers],0),0)</f>
        <v>3.5859999999999999</v>
      </c>
      <c r="U679" s="2">
        <f>VLOOKUP([jobnumber],OvalData[],MATCH(Table2[[#Headers],[Final Lever Arm]],Table2[#Headers],0),0)</f>
        <v>6.37</v>
      </c>
      <c r="V679" s="2">
        <f>VLOOKUP([jobnumber],OvalData[],MATCH(Table2[[#Headers],[Torque Required Closed]],Table2[#Headers],0),0)</f>
        <v>3377.9</v>
      </c>
      <c r="W679" s="2">
        <f>VLOOKUP([jobnumber],OvalData[],MATCH(Table2[[#Headers],[Torque Required Open]],Table2[#Headers],0),0)</f>
        <v>892</v>
      </c>
      <c r="X679" s="2">
        <f>VLOOKUP([jobnumber],OvalData[],MATCH(Table2[[#Headers],[Pre Turns]],Table2[#Headers],0),0)</f>
        <v>1.3332999999999999</v>
      </c>
      <c r="Y679" s="2">
        <f>VLOOKUP([jobnumber],OvalData[],MATCH(Table2[[#Headers],[Required Torque Per Turn]],Table2[#Headers],0),0)</f>
        <v>688</v>
      </c>
      <c r="Z679" s="2">
        <f>VLOOKUP([jobnumber],OvalData[],MATCH(Table2[[#Headers],[Total Turns]],Table2[#Headers],0),0)</f>
        <v>4.91</v>
      </c>
      <c r="AA679" s="2">
        <f>VLOOKUP([jobnumber],OvalData[],MATCH(Table2[[#Headers],[Grille Vision Section]],Table2[#Headers],0),0)</f>
        <v>0</v>
      </c>
      <c r="AB679" s="2">
        <f>VLOOKUP([jobnumber],OvalData[],MATCH(Table2[[#Headers],[Grille Amount]],Table2[#Headers],0),0)</f>
        <v>0</v>
      </c>
      <c r="AC679" s="2">
        <f>VLOOKUP([jobnumber],OvalData[],MATCH(Table2[[#Headers],[Grille Center]],Table2[#Headers],0),0)</f>
        <v>0</v>
      </c>
      <c r="AD679" s="2">
        <f>VLOOKUP([jobnumber],OvalData[],MATCH(Table2[[#Headers],[Grille Pattern]],Table2[#Headers],0),0)</f>
        <v>0</v>
      </c>
      <c r="AE679" s="2">
        <f>VLOOKUP([jobnumber],OvalData[],MATCH(Table2[[#Headers],[Grille First Tube]],Table2[#Headers],0),0)</f>
        <v>0</v>
      </c>
      <c r="AF679" s="2">
        <f>VLOOKUP([jobnumber],OvalData[],MATCH(Table2[[#Headers],[Grille Standard Tube]],Table2[#Headers],0),0)</f>
        <v>0</v>
      </c>
      <c r="AG679" s="2">
        <f>VLOOKUP([jobnumber],OvalData[],MATCH(Table2[[#Headers],[Grille Total Links]],Table2[#Headers],0),0)</f>
        <v>0</v>
      </c>
      <c r="AH679" s="2">
        <f>VLOOKUP([jobnumber],OvalData[],MATCH(Table2[[#Headers],[Grille Rods]],Table2[#Headers],0),0)</f>
        <v>0</v>
      </c>
      <c r="AI679" s="2">
        <f>VLOOKUP([jobnumber],OvalData[],MATCH(Table2[[#Headers],[Grille Rod Length]],Table2[#Headers],0),0)</f>
        <v>0</v>
      </c>
      <c r="AJ679" s="2">
        <f>VLOOKUP([jobnumber],OvalData[],MATCH(Table2[[#Headers],[slattype]],Table2[#Headers],0),0)</f>
        <v>2</v>
      </c>
      <c r="AK679" s="2">
        <f>VLOOKUP([jobnumber],OvalData[],MATCH(Table2[[#Headers],[slatgage]],Table2[#Headers],0),0)</f>
        <v>18</v>
      </c>
      <c r="AL679" s="2">
        <f>VLOOKUP([jobnumber],OvalData[],MATCH(Table2[[#Headers],[Numer of Top Slats]],Table2[#Headers],0),0)</f>
        <v>0</v>
      </c>
      <c r="AM679" s="2">
        <f>VLOOKUP([jobnumber],OvalData[],MATCH(Table2[[#Headers],[Number of Bottom Slats]],Table2[#Headers],0),0)</f>
        <v>0</v>
      </c>
      <c r="AN679" s="2">
        <f>VLOOKUP([jobnumber],OvalData[],MATCH(Table2[[#Headers],[Solid Bottom Height]],Table2[#Headers],0),0)</f>
        <v>0</v>
      </c>
      <c r="AO679" s="2" t="str">
        <f>VLOOKUP([jobnumber],OvalData[],MATCH(Table2[[#Headers],[slatlength]],Table2[#Headers],0),0)</f>
        <v xml:space="preserve"> 18 ft.- 5 7/ 8"</v>
      </c>
      <c r="AP679" s="2">
        <f>VLOOKUP([jobnumber],OvalData[],MATCH(Table2[[#Headers],[Bottom Slat Length]],Table2[#Headers],0),0)</f>
        <v>0</v>
      </c>
      <c r="AQ679" s="2">
        <f>VLOOKUP([jobnumber],OvalData[],MATCH(Table2[[#Headers],[Number of Perferated Slats]],Table2[#Headers],0),0)</f>
        <v>0</v>
      </c>
      <c r="AR679" s="2">
        <f>VLOOKUP([jobnumber],OvalData[],MATCH(Table2[[#Headers],[First Preferated Slat From End]],Table2[#Headers],0),0)</f>
        <v>0</v>
      </c>
      <c r="AS679" s="2">
        <f>VLOOKUP([jobnumber],OvalData[],MATCH(Table2[[#Headers],[First Preferated Slat From Bottom]],Table2[#Headers],0),0)</f>
        <v>0</v>
      </c>
      <c r="AT679" s="2">
        <f>VLOOKUP([jobnumber],OvalData[],MATCH(Table2[[#Headers],[Total Number of Slats]],Table2[#Headers],0),0)</f>
        <v>51</v>
      </c>
      <c r="AU679" s="2">
        <f>VLOOKUP([jobnumber],OvalData[],MATCH(Table2[[#Headers],[Bottom Bar Slope]],Table2[#Headers],0),0)</f>
        <v>0</v>
      </c>
      <c r="AV679" s="2">
        <f>VLOOKUP([jobnumber],OvalData[],MATCH(Table2[[#Headers],[Bottom Bar Weight]],Table2[#Headers],0),0)</f>
        <v>80.5</v>
      </c>
      <c r="AW679" s="2" t="str">
        <f>VLOOKUP([jobnumber],OvalData[],MATCH(Table2[[#Headers],[Outer Spring Gage]],Table2[#Headers],0),0)</f>
        <v>Null</v>
      </c>
      <c r="AX679" s="2" t="str">
        <f>VLOOKUP([jobnumber],OvalData[],MATCH(Table2[[#Headers],[Outer Spring OD]],Table2[#Headers],0),0)</f>
        <v>Null</v>
      </c>
      <c r="AY679" s="2" t="str">
        <f>VLOOKUP([jobnumber],OvalData[],MATCH(Table2[[#Headers],[Outer Spring Length]],Table2[#Headers],0),0)</f>
        <v>Null</v>
      </c>
      <c r="AZ679" s="2" t="str">
        <f>VLOOKUP([jobnumber],OvalData[],MATCH(Table2[[#Headers],[Outer Spring Stretch]],Table2[#Headers],0),0)</f>
        <v>Null</v>
      </c>
      <c r="BA679" s="2" t="str">
        <f>VLOOKUP([jobnumber],OvalData[],MATCH(Table2[[#Headers],[Outer Spring Torque]],Table2[#Headers],0),0)</f>
        <v>Null</v>
      </c>
      <c r="BB679" s="2" t="str">
        <f>VLOOKUP([jobnumber],OvalData[],MATCH(Table2[[#Headers],[Outer Spring Max Turns]],Table2[#Headers],0),0)</f>
        <v>Null</v>
      </c>
      <c r="BC679" s="2" t="str">
        <f>VLOOKUP([jobnumber],OvalData[],MATCH(Table2[[#Headers],[Outer Spring Weight]],Table2[#Headers],0),0)</f>
        <v>Null</v>
      </c>
      <c r="BD679" s="2" t="str">
        <f>VLOOKUP([jobnumber],OvalData[],MATCH(Table2[[#Headers],[Inner Spring Gage]],Table2[#Headers],0),0)</f>
        <v>Null</v>
      </c>
      <c r="BE679" s="2" t="str">
        <f>VLOOKUP([jobnumber],OvalData[],MATCH(Table2[[#Headers],[Inner Spring OD]],Table2[#Headers],0),0)</f>
        <v>Null</v>
      </c>
      <c r="BF679" s="2" t="str">
        <f>VLOOKUP([jobnumber],OvalData[],MATCH(Table2[[#Headers],[Inner Spring Length]],Table2[#Headers],0),0)</f>
        <v>Null</v>
      </c>
      <c r="BG679" s="2" t="str">
        <f>VLOOKUP([jobnumber],OvalData[],MATCH(Table2[[#Headers],[Inner Spring Stretch]],Table2[#Headers],0),0)</f>
        <v>Null</v>
      </c>
      <c r="BH679" s="2" t="str">
        <f>VLOOKUP([jobnumber],OvalData[],MATCH(Table2[[#Headers],[Inner Spring Torque]],Table2[#Headers],0),0)</f>
        <v>Null</v>
      </c>
      <c r="BI679" s="2" t="str">
        <f>VLOOKUP([jobnumber],OvalData[],MATCH(Table2[[#Headers],[Inner Spring Max Turns]],Table2[#Headers],0),0)</f>
        <v>Null</v>
      </c>
      <c r="BJ679" s="2" t="str">
        <f>VLOOKUP([jobnumber],OvalData[],MATCH(Table2[[#Headers],[Inner Spring Weight]],Table2[#Headers],0),0)</f>
        <v>Null</v>
      </c>
      <c r="BK679" s="2">
        <f>VLOOKUP([jobnumber],OvalData[],MATCH(Table2[[#Headers],[Cycles]],Table2[#Headers],0),0)</f>
        <v>0</v>
      </c>
      <c r="BL679" s="2">
        <f>VLOOKUP([jobnumber],OvalData[],MATCH(Table2[[#Headers],[Total Spring Torque]],Table2[#Headers],0),0)</f>
        <v>0</v>
      </c>
      <c r="BM679" s="2">
        <f>VLOOKUP([jobnumber],OvalData[],MATCH(Table2[[#Headers],[Total Spring Weight]],Table2[#Headers],0),0)</f>
        <v>0</v>
      </c>
      <c r="BN679" s="2">
        <f>VLOOKUP([jobnumber],OvalData[],MATCH(Table2[[#Headers],[Pipe Weight]],Table2[#Headers],0),0)</f>
        <v>688.24239999999998</v>
      </c>
      <c r="BO679" s="2">
        <f>VLOOKUP([jobnumber],OvalData[],MATCH(Table2[[#Headers],[Max Pipe Deflection]],Table2[#Headers],0),0)</f>
        <v>2309</v>
      </c>
      <c r="BP679" s="2">
        <f>VLOOKUP([jobnumber],OvalData[],MATCH(Table2[[#Headers],[Number Non-Insulated Wrap Slats]],Table2[#Headers],0),0)</f>
        <v>0</v>
      </c>
      <c r="BQ679" s="2">
        <f>VLOOKUP([jobnumber],OvalData[],MATCH(Table2[[#Headers],[Number of Insolated Top Slats]],Table2[#Headers],0),0)</f>
        <v>45</v>
      </c>
      <c r="BR679" s="2">
        <f>VLOOKUP([jobnumber],OvalData[],MATCH(Table2[[#Headers],[Insolated Total Slats]],Table2[#Headers],0),0)</f>
        <v>45</v>
      </c>
      <c r="BS679" s="2">
        <f>VLOOKUP([jobnumber],OvalData[],MATCH(Table2[[#Headers],[Number of Slats]],Table2[#Headers],0),0)</f>
        <v>44.69</v>
      </c>
      <c r="BT679" s="2">
        <f>VLOOKUP([jobnumber],OvalData[],MATCH(Table2[[#Headers],[Wrap]],Table2[#Headers],0),0)</f>
        <v>0</v>
      </c>
      <c r="BU679" s="2">
        <f>VLOOKUP([jobnumber],OvalData[],MATCH(Table2[[#Headers],[Wall Angle Thickness]],Table2[#Headers],0),0)</f>
        <v>0</v>
      </c>
      <c r="BV679" s="2">
        <f>VLOOKUP([jobnumber],OvalData[],MATCH(Table2[[#Headers],[windlocks]],Table2[#Headers],0),0)</f>
        <v>0</v>
      </c>
      <c r="BW679" s="2" t="str">
        <f>VLOOKUP([jobnumber],OvalData[],MATCH(Table2[[#Headers],[bottombartype]],Table2[#Headers],0),0)</f>
        <v>SPECIAL</v>
      </c>
      <c r="BX679" s="2">
        <f>VLOOKUP([jobnumber],OvalData[],MATCH(Table2[[#Headers],[endlockweight]],Table2[#Headers],0),0)</f>
        <v>0.17</v>
      </c>
      <c r="BY679" s="2">
        <f>VLOOKUP([jobnumber],OvalData[],MATCH(Table2[[#Headers],[Endlock Total Weight]],Table2[#Headers],0),0)</f>
        <v>7.5972999999999997</v>
      </c>
      <c r="BZ679" s="2">
        <f>VLOOKUP([jobnumber],OvalData[],MATCH(Table2[[#Headers],[Grille Weight]],Table2[#Headers],0),0)</f>
        <v>0</v>
      </c>
      <c r="CA679" s="2">
        <f>VLOOKUP([jobnumber],OvalData[],MATCH(Table2[[#Headers],[barrelrings]],Table2[#Headers],0),0)</f>
        <v>1</v>
      </c>
    </row>
    <row r="680" spans="2:79">
      <c r="B680" s="2" t="str">
        <f>VLOOKUP([jobnumber],OvalData[],MATCH(Table2[[#Headers],[Hand]],Table2[#Headers],0),0)</f>
        <v>RH</v>
      </c>
      <c r="C680" s="2" t="str">
        <f>VLOOKUP([jobnumber],OvalData[],MATCH(Table2[[#Headers],[Model]],Table2[#Headers],0),0)</f>
        <v>SFMPP</v>
      </c>
      <c r="D680" s="2" t="str">
        <f>VLOOKUP([jobnumber],OvalData[],MATCH(Table2[[#Headers],[width]],Table2[#Headers],0),0)</f>
        <v xml:space="preserve"> 18 ft.- 2"</v>
      </c>
      <c r="E680" s="2" t="str">
        <f>VLOOKUP([jobnumber],OvalData[],MATCH(Table2[[#Headers],[stopheight]],Table2[#Headers],0),0)</f>
        <v xml:space="preserve"> 10 ft.- 0"</v>
      </c>
      <c r="F680" s="2" t="str">
        <f>VLOOKUP([jobnumber],OvalData[],MATCH(Table2[[#Headers],[Between Brackets]],Table2[#Headers],0),0)</f>
        <v xml:space="preserve"> 18 ft.- 7 7/ 8"</v>
      </c>
      <c r="G680" s="2" t="str">
        <f>VLOOKUP([jobnumber],OvalData[],MATCH(Table2[[#Headers],[shell]],Table2[#Headers],0),0)</f>
        <v>6 INCH TUBE</v>
      </c>
      <c r="H680" s="2" t="str">
        <f>VLOOKUP([jobnumber],OvalData[],MATCH(Table2[[#Headers],[pipewidth]],Table2[#Headers],0),0)</f>
        <v xml:space="preserve"> 18 ft.- 1 3/ 8"</v>
      </c>
      <c r="I680" s="2">
        <f>VLOOKUP([jobnumber],OvalData[],MATCH(Table2[[#Headers],[Support Tubes]],Table2[#Headers],0),0)</f>
        <v>0</v>
      </c>
      <c r="J680" s="2">
        <f>VLOOKUP([jobnumber],OvalData[],MATCH(Table2[[#Headers],[Upset]],Table2[#Headers],0),0)</f>
        <v>2</v>
      </c>
      <c r="K680" s="2" t="str">
        <f>VLOOKUP([jobnumber],OvalData[],MATCH(Table2[[#Headers],[Guide Type]],Table2[#Headers],0),0)</f>
        <v>SN2-4 5/8-E</v>
      </c>
      <c r="L680" s="2" t="str">
        <f>VLOOKUP([jobnumber],OvalData[],MATCH(Table2[[#Headers],[Wall Angle]],Table2[#Headers],0),0)</f>
        <v xml:space="preserve"> 11 ft.- 8"</v>
      </c>
      <c r="M680" s="2" t="str">
        <f>VLOOKUP([jobnumber],OvalData[],MATCH(Table2[[#Headers],[Middle Angle]],Table2[#Headers],0),0)</f>
        <v xml:space="preserve"> 10 ft.- 4 1/ 2"</v>
      </c>
      <c r="N680" s="2" t="str">
        <f>VLOOKUP([jobnumber],OvalData[],MATCH(Table2[[#Headers],[Front Angle]],Table2[#Headers],0),0)</f>
        <v xml:space="preserve"> 10 ft.- 3"</v>
      </c>
      <c r="O680" s="2">
        <f>VLOOKUP([jobnumber],OvalData[],MATCH(Table2[[#Headers],[Pipe Center Line]],Table2[#Headers],0),0)</f>
        <v>131</v>
      </c>
      <c r="P680" s="2">
        <f>VLOOKUP([jobnumber],OvalData[],MATCH(Table2[[#Headers],[Heat Expansion Gap]],Table2[#Headers],0),0)</f>
        <v>0</v>
      </c>
      <c r="Q680" s="2">
        <f>VLOOKUP([jobnumber],OvalData[],MATCH(Table2[[#Headers],[Hanging Weight Closed]],Table2[#Headers],0),0)</f>
        <v>795</v>
      </c>
      <c r="R680" s="2">
        <f>VLOOKUP([jobnumber],OvalData[],MATCH(Table2[[#Headers],[Hanging Weight Open]],Table2[#Headers],0),0)</f>
        <v>140</v>
      </c>
      <c r="S680" s="2">
        <f>VLOOKUP([jobnumber],OvalData[],MATCH(Table2[[#Headers],[Initial Lever Arm]],Table2[#Headers],0),0)</f>
        <v>4.25</v>
      </c>
      <c r="T680" s="2">
        <f>VLOOKUP([jobnumber],OvalData[],MATCH(Table2[[#Headers],[Turns to Raise]],Table2[#Headers],0),0)</f>
        <v>3.5859999999999999</v>
      </c>
      <c r="U680" s="2">
        <f>VLOOKUP([jobnumber],OvalData[],MATCH(Table2[[#Headers],[Final Lever Arm]],Table2[#Headers],0),0)</f>
        <v>6.37</v>
      </c>
      <c r="V680" s="2">
        <f>VLOOKUP([jobnumber],OvalData[],MATCH(Table2[[#Headers],[Torque Required Closed]],Table2[#Headers],0),0)</f>
        <v>3377.9</v>
      </c>
      <c r="W680" s="2">
        <f>VLOOKUP([jobnumber],OvalData[],MATCH(Table2[[#Headers],[Torque Required Open]],Table2[#Headers],0),0)</f>
        <v>892</v>
      </c>
      <c r="X680" s="2">
        <f>VLOOKUP([jobnumber],OvalData[],MATCH(Table2[[#Headers],[Pre Turns]],Table2[#Headers],0),0)</f>
        <v>1.3332999999999999</v>
      </c>
      <c r="Y680" s="2">
        <f>VLOOKUP([jobnumber],OvalData[],MATCH(Table2[[#Headers],[Required Torque Per Turn]],Table2[#Headers],0),0)</f>
        <v>688</v>
      </c>
      <c r="Z680" s="2">
        <f>VLOOKUP([jobnumber],OvalData[],MATCH(Table2[[#Headers],[Total Turns]],Table2[#Headers],0),0)</f>
        <v>4.91</v>
      </c>
      <c r="AA680" s="2">
        <f>VLOOKUP([jobnumber],OvalData[],MATCH(Table2[[#Headers],[Grille Vision Section]],Table2[#Headers],0),0)</f>
        <v>0</v>
      </c>
      <c r="AB680" s="2">
        <f>VLOOKUP([jobnumber],OvalData[],MATCH(Table2[[#Headers],[Grille Amount]],Table2[#Headers],0),0)</f>
        <v>0</v>
      </c>
      <c r="AC680" s="2">
        <f>VLOOKUP([jobnumber],OvalData[],MATCH(Table2[[#Headers],[Grille Center]],Table2[#Headers],0),0)</f>
        <v>0</v>
      </c>
      <c r="AD680" s="2">
        <f>VLOOKUP([jobnumber],OvalData[],MATCH(Table2[[#Headers],[Grille Pattern]],Table2[#Headers],0),0)</f>
        <v>0</v>
      </c>
      <c r="AE680" s="2">
        <f>VLOOKUP([jobnumber],OvalData[],MATCH(Table2[[#Headers],[Grille First Tube]],Table2[#Headers],0),0)</f>
        <v>0</v>
      </c>
      <c r="AF680" s="2">
        <f>VLOOKUP([jobnumber],OvalData[],MATCH(Table2[[#Headers],[Grille Standard Tube]],Table2[#Headers],0),0)</f>
        <v>0</v>
      </c>
      <c r="AG680" s="2">
        <f>VLOOKUP([jobnumber],OvalData[],MATCH(Table2[[#Headers],[Grille Total Links]],Table2[#Headers],0),0)</f>
        <v>0</v>
      </c>
      <c r="AH680" s="2">
        <f>VLOOKUP([jobnumber],OvalData[],MATCH(Table2[[#Headers],[Grille Rods]],Table2[#Headers],0),0)</f>
        <v>0</v>
      </c>
      <c r="AI680" s="2">
        <f>VLOOKUP([jobnumber],OvalData[],MATCH(Table2[[#Headers],[Grille Rod Length]],Table2[#Headers],0),0)</f>
        <v>0</v>
      </c>
      <c r="AJ680" s="2">
        <f>VLOOKUP([jobnumber],OvalData[],MATCH(Table2[[#Headers],[slattype]],Table2[#Headers],0),0)</f>
        <v>2</v>
      </c>
      <c r="AK680" s="2">
        <f>VLOOKUP([jobnumber],OvalData[],MATCH(Table2[[#Headers],[slatgage]],Table2[#Headers],0),0)</f>
        <v>18</v>
      </c>
      <c r="AL680" s="2">
        <f>VLOOKUP([jobnumber],OvalData[],MATCH(Table2[[#Headers],[Numer of Top Slats]],Table2[#Headers],0),0)</f>
        <v>0</v>
      </c>
      <c r="AM680" s="2">
        <f>VLOOKUP([jobnumber],OvalData[],MATCH(Table2[[#Headers],[Number of Bottom Slats]],Table2[#Headers],0),0)</f>
        <v>0</v>
      </c>
      <c r="AN680" s="2">
        <f>VLOOKUP([jobnumber],OvalData[],MATCH(Table2[[#Headers],[Solid Bottom Height]],Table2[#Headers],0),0)</f>
        <v>0</v>
      </c>
      <c r="AO680" s="2" t="str">
        <f>VLOOKUP([jobnumber],OvalData[],MATCH(Table2[[#Headers],[slatlength]],Table2[#Headers],0),0)</f>
        <v xml:space="preserve"> 18 ft.- 5 7/ 8"</v>
      </c>
      <c r="AP680" s="2">
        <f>VLOOKUP([jobnumber],OvalData[],MATCH(Table2[[#Headers],[Bottom Slat Length]],Table2[#Headers],0),0)</f>
        <v>0</v>
      </c>
      <c r="AQ680" s="2">
        <f>VLOOKUP([jobnumber],OvalData[],MATCH(Table2[[#Headers],[Number of Perferated Slats]],Table2[#Headers],0),0)</f>
        <v>0</v>
      </c>
      <c r="AR680" s="2">
        <f>VLOOKUP([jobnumber],OvalData[],MATCH(Table2[[#Headers],[First Preferated Slat From End]],Table2[#Headers],0),0)</f>
        <v>0</v>
      </c>
      <c r="AS680" s="2">
        <f>VLOOKUP([jobnumber],OvalData[],MATCH(Table2[[#Headers],[First Preferated Slat From Bottom]],Table2[#Headers],0),0)</f>
        <v>0</v>
      </c>
      <c r="AT680" s="2">
        <f>VLOOKUP([jobnumber],OvalData[],MATCH(Table2[[#Headers],[Total Number of Slats]],Table2[#Headers],0),0)</f>
        <v>51</v>
      </c>
      <c r="AU680" s="2">
        <f>VLOOKUP([jobnumber],OvalData[],MATCH(Table2[[#Headers],[Bottom Bar Slope]],Table2[#Headers],0),0)</f>
        <v>0</v>
      </c>
      <c r="AV680" s="2">
        <f>VLOOKUP([jobnumber],OvalData[],MATCH(Table2[[#Headers],[Bottom Bar Weight]],Table2[#Headers],0),0)</f>
        <v>80.5</v>
      </c>
      <c r="AW680" s="2" t="str">
        <f>VLOOKUP([jobnumber],OvalData[],MATCH(Table2[[#Headers],[Outer Spring Gage]],Table2[#Headers],0),0)</f>
        <v>Null</v>
      </c>
      <c r="AX680" s="2" t="str">
        <f>VLOOKUP([jobnumber],OvalData[],MATCH(Table2[[#Headers],[Outer Spring OD]],Table2[#Headers],0),0)</f>
        <v>Null</v>
      </c>
      <c r="AY680" s="2" t="str">
        <f>VLOOKUP([jobnumber],OvalData[],MATCH(Table2[[#Headers],[Outer Spring Length]],Table2[#Headers],0),0)</f>
        <v>Null</v>
      </c>
      <c r="AZ680" s="2" t="str">
        <f>VLOOKUP([jobnumber],OvalData[],MATCH(Table2[[#Headers],[Outer Spring Stretch]],Table2[#Headers],0),0)</f>
        <v>Null</v>
      </c>
      <c r="BA680" s="2" t="str">
        <f>VLOOKUP([jobnumber],OvalData[],MATCH(Table2[[#Headers],[Outer Spring Torque]],Table2[#Headers],0),0)</f>
        <v>Null</v>
      </c>
      <c r="BB680" s="2" t="str">
        <f>VLOOKUP([jobnumber],OvalData[],MATCH(Table2[[#Headers],[Outer Spring Max Turns]],Table2[#Headers],0),0)</f>
        <v>Null</v>
      </c>
      <c r="BC680" s="2" t="str">
        <f>VLOOKUP([jobnumber],OvalData[],MATCH(Table2[[#Headers],[Outer Spring Weight]],Table2[#Headers],0),0)</f>
        <v>Null</v>
      </c>
      <c r="BD680" s="2" t="str">
        <f>VLOOKUP([jobnumber],OvalData[],MATCH(Table2[[#Headers],[Inner Spring Gage]],Table2[#Headers],0),0)</f>
        <v>Null</v>
      </c>
      <c r="BE680" s="2" t="str">
        <f>VLOOKUP([jobnumber],OvalData[],MATCH(Table2[[#Headers],[Inner Spring OD]],Table2[#Headers],0),0)</f>
        <v>Null</v>
      </c>
      <c r="BF680" s="2" t="str">
        <f>VLOOKUP([jobnumber],OvalData[],MATCH(Table2[[#Headers],[Inner Spring Length]],Table2[#Headers],0),0)</f>
        <v>Null</v>
      </c>
      <c r="BG680" s="2" t="str">
        <f>VLOOKUP([jobnumber],OvalData[],MATCH(Table2[[#Headers],[Inner Spring Stretch]],Table2[#Headers],0),0)</f>
        <v>Null</v>
      </c>
      <c r="BH680" s="2" t="str">
        <f>VLOOKUP([jobnumber],OvalData[],MATCH(Table2[[#Headers],[Inner Spring Torque]],Table2[#Headers],0),0)</f>
        <v>Null</v>
      </c>
      <c r="BI680" s="2" t="str">
        <f>VLOOKUP([jobnumber],OvalData[],MATCH(Table2[[#Headers],[Inner Spring Max Turns]],Table2[#Headers],0),0)</f>
        <v>Null</v>
      </c>
      <c r="BJ680" s="2" t="str">
        <f>VLOOKUP([jobnumber],OvalData[],MATCH(Table2[[#Headers],[Inner Spring Weight]],Table2[#Headers],0),0)</f>
        <v>Null</v>
      </c>
      <c r="BK680" s="2">
        <f>VLOOKUP([jobnumber],OvalData[],MATCH(Table2[[#Headers],[Cycles]],Table2[#Headers],0),0)</f>
        <v>0</v>
      </c>
      <c r="BL680" s="2">
        <f>VLOOKUP([jobnumber],OvalData[],MATCH(Table2[[#Headers],[Total Spring Torque]],Table2[#Headers],0),0)</f>
        <v>0</v>
      </c>
      <c r="BM680" s="2">
        <f>VLOOKUP([jobnumber],OvalData[],MATCH(Table2[[#Headers],[Total Spring Weight]],Table2[#Headers],0),0)</f>
        <v>0</v>
      </c>
      <c r="BN680" s="2">
        <f>VLOOKUP([jobnumber],OvalData[],MATCH(Table2[[#Headers],[Pipe Weight]],Table2[#Headers],0),0)</f>
        <v>688.24239999999998</v>
      </c>
      <c r="BO680" s="2">
        <f>VLOOKUP([jobnumber],OvalData[],MATCH(Table2[[#Headers],[Max Pipe Deflection]],Table2[#Headers],0),0)</f>
        <v>2309</v>
      </c>
      <c r="BP680" s="2">
        <f>VLOOKUP([jobnumber],OvalData[],MATCH(Table2[[#Headers],[Number Non-Insulated Wrap Slats]],Table2[#Headers],0),0)</f>
        <v>0</v>
      </c>
      <c r="BQ680" s="2">
        <f>VLOOKUP([jobnumber],OvalData[],MATCH(Table2[[#Headers],[Number of Insolated Top Slats]],Table2[#Headers],0),0)</f>
        <v>45</v>
      </c>
      <c r="BR680" s="2">
        <f>VLOOKUP([jobnumber],OvalData[],MATCH(Table2[[#Headers],[Insolated Total Slats]],Table2[#Headers],0),0)</f>
        <v>45</v>
      </c>
      <c r="BS680" s="2">
        <f>VLOOKUP([jobnumber],OvalData[],MATCH(Table2[[#Headers],[Number of Slats]],Table2[#Headers],0),0)</f>
        <v>44.69</v>
      </c>
      <c r="BT680" s="2">
        <f>VLOOKUP([jobnumber],OvalData[],MATCH(Table2[[#Headers],[Wrap]],Table2[#Headers],0),0)</f>
        <v>0</v>
      </c>
      <c r="BU680" s="2">
        <f>VLOOKUP([jobnumber],OvalData[],MATCH(Table2[[#Headers],[Wall Angle Thickness]],Table2[#Headers],0),0)</f>
        <v>0</v>
      </c>
      <c r="BV680" s="2">
        <f>VLOOKUP([jobnumber],OvalData[],MATCH(Table2[[#Headers],[windlocks]],Table2[#Headers],0),0)</f>
        <v>0</v>
      </c>
      <c r="BW680" s="2" t="str">
        <f>VLOOKUP([jobnumber],OvalData[],MATCH(Table2[[#Headers],[bottombartype]],Table2[#Headers],0),0)</f>
        <v>SPECIAL</v>
      </c>
      <c r="BX680" s="2">
        <f>VLOOKUP([jobnumber],OvalData[],MATCH(Table2[[#Headers],[endlockweight]],Table2[#Headers],0),0)</f>
        <v>0.17</v>
      </c>
      <c r="BY680" s="2">
        <f>VLOOKUP([jobnumber],OvalData[],MATCH(Table2[[#Headers],[Endlock Total Weight]],Table2[#Headers],0),0)</f>
        <v>7.5972999999999997</v>
      </c>
      <c r="BZ680" s="2">
        <f>VLOOKUP([jobnumber],OvalData[],MATCH(Table2[[#Headers],[Grille Weight]],Table2[#Headers],0),0)</f>
        <v>0</v>
      </c>
      <c r="CA680" s="2">
        <f>VLOOKUP([jobnumber],OvalData[],MATCH(Table2[[#Headers],[barrelrings]],Table2[#Headers],0),0)</f>
        <v>1</v>
      </c>
    </row>
    <row r="681" spans="2:79">
      <c r="B681" s="2" t="str">
        <f>VLOOKUP([jobnumber],OvalData[],MATCH(Table2[[#Headers],[Hand]],Table2[#Headers],0),0)</f>
        <v>RH</v>
      </c>
      <c r="C681" s="2" t="str">
        <f>VLOOKUP([jobnumber],OvalData[],MATCH(Table2[[#Headers],[Model]],Table2[#Headers],0),0)</f>
        <v>SFMPP</v>
      </c>
      <c r="D681" s="2" t="str">
        <f>VLOOKUP([jobnumber],OvalData[],MATCH(Table2[[#Headers],[width]],Table2[#Headers],0),0)</f>
        <v xml:space="preserve"> 18 ft.- 2"</v>
      </c>
      <c r="E681" s="2" t="str">
        <f>VLOOKUP([jobnumber],OvalData[],MATCH(Table2[[#Headers],[stopheight]],Table2[#Headers],0),0)</f>
        <v xml:space="preserve"> 10 ft.- 0"</v>
      </c>
      <c r="F681" s="2" t="str">
        <f>VLOOKUP([jobnumber],OvalData[],MATCH(Table2[[#Headers],[Between Brackets]],Table2[#Headers],0),0)</f>
        <v xml:space="preserve"> 18 ft.- 7 7/ 8"</v>
      </c>
      <c r="G681" s="2" t="str">
        <f>VLOOKUP([jobnumber],OvalData[],MATCH(Table2[[#Headers],[shell]],Table2[#Headers],0),0)</f>
        <v>6 INCH TUBE</v>
      </c>
      <c r="H681" s="2" t="str">
        <f>VLOOKUP([jobnumber],OvalData[],MATCH(Table2[[#Headers],[pipewidth]],Table2[#Headers],0),0)</f>
        <v xml:space="preserve"> 18 ft.- 1 3/ 8"</v>
      </c>
      <c r="I681" s="2">
        <f>VLOOKUP([jobnumber],OvalData[],MATCH(Table2[[#Headers],[Support Tubes]],Table2[#Headers],0),0)</f>
        <v>0</v>
      </c>
      <c r="J681" s="2">
        <f>VLOOKUP([jobnumber],OvalData[],MATCH(Table2[[#Headers],[Upset]],Table2[#Headers],0),0)</f>
        <v>2</v>
      </c>
      <c r="K681" s="2" t="str">
        <f>VLOOKUP([jobnumber],OvalData[],MATCH(Table2[[#Headers],[Guide Type]],Table2[#Headers],0),0)</f>
        <v>SN2-4 5/8-E</v>
      </c>
      <c r="L681" s="2" t="str">
        <f>VLOOKUP([jobnumber],OvalData[],MATCH(Table2[[#Headers],[Wall Angle]],Table2[#Headers],0),0)</f>
        <v xml:space="preserve"> 11 ft.- 8"</v>
      </c>
      <c r="M681" s="2" t="str">
        <f>VLOOKUP([jobnumber],OvalData[],MATCH(Table2[[#Headers],[Middle Angle]],Table2[#Headers],0),0)</f>
        <v xml:space="preserve"> 10 ft.- 4 1/ 2"</v>
      </c>
      <c r="N681" s="2" t="str">
        <f>VLOOKUP([jobnumber],OvalData[],MATCH(Table2[[#Headers],[Front Angle]],Table2[#Headers],0),0)</f>
        <v xml:space="preserve"> 10 ft.- 3"</v>
      </c>
      <c r="O681" s="2">
        <f>VLOOKUP([jobnumber],OvalData[],MATCH(Table2[[#Headers],[Pipe Center Line]],Table2[#Headers],0),0)</f>
        <v>131</v>
      </c>
      <c r="P681" s="2">
        <f>VLOOKUP([jobnumber],OvalData[],MATCH(Table2[[#Headers],[Heat Expansion Gap]],Table2[#Headers],0),0)</f>
        <v>0</v>
      </c>
      <c r="Q681" s="2">
        <f>VLOOKUP([jobnumber],OvalData[],MATCH(Table2[[#Headers],[Hanging Weight Closed]],Table2[#Headers],0),0)</f>
        <v>795</v>
      </c>
      <c r="R681" s="2">
        <f>VLOOKUP([jobnumber],OvalData[],MATCH(Table2[[#Headers],[Hanging Weight Open]],Table2[#Headers],0),0)</f>
        <v>140</v>
      </c>
      <c r="S681" s="2">
        <f>VLOOKUP([jobnumber],OvalData[],MATCH(Table2[[#Headers],[Initial Lever Arm]],Table2[#Headers],0),0)</f>
        <v>4.25</v>
      </c>
      <c r="T681" s="2">
        <f>VLOOKUP([jobnumber],OvalData[],MATCH(Table2[[#Headers],[Turns to Raise]],Table2[#Headers],0),0)</f>
        <v>3.5859999999999999</v>
      </c>
      <c r="U681" s="2">
        <f>VLOOKUP([jobnumber],OvalData[],MATCH(Table2[[#Headers],[Final Lever Arm]],Table2[#Headers],0),0)</f>
        <v>6.37</v>
      </c>
      <c r="V681" s="2">
        <f>VLOOKUP([jobnumber],OvalData[],MATCH(Table2[[#Headers],[Torque Required Closed]],Table2[#Headers],0),0)</f>
        <v>3377.9</v>
      </c>
      <c r="W681" s="2">
        <f>VLOOKUP([jobnumber],OvalData[],MATCH(Table2[[#Headers],[Torque Required Open]],Table2[#Headers],0),0)</f>
        <v>892</v>
      </c>
      <c r="X681" s="2">
        <f>VLOOKUP([jobnumber],OvalData[],MATCH(Table2[[#Headers],[Pre Turns]],Table2[#Headers],0),0)</f>
        <v>1.3332999999999999</v>
      </c>
      <c r="Y681" s="2">
        <f>VLOOKUP([jobnumber],OvalData[],MATCH(Table2[[#Headers],[Required Torque Per Turn]],Table2[#Headers],0),0)</f>
        <v>688</v>
      </c>
      <c r="Z681" s="2">
        <f>VLOOKUP([jobnumber],OvalData[],MATCH(Table2[[#Headers],[Total Turns]],Table2[#Headers],0),0)</f>
        <v>4.91</v>
      </c>
      <c r="AA681" s="2">
        <f>VLOOKUP([jobnumber],OvalData[],MATCH(Table2[[#Headers],[Grille Vision Section]],Table2[#Headers],0),0)</f>
        <v>0</v>
      </c>
      <c r="AB681" s="2">
        <f>VLOOKUP([jobnumber],OvalData[],MATCH(Table2[[#Headers],[Grille Amount]],Table2[#Headers],0),0)</f>
        <v>0</v>
      </c>
      <c r="AC681" s="2">
        <f>VLOOKUP([jobnumber],OvalData[],MATCH(Table2[[#Headers],[Grille Center]],Table2[#Headers],0),0)</f>
        <v>0</v>
      </c>
      <c r="AD681" s="2">
        <f>VLOOKUP([jobnumber],OvalData[],MATCH(Table2[[#Headers],[Grille Pattern]],Table2[#Headers],0),0)</f>
        <v>0</v>
      </c>
      <c r="AE681" s="2">
        <f>VLOOKUP([jobnumber],OvalData[],MATCH(Table2[[#Headers],[Grille First Tube]],Table2[#Headers],0),0)</f>
        <v>0</v>
      </c>
      <c r="AF681" s="2">
        <f>VLOOKUP([jobnumber],OvalData[],MATCH(Table2[[#Headers],[Grille Standard Tube]],Table2[#Headers],0),0)</f>
        <v>0</v>
      </c>
      <c r="AG681" s="2">
        <f>VLOOKUP([jobnumber],OvalData[],MATCH(Table2[[#Headers],[Grille Total Links]],Table2[#Headers],0),0)</f>
        <v>0</v>
      </c>
      <c r="AH681" s="2">
        <f>VLOOKUP([jobnumber],OvalData[],MATCH(Table2[[#Headers],[Grille Rods]],Table2[#Headers],0),0)</f>
        <v>0</v>
      </c>
      <c r="AI681" s="2">
        <f>VLOOKUP([jobnumber],OvalData[],MATCH(Table2[[#Headers],[Grille Rod Length]],Table2[#Headers],0),0)</f>
        <v>0</v>
      </c>
      <c r="AJ681" s="2">
        <f>VLOOKUP([jobnumber],OvalData[],MATCH(Table2[[#Headers],[slattype]],Table2[#Headers],0),0)</f>
        <v>2</v>
      </c>
      <c r="AK681" s="2">
        <f>VLOOKUP([jobnumber],OvalData[],MATCH(Table2[[#Headers],[slatgage]],Table2[#Headers],0),0)</f>
        <v>18</v>
      </c>
      <c r="AL681" s="2">
        <f>VLOOKUP([jobnumber],OvalData[],MATCH(Table2[[#Headers],[Numer of Top Slats]],Table2[#Headers],0),0)</f>
        <v>0</v>
      </c>
      <c r="AM681" s="2">
        <f>VLOOKUP([jobnumber],OvalData[],MATCH(Table2[[#Headers],[Number of Bottom Slats]],Table2[#Headers],0),0)</f>
        <v>0</v>
      </c>
      <c r="AN681" s="2">
        <f>VLOOKUP([jobnumber],OvalData[],MATCH(Table2[[#Headers],[Solid Bottom Height]],Table2[#Headers],0),0)</f>
        <v>0</v>
      </c>
      <c r="AO681" s="2" t="str">
        <f>VLOOKUP([jobnumber],OvalData[],MATCH(Table2[[#Headers],[slatlength]],Table2[#Headers],0),0)</f>
        <v xml:space="preserve"> 18 ft.- 5 7/ 8"</v>
      </c>
      <c r="AP681" s="2">
        <f>VLOOKUP([jobnumber],OvalData[],MATCH(Table2[[#Headers],[Bottom Slat Length]],Table2[#Headers],0),0)</f>
        <v>0</v>
      </c>
      <c r="AQ681" s="2">
        <f>VLOOKUP([jobnumber],OvalData[],MATCH(Table2[[#Headers],[Number of Perferated Slats]],Table2[#Headers],0),0)</f>
        <v>0</v>
      </c>
      <c r="AR681" s="2">
        <f>VLOOKUP([jobnumber],OvalData[],MATCH(Table2[[#Headers],[First Preferated Slat From End]],Table2[#Headers],0),0)</f>
        <v>0</v>
      </c>
      <c r="AS681" s="2">
        <f>VLOOKUP([jobnumber],OvalData[],MATCH(Table2[[#Headers],[First Preferated Slat From Bottom]],Table2[#Headers],0),0)</f>
        <v>0</v>
      </c>
      <c r="AT681" s="2">
        <f>VLOOKUP([jobnumber],OvalData[],MATCH(Table2[[#Headers],[Total Number of Slats]],Table2[#Headers],0),0)</f>
        <v>51</v>
      </c>
      <c r="AU681" s="2">
        <f>VLOOKUP([jobnumber],OvalData[],MATCH(Table2[[#Headers],[Bottom Bar Slope]],Table2[#Headers],0),0)</f>
        <v>0</v>
      </c>
      <c r="AV681" s="2">
        <f>VLOOKUP([jobnumber],OvalData[],MATCH(Table2[[#Headers],[Bottom Bar Weight]],Table2[#Headers],0),0)</f>
        <v>80.5</v>
      </c>
      <c r="AW681" s="2" t="str">
        <f>VLOOKUP([jobnumber],OvalData[],MATCH(Table2[[#Headers],[Outer Spring Gage]],Table2[#Headers],0),0)</f>
        <v>Null</v>
      </c>
      <c r="AX681" s="2" t="str">
        <f>VLOOKUP([jobnumber],OvalData[],MATCH(Table2[[#Headers],[Outer Spring OD]],Table2[#Headers],0),0)</f>
        <v>Null</v>
      </c>
      <c r="AY681" s="2" t="str">
        <f>VLOOKUP([jobnumber],OvalData[],MATCH(Table2[[#Headers],[Outer Spring Length]],Table2[#Headers],0),0)</f>
        <v>Null</v>
      </c>
      <c r="AZ681" s="2" t="str">
        <f>VLOOKUP([jobnumber],OvalData[],MATCH(Table2[[#Headers],[Outer Spring Stretch]],Table2[#Headers],0),0)</f>
        <v>Null</v>
      </c>
      <c r="BA681" s="2" t="str">
        <f>VLOOKUP([jobnumber],OvalData[],MATCH(Table2[[#Headers],[Outer Spring Torque]],Table2[#Headers],0),0)</f>
        <v>Null</v>
      </c>
      <c r="BB681" s="2" t="str">
        <f>VLOOKUP([jobnumber],OvalData[],MATCH(Table2[[#Headers],[Outer Spring Max Turns]],Table2[#Headers],0),0)</f>
        <v>Null</v>
      </c>
      <c r="BC681" s="2" t="str">
        <f>VLOOKUP([jobnumber],OvalData[],MATCH(Table2[[#Headers],[Outer Spring Weight]],Table2[#Headers],0),0)</f>
        <v>Null</v>
      </c>
      <c r="BD681" s="2" t="str">
        <f>VLOOKUP([jobnumber],OvalData[],MATCH(Table2[[#Headers],[Inner Spring Gage]],Table2[#Headers],0),0)</f>
        <v>Null</v>
      </c>
      <c r="BE681" s="2" t="str">
        <f>VLOOKUP([jobnumber],OvalData[],MATCH(Table2[[#Headers],[Inner Spring OD]],Table2[#Headers],0),0)</f>
        <v>Null</v>
      </c>
      <c r="BF681" s="2" t="str">
        <f>VLOOKUP([jobnumber],OvalData[],MATCH(Table2[[#Headers],[Inner Spring Length]],Table2[#Headers],0),0)</f>
        <v>Null</v>
      </c>
      <c r="BG681" s="2" t="str">
        <f>VLOOKUP([jobnumber],OvalData[],MATCH(Table2[[#Headers],[Inner Spring Stretch]],Table2[#Headers],0),0)</f>
        <v>Null</v>
      </c>
      <c r="BH681" s="2" t="str">
        <f>VLOOKUP([jobnumber],OvalData[],MATCH(Table2[[#Headers],[Inner Spring Torque]],Table2[#Headers],0),0)</f>
        <v>Null</v>
      </c>
      <c r="BI681" s="2" t="str">
        <f>VLOOKUP([jobnumber],OvalData[],MATCH(Table2[[#Headers],[Inner Spring Max Turns]],Table2[#Headers],0),0)</f>
        <v>Null</v>
      </c>
      <c r="BJ681" s="2" t="str">
        <f>VLOOKUP([jobnumber],OvalData[],MATCH(Table2[[#Headers],[Inner Spring Weight]],Table2[#Headers],0),0)</f>
        <v>Null</v>
      </c>
      <c r="BK681" s="2">
        <f>VLOOKUP([jobnumber],OvalData[],MATCH(Table2[[#Headers],[Cycles]],Table2[#Headers],0),0)</f>
        <v>0</v>
      </c>
      <c r="BL681" s="2">
        <f>VLOOKUP([jobnumber],OvalData[],MATCH(Table2[[#Headers],[Total Spring Torque]],Table2[#Headers],0),0)</f>
        <v>0</v>
      </c>
      <c r="BM681" s="2">
        <f>VLOOKUP([jobnumber],OvalData[],MATCH(Table2[[#Headers],[Total Spring Weight]],Table2[#Headers],0),0)</f>
        <v>0</v>
      </c>
      <c r="BN681" s="2">
        <f>VLOOKUP([jobnumber],OvalData[],MATCH(Table2[[#Headers],[Pipe Weight]],Table2[#Headers],0),0)</f>
        <v>688.24239999999998</v>
      </c>
      <c r="BO681" s="2">
        <f>VLOOKUP([jobnumber],OvalData[],MATCH(Table2[[#Headers],[Max Pipe Deflection]],Table2[#Headers],0),0)</f>
        <v>2309</v>
      </c>
      <c r="BP681" s="2">
        <f>VLOOKUP([jobnumber],OvalData[],MATCH(Table2[[#Headers],[Number Non-Insulated Wrap Slats]],Table2[#Headers],0),0)</f>
        <v>0</v>
      </c>
      <c r="BQ681" s="2">
        <f>VLOOKUP([jobnumber],OvalData[],MATCH(Table2[[#Headers],[Number of Insolated Top Slats]],Table2[#Headers],0),0)</f>
        <v>45</v>
      </c>
      <c r="BR681" s="2">
        <f>VLOOKUP([jobnumber],OvalData[],MATCH(Table2[[#Headers],[Insolated Total Slats]],Table2[#Headers],0),0)</f>
        <v>45</v>
      </c>
      <c r="BS681" s="2">
        <f>VLOOKUP([jobnumber],OvalData[],MATCH(Table2[[#Headers],[Number of Slats]],Table2[#Headers],0),0)</f>
        <v>44.69</v>
      </c>
      <c r="BT681" s="2">
        <f>VLOOKUP([jobnumber],OvalData[],MATCH(Table2[[#Headers],[Wrap]],Table2[#Headers],0),0)</f>
        <v>0</v>
      </c>
      <c r="BU681" s="2">
        <f>VLOOKUP([jobnumber],OvalData[],MATCH(Table2[[#Headers],[Wall Angle Thickness]],Table2[#Headers],0),0)</f>
        <v>0</v>
      </c>
      <c r="BV681" s="2">
        <f>VLOOKUP([jobnumber],OvalData[],MATCH(Table2[[#Headers],[windlocks]],Table2[#Headers],0),0)</f>
        <v>0</v>
      </c>
      <c r="BW681" s="2" t="str">
        <f>VLOOKUP([jobnumber],OvalData[],MATCH(Table2[[#Headers],[bottombartype]],Table2[#Headers],0),0)</f>
        <v>SPECIAL</v>
      </c>
      <c r="BX681" s="2">
        <f>VLOOKUP([jobnumber],OvalData[],MATCH(Table2[[#Headers],[endlockweight]],Table2[#Headers],0),0)</f>
        <v>0.17</v>
      </c>
      <c r="BY681" s="2">
        <f>VLOOKUP([jobnumber],OvalData[],MATCH(Table2[[#Headers],[Endlock Total Weight]],Table2[#Headers],0),0)</f>
        <v>7.5972999999999997</v>
      </c>
      <c r="BZ681" s="2">
        <f>VLOOKUP([jobnumber],OvalData[],MATCH(Table2[[#Headers],[Grille Weight]],Table2[#Headers],0),0)</f>
        <v>0</v>
      </c>
      <c r="CA681" s="2">
        <f>VLOOKUP([jobnumber],OvalData[],MATCH(Table2[[#Headers],[barrelrings]],Table2[#Headers],0),0)</f>
        <v>1</v>
      </c>
    </row>
    <row r="682" spans="2:79">
      <c r="B682" s="2" t="str">
        <f>VLOOKUP([jobnumber],OvalData[],MATCH(Table2[[#Headers],[Hand]],Table2[#Headers],0),0)</f>
        <v>RH</v>
      </c>
      <c r="C682" s="2" t="str">
        <f>VLOOKUP([jobnumber],OvalData[],MATCH(Table2[[#Headers],[Model]],Table2[#Headers],0),0)</f>
        <v>SFMPP</v>
      </c>
      <c r="D682" s="2" t="str">
        <f>VLOOKUP([jobnumber],OvalData[],MATCH(Table2[[#Headers],[width]],Table2[#Headers],0),0)</f>
        <v xml:space="preserve"> 18 ft.- 2"</v>
      </c>
      <c r="E682" s="2" t="str">
        <f>VLOOKUP([jobnumber],OvalData[],MATCH(Table2[[#Headers],[stopheight]],Table2[#Headers],0),0)</f>
        <v xml:space="preserve"> 10 ft.- 0"</v>
      </c>
      <c r="F682" s="2" t="str">
        <f>VLOOKUP([jobnumber],OvalData[],MATCH(Table2[[#Headers],[Between Brackets]],Table2[#Headers],0),0)</f>
        <v xml:space="preserve"> 18 ft.- 7 7/ 8"</v>
      </c>
      <c r="G682" s="2" t="str">
        <f>VLOOKUP([jobnumber],OvalData[],MATCH(Table2[[#Headers],[shell]],Table2[#Headers],0),0)</f>
        <v>6 INCH TUBE</v>
      </c>
      <c r="H682" s="2" t="str">
        <f>VLOOKUP([jobnumber],OvalData[],MATCH(Table2[[#Headers],[pipewidth]],Table2[#Headers],0),0)</f>
        <v xml:space="preserve"> 18 ft.- 1 3/ 8"</v>
      </c>
      <c r="I682" s="2">
        <f>VLOOKUP([jobnumber],OvalData[],MATCH(Table2[[#Headers],[Support Tubes]],Table2[#Headers],0),0)</f>
        <v>0</v>
      </c>
      <c r="J682" s="2">
        <f>VLOOKUP([jobnumber],OvalData[],MATCH(Table2[[#Headers],[Upset]],Table2[#Headers],0),0)</f>
        <v>2</v>
      </c>
      <c r="K682" s="2" t="str">
        <f>VLOOKUP([jobnumber],OvalData[],MATCH(Table2[[#Headers],[Guide Type]],Table2[#Headers],0),0)</f>
        <v>SN2-4 5/8-E</v>
      </c>
      <c r="L682" s="2" t="str">
        <f>VLOOKUP([jobnumber],OvalData[],MATCH(Table2[[#Headers],[Wall Angle]],Table2[#Headers],0),0)</f>
        <v xml:space="preserve"> 11 ft.- 8"</v>
      </c>
      <c r="M682" s="2" t="str">
        <f>VLOOKUP([jobnumber],OvalData[],MATCH(Table2[[#Headers],[Middle Angle]],Table2[#Headers],0),0)</f>
        <v xml:space="preserve"> 10 ft.- 4 1/ 2"</v>
      </c>
      <c r="N682" s="2" t="str">
        <f>VLOOKUP([jobnumber],OvalData[],MATCH(Table2[[#Headers],[Front Angle]],Table2[#Headers],0),0)</f>
        <v xml:space="preserve"> 10 ft.- 3"</v>
      </c>
      <c r="O682" s="2">
        <f>VLOOKUP([jobnumber],OvalData[],MATCH(Table2[[#Headers],[Pipe Center Line]],Table2[#Headers],0),0)</f>
        <v>131</v>
      </c>
      <c r="P682" s="2">
        <f>VLOOKUP([jobnumber],OvalData[],MATCH(Table2[[#Headers],[Heat Expansion Gap]],Table2[#Headers],0),0)</f>
        <v>0</v>
      </c>
      <c r="Q682" s="2">
        <f>VLOOKUP([jobnumber],OvalData[],MATCH(Table2[[#Headers],[Hanging Weight Closed]],Table2[#Headers],0),0)</f>
        <v>795</v>
      </c>
      <c r="R682" s="2">
        <f>VLOOKUP([jobnumber],OvalData[],MATCH(Table2[[#Headers],[Hanging Weight Open]],Table2[#Headers],0),0)</f>
        <v>140</v>
      </c>
      <c r="S682" s="2">
        <f>VLOOKUP([jobnumber],OvalData[],MATCH(Table2[[#Headers],[Initial Lever Arm]],Table2[#Headers],0),0)</f>
        <v>4.25</v>
      </c>
      <c r="T682" s="2">
        <f>VLOOKUP([jobnumber],OvalData[],MATCH(Table2[[#Headers],[Turns to Raise]],Table2[#Headers],0),0)</f>
        <v>3.5859999999999999</v>
      </c>
      <c r="U682" s="2">
        <f>VLOOKUP([jobnumber],OvalData[],MATCH(Table2[[#Headers],[Final Lever Arm]],Table2[#Headers],0),0)</f>
        <v>6.37</v>
      </c>
      <c r="V682" s="2">
        <f>VLOOKUP([jobnumber],OvalData[],MATCH(Table2[[#Headers],[Torque Required Closed]],Table2[#Headers],0),0)</f>
        <v>3377.9</v>
      </c>
      <c r="W682" s="2">
        <f>VLOOKUP([jobnumber],OvalData[],MATCH(Table2[[#Headers],[Torque Required Open]],Table2[#Headers],0),0)</f>
        <v>892</v>
      </c>
      <c r="X682" s="2">
        <f>VLOOKUP([jobnumber],OvalData[],MATCH(Table2[[#Headers],[Pre Turns]],Table2[#Headers],0),0)</f>
        <v>1.3332999999999999</v>
      </c>
      <c r="Y682" s="2">
        <f>VLOOKUP([jobnumber],OvalData[],MATCH(Table2[[#Headers],[Required Torque Per Turn]],Table2[#Headers],0),0)</f>
        <v>688</v>
      </c>
      <c r="Z682" s="2">
        <f>VLOOKUP([jobnumber],OvalData[],MATCH(Table2[[#Headers],[Total Turns]],Table2[#Headers],0),0)</f>
        <v>4.91</v>
      </c>
      <c r="AA682" s="2">
        <f>VLOOKUP([jobnumber],OvalData[],MATCH(Table2[[#Headers],[Grille Vision Section]],Table2[#Headers],0),0)</f>
        <v>0</v>
      </c>
      <c r="AB682" s="2">
        <f>VLOOKUP([jobnumber],OvalData[],MATCH(Table2[[#Headers],[Grille Amount]],Table2[#Headers],0),0)</f>
        <v>0</v>
      </c>
      <c r="AC682" s="2">
        <f>VLOOKUP([jobnumber],OvalData[],MATCH(Table2[[#Headers],[Grille Center]],Table2[#Headers],0),0)</f>
        <v>0</v>
      </c>
      <c r="AD682" s="2">
        <f>VLOOKUP([jobnumber],OvalData[],MATCH(Table2[[#Headers],[Grille Pattern]],Table2[#Headers],0),0)</f>
        <v>0</v>
      </c>
      <c r="AE682" s="2">
        <f>VLOOKUP([jobnumber],OvalData[],MATCH(Table2[[#Headers],[Grille First Tube]],Table2[#Headers],0),0)</f>
        <v>0</v>
      </c>
      <c r="AF682" s="2">
        <f>VLOOKUP([jobnumber],OvalData[],MATCH(Table2[[#Headers],[Grille Standard Tube]],Table2[#Headers],0),0)</f>
        <v>0</v>
      </c>
      <c r="AG682" s="2">
        <f>VLOOKUP([jobnumber],OvalData[],MATCH(Table2[[#Headers],[Grille Total Links]],Table2[#Headers],0),0)</f>
        <v>0</v>
      </c>
      <c r="AH682" s="2">
        <f>VLOOKUP([jobnumber],OvalData[],MATCH(Table2[[#Headers],[Grille Rods]],Table2[#Headers],0),0)</f>
        <v>0</v>
      </c>
      <c r="AI682" s="2">
        <f>VLOOKUP([jobnumber],OvalData[],MATCH(Table2[[#Headers],[Grille Rod Length]],Table2[#Headers],0),0)</f>
        <v>0</v>
      </c>
      <c r="AJ682" s="2">
        <f>VLOOKUP([jobnumber],OvalData[],MATCH(Table2[[#Headers],[slattype]],Table2[#Headers],0),0)</f>
        <v>2</v>
      </c>
      <c r="AK682" s="2">
        <f>VLOOKUP([jobnumber],OvalData[],MATCH(Table2[[#Headers],[slatgage]],Table2[#Headers],0),0)</f>
        <v>18</v>
      </c>
      <c r="AL682" s="2">
        <f>VLOOKUP([jobnumber],OvalData[],MATCH(Table2[[#Headers],[Numer of Top Slats]],Table2[#Headers],0),0)</f>
        <v>0</v>
      </c>
      <c r="AM682" s="2">
        <f>VLOOKUP([jobnumber],OvalData[],MATCH(Table2[[#Headers],[Number of Bottom Slats]],Table2[#Headers],0),0)</f>
        <v>0</v>
      </c>
      <c r="AN682" s="2">
        <f>VLOOKUP([jobnumber],OvalData[],MATCH(Table2[[#Headers],[Solid Bottom Height]],Table2[#Headers],0),0)</f>
        <v>0</v>
      </c>
      <c r="AO682" s="2" t="str">
        <f>VLOOKUP([jobnumber],OvalData[],MATCH(Table2[[#Headers],[slatlength]],Table2[#Headers],0),0)</f>
        <v xml:space="preserve"> 18 ft.- 5 7/ 8"</v>
      </c>
      <c r="AP682" s="2">
        <f>VLOOKUP([jobnumber],OvalData[],MATCH(Table2[[#Headers],[Bottom Slat Length]],Table2[#Headers],0),0)</f>
        <v>0</v>
      </c>
      <c r="AQ682" s="2">
        <f>VLOOKUP([jobnumber],OvalData[],MATCH(Table2[[#Headers],[Number of Perferated Slats]],Table2[#Headers],0),0)</f>
        <v>0</v>
      </c>
      <c r="AR682" s="2">
        <f>VLOOKUP([jobnumber],OvalData[],MATCH(Table2[[#Headers],[First Preferated Slat From End]],Table2[#Headers],0),0)</f>
        <v>0</v>
      </c>
      <c r="AS682" s="2">
        <f>VLOOKUP([jobnumber],OvalData[],MATCH(Table2[[#Headers],[First Preferated Slat From Bottom]],Table2[#Headers],0),0)</f>
        <v>0</v>
      </c>
      <c r="AT682" s="2">
        <f>VLOOKUP([jobnumber],OvalData[],MATCH(Table2[[#Headers],[Total Number of Slats]],Table2[#Headers],0),0)</f>
        <v>51</v>
      </c>
      <c r="AU682" s="2">
        <f>VLOOKUP([jobnumber],OvalData[],MATCH(Table2[[#Headers],[Bottom Bar Slope]],Table2[#Headers],0),0)</f>
        <v>0</v>
      </c>
      <c r="AV682" s="2">
        <f>VLOOKUP([jobnumber],OvalData[],MATCH(Table2[[#Headers],[Bottom Bar Weight]],Table2[#Headers],0),0)</f>
        <v>80.5</v>
      </c>
      <c r="AW682" s="2" t="str">
        <f>VLOOKUP([jobnumber],OvalData[],MATCH(Table2[[#Headers],[Outer Spring Gage]],Table2[#Headers],0),0)</f>
        <v>Null</v>
      </c>
      <c r="AX682" s="2" t="str">
        <f>VLOOKUP([jobnumber],OvalData[],MATCH(Table2[[#Headers],[Outer Spring OD]],Table2[#Headers],0),0)</f>
        <v>Null</v>
      </c>
      <c r="AY682" s="2" t="str">
        <f>VLOOKUP([jobnumber],OvalData[],MATCH(Table2[[#Headers],[Outer Spring Length]],Table2[#Headers],0),0)</f>
        <v>Null</v>
      </c>
      <c r="AZ682" s="2" t="str">
        <f>VLOOKUP([jobnumber],OvalData[],MATCH(Table2[[#Headers],[Outer Spring Stretch]],Table2[#Headers],0),0)</f>
        <v>Null</v>
      </c>
      <c r="BA682" s="2" t="str">
        <f>VLOOKUP([jobnumber],OvalData[],MATCH(Table2[[#Headers],[Outer Spring Torque]],Table2[#Headers],0),0)</f>
        <v>Null</v>
      </c>
      <c r="BB682" s="2" t="str">
        <f>VLOOKUP([jobnumber],OvalData[],MATCH(Table2[[#Headers],[Outer Spring Max Turns]],Table2[#Headers],0),0)</f>
        <v>Null</v>
      </c>
      <c r="BC682" s="2" t="str">
        <f>VLOOKUP([jobnumber],OvalData[],MATCH(Table2[[#Headers],[Outer Spring Weight]],Table2[#Headers],0),0)</f>
        <v>Null</v>
      </c>
      <c r="BD682" s="2" t="str">
        <f>VLOOKUP([jobnumber],OvalData[],MATCH(Table2[[#Headers],[Inner Spring Gage]],Table2[#Headers],0),0)</f>
        <v>Null</v>
      </c>
      <c r="BE682" s="2" t="str">
        <f>VLOOKUP([jobnumber],OvalData[],MATCH(Table2[[#Headers],[Inner Spring OD]],Table2[#Headers],0),0)</f>
        <v>Null</v>
      </c>
      <c r="BF682" s="2" t="str">
        <f>VLOOKUP([jobnumber],OvalData[],MATCH(Table2[[#Headers],[Inner Spring Length]],Table2[#Headers],0),0)</f>
        <v>Null</v>
      </c>
      <c r="BG682" s="2" t="str">
        <f>VLOOKUP([jobnumber],OvalData[],MATCH(Table2[[#Headers],[Inner Spring Stretch]],Table2[#Headers],0),0)</f>
        <v>Null</v>
      </c>
      <c r="BH682" s="2" t="str">
        <f>VLOOKUP([jobnumber],OvalData[],MATCH(Table2[[#Headers],[Inner Spring Torque]],Table2[#Headers],0),0)</f>
        <v>Null</v>
      </c>
      <c r="BI682" s="2" t="str">
        <f>VLOOKUP([jobnumber],OvalData[],MATCH(Table2[[#Headers],[Inner Spring Max Turns]],Table2[#Headers],0),0)</f>
        <v>Null</v>
      </c>
      <c r="BJ682" s="2" t="str">
        <f>VLOOKUP([jobnumber],OvalData[],MATCH(Table2[[#Headers],[Inner Spring Weight]],Table2[#Headers],0),0)</f>
        <v>Null</v>
      </c>
      <c r="BK682" s="2">
        <f>VLOOKUP([jobnumber],OvalData[],MATCH(Table2[[#Headers],[Cycles]],Table2[#Headers],0),0)</f>
        <v>0</v>
      </c>
      <c r="BL682" s="2">
        <f>VLOOKUP([jobnumber],OvalData[],MATCH(Table2[[#Headers],[Total Spring Torque]],Table2[#Headers],0),0)</f>
        <v>0</v>
      </c>
      <c r="BM682" s="2">
        <f>VLOOKUP([jobnumber],OvalData[],MATCH(Table2[[#Headers],[Total Spring Weight]],Table2[#Headers],0),0)</f>
        <v>0</v>
      </c>
      <c r="BN682" s="2">
        <f>VLOOKUP([jobnumber],OvalData[],MATCH(Table2[[#Headers],[Pipe Weight]],Table2[#Headers],0),0)</f>
        <v>688.24239999999998</v>
      </c>
      <c r="BO682" s="2">
        <f>VLOOKUP([jobnumber],OvalData[],MATCH(Table2[[#Headers],[Max Pipe Deflection]],Table2[#Headers],0),0)</f>
        <v>2309</v>
      </c>
      <c r="BP682" s="2">
        <f>VLOOKUP([jobnumber],OvalData[],MATCH(Table2[[#Headers],[Number Non-Insulated Wrap Slats]],Table2[#Headers],0),0)</f>
        <v>0</v>
      </c>
      <c r="BQ682" s="2">
        <f>VLOOKUP([jobnumber],OvalData[],MATCH(Table2[[#Headers],[Number of Insolated Top Slats]],Table2[#Headers],0),0)</f>
        <v>45</v>
      </c>
      <c r="BR682" s="2">
        <f>VLOOKUP([jobnumber],OvalData[],MATCH(Table2[[#Headers],[Insolated Total Slats]],Table2[#Headers],0),0)</f>
        <v>45</v>
      </c>
      <c r="BS682" s="2">
        <f>VLOOKUP([jobnumber],OvalData[],MATCH(Table2[[#Headers],[Number of Slats]],Table2[#Headers],0),0)</f>
        <v>44.69</v>
      </c>
      <c r="BT682" s="2">
        <f>VLOOKUP([jobnumber],OvalData[],MATCH(Table2[[#Headers],[Wrap]],Table2[#Headers],0),0)</f>
        <v>0</v>
      </c>
      <c r="BU682" s="2">
        <f>VLOOKUP([jobnumber],OvalData[],MATCH(Table2[[#Headers],[Wall Angle Thickness]],Table2[#Headers],0),0)</f>
        <v>0</v>
      </c>
      <c r="BV682" s="2">
        <f>VLOOKUP([jobnumber],OvalData[],MATCH(Table2[[#Headers],[windlocks]],Table2[#Headers],0),0)</f>
        <v>0</v>
      </c>
      <c r="BW682" s="2" t="str">
        <f>VLOOKUP([jobnumber],OvalData[],MATCH(Table2[[#Headers],[bottombartype]],Table2[#Headers],0),0)</f>
        <v>SPECIAL</v>
      </c>
      <c r="BX682" s="2">
        <f>VLOOKUP([jobnumber],OvalData[],MATCH(Table2[[#Headers],[endlockweight]],Table2[#Headers],0),0)</f>
        <v>0.17</v>
      </c>
      <c r="BY682" s="2">
        <f>VLOOKUP([jobnumber],OvalData[],MATCH(Table2[[#Headers],[Endlock Total Weight]],Table2[#Headers],0),0)</f>
        <v>7.5972999999999997</v>
      </c>
      <c r="BZ682" s="2">
        <f>VLOOKUP([jobnumber],OvalData[],MATCH(Table2[[#Headers],[Grille Weight]],Table2[#Headers],0),0)</f>
        <v>0</v>
      </c>
      <c r="CA682" s="2">
        <f>VLOOKUP([jobnumber],OvalData[],MATCH(Table2[[#Headers],[barrelrings]],Table2[#Headers],0),0)</f>
        <v>1</v>
      </c>
    </row>
    <row r="683" spans="2:79">
      <c r="B683" s="2" t="str">
        <f>VLOOKUP([jobnumber],OvalData[],MATCH(Table2[[#Headers],[Hand]],Table2[#Headers],0),0)</f>
        <v>RH</v>
      </c>
      <c r="C683" s="2" t="str">
        <f>VLOOKUP([jobnumber],OvalData[],MATCH(Table2[[#Headers],[Model]],Table2[#Headers],0),0)</f>
        <v>SFMPP</v>
      </c>
      <c r="D683" s="2" t="str">
        <f>VLOOKUP([jobnumber],OvalData[],MATCH(Table2[[#Headers],[width]],Table2[#Headers],0),0)</f>
        <v xml:space="preserve"> 18 ft.- 2"</v>
      </c>
      <c r="E683" s="2" t="str">
        <f>VLOOKUP([jobnumber],OvalData[],MATCH(Table2[[#Headers],[stopheight]],Table2[#Headers],0),0)</f>
        <v xml:space="preserve"> 10 ft.- 0"</v>
      </c>
      <c r="F683" s="2" t="str">
        <f>VLOOKUP([jobnumber],OvalData[],MATCH(Table2[[#Headers],[Between Brackets]],Table2[#Headers],0),0)</f>
        <v xml:space="preserve"> 18 ft.- 7 7/ 8"</v>
      </c>
      <c r="G683" s="2" t="str">
        <f>VLOOKUP([jobnumber],OvalData[],MATCH(Table2[[#Headers],[shell]],Table2[#Headers],0),0)</f>
        <v>6 INCH TUBE</v>
      </c>
      <c r="H683" s="2" t="str">
        <f>VLOOKUP([jobnumber],OvalData[],MATCH(Table2[[#Headers],[pipewidth]],Table2[#Headers],0),0)</f>
        <v xml:space="preserve"> 18 ft.- 1 3/ 8"</v>
      </c>
      <c r="I683" s="2">
        <f>VLOOKUP([jobnumber],OvalData[],MATCH(Table2[[#Headers],[Support Tubes]],Table2[#Headers],0),0)</f>
        <v>0</v>
      </c>
      <c r="J683" s="2">
        <f>VLOOKUP([jobnumber],OvalData[],MATCH(Table2[[#Headers],[Upset]],Table2[#Headers],0),0)</f>
        <v>2</v>
      </c>
      <c r="K683" s="2" t="str">
        <f>VLOOKUP([jobnumber],OvalData[],MATCH(Table2[[#Headers],[Guide Type]],Table2[#Headers],0),0)</f>
        <v>SN2-4 5/8-E</v>
      </c>
      <c r="L683" s="2" t="str">
        <f>VLOOKUP([jobnumber],OvalData[],MATCH(Table2[[#Headers],[Wall Angle]],Table2[#Headers],0),0)</f>
        <v xml:space="preserve"> 11 ft.- 8"</v>
      </c>
      <c r="M683" s="2" t="str">
        <f>VLOOKUP([jobnumber],OvalData[],MATCH(Table2[[#Headers],[Middle Angle]],Table2[#Headers],0),0)</f>
        <v xml:space="preserve"> 10 ft.- 4 1/ 2"</v>
      </c>
      <c r="N683" s="2" t="str">
        <f>VLOOKUP([jobnumber],OvalData[],MATCH(Table2[[#Headers],[Front Angle]],Table2[#Headers],0),0)</f>
        <v xml:space="preserve"> 10 ft.- 3"</v>
      </c>
      <c r="O683" s="2">
        <f>VLOOKUP([jobnumber],OvalData[],MATCH(Table2[[#Headers],[Pipe Center Line]],Table2[#Headers],0),0)</f>
        <v>131</v>
      </c>
      <c r="P683" s="2">
        <f>VLOOKUP([jobnumber],OvalData[],MATCH(Table2[[#Headers],[Heat Expansion Gap]],Table2[#Headers],0),0)</f>
        <v>0</v>
      </c>
      <c r="Q683" s="2">
        <f>VLOOKUP([jobnumber],OvalData[],MATCH(Table2[[#Headers],[Hanging Weight Closed]],Table2[#Headers],0),0)</f>
        <v>795</v>
      </c>
      <c r="R683" s="2">
        <f>VLOOKUP([jobnumber],OvalData[],MATCH(Table2[[#Headers],[Hanging Weight Open]],Table2[#Headers],0),0)</f>
        <v>140</v>
      </c>
      <c r="S683" s="2">
        <f>VLOOKUP([jobnumber],OvalData[],MATCH(Table2[[#Headers],[Initial Lever Arm]],Table2[#Headers],0),0)</f>
        <v>4.25</v>
      </c>
      <c r="T683" s="2">
        <f>VLOOKUP([jobnumber],OvalData[],MATCH(Table2[[#Headers],[Turns to Raise]],Table2[#Headers],0),0)</f>
        <v>3.5859999999999999</v>
      </c>
      <c r="U683" s="2">
        <f>VLOOKUP([jobnumber],OvalData[],MATCH(Table2[[#Headers],[Final Lever Arm]],Table2[#Headers],0),0)</f>
        <v>6.37</v>
      </c>
      <c r="V683" s="2">
        <f>VLOOKUP([jobnumber],OvalData[],MATCH(Table2[[#Headers],[Torque Required Closed]],Table2[#Headers],0),0)</f>
        <v>3377.9</v>
      </c>
      <c r="W683" s="2">
        <f>VLOOKUP([jobnumber],OvalData[],MATCH(Table2[[#Headers],[Torque Required Open]],Table2[#Headers],0),0)</f>
        <v>892</v>
      </c>
      <c r="X683" s="2">
        <f>VLOOKUP([jobnumber],OvalData[],MATCH(Table2[[#Headers],[Pre Turns]],Table2[#Headers],0),0)</f>
        <v>1.3332999999999999</v>
      </c>
      <c r="Y683" s="2">
        <f>VLOOKUP([jobnumber],OvalData[],MATCH(Table2[[#Headers],[Required Torque Per Turn]],Table2[#Headers],0),0)</f>
        <v>688</v>
      </c>
      <c r="Z683" s="2">
        <f>VLOOKUP([jobnumber],OvalData[],MATCH(Table2[[#Headers],[Total Turns]],Table2[#Headers],0),0)</f>
        <v>4.91</v>
      </c>
      <c r="AA683" s="2">
        <f>VLOOKUP([jobnumber],OvalData[],MATCH(Table2[[#Headers],[Grille Vision Section]],Table2[#Headers],0),0)</f>
        <v>0</v>
      </c>
      <c r="AB683" s="2">
        <f>VLOOKUP([jobnumber],OvalData[],MATCH(Table2[[#Headers],[Grille Amount]],Table2[#Headers],0),0)</f>
        <v>0</v>
      </c>
      <c r="AC683" s="2">
        <f>VLOOKUP([jobnumber],OvalData[],MATCH(Table2[[#Headers],[Grille Center]],Table2[#Headers],0),0)</f>
        <v>0</v>
      </c>
      <c r="AD683" s="2">
        <f>VLOOKUP([jobnumber],OvalData[],MATCH(Table2[[#Headers],[Grille Pattern]],Table2[#Headers],0),0)</f>
        <v>0</v>
      </c>
      <c r="AE683" s="2">
        <f>VLOOKUP([jobnumber],OvalData[],MATCH(Table2[[#Headers],[Grille First Tube]],Table2[#Headers],0),0)</f>
        <v>0</v>
      </c>
      <c r="AF683" s="2">
        <f>VLOOKUP([jobnumber],OvalData[],MATCH(Table2[[#Headers],[Grille Standard Tube]],Table2[#Headers],0),0)</f>
        <v>0</v>
      </c>
      <c r="AG683" s="2">
        <f>VLOOKUP([jobnumber],OvalData[],MATCH(Table2[[#Headers],[Grille Total Links]],Table2[#Headers],0),0)</f>
        <v>0</v>
      </c>
      <c r="AH683" s="2">
        <f>VLOOKUP([jobnumber],OvalData[],MATCH(Table2[[#Headers],[Grille Rods]],Table2[#Headers],0),0)</f>
        <v>0</v>
      </c>
      <c r="AI683" s="2">
        <f>VLOOKUP([jobnumber],OvalData[],MATCH(Table2[[#Headers],[Grille Rod Length]],Table2[#Headers],0),0)</f>
        <v>0</v>
      </c>
      <c r="AJ683" s="2">
        <f>VLOOKUP([jobnumber],OvalData[],MATCH(Table2[[#Headers],[slattype]],Table2[#Headers],0),0)</f>
        <v>2</v>
      </c>
      <c r="AK683" s="2">
        <f>VLOOKUP([jobnumber],OvalData[],MATCH(Table2[[#Headers],[slatgage]],Table2[#Headers],0),0)</f>
        <v>18</v>
      </c>
      <c r="AL683" s="2">
        <f>VLOOKUP([jobnumber],OvalData[],MATCH(Table2[[#Headers],[Numer of Top Slats]],Table2[#Headers],0),0)</f>
        <v>0</v>
      </c>
      <c r="AM683" s="2">
        <f>VLOOKUP([jobnumber],OvalData[],MATCH(Table2[[#Headers],[Number of Bottom Slats]],Table2[#Headers],0),0)</f>
        <v>0</v>
      </c>
      <c r="AN683" s="2">
        <f>VLOOKUP([jobnumber],OvalData[],MATCH(Table2[[#Headers],[Solid Bottom Height]],Table2[#Headers],0),0)</f>
        <v>0</v>
      </c>
      <c r="AO683" s="2" t="str">
        <f>VLOOKUP([jobnumber],OvalData[],MATCH(Table2[[#Headers],[slatlength]],Table2[#Headers],0),0)</f>
        <v xml:space="preserve"> 18 ft.- 5 7/ 8"</v>
      </c>
      <c r="AP683" s="2">
        <f>VLOOKUP([jobnumber],OvalData[],MATCH(Table2[[#Headers],[Bottom Slat Length]],Table2[#Headers],0),0)</f>
        <v>0</v>
      </c>
      <c r="AQ683" s="2">
        <f>VLOOKUP([jobnumber],OvalData[],MATCH(Table2[[#Headers],[Number of Perferated Slats]],Table2[#Headers],0),0)</f>
        <v>0</v>
      </c>
      <c r="AR683" s="2">
        <f>VLOOKUP([jobnumber],OvalData[],MATCH(Table2[[#Headers],[First Preferated Slat From End]],Table2[#Headers],0),0)</f>
        <v>0</v>
      </c>
      <c r="AS683" s="2">
        <f>VLOOKUP([jobnumber],OvalData[],MATCH(Table2[[#Headers],[First Preferated Slat From Bottom]],Table2[#Headers],0),0)</f>
        <v>0</v>
      </c>
      <c r="AT683" s="2">
        <f>VLOOKUP([jobnumber],OvalData[],MATCH(Table2[[#Headers],[Total Number of Slats]],Table2[#Headers],0),0)</f>
        <v>51</v>
      </c>
      <c r="AU683" s="2">
        <f>VLOOKUP([jobnumber],OvalData[],MATCH(Table2[[#Headers],[Bottom Bar Slope]],Table2[#Headers],0),0)</f>
        <v>0</v>
      </c>
      <c r="AV683" s="2">
        <f>VLOOKUP([jobnumber],OvalData[],MATCH(Table2[[#Headers],[Bottom Bar Weight]],Table2[#Headers],0),0)</f>
        <v>80.5</v>
      </c>
      <c r="AW683" s="2" t="str">
        <f>VLOOKUP([jobnumber],OvalData[],MATCH(Table2[[#Headers],[Outer Spring Gage]],Table2[#Headers],0),0)</f>
        <v>Null</v>
      </c>
      <c r="AX683" s="2" t="str">
        <f>VLOOKUP([jobnumber],OvalData[],MATCH(Table2[[#Headers],[Outer Spring OD]],Table2[#Headers],0),0)</f>
        <v>Null</v>
      </c>
      <c r="AY683" s="2" t="str">
        <f>VLOOKUP([jobnumber],OvalData[],MATCH(Table2[[#Headers],[Outer Spring Length]],Table2[#Headers],0),0)</f>
        <v>Null</v>
      </c>
      <c r="AZ683" s="2" t="str">
        <f>VLOOKUP([jobnumber],OvalData[],MATCH(Table2[[#Headers],[Outer Spring Stretch]],Table2[#Headers],0),0)</f>
        <v>Null</v>
      </c>
      <c r="BA683" s="2" t="str">
        <f>VLOOKUP([jobnumber],OvalData[],MATCH(Table2[[#Headers],[Outer Spring Torque]],Table2[#Headers],0),0)</f>
        <v>Null</v>
      </c>
      <c r="BB683" s="2" t="str">
        <f>VLOOKUP([jobnumber],OvalData[],MATCH(Table2[[#Headers],[Outer Spring Max Turns]],Table2[#Headers],0),0)</f>
        <v>Null</v>
      </c>
      <c r="BC683" s="2" t="str">
        <f>VLOOKUP([jobnumber],OvalData[],MATCH(Table2[[#Headers],[Outer Spring Weight]],Table2[#Headers],0),0)</f>
        <v>Null</v>
      </c>
      <c r="BD683" s="2" t="str">
        <f>VLOOKUP([jobnumber],OvalData[],MATCH(Table2[[#Headers],[Inner Spring Gage]],Table2[#Headers],0),0)</f>
        <v>Null</v>
      </c>
      <c r="BE683" s="2" t="str">
        <f>VLOOKUP([jobnumber],OvalData[],MATCH(Table2[[#Headers],[Inner Spring OD]],Table2[#Headers],0),0)</f>
        <v>Null</v>
      </c>
      <c r="BF683" s="2" t="str">
        <f>VLOOKUP([jobnumber],OvalData[],MATCH(Table2[[#Headers],[Inner Spring Length]],Table2[#Headers],0),0)</f>
        <v>Null</v>
      </c>
      <c r="BG683" s="2" t="str">
        <f>VLOOKUP([jobnumber],OvalData[],MATCH(Table2[[#Headers],[Inner Spring Stretch]],Table2[#Headers],0),0)</f>
        <v>Null</v>
      </c>
      <c r="BH683" s="2" t="str">
        <f>VLOOKUP([jobnumber],OvalData[],MATCH(Table2[[#Headers],[Inner Spring Torque]],Table2[#Headers],0),0)</f>
        <v>Null</v>
      </c>
      <c r="BI683" s="2" t="str">
        <f>VLOOKUP([jobnumber],OvalData[],MATCH(Table2[[#Headers],[Inner Spring Max Turns]],Table2[#Headers],0),0)</f>
        <v>Null</v>
      </c>
      <c r="BJ683" s="2" t="str">
        <f>VLOOKUP([jobnumber],OvalData[],MATCH(Table2[[#Headers],[Inner Spring Weight]],Table2[#Headers],0),0)</f>
        <v>Null</v>
      </c>
      <c r="BK683" s="2">
        <f>VLOOKUP([jobnumber],OvalData[],MATCH(Table2[[#Headers],[Cycles]],Table2[#Headers],0),0)</f>
        <v>0</v>
      </c>
      <c r="BL683" s="2">
        <f>VLOOKUP([jobnumber],OvalData[],MATCH(Table2[[#Headers],[Total Spring Torque]],Table2[#Headers],0),0)</f>
        <v>0</v>
      </c>
      <c r="BM683" s="2">
        <f>VLOOKUP([jobnumber],OvalData[],MATCH(Table2[[#Headers],[Total Spring Weight]],Table2[#Headers],0),0)</f>
        <v>0</v>
      </c>
      <c r="BN683" s="2">
        <f>VLOOKUP([jobnumber],OvalData[],MATCH(Table2[[#Headers],[Pipe Weight]],Table2[#Headers],0),0)</f>
        <v>688.24239999999998</v>
      </c>
      <c r="BO683" s="2">
        <f>VLOOKUP([jobnumber],OvalData[],MATCH(Table2[[#Headers],[Max Pipe Deflection]],Table2[#Headers],0),0)</f>
        <v>2309</v>
      </c>
      <c r="BP683" s="2">
        <f>VLOOKUP([jobnumber],OvalData[],MATCH(Table2[[#Headers],[Number Non-Insulated Wrap Slats]],Table2[#Headers],0),0)</f>
        <v>0</v>
      </c>
      <c r="BQ683" s="2">
        <f>VLOOKUP([jobnumber],OvalData[],MATCH(Table2[[#Headers],[Number of Insolated Top Slats]],Table2[#Headers],0),0)</f>
        <v>45</v>
      </c>
      <c r="BR683" s="2">
        <f>VLOOKUP([jobnumber],OvalData[],MATCH(Table2[[#Headers],[Insolated Total Slats]],Table2[#Headers],0),0)</f>
        <v>45</v>
      </c>
      <c r="BS683" s="2">
        <f>VLOOKUP([jobnumber],OvalData[],MATCH(Table2[[#Headers],[Number of Slats]],Table2[#Headers],0),0)</f>
        <v>44.69</v>
      </c>
      <c r="BT683" s="2">
        <f>VLOOKUP([jobnumber],OvalData[],MATCH(Table2[[#Headers],[Wrap]],Table2[#Headers],0),0)</f>
        <v>0</v>
      </c>
      <c r="BU683" s="2">
        <f>VLOOKUP([jobnumber],OvalData[],MATCH(Table2[[#Headers],[Wall Angle Thickness]],Table2[#Headers],0),0)</f>
        <v>0</v>
      </c>
      <c r="BV683" s="2">
        <f>VLOOKUP([jobnumber],OvalData[],MATCH(Table2[[#Headers],[windlocks]],Table2[#Headers],0),0)</f>
        <v>0</v>
      </c>
      <c r="BW683" s="2" t="str">
        <f>VLOOKUP([jobnumber],OvalData[],MATCH(Table2[[#Headers],[bottombartype]],Table2[#Headers],0),0)</f>
        <v>SPECIAL</v>
      </c>
      <c r="BX683" s="2">
        <f>VLOOKUP([jobnumber],OvalData[],MATCH(Table2[[#Headers],[endlockweight]],Table2[#Headers],0),0)</f>
        <v>0.17</v>
      </c>
      <c r="BY683" s="2">
        <f>VLOOKUP([jobnumber],OvalData[],MATCH(Table2[[#Headers],[Endlock Total Weight]],Table2[#Headers],0),0)</f>
        <v>7.5972999999999997</v>
      </c>
      <c r="BZ683" s="2">
        <f>VLOOKUP([jobnumber],OvalData[],MATCH(Table2[[#Headers],[Grille Weight]],Table2[#Headers],0),0)</f>
        <v>0</v>
      </c>
      <c r="CA683" s="2">
        <f>VLOOKUP([jobnumber],OvalData[],MATCH(Table2[[#Headers],[barrelrings]],Table2[#Headers],0),0)</f>
        <v>1</v>
      </c>
    </row>
    <row r="684" spans="2:79">
      <c r="B684" s="2" t="str">
        <f>VLOOKUP([jobnumber],OvalData[],MATCH(Table2[[#Headers],[Hand]],Table2[#Headers],0),0)</f>
        <v>RH</v>
      </c>
      <c r="C684" s="2" t="str">
        <f>VLOOKUP([jobnumber],OvalData[],MATCH(Table2[[#Headers],[Model]],Table2[#Headers],0),0)</f>
        <v>SFMPP</v>
      </c>
      <c r="D684" s="2" t="str">
        <f>VLOOKUP([jobnumber],OvalData[],MATCH(Table2[[#Headers],[width]],Table2[#Headers],0),0)</f>
        <v xml:space="preserve"> 18 ft.- 2"</v>
      </c>
      <c r="E684" s="2" t="str">
        <f>VLOOKUP([jobnumber],OvalData[],MATCH(Table2[[#Headers],[stopheight]],Table2[#Headers],0),0)</f>
        <v xml:space="preserve"> 10 ft.- 0"</v>
      </c>
      <c r="F684" s="2" t="str">
        <f>VLOOKUP([jobnumber],OvalData[],MATCH(Table2[[#Headers],[Between Brackets]],Table2[#Headers],0),0)</f>
        <v xml:space="preserve"> 18 ft.- 7 7/ 8"</v>
      </c>
      <c r="G684" s="2" t="str">
        <f>VLOOKUP([jobnumber],OvalData[],MATCH(Table2[[#Headers],[shell]],Table2[#Headers],0),0)</f>
        <v>6 INCH TUBE</v>
      </c>
      <c r="H684" s="2" t="str">
        <f>VLOOKUP([jobnumber],OvalData[],MATCH(Table2[[#Headers],[pipewidth]],Table2[#Headers],0),0)</f>
        <v xml:space="preserve"> 18 ft.- 1 3/ 8"</v>
      </c>
      <c r="I684" s="2">
        <f>VLOOKUP([jobnumber],OvalData[],MATCH(Table2[[#Headers],[Support Tubes]],Table2[#Headers],0),0)</f>
        <v>0</v>
      </c>
      <c r="J684" s="2">
        <f>VLOOKUP([jobnumber],OvalData[],MATCH(Table2[[#Headers],[Upset]],Table2[#Headers],0),0)</f>
        <v>2</v>
      </c>
      <c r="K684" s="2" t="str">
        <f>VLOOKUP([jobnumber],OvalData[],MATCH(Table2[[#Headers],[Guide Type]],Table2[#Headers],0),0)</f>
        <v>SN2-4 5/8-E</v>
      </c>
      <c r="L684" s="2" t="str">
        <f>VLOOKUP([jobnumber],OvalData[],MATCH(Table2[[#Headers],[Wall Angle]],Table2[#Headers],0),0)</f>
        <v xml:space="preserve"> 11 ft.- 8"</v>
      </c>
      <c r="M684" s="2" t="str">
        <f>VLOOKUP([jobnumber],OvalData[],MATCH(Table2[[#Headers],[Middle Angle]],Table2[#Headers],0),0)</f>
        <v xml:space="preserve"> 10 ft.- 4 1/ 2"</v>
      </c>
      <c r="N684" s="2" t="str">
        <f>VLOOKUP([jobnumber],OvalData[],MATCH(Table2[[#Headers],[Front Angle]],Table2[#Headers],0),0)</f>
        <v xml:space="preserve"> 10 ft.- 3"</v>
      </c>
      <c r="O684" s="2">
        <f>VLOOKUP([jobnumber],OvalData[],MATCH(Table2[[#Headers],[Pipe Center Line]],Table2[#Headers],0),0)</f>
        <v>131</v>
      </c>
      <c r="P684" s="2">
        <f>VLOOKUP([jobnumber],OvalData[],MATCH(Table2[[#Headers],[Heat Expansion Gap]],Table2[#Headers],0),0)</f>
        <v>0</v>
      </c>
      <c r="Q684" s="2">
        <f>VLOOKUP([jobnumber],OvalData[],MATCH(Table2[[#Headers],[Hanging Weight Closed]],Table2[#Headers],0),0)</f>
        <v>795</v>
      </c>
      <c r="R684" s="2">
        <f>VLOOKUP([jobnumber],OvalData[],MATCH(Table2[[#Headers],[Hanging Weight Open]],Table2[#Headers],0),0)</f>
        <v>140</v>
      </c>
      <c r="S684" s="2">
        <f>VLOOKUP([jobnumber],OvalData[],MATCH(Table2[[#Headers],[Initial Lever Arm]],Table2[#Headers],0),0)</f>
        <v>4.25</v>
      </c>
      <c r="T684" s="2">
        <f>VLOOKUP([jobnumber],OvalData[],MATCH(Table2[[#Headers],[Turns to Raise]],Table2[#Headers],0),0)</f>
        <v>3.5859999999999999</v>
      </c>
      <c r="U684" s="2">
        <f>VLOOKUP([jobnumber],OvalData[],MATCH(Table2[[#Headers],[Final Lever Arm]],Table2[#Headers],0),0)</f>
        <v>6.37</v>
      </c>
      <c r="V684" s="2">
        <f>VLOOKUP([jobnumber],OvalData[],MATCH(Table2[[#Headers],[Torque Required Closed]],Table2[#Headers],0),0)</f>
        <v>3377.9</v>
      </c>
      <c r="W684" s="2">
        <f>VLOOKUP([jobnumber],OvalData[],MATCH(Table2[[#Headers],[Torque Required Open]],Table2[#Headers],0),0)</f>
        <v>892</v>
      </c>
      <c r="X684" s="2">
        <f>VLOOKUP([jobnumber],OvalData[],MATCH(Table2[[#Headers],[Pre Turns]],Table2[#Headers],0),0)</f>
        <v>1.3332999999999999</v>
      </c>
      <c r="Y684" s="2">
        <f>VLOOKUP([jobnumber],OvalData[],MATCH(Table2[[#Headers],[Required Torque Per Turn]],Table2[#Headers],0),0)</f>
        <v>688</v>
      </c>
      <c r="Z684" s="2">
        <f>VLOOKUP([jobnumber],OvalData[],MATCH(Table2[[#Headers],[Total Turns]],Table2[#Headers],0),0)</f>
        <v>4.91</v>
      </c>
      <c r="AA684" s="2">
        <f>VLOOKUP([jobnumber],OvalData[],MATCH(Table2[[#Headers],[Grille Vision Section]],Table2[#Headers],0),0)</f>
        <v>0</v>
      </c>
      <c r="AB684" s="2">
        <f>VLOOKUP([jobnumber],OvalData[],MATCH(Table2[[#Headers],[Grille Amount]],Table2[#Headers],0),0)</f>
        <v>0</v>
      </c>
      <c r="AC684" s="2">
        <f>VLOOKUP([jobnumber],OvalData[],MATCH(Table2[[#Headers],[Grille Center]],Table2[#Headers],0),0)</f>
        <v>0</v>
      </c>
      <c r="AD684" s="2">
        <f>VLOOKUP([jobnumber],OvalData[],MATCH(Table2[[#Headers],[Grille Pattern]],Table2[#Headers],0),0)</f>
        <v>0</v>
      </c>
      <c r="AE684" s="2">
        <f>VLOOKUP([jobnumber],OvalData[],MATCH(Table2[[#Headers],[Grille First Tube]],Table2[#Headers],0),0)</f>
        <v>0</v>
      </c>
      <c r="AF684" s="2">
        <f>VLOOKUP([jobnumber],OvalData[],MATCH(Table2[[#Headers],[Grille Standard Tube]],Table2[#Headers],0),0)</f>
        <v>0</v>
      </c>
      <c r="AG684" s="2">
        <f>VLOOKUP([jobnumber],OvalData[],MATCH(Table2[[#Headers],[Grille Total Links]],Table2[#Headers],0),0)</f>
        <v>0</v>
      </c>
      <c r="AH684" s="2">
        <f>VLOOKUP([jobnumber],OvalData[],MATCH(Table2[[#Headers],[Grille Rods]],Table2[#Headers],0),0)</f>
        <v>0</v>
      </c>
      <c r="AI684" s="2">
        <f>VLOOKUP([jobnumber],OvalData[],MATCH(Table2[[#Headers],[Grille Rod Length]],Table2[#Headers],0),0)</f>
        <v>0</v>
      </c>
      <c r="AJ684" s="2">
        <f>VLOOKUP([jobnumber],OvalData[],MATCH(Table2[[#Headers],[slattype]],Table2[#Headers],0),0)</f>
        <v>2</v>
      </c>
      <c r="AK684" s="2">
        <f>VLOOKUP([jobnumber],OvalData[],MATCH(Table2[[#Headers],[slatgage]],Table2[#Headers],0),0)</f>
        <v>18</v>
      </c>
      <c r="AL684" s="2">
        <f>VLOOKUP([jobnumber],OvalData[],MATCH(Table2[[#Headers],[Numer of Top Slats]],Table2[#Headers],0),0)</f>
        <v>0</v>
      </c>
      <c r="AM684" s="2">
        <f>VLOOKUP([jobnumber],OvalData[],MATCH(Table2[[#Headers],[Number of Bottom Slats]],Table2[#Headers],0),0)</f>
        <v>0</v>
      </c>
      <c r="AN684" s="2">
        <f>VLOOKUP([jobnumber],OvalData[],MATCH(Table2[[#Headers],[Solid Bottom Height]],Table2[#Headers],0),0)</f>
        <v>0</v>
      </c>
      <c r="AO684" s="2" t="str">
        <f>VLOOKUP([jobnumber],OvalData[],MATCH(Table2[[#Headers],[slatlength]],Table2[#Headers],0),0)</f>
        <v xml:space="preserve"> 18 ft.- 5 7/ 8"</v>
      </c>
      <c r="AP684" s="2">
        <f>VLOOKUP([jobnumber],OvalData[],MATCH(Table2[[#Headers],[Bottom Slat Length]],Table2[#Headers],0),0)</f>
        <v>0</v>
      </c>
      <c r="AQ684" s="2">
        <f>VLOOKUP([jobnumber],OvalData[],MATCH(Table2[[#Headers],[Number of Perferated Slats]],Table2[#Headers],0),0)</f>
        <v>0</v>
      </c>
      <c r="AR684" s="2">
        <f>VLOOKUP([jobnumber],OvalData[],MATCH(Table2[[#Headers],[First Preferated Slat From End]],Table2[#Headers],0),0)</f>
        <v>0</v>
      </c>
      <c r="AS684" s="2">
        <f>VLOOKUP([jobnumber],OvalData[],MATCH(Table2[[#Headers],[First Preferated Slat From Bottom]],Table2[#Headers],0),0)</f>
        <v>0</v>
      </c>
      <c r="AT684" s="2">
        <f>VLOOKUP([jobnumber],OvalData[],MATCH(Table2[[#Headers],[Total Number of Slats]],Table2[#Headers],0),0)</f>
        <v>51</v>
      </c>
      <c r="AU684" s="2">
        <f>VLOOKUP([jobnumber],OvalData[],MATCH(Table2[[#Headers],[Bottom Bar Slope]],Table2[#Headers],0),0)</f>
        <v>0</v>
      </c>
      <c r="AV684" s="2">
        <f>VLOOKUP([jobnumber],OvalData[],MATCH(Table2[[#Headers],[Bottom Bar Weight]],Table2[#Headers],0),0)</f>
        <v>80.5</v>
      </c>
      <c r="AW684" s="2" t="str">
        <f>VLOOKUP([jobnumber],OvalData[],MATCH(Table2[[#Headers],[Outer Spring Gage]],Table2[#Headers],0),0)</f>
        <v>Null</v>
      </c>
      <c r="AX684" s="2" t="str">
        <f>VLOOKUP([jobnumber],OvalData[],MATCH(Table2[[#Headers],[Outer Spring OD]],Table2[#Headers],0),0)</f>
        <v>Null</v>
      </c>
      <c r="AY684" s="2" t="str">
        <f>VLOOKUP([jobnumber],OvalData[],MATCH(Table2[[#Headers],[Outer Spring Length]],Table2[#Headers],0),0)</f>
        <v>Null</v>
      </c>
      <c r="AZ684" s="2" t="str">
        <f>VLOOKUP([jobnumber],OvalData[],MATCH(Table2[[#Headers],[Outer Spring Stretch]],Table2[#Headers],0),0)</f>
        <v>Null</v>
      </c>
      <c r="BA684" s="2" t="str">
        <f>VLOOKUP([jobnumber],OvalData[],MATCH(Table2[[#Headers],[Outer Spring Torque]],Table2[#Headers],0),0)</f>
        <v>Null</v>
      </c>
      <c r="BB684" s="2" t="str">
        <f>VLOOKUP([jobnumber],OvalData[],MATCH(Table2[[#Headers],[Outer Spring Max Turns]],Table2[#Headers],0),0)</f>
        <v>Null</v>
      </c>
      <c r="BC684" s="2" t="str">
        <f>VLOOKUP([jobnumber],OvalData[],MATCH(Table2[[#Headers],[Outer Spring Weight]],Table2[#Headers],0),0)</f>
        <v>Null</v>
      </c>
      <c r="BD684" s="2" t="str">
        <f>VLOOKUP([jobnumber],OvalData[],MATCH(Table2[[#Headers],[Inner Spring Gage]],Table2[#Headers],0),0)</f>
        <v>Null</v>
      </c>
      <c r="BE684" s="2" t="str">
        <f>VLOOKUP([jobnumber],OvalData[],MATCH(Table2[[#Headers],[Inner Spring OD]],Table2[#Headers],0),0)</f>
        <v>Null</v>
      </c>
      <c r="BF684" s="2" t="str">
        <f>VLOOKUP([jobnumber],OvalData[],MATCH(Table2[[#Headers],[Inner Spring Length]],Table2[#Headers],0),0)</f>
        <v>Null</v>
      </c>
      <c r="BG684" s="2" t="str">
        <f>VLOOKUP([jobnumber],OvalData[],MATCH(Table2[[#Headers],[Inner Spring Stretch]],Table2[#Headers],0),0)</f>
        <v>Null</v>
      </c>
      <c r="BH684" s="2" t="str">
        <f>VLOOKUP([jobnumber],OvalData[],MATCH(Table2[[#Headers],[Inner Spring Torque]],Table2[#Headers],0),0)</f>
        <v>Null</v>
      </c>
      <c r="BI684" s="2" t="str">
        <f>VLOOKUP([jobnumber],OvalData[],MATCH(Table2[[#Headers],[Inner Spring Max Turns]],Table2[#Headers],0),0)</f>
        <v>Null</v>
      </c>
      <c r="BJ684" s="2" t="str">
        <f>VLOOKUP([jobnumber],OvalData[],MATCH(Table2[[#Headers],[Inner Spring Weight]],Table2[#Headers],0),0)</f>
        <v>Null</v>
      </c>
      <c r="BK684" s="2">
        <f>VLOOKUP([jobnumber],OvalData[],MATCH(Table2[[#Headers],[Cycles]],Table2[#Headers],0),0)</f>
        <v>0</v>
      </c>
      <c r="BL684" s="2">
        <f>VLOOKUP([jobnumber],OvalData[],MATCH(Table2[[#Headers],[Total Spring Torque]],Table2[#Headers],0),0)</f>
        <v>0</v>
      </c>
      <c r="BM684" s="2">
        <f>VLOOKUP([jobnumber],OvalData[],MATCH(Table2[[#Headers],[Total Spring Weight]],Table2[#Headers],0),0)</f>
        <v>0</v>
      </c>
      <c r="BN684" s="2">
        <f>VLOOKUP([jobnumber],OvalData[],MATCH(Table2[[#Headers],[Pipe Weight]],Table2[#Headers],0),0)</f>
        <v>688.24239999999998</v>
      </c>
      <c r="BO684" s="2">
        <f>VLOOKUP([jobnumber],OvalData[],MATCH(Table2[[#Headers],[Max Pipe Deflection]],Table2[#Headers],0),0)</f>
        <v>2309</v>
      </c>
      <c r="BP684" s="2">
        <f>VLOOKUP([jobnumber],OvalData[],MATCH(Table2[[#Headers],[Number Non-Insulated Wrap Slats]],Table2[#Headers],0),0)</f>
        <v>0</v>
      </c>
      <c r="BQ684" s="2">
        <f>VLOOKUP([jobnumber],OvalData[],MATCH(Table2[[#Headers],[Number of Insolated Top Slats]],Table2[#Headers],0),0)</f>
        <v>45</v>
      </c>
      <c r="BR684" s="2">
        <f>VLOOKUP([jobnumber],OvalData[],MATCH(Table2[[#Headers],[Insolated Total Slats]],Table2[#Headers],0),0)</f>
        <v>45</v>
      </c>
      <c r="BS684" s="2">
        <f>VLOOKUP([jobnumber],OvalData[],MATCH(Table2[[#Headers],[Number of Slats]],Table2[#Headers],0),0)</f>
        <v>44.69</v>
      </c>
      <c r="BT684" s="2">
        <f>VLOOKUP([jobnumber],OvalData[],MATCH(Table2[[#Headers],[Wrap]],Table2[#Headers],0),0)</f>
        <v>0</v>
      </c>
      <c r="BU684" s="2">
        <f>VLOOKUP([jobnumber],OvalData[],MATCH(Table2[[#Headers],[Wall Angle Thickness]],Table2[#Headers],0),0)</f>
        <v>0</v>
      </c>
      <c r="BV684" s="2">
        <f>VLOOKUP([jobnumber],OvalData[],MATCH(Table2[[#Headers],[windlocks]],Table2[#Headers],0),0)</f>
        <v>0</v>
      </c>
      <c r="BW684" s="2" t="str">
        <f>VLOOKUP([jobnumber],OvalData[],MATCH(Table2[[#Headers],[bottombartype]],Table2[#Headers],0),0)</f>
        <v>SPECIAL</v>
      </c>
      <c r="BX684" s="2">
        <f>VLOOKUP([jobnumber],OvalData[],MATCH(Table2[[#Headers],[endlockweight]],Table2[#Headers],0),0)</f>
        <v>0.17</v>
      </c>
      <c r="BY684" s="2">
        <f>VLOOKUP([jobnumber],OvalData[],MATCH(Table2[[#Headers],[Endlock Total Weight]],Table2[#Headers],0),0)</f>
        <v>7.5972999999999997</v>
      </c>
      <c r="BZ684" s="2">
        <f>VLOOKUP([jobnumber],OvalData[],MATCH(Table2[[#Headers],[Grille Weight]],Table2[#Headers],0),0)</f>
        <v>0</v>
      </c>
      <c r="CA684" s="2">
        <f>VLOOKUP([jobnumber],OvalData[],MATCH(Table2[[#Headers],[barrelrings]],Table2[#Headers],0),0)</f>
        <v>1</v>
      </c>
    </row>
    <row r="685" spans="2:79">
      <c r="B685" s="2" t="str">
        <f>VLOOKUP([jobnumber],OvalData[],MATCH(Table2[[#Headers],[Hand]],Table2[#Headers],0),0)</f>
        <v>RH</v>
      </c>
      <c r="C685" s="2" t="str">
        <f>VLOOKUP([jobnumber],OvalData[],MATCH(Table2[[#Headers],[Model]],Table2[#Headers],0),0)</f>
        <v>SFMPP</v>
      </c>
      <c r="D685" s="2" t="str">
        <f>VLOOKUP([jobnumber],OvalData[],MATCH(Table2[[#Headers],[width]],Table2[#Headers],0),0)</f>
        <v xml:space="preserve"> 18 ft.- 2"</v>
      </c>
      <c r="E685" s="2" t="str">
        <f>VLOOKUP([jobnumber],OvalData[],MATCH(Table2[[#Headers],[stopheight]],Table2[#Headers],0),0)</f>
        <v xml:space="preserve"> 10 ft.- 0"</v>
      </c>
      <c r="F685" s="2" t="str">
        <f>VLOOKUP([jobnumber],OvalData[],MATCH(Table2[[#Headers],[Between Brackets]],Table2[#Headers],0),0)</f>
        <v xml:space="preserve"> 18 ft.- 7 7/ 8"</v>
      </c>
      <c r="G685" s="2" t="str">
        <f>VLOOKUP([jobnumber],OvalData[],MATCH(Table2[[#Headers],[shell]],Table2[#Headers],0),0)</f>
        <v>6 INCH TUBE</v>
      </c>
      <c r="H685" s="2" t="str">
        <f>VLOOKUP([jobnumber],OvalData[],MATCH(Table2[[#Headers],[pipewidth]],Table2[#Headers],0),0)</f>
        <v xml:space="preserve"> 18 ft.- 1 3/ 8"</v>
      </c>
      <c r="I685" s="2">
        <f>VLOOKUP([jobnumber],OvalData[],MATCH(Table2[[#Headers],[Support Tubes]],Table2[#Headers],0),0)</f>
        <v>0</v>
      </c>
      <c r="J685" s="2">
        <f>VLOOKUP([jobnumber],OvalData[],MATCH(Table2[[#Headers],[Upset]],Table2[#Headers],0),0)</f>
        <v>2</v>
      </c>
      <c r="K685" s="2" t="str">
        <f>VLOOKUP([jobnumber],OvalData[],MATCH(Table2[[#Headers],[Guide Type]],Table2[#Headers],0),0)</f>
        <v>SN2-4 5/8-E</v>
      </c>
      <c r="L685" s="2" t="str">
        <f>VLOOKUP([jobnumber],OvalData[],MATCH(Table2[[#Headers],[Wall Angle]],Table2[#Headers],0),0)</f>
        <v xml:space="preserve"> 11 ft.- 8"</v>
      </c>
      <c r="M685" s="2" t="str">
        <f>VLOOKUP([jobnumber],OvalData[],MATCH(Table2[[#Headers],[Middle Angle]],Table2[#Headers],0),0)</f>
        <v xml:space="preserve"> 10 ft.- 4 1/ 2"</v>
      </c>
      <c r="N685" s="2" t="str">
        <f>VLOOKUP([jobnumber],OvalData[],MATCH(Table2[[#Headers],[Front Angle]],Table2[#Headers],0),0)</f>
        <v xml:space="preserve"> 10 ft.- 3"</v>
      </c>
      <c r="O685" s="2">
        <f>VLOOKUP([jobnumber],OvalData[],MATCH(Table2[[#Headers],[Pipe Center Line]],Table2[#Headers],0),0)</f>
        <v>131</v>
      </c>
      <c r="P685" s="2">
        <f>VLOOKUP([jobnumber],OvalData[],MATCH(Table2[[#Headers],[Heat Expansion Gap]],Table2[#Headers],0),0)</f>
        <v>0</v>
      </c>
      <c r="Q685" s="2">
        <f>VLOOKUP([jobnumber],OvalData[],MATCH(Table2[[#Headers],[Hanging Weight Closed]],Table2[#Headers],0),0)</f>
        <v>795</v>
      </c>
      <c r="R685" s="2">
        <f>VLOOKUP([jobnumber],OvalData[],MATCH(Table2[[#Headers],[Hanging Weight Open]],Table2[#Headers],0),0)</f>
        <v>140</v>
      </c>
      <c r="S685" s="2">
        <f>VLOOKUP([jobnumber],OvalData[],MATCH(Table2[[#Headers],[Initial Lever Arm]],Table2[#Headers],0),0)</f>
        <v>4.25</v>
      </c>
      <c r="T685" s="2">
        <f>VLOOKUP([jobnumber],OvalData[],MATCH(Table2[[#Headers],[Turns to Raise]],Table2[#Headers],0),0)</f>
        <v>3.5859999999999999</v>
      </c>
      <c r="U685" s="2">
        <f>VLOOKUP([jobnumber],OvalData[],MATCH(Table2[[#Headers],[Final Lever Arm]],Table2[#Headers],0),0)</f>
        <v>6.37</v>
      </c>
      <c r="V685" s="2">
        <f>VLOOKUP([jobnumber],OvalData[],MATCH(Table2[[#Headers],[Torque Required Closed]],Table2[#Headers],0),0)</f>
        <v>3377.9</v>
      </c>
      <c r="W685" s="2">
        <f>VLOOKUP([jobnumber],OvalData[],MATCH(Table2[[#Headers],[Torque Required Open]],Table2[#Headers],0),0)</f>
        <v>892</v>
      </c>
      <c r="X685" s="2">
        <f>VLOOKUP([jobnumber],OvalData[],MATCH(Table2[[#Headers],[Pre Turns]],Table2[#Headers],0),0)</f>
        <v>1.3332999999999999</v>
      </c>
      <c r="Y685" s="2">
        <f>VLOOKUP([jobnumber],OvalData[],MATCH(Table2[[#Headers],[Required Torque Per Turn]],Table2[#Headers],0),0)</f>
        <v>688</v>
      </c>
      <c r="Z685" s="2">
        <f>VLOOKUP([jobnumber],OvalData[],MATCH(Table2[[#Headers],[Total Turns]],Table2[#Headers],0),0)</f>
        <v>4.91</v>
      </c>
      <c r="AA685" s="2">
        <f>VLOOKUP([jobnumber],OvalData[],MATCH(Table2[[#Headers],[Grille Vision Section]],Table2[#Headers],0),0)</f>
        <v>0</v>
      </c>
      <c r="AB685" s="2">
        <f>VLOOKUP([jobnumber],OvalData[],MATCH(Table2[[#Headers],[Grille Amount]],Table2[#Headers],0),0)</f>
        <v>0</v>
      </c>
      <c r="AC685" s="2">
        <f>VLOOKUP([jobnumber],OvalData[],MATCH(Table2[[#Headers],[Grille Center]],Table2[#Headers],0),0)</f>
        <v>0</v>
      </c>
      <c r="AD685" s="2">
        <f>VLOOKUP([jobnumber],OvalData[],MATCH(Table2[[#Headers],[Grille Pattern]],Table2[#Headers],0),0)</f>
        <v>0</v>
      </c>
      <c r="AE685" s="2">
        <f>VLOOKUP([jobnumber],OvalData[],MATCH(Table2[[#Headers],[Grille First Tube]],Table2[#Headers],0),0)</f>
        <v>0</v>
      </c>
      <c r="AF685" s="2">
        <f>VLOOKUP([jobnumber],OvalData[],MATCH(Table2[[#Headers],[Grille Standard Tube]],Table2[#Headers],0),0)</f>
        <v>0</v>
      </c>
      <c r="AG685" s="2">
        <f>VLOOKUP([jobnumber],OvalData[],MATCH(Table2[[#Headers],[Grille Total Links]],Table2[#Headers],0),0)</f>
        <v>0</v>
      </c>
      <c r="AH685" s="2">
        <f>VLOOKUP([jobnumber],OvalData[],MATCH(Table2[[#Headers],[Grille Rods]],Table2[#Headers],0),0)</f>
        <v>0</v>
      </c>
      <c r="AI685" s="2">
        <f>VLOOKUP([jobnumber],OvalData[],MATCH(Table2[[#Headers],[Grille Rod Length]],Table2[#Headers],0),0)</f>
        <v>0</v>
      </c>
      <c r="AJ685" s="2">
        <f>VLOOKUP([jobnumber],OvalData[],MATCH(Table2[[#Headers],[slattype]],Table2[#Headers],0),0)</f>
        <v>2</v>
      </c>
      <c r="AK685" s="2">
        <f>VLOOKUP([jobnumber],OvalData[],MATCH(Table2[[#Headers],[slatgage]],Table2[#Headers],0),0)</f>
        <v>18</v>
      </c>
      <c r="AL685" s="2">
        <f>VLOOKUP([jobnumber],OvalData[],MATCH(Table2[[#Headers],[Numer of Top Slats]],Table2[#Headers],0),0)</f>
        <v>0</v>
      </c>
      <c r="AM685" s="2">
        <f>VLOOKUP([jobnumber],OvalData[],MATCH(Table2[[#Headers],[Number of Bottom Slats]],Table2[#Headers],0),0)</f>
        <v>0</v>
      </c>
      <c r="AN685" s="2">
        <f>VLOOKUP([jobnumber],OvalData[],MATCH(Table2[[#Headers],[Solid Bottom Height]],Table2[#Headers],0),0)</f>
        <v>0</v>
      </c>
      <c r="AO685" s="2" t="str">
        <f>VLOOKUP([jobnumber],OvalData[],MATCH(Table2[[#Headers],[slatlength]],Table2[#Headers],0),0)</f>
        <v xml:space="preserve"> 18 ft.- 5 7/ 8"</v>
      </c>
      <c r="AP685" s="2">
        <f>VLOOKUP([jobnumber],OvalData[],MATCH(Table2[[#Headers],[Bottom Slat Length]],Table2[#Headers],0),0)</f>
        <v>0</v>
      </c>
      <c r="AQ685" s="2">
        <f>VLOOKUP([jobnumber],OvalData[],MATCH(Table2[[#Headers],[Number of Perferated Slats]],Table2[#Headers],0),0)</f>
        <v>0</v>
      </c>
      <c r="AR685" s="2">
        <f>VLOOKUP([jobnumber],OvalData[],MATCH(Table2[[#Headers],[First Preferated Slat From End]],Table2[#Headers],0),0)</f>
        <v>0</v>
      </c>
      <c r="AS685" s="2">
        <f>VLOOKUP([jobnumber],OvalData[],MATCH(Table2[[#Headers],[First Preferated Slat From Bottom]],Table2[#Headers],0),0)</f>
        <v>0</v>
      </c>
      <c r="AT685" s="2">
        <f>VLOOKUP([jobnumber],OvalData[],MATCH(Table2[[#Headers],[Total Number of Slats]],Table2[#Headers],0),0)</f>
        <v>51</v>
      </c>
      <c r="AU685" s="2">
        <f>VLOOKUP([jobnumber],OvalData[],MATCH(Table2[[#Headers],[Bottom Bar Slope]],Table2[#Headers],0),0)</f>
        <v>0</v>
      </c>
      <c r="AV685" s="2">
        <f>VLOOKUP([jobnumber],OvalData[],MATCH(Table2[[#Headers],[Bottom Bar Weight]],Table2[#Headers],0),0)</f>
        <v>80.5</v>
      </c>
      <c r="AW685" s="2" t="str">
        <f>VLOOKUP([jobnumber],OvalData[],MATCH(Table2[[#Headers],[Outer Spring Gage]],Table2[#Headers],0),0)</f>
        <v>Null</v>
      </c>
      <c r="AX685" s="2" t="str">
        <f>VLOOKUP([jobnumber],OvalData[],MATCH(Table2[[#Headers],[Outer Spring OD]],Table2[#Headers],0),0)</f>
        <v>Null</v>
      </c>
      <c r="AY685" s="2" t="str">
        <f>VLOOKUP([jobnumber],OvalData[],MATCH(Table2[[#Headers],[Outer Spring Length]],Table2[#Headers],0),0)</f>
        <v>Null</v>
      </c>
      <c r="AZ685" s="2" t="str">
        <f>VLOOKUP([jobnumber],OvalData[],MATCH(Table2[[#Headers],[Outer Spring Stretch]],Table2[#Headers],0),0)</f>
        <v>Null</v>
      </c>
      <c r="BA685" s="2" t="str">
        <f>VLOOKUP([jobnumber],OvalData[],MATCH(Table2[[#Headers],[Outer Spring Torque]],Table2[#Headers],0),0)</f>
        <v>Null</v>
      </c>
      <c r="BB685" s="2" t="str">
        <f>VLOOKUP([jobnumber],OvalData[],MATCH(Table2[[#Headers],[Outer Spring Max Turns]],Table2[#Headers],0),0)</f>
        <v>Null</v>
      </c>
      <c r="BC685" s="2" t="str">
        <f>VLOOKUP([jobnumber],OvalData[],MATCH(Table2[[#Headers],[Outer Spring Weight]],Table2[#Headers],0),0)</f>
        <v>Null</v>
      </c>
      <c r="BD685" s="2" t="str">
        <f>VLOOKUP([jobnumber],OvalData[],MATCH(Table2[[#Headers],[Inner Spring Gage]],Table2[#Headers],0),0)</f>
        <v>Null</v>
      </c>
      <c r="BE685" s="2" t="str">
        <f>VLOOKUP([jobnumber],OvalData[],MATCH(Table2[[#Headers],[Inner Spring OD]],Table2[#Headers],0),0)</f>
        <v>Null</v>
      </c>
      <c r="BF685" s="2" t="str">
        <f>VLOOKUP([jobnumber],OvalData[],MATCH(Table2[[#Headers],[Inner Spring Length]],Table2[#Headers],0),0)</f>
        <v>Null</v>
      </c>
      <c r="BG685" s="2" t="str">
        <f>VLOOKUP([jobnumber],OvalData[],MATCH(Table2[[#Headers],[Inner Spring Stretch]],Table2[#Headers],0),0)</f>
        <v>Null</v>
      </c>
      <c r="BH685" s="2" t="str">
        <f>VLOOKUP([jobnumber],OvalData[],MATCH(Table2[[#Headers],[Inner Spring Torque]],Table2[#Headers],0),0)</f>
        <v>Null</v>
      </c>
      <c r="BI685" s="2" t="str">
        <f>VLOOKUP([jobnumber],OvalData[],MATCH(Table2[[#Headers],[Inner Spring Max Turns]],Table2[#Headers],0),0)</f>
        <v>Null</v>
      </c>
      <c r="BJ685" s="2" t="str">
        <f>VLOOKUP([jobnumber],OvalData[],MATCH(Table2[[#Headers],[Inner Spring Weight]],Table2[#Headers],0),0)</f>
        <v>Null</v>
      </c>
      <c r="BK685" s="2">
        <f>VLOOKUP([jobnumber],OvalData[],MATCH(Table2[[#Headers],[Cycles]],Table2[#Headers],0),0)</f>
        <v>0</v>
      </c>
      <c r="BL685" s="2">
        <f>VLOOKUP([jobnumber],OvalData[],MATCH(Table2[[#Headers],[Total Spring Torque]],Table2[#Headers],0),0)</f>
        <v>0</v>
      </c>
      <c r="BM685" s="2">
        <f>VLOOKUP([jobnumber],OvalData[],MATCH(Table2[[#Headers],[Total Spring Weight]],Table2[#Headers],0),0)</f>
        <v>0</v>
      </c>
      <c r="BN685" s="2">
        <f>VLOOKUP([jobnumber],OvalData[],MATCH(Table2[[#Headers],[Pipe Weight]],Table2[#Headers],0),0)</f>
        <v>688.24239999999998</v>
      </c>
      <c r="BO685" s="2">
        <f>VLOOKUP([jobnumber],OvalData[],MATCH(Table2[[#Headers],[Max Pipe Deflection]],Table2[#Headers],0),0)</f>
        <v>2309</v>
      </c>
      <c r="BP685" s="2">
        <f>VLOOKUP([jobnumber],OvalData[],MATCH(Table2[[#Headers],[Number Non-Insulated Wrap Slats]],Table2[#Headers],0),0)</f>
        <v>0</v>
      </c>
      <c r="BQ685" s="2">
        <f>VLOOKUP([jobnumber],OvalData[],MATCH(Table2[[#Headers],[Number of Insolated Top Slats]],Table2[#Headers],0),0)</f>
        <v>45</v>
      </c>
      <c r="BR685" s="2">
        <f>VLOOKUP([jobnumber],OvalData[],MATCH(Table2[[#Headers],[Insolated Total Slats]],Table2[#Headers],0),0)</f>
        <v>45</v>
      </c>
      <c r="BS685" s="2">
        <f>VLOOKUP([jobnumber],OvalData[],MATCH(Table2[[#Headers],[Number of Slats]],Table2[#Headers],0),0)</f>
        <v>44.69</v>
      </c>
      <c r="BT685" s="2">
        <f>VLOOKUP([jobnumber],OvalData[],MATCH(Table2[[#Headers],[Wrap]],Table2[#Headers],0),0)</f>
        <v>0</v>
      </c>
      <c r="BU685" s="2">
        <f>VLOOKUP([jobnumber],OvalData[],MATCH(Table2[[#Headers],[Wall Angle Thickness]],Table2[#Headers],0),0)</f>
        <v>0</v>
      </c>
      <c r="BV685" s="2">
        <f>VLOOKUP([jobnumber],OvalData[],MATCH(Table2[[#Headers],[windlocks]],Table2[#Headers],0),0)</f>
        <v>0</v>
      </c>
      <c r="BW685" s="2" t="str">
        <f>VLOOKUP([jobnumber],OvalData[],MATCH(Table2[[#Headers],[bottombartype]],Table2[#Headers],0),0)</f>
        <v>SPECIAL</v>
      </c>
      <c r="BX685" s="2">
        <f>VLOOKUP([jobnumber],OvalData[],MATCH(Table2[[#Headers],[endlockweight]],Table2[#Headers],0),0)</f>
        <v>0.17</v>
      </c>
      <c r="BY685" s="2">
        <f>VLOOKUP([jobnumber],OvalData[],MATCH(Table2[[#Headers],[Endlock Total Weight]],Table2[#Headers],0),0)</f>
        <v>7.5972999999999997</v>
      </c>
      <c r="BZ685" s="2">
        <f>VLOOKUP([jobnumber],OvalData[],MATCH(Table2[[#Headers],[Grille Weight]],Table2[#Headers],0),0)</f>
        <v>0</v>
      </c>
      <c r="CA685" s="2">
        <f>VLOOKUP([jobnumber],OvalData[],MATCH(Table2[[#Headers],[barrelrings]],Table2[#Headers],0),0)</f>
        <v>1</v>
      </c>
    </row>
    <row r="686" spans="2:79">
      <c r="B686" s="2" t="str">
        <f>VLOOKUP([jobnumber],OvalData[],MATCH(Table2[[#Headers],[Hand]],Table2[#Headers],0),0)</f>
        <v>RH</v>
      </c>
      <c r="C686" s="2" t="str">
        <f>VLOOKUP([jobnumber],OvalData[],MATCH(Table2[[#Headers],[Model]],Table2[#Headers],0),0)</f>
        <v>SFMPP</v>
      </c>
      <c r="D686" s="2" t="str">
        <f>VLOOKUP([jobnumber],OvalData[],MATCH(Table2[[#Headers],[width]],Table2[#Headers],0),0)</f>
        <v xml:space="preserve"> 18 ft.- 2"</v>
      </c>
      <c r="E686" s="2" t="str">
        <f>VLOOKUP([jobnumber],OvalData[],MATCH(Table2[[#Headers],[stopheight]],Table2[#Headers],0),0)</f>
        <v xml:space="preserve"> 10 ft.- 0"</v>
      </c>
      <c r="F686" s="2" t="str">
        <f>VLOOKUP([jobnumber],OvalData[],MATCH(Table2[[#Headers],[Between Brackets]],Table2[#Headers],0),0)</f>
        <v xml:space="preserve"> 18 ft.- 7 7/ 8"</v>
      </c>
      <c r="G686" s="2" t="str">
        <f>VLOOKUP([jobnumber],OvalData[],MATCH(Table2[[#Headers],[shell]],Table2[#Headers],0),0)</f>
        <v>6 INCH TUBE</v>
      </c>
      <c r="H686" s="2" t="str">
        <f>VLOOKUP([jobnumber],OvalData[],MATCH(Table2[[#Headers],[pipewidth]],Table2[#Headers],0),0)</f>
        <v xml:space="preserve"> 18 ft.- 1 3/ 8"</v>
      </c>
      <c r="I686" s="2">
        <f>VLOOKUP([jobnumber],OvalData[],MATCH(Table2[[#Headers],[Support Tubes]],Table2[#Headers],0),0)</f>
        <v>0</v>
      </c>
      <c r="J686" s="2">
        <f>VLOOKUP([jobnumber],OvalData[],MATCH(Table2[[#Headers],[Upset]],Table2[#Headers],0),0)</f>
        <v>2</v>
      </c>
      <c r="K686" s="2" t="str">
        <f>VLOOKUP([jobnumber],OvalData[],MATCH(Table2[[#Headers],[Guide Type]],Table2[#Headers],0),0)</f>
        <v>SN2-4 5/8-E</v>
      </c>
      <c r="L686" s="2" t="str">
        <f>VLOOKUP([jobnumber],OvalData[],MATCH(Table2[[#Headers],[Wall Angle]],Table2[#Headers],0),0)</f>
        <v xml:space="preserve"> 11 ft.- 8"</v>
      </c>
      <c r="M686" s="2" t="str">
        <f>VLOOKUP([jobnumber],OvalData[],MATCH(Table2[[#Headers],[Middle Angle]],Table2[#Headers],0),0)</f>
        <v xml:space="preserve"> 10 ft.- 4 1/ 2"</v>
      </c>
      <c r="N686" s="2" t="str">
        <f>VLOOKUP([jobnumber],OvalData[],MATCH(Table2[[#Headers],[Front Angle]],Table2[#Headers],0),0)</f>
        <v xml:space="preserve"> 10 ft.- 3"</v>
      </c>
      <c r="O686" s="2">
        <f>VLOOKUP([jobnumber],OvalData[],MATCH(Table2[[#Headers],[Pipe Center Line]],Table2[#Headers],0),0)</f>
        <v>131</v>
      </c>
      <c r="P686" s="2">
        <f>VLOOKUP([jobnumber],OvalData[],MATCH(Table2[[#Headers],[Heat Expansion Gap]],Table2[#Headers],0),0)</f>
        <v>0</v>
      </c>
      <c r="Q686" s="2">
        <f>VLOOKUP([jobnumber],OvalData[],MATCH(Table2[[#Headers],[Hanging Weight Closed]],Table2[#Headers],0),0)</f>
        <v>795</v>
      </c>
      <c r="R686" s="2">
        <f>VLOOKUP([jobnumber],OvalData[],MATCH(Table2[[#Headers],[Hanging Weight Open]],Table2[#Headers],0),0)</f>
        <v>140</v>
      </c>
      <c r="S686" s="2">
        <f>VLOOKUP([jobnumber],OvalData[],MATCH(Table2[[#Headers],[Initial Lever Arm]],Table2[#Headers],0),0)</f>
        <v>4.25</v>
      </c>
      <c r="T686" s="2">
        <f>VLOOKUP([jobnumber],OvalData[],MATCH(Table2[[#Headers],[Turns to Raise]],Table2[#Headers],0),0)</f>
        <v>3.5859999999999999</v>
      </c>
      <c r="U686" s="2">
        <f>VLOOKUP([jobnumber],OvalData[],MATCH(Table2[[#Headers],[Final Lever Arm]],Table2[#Headers],0),0)</f>
        <v>6.37</v>
      </c>
      <c r="V686" s="2">
        <f>VLOOKUP([jobnumber],OvalData[],MATCH(Table2[[#Headers],[Torque Required Closed]],Table2[#Headers],0),0)</f>
        <v>3377.9</v>
      </c>
      <c r="W686" s="2">
        <f>VLOOKUP([jobnumber],OvalData[],MATCH(Table2[[#Headers],[Torque Required Open]],Table2[#Headers],0),0)</f>
        <v>892</v>
      </c>
      <c r="X686" s="2">
        <f>VLOOKUP([jobnumber],OvalData[],MATCH(Table2[[#Headers],[Pre Turns]],Table2[#Headers],0),0)</f>
        <v>1.3332999999999999</v>
      </c>
      <c r="Y686" s="2">
        <f>VLOOKUP([jobnumber],OvalData[],MATCH(Table2[[#Headers],[Required Torque Per Turn]],Table2[#Headers],0),0)</f>
        <v>688</v>
      </c>
      <c r="Z686" s="2">
        <f>VLOOKUP([jobnumber],OvalData[],MATCH(Table2[[#Headers],[Total Turns]],Table2[#Headers],0),0)</f>
        <v>4.91</v>
      </c>
      <c r="AA686" s="2">
        <f>VLOOKUP([jobnumber],OvalData[],MATCH(Table2[[#Headers],[Grille Vision Section]],Table2[#Headers],0),0)</f>
        <v>0</v>
      </c>
      <c r="AB686" s="2">
        <f>VLOOKUP([jobnumber],OvalData[],MATCH(Table2[[#Headers],[Grille Amount]],Table2[#Headers],0),0)</f>
        <v>0</v>
      </c>
      <c r="AC686" s="2">
        <f>VLOOKUP([jobnumber],OvalData[],MATCH(Table2[[#Headers],[Grille Center]],Table2[#Headers],0),0)</f>
        <v>0</v>
      </c>
      <c r="AD686" s="2">
        <f>VLOOKUP([jobnumber],OvalData[],MATCH(Table2[[#Headers],[Grille Pattern]],Table2[#Headers],0),0)</f>
        <v>0</v>
      </c>
      <c r="AE686" s="2">
        <f>VLOOKUP([jobnumber],OvalData[],MATCH(Table2[[#Headers],[Grille First Tube]],Table2[#Headers],0),0)</f>
        <v>0</v>
      </c>
      <c r="AF686" s="2">
        <f>VLOOKUP([jobnumber],OvalData[],MATCH(Table2[[#Headers],[Grille Standard Tube]],Table2[#Headers],0),0)</f>
        <v>0</v>
      </c>
      <c r="AG686" s="2">
        <f>VLOOKUP([jobnumber],OvalData[],MATCH(Table2[[#Headers],[Grille Total Links]],Table2[#Headers],0),0)</f>
        <v>0</v>
      </c>
      <c r="AH686" s="2">
        <f>VLOOKUP([jobnumber],OvalData[],MATCH(Table2[[#Headers],[Grille Rods]],Table2[#Headers],0),0)</f>
        <v>0</v>
      </c>
      <c r="AI686" s="2">
        <f>VLOOKUP([jobnumber],OvalData[],MATCH(Table2[[#Headers],[Grille Rod Length]],Table2[#Headers],0),0)</f>
        <v>0</v>
      </c>
      <c r="AJ686" s="2">
        <f>VLOOKUP([jobnumber],OvalData[],MATCH(Table2[[#Headers],[slattype]],Table2[#Headers],0),0)</f>
        <v>2</v>
      </c>
      <c r="AK686" s="2">
        <f>VLOOKUP([jobnumber],OvalData[],MATCH(Table2[[#Headers],[slatgage]],Table2[#Headers],0),0)</f>
        <v>18</v>
      </c>
      <c r="AL686" s="2">
        <f>VLOOKUP([jobnumber],OvalData[],MATCH(Table2[[#Headers],[Numer of Top Slats]],Table2[#Headers],0),0)</f>
        <v>0</v>
      </c>
      <c r="AM686" s="2">
        <f>VLOOKUP([jobnumber],OvalData[],MATCH(Table2[[#Headers],[Number of Bottom Slats]],Table2[#Headers],0),0)</f>
        <v>0</v>
      </c>
      <c r="AN686" s="2">
        <f>VLOOKUP([jobnumber],OvalData[],MATCH(Table2[[#Headers],[Solid Bottom Height]],Table2[#Headers],0),0)</f>
        <v>0</v>
      </c>
      <c r="AO686" s="2" t="str">
        <f>VLOOKUP([jobnumber],OvalData[],MATCH(Table2[[#Headers],[slatlength]],Table2[#Headers],0),0)</f>
        <v xml:space="preserve"> 18 ft.- 5 7/ 8"</v>
      </c>
      <c r="AP686" s="2">
        <f>VLOOKUP([jobnumber],OvalData[],MATCH(Table2[[#Headers],[Bottom Slat Length]],Table2[#Headers],0),0)</f>
        <v>0</v>
      </c>
      <c r="AQ686" s="2">
        <f>VLOOKUP([jobnumber],OvalData[],MATCH(Table2[[#Headers],[Number of Perferated Slats]],Table2[#Headers],0),0)</f>
        <v>0</v>
      </c>
      <c r="AR686" s="2">
        <f>VLOOKUP([jobnumber],OvalData[],MATCH(Table2[[#Headers],[First Preferated Slat From End]],Table2[#Headers],0),0)</f>
        <v>0</v>
      </c>
      <c r="AS686" s="2">
        <f>VLOOKUP([jobnumber],OvalData[],MATCH(Table2[[#Headers],[First Preferated Slat From Bottom]],Table2[#Headers],0),0)</f>
        <v>0</v>
      </c>
      <c r="AT686" s="2">
        <f>VLOOKUP([jobnumber],OvalData[],MATCH(Table2[[#Headers],[Total Number of Slats]],Table2[#Headers],0),0)</f>
        <v>51</v>
      </c>
      <c r="AU686" s="2">
        <f>VLOOKUP([jobnumber],OvalData[],MATCH(Table2[[#Headers],[Bottom Bar Slope]],Table2[#Headers],0),0)</f>
        <v>0</v>
      </c>
      <c r="AV686" s="2">
        <f>VLOOKUP([jobnumber],OvalData[],MATCH(Table2[[#Headers],[Bottom Bar Weight]],Table2[#Headers],0),0)</f>
        <v>80.5</v>
      </c>
      <c r="AW686" s="2" t="str">
        <f>VLOOKUP([jobnumber],OvalData[],MATCH(Table2[[#Headers],[Outer Spring Gage]],Table2[#Headers],0),0)</f>
        <v>Null</v>
      </c>
      <c r="AX686" s="2" t="str">
        <f>VLOOKUP([jobnumber],OvalData[],MATCH(Table2[[#Headers],[Outer Spring OD]],Table2[#Headers],0),0)</f>
        <v>Null</v>
      </c>
      <c r="AY686" s="2" t="str">
        <f>VLOOKUP([jobnumber],OvalData[],MATCH(Table2[[#Headers],[Outer Spring Length]],Table2[#Headers],0),0)</f>
        <v>Null</v>
      </c>
      <c r="AZ686" s="2" t="str">
        <f>VLOOKUP([jobnumber],OvalData[],MATCH(Table2[[#Headers],[Outer Spring Stretch]],Table2[#Headers],0),0)</f>
        <v>Null</v>
      </c>
      <c r="BA686" s="2" t="str">
        <f>VLOOKUP([jobnumber],OvalData[],MATCH(Table2[[#Headers],[Outer Spring Torque]],Table2[#Headers],0),0)</f>
        <v>Null</v>
      </c>
      <c r="BB686" s="2" t="str">
        <f>VLOOKUP([jobnumber],OvalData[],MATCH(Table2[[#Headers],[Outer Spring Max Turns]],Table2[#Headers],0),0)</f>
        <v>Null</v>
      </c>
      <c r="BC686" s="2" t="str">
        <f>VLOOKUP([jobnumber],OvalData[],MATCH(Table2[[#Headers],[Outer Spring Weight]],Table2[#Headers],0),0)</f>
        <v>Null</v>
      </c>
      <c r="BD686" s="2" t="str">
        <f>VLOOKUP([jobnumber],OvalData[],MATCH(Table2[[#Headers],[Inner Spring Gage]],Table2[#Headers],0),0)</f>
        <v>Null</v>
      </c>
      <c r="BE686" s="2" t="str">
        <f>VLOOKUP([jobnumber],OvalData[],MATCH(Table2[[#Headers],[Inner Spring OD]],Table2[#Headers],0),0)</f>
        <v>Null</v>
      </c>
      <c r="BF686" s="2" t="str">
        <f>VLOOKUP([jobnumber],OvalData[],MATCH(Table2[[#Headers],[Inner Spring Length]],Table2[#Headers],0),0)</f>
        <v>Null</v>
      </c>
      <c r="BG686" s="2" t="str">
        <f>VLOOKUP([jobnumber],OvalData[],MATCH(Table2[[#Headers],[Inner Spring Stretch]],Table2[#Headers],0),0)</f>
        <v>Null</v>
      </c>
      <c r="BH686" s="2" t="str">
        <f>VLOOKUP([jobnumber],OvalData[],MATCH(Table2[[#Headers],[Inner Spring Torque]],Table2[#Headers],0),0)</f>
        <v>Null</v>
      </c>
      <c r="BI686" s="2" t="str">
        <f>VLOOKUP([jobnumber],OvalData[],MATCH(Table2[[#Headers],[Inner Spring Max Turns]],Table2[#Headers],0),0)</f>
        <v>Null</v>
      </c>
      <c r="BJ686" s="2" t="str">
        <f>VLOOKUP([jobnumber],OvalData[],MATCH(Table2[[#Headers],[Inner Spring Weight]],Table2[#Headers],0),0)</f>
        <v>Null</v>
      </c>
      <c r="BK686" s="2">
        <f>VLOOKUP([jobnumber],OvalData[],MATCH(Table2[[#Headers],[Cycles]],Table2[#Headers],0),0)</f>
        <v>0</v>
      </c>
      <c r="BL686" s="2">
        <f>VLOOKUP([jobnumber],OvalData[],MATCH(Table2[[#Headers],[Total Spring Torque]],Table2[#Headers],0),0)</f>
        <v>0</v>
      </c>
      <c r="BM686" s="2">
        <f>VLOOKUP([jobnumber],OvalData[],MATCH(Table2[[#Headers],[Total Spring Weight]],Table2[#Headers],0),0)</f>
        <v>0</v>
      </c>
      <c r="BN686" s="2">
        <f>VLOOKUP([jobnumber],OvalData[],MATCH(Table2[[#Headers],[Pipe Weight]],Table2[#Headers],0),0)</f>
        <v>688.24239999999998</v>
      </c>
      <c r="BO686" s="2">
        <f>VLOOKUP([jobnumber],OvalData[],MATCH(Table2[[#Headers],[Max Pipe Deflection]],Table2[#Headers],0),0)</f>
        <v>2309</v>
      </c>
      <c r="BP686" s="2">
        <f>VLOOKUP([jobnumber],OvalData[],MATCH(Table2[[#Headers],[Number Non-Insulated Wrap Slats]],Table2[#Headers],0),0)</f>
        <v>0</v>
      </c>
      <c r="BQ686" s="2">
        <f>VLOOKUP([jobnumber],OvalData[],MATCH(Table2[[#Headers],[Number of Insolated Top Slats]],Table2[#Headers],0),0)</f>
        <v>45</v>
      </c>
      <c r="BR686" s="2">
        <f>VLOOKUP([jobnumber],OvalData[],MATCH(Table2[[#Headers],[Insolated Total Slats]],Table2[#Headers],0),0)</f>
        <v>45</v>
      </c>
      <c r="BS686" s="2">
        <f>VLOOKUP([jobnumber],OvalData[],MATCH(Table2[[#Headers],[Number of Slats]],Table2[#Headers],0),0)</f>
        <v>44.69</v>
      </c>
      <c r="BT686" s="2">
        <f>VLOOKUP([jobnumber],OvalData[],MATCH(Table2[[#Headers],[Wrap]],Table2[#Headers],0),0)</f>
        <v>0</v>
      </c>
      <c r="BU686" s="2">
        <f>VLOOKUP([jobnumber],OvalData[],MATCH(Table2[[#Headers],[Wall Angle Thickness]],Table2[#Headers],0),0)</f>
        <v>0</v>
      </c>
      <c r="BV686" s="2">
        <f>VLOOKUP([jobnumber],OvalData[],MATCH(Table2[[#Headers],[windlocks]],Table2[#Headers],0),0)</f>
        <v>0</v>
      </c>
      <c r="BW686" s="2" t="str">
        <f>VLOOKUP([jobnumber],OvalData[],MATCH(Table2[[#Headers],[bottombartype]],Table2[#Headers],0),0)</f>
        <v>SPECIAL</v>
      </c>
      <c r="BX686" s="2">
        <f>VLOOKUP([jobnumber],OvalData[],MATCH(Table2[[#Headers],[endlockweight]],Table2[#Headers],0),0)</f>
        <v>0.17</v>
      </c>
      <c r="BY686" s="2">
        <f>VLOOKUP([jobnumber],OvalData[],MATCH(Table2[[#Headers],[Endlock Total Weight]],Table2[#Headers],0),0)</f>
        <v>7.5972999999999997</v>
      </c>
      <c r="BZ686" s="2">
        <f>VLOOKUP([jobnumber],OvalData[],MATCH(Table2[[#Headers],[Grille Weight]],Table2[#Headers],0),0)</f>
        <v>0</v>
      </c>
      <c r="CA686" s="2">
        <f>VLOOKUP([jobnumber],OvalData[],MATCH(Table2[[#Headers],[barrelrings]],Table2[#Headers],0),0)</f>
        <v>1</v>
      </c>
    </row>
    <row r="687" spans="2:79">
      <c r="B687" s="2" t="str">
        <f>VLOOKUP([jobnumber],OvalData[],MATCH(Table2[[#Headers],[Hand]],Table2[#Headers],0),0)</f>
        <v>RH</v>
      </c>
      <c r="C687" s="2" t="str">
        <f>VLOOKUP([jobnumber],OvalData[],MATCH(Table2[[#Headers],[Model]],Table2[#Headers],0),0)</f>
        <v>SFMPP</v>
      </c>
      <c r="D687" s="2" t="str">
        <f>VLOOKUP([jobnumber],OvalData[],MATCH(Table2[[#Headers],[width]],Table2[#Headers],0),0)</f>
        <v xml:space="preserve"> 18 ft.- 2"</v>
      </c>
      <c r="E687" s="2" t="str">
        <f>VLOOKUP([jobnumber],OvalData[],MATCH(Table2[[#Headers],[stopheight]],Table2[#Headers],0),0)</f>
        <v xml:space="preserve"> 10 ft.- 0"</v>
      </c>
      <c r="F687" s="2" t="str">
        <f>VLOOKUP([jobnumber],OvalData[],MATCH(Table2[[#Headers],[Between Brackets]],Table2[#Headers],0),0)</f>
        <v xml:space="preserve"> 18 ft.- 7 7/ 8"</v>
      </c>
      <c r="G687" s="2" t="str">
        <f>VLOOKUP([jobnumber],OvalData[],MATCH(Table2[[#Headers],[shell]],Table2[#Headers],0),0)</f>
        <v>6 INCH TUBE</v>
      </c>
      <c r="H687" s="2" t="str">
        <f>VLOOKUP([jobnumber],OvalData[],MATCH(Table2[[#Headers],[pipewidth]],Table2[#Headers],0),0)</f>
        <v xml:space="preserve"> 18 ft.- 1 3/ 8"</v>
      </c>
      <c r="I687" s="2">
        <f>VLOOKUP([jobnumber],OvalData[],MATCH(Table2[[#Headers],[Support Tubes]],Table2[#Headers],0),0)</f>
        <v>0</v>
      </c>
      <c r="J687" s="2">
        <f>VLOOKUP([jobnumber],OvalData[],MATCH(Table2[[#Headers],[Upset]],Table2[#Headers],0),0)</f>
        <v>2</v>
      </c>
      <c r="K687" s="2" t="str">
        <f>VLOOKUP([jobnumber],OvalData[],MATCH(Table2[[#Headers],[Guide Type]],Table2[#Headers],0),0)</f>
        <v>SN2-4 5/8-E</v>
      </c>
      <c r="L687" s="2" t="str">
        <f>VLOOKUP([jobnumber],OvalData[],MATCH(Table2[[#Headers],[Wall Angle]],Table2[#Headers],0),0)</f>
        <v xml:space="preserve"> 11 ft.- 8"</v>
      </c>
      <c r="M687" s="2" t="str">
        <f>VLOOKUP([jobnumber],OvalData[],MATCH(Table2[[#Headers],[Middle Angle]],Table2[#Headers],0),0)</f>
        <v xml:space="preserve"> 10 ft.- 4 1/ 2"</v>
      </c>
      <c r="N687" s="2" t="str">
        <f>VLOOKUP([jobnumber],OvalData[],MATCH(Table2[[#Headers],[Front Angle]],Table2[#Headers],0),0)</f>
        <v xml:space="preserve"> 10 ft.- 3"</v>
      </c>
      <c r="O687" s="2">
        <f>VLOOKUP([jobnumber],OvalData[],MATCH(Table2[[#Headers],[Pipe Center Line]],Table2[#Headers],0),0)</f>
        <v>131</v>
      </c>
      <c r="P687" s="2">
        <f>VLOOKUP([jobnumber],OvalData[],MATCH(Table2[[#Headers],[Heat Expansion Gap]],Table2[#Headers],0),0)</f>
        <v>0</v>
      </c>
      <c r="Q687" s="2">
        <f>VLOOKUP([jobnumber],OvalData[],MATCH(Table2[[#Headers],[Hanging Weight Closed]],Table2[#Headers],0),0)</f>
        <v>795</v>
      </c>
      <c r="R687" s="2">
        <f>VLOOKUP([jobnumber],OvalData[],MATCH(Table2[[#Headers],[Hanging Weight Open]],Table2[#Headers],0),0)</f>
        <v>140</v>
      </c>
      <c r="S687" s="2">
        <f>VLOOKUP([jobnumber],OvalData[],MATCH(Table2[[#Headers],[Initial Lever Arm]],Table2[#Headers],0),0)</f>
        <v>4.25</v>
      </c>
      <c r="T687" s="2">
        <f>VLOOKUP([jobnumber],OvalData[],MATCH(Table2[[#Headers],[Turns to Raise]],Table2[#Headers],0),0)</f>
        <v>3.5859999999999999</v>
      </c>
      <c r="U687" s="2">
        <f>VLOOKUP([jobnumber],OvalData[],MATCH(Table2[[#Headers],[Final Lever Arm]],Table2[#Headers],0),0)</f>
        <v>6.37</v>
      </c>
      <c r="V687" s="2">
        <f>VLOOKUP([jobnumber],OvalData[],MATCH(Table2[[#Headers],[Torque Required Closed]],Table2[#Headers],0),0)</f>
        <v>3377.9</v>
      </c>
      <c r="W687" s="2">
        <f>VLOOKUP([jobnumber],OvalData[],MATCH(Table2[[#Headers],[Torque Required Open]],Table2[#Headers],0),0)</f>
        <v>892</v>
      </c>
      <c r="X687" s="2">
        <f>VLOOKUP([jobnumber],OvalData[],MATCH(Table2[[#Headers],[Pre Turns]],Table2[#Headers],0),0)</f>
        <v>1.3332999999999999</v>
      </c>
      <c r="Y687" s="2">
        <f>VLOOKUP([jobnumber],OvalData[],MATCH(Table2[[#Headers],[Required Torque Per Turn]],Table2[#Headers],0),0)</f>
        <v>688</v>
      </c>
      <c r="Z687" s="2">
        <f>VLOOKUP([jobnumber],OvalData[],MATCH(Table2[[#Headers],[Total Turns]],Table2[#Headers],0),0)</f>
        <v>4.91</v>
      </c>
      <c r="AA687" s="2">
        <f>VLOOKUP([jobnumber],OvalData[],MATCH(Table2[[#Headers],[Grille Vision Section]],Table2[#Headers],0),0)</f>
        <v>0</v>
      </c>
      <c r="AB687" s="2">
        <f>VLOOKUP([jobnumber],OvalData[],MATCH(Table2[[#Headers],[Grille Amount]],Table2[#Headers],0),0)</f>
        <v>0</v>
      </c>
      <c r="AC687" s="2">
        <f>VLOOKUP([jobnumber],OvalData[],MATCH(Table2[[#Headers],[Grille Center]],Table2[#Headers],0),0)</f>
        <v>0</v>
      </c>
      <c r="AD687" s="2">
        <f>VLOOKUP([jobnumber],OvalData[],MATCH(Table2[[#Headers],[Grille Pattern]],Table2[#Headers],0),0)</f>
        <v>0</v>
      </c>
      <c r="AE687" s="2">
        <f>VLOOKUP([jobnumber],OvalData[],MATCH(Table2[[#Headers],[Grille First Tube]],Table2[#Headers],0),0)</f>
        <v>0</v>
      </c>
      <c r="AF687" s="2">
        <f>VLOOKUP([jobnumber],OvalData[],MATCH(Table2[[#Headers],[Grille Standard Tube]],Table2[#Headers],0),0)</f>
        <v>0</v>
      </c>
      <c r="AG687" s="2">
        <f>VLOOKUP([jobnumber],OvalData[],MATCH(Table2[[#Headers],[Grille Total Links]],Table2[#Headers],0),0)</f>
        <v>0</v>
      </c>
      <c r="AH687" s="2">
        <f>VLOOKUP([jobnumber],OvalData[],MATCH(Table2[[#Headers],[Grille Rods]],Table2[#Headers],0),0)</f>
        <v>0</v>
      </c>
      <c r="AI687" s="2">
        <f>VLOOKUP([jobnumber],OvalData[],MATCH(Table2[[#Headers],[Grille Rod Length]],Table2[#Headers],0),0)</f>
        <v>0</v>
      </c>
      <c r="AJ687" s="2">
        <f>VLOOKUP([jobnumber],OvalData[],MATCH(Table2[[#Headers],[slattype]],Table2[#Headers],0),0)</f>
        <v>2</v>
      </c>
      <c r="AK687" s="2">
        <f>VLOOKUP([jobnumber],OvalData[],MATCH(Table2[[#Headers],[slatgage]],Table2[#Headers],0),0)</f>
        <v>18</v>
      </c>
      <c r="AL687" s="2">
        <f>VLOOKUP([jobnumber],OvalData[],MATCH(Table2[[#Headers],[Numer of Top Slats]],Table2[#Headers],0),0)</f>
        <v>0</v>
      </c>
      <c r="AM687" s="2">
        <f>VLOOKUP([jobnumber],OvalData[],MATCH(Table2[[#Headers],[Number of Bottom Slats]],Table2[#Headers],0),0)</f>
        <v>0</v>
      </c>
      <c r="AN687" s="2">
        <f>VLOOKUP([jobnumber],OvalData[],MATCH(Table2[[#Headers],[Solid Bottom Height]],Table2[#Headers],0),0)</f>
        <v>0</v>
      </c>
      <c r="AO687" s="2" t="str">
        <f>VLOOKUP([jobnumber],OvalData[],MATCH(Table2[[#Headers],[slatlength]],Table2[#Headers],0),0)</f>
        <v xml:space="preserve"> 18 ft.- 5 7/ 8"</v>
      </c>
      <c r="AP687" s="2">
        <f>VLOOKUP([jobnumber],OvalData[],MATCH(Table2[[#Headers],[Bottom Slat Length]],Table2[#Headers],0),0)</f>
        <v>0</v>
      </c>
      <c r="AQ687" s="2">
        <f>VLOOKUP([jobnumber],OvalData[],MATCH(Table2[[#Headers],[Number of Perferated Slats]],Table2[#Headers],0),0)</f>
        <v>0</v>
      </c>
      <c r="AR687" s="2">
        <f>VLOOKUP([jobnumber],OvalData[],MATCH(Table2[[#Headers],[First Preferated Slat From End]],Table2[#Headers],0),0)</f>
        <v>0</v>
      </c>
      <c r="AS687" s="2">
        <f>VLOOKUP([jobnumber],OvalData[],MATCH(Table2[[#Headers],[First Preferated Slat From Bottom]],Table2[#Headers],0),0)</f>
        <v>0</v>
      </c>
      <c r="AT687" s="2">
        <f>VLOOKUP([jobnumber],OvalData[],MATCH(Table2[[#Headers],[Total Number of Slats]],Table2[#Headers],0),0)</f>
        <v>51</v>
      </c>
      <c r="AU687" s="2">
        <f>VLOOKUP([jobnumber],OvalData[],MATCH(Table2[[#Headers],[Bottom Bar Slope]],Table2[#Headers],0),0)</f>
        <v>0</v>
      </c>
      <c r="AV687" s="2">
        <f>VLOOKUP([jobnumber],OvalData[],MATCH(Table2[[#Headers],[Bottom Bar Weight]],Table2[#Headers],0),0)</f>
        <v>80.5</v>
      </c>
      <c r="AW687" s="2" t="str">
        <f>VLOOKUP([jobnumber],OvalData[],MATCH(Table2[[#Headers],[Outer Spring Gage]],Table2[#Headers],0),0)</f>
        <v>Null</v>
      </c>
      <c r="AX687" s="2" t="str">
        <f>VLOOKUP([jobnumber],OvalData[],MATCH(Table2[[#Headers],[Outer Spring OD]],Table2[#Headers],0),0)</f>
        <v>Null</v>
      </c>
      <c r="AY687" s="2" t="str">
        <f>VLOOKUP([jobnumber],OvalData[],MATCH(Table2[[#Headers],[Outer Spring Length]],Table2[#Headers],0),0)</f>
        <v>Null</v>
      </c>
      <c r="AZ687" s="2" t="str">
        <f>VLOOKUP([jobnumber],OvalData[],MATCH(Table2[[#Headers],[Outer Spring Stretch]],Table2[#Headers],0),0)</f>
        <v>Null</v>
      </c>
      <c r="BA687" s="2" t="str">
        <f>VLOOKUP([jobnumber],OvalData[],MATCH(Table2[[#Headers],[Outer Spring Torque]],Table2[#Headers],0),0)</f>
        <v>Null</v>
      </c>
      <c r="BB687" s="2" t="str">
        <f>VLOOKUP([jobnumber],OvalData[],MATCH(Table2[[#Headers],[Outer Spring Max Turns]],Table2[#Headers],0),0)</f>
        <v>Null</v>
      </c>
      <c r="BC687" s="2" t="str">
        <f>VLOOKUP([jobnumber],OvalData[],MATCH(Table2[[#Headers],[Outer Spring Weight]],Table2[#Headers],0),0)</f>
        <v>Null</v>
      </c>
      <c r="BD687" s="2" t="str">
        <f>VLOOKUP([jobnumber],OvalData[],MATCH(Table2[[#Headers],[Inner Spring Gage]],Table2[#Headers],0),0)</f>
        <v>Null</v>
      </c>
      <c r="BE687" s="2" t="str">
        <f>VLOOKUP([jobnumber],OvalData[],MATCH(Table2[[#Headers],[Inner Spring OD]],Table2[#Headers],0),0)</f>
        <v>Null</v>
      </c>
      <c r="BF687" s="2" t="str">
        <f>VLOOKUP([jobnumber],OvalData[],MATCH(Table2[[#Headers],[Inner Spring Length]],Table2[#Headers],0),0)</f>
        <v>Null</v>
      </c>
      <c r="BG687" s="2" t="str">
        <f>VLOOKUP([jobnumber],OvalData[],MATCH(Table2[[#Headers],[Inner Spring Stretch]],Table2[#Headers],0),0)</f>
        <v>Null</v>
      </c>
      <c r="BH687" s="2" t="str">
        <f>VLOOKUP([jobnumber],OvalData[],MATCH(Table2[[#Headers],[Inner Spring Torque]],Table2[#Headers],0),0)</f>
        <v>Null</v>
      </c>
      <c r="BI687" s="2" t="str">
        <f>VLOOKUP([jobnumber],OvalData[],MATCH(Table2[[#Headers],[Inner Spring Max Turns]],Table2[#Headers],0),0)</f>
        <v>Null</v>
      </c>
      <c r="BJ687" s="2" t="str">
        <f>VLOOKUP([jobnumber],OvalData[],MATCH(Table2[[#Headers],[Inner Spring Weight]],Table2[#Headers],0),0)</f>
        <v>Null</v>
      </c>
      <c r="BK687" s="2">
        <f>VLOOKUP([jobnumber],OvalData[],MATCH(Table2[[#Headers],[Cycles]],Table2[#Headers],0),0)</f>
        <v>0</v>
      </c>
      <c r="BL687" s="2">
        <f>VLOOKUP([jobnumber],OvalData[],MATCH(Table2[[#Headers],[Total Spring Torque]],Table2[#Headers],0),0)</f>
        <v>0</v>
      </c>
      <c r="BM687" s="2">
        <f>VLOOKUP([jobnumber],OvalData[],MATCH(Table2[[#Headers],[Total Spring Weight]],Table2[#Headers],0),0)</f>
        <v>0</v>
      </c>
      <c r="BN687" s="2">
        <f>VLOOKUP([jobnumber],OvalData[],MATCH(Table2[[#Headers],[Pipe Weight]],Table2[#Headers],0),0)</f>
        <v>688.24239999999998</v>
      </c>
      <c r="BO687" s="2">
        <f>VLOOKUP([jobnumber],OvalData[],MATCH(Table2[[#Headers],[Max Pipe Deflection]],Table2[#Headers],0),0)</f>
        <v>2309</v>
      </c>
      <c r="BP687" s="2">
        <f>VLOOKUP([jobnumber],OvalData[],MATCH(Table2[[#Headers],[Number Non-Insulated Wrap Slats]],Table2[#Headers],0),0)</f>
        <v>0</v>
      </c>
      <c r="BQ687" s="2">
        <f>VLOOKUP([jobnumber],OvalData[],MATCH(Table2[[#Headers],[Number of Insolated Top Slats]],Table2[#Headers],0),0)</f>
        <v>45</v>
      </c>
      <c r="BR687" s="2">
        <f>VLOOKUP([jobnumber],OvalData[],MATCH(Table2[[#Headers],[Insolated Total Slats]],Table2[#Headers],0),0)</f>
        <v>45</v>
      </c>
      <c r="BS687" s="2">
        <f>VLOOKUP([jobnumber],OvalData[],MATCH(Table2[[#Headers],[Number of Slats]],Table2[#Headers],0),0)</f>
        <v>44.69</v>
      </c>
      <c r="BT687" s="2">
        <f>VLOOKUP([jobnumber],OvalData[],MATCH(Table2[[#Headers],[Wrap]],Table2[#Headers],0),0)</f>
        <v>0</v>
      </c>
      <c r="BU687" s="2">
        <f>VLOOKUP([jobnumber],OvalData[],MATCH(Table2[[#Headers],[Wall Angle Thickness]],Table2[#Headers],0),0)</f>
        <v>0</v>
      </c>
      <c r="BV687" s="2">
        <f>VLOOKUP([jobnumber],OvalData[],MATCH(Table2[[#Headers],[windlocks]],Table2[#Headers],0),0)</f>
        <v>0</v>
      </c>
      <c r="BW687" s="2" t="str">
        <f>VLOOKUP([jobnumber],OvalData[],MATCH(Table2[[#Headers],[bottombartype]],Table2[#Headers],0),0)</f>
        <v>SPECIAL</v>
      </c>
      <c r="BX687" s="2">
        <f>VLOOKUP([jobnumber],OvalData[],MATCH(Table2[[#Headers],[endlockweight]],Table2[#Headers],0),0)</f>
        <v>0.17</v>
      </c>
      <c r="BY687" s="2">
        <f>VLOOKUP([jobnumber],OvalData[],MATCH(Table2[[#Headers],[Endlock Total Weight]],Table2[#Headers],0),0)</f>
        <v>7.5972999999999997</v>
      </c>
      <c r="BZ687" s="2">
        <f>VLOOKUP([jobnumber],OvalData[],MATCH(Table2[[#Headers],[Grille Weight]],Table2[#Headers],0),0)</f>
        <v>0</v>
      </c>
      <c r="CA687" s="2">
        <f>VLOOKUP([jobnumber],OvalData[],MATCH(Table2[[#Headers],[barrelrings]],Table2[#Headers],0),0)</f>
        <v>1</v>
      </c>
    </row>
    <row r="688" spans="2:79">
      <c r="B688" s="2" t="str">
        <f>VLOOKUP([jobnumber],OvalData[],MATCH(Table2[[#Headers],[Hand]],Table2[#Headers],0),0)</f>
        <v>RH</v>
      </c>
      <c r="C688" s="2" t="str">
        <f>VLOOKUP([jobnumber],OvalData[],MATCH(Table2[[#Headers],[Model]],Table2[#Headers],0),0)</f>
        <v>SFMPP</v>
      </c>
      <c r="D688" s="2" t="str">
        <f>VLOOKUP([jobnumber],OvalData[],MATCH(Table2[[#Headers],[width]],Table2[#Headers],0),0)</f>
        <v xml:space="preserve"> 18 ft.- 2"</v>
      </c>
      <c r="E688" s="2" t="str">
        <f>VLOOKUP([jobnumber],OvalData[],MATCH(Table2[[#Headers],[stopheight]],Table2[#Headers],0),0)</f>
        <v xml:space="preserve"> 10 ft.- 0"</v>
      </c>
      <c r="F688" s="2" t="str">
        <f>VLOOKUP([jobnumber],OvalData[],MATCH(Table2[[#Headers],[Between Brackets]],Table2[#Headers],0),0)</f>
        <v xml:space="preserve"> 18 ft.- 7 7/ 8"</v>
      </c>
      <c r="G688" s="2" t="str">
        <f>VLOOKUP([jobnumber],OvalData[],MATCH(Table2[[#Headers],[shell]],Table2[#Headers],0),0)</f>
        <v>6 INCH TUBE</v>
      </c>
      <c r="H688" s="2" t="str">
        <f>VLOOKUP([jobnumber],OvalData[],MATCH(Table2[[#Headers],[pipewidth]],Table2[#Headers],0),0)</f>
        <v xml:space="preserve"> 18 ft.- 1 3/ 8"</v>
      </c>
      <c r="I688" s="2">
        <f>VLOOKUP([jobnumber],OvalData[],MATCH(Table2[[#Headers],[Support Tubes]],Table2[#Headers],0),0)</f>
        <v>0</v>
      </c>
      <c r="J688" s="2">
        <f>VLOOKUP([jobnumber],OvalData[],MATCH(Table2[[#Headers],[Upset]],Table2[#Headers],0),0)</f>
        <v>2</v>
      </c>
      <c r="K688" s="2" t="str">
        <f>VLOOKUP([jobnumber],OvalData[],MATCH(Table2[[#Headers],[Guide Type]],Table2[#Headers],0),0)</f>
        <v>SN2-4 5/8-E</v>
      </c>
      <c r="L688" s="2" t="str">
        <f>VLOOKUP([jobnumber],OvalData[],MATCH(Table2[[#Headers],[Wall Angle]],Table2[#Headers],0),0)</f>
        <v xml:space="preserve"> 11 ft.- 8"</v>
      </c>
      <c r="M688" s="2" t="str">
        <f>VLOOKUP([jobnumber],OvalData[],MATCH(Table2[[#Headers],[Middle Angle]],Table2[#Headers],0),0)</f>
        <v xml:space="preserve"> 10 ft.- 4 1/ 2"</v>
      </c>
      <c r="N688" s="2" t="str">
        <f>VLOOKUP([jobnumber],OvalData[],MATCH(Table2[[#Headers],[Front Angle]],Table2[#Headers],0),0)</f>
        <v xml:space="preserve"> 10 ft.- 3"</v>
      </c>
      <c r="O688" s="2">
        <f>VLOOKUP([jobnumber],OvalData[],MATCH(Table2[[#Headers],[Pipe Center Line]],Table2[#Headers],0),0)</f>
        <v>131</v>
      </c>
      <c r="P688" s="2">
        <f>VLOOKUP([jobnumber],OvalData[],MATCH(Table2[[#Headers],[Heat Expansion Gap]],Table2[#Headers],0),0)</f>
        <v>0</v>
      </c>
      <c r="Q688" s="2">
        <f>VLOOKUP([jobnumber],OvalData[],MATCH(Table2[[#Headers],[Hanging Weight Closed]],Table2[#Headers],0),0)</f>
        <v>795</v>
      </c>
      <c r="R688" s="2">
        <f>VLOOKUP([jobnumber],OvalData[],MATCH(Table2[[#Headers],[Hanging Weight Open]],Table2[#Headers],0),0)</f>
        <v>140</v>
      </c>
      <c r="S688" s="2">
        <f>VLOOKUP([jobnumber],OvalData[],MATCH(Table2[[#Headers],[Initial Lever Arm]],Table2[#Headers],0),0)</f>
        <v>4.25</v>
      </c>
      <c r="T688" s="2">
        <f>VLOOKUP([jobnumber],OvalData[],MATCH(Table2[[#Headers],[Turns to Raise]],Table2[#Headers],0),0)</f>
        <v>3.5859999999999999</v>
      </c>
      <c r="U688" s="2">
        <f>VLOOKUP([jobnumber],OvalData[],MATCH(Table2[[#Headers],[Final Lever Arm]],Table2[#Headers],0),0)</f>
        <v>6.37</v>
      </c>
      <c r="V688" s="2">
        <f>VLOOKUP([jobnumber],OvalData[],MATCH(Table2[[#Headers],[Torque Required Closed]],Table2[#Headers],0),0)</f>
        <v>3377.9</v>
      </c>
      <c r="W688" s="2">
        <f>VLOOKUP([jobnumber],OvalData[],MATCH(Table2[[#Headers],[Torque Required Open]],Table2[#Headers],0),0)</f>
        <v>892</v>
      </c>
      <c r="X688" s="2">
        <f>VLOOKUP([jobnumber],OvalData[],MATCH(Table2[[#Headers],[Pre Turns]],Table2[#Headers],0),0)</f>
        <v>1.3332999999999999</v>
      </c>
      <c r="Y688" s="2">
        <f>VLOOKUP([jobnumber],OvalData[],MATCH(Table2[[#Headers],[Required Torque Per Turn]],Table2[#Headers],0),0)</f>
        <v>688</v>
      </c>
      <c r="Z688" s="2">
        <f>VLOOKUP([jobnumber],OvalData[],MATCH(Table2[[#Headers],[Total Turns]],Table2[#Headers],0),0)</f>
        <v>4.91</v>
      </c>
      <c r="AA688" s="2">
        <f>VLOOKUP([jobnumber],OvalData[],MATCH(Table2[[#Headers],[Grille Vision Section]],Table2[#Headers],0),0)</f>
        <v>0</v>
      </c>
      <c r="AB688" s="2">
        <f>VLOOKUP([jobnumber],OvalData[],MATCH(Table2[[#Headers],[Grille Amount]],Table2[#Headers],0),0)</f>
        <v>0</v>
      </c>
      <c r="AC688" s="2">
        <f>VLOOKUP([jobnumber],OvalData[],MATCH(Table2[[#Headers],[Grille Center]],Table2[#Headers],0),0)</f>
        <v>0</v>
      </c>
      <c r="AD688" s="2">
        <f>VLOOKUP([jobnumber],OvalData[],MATCH(Table2[[#Headers],[Grille Pattern]],Table2[#Headers],0),0)</f>
        <v>0</v>
      </c>
      <c r="AE688" s="2">
        <f>VLOOKUP([jobnumber],OvalData[],MATCH(Table2[[#Headers],[Grille First Tube]],Table2[#Headers],0),0)</f>
        <v>0</v>
      </c>
      <c r="AF688" s="2">
        <f>VLOOKUP([jobnumber],OvalData[],MATCH(Table2[[#Headers],[Grille Standard Tube]],Table2[#Headers],0),0)</f>
        <v>0</v>
      </c>
      <c r="AG688" s="2">
        <f>VLOOKUP([jobnumber],OvalData[],MATCH(Table2[[#Headers],[Grille Total Links]],Table2[#Headers],0),0)</f>
        <v>0</v>
      </c>
      <c r="AH688" s="2">
        <f>VLOOKUP([jobnumber],OvalData[],MATCH(Table2[[#Headers],[Grille Rods]],Table2[#Headers],0),0)</f>
        <v>0</v>
      </c>
      <c r="AI688" s="2">
        <f>VLOOKUP([jobnumber],OvalData[],MATCH(Table2[[#Headers],[Grille Rod Length]],Table2[#Headers],0),0)</f>
        <v>0</v>
      </c>
      <c r="AJ688" s="2">
        <f>VLOOKUP([jobnumber],OvalData[],MATCH(Table2[[#Headers],[slattype]],Table2[#Headers],0),0)</f>
        <v>2</v>
      </c>
      <c r="AK688" s="2">
        <f>VLOOKUP([jobnumber],OvalData[],MATCH(Table2[[#Headers],[slatgage]],Table2[#Headers],0),0)</f>
        <v>18</v>
      </c>
      <c r="AL688" s="2">
        <f>VLOOKUP([jobnumber],OvalData[],MATCH(Table2[[#Headers],[Numer of Top Slats]],Table2[#Headers],0),0)</f>
        <v>0</v>
      </c>
      <c r="AM688" s="2">
        <f>VLOOKUP([jobnumber],OvalData[],MATCH(Table2[[#Headers],[Number of Bottom Slats]],Table2[#Headers],0),0)</f>
        <v>0</v>
      </c>
      <c r="AN688" s="2">
        <f>VLOOKUP([jobnumber],OvalData[],MATCH(Table2[[#Headers],[Solid Bottom Height]],Table2[#Headers],0),0)</f>
        <v>0</v>
      </c>
      <c r="AO688" s="2" t="str">
        <f>VLOOKUP([jobnumber],OvalData[],MATCH(Table2[[#Headers],[slatlength]],Table2[#Headers],0),0)</f>
        <v xml:space="preserve"> 18 ft.- 5 7/ 8"</v>
      </c>
      <c r="AP688" s="2">
        <f>VLOOKUP([jobnumber],OvalData[],MATCH(Table2[[#Headers],[Bottom Slat Length]],Table2[#Headers],0),0)</f>
        <v>0</v>
      </c>
      <c r="AQ688" s="2">
        <f>VLOOKUP([jobnumber],OvalData[],MATCH(Table2[[#Headers],[Number of Perferated Slats]],Table2[#Headers],0),0)</f>
        <v>0</v>
      </c>
      <c r="AR688" s="2">
        <f>VLOOKUP([jobnumber],OvalData[],MATCH(Table2[[#Headers],[First Preferated Slat From End]],Table2[#Headers],0),0)</f>
        <v>0</v>
      </c>
      <c r="AS688" s="2">
        <f>VLOOKUP([jobnumber],OvalData[],MATCH(Table2[[#Headers],[First Preferated Slat From Bottom]],Table2[#Headers],0),0)</f>
        <v>0</v>
      </c>
      <c r="AT688" s="2">
        <f>VLOOKUP([jobnumber],OvalData[],MATCH(Table2[[#Headers],[Total Number of Slats]],Table2[#Headers],0),0)</f>
        <v>51</v>
      </c>
      <c r="AU688" s="2">
        <f>VLOOKUP([jobnumber],OvalData[],MATCH(Table2[[#Headers],[Bottom Bar Slope]],Table2[#Headers],0),0)</f>
        <v>0</v>
      </c>
      <c r="AV688" s="2">
        <f>VLOOKUP([jobnumber],OvalData[],MATCH(Table2[[#Headers],[Bottom Bar Weight]],Table2[#Headers],0),0)</f>
        <v>80.5</v>
      </c>
      <c r="AW688" s="2" t="str">
        <f>VLOOKUP([jobnumber],OvalData[],MATCH(Table2[[#Headers],[Outer Spring Gage]],Table2[#Headers],0),0)</f>
        <v>Null</v>
      </c>
      <c r="AX688" s="2" t="str">
        <f>VLOOKUP([jobnumber],OvalData[],MATCH(Table2[[#Headers],[Outer Spring OD]],Table2[#Headers],0),0)</f>
        <v>Null</v>
      </c>
      <c r="AY688" s="2" t="str">
        <f>VLOOKUP([jobnumber],OvalData[],MATCH(Table2[[#Headers],[Outer Spring Length]],Table2[#Headers],0),0)</f>
        <v>Null</v>
      </c>
      <c r="AZ688" s="2" t="str">
        <f>VLOOKUP([jobnumber],OvalData[],MATCH(Table2[[#Headers],[Outer Spring Stretch]],Table2[#Headers],0),0)</f>
        <v>Null</v>
      </c>
      <c r="BA688" s="2" t="str">
        <f>VLOOKUP([jobnumber],OvalData[],MATCH(Table2[[#Headers],[Outer Spring Torque]],Table2[#Headers],0),0)</f>
        <v>Null</v>
      </c>
      <c r="BB688" s="2" t="str">
        <f>VLOOKUP([jobnumber],OvalData[],MATCH(Table2[[#Headers],[Outer Spring Max Turns]],Table2[#Headers],0),0)</f>
        <v>Null</v>
      </c>
      <c r="BC688" s="2" t="str">
        <f>VLOOKUP([jobnumber],OvalData[],MATCH(Table2[[#Headers],[Outer Spring Weight]],Table2[#Headers],0),0)</f>
        <v>Null</v>
      </c>
      <c r="BD688" s="2" t="str">
        <f>VLOOKUP([jobnumber],OvalData[],MATCH(Table2[[#Headers],[Inner Spring Gage]],Table2[#Headers],0),0)</f>
        <v>Null</v>
      </c>
      <c r="BE688" s="2" t="str">
        <f>VLOOKUP([jobnumber],OvalData[],MATCH(Table2[[#Headers],[Inner Spring OD]],Table2[#Headers],0),0)</f>
        <v>Null</v>
      </c>
      <c r="BF688" s="2" t="str">
        <f>VLOOKUP([jobnumber],OvalData[],MATCH(Table2[[#Headers],[Inner Spring Length]],Table2[#Headers],0),0)</f>
        <v>Null</v>
      </c>
      <c r="BG688" s="2" t="str">
        <f>VLOOKUP([jobnumber],OvalData[],MATCH(Table2[[#Headers],[Inner Spring Stretch]],Table2[#Headers],0),0)</f>
        <v>Null</v>
      </c>
      <c r="BH688" s="2" t="str">
        <f>VLOOKUP([jobnumber],OvalData[],MATCH(Table2[[#Headers],[Inner Spring Torque]],Table2[#Headers],0),0)</f>
        <v>Null</v>
      </c>
      <c r="BI688" s="2" t="str">
        <f>VLOOKUP([jobnumber],OvalData[],MATCH(Table2[[#Headers],[Inner Spring Max Turns]],Table2[#Headers],0),0)</f>
        <v>Null</v>
      </c>
      <c r="BJ688" s="2" t="str">
        <f>VLOOKUP([jobnumber],OvalData[],MATCH(Table2[[#Headers],[Inner Spring Weight]],Table2[#Headers],0),0)</f>
        <v>Null</v>
      </c>
      <c r="BK688" s="2">
        <f>VLOOKUP([jobnumber],OvalData[],MATCH(Table2[[#Headers],[Cycles]],Table2[#Headers],0),0)</f>
        <v>0</v>
      </c>
      <c r="BL688" s="2">
        <f>VLOOKUP([jobnumber],OvalData[],MATCH(Table2[[#Headers],[Total Spring Torque]],Table2[#Headers],0),0)</f>
        <v>0</v>
      </c>
      <c r="BM688" s="2">
        <f>VLOOKUP([jobnumber],OvalData[],MATCH(Table2[[#Headers],[Total Spring Weight]],Table2[#Headers],0),0)</f>
        <v>0</v>
      </c>
      <c r="BN688" s="2">
        <f>VLOOKUP([jobnumber],OvalData[],MATCH(Table2[[#Headers],[Pipe Weight]],Table2[#Headers],0),0)</f>
        <v>688.24239999999998</v>
      </c>
      <c r="BO688" s="2">
        <f>VLOOKUP([jobnumber],OvalData[],MATCH(Table2[[#Headers],[Max Pipe Deflection]],Table2[#Headers],0),0)</f>
        <v>2309</v>
      </c>
      <c r="BP688" s="2">
        <f>VLOOKUP([jobnumber],OvalData[],MATCH(Table2[[#Headers],[Number Non-Insulated Wrap Slats]],Table2[#Headers],0),0)</f>
        <v>0</v>
      </c>
      <c r="BQ688" s="2">
        <f>VLOOKUP([jobnumber],OvalData[],MATCH(Table2[[#Headers],[Number of Insolated Top Slats]],Table2[#Headers],0),0)</f>
        <v>45</v>
      </c>
      <c r="BR688" s="2">
        <f>VLOOKUP([jobnumber],OvalData[],MATCH(Table2[[#Headers],[Insolated Total Slats]],Table2[#Headers],0),0)</f>
        <v>45</v>
      </c>
      <c r="BS688" s="2">
        <f>VLOOKUP([jobnumber],OvalData[],MATCH(Table2[[#Headers],[Number of Slats]],Table2[#Headers],0),0)</f>
        <v>44.69</v>
      </c>
      <c r="BT688" s="2">
        <f>VLOOKUP([jobnumber],OvalData[],MATCH(Table2[[#Headers],[Wrap]],Table2[#Headers],0),0)</f>
        <v>0</v>
      </c>
      <c r="BU688" s="2">
        <f>VLOOKUP([jobnumber],OvalData[],MATCH(Table2[[#Headers],[Wall Angle Thickness]],Table2[#Headers],0),0)</f>
        <v>0</v>
      </c>
      <c r="BV688" s="2">
        <f>VLOOKUP([jobnumber],OvalData[],MATCH(Table2[[#Headers],[windlocks]],Table2[#Headers],0),0)</f>
        <v>0</v>
      </c>
      <c r="BW688" s="2" t="str">
        <f>VLOOKUP([jobnumber],OvalData[],MATCH(Table2[[#Headers],[bottombartype]],Table2[#Headers],0),0)</f>
        <v>SPECIAL</v>
      </c>
      <c r="BX688" s="2">
        <f>VLOOKUP([jobnumber],OvalData[],MATCH(Table2[[#Headers],[endlockweight]],Table2[#Headers],0),0)</f>
        <v>0.17</v>
      </c>
      <c r="BY688" s="2">
        <f>VLOOKUP([jobnumber],OvalData[],MATCH(Table2[[#Headers],[Endlock Total Weight]],Table2[#Headers],0),0)</f>
        <v>7.5972999999999997</v>
      </c>
      <c r="BZ688" s="2">
        <f>VLOOKUP([jobnumber],OvalData[],MATCH(Table2[[#Headers],[Grille Weight]],Table2[#Headers],0),0)</f>
        <v>0</v>
      </c>
      <c r="CA688" s="2">
        <f>VLOOKUP([jobnumber],OvalData[],MATCH(Table2[[#Headers],[barrelrings]],Table2[#Headers],0),0)</f>
        <v>1</v>
      </c>
    </row>
    <row r="689" spans="2:79">
      <c r="B689" s="2" t="str">
        <f>VLOOKUP([jobnumber],OvalData[],MATCH(Table2[[#Headers],[Hand]],Table2[#Headers],0),0)</f>
        <v>RH</v>
      </c>
      <c r="C689" s="2" t="str">
        <f>VLOOKUP([jobnumber],OvalData[],MATCH(Table2[[#Headers],[Model]],Table2[#Headers],0),0)</f>
        <v>SFMPP</v>
      </c>
      <c r="D689" s="2" t="str">
        <f>VLOOKUP([jobnumber],OvalData[],MATCH(Table2[[#Headers],[width]],Table2[#Headers],0),0)</f>
        <v xml:space="preserve"> 18 ft.- 2"</v>
      </c>
      <c r="E689" s="2" t="str">
        <f>VLOOKUP([jobnumber],OvalData[],MATCH(Table2[[#Headers],[stopheight]],Table2[#Headers],0),0)</f>
        <v xml:space="preserve"> 10 ft.- 0"</v>
      </c>
      <c r="F689" s="2" t="str">
        <f>VLOOKUP([jobnumber],OvalData[],MATCH(Table2[[#Headers],[Between Brackets]],Table2[#Headers],0),0)</f>
        <v xml:space="preserve"> 18 ft.- 7 7/ 8"</v>
      </c>
      <c r="G689" s="2" t="str">
        <f>VLOOKUP([jobnumber],OvalData[],MATCH(Table2[[#Headers],[shell]],Table2[#Headers],0),0)</f>
        <v>6 INCH TUBE</v>
      </c>
      <c r="H689" s="2" t="str">
        <f>VLOOKUP([jobnumber],OvalData[],MATCH(Table2[[#Headers],[pipewidth]],Table2[#Headers],0),0)</f>
        <v xml:space="preserve"> 18 ft.- 1 3/ 8"</v>
      </c>
      <c r="I689" s="2">
        <f>VLOOKUP([jobnumber],OvalData[],MATCH(Table2[[#Headers],[Support Tubes]],Table2[#Headers],0),0)</f>
        <v>0</v>
      </c>
      <c r="J689" s="2">
        <f>VLOOKUP([jobnumber],OvalData[],MATCH(Table2[[#Headers],[Upset]],Table2[#Headers],0),0)</f>
        <v>2</v>
      </c>
      <c r="K689" s="2" t="str">
        <f>VLOOKUP([jobnumber],OvalData[],MATCH(Table2[[#Headers],[Guide Type]],Table2[#Headers],0),0)</f>
        <v>SN2-4 5/8-E</v>
      </c>
      <c r="L689" s="2" t="str">
        <f>VLOOKUP([jobnumber],OvalData[],MATCH(Table2[[#Headers],[Wall Angle]],Table2[#Headers],0),0)</f>
        <v xml:space="preserve"> 11 ft.- 8"</v>
      </c>
      <c r="M689" s="2" t="str">
        <f>VLOOKUP([jobnumber],OvalData[],MATCH(Table2[[#Headers],[Middle Angle]],Table2[#Headers],0),0)</f>
        <v xml:space="preserve"> 10 ft.- 4 1/ 2"</v>
      </c>
      <c r="N689" s="2" t="str">
        <f>VLOOKUP([jobnumber],OvalData[],MATCH(Table2[[#Headers],[Front Angle]],Table2[#Headers],0),0)</f>
        <v xml:space="preserve"> 10 ft.- 3"</v>
      </c>
      <c r="O689" s="2">
        <f>VLOOKUP([jobnumber],OvalData[],MATCH(Table2[[#Headers],[Pipe Center Line]],Table2[#Headers],0),0)</f>
        <v>131</v>
      </c>
      <c r="P689" s="2">
        <f>VLOOKUP([jobnumber],OvalData[],MATCH(Table2[[#Headers],[Heat Expansion Gap]],Table2[#Headers],0),0)</f>
        <v>0</v>
      </c>
      <c r="Q689" s="2">
        <f>VLOOKUP([jobnumber],OvalData[],MATCH(Table2[[#Headers],[Hanging Weight Closed]],Table2[#Headers],0),0)</f>
        <v>795</v>
      </c>
      <c r="R689" s="2">
        <f>VLOOKUP([jobnumber],OvalData[],MATCH(Table2[[#Headers],[Hanging Weight Open]],Table2[#Headers],0),0)</f>
        <v>140</v>
      </c>
      <c r="S689" s="2">
        <f>VLOOKUP([jobnumber],OvalData[],MATCH(Table2[[#Headers],[Initial Lever Arm]],Table2[#Headers],0),0)</f>
        <v>4.25</v>
      </c>
      <c r="T689" s="2">
        <f>VLOOKUP([jobnumber],OvalData[],MATCH(Table2[[#Headers],[Turns to Raise]],Table2[#Headers],0),0)</f>
        <v>3.5859999999999999</v>
      </c>
      <c r="U689" s="2">
        <f>VLOOKUP([jobnumber],OvalData[],MATCH(Table2[[#Headers],[Final Lever Arm]],Table2[#Headers],0),0)</f>
        <v>6.37</v>
      </c>
      <c r="V689" s="2">
        <f>VLOOKUP([jobnumber],OvalData[],MATCH(Table2[[#Headers],[Torque Required Closed]],Table2[#Headers],0),0)</f>
        <v>3377.9</v>
      </c>
      <c r="W689" s="2">
        <f>VLOOKUP([jobnumber],OvalData[],MATCH(Table2[[#Headers],[Torque Required Open]],Table2[#Headers],0),0)</f>
        <v>892</v>
      </c>
      <c r="X689" s="2">
        <f>VLOOKUP([jobnumber],OvalData[],MATCH(Table2[[#Headers],[Pre Turns]],Table2[#Headers],0),0)</f>
        <v>1.3332999999999999</v>
      </c>
      <c r="Y689" s="2">
        <f>VLOOKUP([jobnumber],OvalData[],MATCH(Table2[[#Headers],[Required Torque Per Turn]],Table2[#Headers],0),0)</f>
        <v>688</v>
      </c>
      <c r="Z689" s="2">
        <f>VLOOKUP([jobnumber],OvalData[],MATCH(Table2[[#Headers],[Total Turns]],Table2[#Headers],0),0)</f>
        <v>4.91</v>
      </c>
      <c r="AA689" s="2">
        <f>VLOOKUP([jobnumber],OvalData[],MATCH(Table2[[#Headers],[Grille Vision Section]],Table2[#Headers],0),0)</f>
        <v>0</v>
      </c>
      <c r="AB689" s="2">
        <f>VLOOKUP([jobnumber],OvalData[],MATCH(Table2[[#Headers],[Grille Amount]],Table2[#Headers],0),0)</f>
        <v>0</v>
      </c>
      <c r="AC689" s="2">
        <f>VLOOKUP([jobnumber],OvalData[],MATCH(Table2[[#Headers],[Grille Center]],Table2[#Headers],0),0)</f>
        <v>0</v>
      </c>
      <c r="AD689" s="2">
        <f>VLOOKUP([jobnumber],OvalData[],MATCH(Table2[[#Headers],[Grille Pattern]],Table2[#Headers],0),0)</f>
        <v>0</v>
      </c>
      <c r="AE689" s="2">
        <f>VLOOKUP([jobnumber],OvalData[],MATCH(Table2[[#Headers],[Grille First Tube]],Table2[#Headers],0),0)</f>
        <v>0</v>
      </c>
      <c r="AF689" s="2">
        <f>VLOOKUP([jobnumber],OvalData[],MATCH(Table2[[#Headers],[Grille Standard Tube]],Table2[#Headers],0),0)</f>
        <v>0</v>
      </c>
      <c r="AG689" s="2">
        <f>VLOOKUP([jobnumber],OvalData[],MATCH(Table2[[#Headers],[Grille Total Links]],Table2[#Headers],0),0)</f>
        <v>0</v>
      </c>
      <c r="AH689" s="2">
        <f>VLOOKUP([jobnumber],OvalData[],MATCH(Table2[[#Headers],[Grille Rods]],Table2[#Headers],0),0)</f>
        <v>0</v>
      </c>
      <c r="AI689" s="2">
        <f>VLOOKUP([jobnumber],OvalData[],MATCH(Table2[[#Headers],[Grille Rod Length]],Table2[#Headers],0),0)</f>
        <v>0</v>
      </c>
      <c r="AJ689" s="2">
        <f>VLOOKUP([jobnumber],OvalData[],MATCH(Table2[[#Headers],[slattype]],Table2[#Headers],0),0)</f>
        <v>2</v>
      </c>
      <c r="AK689" s="2">
        <f>VLOOKUP([jobnumber],OvalData[],MATCH(Table2[[#Headers],[slatgage]],Table2[#Headers],0),0)</f>
        <v>18</v>
      </c>
      <c r="AL689" s="2">
        <f>VLOOKUP([jobnumber],OvalData[],MATCH(Table2[[#Headers],[Numer of Top Slats]],Table2[#Headers],0),0)</f>
        <v>0</v>
      </c>
      <c r="AM689" s="2">
        <f>VLOOKUP([jobnumber],OvalData[],MATCH(Table2[[#Headers],[Number of Bottom Slats]],Table2[#Headers],0),0)</f>
        <v>0</v>
      </c>
      <c r="AN689" s="2">
        <f>VLOOKUP([jobnumber],OvalData[],MATCH(Table2[[#Headers],[Solid Bottom Height]],Table2[#Headers],0),0)</f>
        <v>0</v>
      </c>
      <c r="AO689" s="2" t="str">
        <f>VLOOKUP([jobnumber],OvalData[],MATCH(Table2[[#Headers],[slatlength]],Table2[#Headers],0),0)</f>
        <v xml:space="preserve"> 18 ft.- 5 7/ 8"</v>
      </c>
      <c r="AP689" s="2">
        <f>VLOOKUP([jobnumber],OvalData[],MATCH(Table2[[#Headers],[Bottom Slat Length]],Table2[#Headers],0),0)</f>
        <v>0</v>
      </c>
      <c r="AQ689" s="2">
        <f>VLOOKUP([jobnumber],OvalData[],MATCH(Table2[[#Headers],[Number of Perferated Slats]],Table2[#Headers],0),0)</f>
        <v>0</v>
      </c>
      <c r="AR689" s="2">
        <f>VLOOKUP([jobnumber],OvalData[],MATCH(Table2[[#Headers],[First Preferated Slat From End]],Table2[#Headers],0),0)</f>
        <v>0</v>
      </c>
      <c r="AS689" s="2">
        <f>VLOOKUP([jobnumber],OvalData[],MATCH(Table2[[#Headers],[First Preferated Slat From Bottom]],Table2[#Headers],0),0)</f>
        <v>0</v>
      </c>
      <c r="AT689" s="2">
        <f>VLOOKUP([jobnumber],OvalData[],MATCH(Table2[[#Headers],[Total Number of Slats]],Table2[#Headers],0),0)</f>
        <v>51</v>
      </c>
      <c r="AU689" s="2">
        <f>VLOOKUP([jobnumber],OvalData[],MATCH(Table2[[#Headers],[Bottom Bar Slope]],Table2[#Headers],0),0)</f>
        <v>0</v>
      </c>
      <c r="AV689" s="2">
        <f>VLOOKUP([jobnumber],OvalData[],MATCH(Table2[[#Headers],[Bottom Bar Weight]],Table2[#Headers],0),0)</f>
        <v>80.5</v>
      </c>
      <c r="AW689" s="2" t="str">
        <f>VLOOKUP([jobnumber],OvalData[],MATCH(Table2[[#Headers],[Outer Spring Gage]],Table2[#Headers],0),0)</f>
        <v>Null</v>
      </c>
      <c r="AX689" s="2" t="str">
        <f>VLOOKUP([jobnumber],OvalData[],MATCH(Table2[[#Headers],[Outer Spring OD]],Table2[#Headers],0),0)</f>
        <v>Null</v>
      </c>
      <c r="AY689" s="2" t="str">
        <f>VLOOKUP([jobnumber],OvalData[],MATCH(Table2[[#Headers],[Outer Spring Length]],Table2[#Headers],0),0)</f>
        <v>Null</v>
      </c>
      <c r="AZ689" s="2" t="str">
        <f>VLOOKUP([jobnumber],OvalData[],MATCH(Table2[[#Headers],[Outer Spring Stretch]],Table2[#Headers],0),0)</f>
        <v>Null</v>
      </c>
      <c r="BA689" s="2" t="str">
        <f>VLOOKUP([jobnumber],OvalData[],MATCH(Table2[[#Headers],[Outer Spring Torque]],Table2[#Headers],0),0)</f>
        <v>Null</v>
      </c>
      <c r="BB689" s="2" t="str">
        <f>VLOOKUP([jobnumber],OvalData[],MATCH(Table2[[#Headers],[Outer Spring Max Turns]],Table2[#Headers],0),0)</f>
        <v>Null</v>
      </c>
      <c r="BC689" s="2" t="str">
        <f>VLOOKUP([jobnumber],OvalData[],MATCH(Table2[[#Headers],[Outer Spring Weight]],Table2[#Headers],0),0)</f>
        <v>Null</v>
      </c>
      <c r="BD689" s="2" t="str">
        <f>VLOOKUP([jobnumber],OvalData[],MATCH(Table2[[#Headers],[Inner Spring Gage]],Table2[#Headers],0),0)</f>
        <v>Null</v>
      </c>
      <c r="BE689" s="2" t="str">
        <f>VLOOKUP([jobnumber],OvalData[],MATCH(Table2[[#Headers],[Inner Spring OD]],Table2[#Headers],0),0)</f>
        <v>Null</v>
      </c>
      <c r="BF689" s="2" t="str">
        <f>VLOOKUP([jobnumber],OvalData[],MATCH(Table2[[#Headers],[Inner Spring Length]],Table2[#Headers],0),0)</f>
        <v>Null</v>
      </c>
      <c r="BG689" s="2" t="str">
        <f>VLOOKUP([jobnumber],OvalData[],MATCH(Table2[[#Headers],[Inner Spring Stretch]],Table2[#Headers],0),0)</f>
        <v>Null</v>
      </c>
      <c r="BH689" s="2" t="str">
        <f>VLOOKUP([jobnumber],OvalData[],MATCH(Table2[[#Headers],[Inner Spring Torque]],Table2[#Headers],0),0)</f>
        <v>Null</v>
      </c>
      <c r="BI689" s="2" t="str">
        <f>VLOOKUP([jobnumber],OvalData[],MATCH(Table2[[#Headers],[Inner Spring Max Turns]],Table2[#Headers],0),0)</f>
        <v>Null</v>
      </c>
      <c r="BJ689" s="2" t="str">
        <f>VLOOKUP([jobnumber],OvalData[],MATCH(Table2[[#Headers],[Inner Spring Weight]],Table2[#Headers],0),0)</f>
        <v>Null</v>
      </c>
      <c r="BK689" s="2">
        <f>VLOOKUP([jobnumber],OvalData[],MATCH(Table2[[#Headers],[Cycles]],Table2[#Headers],0),0)</f>
        <v>0</v>
      </c>
      <c r="BL689" s="2">
        <f>VLOOKUP([jobnumber],OvalData[],MATCH(Table2[[#Headers],[Total Spring Torque]],Table2[#Headers],0),0)</f>
        <v>0</v>
      </c>
      <c r="BM689" s="2">
        <f>VLOOKUP([jobnumber],OvalData[],MATCH(Table2[[#Headers],[Total Spring Weight]],Table2[#Headers],0),0)</f>
        <v>0</v>
      </c>
      <c r="BN689" s="2">
        <f>VLOOKUP([jobnumber],OvalData[],MATCH(Table2[[#Headers],[Pipe Weight]],Table2[#Headers],0),0)</f>
        <v>688.24239999999998</v>
      </c>
      <c r="BO689" s="2">
        <f>VLOOKUP([jobnumber],OvalData[],MATCH(Table2[[#Headers],[Max Pipe Deflection]],Table2[#Headers],0),0)</f>
        <v>2309</v>
      </c>
      <c r="BP689" s="2">
        <f>VLOOKUP([jobnumber],OvalData[],MATCH(Table2[[#Headers],[Number Non-Insulated Wrap Slats]],Table2[#Headers],0),0)</f>
        <v>0</v>
      </c>
      <c r="BQ689" s="2">
        <f>VLOOKUP([jobnumber],OvalData[],MATCH(Table2[[#Headers],[Number of Insolated Top Slats]],Table2[#Headers],0),0)</f>
        <v>45</v>
      </c>
      <c r="BR689" s="2">
        <f>VLOOKUP([jobnumber],OvalData[],MATCH(Table2[[#Headers],[Insolated Total Slats]],Table2[#Headers],0),0)</f>
        <v>45</v>
      </c>
      <c r="BS689" s="2">
        <f>VLOOKUP([jobnumber],OvalData[],MATCH(Table2[[#Headers],[Number of Slats]],Table2[#Headers],0),0)</f>
        <v>44.69</v>
      </c>
      <c r="BT689" s="2">
        <f>VLOOKUP([jobnumber],OvalData[],MATCH(Table2[[#Headers],[Wrap]],Table2[#Headers],0),0)</f>
        <v>0</v>
      </c>
      <c r="BU689" s="2">
        <f>VLOOKUP([jobnumber],OvalData[],MATCH(Table2[[#Headers],[Wall Angle Thickness]],Table2[#Headers],0),0)</f>
        <v>0</v>
      </c>
      <c r="BV689" s="2">
        <f>VLOOKUP([jobnumber],OvalData[],MATCH(Table2[[#Headers],[windlocks]],Table2[#Headers],0),0)</f>
        <v>0</v>
      </c>
      <c r="BW689" s="2" t="str">
        <f>VLOOKUP([jobnumber],OvalData[],MATCH(Table2[[#Headers],[bottombartype]],Table2[#Headers],0),0)</f>
        <v>SPECIAL</v>
      </c>
      <c r="BX689" s="2">
        <f>VLOOKUP([jobnumber],OvalData[],MATCH(Table2[[#Headers],[endlockweight]],Table2[#Headers],0),0)</f>
        <v>0.17</v>
      </c>
      <c r="BY689" s="2">
        <f>VLOOKUP([jobnumber],OvalData[],MATCH(Table2[[#Headers],[Endlock Total Weight]],Table2[#Headers],0),0)</f>
        <v>7.5972999999999997</v>
      </c>
      <c r="BZ689" s="2">
        <f>VLOOKUP([jobnumber],OvalData[],MATCH(Table2[[#Headers],[Grille Weight]],Table2[#Headers],0),0)</f>
        <v>0</v>
      </c>
      <c r="CA689" s="2">
        <f>VLOOKUP([jobnumber],OvalData[],MATCH(Table2[[#Headers],[barrelrings]],Table2[#Headers],0),0)</f>
        <v>1</v>
      </c>
    </row>
    <row r="690" spans="2:79">
      <c r="B690" s="2" t="str">
        <f>VLOOKUP([jobnumber],OvalData[],MATCH(Table2[[#Headers],[Hand]],Table2[#Headers],0),0)</f>
        <v>RH</v>
      </c>
      <c r="C690" s="2" t="str">
        <f>VLOOKUP([jobnumber],OvalData[],MATCH(Table2[[#Headers],[Model]],Table2[#Headers],0),0)</f>
        <v>SFMPP</v>
      </c>
      <c r="D690" s="2" t="str">
        <f>VLOOKUP([jobnumber],OvalData[],MATCH(Table2[[#Headers],[width]],Table2[#Headers],0),0)</f>
        <v xml:space="preserve"> 18 ft.- 2"</v>
      </c>
      <c r="E690" s="2" t="str">
        <f>VLOOKUP([jobnumber],OvalData[],MATCH(Table2[[#Headers],[stopheight]],Table2[#Headers],0),0)</f>
        <v xml:space="preserve"> 10 ft.- 0"</v>
      </c>
      <c r="F690" s="2" t="str">
        <f>VLOOKUP([jobnumber],OvalData[],MATCH(Table2[[#Headers],[Between Brackets]],Table2[#Headers],0),0)</f>
        <v xml:space="preserve"> 18 ft.- 7 7/ 8"</v>
      </c>
      <c r="G690" s="2" t="str">
        <f>VLOOKUP([jobnumber],OvalData[],MATCH(Table2[[#Headers],[shell]],Table2[#Headers],0),0)</f>
        <v>6 INCH TUBE</v>
      </c>
      <c r="H690" s="2" t="str">
        <f>VLOOKUP([jobnumber],OvalData[],MATCH(Table2[[#Headers],[pipewidth]],Table2[#Headers],0),0)</f>
        <v xml:space="preserve"> 18 ft.- 1 3/ 8"</v>
      </c>
      <c r="I690" s="2">
        <f>VLOOKUP([jobnumber],OvalData[],MATCH(Table2[[#Headers],[Support Tubes]],Table2[#Headers],0),0)</f>
        <v>0</v>
      </c>
      <c r="J690" s="2">
        <f>VLOOKUP([jobnumber],OvalData[],MATCH(Table2[[#Headers],[Upset]],Table2[#Headers],0),0)</f>
        <v>2</v>
      </c>
      <c r="K690" s="2" t="str">
        <f>VLOOKUP([jobnumber],OvalData[],MATCH(Table2[[#Headers],[Guide Type]],Table2[#Headers],0),0)</f>
        <v>SN2-4 5/8-E</v>
      </c>
      <c r="L690" s="2" t="str">
        <f>VLOOKUP([jobnumber],OvalData[],MATCH(Table2[[#Headers],[Wall Angle]],Table2[#Headers],0),0)</f>
        <v xml:space="preserve"> 11 ft.- 8"</v>
      </c>
      <c r="M690" s="2" t="str">
        <f>VLOOKUP([jobnumber],OvalData[],MATCH(Table2[[#Headers],[Middle Angle]],Table2[#Headers],0),0)</f>
        <v xml:space="preserve"> 10 ft.- 4 1/ 2"</v>
      </c>
      <c r="N690" s="2" t="str">
        <f>VLOOKUP([jobnumber],OvalData[],MATCH(Table2[[#Headers],[Front Angle]],Table2[#Headers],0),0)</f>
        <v xml:space="preserve"> 10 ft.- 3"</v>
      </c>
      <c r="O690" s="2">
        <f>VLOOKUP([jobnumber],OvalData[],MATCH(Table2[[#Headers],[Pipe Center Line]],Table2[#Headers],0),0)</f>
        <v>131</v>
      </c>
      <c r="P690" s="2">
        <f>VLOOKUP([jobnumber],OvalData[],MATCH(Table2[[#Headers],[Heat Expansion Gap]],Table2[#Headers],0),0)</f>
        <v>0</v>
      </c>
      <c r="Q690" s="2">
        <f>VLOOKUP([jobnumber],OvalData[],MATCH(Table2[[#Headers],[Hanging Weight Closed]],Table2[#Headers],0),0)</f>
        <v>795</v>
      </c>
      <c r="R690" s="2">
        <f>VLOOKUP([jobnumber],OvalData[],MATCH(Table2[[#Headers],[Hanging Weight Open]],Table2[#Headers],0),0)</f>
        <v>140</v>
      </c>
      <c r="S690" s="2">
        <f>VLOOKUP([jobnumber],OvalData[],MATCH(Table2[[#Headers],[Initial Lever Arm]],Table2[#Headers],0),0)</f>
        <v>4.25</v>
      </c>
      <c r="T690" s="2">
        <f>VLOOKUP([jobnumber],OvalData[],MATCH(Table2[[#Headers],[Turns to Raise]],Table2[#Headers],0),0)</f>
        <v>3.5859999999999999</v>
      </c>
      <c r="U690" s="2">
        <f>VLOOKUP([jobnumber],OvalData[],MATCH(Table2[[#Headers],[Final Lever Arm]],Table2[#Headers],0),0)</f>
        <v>6.37</v>
      </c>
      <c r="V690" s="2">
        <f>VLOOKUP([jobnumber],OvalData[],MATCH(Table2[[#Headers],[Torque Required Closed]],Table2[#Headers],0),0)</f>
        <v>3377.9</v>
      </c>
      <c r="W690" s="2">
        <f>VLOOKUP([jobnumber],OvalData[],MATCH(Table2[[#Headers],[Torque Required Open]],Table2[#Headers],0),0)</f>
        <v>892</v>
      </c>
      <c r="X690" s="2">
        <f>VLOOKUP([jobnumber],OvalData[],MATCH(Table2[[#Headers],[Pre Turns]],Table2[#Headers],0),0)</f>
        <v>1.3332999999999999</v>
      </c>
      <c r="Y690" s="2">
        <f>VLOOKUP([jobnumber],OvalData[],MATCH(Table2[[#Headers],[Required Torque Per Turn]],Table2[#Headers],0),0)</f>
        <v>688</v>
      </c>
      <c r="Z690" s="2">
        <f>VLOOKUP([jobnumber],OvalData[],MATCH(Table2[[#Headers],[Total Turns]],Table2[#Headers],0),0)</f>
        <v>4.91</v>
      </c>
      <c r="AA690" s="2">
        <f>VLOOKUP([jobnumber],OvalData[],MATCH(Table2[[#Headers],[Grille Vision Section]],Table2[#Headers],0),0)</f>
        <v>0</v>
      </c>
      <c r="AB690" s="2">
        <f>VLOOKUP([jobnumber],OvalData[],MATCH(Table2[[#Headers],[Grille Amount]],Table2[#Headers],0),0)</f>
        <v>0</v>
      </c>
      <c r="AC690" s="2">
        <f>VLOOKUP([jobnumber],OvalData[],MATCH(Table2[[#Headers],[Grille Center]],Table2[#Headers],0),0)</f>
        <v>0</v>
      </c>
      <c r="AD690" s="2">
        <f>VLOOKUP([jobnumber],OvalData[],MATCH(Table2[[#Headers],[Grille Pattern]],Table2[#Headers],0),0)</f>
        <v>0</v>
      </c>
      <c r="AE690" s="2">
        <f>VLOOKUP([jobnumber],OvalData[],MATCH(Table2[[#Headers],[Grille First Tube]],Table2[#Headers],0),0)</f>
        <v>0</v>
      </c>
      <c r="AF690" s="2">
        <f>VLOOKUP([jobnumber],OvalData[],MATCH(Table2[[#Headers],[Grille Standard Tube]],Table2[#Headers],0),0)</f>
        <v>0</v>
      </c>
      <c r="AG690" s="2">
        <f>VLOOKUP([jobnumber],OvalData[],MATCH(Table2[[#Headers],[Grille Total Links]],Table2[#Headers],0),0)</f>
        <v>0</v>
      </c>
      <c r="AH690" s="2">
        <f>VLOOKUP([jobnumber],OvalData[],MATCH(Table2[[#Headers],[Grille Rods]],Table2[#Headers],0),0)</f>
        <v>0</v>
      </c>
      <c r="AI690" s="2">
        <f>VLOOKUP([jobnumber],OvalData[],MATCH(Table2[[#Headers],[Grille Rod Length]],Table2[#Headers],0),0)</f>
        <v>0</v>
      </c>
      <c r="AJ690" s="2">
        <f>VLOOKUP([jobnumber],OvalData[],MATCH(Table2[[#Headers],[slattype]],Table2[#Headers],0),0)</f>
        <v>2</v>
      </c>
      <c r="AK690" s="2">
        <f>VLOOKUP([jobnumber],OvalData[],MATCH(Table2[[#Headers],[slatgage]],Table2[#Headers],0),0)</f>
        <v>18</v>
      </c>
      <c r="AL690" s="2">
        <f>VLOOKUP([jobnumber],OvalData[],MATCH(Table2[[#Headers],[Numer of Top Slats]],Table2[#Headers],0),0)</f>
        <v>0</v>
      </c>
      <c r="AM690" s="2">
        <f>VLOOKUP([jobnumber],OvalData[],MATCH(Table2[[#Headers],[Number of Bottom Slats]],Table2[#Headers],0),0)</f>
        <v>0</v>
      </c>
      <c r="AN690" s="2">
        <f>VLOOKUP([jobnumber],OvalData[],MATCH(Table2[[#Headers],[Solid Bottom Height]],Table2[#Headers],0),0)</f>
        <v>0</v>
      </c>
      <c r="AO690" s="2" t="str">
        <f>VLOOKUP([jobnumber],OvalData[],MATCH(Table2[[#Headers],[slatlength]],Table2[#Headers],0),0)</f>
        <v xml:space="preserve"> 18 ft.- 5 7/ 8"</v>
      </c>
      <c r="AP690" s="2">
        <f>VLOOKUP([jobnumber],OvalData[],MATCH(Table2[[#Headers],[Bottom Slat Length]],Table2[#Headers],0),0)</f>
        <v>0</v>
      </c>
      <c r="AQ690" s="2">
        <f>VLOOKUP([jobnumber],OvalData[],MATCH(Table2[[#Headers],[Number of Perferated Slats]],Table2[#Headers],0),0)</f>
        <v>0</v>
      </c>
      <c r="AR690" s="2">
        <f>VLOOKUP([jobnumber],OvalData[],MATCH(Table2[[#Headers],[First Preferated Slat From End]],Table2[#Headers],0),0)</f>
        <v>0</v>
      </c>
      <c r="AS690" s="2">
        <f>VLOOKUP([jobnumber],OvalData[],MATCH(Table2[[#Headers],[First Preferated Slat From Bottom]],Table2[#Headers],0),0)</f>
        <v>0</v>
      </c>
      <c r="AT690" s="2">
        <f>VLOOKUP([jobnumber],OvalData[],MATCH(Table2[[#Headers],[Total Number of Slats]],Table2[#Headers],0),0)</f>
        <v>51</v>
      </c>
      <c r="AU690" s="2">
        <f>VLOOKUP([jobnumber],OvalData[],MATCH(Table2[[#Headers],[Bottom Bar Slope]],Table2[#Headers],0),0)</f>
        <v>0</v>
      </c>
      <c r="AV690" s="2">
        <f>VLOOKUP([jobnumber],OvalData[],MATCH(Table2[[#Headers],[Bottom Bar Weight]],Table2[#Headers],0),0)</f>
        <v>80.5</v>
      </c>
      <c r="AW690" s="2" t="str">
        <f>VLOOKUP([jobnumber],OvalData[],MATCH(Table2[[#Headers],[Outer Spring Gage]],Table2[#Headers],0),0)</f>
        <v>Null</v>
      </c>
      <c r="AX690" s="2" t="str">
        <f>VLOOKUP([jobnumber],OvalData[],MATCH(Table2[[#Headers],[Outer Spring OD]],Table2[#Headers],0),0)</f>
        <v>Null</v>
      </c>
      <c r="AY690" s="2" t="str">
        <f>VLOOKUP([jobnumber],OvalData[],MATCH(Table2[[#Headers],[Outer Spring Length]],Table2[#Headers],0),0)</f>
        <v>Null</v>
      </c>
      <c r="AZ690" s="2" t="str">
        <f>VLOOKUP([jobnumber],OvalData[],MATCH(Table2[[#Headers],[Outer Spring Stretch]],Table2[#Headers],0),0)</f>
        <v>Null</v>
      </c>
      <c r="BA690" s="2" t="str">
        <f>VLOOKUP([jobnumber],OvalData[],MATCH(Table2[[#Headers],[Outer Spring Torque]],Table2[#Headers],0),0)</f>
        <v>Null</v>
      </c>
      <c r="BB690" s="2" t="str">
        <f>VLOOKUP([jobnumber],OvalData[],MATCH(Table2[[#Headers],[Outer Spring Max Turns]],Table2[#Headers],0),0)</f>
        <v>Null</v>
      </c>
      <c r="BC690" s="2" t="str">
        <f>VLOOKUP([jobnumber],OvalData[],MATCH(Table2[[#Headers],[Outer Spring Weight]],Table2[#Headers],0),0)</f>
        <v>Null</v>
      </c>
      <c r="BD690" s="2" t="str">
        <f>VLOOKUP([jobnumber],OvalData[],MATCH(Table2[[#Headers],[Inner Spring Gage]],Table2[#Headers],0),0)</f>
        <v>Null</v>
      </c>
      <c r="BE690" s="2" t="str">
        <f>VLOOKUP([jobnumber],OvalData[],MATCH(Table2[[#Headers],[Inner Spring OD]],Table2[#Headers],0),0)</f>
        <v>Null</v>
      </c>
      <c r="BF690" s="2" t="str">
        <f>VLOOKUP([jobnumber],OvalData[],MATCH(Table2[[#Headers],[Inner Spring Length]],Table2[#Headers],0),0)</f>
        <v>Null</v>
      </c>
      <c r="BG690" s="2" t="str">
        <f>VLOOKUP([jobnumber],OvalData[],MATCH(Table2[[#Headers],[Inner Spring Stretch]],Table2[#Headers],0),0)</f>
        <v>Null</v>
      </c>
      <c r="BH690" s="2" t="str">
        <f>VLOOKUP([jobnumber],OvalData[],MATCH(Table2[[#Headers],[Inner Spring Torque]],Table2[#Headers],0),0)</f>
        <v>Null</v>
      </c>
      <c r="BI690" s="2" t="str">
        <f>VLOOKUP([jobnumber],OvalData[],MATCH(Table2[[#Headers],[Inner Spring Max Turns]],Table2[#Headers],0),0)</f>
        <v>Null</v>
      </c>
      <c r="BJ690" s="2" t="str">
        <f>VLOOKUP([jobnumber],OvalData[],MATCH(Table2[[#Headers],[Inner Spring Weight]],Table2[#Headers],0),0)</f>
        <v>Null</v>
      </c>
      <c r="BK690" s="2">
        <f>VLOOKUP([jobnumber],OvalData[],MATCH(Table2[[#Headers],[Cycles]],Table2[#Headers],0),0)</f>
        <v>0</v>
      </c>
      <c r="BL690" s="2">
        <f>VLOOKUP([jobnumber],OvalData[],MATCH(Table2[[#Headers],[Total Spring Torque]],Table2[#Headers],0),0)</f>
        <v>0</v>
      </c>
      <c r="BM690" s="2">
        <f>VLOOKUP([jobnumber],OvalData[],MATCH(Table2[[#Headers],[Total Spring Weight]],Table2[#Headers],0),0)</f>
        <v>0</v>
      </c>
      <c r="BN690" s="2">
        <f>VLOOKUP([jobnumber],OvalData[],MATCH(Table2[[#Headers],[Pipe Weight]],Table2[#Headers],0),0)</f>
        <v>688.24239999999998</v>
      </c>
      <c r="BO690" s="2">
        <f>VLOOKUP([jobnumber],OvalData[],MATCH(Table2[[#Headers],[Max Pipe Deflection]],Table2[#Headers],0),0)</f>
        <v>2309</v>
      </c>
      <c r="BP690" s="2">
        <f>VLOOKUP([jobnumber],OvalData[],MATCH(Table2[[#Headers],[Number Non-Insulated Wrap Slats]],Table2[#Headers],0),0)</f>
        <v>0</v>
      </c>
      <c r="BQ690" s="2">
        <f>VLOOKUP([jobnumber],OvalData[],MATCH(Table2[[#Headers],[Number of Insolated Top Slats]],Table2[#Headers],0),0)</f>
        <v>45</v>
      </c>
      <c r="BR690" s="2">
        <f>VLOOKUP([jobnumber],OvalData[],MATCH(Table2[[#Headers],[Insolated Total Slats]],Table2[#Headers],0),0)</f>
        <v>45</v>
      </c>
      <c r="BS690" s="2">
        <f>VLOOKUP([jobnumber],OvalData[],MATCH(Table2[[#Headers],[Number of Slats]],Table2[#Headers],0),0)</f>
        <v>44.69</v>
      </c>
      <c r="BT690" s="2">
        <f>VLOOKUP([jobnumber],OvalData[],MATCH(Table2[[#Headers],[Wrap]],Table2[#Headers],0),0)</f>
        <v>0</v>
      </c>
      <c r="BU690" s="2">
        <f>VLOOKUP([jobnumber],OvalData[],MATCH(Table2[[#Headers],[Wall Angle Thickness]],Table2[#Headers],0),0)</f>
        <v>0</v>
      </c>
      <c r="BV690" s="2">
        <f>VLOOKUP([jobnumber],OvalData[],MATCH(Table2[[#Headers],[windlocks]],Table2[#Headers],0),0)</f>
        <v>0</v>
      </c>
      <c r="BW690" s="2" t="str">
        <f>VLOOKUP([jobnumber],OvalData[],MATCH(Table2[[#Headers],[bottombartype]],Table2[#Headers],0),0)</f>
        <v>SPECIAL</v>
      </c>
      <c r="BX690" s="2">
        <f>VLOOKUP([jobnumber],OvalData[],MATCH(Table2[[#Headers],[endlockweight]],Table2[#Headers],0),0)</f>
        <v>0.17</v>
      </c>
      <c r="BY690" s="2">
        <f>VLOOKUP([jobnumber],OvalData[],MATCH(Table2[[#Headers],[Endlock Total Weight]],Table2[#Headers],0),0)</f>
        <v>7.5972999999999997</v>
      </c>
      <c r="BZ690" s="2">
        <f>VLOOKUP([jobnumber],OvalData[],MATCH(Table2[[#Headers],[Grille Weight]],Table2[#Headers],0),0)</f>
        <v>0</v>
      </c>
      <c r="CA690" s="2">
        <f>VLOOKUP([jobnumber],OvalData[],MATCH(Table2[[#Headers],[barrelrings]],Table2[#Headers],0),0)</f>
        <v>1</v>
      </c>
    </row>
    <row r="691" spans="2:79">
      <c r="B691" s="2" t="str">
        <f>VLOOKUP([jobnumber],OvalData[],MATCH(Table2[[#Headers],[Hand]],Table2[#Headers],0),0)</f>
        <v>RH</v>
      </c>
      <c r="C691" s="2" t="str">
        <f>VLOOKUP([jobnumber],OvalData[],MATCH(Table2[[#Headers],[Model]],Table2[#Headers],0),0)</f>
        <v>SFMPP</v>
      </c>
      <c r="D691" s="2" t="str">
        <f>VLOOKUP([jobnumber],OvalData[],MATCH(Table2[[#Headers],[width]],Table2[#Headers],0),0)</f>
        <v xml:space="preserve"> 18 ft.- 2"</v>
      </c>
      <c r="E691" s="2" t="str">
        <f>VLOOKUP([jobnumber],OvalData[],MATCH(Table2[[#Headers],[stopheight]],Table2[#Headers],0),0)</f>
        <v xml:space="preserve"> 10 ft.- 0"</v>
      </c>
      <c r="F691" s="2" t="str">
        <f>VLOOKUP([jobnumber],OvalData[],MATCH(Table2[[#Headers],[Between Brackets]],Table2[#Headers],0),0)</f>
        <v xml:space="preserve"> 18 ft.- 7 7/ 8"</v>
      </c>
      <c r="G691" s="2" t="str">
        <f>VLOOKUP([jobnumber],OvalData[],MATCH(Table2[[#Headers],[shell]],Table2[#Headers],0),0)</f>
        <v>6 INCH TUBE</v>
      </c>
      <c r="H691" s="2" t="str">
        <f>VLOOKUP([jobnumber],OvalData[],MATCH(Table2[[#Headers],[pipewidth]],Table2[#Headers],0),0)</f>
        <v xml:space="preserve"> 18 ft.- 1 3/ 8"</v>
      </c>
      <c r="I691" s="2">
        <f>VLOOKUP([jobnumber],OvalData[],MATCH(Table2[[#Headers],[Support Tubes]],Table2[#Headers],0),0)</f>
        <v>0</v>
      </c>
      <c r="J691" s="2">
        <f>VLOOKUP([jobnumber],OvalData[],MATCH(Table2[[#Headers],[Upset]],Table2[#Headers],0),0)</f>
        <v>2</v>
      </c>
      <c r="K691" s="2" t="str">
        <f>VLOOKUP([jobnumber],OvalData[],MATCH(Table2[[#Headers],[Guide Type]],Table2[#Headers],0),0)</f>
        <v>SN2-4 5/8-E</v>
      </c>
      <c r="L691" s="2" t="str">
        <f>VLOOKUP([jobnumber],OvalData[],MATCH(Table2[[#Headers],[Wall Angle]],Table2[#Headers],0),0)</f>
        <v xml:space="preserve"> 11 ft.- 8"</v>
      </c>
      <c r="M691" s="2" t="str">
        <f>VLOOKUP([jobnumber],OvalData[],MATCH(Table2[[#Headers],[Middle Angle]],Table2[#Headers],0),0)</f>
        <v xml:space="preserve"> 10 ft.- 4 1/ 2"</v>
      </c>
      <c r="N691" s="2" t="str">
        <f>VLOOKUP([jobnumber],OvalData[],MATCH(Table2[[#Headers],[Front Angle]],Table2[#Headers],0),0)</f>
        <v xml:space="preserve"> 10 ft.- 3"</v>
      </c>
      <c r="O691" s="2">
        <f>VLOOKUP([jobnumber],OvalData[],MATCH(Table2[[#Headers],[Pipe Center Line]],Table2[#Headers],0),0)</f>
        <v>131</v>
      </c>
      <c r="P691" s="2">
        <f>VLOOKUP([jobnumber],OvalData[],MATCH(Table2[[#Headers],[Heat Expansion Gap]],Table2[#Headers],0),0)</f>
        <v>0</v>
      </c>
      <c r="Q691" s="2">
        <f>VLOOKUP([jobnumber],OvalData[],MATCH(Table2[[#Headers],[Hanging Weight Closed]],Table2[#Headers],0),0)</f>
        <v>795</v>
      </c>
      <c r="R691" s="2">
        <f>VLOOKUP([jobnumber],OvalData[],MATCH(Table2[[#Headers],[Hanging Weight Open]],Table2[#Headers],0),0)</f>
        <v>140</v>
      </c>
      <c r="S691" s="2">
        <f>VLOOKUP([jobnumber],OvalData[],MATCH(Table2[[#Headers],[Initial Lever Arm]],Table2[#Headers],0),0)</f>
        <v>4.25</v>
      </c>
      <c r="T691" s="2">
        <f>VLOOKUP([jobnumber],OvalData[],MATCH(Table2[[#Headers],[Turns to Raise]],Table2[#Headers],0),0)</f>
        <v>3.5859999999999999</v>
      </c>
      <c r="U691" s="2">
        <f>VLOOKUP([jobnumber],OvalData[],MATCH(Table2[[#Headers],[Final Lever Arm]],Table2[#Headers],0),0)</f>
        <v>6.37</v>
      </c>
      <c r="V691" s="2">
        <f>VLOOKUP([jobnumber],OvalData[],MATCH(Table2[[#Headers],[Torque Required Closed]],Table2[#Headers],0),0)</f>
        <v>3377.9</v>
      </c>
      <c r="W691" s="2">
        <f>VLOOKUP([jobnumber],OvalData[],MATCH(Table2[[#Headers],[Torque Required Open]],Table2[#Headers],0),0)</f>
        <v>892</v>
      </c>
      <c r="X691" s="2">
        <f>VLOOKUP([jobnumber],OvalData[],MATCH(Table2[[#Headers],[Pre Turns]],Table2[#Headers],0),0)</f>
        <v>1.3332999999999999</v>
      </c>
      <c r="Y691" s="2">
        <f>VLOOKUP([jobnumber],OvalData[],MATCH(Table2[[#Headers],[Required Torque Per Turn]],Table2[#Headers],0),0)</f>
        <v>688</v>
      </c>
      <c r="Z691" s="2">
        <f>VLOOKUP([jobnumber],OvalData[],MATCH(Table2[[#Headers],[Total Turns]],Table2[#Headers],0),0)</f>
        <v>4.91</v>
      </c>
      <c r="AA691" s="2">
        <f>VLOOKUP([jobnumber],OvalData[],MATCH(Table2[[#Headers],[Grille Vision Section]],Table2[#Headers],0),0)</f>
        <v>0</v>
      </c>
      <c r="AB691" s="2">
        <f>VLOOKUP([jobnumber],OvalData[],MATCH(Table2[[#Headers],[Grille Amount]],Table2[#Headers],0),0)</f>
        <v>0</v>
      </c>
      <c r="AC691" s="2">
        <f>VLOOKUP([jobnumber],OvalData[],MATCH(Table2[[#Headers],[Grille Center]],Table2[#Headers],0),0)</f>
        <v>0</v>
      </c>
      <c r="AD691" s="2">
        <f>VLOOKUP([jobnumber],OvalData[],MATCH(Table2[[#Headers],[Grille Pattern]],Table2[#Headers],0),0)</f>
        <v>0</v>
      </c>
      <c r="AE691" s="2">
        <f>VLOOKUP([jobnumber],OvalData[],MATCH(Table2[[#Headers],[Grille First Tube]],Table2[#Headers],0),0)</f>
        <v>0</v>
      </c>
      <c r="AF691" s="2">
        <f>VLOOKUP([jobnumber],OvalData[],MATCH(Table2[[#Headers],[Grille Standard Tube]],Table2[#Headers],0),0)</f>
        <v>0</v>
      </c>
      <c r="AG691" s="2">
        <f>VLOOKUP([jobnumber],OvalData[],MATCH(Table2[[#Headers],[Grille Total Links]],Table2[#Headers],0),0)</f>
        <v>0</v>
      </c>
      <c r="AH691" s="2">
        <f>VLOOKUP([jobnumber],OvalData[],MATCH(Table2[[#Headers],[Grille Rods]],Table2[#Headers],0),0)</f>
        <v>0</v>
      </c>
      <c r="AI691" s="2">
        <f>VLOOKUP([jobnumber],OvalData[],MATCH(Table2[[#Headers],[Grille Rod Length]],Table2[#Headers],0),0)</f>
        <v>0</v>
      </c>
      <c r="AJ691" s="2">
        <f>VLOOKUP([jobnumber],OvalData[],MATCH(Table2[[#Headers],[slattype]],Table2[#Headers],0),0)</f>
        <v>2</v>
      </c>
      <c r="AK691" s="2">
        <f>VLOOKUP([jobnumber],OvalData[],MATCH(Table2[[#Headers],[slatgage]],Table2[#Headers],0),0)</f>
        <v>18</v>
      </c>
      <c r="AL691" s="2">
        <f>VLOOKUP([jobnumber],OvalData[],MATCH(Table2[[#Headers],[Numer of Top Slats]],Table2[#Headers],0),0)</f>
        <v>0</v>
      </c>
      <c r="AM691" s="2">
        <f>VLOOKUP([jobnumber],OvalData[],MATCH(Table2[[#Headers],[Number of Bottom Slats]],Table2[#Headers],0),0)</f>
        <v>0</v>
      </c>
      <c r="AN691" s="2">
        <f>VLOOKUP([jobnumber],OvalData[],MATCH(Table2[[#Headers],[Solid Bottom Height]],Table2[#Headers],0),0)</f>
        <v>0</v>
      </c>
      <c r="AO691" s="2" t="str">
        <f>VLOOKUP([jobnumber],OvalData[],MATCH(Table2[[#Headers],[slatlength]],Table2[#Headers],0),0)</f>
        <v xml:space="preserve"> 18 ft.- 5 7/ 8"</v>
      </c>
      <c r="AP691" s="2">
        <f>VLOOKUP([jobnumber],OvalData[],MATCH(Table2[[#Headers],[Bottom Slat Length]],Table2[#Headers],0),0)</f>
        <v>0</v>
      </c>
      <c r="AQ691" s="2">
        <f>VLOOKUP([jobnumber],OvalData[],MATCH(Table2[[#Headers],[Number of Perferated Slats]],Table2[#Headers],0),0)</f>
        <v>0</v>
      </c>
      <c r="AR691" s="2">
        <f>VLOOKUP([jobnumber],OvalData[],MATCH(Table2[[#Headers],[First Preferated Slat From End]],Table2[#Headers],0),0)</f>
        <v>0</v>
      </c>
      <c r="AS691" s="2">
        <f>VLOOKUP([jobnumber],OvalData[],MATCH(Table2[[#Headers],[First Preferated Slat From Bottom]],Table2[#Headers],0),0)</f>
        <v>0</v>
      </c>
      <c r="AT691" s="2">
        <f>VLOOKUP([jobnumber],OvalData[],MATCH(Table2[[#Headers],[Total Number of Slats]],Table2[#Headers],0),0)</f>
        <v>51</v>
      </c>
      <c r="AU691" s="2">
        <f>VLOOKUP([jobnumber],OvalData[],MATCH(Table2[[#Headers],[Bottom Bar Slope]],Table2[#Headers],0),0)</f>
        <v>0</v>
      </c>
      <c r="AV691" s="2">
        <f>VLOOKUP([jobnumber],OvalData[],MATCH(Table2[[#Headers],[Bottom Bar Weight]],Table2[#Headers],0),0)</f>
        <v>80.5</v>
      </c>
      <c r="AW691" s="2" t="str">
        <f>VLOOKUP([jobnumber],OvalData[],MATCH(Table2[[#Headers],[Outer Spring Gage]],Table2[#Headers],0),0)</f>
        <v>Null</v>
      </c>
      <c r="AX691" s="2" t="str">
        <f>VLOOKUP([jobnumber],OvalData[],MATCH(Table2[[#Headers],[Outer Spring OD]],Table2[#Headers],0),0)</f>
        <v>Null</v>
      </c>
      <c r="AY691" s="2" t="str">
        <f>VLOOKUP([jobnumber],OvalData[],MATCH(Table2[[#Headers],[Outer Spring Length]],Table2[#Headers],0),0)</f>
        <v>Null</v>
      </c>
      <c r="AZ691" s="2" t="str">
        <f>VLOOKUP([jobnumber],OvalData[],MATCH(Table2[[#Headers],[Outer Spring Stretch]],Table2[#Headers],0),0)</f>
        <v>Null</v>
      </c>
      <c r="BA691" s="2" t="str">
        <f>VLOOKUP([jobnumber],OvalData[],MATCH(Table2[[#Headers],[Outer Spring Torque]],Table2[#Headers],0),0)</f>
        <v>Null</v>
      </c>
      <c r="BB691" s="2" t="str">
        <f>VLOOKUP([jobnumber],OvalData[],MATCH(Table2[[#Headers],[Outer Spring Max Turns]],Table2[#Headers],0),0)</f>
        <v>Null</v>
      </c>
      <c r="BC691" s="2" t="str">
        <f>VLOOKUP([jobnumber],OvalData[],MATCH(Table2[[#Headers],[Outer Spring Weight]],Table2[#Headers],0),0)</f>
        <v>Null</v>
      </c>
      <c r="BD691" s="2" t="str">
        <f>VLOOKUP([jobnumber],OvalData[],MATCH(Table2[[#Headers],[Inner Spring Gage]],Table2[#Headers],0),0)</f>
        <v>Null</v>
      </c>
      <c r="BE691" s="2" t="str">
        <f>VLOOKUP([jobnumber],OvalData[],MATCH(Table2[[#Headers],[Inner Spring OD]],Table2[#Headers],0),0)</f>
        <v>Null</v>
      </c>
      <c r="BF691" s="2" t="str">
        <f>VLOOKUP([jobnumber],OvalData[],MATCH(Table2[[#Headers],[Inner Spring Length]],Table2[#Headers],0),0)</f>
        <v>Null</v>
      </c>
      <c r="BG691" s="2" t="str">
        <f>VLOOKUP([jobnumber],OvalData[],MATCH(Table2[[#Headers],[Inner Spring Stretch]],Table2[#Headers],0),0)</f>
        <v>Null</v>
      </c>
      <c r="BH691" s="2" t="str">
        <f>VLOOKUP([jobnumber],OvalData[],MATCH(Table2[[#Headers],[Inner Spring Torque]],Table2[#Headers],0),0)</f>
        <v>Null</v>
      </c>
      <c r="BI691" s="2" t="str">
        <f>VLOOKUP([jobnumber],OvalData[],MATCH(Table2[[#Headers],[Inner Spring Max Turns]],Table2[#Headers],0),0)</f>
        <v>Null</v>
      </c>
      <c r="BJ691" s="2" t="str">
        <f>VLOOKUP([jobnumber],OvalData[],MATCH(Table2[[#Headers],[Inner Spring Weight]],Table2[#Headers],0),0)</f>
        <v>Null</v>
      </c>
      <c r="BK691" s="2">
        <f>VLOOKUP([jobnumber],OvalData[],MATCH(Table2[[#Headers],[Cycles]],Table2[#Headers],0),0)</f>
        <v>0</v>
      </c>
      <c r="BL691" s="2">
        <f>VLOOKUP([jobnumber],OvalData[],MATCH(Table2[[#Headers],[Total Spring Torque]],Table2[#Headers],0),0)</f>
        <v>0</v>
      </c>
      <c r="BM691" s="2">
        <f>VLOOKUP([jobnumber],OvalData[],MATCH(Table2[[#Headers],[Total Spring Weight]],Table2[#Headers],0),0)</f>
        <v>0</v>
      </c>
      <c r="BN691" s="2">
        <f>VLOOKUP([jobnumber],OvalData[],MATCH(Table2[[#Headers],[Pipe Weight]],Table2[#Headers],0),0)</f>
        <v>688.24239999999998</v>
      </c>
      <c r="BO691" s="2">
        <f>VLOOKUP([jobnumber],OvalData[],MATCH(Table2[[#Headers],[Max Pipe Deflection]],Table2[#Headers],0),0)</f>
        <v>2309</v>
      </c>
      <c r="BP691" s="2">
        <f>VLOOKUP([jobnumber],OvalData[],MATCH(Table2[[#Headers],[Number Non-Insulated Wrap Slats]],Table2[#Headers],0),0)</f>
        <v>0</v>
      </c>
      <c r="BQ691" s="2">
        <f>VLOOKUP([jobnumber],OvalData[],MATCH(Table2[[#Headers],[Number of Insolated Top Slats]],Table2[#Headers],0),0)</f>
        <v>45</v>
      </c>
      <c r="BR691" s="2">
        <f>VLOOKUP([jobnumber],OvalData[],MATCH(Table2[[#Headers],[Insolated Total Slats]],Table2[#Headers],0),0)</f>
        <v>45</v>
      </c>
      <c r="BS691" s="2">
        <f>VLOOKUP([jobnumber],OvalData[],MATCH(Table2[[#Headers],[Number of Slats]],Table2[#Headers],0),0)</f>
        <v>44.69</v>
      </c>
      <c r="BT691" s="2">
        <f>VLOOKUP([jobnumber],OvalData[],MATCH(Table2[[#Headers],[Wrap]],Table2[#Headers],0),0)</f>
        <v>0</v>
      </c>
      <c r="BU691" s="2">
        <f>VLOOKUP([jobnumber],OvalData[],MATCH(Table2[[#Headers],[Wall Angle Thickness]],Table2[#Headers],0),0)</f>
        <v>0</v>
      </c>
      <c r="BV691" s="2">
        <f>VLOOKUP([jobnumber],OvalData[],MATCH(Table2[[#Headers],[windlocks]],Table2[#Headers],0),0)</f>
        <v>0</v>
      </c>
      <c r="BW691" s="2" t="str">
        <f>VLOOKUP([jobnumber],OvalData[],MATCH(Table2[[#Headers],[bottombartype]],Table2[#Headers],0),0)</f>
        <v>SPECIAL</v>
      </c>
      <c r="BX691" s="2">
        <f>VLOOKUP([jobnumber],OvalData[],MATCH(Table2[[#Headers],[endlockweight]],Table2[#Headers],0),0)</f>
        <v>0.17</v>
      </c>
      <c r="BY691" s="2">
        <f>VLOOKUP([jobnumber],OvalData[],MATCH(Table2[[#Headers],[Endlock Total Weight]],Table2[#Headers],0),0)</f>
        <v>7.5972999999999997</v>
      </c>
      <c r="BZ691" s="2">
        <f>VLOOKUP([jobnumber],OvalData[],MATCH(Table2[[#Headers],[Grille Weight]],Table2[#Headers],0),0)</f>
        <v>0</v>
      </c>
      <c r="CA691" s="2">
        <f>VLOOKUP([jobnumber],OvalData[],MATCH(Table2[[#Headers],[barrelrings]],Table2[#Headers],0),0)</f>
        <v>1</v>
      </c>
    </row>
    <row r="692" spans="2:79">
      <c r="B692" s="2" t="str">
        <f>VLOOKUP([jobnumber],OvalData[],MATCH(Table2[[#Headers],[Hand]],Table2[#Headers],0),0)</f>
        <v>RH</v>
      </c>
      <c r="C692" s="2" t="str">
        <f>VLOOKUP([jobnumber],OvalData[],MATCH(Table2[[#Headers],[Model]],Table2[#Headers],0),0)</f>
        <v>SFMPP</v>
      </c>
      <c r="D692" s="2" t="str">
        <f>VLOOKUP([jobnumber],OvalData[],MATCH(Table2[[#Headers],[width]],Table2[#Headers],0),0)</f>
        <v xml:space="preserve"> 18 ft.- 2"</v>
      </c>
      <c r="E692" s="2" t="str">
        <f>VLOOKUP([jobnumber],OvalData[],MATCH(Table2[[#Headers],[stopheight]],Table2[#Headers],0),0)</f>
        <v xml:space="preserve"> 10 ft.- 0"</v>
      </c>
      <c r="F692" s="2" t="str">
        <f>VLOOKUP([jobnumber],OvalData[],MATCH(Table2[[#Headers],[Between Brackets]],Table2[#Headers],0),0)</f>
        <v xml:space="preserve"> 18 ft.- 7 7/ 8"</v>
      </c>
      <c r="G692" s="2" t="str">
        <f>VLOOKUP([jobnumber],OvalData[],MATCH(Table2[[#Headers],[shell]],Table2[#Headers],0),0)</f>
        <v>6 INCH TUBE</v>
      </c>
      <c r="H692" s="2" t="str">
        <f>VLOOKUP([jobnumber],OvalData[],MATCH(Table2[[#Headers],[pipewidth]],Table2[#Headers],0),0)</f>
        <v xml:space="preserve"> 18 ft.- 1 3/ 8"</v>
      </c>
      <c r="I692" s="2">
        <f>VLOOKUP([jobnumber],OvalData[],MATCH(Table2[[#Headers],[Support Tubes]],Table2[#Headers],0),0)</f>
        <v>0</v>
      </c>
      <c r="J692" s="2">
        <f>VLOOKUP([jobnumber],OvalData[],MATCH(Table2[[#Headers],[Upset]],Table2[#Headers],0),0)</f>
        <v>2</v>
      </c>
      <c r="K692" s="2" t="str">
        <f>VLOOKUP([jobnumber],OvalData[],MATCH(Table2[[#Headers],[Guide Type]],Table2[#Headers],0),0)</f>
        <v>SN2-4 5/8-E</v>
      </c>
      <c r="L692" s="2" t="str">
        <f>VLOOKUP([jobnumber],OvalData[],MATCH(Table2[[#Headers],[Wall Angle]],Table2[#Headers],0),0)</f>
        <v xml:space="preserve"> 11 ft.- 8"</v>
      </c>
      <c r="M692" s="2" t="str">
        <f>VLOOKUP([jobnumber],OvalData[],MATCH(Table2[[#Headers],[Middle Angle]],Table2[#Headers],0),0)</f>
        <v xml:space="preserve"> 10 ft.- 4 1/ 2"</v>
      </c>
      <c r="N692" s="2" t="str">
        <f>VLOOKUP([jobnumber],OvalData[],MATCH(Table2[[#Headers],[Front Angle]],Table2[#Headers],0),0)</f>
        <v xml:space="preserve"> 10 ft.- 3"</v>
      </c>
      <c r="O692" s="2">
        <f>VLOOKUP([jobnumber],OvalData[],MATCH(Table2[[#Headers],[Pipe Center Line]],Table2[#Headers],0),0)</f>
        <v>131</v>
      </c>
      <c r="P692" s="2">
        <f>VLOOKUP([jobnumber],OvalData[],MATCH(Table2[[#Headers],[Heat Expansion Gap]],Table2[#Headers],0),0)</f>
        <v>0</v>
      </c>
      <c r="Q692" s="2">
        <f>VLOOKUP([jobnumber],OvalData[],MATCH(Table2[[#Headers],[Hanging Weight Closed]],Table2[#Headers],0),0)</f>
        <v>795</v>
      </c>
      <c r="R692" s="2">
        <f>VLOOKUP([jobnumber],OvalData[],MATCH(Table2[[#Headers],[Hanging Weight Open]],Table2[#Headers],0),0)</f>
        <v>140</v>
      </c>
      <c r="S692" s="2">
        <f>VLOOKUP([jobnumber],OvalData[],MATCH(Table2[[#Headers],[Initial Lever Arm]],Table2[#Headers],0),0)</f>
        <v>4.25</v>
      </c>
      <c r="T692" s="2">
        <f>VLOOKUP([jobnumber],OvalData[],MATCH(Table2[[#Headers],[Turns to Raise]],Table2[#Headers],0),0)</f>
        <v>3.5859999999999999</v>
      </c>
      <c r="U692" s="2">
        <f>VLOOKUP([jobnumber],OvalData[],MATCH(Table2[[#Headers],[Final Lever Arm]],Table2[#Headers],0),0)</f>
        <v>6.37</v>
      </c>
      <c r="V692" s="2">
        <f>VLOOKUP([jobnumber],OvalData[],MATCH(Table2[[#Headers],[Torque Required Closed]],Table2[#Headers],0),0)</f>
        <v>3377.9</v>
      </c>
      <c r="W692" s="2">
        <f>VLOOKUP([jobnumber],OvalData[],MATCH(Table2[[#Headers],[Torque Required Open]],Table2[#Headers],0),0)</f>
        <v>892</v>
      </c>
      <c r="X692" s="2">
        <f>VLOOKUP([jobnumber],OvalData[],MATCH(Table2[[#Headers],[Pre Turns]],Table2[#Headers],0),0)</f>
        <v>1.3332999999999999</v>
      </c>
      <c r="Y692" s="2">
        <f>VLOOKUP([jobnumber],OvalData[],MATCH(Table2[[#Headers],[Required Torque Per Turn]],Table2[#Headers],0),0)</f>
        <v>688</v>
      </c>
      <c r="Z692" s="2">
        <f>VLOOKUP([jobnumber],OvalData[],MATCH(Table2[[#Headers],[Total Turns]],Table2[#Headers],0),0)</f>
        <v>4.91</v>
      </c>
      <c r="AA692" s="2">
        <f>VLOOKUP([jobnumber],OvalData[],MATCH(Table2[[#Headers],[Grille Vision Section]],Table2[#Headers],0),0)</f>
        <v>0</v>
      </c>
      <c r="AB692" s="2">
        <f>VLOOKUP([jobnumber],OvalData[],MATCH(Table2[[#Headers],[Grille Amount]],Table2[#Headers],0),0)</f>
        <v>0</v>
      </c>
      <c r="AC692" s="2">
        <f>VLOOKUP([jobnumber],OvalData[],MATCH(Table2[[#Headers],[Grille Center]],Table2[#Headers],0),0)</f>
        <v>0</v>
      </c>
      <c r="AD692" s="2">
        <f>VLOOKUP([jobnumber],OvalData[],MATCH(Table2[[#Headers],[Grille Pattern]],Table2[#Headers],0),0)</f>
        <v>0</v>
      </c>
      <c r="AE692" s="2">
        <f>VLOOKUP([jobnumber],OvalData[],MATCH(Table2[[#Headers],[Grille First Tube]],Table2[#Headers],0),0)</f>
        <v>0</v>
      </c>
      <c r="AF692" s="2">
        <f>VLOOKUP([jobnumber],OvalData[],MATCH(Table2[[#Headers],[Grille Standard Tube]],Table2[#Headers],0),0)</f>
        <v>0</v>
      </c>
      <c r="AG692" s="2">
        <f>VLOOKUP([jobnumber],OvalData[],MATCH(Table2[[#Headers],[Grille Total Links]],Table2[#Headers],0),0)</f>
        <v>0</v>
      </c>
      <c r="AH692" s="2">
        <f>VLOOKUP([jobnumber],OvalData[],MATCH(Table2[[#Headers],[Grille Rods]],Table2[#Headers],0),0)</f>
        <v>0</v>
      </c>
      <c r="AI692" s="2">
        <f>VLOOKUP([jobnumber],OvalData[],MATCH(Table2[[#Headers],[Grille Rod Length]],Table2[#Headers],0),0)</f>
        <v>0</v>
      </c>
      <c r="AJ692" s="2">
        <f>VLOOKUP([jobnumber],OvalData[],MATCH(Table2[[#Headers],[slattype]],Table2[#Headers],0),0)</f>
        <v>2</v>
      </c>
      <c r="AK692" s="2">
        <f>VLOOKUP([jobnumber],OvalData[],MATCH(Table2[[#Headers],[slatgage]],Table2[#Headers],0),0)</f>
        <v>18</v>
      </c>
      <c r="AL692" s="2">
        <f>VLOOKUP([jobnumber],OvalData[],MATCH(Table2[[#Headers],[Numer of Top Slats]],Table2[#Headers],0),0)</f>
        <v>0</v>
      </c>
      <c r="AM692" s="2">
        <f>VLOOKUP([jobnumber],OvalData[],MATCH(Table2[[#Headers],[Number of Bottom Slats]],Table2[#Headers],0),0)</f>
        <v>0</v>
      </c>
      <c r="AN692" s="2">
        <f>VLOOKUP([jobnumber],OvalData[],MATCH(Table2[[#Headers],[Solid Bottom Height]],Table2[#Headers],0),0)</f>
        <v>0</v>
      </c>
      <c r="AO692" s="2" t="str">
        <f>VLOOKUP([jobnumber],OvalData[],MATCH(Table2[[#Headers],[slatlength]],Table2[#Headers],0),0)</f>
        <v xml:space="preserve"> 18 ft.- 5 7/ 8"</v>
      </c>
      <c r="AP692" s="2">
        <f>VLOOKUP([jobnumber],OvalData[],MATCH(Table2[[#Headers],[Bottom Slat Length]],Table2[#Headers],0),0)</f>
        <v>0</v>
      </c>
      <c r="AQ692" s="2">
        <f>VLOOKUP([jobnumber],OvalData[],MATCH(Table2[[#Headers],[Number of Perferated Slats]],Table2[#Headers],0),0)</f>
        <v>0</v>
      </c>
      <c r="AR692" s="2">
        <f>VLOOKUP([jobnumber],OvalData[],MATCH(Table2[[#Headers],[First Preferated Slat From End]],Table2[#Headers],0),0)</f>
        <v>0</v>
      </c>
      <c r="AS692" s="2">
        <f>VLOOKUP([jobnumber],OvalData[],MATCH(Table2[[#Headers],[First Preferated Slat From Bottom]],Table2[#Headers],0),0)</f>
        <v>0</v>
      </c>
      <c r="AT692" s="2">
        <f>VLOOKUP([jobnumber],OvalData[],MATCH(Table2[[#Headers],[Total Number of Slats]],Table2[#Headers],0),0)</f>
        <v>51</v>
      </c>
      <c r="AU692" s="2">
        <f>VLOOKUP([jobnumber],OvalData[],MATCH(Table2[[#Headers],[Bottom Bar Slope]],Table2[#Headers],0),0)</f>
        <v>0</v>
      </c>
      <c r="AV692" s="2">
        <f>VLOOKUP([jobnumber],OvalData[],MATCH(Table2[[#Headers],[Bottom Bar Weight]],Table2[#Headers],0),0)</f>
        <v>80.5</v>
      </c>
      <c r="AW692" s="2" t="str">
        <f>VLOOKUP([jobnumber],OvalData[],MATCH(Table2[[#Headers],[Outer Spring Gage]],Table2[#Headers],0),0)</f>
        <v>Null</v>
      </c>
      <c r="AX692" s="2" t="str">
        <f>VLOOKUP([jobnumber],OvalData[],MATCH(Table2[[#Headers],[Outer Spring OD]],Table2[#Headers],0),0)</f>
        <v>Null</v>
      </c>
      <c r="AY692" s="2" t="str">
        <f>VLOOKUP([jobnumber],OvalData[],MATCH(Table2[[#Headers],[Outer Spring Length]],Table2[#Headers],0),0)</f>
        <v>Null</v>
      </c>
      <c r="AZ692" s="2" t="str">
        <f>VLOOKUP([jobnumber],OvalData[],MATCH(Table2[[#Headers],[Outer Spring Stretch]],Table2[#Headers],0),0)</f>
        <v>Null</v>
      </c>
      <c r="BA692" s="2" t="str">
        <f>VLOOKUP([jobnumber],OvalData[],MATCH(Table2[[#Headers],[Outer Spring Torque]],Table2[#Headers],0),0)</f>
        <v>Null</v>
      </c>
      <c r="BB692" s="2" t="str">
        <f>VLOOKUP([jobnumber],OvalData[],MATCH(Table2[[#Headers],[Outer Spring Max Turns]],Table2[#Headers],0),0)</f>
        <v>Null</v>
      </c>
      <c r="BC692" s="2" t="str">
        <f>VLOOKUP([jobnumber],OvalData[],MATCH(Table2[[#Headers],[Outer Spring Weight]],Table2[#Headers],0),0)</f>
        <v>Null</v>
      </c>
      <c r="BD692" s="2" t="str">
        <f>VLOOKUP([jobnumber],OvalData[],MATCH(Table2[[#Headers],[Inner Spring Gage]],Table2[#Headers],0),0)</f>
        <v>Null</v>
      </c>
      <c r="BE692" s="2" t="str">
        <f>VLOOKUP([jobnumber],OvalData[],MATCH(Table2[[#Headers],[Inner Spring OD]],Table2[#Headers],0),0)</f>
        <v>Null</v>
      </c>
      <c r="BF692" s="2" t="str">
        <f>VLOOKUP([jobnumber],OvalData[],MATCH(Table2[[#Headers],[Inner Spring Length]],Table2[#Headers],0),0)</f>
        <v>Null</v>
      </c>
      <c r="BG692" s="2" t="str">
        <f>VLOOKUP([jobnumber],OvalData[],MATCH(Table2[[#Headers],[Inner Spring Stretch]],Table2[#Headers],0),0)</f>
        <v>Null</v>
      </c>
      <c r="BH692" s="2" t="str">
        <f>VLOOKUP([jobnumber],OvalData[],MATCH(Table2[[#Headers],[Inner Spring Torque]],Table2[#Headers],0),0)</f>
        <v>Null</v>
      </c>
      <c r="BI692" s="2" t="str">
        <f>VLOOKUP([jobnumber],OvalData[],MATCH(Table2[[#Headers],[Inner Spring Max Turns]],Table2[#Headers],0),0)</f>
        <v>Null</v>
      </c>
      <c r="BJ692" s="2" t="str">
        <f>VLOOKUP([jobnumber],OvalData[],MATCH(Table2[[#Headers],[Inner Spring Weight]],Table2[#Headers],0),0)</f>
        <v>Null</v>
      </c>
      <c r="BK692" s="2">
        <f>VLOOKUP([jobnumber],OvalData[],MATCH(Table2[[#Headers],[Cycles]],Table2[#Headers],0),0)</f>
        <v>0</v>
      </c>
      <c r="BL692" s="2">
        <f>VLOOKUP([jobnumber],OvalData[],MATCH(Table2[[#Headers],[Total Spring Torque]],Table2[#Headers],0),0)</f>
        <v>0</v>
      </c>
      <c r="BM692" s="2">
        <f>VLOOKUP([jobnumber],OvalData[],MATCH(Table2[[#Headers],[Total Spring Weight]],Table2[#Headers],0),0)</f>
        <v>0</v>
      </c>
      <c r="BN692" s="2">
        <f>VLOOKUP([jobnumber],OvalData[],MATCH(Table2[[#Headers],[Pipe Weight]],Table2[#Headers],0),0)</f>
        <v>688.24239999999998</v>
      </c>
      <c r="BO692" s="2">
        <f>VLOOKUP([jobnumber],OvalData[],MATCH(Table2[[#Headers],[Max Pipe Deflection]],Table2[#Headers],0),0)</f>
        <v>2309</v>
      </c>
      <c r="BP692" s="2">
        <f>VLOOKUP([jobnumber],OvalData[],MATCH(Table2[[#Headers],[Number Non-Insulated Wrap Slats]],Table2[#Headers],0),0)</f>
        <v>0</v>
      </c>
      <c r="BQ692" s="2">
        <f>VLOOKUP([jobnumber],OvalData[],MATCH(Table2[[#Headers],[Number of Insolated Top Slats]],Table2[#Headers],0),0)</f>
        <v>45</v>
      </c>
      <c r="BR692" s="2">
        <f>VLOOKUP([jobnumber],OvalData[],MATCH(Table2[[#Headers],[Insolated Total Slats]],Table2[#Headers],0),0)</f>
        <v>45</v>
      </c>
      <c r="BS692" s="2">
        <f>VLOOKUP([jobnumber],OvalData[],MATCH(Table2[[#Headers],[Number of Slats]],Table2[#Headers],0),0)</f>
        <v>44.69</v>
      </c>
      <c r="BT692" s="2">
        <f>VLOOKUP([jobnumber],OvalData[],MATCH(Table2[[#Headers],[Wrap]],Table2[#Headers],0),0)</f>
        <v>0</v>
      </c>
      <c r="BU692" s="2">
        <f>VLOOKUP([jobnumber],OvalData[],MATCH(Table2[[#Headers],[Wall Angle Thickness]],Table2[#Headers],0),0)</f>
        <v>0</v>
      </c>
      <c r="BV692" s="2">
        <f>VLOOKUP([jobnumber],OvalData[],MATCH(Table2[[#Headers],[windlocks]],Table2[#Headers],0),0)</f>
        <v>0</v>
      </c>
      <c r="BW692" s="2" t="str">
        <f>VLOOKUP([jobnumber],OvalData[],MATCH(Table2[[#Headers],[bottombartype]],Table2[#Headers],0),0)</f>
        <v>SPECIAL</v>
      </c>
      <c r="BX692" s="2">
        <f>VLOOKUP([jobnumber],OvalData[],MATCH(Table2[[#Headers],[endlockweight]],Table2[#Headers],0),0)</f>
        <v>0.17</v>
      </c>
      <c r="BY692" s="2">
        <f>VLOOKUP([jobnumber],OvalData[],MATCH(Table2[[#Headers],[Endlock Total Weight]],Table2[#Headers],0),0)</f>
        <v>7.5972999999999997</v>
      </c>
      <c r="BZ692" s="2">
        <f>VLOOKUP([jobnumber],OvalData[],MATCH(Table2[[#Headers],[Grille Weight]],Table2[#Headers],0),0)</f>
        <v>0</v>
      </c>
      <c r="CA692" s="2">
        <f>VLOOKUP([jobnumber],OvalData[],MATCH(Table2[[#Headers],[barrelrings]],Table2[#Headers],0),0)</f>
        <v>1</v>
      </c>
    </row>
    <row r="693" spans="2:79">
      <c r="B693" s="2" t="str">
        <f>VLOOKUP([jobnumber],OvalData[],MATCH(Table2[[#Headers],[Hand]],Table2[#Headers],0),0)</f>
        <v>RH</v>
      </c>
      <c r="C693" s="2" t="str">
        <f>VLOOKUP([jobnumber],OvalData[],MATCH(Table2[[#Headers],[Model]],Table2[#Headers],0),0)</f>
        <v>SFMPP</v>
      </c>
      <c r="D693" s="2" t="str">
        <f>VLOOKUP([jobnumber],OvalData[],MATCH(Table2[[#Headers],[width]],Table2[#Headers],0),0)</f>
        <v xml:space="preserve"> 18 ft.- 2"</v>
      </c>
      <c r="E693" s="2" t="str">
        <f>VLOOKUP([jobnumber],OvalData[],MATCH(Table2[[#Headers],[stopheight]],Table2[#Headers],0),0)</f>
        <v xml:space="preserve"> 10 ft.- 0"</v>
      </c>
      <c r="F693" s="2" t="str">
        <f>VLOOKUP([jobnumber],OvalData[],MATCH(Table2[[#Headers],[Between Brackets]],Table2[#Headers],0),0)</f>
        <v xml:space="preserve"> 18 ft.- 7 7/ 8"</v>
      </c>
      <c r="G693" s="2" t="str">
        <f>VLOOKUP([jobnumber],OvalData[],MATCH(Table2[[#Headers],[shell]],Table2[#Headers],0),0)</f>
        <v>6 INCH TUBE</v>
      </c>
      <c r="H693" s="2" t="str">
        <f>VLOOKUP([jobnumber],OvalData[],MATCH(Table2[[#Headers],[pipewidth]],Table2[#Headers],0),0)</f>
        <v xml:space="preserve"> 18 ft.- 1 3/ 8"</v>
      </c>
      <c r="I693" s="2">
        <f>VLOOKUP([jobnumber],OvalData[],MATCH(Table2[[#Headers],[Support Tubes]],Table2[#Headers],0),0)</f>
        <v>0</v>
      </c>
      <c r="J693" s="2">
        <f>VLOOKUP([jobnumber],OvalData[],MATCH(Table2[[#Headers],[Upset]],Table2[#Headers],0),0)</f>
        <v>2</v>
      </c>
      <c r="K693" s="2" t="str">
        <f>VLOOKUP([jobnumber],OvalData[],MATCH(Table2[[#Headers],[Guide Type]],Table2[#Headers],0),0)</f>
        <v>SN2-4 5/8-E</v>
      </c>
      <c r="L693" s="2" t="str">
        <f>VLOOKUP([jobnumber],OvalData[],MATCH(Table2[[#Headers],[Wall Angle]],Table2[#Headers],0),0)</f>
        <v xml:space="preserve"> 11 ft.- 8"</v>
      </c>
      <c r="M693" s="2" t="str">
        <f>VLOOKUP([jobnumber],OvalData[],MATCH(Table2[[#Headers],[Middle Angle]],Table2[#Headers],0),0)</f>
        <v xml:space="preserve"> 10 ft.- 4 1/ 2"</v>
      </c>
      <c r="N693" s="2" t="str">
        <f>VLOOKUP([jobnumber],OvalData[],MATCH(Table2[[#Headers],[Front Angle]],Table2[#Headers],0),0)</f>
        <v xml:space="preserve"> 10 ft.- 3"</v>
      </c>
      <c r="O693" s="2">
        <f>VLOOKUP([jobnumber],OvalData[],MATCH(Table2[[#Headers],[Pipe Center Line]],Table2[#Headers],0),0)</f>
        <v>131</v>
      </c>
      <c r="P693" s="2">
        <f>VLOOKUP([jobnumber],OvalData[],MATCH(Table2[[#Headers],[Heat Expansion Gap]],Table2[#Headers],0),0)</f>
        <v>0</v>
      </c>
      <c r="Q693" s="2">
        <f>VLOOKUP([jobnumber],OvalData[],MATCH(Table2[[#Headers],[Hanging Weight Closed]],Table2[#Headers],0),0)</f>
        <v>795</v>
      </c>
      <c r="R693" s="2">
        <f>VLOOKUP([jobnumber],OvalData[],MATCH(Table2[[#Headers],[Hanging Weight Open]],Table2[#Headers],0),0)</f>
        <v>140</v>
      </c>
      <c r="S693" s="2">
        <f>VLOOKUP([jobnumber],OvalData[],MATCH(Table2[[#Headers],[Initial Lever Arm]],Table2[#Headers],0),0)</f>
        <v>4.25</v>
      </c>
      <c r="T693" s="2">
        <f>VLOOKUP([jobnumber],OvalData[],MATCH(Table2[[#Headers],[Turns to Raise]],Table2[#Headers],0),0)</f>
        <v>3.5859999999999999</v>
      </c>
      <c r="U693" s="2">
        <f>VLOOKUP([jobnumber],OvalData[],MATCH(Table2[[#Headers],[Final Lever Arm]],Table2[#Headers],0),0)</f>
        <v>6.37</v>
      </c>
      <c r="V693" s="2">
        <f>VLOOKUP([jobnumber],OvalData[],MATCH(Table2[[#Headers],[Torque Required Closed]],Table2[#Headers],0),0)</f>
        <v>3377.9</v>
      </c>
      <c r="W693" s="2">
        <f>VLOOKUP([jobnumber],OvalData[],MATCH(Table2[[#Headers],[Torque Required Open]],Table2[#Headers],0),0)</f>
        <v>892</v>
      </c>
      <c r="X693" s="2">
        <f>VLOOKUP([jobnumber],OvalData[],MATCH(Table2[[#Headers],[Pre Turns]],Table2[#Headers],0),0)</f>
        <v>1.3332999999999999</v>
      </c>
      <c r="Y693" s="2">
        <f>VLOOKUP([jobnumber],OvalData[],MATCH(Table2[[#Headers],[Required Torque Per Turn]],Table2[#Headers],0),0)</f>
        <v>688</v>
      </c>
      <c r="Z693" s="2">
        <f>VLOOKUP([jobnumber],OvalData[],MATCH(Table2[[#Headers],[Total Turns]],Table2[#Headers],0),0)</f>
        <v>4.91</v>
      </c>
      <c r="AA693" s="2">
        <f>VLOOKUP([jobnumber],OvalData[],MATCH(Table2[[#Headers],[Grille Vision Section]],Table2[#Headers],0),0)</f>
        <v>0</v>
      </c>
      <c r="AB693" s="2">
        <f>VLOOKUP([jobnumber],OvalData[],MATCH(Table2[[#Headers],[Grille Amount]],Table2[#Headers],0),0)</f>
        <v>0</v>
      </c>
      <c r="AC693" s="2">
        <f>VLOOKUP([jobnumber],OvalData[],MATCH(Table2[[#Headers],[Grille Center]],Table2[#Headers],0),0)</f>
        <v>0</v>
      </c>
      <c r="AD693" s="2">
        <f>VLOOKUP([jobnumber],OvalData[],MATCH(Table2[[#Headers],[Grille Pattern]],Table2[#Headers],0),0)</f>
        <v>0</v>
      </c>
      <c r="AE693" s="2">
        <f>VLOOKUP([jobnumber],OvalData[],MATCH(Table2[[#Headers],[Grille First Tube]],Table2[#Headers],0),0)</f>
        <v>0</v>
      </c>
      <c r="AF693" s="2">
        <f>VLOOKUP([jobnumber],OvalData[],MATCH(Table2[[#Headers],[Grille Standard Tube]],Table2[#Headers],0),0)</f>
        <v>0</v>
      </c>
      <c r="AG693" s="2">
        <f>VLOOKUP([jobnumber],OvalData[],MATCH(Table2[[#Headers],[Grille Total Links]],Table2[#Headers],0),0)</f>
        <v>0</v>
      </c>
      <c r="AH693" s="2">
        <f>VLOOKUP([jobnumber],OvalData[],MATCH(Table2[[#Headers],[Grille Rods]],Table2[#Headers],0),0)</f>
        <v>0</v>
      </c>
      <c r="AI693" s="2">
        <f>VLOOKUP([jobnumber],OvalData[],MATCH(Table2[[#Headers],[Grille Rod Length]],Table2[#Headers],0),0)</f>
        <v>0</v>
      </c>
      <c r="AJ693" s="2">
        <f>VLOOKUP([jobnumber],OvalData[],MATCH(Table2[[#Headers],[slattype]],Table2[#Headers],0),0)</f>
        <v>2</v>
      </c>
      <c r="AK693" s="2">
        <f>VLOOKUP([jobnumber],OvalData[],MATCH(Table2[[#Headers],[slatgage]],Table2[#Headers],0),0)</f>
        <v>18</v>
      </c>
      <c r="AL693" s="2">
        <f>VLOOKUP([jobnumber],OvalData[],MATCH(Table2[[#Headers],[Numer of Top Slats]],Table2[#Headers],0),0)</f>
        <v>0</v>
      </c>
      <c r="AM693" s="2">
        <f>VLOOKUP([jobnumber],OvalData[],MATCH(Table2[[#Headers],[Number of Bottom Slats]],Table2[#Headers],0),0)</f>
        <v>0</v>
      </c>
      <c r="AN693" s="2">
        <f>VLOOKUP([jobnumber],OvalData[],MATCH(Table2[[#Headers],[Solid Bottom Height]],Table2[#Headers],0),0)</f>
        <v>0</v>
      </c>
      <c r="AO693" s="2" t="str">
        <f>VLOOKUP([jobnumber],OvalData[],MATCH(Table2[[#Headers],[slatlength]],Table2[#Headers],0),0)</f>
        <v xml:space="preserve"> 18 ft.- 5 7/ 8"</v>
      </c>
      <c r="AP693" s="2">
        <f>VLOOKUP([jobnumber],OvalData[],MATCH(Table2[[#Headers],[Bottom Slat Length]],Table2[#Headers],0),0)</f>
        <v>0</v>
      </c>
      <c r="AQ693" s="2">
        <f>VLOOKUP([jobnumber],OvalData[],MATCH(Table2[[#Headers],[Number of Perferated Slats]],Table2[#Headers],0),0)</f>
        <v>0</v>
      </c>
      <c r="AR693" s="2">
        <f>VLOOKUP([jobnumber],OvalData[],MATCH(Table2[[#Headers],[First Preferated Slat From End]],Table2[#Headers],0),0)</f>
        <v>0</v>
      </c>
      <c r="AS693" s="2">
        <f>VLOOKUP([jobnumber],OvalData[],MATCH(Table2[[#Headers],[First Preferated Slat From Bottom]],Table2[#Headers],0),0)</f>
        <v>0</v>
      </c>
      <c r="AT693" s="2">
        <f>VLOOKUP([jobnumber],OvalData[],MATCH(Table2[[#Headers],[Total Number of Slats]],Table2[#Headers],0),0)</f>
        <v>51</v>
      </c>
      <c r="AU693" s="2">
        <f>VLOOKUP([jobnumber],OvalData[],MATCH(Table2[[#Headers],[Bottom Bar Slope]],Table2[#Headers],0),0)</f>
        <v>0</v>
      </c>
      <c r="AV693" s="2">
        <f>VLOOKUP([jobnumber],OvalData[],MATCH(Table2[[#Headers],[Bottom Bar Weight]],Table2[#Headers],0),0)</f>
        <v>80.5</v>
      </c>
      <c r="AW693" s="2" t="str">
        <f>VLOOKUP([jobnumber],OvalData[],MATCH(Table2[[#Headers],[Outer Spring Gage]],Table2[#Headers],0),0)</f>
        <v>Null</v>
      </c>
      <c r="AX693" s="2" t="str">
        <f>VLOOKUP([jobnumber],OvalData[],MATCH(Table2[[#Headers],[Outer Spring OD]],Table2[#Headers],0),0)</f>
        <v>Null</v>
      </c>
      <c r="AY693" s="2" t="str">
        <f>VLOOKUP([jobnumber],OvalData[],MATCH(Table2[[#Headers],[Outer Spring Length]],Table2[#Headers],0),0)</f>
        <v>Null</v>
      </c>
      <c r="AZ693" s="2" t="str">
        <f>VLOOKUP([jobnumber],OvalData[],MATCH(Table2[[#Headers],[Outer Spring Stretch]],Table2[#Headers],0),0)</f>
        <v>Null</v>
      </c>
      <c r="BA693" s="2" t="str">
        <f>VLOOKUP([jobnumber],OvalData[],MATCH(Table2[[#Headers],[Outer Spring Torque]],Table2[#Headers],0),0)</f>
        <v>Null</v>
      </c>
      <c r="BB693" s="2" t="str">
        <f>VLOOKUP([jobnumber],OvalData[],MATCH(Table2[[#Headers],[Outer Spring Max Turns]],Table2[#Headers],0),0)</f>
        <v>Null</v>
      </c>
      <c r="BC693" s="2" t="str">
        <f>VLOOKUP([jobnumber],OvalData[],MATCH(Table2[[#Headers],[Outer Spring Weight]],Table2[#Headers],0),0)</f>
        <v>Null</v>
      </c>
      <c r="BD693" s="2" t="str">
        <f>VLOOKUP([jobnumber],OvalData[],MATCH(Table2[[#Headers],[Inner Spring Gage]],Table2[#Headers],0),0)</f>
        <v>Null</v>
      </c>
      <c r="BE693" s="2" t="str">
        <f>VLOOKUP([jobnumber],OvalData[],MATCH(Table2[[#Headers],[Inner Spring OD]],Table2[#Headers],0),0)</f>
        <v>Null</v>
      </c>
      <c r="BF693" s="2" t="str">
        <f>VLOOKUP([jobnumber],OvalData[],MATCH(Table2[[#Headers],[Inner Spring Length]],Table2[#Headers],0),0)</f>
        <v>Null</v>
      </c>
      <c r="BG693" s="2" t="str">
        <f>VLOOKUP([jobnumber],OvalData[],MATCH(Table2[[#Headers],[Inner Spring Stretch]],Table2[#Headers],0),0)</f>
        <v>Null</v>
      </c>
      <c r="BH693" s="2" t="str">
        <f>VLOOKUP([jobnumber],OvalData[],MATCH(Table2[[#Headers],[Inner Spring Torque]],Table2[#Headers],0),0)</f>
        <v>Null</v>
      </c>
      <c r="BI693" s="2" t="str">
        <f>VLOOKUP([jobnumber],OvalData[],MATCH(Table2[[#Headers],[Inner Spring Max Turns]],Table2[#Headers],0),0)</f>
        <v>Null</v>
      </c>
      <c r="BJ693" s="2" t="str">
        <f>VLOOKUP([jobnumber],OvalData[],MATCH(Table2[[#Headers],[Inner Spring Weight]],Table2[#Headers],0),0)</f>
        <v>Null</v>
      </c>
      <c r="BK693" s="2">
        <f>VLOOKUP([jobnumber],OvalData[],MATCH(Table2[[#Headers],[Cycles]],Table2[#Headers],0),0)</f>
        <v>0</v>
      </c>
      <c r="BL693" s="2">
        <f>VLOOKUP([jobnumber],OvalData[],MATCH(Table2[[#Headers],[Total Spring Torque]],Table2[#Headers],0),0)</f>
        <v>0</v>
      </c>
      <c r="BM693" s="2">
        <f>VLOOKUP([jobnumber],OvalData[],MATCH(Table2[[#Headers],[Total Spring Weight]],Table2[#Headers],0),0)</f>
        <v>0</v>
      </c>
      <c r="BN693" s="2">
        <f>VLOOKUP([jobnumber],OvalData[],MATCH(Table2[[#Headers],[Pipe Weight]],Table2[#Headers],0),0)</f>
        <v>688.24239999999998</v>
      </c>
      <c r="BO693" s="2">
        <f>VLOOKUP([jobnumber],OvalData[],MATCH(Table2[[#Headers],[Max Pipe Deflection]],Table2[#Headers],0),0)</f>
        <v>2309</v>
      </c>
      <c r="BP693" s="2">
        <f>VLOOKUP([jobnumber],OvalData[],MATCH(Table2[[#Headers],[Number Non-Insulated Wrap Slats]],Table2[#Headers],0),0)</f>
        <v>0</v>
      </c>
      <c r="BQ693" s="2">
        <f>VLOOKUP([jobnumber],OvalData[],MATCH(Table2[[#Headers],[Number of Insolated Top Slats]],Table2[#Headers],0),0)</f>
        <v>45</v>
      </c>
      <c r="BR693" s="2">
        <f>VLOOKUP([jobnumber],OvalData[],MATCH(Table2[[#Headers],[Insolated Total Slats]],Table2[#Headers],0),0)</f>
        <v>45</v>
      </c>
      <c r="BS693" s="2">
        <f>VLOOKUP([jobnumber],OvalData[],MATCH(Table2[[#Headers],[Number of Slats]],Table2[#Headers],0),0)</f>
        <v>44.69</v>
      </c>
      <c r="BT693" s="2">
        <f>VLOOKUP([jobnumber],OvalData[],MATCH(Table2[[#Headers],[Wrap]],Table2[#Headers],0),0)</f>
        <v>0</v>
      </c>
      <c r="BU693" s="2">
        <f>VLOOKUP([jobnumber],OvalData[],MATCH(Table2[[#Headers],[Wall Angle Thickness]],Table2[#Headers],0),0)</f>
        <v>0</v>
      </c>
      <c r="BV693" s="2">
        <f>VLOOKUP([jobnumber],OvalData[],MATCH(Table2[[#Headers],[windlocks]],Table2[#Headers],0),0)</f>
        <v>0</v>
      </c>
      <c r="BW693" s="2" t="str">
        <f>VLOOKUP([jobnumber],OvalData[],MATCH(Table2[[#Headers],[bottombartype]],Table2[#Headers],0),0)</f>
        <v>SPECIAL</v>
      </c>
      <c r="BX693" s="2">
        <f>VLOOKUP([jobnumber],OvalData[],MATCH(Table2[[#Headers],[endlockweight]],Table2[#Headers],0),0)</f>
        <v>0.17</v>
      </c>
      <c r="BY693" s="2">
        <f>VLOOKUP([jobnumber],OvalData[],MATCH(Table2[[#Headers],[Endlock Total Weight]],Table2[#Headers],0),0)</f>
        <v>7.5972999999999997</v>
      </c>
      <c r="BZ693" s="2">
        <f>VLOOKUP([jobnumber],OvalData[],MATCH(Table2[[#Headers],[Grille Weight]],Table2[#Headers],0),0)</f>
        <v>0</v>
      </c>
      <c r="CA693" s="2">
        <f>VLOOKUP([jobnumber],OvalData[],MATCH(Table2[[#Headers],[barrelrings]],Table2[#Headers],0),0)</f>
        <v>1</v>
      </c>
    </row>
    <row r="694" spans="2:79">
      <c r="B694" s="2" t="str">
        <f>VLOOKUP([jobnumber],OvalData[],MATCH(Table2[[#Headers],[Hand]],Table2[#Headers],0),0)</f>
        <v>RH</v>
      </c>
      <c r="C694" s="2" t="str">
        <f>VLOOKUP([jobnumber],OvalData[],MATCH(Table2[[#Headers],[Model]],Table2[#Headers],0),0)</f>
        <v>SFMPP</v>
      </c>
      <c r="D694" s="2" t="str">
        <f>VLOOKUP([jobnumber],OvalData[],MATCH(Table2[[#Headers],[width]],Table2[#Headers],0),0)</f>
        <v xml:space="preserve"> 18 ft.- 2"</v>
      </c>
      <c r="E694" s="2" t="str">
        <f>VLOOKUP([jobnumber],OvalData[],MATCH(Table2[[#Headers],[stopheight]],Table2[#Headers],0),0)</f>
        <v xml:space="preserve"> 10 ft.- 0"</v>
      </c>
      <c r="F694" s="2" t="str">
        <f>VLOOKUP([jobnumber],OvalData[],MATCH(Table2[[#Headers],[Between Brackets]],Table2[#Headers],0),0)</f>
        <v xml:space="preserve"> 18 ft.- 7 7/ 8"</v>
      </c>
      <c r="G694" s="2" t="str">
        <f>VLOOKUP([jobnumber],OvalData[],MATCH(Table2[[#Headers],[shell]],Table2[#Headers],0),0)</f>
        <v>6 INCH TUBE</v>
      </c>
      <c r="H694" s="2" t="str">
        <f>VLOOKUP([jobnumber],OvalData[],MATCH(Table2[[#Headers],[pipewidth]],Table2[#Headers],0),0)</f>
        <v xml:space="preserve"> 18 ft.- 1 3/ 8"</v>
      </c>
      <c r="I694" s="2">
        <f>VLOOKUP([jobnumber],OvalData[],MATCH(Table2[[#Headers],[Support Tubes]],Table2[#Headers],0),0)</f>
        <v>0</v>
      </c>
      <c r="J694" s="2">
        <f>VLOOKUP([jobnumber],OvalData[],MATCH(Table2[[#Headers],[Upset]],Table2[#Headers],0),0)</f>
        <v>2</v>
      </c>
      <c r="K694" s="2" t="str">
        <f>VLOOKUP([jobnumber],OvalData[],MATCH(Table2[[#Headers],[Guide Type]],Table2[#Headers],0),0)</f>
        <v>SN2-4 5/8-E</v>
      </c>
      <c r="L694" s="2" t="str">
        <f>VLOOKUP([jobnumber],OvalData[],MATCH(Table2[[#Headers],[Wall Angle]],Table2[#Headers],0),0)</f>
        <v xml:space="preserve"> 11 ft.- 8"</v>
      </c>
      <c r="M694" s="2" t="str">
        <f>VLOOKUP([jobnumber],OvalData[],MATCH(Table2[[#Headers],[Middle Angle]],Table2[#Headers],0),0)</f>
        <v xml:space="preserve"> 10 ft.- 4 1/ 2"</v>
      </c>
      <c r="N694" s="2" t="str">
        <f>VLOOKUP([jobnumber],OvalData[],MATCH(Table2[[#Headers],[Front Angle]],Table2[#Headers],0),0)</f>
        <v xml:space="preserve"> 10 ft.- 3"</v>
      </c>
      <c r="O694" s="2">
        <f>VLOOKUP([jobnumber],OvalData[],MATCH(Table2[[#Headers],[Pipe Center Line]],Table2[#Headers],0),0)</f>
        <v>131</v>
      </c>
      <c r="P694" s="2">
        <f>VLOOKUP([jobnumber],OvalData[],MATCH(Table2[[#Headers],[Heat Expansion Gap]],Table2[#Headers],0),0)</f>
        <v>0</v>
      </c>
      <c r="Q694" s="2">
        <f>VLOOKUP([jobnumber],OvalData[],MATCH(Table2[[#Headers],[Hanging Weight Closed]],Table2[#Headers],0),0)</f>
        <v>795</v>
      </c>
      <c r="R694" s="2">
        <f>VLOOKUP([jobnumber],OvalData[],MATCH(Table2[[#Headers],[Hanging Weight Open]],Table2[#Headers],0),0)</f>
        <v>140</v>
      </c>
      <c r="S694" s="2">
        <f>VLOOKUP([jobnumber],OvalData[],MATCH(Table2[[#Headers],[Initial Lever Arm]],Table2[#Headers],0),0)</f>
        <v>4.25</v>
      </c>
      <c r="T694" s="2">
        <f>VLOOKUP([jobnumber],OvalData[],MATCH(Table2[[#Headers],[Turns to Raise]],Table2[#Headers],0),0)</f>
        <v>3.5859999999999999</v>
      </c>
      <c r="U694" s="2">
        <f>VLOOKUP([jobnumber],OvalData[],MATCH(Table2[[#Headers],[Final Lever Arm]],Table2[#Headers],0),0)</f>
        <v>6.37</v>
      </c>
      <c r="V694" s="2">
        <f>VLOOKUP([jobnumber],OvalData[],MATCH(Table2[[#Headers],[Torque Required Closed]],Table2[#Headers],0),0)</f>
        <v>3377.9</v>
      </c>
      <c r="W694" s="2">
        <f>VLOOKUP([jobnumber],OvalData[],MATCH(Table2[[#Headers],[Torque Required Open]],Table2[#Headers],0),0)</f>
        <v>892</v>
      </c>
      <c r="X694" s="2">
        <f>VLOOKUP([jobnumber],OvalData[],MATCH(Table2[[#Headers],[Pre Turns]],Table2[#Headers],0),0)</f>
        <v>1.3332999999999999</v>
      </c>
      <c r="Y694" s="2">
        <f>VLOOKUP([jobnumber],OvalData[],MATCH(Table2[[#Headers],[Required Torque Per Turn]],Table2[#Headers],0),0)</f>
        <v>688</v>
      </c>
      <c r="Z694" s="2">
        <f>VLOOKUP([jobnumber],OvalData[],MATCH(Table2[[#Headers],[Total Turns]],Table2[#Headers],0),0)</f>
        <v>4.91</v>
      </c>
      <c r="AA694" s="2">
        <f>VLOOKUP([jobnumber],OvalData[],MATCH(Table2[[#Headers],[Grille Vision Section]],Table2[#Headers],0),0)</f>
        <v>0</v>
      </c>
      <c r="AB694" s="2">
        <f>VLOOKUP([jobnumber],OvalData[],MATCH(Table2[[#Headers],[Grille Amount]],Table2[#Headers],0),0)</f>
        <v>0</v>
      </c>
      <c r="AC694" s="2">
        <f>VLOOKUP([jobnumber],OvalData[],MATCH(Table2[[#Headers],[Grille Center]],Table2[#Headers],0),0)</f>
        <v>0</v>
      </c>
      <c r="AD694" s="2">
        <f>VLOOKUP([jobnumber],OvalData[],MATCH(Table2[[#Headers],[Grille Pattern]],Table2[#Headers],0),0)</f>
        <v>0</v>
      </c>
      <c r="AE694" s="2">
        <f>VLOOKUP([jobnumber],OvalData[],MATCH(Table2[[#Headers],[Grille First Tube]],Table2[#Headers],0),0)</f>
        <v>0</v>
      </c>
      <c r="AF694" s="2">
        <f>VLOOKUP([jobnumber],OvalData[],MATCH(Table2[[#Headers],[Grille Standard Tube]],Table2[#Headers],0),0)</f>
        <v>0</v>
      </c>
      <c r="AG694" s="2">
        <f>VLOOKUP([jobnumber],OvalData[],MATCH(Table2[[#Headers],[Grille Total Links]],Table2[#Headers],0),0)</f>
        <v>0</v>
      </c>
      <c r="AH694" s="2">
        <f>VLOOKUP([jobnumber],OvalData[],MATCH(Table2[[#Headers],[Grille Rods]],Table2[#Headers],0),0)</f>
        <v>0</v>
      </c>
      <c r="AI694" s="2">
        <f>VLOOKUP([jobnumber],OvalData[],MATCH(Table2[[#Headers],[Grille Rod Length]],Table2[#Headers],0),0)</f>
        <v>0</v>
      </c>
      <c r="AJ694" s="2">
        <f>VLOOKUP([jobnumber],OvalData[],MATCH(Table2[[#Headers],[slattype]],Table2[#Headers],0),0)</f>
        <v>2</v>
      </c>
      <c r="AK694" s="2">
        <f>VLOOKUP([jobnumber],OvalData[],MATCH(Table2[[#Headers],[slatgage]],Table2[#Headers],0),0)</f>
        <v>18</v>
      </c>
      <c r="AL694" s="2">
        <f>VLOOKUP([jobnumber],OvalData[],MATCH(Table2[[#Headers],[Numer of Top Slats]],Table2[#Headers],0),0)</f>
        <v>0</v>
      </c>
      <c r="AM694" s="2">
        <f>VLOOKUP([jobnumber],OvalData[],MATCH(Table2[[#Headers],[Number of Bottom Slats]],Table2[#Headers],0),0)</f>
        <v>0</v>
      </c>
      <c r="AN694" s="2">
        <f>VLOOKUP([jobnumber],OvalData[],MATCH(Table2[[#Headers],[Solid Bottom Height]],Table2[#Headers],0),0)</f>
        <v>0</v>
      </c>
      <c r="AO694" s="2" t="str">
        <f>VLOOKUP([jobnumber],OvalData[],MATCH(Table2[[#Headers],[slatlength]],Table2[#Headers],0),0)</f>
        <v xml:space="preserve"> 18 ft.- 5 7/ 8"</v>
      </c>
      <c r="AP694" s="2">
        <f>VLOOKUP([jobnumber],OvalData[],MATCH(Table2[[#Headers],[Bottom Slat Length]],Table2[#Headers],0),0)</f>
        <v>0</v>
      </c>
      <c r="AQ694" s="2">
        <f>VLOOKUP([jobnumber],OvalData[],MATCH(Table2[[#Headers],[Number of Perferated Slats]],Table2[#Headers],0),0)</f>
        <v>0</v>
      </c>
      <c r="AR694" s="2">
        <f>VLOOKUP([jobnumber],OvalData[],MATCH(Table2[[#Headers],[First Preferated Slat From End]],Table2[#Headers],0),0)</f>
        <v>0</v>
      </c>
      <c r="AS694" s="2">
        <f>VLOOKUP([jobnumber],OvalData[],MATCH(Table2[[#Headers],[First Preferated Slat From Bottom]],Table2[#Headers],0),0)</f>
        <v>0</v>
      </c>
      <c r="AT694" s="2">
        <f>VLOOKUP([jobnumber],OvalData[],MATCH(Table2[[#Headers],[Total Number of Slats]],Table2[#Headers],0),0)</f>
        <v>51</v>
      </c>
      <c r="AU694" s="2">
        <f>VLOOKUP([jobnumber],OvalData[],MATCH(Table2[[#Headers],[Bottom Bar Slope]],Table2[#Headers],0),0)</f>
        <v>0</v>
      </c>
      <c r="AV694" s="2">
        <f>VLOOKUP([jobnumber],OvalData[],MATCH(Table2[[#Headers],[Bottom Bar Weight]],Table2[#Headers],0),0)</f>
        <v>80.5</v>
      </c>
      <c r="AW694" s="2" t="str">
        <f>VLOOKUP([jobnumber],OvalData[],MATCH(Table2[[#Headers],[Outer Spring Gage]],Table2[#Headers],0),0)</f>
        <v>Null</v>
      </c>
      <c r="AX694" s="2" t="str">
        <f>VLOOKUP([jobnumber],OvalData[],MATCH(Table2[[#Headers],[Outer Spring OD]],Table2[#Headers],0),0)</f>
        <v>Null</v>
      </c>
      <c r="AY694" s="2" t="str">
        <f>VLOOKUP([jobnumber],OvalData[],MATCH(Table2[[#Headers],[Outer Spring Length]],Table2[#Headers],0),0)</f>
        <v>Null</v>
      </c>
      <c r="AZ694" s="2" t="str">
        <f>VLOOKUP([jobnumber],OvalData[],MATCH(Table2[[#Headers],[Outer Spring Stretch]],Table2[#Headers],0),0)</f>
        <v>Null</v>
      </c>
      <c r="BA694" s="2" t="str">
        <f>VLOOKUP([jobnumber],OvalData[],MATCH(Table2[[#Headers],[Outer Spring Torque]],Table2[#Headers],0),0)</f>
        <v>Null</v>
      </c>
      <c r="BB694" s="2" t="str">
        <f>VLOOKUP([jobnumber],OvalData[],MATCH(Table2[[#Headers],[Outer Spring Max Turns]],Table2[#Headers],0),0)</f>
        <v>Null</v>
      </c>
      <c r="BC694" s="2" t="str">
        <f>VLOOKUP([jobnumber],OvalData[],MATCH(Table2[[#Headers],[Outer Spring Weight]],Table2[#Headers],0),0)</f>
        <v>Null</v>
      </c>
      <c r="BD694" s="2" t="str">
        <f>VLOOKUP([jobnumber],OvalData[],MATCH(Table2[[#Headers],[Inner Spring Gage]],Table2[#Headers],0),0)</f>
        <v>Null</v>
      </c>
      <c r="BE694" s="2" t="str">
        <f>VLOOKUP([jobnumber],OvalData[],MATCH(Table2[[#Headers],[Inner Spring OD]],Table2[#Headers],0),0)</f>
        <v>Null</v>
      </c>
      <c r="BF694" s="2" t="str">
        <f>VLOOKUP([jobnumber],OvalData[],MATCH(Table2[[#Headers],[Inner Spring Length]],Table2[#Headers],0),0)</f>
        <v>Null</v>
      </c>
      <c r="BG694" s="2" t="str">
        <f>VLOOKUP([jobnumber],OvalData[],MATCH(Table2[[#Headers],[Inner Spring Stretch]],Table2[#Headers],0),0)</f>
        <v>Null</v>
      </c>
      <c r="BH694" s="2" t="str">
        <f>VLOOKUP([jobnumber],OvalData[],MATCH(Table2[[#Headers],[Inner Spring Torque]],Table2[#Headers],0),0)</f>
        <v>Null</v>
      </c>
      <c r="BI694" s="2" t="str">
        <f>VLOOKUP([jobnumber],OvalData[],MATCH(Table2[[#Headers],[Inner Spring Max Turns]],Table2[#Headers],0),0)</f>
        <v>Null</v>
      </c>
      <c r="BJ694" s="2" t="str">
        <f>VLOOKUP([jobnumber],OvalData[],MATCH(Table2[[#Headers],[Inner Spring Weight]],Table2[#Headers],0),0)</f>
        <v>Null</v>
      </c>
      <c r="BK694" s="2">
        <f>VLOOKUP([jobnumber],OvalData[],MATCH(Table2[[#Headers],[Cycles]],Table2[#Headers],0),0)</f>
        <v>0</v>
      </c>
      <c r="BL694" s="2">
        <f>VLOOKUP([jobnumber],OvalData[],MATCH(Table2[[#Headers],[Total Spring Torque]],Table2[#Headers],0),0)</f>
        <v>0</v>
      </c>
      <c r="BM694" s="2">
        <f>VLOOKUP([jobnumber],OvalData[],MATCH(Table2[[#Headers],[Total Spring Weight]],Table2[#Headers],0),0)</f>
        <v>0</v>
      </c>
      <c r="BN694" s="2">
        <f>VLOOKUP([jobnumber],OvalData[],MATCH(Table2[[#Headers],[Pipe Weight]],Table2[#Headers],0),0)</f>
        <v>688.24239999999998</v>
      </c>
      <c r="BO694" s="2">
        <f>VLOOKUP([jobnumber],OvalData[],MATCH(Table2[[#Headers],[Max Pipe Deflection]],Table2[#Headers],0),0)</f>
        <v>2309</v>
      </c>
      <c r="BP694" s="2">
        <f>VLOOKUP([jobnumber],OvalData[],MATCH(Table2[[#Headers],[Number Non-Insulated Wrap Slats]],Table2[#Headers],0),0)</f>
        <v>0</v>
      </c>
      <c r="BQ694" s="2">
        <f>VLOOKUP([jobnumber],OvalData[],MATCH(Table2[[#Headers],[Number of Insolated Top Slats]],Table2[#Headers],0),0)</f>
        <v>45</v>
      </c>
      <c r="BR694" s="2">
        <f>VLOOKUP([jobnumber],OvalData[],MATCH(Table2[[#Headers],[Insolated Total Slats]],Table2[#Headers],0),0)</f>
        <v>45</v>
      </c>
      <c r="BS694" s="2">
        <f>VLOOKUP([jobnumber],OvalData[],MATCH(Table2[[#Headers],[Number of Slats]],Table2[#Headers],0),0)</f>
        <v>44.69</v>
      </c>
      <c r="BT694" s="2">
        <f>VLOOKUP([jobnumber],OvalData[],MATCH(Table2[[#Headers],[Wrap]],Table2[#Headers],0),0)</f>
        <v>0</v>
      </c>
      <c r="BU694" s="2">
        <f>VLOOKUP([jobnumber],OvalData[],MATCH(Table2[[#Headers],[Wall Angle Thickness]],Table2[#Headers],0),0)</f>
        <v>0</v>
      </c>
      <c r="BV694" s="2">
        <f>VLOOKUP([jobnumber],OvalData[],MATCH(Table2[[#Headers],[windlocks]],Table2[#Headers],0),0)</f>
        <v>0</v>
      </c>
      <c r="BW694" s="2" t="str">
        <f>VLOOKUP([jobnumber],OvalData[],MATCH(Table2[[#Headers],[bottombartype]],Table2[#Headers],0),0)</f>
        <v>SPECIAL</v>
      </c>
      <c r="BX694" s="2">
        <f>VLOOKUP([jobnumber],OvalData[],MATCH(Table2[[#Headers],[endlockweight]],Table2[#Headers],0),0)</f>
        <v>0.17</v>
      </c>
      <c r="BY694" s="2">
        <f>VLOOKUP([jobnumber],OvalData[],MATCH(Table2[[#Headers],[Endlock Total Weight]],Table2[#Headers],0),0)</f>
        <v>7.5972999999999997</v>
      </c>
      <c r="BZ694" s="2">
        <f>VLOOKUP([jobnumber],OvalData[],MATCH(Table2[[#Headers],[Grille Weight]],Table2[#Headers],0),0)</f>
        <v>0</v>
      </c>
      <c r="CA694" s="2">
        <f>VLOOKUP([jobnumber],OvalData[],MATCH(Table2[[#Headers],[barrelrings]],Table2[#Headers],0),0)</f>
        <v>1</v>
      </c>
    </row>
    <row r="695" spans="2:79">
      <c r="B695" s="2" t="str">
        <f>VLOOKUP([jobnumber],OvalData[],MATCH(Table2[[#Headers],[Hand]],Table2[#Headers],0),0)</f>
        <v>RH</v>
      </c>
      <c r="C695" s="2" t="str">
        <f>VLOOKUP([jobnumber],OvalData[],MATCH(Table2[[#Headers],[Model]],Table2[#Headers],0),0)</f>
        <v>SFMPP</v>
      </c>
      <c r="D695" s="2" t="str">
        <f>VLOOKUP([jobnumber],OvalData[],MATCH(Table2[[#Headers],[width]],Table2[#Headers],0),0)</f>
        <v xml:space="preserve"> 18 ft.- 2"</v>
      </c>
      <c r="E695" s="2" t="str">
        <f>VLOOKUP([jobnumber],OvalData[],MATCH(Table2[[#Headers],[stopheight]],Table2[#Headers],0),0)</f>
        <v xml:space="preserve"> 10 ft.- 0"</v>
      </c>
      <c r="F695" s="2" t="str">
        <f>VLOOKUP([jobnumber],OvalData[],MATCH(Table2[[#Headers],[Between Brackets]],Table2[#Headers],0),0)</f>
        <v xml:space="preserve"> 18 ft.- 7 7/ 8"</v>
      </c>
      <c r="G695" s="2" t="str">
        <f>VLOOKUP([jobnumber],OvalData[],MATCH(Table2[[#Headers],[shell]],Table2[#Headers],0),0)</f>
        <v>6 INCH TUBE</v>
      </c>
      <c r="H695" s="2" t="str">
        <f>VLOOKUP([jobnumber],OvalData[],MATCH(Table2[[#Headers],[pipewidth]],Table2[#Headers],0),0)</f>
        <v xml:space="preserve"> 18 ft.- 1 3/ 8"</v>
      </c>
      <c r="I695" s="2">
        <f>VLOOKUP([jobnumber],OvalData[],MATCH(Table2[[#Headers],[Support Tubes]],Table2[#Headers],0),0)</f>
        <v>0</v>
      </c>
      <c r="J695" s="2">
        <f>VLOOKUP([jobnumber],OvalData[],MATCH(Table2[[#Headers],[Upset]],Table2[#Headers],0),0)</f>
        <v>2</v>
      </c>
      <c r="K695" s="2" t="str">
        <f>VLOOKUP([jobnumber],OvalData[],MATCH(Table2[[#Headers],[Guide Type]],Table2[#Headers],0),0)</f>
        <v>SN2-4 5/8-E</v>
      </c>
      <c r="L695" s="2" t="str">
        <f>VLOOKUP([jobnumber],OvalData[],MATCH(Table2[[#Headers],[Wall Angle]],Table2[#Headers],0),0)</f>
        <v xml:space="preserve"> 11 ft.- 8"</v>
      </c>
      <c r="M695" s="2" t="str">
        <f>VLOOKUP([jobnumber],OvalData[],MATCH(Table2[[#Headers],[Middle Angle]],Table2[#Headers],0),0)</f>
        <v xml:space="preserve"> 10 ft.- 4 1/ 2"</v>
      </c>
      <c r="N695" s="2" t="str">
        <f>VLOOKUP([jobnumber],OvalData[],MATCH(Table2[[#Headers],[Front Angle]],Table2[#Headers],0),0)</f>
        <v xml:space="preserve"> 10 ft.- 3"</v>
      </c>
      <c r="O695" s="2">
        <f>VLOOKUP([jobnumber],OvalData[],MATCH(Table2[[#Headers],[Pipe Center Line]],Table2[#Headers],0),0)</f>
        <v>131</v>
      </c>
      <c r="P695" s="2">
        <f>VLOOKUP([jobnumber],OvalData[],MATCH(Table2[[#Headers],[Heat Expansion Gap]],Table2[#Headers],0),0)</f>
        <v>0</v>
      </c>
      <c r="Q695" s="2">
        <f>VLOOKUP([jobnumber],OvalData[],MATCH(Table2[[#Headers],[Hanging Weight Closed]],Table2[#Headers],0),0)</f>
        <v>795</v>
      </c>
      <c r="R695" s="2">
        <f>VLOOKUP([jobnumber],OvalData[],MATCH(Table2[[#Headers],[Hanging Weight Open]],Table2[#Headers],0),0)</f>
        <v>140</v>
      </c>
      <c r="S695" s="2">
        <f>VLOOKUP([jobnumber],OvalData[],MATCH(Table2[[#Headers],[Initial Lever Arm]],Table2[#Headers],0),0)</f>
        <v>4.25</v>
      </c>
      <c r="T695" s="2">
        <f>VLOOKUP([jobnumber],OvalData[],MATCH(Table2[[#Headers],[Turns to Raise]],Table2[#Headers],0),0)</f>
        <v>3.5859999999999999</v>
      </c>
      <c r="U695" s="2">
        <f>VLOOKUP([jobnumber],OvalData[],MATCH(Table2[[#Headers],[Final Lever Arm]],Table2[#Headers],0),0)</f>
        <v>6.37</v>
      </c>
      <c r="V695" s="2">
        <f>VLOOKUP([jobnumber],OvalData[],MATCH(Table2[[#Headers],[Torque Required Closed]],Table2[#Headers],0),0)</f>
        <v>3377.9</v>
      </c>
      <c r="W695" s="2">
        <f>VLOOKUP([jobnumber],OvalData[],MATCH(Table2[[#Headers],[Torque Required Open]],Table2[#Headers],0),0)</f>
        <v>892</v>
      </c>
      <c r="X695" s="2">
        <f>VLOOKUP([jobnumber],OvalData[],MATCH(Table2[[#Headers],[Pre Turns]],Table2[#Headers],0),0)</f>
        <v>1.3332999999999999</v>
      </c>
      <c r="Y695" s="2">
        <f>VLOOKUP([jobnumber],OvalData[],MATCH(Table2[[#Headers],[Required Torque Per Turn]],Table2[#Headers],0),0)</f>
        <v>688</v>
      </c>
      <c r="Z695" s="2">
        <f>VLOOKUP([jobnumber],OvalData[],MATCH(Table2[[#Headers],[Total Turns]],Table2[#Headers],0),0)</f>
        <v>4.91</v>
      </c>
      <c r="AA695" s="2">
        <f>VLOOKUP([jobnumber],OvalData[],MATCH(Table2[[#Headers],[Grille Vision Section]],Table2[#Headers],0),0)</f>
        <v>0</v>
      </c>
      <c r="AB695" s="2">
        <f>VLOOKUP([jobnumber],OvalData[],MATCH(Table2[[#Headers],[Grille Amount]],Table2[#Headers],0),0)</f>
        <v>0</v>
      </c>
      <c r="AC695" s="2">
        <f>VLOOKUP([jobnumber],OvalData[],MATCH(Table2[[#Headers],[Grille Center]],Table2[#Headers],0),0)</f>
        <v>0</v>
      </c>
      <c r="AD695" s="2">
        <f>VLOOKUP([jobnumber],OvalData[],MATCH(Table2[[#Headers],[Grille Pattern]],Table2[#Headers],0),0)</f>
        <v>0</v>
      </c>
      <c r="AE695" s="2">
        <f>VLOOKUP([jobnumber],OvalData[],MATCH(Table2[[#Headers],[Grille First Tube]],Table2[#Headers],0),0)</f>
        <v>0</v>
      </c>
      <c r="AF695" s="2">
        <f>VLOOKUP([jobnumber],OvalData[],MATCH(Table2[[#Headers],[Grille Standard Tube]],Table2[#Headers],0),0)</f>
        <v>0</v>
      </c>
      <c r="AG695" s="2">
        <f>VLOOKUP([jobnumber],OvalData[],MATCH(Table2[[#Headers],[Grille Total Links]],Table2[#Headers],0),0)</f>
        <v>0</v>
      </c>
      <c r="AH695" s="2">
        <f>VLOOKUP([jobnumber],OvalData[],MATCH(Table2[[#Headers],[Grille Rods]],Table2[#Headers],0),0)</f>
        <v>0</v>
      </c>
      <c r="AI695" s="2">
        <f>VLOOKUP([jobnumber],OvalData[],MATCH(Table2[[#Headers],[Grille Rod Length]],Table2[#Headers],0),0)</f>
        <v>0</v>
      </c>
      <c r="AJ695" s="2">
        <f>VLOOKUP([jobnumber],OvalData[],MATCH(Table2[[#Headers],[slattype]],Table2[#Headers],0),0)</f>
        <v>2</v>
      </c>
      <c r="AK695" s="2">
        <f>VLOOKUP([jobnumber],OvalData[],MATCH(Table2[[#Headers],[slatgage]],Table2[#Headers],0),0)</f>
        <v>18</v>
      </c>
      <c r="AL695" s="2">
        <f>VLOOKUP([jobnumber],OvalData[],MATCH(Table2[[#Headers],[Numer of Top Slats]],Table2[#Headers],0),0)</f>
        <v>0</v>
      </c>
      <c r="AM695" s="2">
        <f>VLOOKUP([jobnumber],OvalData[],MATCH(Table2[[#Headers],[Number of Bottom Slats]],Table2[#Headers],0),0)</f>
        <v>0</v>
      </c>
      <c r="AN695" s="2">
        <f>VLOOKUP([jobnumber],OvalData[],MATCH(Table2[[#Headers],[Solid Bottom Height]],Table2[#Headers],0),0)</f>
        <v>0</v>
      </c>
      <c r="AO695" s="2" t="str">
        <f>VLOOKUP([jobnumber],OvalData[],MATCH(Table2[[#Headers],[slatlength]],Table2[#Headers],0),0)</f>
        <v xml:space="preserve"> 18 ft.- 5 7/ 8"</v>
      </c>
      <c r="AP695" s="2">
        <f>VLOOKUP([jobnumber],OvalData[],MATCH(Table2[[#Headers],[Bottom Slat Length]],Table2[#Headers],0),0)</f>
        <v>0</v>
      </c>
      <c r="AQ695" s="2">
        <f>VLOOKUP([jobnumber],OvalData[],MATCH(Table2[[#Headers],[Number of Perferated Slats]],Table2[#Headers],0),0)</f>
        <v>0</v>
      </c>
      <c r="AR695" s="2">
        <f>VLOOKUP([jobnumber],OvalData[],MATCH(Table2[[#Headers],[First Preferated Slat From End]],Table2[#Headers],0),0)</f>
        <v>0</v>
      </c>
      <c r="AS695" s="2">
        <f>VLOOKUP([jobnumber],OvalData[],MATCH(Table2[[#Headers],[First Preferated Slat From Bottom]],Table2[#Headers],0),0)</f>
        <v>0</v>
      </c>
      <c r="AT695" s="2">
        <f>VLOOKUP([jobnumber],OvalData[],MATCH(Table2[[#Headers],[Total Number of Slats]],Table2[#Headers],0),0)</f>
        <v>51</v>
      </c>
      <c r="AU695" s="2">
        <f>VLOOKUP([jobnumber],OvalData[],MATCH(Table2[[#Headers],[Bottom Bar Slope]],Table2[#Headers],0),0)</f>
        <v>0</v>
      </c>
      <c r="AV695" s="2">
        <f>VLOOKUP([jobnumber],OvalData[],MATCH(Table2[[#Headers],[Bottom Bar Weight]],Table2[#Headers],0),0)</f>
        <v>80.5</v>
      </c>
      <c r="AW695" s="2" t="str">
        <f>VLOOKUP([jobnumber],OvalData[],MATCH(Table2[[#Headers],[Outer Spring Gage]],Table2[#Headers],0),0)</f>
        <v>Null</v>
      </c>
      <c r="AX695" s="2" t="str">
        <f>VLOOKUP([jobnumber],OvalData[],MATCH(Table2[[#Headers],[Outer Spring OD]],Table2[#Headers],0),0)</f>
        <v>Null</v>
      </c>
      <c r="AY695" s="2" t="str">
        <f>VLOOKUP([jobnumber],OvalData[],MATCH(Table2[[#Headers],[Outer Spring Length]],Table2[#Headers],0),0)</f>
        <v>Null</v>
      </c>
      <c r="AZ695" s="2" t="str">
        <f>VLOOKUP([jobnumber],OvalData[],MATCH(Table2[[#Headers],[Outer Spring Stretch]],Table2[#Headers],0),0)</f>
        <v>Null</v>
      </c>
      <c r="BA695" s="2" t="str">
        <f>VLOOKUP([jobnumber],OvalData[],MATCH(Table2[[#Headers],[Outer Spring Torque]],Table2[#Headers],0),0)</f>
        <v>Null</v>
      </c>
      <c r="BB695" s="2" t="str">
        <f>VLOOKUP([jobnumber],OvalData[],MATCH(Table2[[#Headers],[Outer Spring Max Turns]],Table2[#Headers],0),0)</f>
        <v>Null</v>
      </c>
      <c r="BC695" s="2" t="str">
        <f>VLOOKUP([jobnumber],OvalData[],MATCH(Table2[[#Headers],[Outer Spring Weight]],Table2[#Headers],0),0)</f>
        <v>Null</v>
      </c>
      <c r="BD695" s="2" t="str">
        <f>VLOOKUP([jobnumber],OvalData[],MATCH(Table2[[#Headers],[Inner Spring Gage]],Table2[#Headers],0),0)</f>
        <v>Null</v>
      </c>
      <c r="BE695" s="2" t="str">
        <f>VLOOKUP([jobnumber],OvalData[],MATCH(Table2[[#Headers],[Inner Spring OD]],Table2[#Headers],0),0)</f>
        <v>Null</v>
      </c>
      <c r="BF695" s="2" t="str">
        <f>VLOOKUP([jobnumber],OvalData[],MATCH(Table2[[#Headers],[Inner Spring Length]],Table2[#Headers],0),0)</f>
        <v>Null</v>
      </c>
      <c r="BG695" s="2" t="str">
        <f>VLOOKUP([jobnumber],OvalData[],MATCH(Table2[[#Headers],[Inner Spring Stretch]],Table2[#Headers],0),0)</f>
        <v>Null</v>
      </c>
      <c r="BH695" s="2" t="str">
        <f>VLOOKUP([jobnumber],OvalData[],MATCH(Table2[[#Headers],[Inner Spring Torque]],Table2[#Headers],0),0)</f>
        <v>Null</v>
      </c>
      <c r="BI695" s="2" t="str">
        <f>VLOOKUP([jobnumber],OvalData[],MATCH(Table2[[#Headers],[Inner Spring Max Turns]],Table2[#Headers],0),0)</f>
        <v>Null</v>
      </c>
      <c r="BJ695" s="2" t="str">
        <f>VLOOKUP([jobnumber],OvalData[],MATCH(Table2[[#Headers],[Inner Spring Weight]],Table2[#Headers],0),0)</f>
        <v>Null</v>
      </c>
      <c r="BK695" s="2">
        <f>VLOOKUP([jobnumber],OvalData[],MATCH(Table2[[#Headers],[Cycles]],Table2[#Headers],0),0)</f>
        <v>0</v>
      </c>
      <c r="BL695" s="2">
        <f>VLOOKUP([jobnumber],OvalData[],MATCH(Table2[[#Headers],[Total Spring Torque]],Table2[#Headers],0),0)</f>
        <v>0</v>
      </c>
      <c r="BM695" s="2">
        <f>VLOOKUP([jobnumber],OvalData[],MATCH(Table2[[#Headers],[Total Spring Weight]],Table2[#Headers],0),0)</f>
        <v>0</v>
      </c>
      <c r="BN695" s="2">
        <f>VLOOKUP([jobnumber],OvalData[],MATCH(Table2[[#Headers],[Pipe Weight]],Table2[#Headers],0),0)</f>
        <v>688.24239999999998</v>
      </c>
      <c r="BO695" s="2">
        <f>VLOOKUP([jobnumber],OvalData[],MATCH(Table2[[#Headers],[Max Pipe Deflection]],Table2[#Headers],0),0)</f>
        <v>2309</v>
      </c>
      <c r="BP695" s="2">
        <f>VLOOKUP([jobnumber],OvalData[],MATCH(Table2[[#Headers],[Number Non-Insulated Wrap Slats]],Table2[#Headers],0),0)</f>
        <v>0</v>
      </c>
      <c r="BQ695" s="2">
        <f>VLOOKUP([jobnumber],OvalData[],MATCH(Table2[[#Headers],[Number of Insolated Top Slats]],Table2[#Headers],0),0)</f>
        <v>45</v>
      </c>
      <c r="BR695" s="2">
        <f>VLOOKUP([jobnumber],OvalData[],MATCH(Table2[[#Headers],[Insolated Total Slats]],Table2[#Headers],0),0)</f>
        <v>45</v>
      </c>
      <c r="BS695" s="2">
        <f>VLOOKUP([jobnumber],OvalData[],MATCH(Table2[[#Headers],[Number of Slats]],Table2[#Headers],0),0)</f>
        <v>44.69</v>
      </c>
      <c r="BT695" s="2">
        <f>VLOOKUP([jobnumber],OvalData[],MATCH(Table2[[#Headers],[Wrap]],Table2[#Headers],0),0)</f>
        <v>0</v>
      </c>
      <c r="BU695" s="2">
        <f>VLOOKUP([jobnumber],OvalData[],MATCH(Table2[[#Headers],[Wall Angle Thickness]],Table2[#Headers],0),0)</f>
        <v>0</v>
      </c>
      <c r="BV695" s="2">
        <f>VLOOKUP([jobnumber],OvalData[],MATCH(Table2[[#Headers],[windlocks]],Table2[#Headers],0),0)</f>
        <v>0</v>
      </c>
      <c r="BW695" s="2" t="str">
        <f>VLOOKUP([jobnumber],OvalData[],MATCH(Table2[[#Headers],[bottombartype]],Table2[#Headers],0),0)</f>
        <v>SPECIAL</v>
      </c>
      <c r="BX695" s="2">
        <f>VLOOKUP([jobnumber],OvalData[],MATCH(Table2[[#Headers],[endlockweight]],Table2[#Headers],0),0)</f>
        <v>0.17</v>
      </c>
      <c r="BY695" s="2">
        <f>VLOOKUP([jobnumber],OvalData[],MATCH(Table2[[#Headers],[Endlock Total Weight]],Table2[#Headers],0),0)</f>
        <v>7.5972999999999997</v>
      </c>
      <c r="BZ695" s="2">
        <f>VLOOKUP([jobnumber],OvalData[],MATCH(Table2[[#Headers],[Grille Weight]],Table2[#Headers],0),0)</f>
        <v>0</v>
      </c>
      <c r="CA695" s="2">
        <f>VLOOKUP([jobnumber],OvalData[],MATCH(Table2[[#Headers],[barrelrings]],Table2[#Headers],0),0)</f>
        <v>1</v>
      </c>
    </row>
    <row r="696" spans="2:79">
      <c r="B696" s="2" t="str">
        <f>VLOOKUP([jobnumber],OvalData[],MATCH(Table2[[#Headers],[Hand]],Table2[#Headers],0),0)</f>
        <v>RH</v>
      </c>
      <c r="C696" s="2" t="str">
        <f>VLOOKUP([jobnumber],OvalData[],MATCH(Table2[[#Headers],[Model]],Table2[#Headers],0),0)</f>
        <v>SFMPP</v>
      </c>
      <c r="D696" s="2" t="str">
        <f>VLOOKUP([jobnumber],OvalData[],MATCH(Table2[[#Headers],[width]],Table2[#Headers],0),0)</f>
        <v xml:space="preserve"> 18 ft.- 2"</v>
      </c>
      <c r="E696" s="2" t="str">
        <f>VLOOKUP([jobnumber],OvalData[],MATCH(Table2[[#Headers],[stopheight]],Table2[#Headers],0),0)</f>
        <v xml:space="preserve"> 10 ft.- 0"</v>
      </c>
      <c r="F696" s="2" t="str">
        <f>VLOOKUP([jobnumber],OvalData[],MATCH(Table2[[#Headers],[Between Brackets]],Table2[#Headers],0),0)</f>
        <v xml:space="preserve"> 18 ft.- 7 7/ 8"</v>
      </c>
      <c r="G696" s="2" t="str">
        <f>VLOOKUP([jobnumber],OvalData[],MATCH(Table2[[#Headers],[shell]],Table2[#Headers],0),0)</f>
        <v>6 INCH TUBE</v>
      </c>
      <c r="H696" s="2" t="str">
        <f>VLOOKUP([jobnumber],OvalData[],MATCH(Table2[[#Headers],[pipewidth]],Table2[#Headers],0),0)</f>
        <v xml:space="preserve"> 18 ft.- 1 3/ 8"</v>
      </c>
      <c r="I696" s="2">
        <f>VLOOKUP([jobnumber],OvalData[],MATCH(Table2[[#Headers],[Support Tubes]],Table2[#Headers],0),0)</f>
        <v>0</v>
      </c>
      <c r="J696" s="2">
        <f>VLOOKUP([jobnumber],OvalData[],MATCH(Table2[[#Headers],[Upset]],Table2[#Headers],0),0)</f>
        <v>2</v>
      </c>
      <c r="K696" s="2" t="str">
        <f>VLOOKUP([jobnumber],OvalData[],MATCH(Table2[[#Headers],[Guide Type]],Table2[#Headers],0),0)</f>
        <v>SN2-4 5/8-E</v>
      </c>
      <c r="L696" s="2" t="str">
        <f>VLOOKUP([jobnumber],OvalData[],MATCH(Table2[[#Headers],[Wall Angle]],Table2[#Headers],0),0)</f>
        <v xml:space="preserve"> 11 ft.- 8"</v>
      </c>
      <c r="M696" s="2" t="str">
        <f>VLOOKUP([jobnumber],OvalData[],MATCH(Table2[[#Headers],[Middle Angle]],Table2[#Headers],0),0)</f>
        <v xml:space="preserve"> 10 ft.- 4 1/ 2"</v>
      </c>
      <c r="N696" s="2" t="str">
        <f>VLOOKUP([jobnumber],OvalData[],MATCH(Table2[[#Headers],[Front Angle]],Table2[#Headers],0),0)</f>
        <v xml:space="preserve"> 10 ft.- 3"</v>
      </c>
      <c r="O696" s="2">
        <f>VLOOKUP([jobnumber],OvalData[],MATCH(Table2[[#Headers],[Pipe Center Line]],Table2[#Headers],0),0)</f>
        <v>131</v>
      </c>
      <c r="P696" s="2">
        <f>VLOOKUP([jobnumber],OvalData[],MATCH(Table2[[#Headers],[Heat Expansion Gap]],Table2[#Headers],0),0)</f>
        <v>0</v>
      </c>
      <c r="Q696" s="2">
        <f>VLOOKUP([jobnumber],OvalData[],MATCH(Table2[[#Headers],[Hanging Weight Closed]],Table2[#Headers],0),0)</f>
        <v>795</v>
      </c>
      <c r="R696" s="2">
        <f>VLOOKUP([jobnumber],OvalData[],MATCH(Table2[[#Headers],[Hanging Weight Open]],Table2[#Headers],0),0)</f>
        <v>140</v>
      </c>
      <c r="S696" s="2">
        <f>VLOOKUP([jobnumber],OvalData[],MATCH(Table2[[#Headers],[Initial Lever Arm]],Table2[#Headers],0),0)</f>
        <v>4.25</v>
      </c>
      <c r="T696" s="2">
        <f>VLOOKUP([jobnumber],OvalData[],MATCH(Table2[[#Headers],[Turns to Raise]],Table2[#Headers],0),0)</f>
        <v>3.5859999999999999</v>
      </c>
      <c r="U696" s="2">
        <f>VLOOKUP([jobnumber],OvalData[],MATCH(Table2[[#Headers],[Final Lever Arm]],Table2[#Headers],0),0)</f>
        <v>6.37</v>
      </c>
      <c r="V696" s="2">
        <f>VLOOKUP([jobnumber],OvalData[],MATCH(Table2[[#Headers],[Torque Required Closed]],Table2[#Headers],0),0)</f>
        <v>3377.9</v>
      </c>
      <c r="W696" s="2">
        <f>VLOOKUP([jobnumber],OvalData[],MATCH(Table2[[#Headers],[Torque Required Open]],Table2[#Headers],0),0)</f>
        <v>892</v>
      </c>
      <c r="X696" s="2">
        <f>VLOOKUP([jobnumber],OvalData[],MATCH(Table2[[#Headers],[Pre Turns]],Table2[#Headers],0),0)</f>
        <v>1.3332999999999999</v>
      </c>
      <c r="Y696" s="2">
        <f>VLOOKUP([jobnumber],OvalData[],MATCH(Table2[[#Headers],[Required Torque Per Turn]],Table2[#Headers],0),0)</f>
        <v>688</v>
      </c>
      <c r="Z696" s="2">
        <f>VLOOKUP([jobnumber],OvalData[],MATCH(Table2[[#Headers],[Total Turns]],Table2[#Headers],0),0)</f>
        <v>4.91</v>
      </c>
      <c r="AA696" s="2">
        <f>VLOOKUP([jobnumber],OvalData[],MATCH(Table2[[#Headers],[Grille Vision Section]],Table2[#Headers],0),0)</f>
        <v>0</v>
      </c>
      <c r="AB696" s="2">
        <f>VLOOKUP([jobnumber],OvalData[],MATCH(Table2[[#Headers],[Grille Amount]],Table2[#Headers],0),0)</f>
        <v>0</v>
      </c>
      <c r="AC696" s="2">
        <f>VLOOKUP([jobnumber],OvalData[],MATCH(Table2[[#Headers],[Grille Center]],Table2[#Headers],0),0)</f>
        <v>0</v>
      </c>
      <c r="AD696" s="2">
        <f>VLOOKUP([jobnumber],OvalData[],MATCH(Table2[[#Headers],[Grille Pattern]],Table2[#Headers],0),0)</f>
        <v>0</v>
      </c>
      <c r="AE696" s="2">
        <f>VLOOKUP([jobnumber],OvalData[],MATCH(Table2[[#Headers],[Grille First Tube]],Table2[#Headers],0),0)</f>
        <v>0</v>
      </c>
      <c r="AF696" s="2">
        <f>VLOOKUP([jobnumber],OvalData[],MATCH(Table2[[#Headers],[Grille Standard Tube]],Table2[#Headers],0),0)</f>
        <v>0</v>
      </c>
      <c r="AG696" s="2">
        <f>VLOOKUP([jobnumber],OvalData[],MATCH(Table2[[#Headers],[Grille Total Links]],Table2[#Headers],0),0)</f>
        <v>0</v>
      </c>
      <c r="AH696" s="2">
        <f>VLOOKUP([jobnumber],OvalData[],MATCH(Table2[[#Headers],[Grille Rods]],Table2[#Headers],0),0)</f>
        <v>0</v>
      </c>
      <c r="AI696" s="2">
        <f>VLOOKUP([jobnumber],OvalData[],MATCH(Table2[[#Headers],[Grille Rod Length]],Table2[#Headers],0),0)</f>
        <v>0</v>
      </c>
      <c r="AJ696" s="2">
        <f>VLOOKUP([jobnumber],OvalData[],MATCH(Table2[[#Headers],[slattype]],Table2[#Headers],0),0)</f>
        <v>2</v>
      </c>
      <c r="AK696" s="2">
        <f>VLOOKUP([jobnumber],OvalData[],MATCH(Table2[[#Headers],[slatgage]],Table2[#Headers],0),0)</f>
        <v>18</v>
      </c>
      <c r="AL696" s="2">
        <f>VLOOKUP([jobnumber],OvalData[],MATCH(Table2[[#Headers],[Numer of Top Slats]],Table2[#Headers],0),0)</f>
        <v>0</v>
      </c>
      <c r="AM696" s="2">
        <f>VLOOKUP([jobnumber],OvalData[],MATCH(Table2[[#Headers],[Number of Bottom Slats]],Table2[#Headers],0),0)</f>
        <v>0</v>
      </c>
      <c r="AN696" s="2">
        <f>VLOOKUP([jobnumber],OvalData[],MATCH(Table2[[#Headers],[Solid Bottom Height]],Table2[#Headers],0),0)</f>
        <v>0</v>
      </c>
      <c r="AO696" s="2" t="str">
        <f>VLOOKUP([jobnumber],OvalData[],MATCH(Table2[[#Headers],[slatlength]],Table2[#Headers],0),0)</f>
        <v xml:space="preserve"> 18 ft.- 5 7/ 8"</v>
      </c>
      <c r="AP696" s="2">
        <f>VLOOKUP([jobnumber],OvalData[],MATCH(Table2[[#Headers],[Bottom Slat Length]],Table2[#Headers],0),0)</f>
        <v>0</v>
      </c>
      <c r="AQ696" s="2">
        <f>VLOOKUP([jobnumber],OvalData[],MATCH(Table2[[#Headers],[Number of Perferated Slats]],Table2[#Headers],0),0)</f>
        <v>0</v>
      </c>
      <c r="AR696" s="2">
        <f>VLOOKUP([jobnumber],OvalData[],MATCH(Table2[[#Headers],[First Preferated Slat From End]],Table2[#Headers],0),0)</f>
        <v>0</v>
      </c>
      <c r="AS696" s="2">
        <f>VLOOKUP([jobnumber],OvalData[],MATCH(Table2[[#Headers],[First Preferated Slat From Bottom]],Table2[#Headers],0),0)</f>
        <v>0</v>
      </c>
      <c r="AT696" s="2">
        <f>VLOOKUP([jobnumber],OvalData[],MATCH(Table2[[#Headers],[Total Number of Slats]],Table2[#Headers],0),0)</f>
        <v>51</v>
      </c>
      <c r="AU696" s="2">
        <f>VLOOKUP([jobnumber],OvalData[],MATCH(Table2[[#Headers],[Bottom Bar Slope]],Table2[#Headers],0),0)</f>
        <v>0</v>
      </c>
      <c r="AV696" s="2">
        <f>VLOOKUP([jobnumber],OvalData[],MATCH(Table2[[#Headers],[Bottom Bar Weight]],Table2[#Headers],0),0)</f>
        <v>80.5</v>
      </c>
      <c r="AW696" s="2" t="str">
        <f>VLOOKUP([jobnumber],OvalData[],MATCH(Table2[[#Headers],[Outer Spring Gage]],Table2[#Headers],0),0)</f>
        <v>Null</v>
      </c>
      <c r="AX696" s="2" t="str">
        <f>VLOOKUP([jobnumber],OvalData[],MATCH(Table2[[#Headers],[Outer Spring OD]],Table2[#Headers],0),0)</f>
        <v>Null</v>
      </c>
      <c r="AY696" s="2" t="str">
        <f>VLOOKUP([jobnumber],OvalData[],MATCH(Table2[[#Headers],[Outer Spring Length]],Table2[#Headers],0),0)</f>
        <v>Null</v>
      </c>
      <c r="AZ696" s="2" t="str">
        <f>VLOOKUP([jobnumber],OvalData[],MATCH(Table2[[#Headers],[Outer Spring Stretch]],Table2[#Headers],0),0)</f>
        <v>Null</v>
      </c>
      <c r="BA696" s="2" t="str">
        <f>VLOOKUP([jobnumber],OvalData[],MATCH(Table2[[#Headers],[Outer Spring Torque]],Table2[#Headers],0),0)</f>
        <v>Null</v>
      </c>
      <c r="BB696" s="2" t="str">
        <f>VLOOKUP([jobnumber],OvalData[],MATCH(Table2[[#Headers],[Outer Spring Max Turns]],Table2[#Headers],0),0)</f>
        <v>Null</v>
      </c>
      <c r="BC696" s="2" t="str">
        <f>VLOOKUP([jobnumber],OvalData[],MATCH(Table2[[#Headers],[Outer Spring Weight]],Table2[#Headers],0),0)</f>
        <v>Null</v>
      </c>
      <c r="BD696" s="2" t="str">
        <f>VLOOKUP([jobnumber],OvalData[],MATCH(Table2[[#Headers],[Inner Spring Gage]],Table2[#Headers],0),0)</f>
        <v>Null</v>
      </c>
      <c r="BE696" s="2" t="str">
        <f>VLOOKUP([jobnumber],OvalData[],MATCH(Table2[[#Headers],[Inner Spring OD]],Table2[#Headers],0),0)</f>
        <v>Null</v>
      </c>
      <c r="BF696" s="2" t="str">
        <f>VLOOKUP([jobnumber],OvalData[],MATCH(Table2[[#Headers],[Inner Spring Length]],Table2[#Headers],0),0)</f>
        <v>Null</v>
      </c>
      <c r="BG696" s="2" t="str">
        <f>VLOOKUP([jobnumber],OvalData[],MATCH(Table2[[#Headers],[Inner Spring Stretch]],Table2[#Headers],0),0)</f>
        <v>Null</v>
      </c>
      <c r="BH696" s="2" t="str">
        <f>VLOOKUP([jobnumber],OvalData[],MATCH(Table2[[#Headers],[Inner Spring Torque]],Table2[#Headers],0),0)</f>
        <v>Null</v>
      </c>
      <c r="BI696" s="2" t="str">
        <f>VLOOKUP([jobnumber],OvalData[],MATCH(Table2[[#Headers],[Inner Spring Max Turns]],Table2[#Headers],0),0)</f>
        <v>Null</v>
      </c>
      <c r="BJ696" s="2" t="str">
        <f>VLOOKUP([jobnumber],OvalData[],MATCH(Table2[[#Headers],[Inner Spring Weight]],Table2[#Headers],0),0)</f>
        <v>Null</v>
      </c>
      <c r="BK696" s="2">
        <f>VLOOKUP([jobnumber],OvalData[],MATCH(Table2[[#Headers],[Cycles]],Table2[#Headers],0),0)</f>
        <v>0</v>
      </c>
      <c r="BL696" s="2">
        <f>VLOOKUP([jobnumber],OvalData[],MATCH(Table2[[#Headers],[Total Spring Torque]],Table2[#Headers],0),0)</f>
        <v>0</v>
      </c>
      <c r="BM696" s="2">
        <f>VLOOKUP([jobnumber],OvalData[],MATCH(Table2[[#Headers],[Total Spring Weight]],Table2[#Headers],0),0)</f>
        <v>0</v>
      </c>
      <c r="BN696" s="2">
        <f>VLOOKUP([jobnumber],OvalData[],MATCH(Table2[[#Headers],[Pipe Weight]],Table2[#Headers],0),0)</f>
        <v>688.24239999999998</v>
      </c>
      <c r="BO696" s="2">
        <f>VLOOKUP([jobnumber],OvalData[],MATCH(Table2[[#Headers],[Max Pipe Deflection]],Table2[#Headers],0),0)</f>
        <v>2309</v>
      </c>
      <c r="BP696" s="2">
        <f>VLOOKUP([jobnumber],OvalData[],MATCH(Table2[[#Headers],[Number Non-Insulated Wrap Slats]],Table2[#Headers],0),0)</f>
        <v>0</v>
      </c>
      <c r="BQ696" s="2">
        <f>VLOOKUP([jobnumber],OvalData[],MATCH(Table2[[#Headers],[Number of Insolated Top Slats]],Table2[#Headers],0),0)</f>
        <v>45</v>
      </c>
      <c r="BR696" s="2">
        <f>VLOOKUP([jobnumber],OvalData[],MATCH(Table2[[#Headers],[Insolated Total Slats]],Table2[#Headers],0),0)</f>
        <v>45</v>
      </c>
      <c r="BS696" s="2">
        <f>VLOOKUP([jobnumber],OvalData[],MATCH(Table2[[#Headers],[Number of Slats]],Table2[#Headers],0),0)</f>
        <v>44.69</v>
      </c>
      <c r="BT696" s="2">
        <f>VLOOKUP([jobnumber],OvalData[],MATCH(Table2[[#Headers],[Wrap]],Table2[#Headers],0),0)</f>
        <v>0</v>
      </c>
      <c r="BU696" s="2">
        <f>VLOOKUP([jobnumber],OvalData[],MATCH(Table2[[#Headers],[Wall Angle Thickness]],Table2[#Headers],0),0)</f>
        <v>0</v>
      </c>
      <c r="BV696" s="2">
        <f>VLOOKUP([jobnumber],OvalData[],MATCH(Table2[[#Headers],[windlocks]],Table2[#Headers],0),0)</f>
        <v>0</v>
      </c>
      <c r="BW696" s="2" t="str">
        <f>VLOOKUP([jobnumber],OvalData[],MATCH(Table2[[#Headers],[bottombartype]],Table2[#Headers],0),0)</f>
        <v>SPECIAL</v>
      </c>
      <c r="BX696" s="2">
        <f>VLOOKUP([jobnumber],OvalData[],MATCH(Table2[[#Headers],[endlockweight]],Table2[#Headers],0),0)</f>
        <v>0.17</v>
      </c>
      <c r="BY696" s="2">
        <f>VLOOKUP([jobnumber],OvalData[],MATCH(Table2[[#Headers],[Endlock Total Weight]],Table2[#Headers],0),0)</f>
        <v>7.5972999999999997</v>
      </c>
      <c r="BZ696" s="2">
        <f>VLOOKUP([jobnumber],OvalData[],MATCH(Table2[[#Headers],[Grille Weight]],Table2[#Headers],0),0)</f>
        <v>0</v>
      </c>
      <c r="CA696" s="2">
        <f>VLOOKUP([jobnumber],OvalData[],MATCH(Table2[[#Headers],[barrelrings]],Table2[#Headers],0),0)</f>
        <v>1</v>
      </c>
    </row>
    <row r="697" spans="2:79">
      <c r="B697" s="2" t="str">
        <f>VLOOKUP([jobnumber],OvalData[],MATCH(Table2[[#Headers],[Hand]],Table2[#Headers],0),0)</f>
        <v>RH</v>
      </c>
      <c r="C697" s="2" t="str">
        <f>VLOOKUP([jobnumber],OvalData[],MATCH(Table2[[#Headers],[Model]],Table2[#Headers],0),0)</f>
        <v>SFMPP</v>
      </c>
      <c r="D697" s="2" t="str">
        <f>VLOOKUP([jobnumber],OvalData[],MATCH(Table2[[#Headers],[width]],Table2[#Headers],0),0)</f>
        <v xml:space="preserve"> 18 ft.- 2"</v>
      </c>
      <c r="E697" s="2" t="str">
        <f>VLOOKUP([jobnumber],OvalData[],MATCH(Table2[[#Headers],[stopheight]],Table2[#Headers],0),0)</f>
        <v xml:space="preserve"> 10 ft.- 0"</v>
      </c>
      <c r="F697" s="2" t="str">
        <f>VLOOKUP([jobnumber],OvalData[],MATCH(Table2[[#Headers],[Between Brackets]],Table2[#Headers],0),0)</f>
        <v xml:space="preserve"> 18 ft.- 7 7/ 8"</v>
      </c>
      <c r="G697" s="2" t="str">
        <f>VLOOKUP([jobnumber],OvalData[],MATCH(Table2[[#Headers],[shell]],Table2[#Headers],0),0)</f>
        <v>6 INCH TUBE</v>
      </c>
      <c r="H697" s="2" t="str">
        <f>VLOOKUP([jobnumber],OvalData[],MATCH(Table2[[#Headers],[pipewidth]],Table2[#Headers],0),0)</f>
        <v xml:space="preserve"> 18 ft.- 1 3/ 8"</v>
      </c>
      <c r="I697" s="2">
        <f>VLOOKUP([jobnumber],OvalData[],MATCH(Table2[[#Headers],[Support Tubes]],Table2[#Headers],0),0)</f>
        <v>0</v>
      </c>
      <c r="J697" s="2">
        <f>VLOOKUP([jobnumber],OvalData[],MATCH(Table2[[#Headers],[Upset]],Table2[#Headers],0),0)</f>
        <v>2</v>
      </c>
      <c r="K697" s="2" t="str">
        <f>VLOOKUP([jobnumber],OvalData[],MATCH(Table2[[#Headers],[Guide Type]],Table2[#Headers],0),0)</f>
        <v>SN2-4 5/8-E</v>
      </c>
      <c r="L697" s="2" t="str">
        <f>VLOOKUP([jobnumber],OvalData[],MATCH(Table2[[#Headers],[Wall Angle]],Table2[#Headers],0),0)</f>
        <v xml:space="preserve"> 11 ft.- 8"</v>
      </c>
      <c r="M697" s="2" t="str">
        <f>VLOOKUP([jobnumber],OvalData[],MATCH(Table2[[#Headers],[Middle Angle]],Table2[#Headers],0),0)</f>
        <v xml:space="preserve"> 10 ft.- 4 1/ 2"</v>
      </c>
      <c r="N697" s="2" t="str">
        <f>VLOOKUP([jobnumber],OvalData[],MATCH(Table2[[#Headers],[Front Angle]],Table2[#Headers],0),0)</f>
        <v xml:space="preserve"> 10 ft.- 3"</v>
      </c>
      <c r="O697" s="2">
        <f>VLOOKUP([jobnumber],OvalData[],MATCH(Table2[[#Headers],[Pipe Center Line]],Table2[#Headers],0),0)</f>
        <v>131</v>
      </c>
      <c r="P697" s="2">
        <f>VLOOKUP([jobnumber],OvalData[],MATCH(Table2[[#Headers],[Heat Expansion Gap]],Table2[#Headers],0),0)</f>
        <v>0</v>
      </c>
      <c r="Q697" s="2">
        <f>VLOOKUP([jobnumber],OvalData[],MATCH(Table2[[#Headers],[Hanging Weight Closed]],Table2[#Headers],0),0)</f>
        <v>795</v>
      </c>
      <c r="R697" s="2">
        <f>VLOOKUP([jobnumber],OvalData[],MATCH(Table2[[#Headers],[Hanging Weight Open]],Table2[#Headers],0),0)</f>
        <v>140</v>
      </c>
      <c r="S697" s="2">
        <f>VLOOKUP([jobnumber],OvalData[],MATCH(Table2[[#Headers],[Initial Lever Arm]],Table2[#Headers],0),0)</f>
        <v>4.25</v>
      </c>
      <c r="T697" s="2">
        <f>VLOOKUP([jobnumber],OvalData[],MATCH(Table2[[#Headers],[Turns to Raise]],Table2[#Headers],0),0)</f>
        <v>3.5859999999999999</v>
      </c>
      <c r="U697" s="2">
        <f>VLOOKUP([jobnumber],OvalData[],MATCH(Table2[[#Headers],[Final Lever Arm]],Table2[#Headers],0),0)</f>
        <v>6.37</v>
      </c>
      <c r="V697" s="2">
        <f>VLOOKUP([jobnumber],OvalData[],MATCH(Table2[[#Headers],[Torque Required Closed]],Table2[#Headers],0),0)</f>
        <v>3377.9</v>
      </c>
      <c r="W697" s="2">
        <f>VLOOKUP([jobnumber],OvalData[],MATCH(Table2[[#Headers],[Torque Required Open]],Table2[#Headers],0),0)</f>
        <v>892</v>
      </c>
      <c r="X697" s="2">
        <f>VLOOKUP([jobnumber],OvalData[],MATCH(Table2[[#Headers],[Pre Turns]],Table2[#Headers],0),0)</f>
        <v>1.3332999999999999</v>
      </c>
      <c r="Y697" s="2">
        <f>VLOOKUP([jobnumber],OvalData[],MATCH(Table2[[#Headers],[Required Torque Per Turn]],Table2[#Headers],0),0)</f>
        <v>688</v>
      </c>
      <c r="Z697" s="2">
        <f>VLOOKUP([jobnumber],OvalData[],MATCH(Table2[[#Headers],[Total Turns]],Table2[#Headers],0),0)</f>
        <v>4.91</v>
      </c>
      <c r="AA697" s="2">
        <f>VLOOKUP([jobnumber],OvalData[],MATCH(Table2[[#Headers],[Grille Vision Section]],Table2[#Headers],0),0)</f>
        <v>0</v>
      </c>
      <c r="AB697" s="2">
        <f>VLOOKUP([jobnumber],OvalData[],MATCH(Table2[[#Headers],[Grille Amount]],Table2[#Headers],0),0)</f>
        <v>0</v>
      </c>
      <c r="AC697" s="2">
        <f>VLOOKUP([jobnumber],OvalData[],MATCH(Table2[[#Headers],[Grille Center]],Table2[#Headers],0),0)</f>
        <v>0</v>
      </c>
      <c r="AD697" s="2">
        <f>VLOOKUP([jobnumber],OvalData[],MATCH(Table2[[#Headers],[Grille Pattern]],Table2[#Headers],0),0)</f>
        <v>0</v>
      </c>
      <c r="AE697" s="2">
        <f>VLOOKUP([jobnumber],OvalData[],MATCH(Table2[[#Headers],[Grille First Tube]],Table2[#Headers],0),0)</f>
        <v>0</v>
      </c>
      <c r="AF697" s="2">
        <f>VLOOKUP([jobnumber],OvalData[],MATCH(Table2[[#Headers],[Grille Standard Tube]],Table2[#Headers],0),0)</f>
        <v>0</v>
      </c>
      <c r="AG697" s="2">
        <f>VLOOKUP([jobnumber],OvalData[],MATCH(Table2[[#Headers],[Grille Total Links]],Table2[#Headers],0),0)</f>
        <v>0</v>
      </c>
      <c r="AH697" s="2">
        <f>VLOOKUP([jobnumber],OvalData[],MATCH(Table2[[#Headers],[Grille Rods]],Table2[#Headers],0),0)</f>
        <v>0</v>
      </c>
      <c r="AI697" s="2">
        <f>VLOOKUP([jobnumber],OvalData[],MATCH(Table2[[#Headers],[Grille Rod Length]],Table2[#Headers],0),0)</f>
        <v>0</v>
      </c>
      <c r="AJ697" s="2">
        <f>VLOOKUP([jobnumber],OvalData[],MATCH(Table2[[#Headers],[slattype]],Table2[#Headers],0),0)</f>
        <v>2</v>
      </c>
      <c r="AK697" s="2">
        <f>VLOOKUP([jobnumber],OvalData[],MATCH(Table2[[#Headers],[slatgage]],Table2[#Headers],0),0)</f>
        <v>18</v>
      </c>
      <c r="AL697" s="2">
        <f>VLOOKUP([jobnumber],OvalData[],MATCH(Table2[[#Headers],[Numer of Top Slats]],Table2[#Headers],0),0)</f>
        <v>0</v>
      </c>
      <c r="AM697" s="2">
        <f>VLOOKUP([jobnumber],OvalData[],MATCH(Table2[[#Headers],[Number of Bottom Slats]],Table2[#Headers],0),0)</f>
        <v>0</v>
      </c>
      <c r="AN697" s="2">
        <f>VLOOKUP([jobnumber],OvalData[],MATCH(Table2[[#Headers],[Solid Bottom Height]],Table2[#Headers],0),0)</f>
        <v>0</v>
      </c>
      <c r="AO697" s="2" t="str">
        <f>VLOOKUP([jobnumber],OvalData[],MATCH(Table2[[#Headers],[slatlength]],Table2[#Headers],0),0)</f>
        <v xml:space="preserve"> 18 ft.- 5 7/ 8"</v>
      </c>
      <c r="AP697" s="2">
        <f>VLOOKUP([jobnumber],OvalData[],MATCH(Table2[[#Headers],[Bottom Slat Length]],Table2[#Headers],0),0)</f>
        <v>0</v>
      </c>
      <c r="AQ697" s="2">
        <f>VLOOKUP([jobnumber],OvalData[],MATCH(Table2[[#Headers],[Number of Perferated Slats]],Table2[#Headers],0),0)</f>
        <v>0</v>
      </c>
      <c r="AR697" s="2">
        <f>VLOOKUP([jobnumber],OvalData[],MATCH(Table2[[#Headers],[First Preferated Slat From End]],Table2[#Headers],0),0)</f>
        <v>0</v>
      </c>
      <c r="AS697" s="2">
        <f>VLOOKUP([jobnumber],OvalData[],MATCH(Table2[[#Headers],[First Preferated Slat From Bottom]],Table2[#Headers],0),0)</f>
        <v>0</v>
      </c>
      <c r="AT697" s="2">
        <f>VLOOKUP([jobnumber],OvalData[],MATCH(Table2[[#Headers],[Total Number of Slats]],Table2[#Headers],0),0)</f>
        <v>51</v>
      </c>
      <c r="AU697" s="2">
        <f>VLOOKUP([jobnumber],OvalData[],MATCH(Table2[[#Headers],[Bottom Bar Slope]],Table2[#Headers],0),0)</f>
        <v>0</v>
      </c>
      <c r="AV697" s="2">
        <f>VLOOKUP([jobnumber],OvalData[],MATCH(Table2[[#Headers],[Bottom Bar Weight]],Table2[#Headers],0),0)</f>
        <v>80.5</v>
      </c>
      <c r="AW697" s="2" t="str">
        <f>VLOOKUP([jobnumber],OvalData[],MATCH(Table2[[#Headers],[Outer Spring Gage]],Table2[#Headers],0),0)</f>
        <v>Null</v>
      </c>
      <c r="AX697" s="2" t="str">
        <f>VLOOKUP([jobnumber],OvalData[],MATCH(Table2[[#Headers],[Outer Spring OD]],Table2[#Headers],0),0)</f>
        <v>Null</v>
      </c>
      <c r="AY697" s="2" t="str">
        <f>VLOOKUP([jobnumber],OvalData[],MATCH(Table2[[#Headers],[Outer Spring Length]],Table2[#Headers],0),0)</f>
        <v>Null</v>
      </c>
      <c r="AZ697" s="2" t="str">
        <f>VLOOKUP([jobnumber],OvalData[],MATCH(Table2[[#Headers],[Outer Spring Stretch]],Table2[#Headers],0),0)</f>
        <v>Null</v>
      </c>
      <c r="BA697" s="2" t="str">
        <f>VLOOKUP([jobnumber],OvalData[],MATCH(Table2[[#Headers],[Outer Spring Torque]],Table2[#Headers],0),0)</f>
        <v>Null</v>
      </c>
      <c r="BB697" s="2" t="str">
        <f>VLOOKUP([jobnumber],OvalData[],MATCH(Table2[[#Headers],[Outer Spring Max Turns]],Table2[#Headers],0),0)</f>
        <v>Null</v>
      </c>
      <c r="BC697" s="2" t="str">
        <f>VLOOKUP([jobnumber],OvalData[],MATCH(Table2[[#Headers],[Outer Spring Weight]],Table2[#Headers],0),0)</f>
        <v>Null</v>
      </c>
      <c r="BD697" s="2" t="str">
        <f>VLOOKUP([jobnumber],OvalData[],MATCH(Table2[[#Headers],[Inner Spring Gage]],Table2[#Headers],0),0)</f>
        <v>Null</v>
      </c>
      <c r="BE697" s="2" t="str">
        <f>VLOOKUP([jobnumber],OvalData[],MATCH(Table2[[#Headers],[Inner Spring OD]],Table2[#Headers],0),0)</f>
        <v>Null</v>
      </c>
      <c r="BF697" s="2" t="str">
        <f>VLOOKUP([jobnumber],OvalData[],MATCH(Table2[[#Headers],[Inner Spring Length]],Table2[#Headers],0),0)</f>
        <v>Null</v>
      </c>
      <c r="BG697" s="2" t="str">
        <f>VLOOKUP([jobnumber],OvalData[],MATCH(Table2[[#Headers],[Inner Spring Stretch]],Table2[#Headers],0),0)</f>
        <v>Null</v>
      </c>
      <c r="BH697" s="2" t="str">
        <f>VLOOKUP([jobnumber],OvalData[],MATCH(Table2[[#Headers],[Inner Spring Torque]],Table2[#Headers],0),0)</f>
        <v>Null</v>
      </c>
      <c r="BI697" s="2" t="str">
        <f>VLOOKUP([jobnumber],OvalData[],MATCH(Table2[[#Headers],[Inner Spring Max Turns]],Table2[#Headers],0),0)</f>
        <v>Null</v>
      </c>
      <c r="BJ697" s="2" t="str">
        <f>VLOOKUP([jobnumber],OvalData[],MATCH(Table2[[#Headers],[Inner Spring Weight]],Table2[#Headers],0),0)</f>
        <v>Null</v>
      </c>
      <c r="BK697" s="2">
        <f>VLOOKUP([jobnumber],OvalData[],MATCH(Table2[[#Headers],[Cycles]],Table2[#Headers],0),0)</f>
        <v>0</v>
      </c>
      <c r="BL697" s="2">
        <f>VLOOKUP([jobnumber],OvalData[],MATCH(Table2[[#Headers],[Total Spring Torque]],Table2[#Headers],0),0)</f>
        <v>0</v>
      </c>
      <c r="BM697" s="2">
        <f>VLOOKUP([jobnumber],OvalData[],MATCH(Table2[[#Headers],[Total Spring Weight]],Table2[#Headers],0),0)</f>
        <v>0</v>
      </c>
      <c r="BN697" s="2">
        <f>VLOOKUP([jobnumber],OvalData[],MATCH(Table2[[#Headers],[Pipe Weight]],Table2[#Headers],0),0)</f>
        <v>688.24239999999998</v>
      </c>
      <c r="BO697" s="2">
        <f>VLOOKUP([jobnumber],OvalData[],MATCH(Table2[[#Headers],[Max Pipe Deflection]],Table2[#Headers],0),0)</f>
        <v>2309</v>
      </c>
      <c r="BP697" s="2">
        <f>VLOOKUP([jobnumber],OvalData[],MATCH(Table2[[#Headers],[Number Non-Insulated Wrap Slats]],Table2[#Headers],0),0)</f>
        <v>0</v>
      </c>
      <c r="BQ697" s="2">
        <f>VLOOKUP([jobnumber],OvalData[],MATCH(Table2[[#Headers],[Number of Insolated Top Slats]],Table2[#Headers],0),0)</f>
        <v>45</v>
      </c>
      <c r="BR697" s="2">
        <f>VLOOKUP([jobnumber],OvalData[],MATCH(Table2[[#Headers],[Insolated Total Slats]],Table2[#Headers],0),0)</f>
        <v>45</v>
      </c>
      <c r="BS697" s="2">
        <f>VLOOKUP([jobnumber],OvalData[],MATCH(Table2[[#Headers],[Number of Slats]],Table2[#Headers],0),0)</f>
        <v>44.69</v>
      </c>
      <c r="BT697" s="2">
        <f>VLOOKUP([jobnumber],OvalData[],MATCH(Table2[[#Headers],[Wrap]],Table2[#Headers],0),0)</f>
        <v>0</v>
      </c>
      <c r="BU697" s="2">
        <f>VLOOKUP([jobnumber],OvalData[],MATCH(Table2[[#Headers],[Wall Angle Thickness]],Table2[#Headers],0),0)</f>
        <v>0</v>
      </c>
      <c r="BV697" s="2">
        <f>VLOOKUP([jobnumber],OvalData[],MATCH(Table2[[#Headers],[windlocks]],Table2[#Headers],0),0)</f>
        <v>0</v>
      </c>
      <c r="BW697" s="2" t="str">
        <f>VLOOKUP([jobnumber],OvalData[],MATCH(Table2[[#Headers],[bottombartype]],Table2[#Headers],0),0)</f>
        <v>SPECIAL</v>
      </c>
      <c r="BX697" s="2">
        <f>VLOOKUP([jobnumber],OvalData[],MATCH(Table2[[#Headers],[endlockweight]],Table2[#Headers],0),0)</f>
        <v>0.17</v>
      </c>
      <c r="BY697" s="2">
        <f>VLOOKUP([jobnumber],OvalData[],MATCH(Table2[[#Headers],[Endlock Total Weight]],Table2[#Headers],0),0)</f>
        <v>7.5972999999999997</v>
      </c>
      <c r="BZ697" s="2">
        <f>VLOOKUP([jobnumber],OvalData[],MATCH(Table2[[#Headers],[Grille Weight]],Table2[#Headers],0),0)</f>
        <v>0</v>
      </c>
      <c r="CA697" s="2">
        <f>VLOOKUP([jobnumber],OvalData[],MATCH(Table2[[#Headers],[barrelrings]],Table2[#Headers],0),0)</f>
        <v>1</v>
      </c>
    </row>
    <row r="698" spans="2:79">
      <c r="B698" s="2" t="str">
        <f>VLOOKUP([jobnumber],OvalData[],MATCH(Table2[[#Headers],[Hand]],Table2[#Headers],0),0)</f>
        <v>RH</v>
      </c>
      <c r="C698" s="2" t="str">
        <f>VLOOKUP([jobnumber],OvalData[],MATCH(Table2[[#Headers],[Model]],Table2[#Headers],0),0)</f>
        <v>SFMPP</v>
      </c>
      <c r="D698" s="2" t="str">
        <f>VLOOKUP([jobnumber],OvalData[],MATCH(Table2[[#Headers],[width]],Table2[#Headers],0),0)</f>
        <v xml:space="preserve"> 18 ft.- 2"</v>
      </c>
      <c r="E698" s="2" t="str">
        <f>VLOOKUP([jobnumber],OvalData[],MATCH(Table2[[#Headers],[stopheight]],Table2[#Headers],0),0)</f>
        <v xml:space="preserve"> 10 ft.- 0"</v>
      </c>
      <c r="F698" s="2" t="str">
        <f>VLOOKUP([jobnumber],OvalData[],MATCH(Table2[[#Headers],[Between Brackets]],Table2[#Headers],0),0)</f>
        <v xml:space="preserve"> 18 ft.- 7 7/ 8"</v>
      </c>
      <c r="G698" s="2" t="str">
        <f>VLOOKUP([jobnumber],OvalData[],MATCH(Table2[[#Headers],[shell]],Table2[#Headers],0),0)</f>
        <v>6 INCH TUBE</v>
      </c>
      <c r="H698" s="2" t="str">
        <f>VLOOKUP([jobnumber],OvalData[],MATCH(Table2[[#Headers],[pipewidth]],Table2[#Headers],0),0)</f>
        <v xml:space="preserve"> 18 ft.- 1 3/ 8"</v>
      </c>
      <c r="I698" s="2">
        <f>VLOOKUP([jobnumber],OvalData[],MATCH(Table2[[#Headers],[Support Tubes]],Table2[#Headers],0),0)</f>
        <v>0</v>
      </c>
      <c r="J698" s="2">
        <f>VLOOKUP([jobnumber],OvalData[],MATCH(Table2[[#Headers],[Upset]],Table2[#Headers],0),0)</f>
        <v>2</v>
      </c>
      <c r="K698" s="2" t="str">
        <f>VLOOKUP([jobnumber],OvalData[],MATCH(Table2[[#Headers],[Guide Type]],Table2[#Headers],0),0)</f>
        <v>SN2-4 5/8-E</v>
      </c>
      <c r="L698" s="2" t="str">
        <f>VLOOKUP([jobnumber],OvalData[],MATCH(Table2[[#Headers],[Wall Angle]],Table2[#Headers],0),0)</f>
        <v xml:space="preserve"> 11 ft.- 8"</v>
      </c>
      <c r="M698" s="2" t="str">
        <f>VLOOKUP([jobnumber],OvalData[],MATCH(Table2[[#Headers],[Middle Angle]],Table2[#Headers],0),0)</f>
        <v xml:space="preserve"> 10 ft.- 4 1/ 2"</v>
      </c>
      <c r="N698" s="2" t="str">
        <f>VLOOKUP([jobnumber],OvalData[],MATCH(Table2[[#Headers],[Front Angle]],Table2[#Headers],0),0)</f>
        <v xml:space="preserve"> 10 ft.- 3"</v>
      </c>
      <c r="O698" s="2">
        <f>VLOOKUP([jobnumber],OvalData[],MATCH(Table2[[#Headers],[Pipe Center Line]],Table2[#Headers],0),0)</f>
        <v>131</v>
      </c>
      <c r="P698" s="2">
        <f>VLOOKUP([jobnumber],OvalData[],MATCH(Table2[[#Headers],[Heat Expansion Gap]],Table2[#Headers],0),0)</f>
        <v>0</v>
      </c>
      <c r="Q698" s="2">
        <f>VLOOKUP([jobnumber],OvalData[],MATCH(Table2[[#Headers],[Hanging Weight Closed]],Table2[#Headers],0),0)</f>
        <v>795</v>
      </c>
      <c r="R698" s="2">
        <f>VLOOKUP([jobnumber],OvalData[],MATCH(Table2[[#Headers],[Hanging Weight Open]],Table2[#Headers],0),0)</f>
        <v>140</v>
      </c>
      <c r="S698" s="2">
        <f>VLOOKUP([jobnumber],OvalData[],MATCH(Table2[[#Headers],[Initial Lever Arm]],Table2[#Headers],0),0)</f>
        <v>4.25</v>
      </c>
      <c r="T698" s="2">
        <f>VLOOKUP([jobnumber],OvalData[],MATCH(Table2[[#Headers],[Turns to Raise]],Table2[#Headers],0),0)</f>
        <v>3.5859999999999999</v>
      </c>
      <c r="U698" s="2">
        <f>VLOOKUP([jobnumber],OvalData[],MATCH(Table2[[#Headers],[Final Lever Arm]],Table2[#Headers],0),0)</f>
        <v>6.37</v>
      </c>
      <c r="V698" s="2">
        <f>VLOOKUP([jobnumber],OvalData[],MATCH(Table2[[#Headers],[Torque Required Closed]],Table2[#Headers],0),0)</f>
        <v>3377.9</v>
      </c>
      <c r="W698" s="2">
        <f>VLOOKUP([jobnumber],OvalData[],MATCH(Table2[[#Headers],[Torque Required Open]],Table2[#Headers],0),0)</f>
        <v>892</v>
      </c>
      <c r="X698" s="2">
        <f>VLOOKUP([jobnumber],OvalData[],MATCH(Table2[[#Headers],[Pre Turns]],Table2[#Headers],0),0)</f>
        <v>1.3332999999999999</v>
      </c>
      <c r="Y698" s="2">
        <f>VLOOKUP([jobnumber],OvalData[],MATCH(Table2[[#Headers],[Required Torque Per Turn]],Table2[#Headers],0),0)</f>
        <v>688</v>
      </c>
      <c r="Z698" s="2">
        <f>VLOOKUP([jobnumber],OvalData[],MATCH(Table2[[#Headers],[Total Turns]],Table2[#Headers],0),0)</f>
        <v>4.91</v>
      </c>
      <c r="AA698" s="2">
        <f>VLOOKUP([jobnumber],OvalData[],MATCH(Table2[[#Headers],[Grille Vision Section]],Table2[#Headers],0),0)</f>
        <v>0</v>
      </c>
      <c r="AB698" s="2">
        <f>VLOOKUP([jobnumber],OvalData[],MATCH(Table2[[#Headers],[Grille Amount]],Table2[#Headers],0),0)</f>
        <v>0</v>
      </c>
      <c r="AC698" s="2">
        <f>VLOOKUP([jobnumber],OvalData[],MATCH(Table2[[#Headers],[Grille Center]],Table2[#Headers],0),0)</f>
        <v>0</v>
      </c>
      <c r="AD698" s="2">
        <f>VLOOKUP([jobnumber],OvalData[],MATCH(Table2[[#Headers],[Grille Pattern]],Table2[#Headers],0),0)</f>
        <v>0</v>
      </c>
      <c r="AE698" s="2">
        <f>VLOOKUP([jobnumber],OvalData[],MATCH(Table2[[#Headers],[Grille First Tube]],Table2[#Headers],0),0)</f>
        <v>0</v>
      </c>
      <c r="AF698" s="2">
        <f>VLOOKUP([jobnumber],OvalData[],MATCH(Table2[[#Headers],[Grille Standard Tube]],Table2[#Headers],0),0)</f>
        <v>0</v>
      </c>
      <c r="AG698" s="2">
        <f>VLOOKUP([jobnumber],OvalData[],MATCH(Table2[[#Headers],[Grille Total Links]],Table2[#Headers],0),0)</f>
        <v>0</v>
      </c>
      <c r="AH698" s="2">
        <f>VLOOKUP([jobnumber],OvalData[],MATCH(Table2[[#Headers],[Grille Rods]],Table2[#Headers],0),0)</f>
        <v>0</v>
      </c>
      <c r="AI698" s="2">
        <f>VLOOKUP([jobnumber],OvalData[],MATCH(Table2[[#Headers],[Grille Rod Length]],Table2[#Headers],0),0)</f>
        <v>0</v>
      </c>
      <c r="AJ698" s="2">
        <f>VLOOKUP([jobnumber],OvalData[],MATCH(Table2[[#Headers],[slattype]],Table2[#Headers],0),0)</f>
        <v>2</v>
      </c>
      <c r="AK698" s="2">
        <f>VLOOKUP([jobnumber],OvalData[],MATCH(Table2[[#Headers],[slatgage]],Table2[#Headers],0),0)</f>
        <v>18</v>
      </c>
      <c r="AL698" s="2">
        <f>VLOOKUP([jobnumber],OvalData[],MATCH(Table2[[#Headers],[Numer of Top Slats]],Table2[#Headers],0),0)</f>
        <v>0</v>
      </c>
      <c r="AM698" s="2">
        <f>VLOOKUP([jobnumber],OvalData[],MATCH(Table2[[#Headers],[Number of Bottom Slats]],Table2[#Headers],0),0)</f>
        <v>0</v>
      </c>
      <c r="AN698" s="2">
        <f>VLOOKUP([jobnumber],OvalData[],MATCH(Table2[[#Headers],[Solid Bottom Height]],Table2[#Headers],0),0)</f>
        <v>0</v>
      </c>
      <c r="AO698" s="2" t="str">
        <f>VLOOKUP([jobnumber],OvalData[],MATCH(Table2[[#Headers],[slatlength]],Table2[#Headers],0),0)</f>
        <v xml:space="preserve"> 18 ft.- 5 7/ 8"</v>
      </c>
      <c r="AP698" s="2">
        <f>VLOOKUP([jobnumber],OvalData[],MATCH(Table2[[#Headers],[Bottom Slat Length]],Table2[#Headers],0),0)</f>
        <v>0</v>
      </c>
      <c r="AQ698" s="2">
        <f>VLOOKUP([jobnumber],OvalData[],MATCH(Table2[[#Headers],[Number of Perferated Slats]],Table2[#Headers],0),0)</f>
        <v>0</v>
      </c>
      <c r="AR698" s="2">
        <f>VLOOKUP([jobnumber],OvalData[],MATCH(Table2[[#Headers],[First Preferated Slat From End]],Table2[#Headers],0),0)</f>
        <v>0</v>
      </c>
      <c r="AS698" s="2">
        <f>VLOOKUP([jobnumber],OvalData[],MATCH(Table2[[#Headers],[First Preferated Slat From Bottom]],Table2[#Headers],0),0)</f>
        <v>0</v>
      </c>
      <c r="AT698" s="2">
        <f>VLOOKUP([jobnumber],OvalData[],MATCH(Table2[[#Headers],[Total Number of Slats]],Table2[#Headers],0),0)</f>
        <v>51</v>
      </c>
      <c r="AU698" s="2">
        <f>VLOOKUP([jobnumber],OvalData[],MATCH(Table2[[#Headers],[Bottom Bar Slope]],Table2[#Headers],0),0)</f>
        <v>0</v>
      </c>
      <c r="AV698" s="2">
        <f>VLOOKUP([jobnumber],OvalData[],MATCH(Table2[[#Headers],[Bottom Bar Weight]],Table2[#Headers],0),0)</f>
        <v>80.5</v>
      </c>
      <c r="AW698" s="2" t="str">
        <f>VLOOKUP([jobnumber],OvalData[],MATCH(Table2[[#Headers],[Outer Spring Gage]],Table2[#Headers],0),0)</f>
        <v>Null</v>
      </c>
      <c r="AX698" s="2" t="str">
        <f>VLOOKUP([jobnumber],OvalData[],MATCH(Table2[[#Headers],[Outer Spring OD]],Table2[#Headers],0),0)</f>
        <v>Null</v>
      </c>
      <c r="AY698" s="2" t="str">
        <f>VLOOKUP([jobnumber],OvalData[],MATCH(Table2[[#Headers],[Outer Spring Length]],Table2[#Headers],0),0)</f>
        <v>Null</v>
      </c>
      <c r="AZ698" s="2" t="str">
        <f>VLOOKUP([jobnumber],OvalData[],MATCH(Table2[[#Headers],[Outer Spring Stretch]],Table2[#Headers],0),0)</f>
        <v>Null</v>
      </c>
      <c r="BA698" s="2" t="str">
        <f>VLOOKUP([jobnumber],OvalData[],MATCH(Table2[[#Headers],[Outer Spring Torque]],Table2[#Headers],0),0)</f>
        <v>Null</v>
      </c>
      <c r="BB698" s="2" t="str">
        <f>VLOOKUP([jobnumber],OvalData[],MATCH(Table2[[#Headers],[Outer Spring Max Turns]],Table2[#Headers],0),0)</f>
        <v>Null</v>
      </c>
      <c r="BC698" s="2" t="str">
        <f>VLOOKUP([jobnumber],OvalData[],MATCH(Table2[[#Headers],[Outer Spring Weight]],Table2[#Headers],0),0)</f>
        <v>Null</v>
      </c>
      <c r="BD698" s="2" t="str">
        <f>VLOOKUP([jobnumber],OvalData[],MATCH(Table2[[#Headers],[Inner Spring Gage]],Table2[#Headers],0),0)</f>
        <v>Null</v>
      </c>
      <c r="BE698" s="2" t="str">
        <f>VLOOKUP([jobnumber],OvalData[],MATCH(Table2[[#Headers],[Inner Spring OD]],Table2[#Headers],0),0)</f>
        <v>Null</v>
      </c>
      <c r="BF698" s="2" t="str">
        <f>VLOOKUP([jobnumber],OvalData[],MATCH(Table2[[#Headers],[Inner Spring Length]],Table2[#Headers],0),0)</f>
        <v>Null</v>
      </c>
      <c r="BG698" s="2" t="str">
        <f>VLOOKUP([jobnumber],OvalData[],MATCH(Table2[[#Headers],[Inner Spring Stretch]],Table2[#Headers],0),0)</f>
        <v>Null</v>
      </c>
      <c r="BH698" s="2" t="str">
        <f>VLOOKUP([jobnumber],OvalData[],MATCH(Table2[[#Headers],[Inner Spring Torque]],Table2[#Headers],0),0)</f>
        <v>Null</v>
      </c>
      <c r="BI698" s="2" t="str">
        <f>VLOOKUP([jobnumber],OvalData[],MATCH(Table2[[#Headers],[Inner Spring Max Turns]],Table2[#Headers],0),0)</f>
        <v>Null</v>
      </c>
      <c r="BJ698" s="2" t="str">
        <f>VLOOKUP([jobnumber],OvalData[],MATCH(Table2[[#Headers],[Inner Spring Weight]],Table2[#Headers],0),0)</f>
        <v>Null</v>
      </c>
      <c r="BK698" s="2">
        <f>VLOOKUP([jobnumber],OvalData[],MATCH(Table2[[#Headers],[Cycles]],Table2[#Headers],0),0)</f>
        <v>0</v>
      </c>
      <c r="BL698" s="2">
        <f>VLOOKUP([jobnumber],OvalData[],MATCH(Table2[[#Headers],[Total Spring Torque]],Table2[#Headers],0),0)</f>
        <v>0</v>
      </c>
      <c r="BM698" s="2">
        <f>VLOOKUP([jobnumber],OvalData[],MATCH(Table2[[#Headers],[Total Spring Weight]],Table2[#Headers],0),0)</f>
        <v>0</v>
      </c>
      <c r="BN698" s="2">
        <f>VLOOKUP([jobnumber],OvalData[],MATCH(Table2[[#Headers],[Pipe Weight]],Table2[#Headers],0),0)</f>
        <v>688.24239999999998</v>
      </c>
      <c r="BO698" s="2">
        <f>VLOOKUP([jobnumber],OvalData[],MATCH(Table2[[#Headers],[Max Pipe Deflection]],Table2[#Headers],0),0)</f>
        <v>2309</v>
      </c>
      <c r="BP698" s="2">
        <f>VLOOKUP([jobnumber],OvalData[],MATCH(Table2[[#Headers],[Number Non-Insulated Wrap Slats]],Table2[#Headers],0),0)</f>
        <v>0</v>
      </c>
      <c r="BQ698" s="2">
        <f>VLOOKUP([jobnumber],OvalData[],MATCH(Table2[[#Headers],[Number of Insolated Top Slats]],Table2[#Headers],0),0)</f>
        <v>45</v>
      </c>
      <c r="BR698" s="2">
        <f>VLOOKUP([jobnumber],OvalData[],MATCH(Table2[[#Headers],[Insolated Total Slats]],Table2[#Headers],0),0)</f>
        <v>45</v>
      </c>
      <c r="BS698" s="2">
        <f>VLOOKUP([jobnumber],OvalData[],MATCH(Table2[[#Headers],[Number of Slats]],Table2[#Headers],0),0)</f>
        <v>44.69</v>
      </c>
      <c r="BT698" s="2">
        <f>VLOOKUP([jobnumber],OvalData[],MATCH(Table2[[#Headers],[Wrap]],Table2[#Headers],0),0)</f>
        <v>0</v>
      </c>
      <c r="BU698" s="2">
        <f>VLOOKUP([jobnumber],OvalData[],MATCH(Table2[[#Headers],[Wall Angle Thickness]],Table2[#Headers],0),0)</f>
        <v>0</v>
      </c>
      <c r="BV698" s="2">
        <f>VLOOKUP([jobnumber],OvalData[],MATCH(Table2[[#Headers],[windlocks]],Table2[#Headers],0),0)</f>
        <v>0</v>
      </c>
      <c r="BW698" s="2" t="str">
        <f>VLOOKUP([jobnumber],OvalData[],MATCH(Table2[[#Headers],[bottombartype]],Table2[#Headers],0),0)</f>
        <v>SPECIAL</v>
      </c>
      <c r="BX698" s="2">
        <f>VLOOKUP([jobnumber],OvalData[],MATCH(Table2[[#Headers],[endlockweight]],Table2[#Headers],0),0)</f>
        <v>0.17</v>
      </c>
      <c r="BY698" s="2">
        <f>VLOOKUP([jobnumber],OvalData[],MATCH(Table2[[#Headers],[Endlock Total Weight]],Table2[#Headers],0),0)</f>
        <v>7.5972999999999997</v>
      </c>
      <c r="BZ698" s="2">
        <f>VLOOKUP([jobnumber],OvalData[],MATCH(Table2[[#Headers],[Grille Weight]],Table2[#Headers],0),0)</f>
        <v>0</v>
      </c>
      <c r="CA698" s="2">
        <f>VLOOKUP([jobnumber],OvalData[],MATCH(Table2[[#Headers],[barrelrings]],Table2[#Headers],0),0)</f>
        <v>1</v>
      </c>
    </row>
    <row r="699" spans="2:79">
      <c r="B699" s="2" t="str">
        <f>VLOOKUP([jobnumber],OvalData[],MATCH(Table2[[#Headers],[Hand]],Table2[#Headers],0),0)</f>
        <v>RH</v>
      </c>
      <c r="C699" s="2" t="str">
        <f>VLOOKUP([jobnumber],OvalData[],MATCH(Table2[[#Headers],[Model]],Table2[#Headers],0),0)</f>
        <v>SFMPP</v>
      </c>
      <c r="D699" s="2" t="str">
        <f>VLOOKUP([jobnumber],OvalData[],MATCH(Table2[[#Headers],[width]],Table2[#Headers],0),0)</f>
        <v xml:space="preserve"> 18 ft.- 2"</v>
      </c>
      <c r="E699" s="2" t="str">
        <f>VLOOKUP([jobnumber],OvalData[],MATCH(Table2[[#Headers],[stopheight]],Table2[#Headers],0),0)</f>
        <v xml:space="preserve"> 10 ft.- 0"</v>
      </c>
      <c r="F699" s="2" t="str">
        <f>VLOOKUP([jobnumber],OvalData[],MATCH(Table2[[#Headers],[Between Brackets]],Table2[#Headers],0),0)</f>
        <v xml:space="preserve"> 18 ft.- 7 7/ 8"</v>
      </c>
      <c r="G699" s="2" t="str">
        <f>VLOOKUP([jobnumber],OvalData[],MATCH(Table2[[#Headers],[shell]],Table2[#Headers],0),0)</f>
        <v>6 INCH TUBE</v>
      </c>
      <c r="H699" s="2" t="str">
        <f>VLOOKUP([jobnumber],OvalData[],MATCH(Table2[[#Headers],[pipewidth]],Table2[#Headers],0),0)</f>
        <v xml:space="preserve"> 18 ft.- 1 3/ 8"</v>
      </c>
      <c r="I699" s="2">
        <f>VLOOKUP([jobnumber],OvalData[],MATCH(Table2[[#Headers],[Support Tubes]],Table2[#Headers],0),0)</f>
        <v>0</v>
      </c>
      <c r="J699" s="2">
        <f>VLOOKUP([jobnumber],OvalData[],MATCH(Table2[[#Headers],[Upset]],Table2[#Headers],0),0)</f>
        <v>2</v>
      </c>
      <c r="K699" s="2" t="str">
        <f>VLOOKUP([jobnumber],OvalData[],MATCH(Table2[[#Headers],[Guide Type]],Table2[#Headers],0),0)</f>
        <v>SN2-4 5/8-E</v>
      </c>
      <c r="L699" s="2" t="str">
        <f>VLOOKUP([jobnumber],OvalData[],MATCH(Table2[[#Headers],[Wall Angle]],Table2[#Headers],0),0)</f>
        <v xml:space="preserve"> 11 ft.- 8"</v>
      </c>
      <c r="M699" s="2" t="str">
        <f>VLOOKUP([jobnumber],OvalData[],MATCH(Table2[[#Headers],[Middle Angle]],Table2[#Headers],0),0)</f>
        <v xml:space="preserve"> 10 ft.- 4 1/ 2"</v>
      </c>
      <c r="N699" s="2" t="str">
        <f>VLOOKUP([jobnumber],OvalData[],MATCH(Table2[[#Headers],[Front Angle]],Table2[#Headers],0),0)</f>
        <v xml:space="preserve"> 10 ft.- 3"</v>
      </c>
      <c r="O699" s="2">
        <f>VLOOKUP([jobnumber],OvalData[],MATCH(Table2[[#Headers],[Pipe Center Line]],Table2[#Headers],0),0)</f>
        <v>131</v>
      </c>
      <c r="P699" s="2">
        <f>VLOOKUP([jobnumber],OvalData[],MATCH(Table2[[#Headers],[Heat Expansion Gap]],Table2[#Headers],0),0)</f>
        <v>0</v>
      </c>
      <c r="Q699" s="2">
        <f>VLOOKUP([jobnumber],OvalData[],MATCH(Table2[[#Headers],[Hanging Weight Closed]],Table2[#Headers],0),0)</f>
        <v>795</v>
      </c>
      <c r="R699" s="2">
        <f>VLOOKUP([jobnumber],OvalData[],MATCH(Table2[[#Headers],[Hanging Weight Open]],Table2[#Headers],0),0)</f>
        <v>140</v>
      </c>
      <c r="S699" s="2">
        <f>VLOOKUP([jobnumber],OvalData[],MATCH(Table2[[#Headers],[Initial Lever Arm]],Table2[#Headers],0),0)</f>
        <v>4.25</v>
      </c>
      <c r="T699" s="2">
        <f>VLOOKUP([jobnumber],OvalData[],MATCH(Table2[[#Headers],[Turns to Raise]],Table2[#Headers],0),0)</f>
        <v>3.5859999999999999</v>
      </c>
      <c r="U699" s="2">
        <f>VLOOKUP([jobnumber],OvalData[],MATCH(Table2[[#Headers],[Final Lever Arm]],Table2[#Headers],0),0)</f>
        <v>6.37</v>
      </c>
      <c r="V699" s="2">
        <f>VLOOKUP([jobnumber],OvalData[],MATCH(Table2[[#Headers],[Torque Required Closed]],Table2[#Headers],0),0)</f>
        <v>3377.9</v>
      </c>
      <c r="W699" s="2">
        <f>VLOOKUP([jobnumber],OvalData[],MATCH(Table2[[#Headers],[Torque Required Open]],Table2[#Headers],0),0)</f>
        <v>892</v>
      </c>
      <c r="X699" s="2">
        <f>VLOOKUP([jobnumber],OvalData[],MATCH(Table2[[#Headers],[Pre Turns]],Table2[#Headers],0),0)</f>
        <v>1.3332999999999999</v>
      </c>
      <c r="Y699" s="2">
        <f>VLOOKUP([jobnumber],OvalData[],MATCH(Table2[[#Headers],[Required Torque Per Turn]],Table2[#Headers],0),0)</f>
        <v>688</v>
      </c>
      <c r="Z699" s="2">
        <f>VLOOKUP([jobnumber],OvalData[],MATCH(Table2[[#Headers],[Total Turns]],Table2[#Headers],0),0)</f>
        <v>4.91</v>
      </c>
      <c r="AA699" s="2">
        <f>VLOOKUP([jobnumber],OvalData[],MATCH(Table2[[#Headers],[Grille Vision Section]],Table2[#Headers],0),0)</f>
        <v>0</v>
      </c>
      <c r="AB699" s="2">
        <f>VLOOKUP([jobnumber],OvalData[],MATCH(Table2[[#Headers],[Grille Amount]],Table2[#Headers],0),0)</f>
        <v>0</v>
      </c>
      <c r="AC699" s="2">
        <f>VLOOKUP([jobnumber],OvalData[],MATCH(Table2[[#Headers],[Grille Center]],Table2[#Headers],0),0)</f>
        <v>0</v>
      </c>
      <c r="AD699" s="2">
        <f>VLOOKUP([jobnumber],OvalData[],MATCH(Table2[[#Headers],[Grille Pattern]],Table2[#Headers],0),0)</f>
        <v>0</v>
      </c>
      <c r="AE699" s="2">
        <f>VLOOKUP([jobnumber],OvalData[],MATCH(Table2[[#Headers],[Grille First Tube]],Table2[#Headers],0),0)</f>
        <v>0</v>
      </c>
      <c r="AF699" s="2">
        <f>VLOOKUP([jobnumber],OvalData[],MATCH(Table2[[#Headers],[Grille Standard Tube]],Table2[#Headers],0),0)</f>
        <v>0</v>
      </c>
      <c r="AG699" s="2">
        <f>VLOOKUP([jobnumber],OvalData[],MATCH(Table2[[#Headers],[Grille Total Links]],Table2[#Headers],0),0)</f>
        <v>0</v>
      </c>
      <c r="AH699" s="2">
        <f>VLOOKUP([jobnumber],OvalData[],MATCH(Table2[[#Headers],[Grille Rods]],Table2[#Headers],0),0)</f>
        <v>0</v>
      </c>
      <c r="AI699" s="2">
        <f>VLOOKUP([jobnumber],OvalData[],MATCH(Table2[[#Headers],[Grille Rod Length]],Table2[#Headers],0),0)</f>
        <v>0</v>
      </c>
      <c r="AJ699" s="2">
        <f>VLOOKUP([jobnumber],OvalData[],MATCH(Table2[[#Headers],[slattype]],Table2[#Headers],0),0)</f>
        <v>2</v>
      </c>
      <c r="AK699" s="2">
        <f>VLOOKUP([jobnumber],OvalData[],MATCH(Table2[[#Headers],[slatgage]],Table2[#Headers],0),0)</f>
        <v>18</v>
      </c>
      <c r="AL699" s="2">
        <f>VLOOKUP([jobnumber],OvalData[],MATCH(Table2[[#Headers],[Numer of Top Slats]],Table2[#Headers],0),0)</f>
        <v>0</v>
      </c>
      <c r="AM699" s="2">
        <f>VLOOKUP([jobnumber],OvalData[],MATCH(Table2[[#Headers],[Number of Bottom Slats]],Table2[#Headers],0),0)</f>
        <v>0</v>
      </c>
      <c r="AN699" s="2">
        <f>VLOOKUP([jobnumber],OvalData[],MATCH(Table2[[#Headers],[Solid Bottom Height]],Table2[#Headers],0),0)</f>
        <v>0</v>
      </c>
      <c r="AO699" s="2" t="str">
        <f>VLOOKUP([jobnumber],OvalData[],MATCH(Table2[[#Headers],[slatlength]],Table2[#Headers],0),0)</f>
        <v xml:space="preserve"> 18 ft.- 5 7/ 8"</v>
      </c>
      <c r="AP699" s="2">
        <f>VLOOKUP([jobnumber],OvalData[],MATCH(Table2[[#Headers],[Bottom Slat Length]],Table2[#Headers],0),0)</f>
        <v>0</v>
      </c>
      <c r="AQ699" s="2">
        <f>VLOOKUP([jobnumber],OvalData[],MATCH(Table2[[#Headers],[Number of Perferated Slats]],Table2[#Headers],0),0)</f>
        <v>0</v>
      </c>
      <c r="AR699" s="2">
        <f>VLOOKUP([jobnumber],OvalData[],MATCH(Table2[[#Headers],[First Preferated Slat From End]],Table2[#Headers],0),0)</f>
        <v>0</v>
      </c>
      <c r="AS699" s="2">
        <f>VLOOKUP([jobnumber],OvalData[],MATCH(Table2[[#Headers],[First Preferated Slat From Bottom]],Table2[#Headers],0),0)</f>
        <v>0</v>
      </c>
      <c r="AT699" s="2">
        <f>VLOOKUP([jobnumber],OvalData[],MATCH(Table2[[#Headers],[Total Number of Slats]],Table2[#Headers],0),0)</f>
        <v>51</v>
      </c>
      <c r="AU699" s="2">
        <f>VLOOKUP([jobnumber],OvalData[],MATCH(Table2[[#Headers],[Bottom Bar Slope]],Table2[#Headers],0),0)</f>
        <v>0</v>
      </c>
      <c r="AV699" s="2">
        <f>VLOOKUP([jobnumber],OvalData[],MATCH(Table2[[#Headers],[Bottom Bar Weight]],Table2[#Headers],0),0)</f>
        <v>80.5</v>
      </c>
      <c r="AW699" s="2" t="str">
        <f>VLOOKUP([jobnumber],OvalData[],MATCH(Table2[[#Headers],[Outer Spring Gage]],Table2[#Headers],0),0)</f>
        <v>Null</v>
      </c>
      <c r="AX699" s="2" t="str">
        <f>VLOOKUP([jobnumber],OvalData[],MATCH(Table2[[#Headers],[Outer Spring OD]],Table2[#Headers],0),0)</f>
        <v>Null</v>
      </c>
      <c r="AY699" s="2" t="str">
        <f>VLOOKUP([jobnumber],OvalData[],MATCH(Table2[[#Headers],[Outer Spring Length]],Table2[#Headers],0),0)</f>
        <v>Null</v>
      </c>
      <c r="AZ699" s="2" t="str">
        <f>VLOOKUP([jobnumber],OvalData[],MATCH(Table2[[#Headers],[Outer Spring Stretch]],Table2[#Headers],0),0)</f>
        <v>Null</v>
      </c>
      <c r="BA699" s="2" t="str">
        <f>VLOOKUP([jobnumber],OvalData[],MATCH(Table2[[#Headers],[Outer Spring Torque]],Table2[#Headers],0),0)</f>
        <v>Null</v>
      </c>
      <c r="BB699" s="2" t="str">
        <f>VLOOKUP([jobnumber],OvalData[],MATCH(Table2[[#Headers],[Outer Spring Max Turns]],Table2[#Headers],0),0)</f>
        <v>Null</v>
      </c>
      <c r="BC699" s="2" t="str">
        <f>VLOOKUP([jobnumber],OvalData[],MATCH(Table2[[#Headers],[Outer Spring Weight]],Table2[#Headers],0),0)</f>
        <v>Null</v>
      </c>
      <c r="BD699" s="2" t="str">
        <f>VLOOKUP([jobnumber],OvalData[],MATCH(Table2[[#Headers],[Inner Spring Gage]],Table2[#Headers],0),0)</f>
        <v>Null</v>
      </c>
      <c r="BE699" s="2" t="str">
        <f>VLOOKUP([jobnumber],OvalData[],MATCH(Table2[[#Headers],[Inner Spring OD]],Table2[#Headers],0),0)</f>
        <v>Null</v>
      </c>
      <c r="BF699" s="2" t="str">
        <f>VLOOKUP([jobnumber],OvalData[],MATCH(Table2[[#Headers],[Inner Spring Length]],Table2[#Headers],0),0)</f>
        <v>Null</v>
      </c>
      <c r="BG699" s="2" t="str">
        <f>VLOOKUP([jobnumber],OvalData[],MATCH(Table2[[#Headers],[Inner Spring Stretch]],Table2[#Headers],0),0)</f>
        <v>Null</v>
      </c>
      <c r="BH699" s="2" t="str">
        <f>VLOOKUP([jobnumber],OvalData[],MATCH(Table2[[#Headers],[Inner Spring Torque]],Table2[#Headers],0),0)</f>
        <v>Null</v>
      </c>
      <c r="BI699" s="2" t="str">
        <f>VLOOKUP([jobnumber],OvalData[],MATCH(Table2[[#Headers],[Inner Spring Max Turns]],Table2[#Headers],0),0)</f>
        <v>Null</v>
      </c>
      <c r="BJ699" s="2" t="str">
        <f>VLOOKUP([jobnumber],OvalData[],MATCH(Table2[[#Headers],[Inner Spring Weight]],Table2[#Headers],0),0)</f>
        <v>Null</v>
      </c>
      <c r="BK699" s="2">
        <f>VLOOKUP([jobnumber],OvalData[],MATCH(Table2[[#Headers],[Cycles]],Table2[#Headers],0),0)</f>
        <v>0</v>
      </c>
      <c r="BL699" s="2">
        <f>VLOOKUP([jobnumber],OvalData[],MATCH(Table2[[#Headers],[Total Spring Torque]],Table2[#Headers],0),0)</f>
        <v>0</v>
      </c>
      <c r="BM699" s="2">
        <f>VLOOKUP([jobnumber],OvalData[],MATCH(Table2[[#Headers],[Total Spring Weight]],Table2[#Headers],0),0)</f>
        <v>0</v>
      </c>
      <c r="BN699" s="2">
        <f>VLOOKUP([jobnumber],OvalData[],MATCH(Table2[[#Headers],[Pipe Weight]],Table2[#Headers],0),0)</f>
        <v>688.24239999999998</v>
      </c>
      <c r="BO699" s="2">
        <f>VLOOKUP([jobnumber],OvalData[],MATCH(Table2[[#Headers],[Max Pipe Deflection]],Table2[#Headers],0),0)</f>
        <v>2309</v>
      </c>
      <c r="BP699" s="2">
        <f>VLOOKUP([jobnumber],OvalData[],MATCH(Table2[[#Headers],[Number Non-Insulated Wrap Slats]],Table2[#Headers],0),0)</f>
        <v>0</v>
      </c>
      <c r="BQ699" s="2">
        <f>VLOOKUP([jobnumber],OvalData[],MATCH(Table2[[#Headers],[Number of Insolated Top Slats]],Table2[#Headers],0),0)</f>
        <v>45</v>
      </c>
      <c r="BR699" s="2">
        <f>VLOOKUP([jobnumber],OvalData[],MATCH(Table2[[#Headers],[Insolated Total Slats]],Table2[#Headers],0),0)</f>
        <v>45</v>
      </c>
      <c r="BS699" s="2">
        <f>VLOOKUP([jobnumber],OvalData[],MATCH(Table2[[#Headers],[Number of Slats]],Table2[#Headers],0),0)</f>
        <v>44.69</v>
      </c>
      <c r="BT699" s="2">
        <f>VLOOKUP([jobnumber],OvalData[],MATCH(Table2[[#Headers],[Wrap]],Table2[#Headers],0),0)</f>
        <v>0</v>
      </c>
      <c r="BU699" s="2">
        <f>VLOOKUP([jobnumber],OvalData[],MATCH(Table2[[#Headers],[Wall Angle Thickness]],Table2[#Headers],0),0)</f>
        <v>0</v>
      </c>
      <c r="BV699" s="2">
        <f>VLOOKUP([jobnumber],OvalData[],MATCH(Table2[[#Headers],[windlocks]],Table2[#Headers],0),0)</f>
        <v>0</v>
      </c>
      <c r="BW699" s="2" t="str">
        <f>VLOOKUP([jobnumber],OvalData[],MATCH(Table2[[#Headers],[bottombartype]],Table2[#Headers],0),0)</f>
        <v>SPECIAL</v>
      </c>
      <c r="BX699" s="2">
        <f>VLOOKUP([jobnumber],OvalData[],MATCH(Table2[[#Headers],[endlockweight]],Table2[#Headers],0),0)</f>
        <v>0.17</v>
      </c>
      <c r="BY699" s="2">
        <f>VLOOKUP([jobnumber],OvalData[],MATCH(Table2[[#Headers],[Endlock Total Weight]],Table2[#Headers],0),0)</f>
        <v>7.5972999999999997</v>
      </c>
      <c r="BZ699" s="2">
        <f>VLOOKUP([jobnumber],OvalData[],MATCH(Table2[[#Headers],[Grille Weight]],Table2[#Headers],0),0)</f>
        <v>0</v>
      </c>
      <c r="CA699" s="2">
        <f>VLOOKUP([jobnumber],OvalData[],MATCH(Table2[[#Headers],[barrelrings]],Table2[#Headers],0),0)</f>
        <v>1</v>
      </c>
    </row>
    <row r="700" spans="2:79">
      <c r="B700" s="2" t="str">
        <f>VLOOKUP([jobnumber],OvalData[],MATCH(Table2[[#Headers],[Hand]],Table2[#Headers],0),0)</f>
        <v>RH</v>
      </c>
      <c r="C700" s="2" t="str">
        <f>VLOOKUP([jobnumber],OvalData[],MATCH(Table2[[#Headers],[Model]],Table2[#Headers],0),0)</f>
        <v>SFMPP</v>
      </c>
      <c r="D700" s="2" t="str">
        <f>VLOOKUP([jobnumber],OvalData[],MATCH(Table2[[#Headers],[width]],Table2[#Headers],0),0)</f>
        <v xml:space="preserve"> 18 ft.- 2"</v>
      </c>
      <c r="E700" s="2" t="str">
        <f>VLOOKUP([jobnumber],OvalData[],MATCH(Table2[[#Headers],[stopheight]],Table2[#Headers],0),0)</f>
        <v xml:space="preserve"> 10 ft.- 0"</v>
      </c>
      <c r="F700" s="2" t="str">
        <f>VLOOKUP([jobnumber],OvalData[],MATCH(Table2[[#Headers],[Between Brackets]],Table2[#Headers],0),0)</f>
        <v xml:space="preserve"> 18 ft.- 7 7/ 8"</v>
      </c>
      <c r="G700" s="2" t="str">
        <f>VLOOKUP([jobnumber],OvalData[],MATCH(Table2[[#Headers],[shell]],Table2[#Headers],0),0)</f>
        <v>6 INCH TUBE</v>
      </c>
      <c r="H700" s="2" t="str">
        <f>VLOOKUP([jobnumber],OvalData[],MATCH(Table2[[#Headers],[pipewidth]],Table2[#Headers],0),0)</f>
        <v xml:space="preserve"> 18 ft.- 1 3/ 8"</v>
      </c>
      <c r="I700" s="2">
        <f>VLOOKUP([jobnumber],OvalData[],MATCH(Table2[[#Headers],[Support Tubes]],Table2[#Headers],0),0)</f>
        <v>0</v>
      </c>
      <c r="J700" s="2">
        <f>VLOOKUP([jobnumber],OvalData[],MATCH(Table2[[#Headers],[Upset]],Table2[#Headers],0),0)</f>
        <v>2</v>
      </c>
      <c r="K700" s="2" t="str">
        <f>VLOOKUP([jobnumber],OvalData[],MATCH(Table2[[#Headers],[Guide Type]],Table2[#Headers],0),0)</f>
        <v>SN2-4 5/8-E</v>
      </c>
      <c r="L700" s="2" t="str">
        <f>VLOOKUP([jobnumber],OvalData[],MATCH(Table2[[#Headers],[Wall Angle]],Table2[#Headers],0),0)</f>
        <v xml:space="preserve"> 11 ft.- 8"</v>
      </c>
      <c r="M700" s="2" t="str">
        <f>VLOOKUP([jobnumber],OvalData[],MATCH(Table2[[#Headers],[Middle Angle]],Table2[#Headers],0),0)</f>
        <v xml:space="preserve"> 10 ft.- 4 1/ 2"</v>
      </c>
      <c r="N700" s="2" t="str">
        <f>VLOOKUP([jobnumber],OvalData[],MATCH(Table2[[#Headers],[Front Angle]],Table2[#Headers],0),0)</f>
        <v xml:space="preserve"> 10 ft.- 3"</v>
      </c>
      <c r="O700" s="2">
        <f>VLOOKUP([jobnumber],OvalData[],MATCH(Table2[[#Headers],[Pipe Center Line]],Table2[#Headers],0),0)</f>
        <v>131</v>
      </c>
      <c r="P700" s="2">
        <f>VLOOKUP([jobnumber],OvalData[],MATCH(Table2[[#Headers],[Heat Expansion Gap]],Table2[#Headers],0),0)</f>
        <v>0</v>
      </c>
      <c r="Q700" s="2">
        <f>VLOOKUP([jobnumber],OvalData[],MATCH(Table2[[#Headers],[Hanging Weight Closed]],Table2[#Headers],0),0)</f>
        <v>795</v>
      </c>
      <c r="R700" s="2">
        <f>VLOOKUP([jobnumber],OvalData[],MATCH(Table2[[#Headers],[Hanging Weight Open]],Table2[#Headers],0),0)</f>
        <v>140</v>
      </c>
      <c r="S700" s="2">
        <f>VLOOKUP([jobnumber],OvalData[],MATCH(Table2[[#Headers],[Initial Lever Arm]],Table2[#Headers],0),0)</f>
        <v>4.25</v>
      </c>
      <c r="T700" s="2">
        <f>VLOOKUP([jobnumber],OvalData[],MATCH(Table2[[#Headers],[Turns to Raise]],Table2[#Headers],0),0)</f>
        <v>3.5859999999999999</v>
      </c>
      <c r="U700" s="2">
        <f>VLOOKUP([jobnumber],OvalData[],MATCH(Table2[[#Headers],[Final Lever Arm]],Table2[#Headers],0),0)</f>
        <v>6.37</v>
      </c>
      <c r="V700" s="2">
        <f>VLOOKUP([jobnumber],OvalData[],MATCH(Table2[[#Headers],[Torque Required Closed]],Table2[#Headers],0),0)</f>
        <v>3377.9</v>
      </c>
      <c r="W700" s="2">
        <f>VLOOKUP([jobnumber],OvalData[],MATCH(Table2[[#Headers],[Torque Required Open]],Table2[#Headers],0),0)</f>
        <v>892</v>
      </c>
      <c r="X700" s="2">
        <f>VLOOKUP([jobnumber],OvalData[],MATCH(Table2[[#Headers],[Pre Turns]],Table2[#Headers],0),0)</f>
        <v>1.3332999999999999</v>
      </c>
      <c r="Y700" s="2">
        <f>VLOOKUP([jobnumber],OvalData[],MATCH(Table2[[#Headers],[Required Torque Per Turn]],Table2[#Headers],0),0)</f>
        <v>688</v>
      </c>
      <c r="Z700" s="2">
        <f>VLOOKUP([jobnumber],OvalData[],MATCH(Table2[[#Headers],[Total Turns]],Table2[#Headers],0),0)</f>
        <v>4.91</v>
      </c>
      <c r="AA700" s="2">
        <f>VLOOKUP([jobnumber],OvalData[],MATCH(Table2[[#Headers],[Grille Vision Section]],Table2[#Headers],0),0)</f>
        <v>0</v>
      </c>
      <c r="AB700" s="2">
        <f>VLOOKUP([jobnumber],OvalData[],MATCH(Table2[[#Headers],[Grille Amount]],Table2[#Headers],0),0)</f>
        <v>0</v>
      </c>
      <c r="AC700" s="2">
        <f>VLOOKUP([jobnumber],OvalData[],MATCH(Table2[[#Headers],[Grille Center]],Table2[#Headers],0),0)</f>
        <v>0</v>
      </c>
      <c r="AD700" s="2">
        <f>VLOOKUP([jobnumber],OvalData[],MATCH(Table2[[#Headers],[Grille Pattern]],Table2[#Headers],0),0)</f>
        <v>0</v>
      </c>
      <c r="AE700" s="2">
        <f>VLOOKUP([jobnumber],OvalData[],MATCH(Table2[[#Headers],[Grille First Tube]],Table2[#Headers],0),0)</f>
        <v>0</v>
      </c>
      <c r="AF700" s="2">
        <f>VLOOKUP([jobnumber],OvalData[],MATCH(Table2[[#Headers],[Grille Standard Tube]],Table2[#Headers],0),0)</f>
        <v>0</v>
      </c>
      <c r="AG700" s="2">
        <f>VLOOKUP([jobnumber],OvalData[],MATCH(Table2[[#Headers],[Grille Total Links]],Table2[#Headers],0),0)</f>
        <v>0</v>
      </c>
      <c r="AH700" s="2">
        <f>VLOOKUP([jobnumber],OvalData[],MATCH(Table2[[#Headers],[Grille Rods]],Table2[#Headers],0),0)</f>
        <v>0</v>
      </c>
      <c r="AI700" s="2">
        <f>VLOOKUP([jobnumber],OvalData[],MATCH(Table2[[#Headers],[Grille Rod Length]],Table2[#Headers],0),0)</f>
        <v>0</v>
      </c>
      <c r="AJ700" s="2">
        <f>VLOOKUP([jobnumber],OvalData[],MATCH(Table2[[#Headers],[slattype]],Table2[#Headers],0),0)</f>
        <v>2</v>
      </c>
      <c r="AK700" s="2">
        <f>VLOOKUP([jobnumber],OvalData[],MATCH(Table2[[#Headers],[slatgage]],Table2[#Headers],0),0)</f>
        <v>18</v>
      </c>
      <c r="AL700" s="2">
        <f>VLOOKUP([jobnumber],OvalData[],MATCH(Table2[[#Headers],[Numer of Top Slats]],Table2[#Headers],0),0)</f>
        <v>0</v>
      </c>
      <c r="AM700" s="2">
        <f>VLOOKUP([jobnumber],OvalData[],MATCH(Table2[[#Headers],[Number of Bottom Slats]],Table2[#Headers],0),0)</f>
        <v>0</v>
      </c>
      <c r="AN700" s="2">
        <f>VLOOKUP([jobnumber],OvalData[],MATCH(Table2[[#Headers],[Solid Bottom Height]],Table2[#Headers],0),0)</f>
        <v>0</v>
      </c>
      <c r="AO700" s="2" t="str">
        <f>VLOOKUP([jobnumber],OvalData[],MATCH(Table2[[#Headers],[slatlength]],Table2[#Headers],0),0)</f>
        <v xml:space="preserve"> 18 ft.- 5 7/ 8"</v>
      </c>
      <c r="AP700" s="2">
        <f>VLOOKUP([jobnumber],OvalData[],MATCH(Table2[[#Headers],[Bottom Slat Length]],Table2[#Headers],0),0)</f>
        <v>0</v>
      </c>
      <c r="AQ700" s="2">
        <f>VLOOKUP([jobnumber],OvalData[],MATCH(Table2[[#Headers],[Number of Perferated Slats]],Table2[#Headers],0),0)</f>
        <v>0</v>
      </c>
      <c r="AR700" s="2">
        <f>VLOOKUP([jobnumber],OvalData[],MATCH(Table2[[#Headers],[First Preferated Slat From End]],Table2[#Headers],0),0)</f>
        <v>0</v>
      </c>
      <c r="AS700" s="2">
        <f>VLOOKUP([jobnumber],OvalData[],MATCH(Table2[[#Headers],[First Preferated Slat From Bottom]],Table2[#Headers],0),0)</f>
        <v>0</v>
      </c>
      <c r="AT700" s="2">
        <f>VLOOKUP([jobnumber],OvalData[],MATCH(Table2[[#Headers],[Total Number of Slats]],Table2[#Headers],0),0)</f>
        <v>51</v>
      </c>
      <c r="AU700" s="2">
        <f>VLOOKUP([jobnumber],OvalData[],MATCH(Table2[[#Headers],[Bottom Bar Slope]],Table2[#Headers],0),0)</f>
        <v>0</v>
      </c>
      <c r="AV700" s="2">
        <f>VLOOKUP([jobnumber],OvalData[],MATCH(Table2[[#Headers],[Bottom Bar Weight]],Table2[#Headers],0),0)</f>
        <v>80.5</v>
      </c>
      <c r="AW700" s="2" t="str">
        <f>VLOOKUP([jobnumber],OvalData[],MATCH(Table2[[#Headers],[Outer Spring Gage]],Table2[#Headers],0),0)</f>
        <v>Null</v>
      </c>
      <c r="AX700" s="2" t="str">
        <f>VLOOKUP([jobnumber],OvalData[],MATCH(Table2[[#Headers],[Outer Spring OD]],Table2[#Headers],0),0)</f>
        <v>Null</v>
      </c>
      <c r="AY700" s="2" t="str">
        <f>VLOOKUP([jobnumber],OvalData[],MATCH(Table2[[#Headers],[Outer Spring Length]],Table2[#Headers],0),0)</f>
        <v>Null</v>
      </c>
      <c r="AZ700" s="2" t="str">
        <f>VLOOKUP([jobnumber],OvalData[],MATCH(Table2[[#Headers],[Outer Spring Stretch]],Table2[#Headers],0),0)</f>
        <v>Null</v>
      </c>
      <c r="BA700" s="2" t="str">
        <f>VLOOKUP([jobnumber],OvalData[],MATCH(Table2[[#Headers],[Outer Spring Torque]],Table2[#Headers],0),0)</f>
        <v>Null</v>
      </c>
      <c r="BB700" s="2" t="str">
        <f>VLOOKUP([jobnumber],OvalData[],MATCH(Table2[[#Headers],[Outer Spring Max Turns]],Table2[#Headers],0),0)</f>
        <v>Null</v>
      </c>
      <c r="BC700" s="2" t="str">
        <f>VLOOKUP([jobnumber],OvalData[],MATCH(Table2[[#Headers],[Outer Spring Weight]],Table2[#Headers],0),0)</f>
        <v>Null</v>
      </c>
      <c r="BD700" s="2" t="str">
        <f>VLOOKUP([jobnumber],OvalData[],MATCH(Table2[[#Headers],[Inner Spring Gage]],Table2[#Headers],0),0)</f>
        <v>Null</v>
      </c>
      <c r="BE700" s="2" t="str">
        <f>VLOOKUP([jobnumber],OvalData[],MATCH(Table2[[#Headers],[Inner Spring OD]],Table2[#Headers],0),0)</f>
        <v>Null</v>
      </c>
      <c r="BF700" s="2" t="str">
        <f>VLOOKUP([jobnumber],OvalData[],MATCH(Table2[[#Headers],[Inner Spring Length]],Table2[#Headers],0),0)</f>
        <v>Null</v>
      </c>
      <c r="BG700" s="2" t="str">
        <f>VLOOKUP([jobnumber],OvalData[],MATCH(Table2[[#Headers],[Inner Spring Stretch]],Table2[#Headers],0),0)</f>
        <v>Null</v>
      </c>
      <c r="BH700" s="2" t="str">
        <f>VLOOKUP([jobnumber],OvalData[],MATCH(Table2[[#Headers],[Inner Spring Torque]],Table2[#Headers],0),0)</f>
        <v>Null</v>
      </c>
      <c r="BI700" s="2" t="str">
        <f>VLOOKUP([jobnumber],OvalData[],MATCH(Table2[[#Headers],[Inner Spring Max Turns]],Table2[#Headers],0),0)</f>
        <v>Null</v>
      </c>
      <c r="BJ700" s="2" t="str">
        <f>VLOOKUP([jobnumber],OvalData[],MATCH(Table2[[#Headers],[Inner Spring Weight]],Table2[#Headers],0),0)</f>
        <v>Null</v>
      </c>
      <c r="BK700" s="2">
        <f>VLOOKUP([jobnumber],OvalData[],MATCH(Table2[[#Headers],[Cycles]],Table2[#Headers],0),0)</f>
        <v>0</v>
      </c>
      <c r="BL700" s="2">
        <f>VLOOKUP([jobnumber],OvalData[],MATCH(Table2[[#Headers],[Total Spring Torque]],Table2[#Headers],0),0)</f>
        <v>0</v>
      </c>
      <c r="BM700" s="2">
        <f>VLOOKUP([jobnumber],OvalData[],MATCH(Table2[[#Headers],[Total Spring Weight]],Table2[#Headers],0),0)</f>
        <v>0</v>
      </c>
      <c r="BN700" s="2">
        <f>VLOOKUP([jobnumber],OvalData[],MATCH(Table2[[#Headers],[Pipe Weight]],Table2[#Headers],0),0)</f>
        <v>688.24239999999998</v>
      </c>
      <c r="BO700" s="2">
        <f>VLOOKUP([jobnumber],OvalData[],MATCH(Table2[[#Headers],[Max Pipe Deflection]],Table2[#Headers],0),0)</f>
        <v>2309</v>
      </c>
      <c r="BP700" s="2">
        <f>VLOOKUP([jobnumber],OvalData[],MATCH(Table2[[#Headers],[Number Non-Insulated Wrap Slats]],Table2[#Headers],0),0)</f>
        <v>0</v>
      </c>
      <c r="BQ700" s="2">
        <f>VLOOKUP([jobnumber],OvalData[],MATCH(Table2[[#Headers],[Number of Insolated Top Slats]],Table2[#Headers],0),0)</f>
        <v>45</v>
      </c>
      <c r="BR700" s="2">
        <f>VLOOKUP([jobnumber],OvalData[],MATCH(Table2[[#Headers],[Insolated Total Slats]],Table2[#Headers],0),0)</f>
        <v>45</v>
      </c>
      <c r="BS700" s="2">
        <f>VLOOKUP([jobnumber],OvalData[],MATCH(Table2[[#Headers],[Number of Slats]],Table2[#Headers],0),0)</f>
        <v>44.69</v>
      </c>
      <c r="BT700" s="2">
        <f>VLOOKUP([jobnumber],OvalData[],MATCH(Table2[[#Headers],[Wrap]],Table2[#Headers],0),0)</f>
        <v>0</v>
      </c>
      <c r="BU700" s="2">
        <f>VLOOKUP([jobnumber],OvalData[],MATCH(Table2[[#Headers],[Wall Angle Thickness]],Table2[#Headers],0),0)</f>
        <v>0</v>
      </c>
      <c r="BV700" s="2">
        <f>VLOOKUP([jobnumber],OvalData[],MATCH(Table2[[#Headers],[windlocks]],Table2[#Headers],0),0)</f>
        <v>0</v>
      </c>
      <c r="BW700" s="2" t="str">
        <f>VLOOKUP([jobnumber],OvalData[],MATCH(Table2[[#Headers],[bottombartype]],Table2[#Headers],0),0)</f>
        <v>SPECIAL</v>
      </c>
      <c r="BX700" s="2">
        <f>VLOOKUP([jobnumber],OvalData[],MATCH(Table2[[#Headers],[endlockweight]],Table2[#Headers],0),0)</f>
        <v>0.17</v>
      </c>
      <c r="BY700" s="2">
        <f>VLOOKUP([jobnumber],OvalData[],MATCH(Table2[[#Headers],[Endlock Total Weight]],Table2[#Headers],0),0)</f>
        <v>7.5972999999999997</v>
      </c>
      <c r="BZ700" s="2">
        <f>VLOOKUP([jobnumber],OvalData[],MATCH(Table2[[#Headers],[Grille Weight]],Table2[#Headers],0),0)</f>
        <v>0</v>
      </c>
      <c r="CA700" s="2">
        <f>VLOOKUP([jobnumber],OvalData[],MATCH(Table2[[#Headers],[barrelrings]],Table2[#Headers],0),0)</f>
        <v>1</v>
      </c>
    </row>
    <row r="701" spans="2:79">
      <c r="B701" s="2" t="str">
        <f>VLOOKUP([jobnumber],OvalData[],MATCH(Table2[[#Headers],[Hand]],Table2[#Headers],0),0)</f>
        <v>RH</v>
      </c>
      <c r="C701" s="2" t="str">
        <f>VLOOKUP([jobnumber],OvalData[],MATCH(Table2[[#Headers],[Model]],Table2[#Headers],0),0)</f>
        <v>SFMPP</v>
      </c>
      <c r="D701" s="2" t="str">
        <f>VLOOKUP([jobnumber],OvalData[],MATCH(Table2[[#Headers],[width]],Table2[#Headers],0),0)</f>
        <v xml:space="preserve"> 18 ft.- 2"</v>
      </c>
      <c r="E701" s="2" t="str">
        <f>VLOOKUP([jobnumber],OvalData[],MATCH(Table2[[#Headers],[stopheight]],Table2[#Headers],0),0)</f>
        <v xml:space="preserve"> 10 ft.- 0"</v>
      </c>
      <c r="F701" s="2" t="str">
        <f>VLOOKUP([jobnumber],OvalData[],MATCH(Table2[[#Headers],[Between Brackets]],Table2[#Headers],0),0)</f>
        <v xml:space="preserve"> 18 ft.- 7 7/ 8"</v>
      </c>
      <c r="G701" s="2" t="str">
        <f>VLOOKUP([jobnumber],OvalData[],MATCH(Table2[[#Headers],[shell]],Table2[#Headers],0),0)</f>
        <v>6 INCH TUBE</v>
      </c>
      <c r="H701" s="2" t="str">
        <f>VLOOKUP([jobnumber],OvalData[],MATCH(Table2[[#Headers],[pipewidth]],Table2[#Headers],0),0)</f>
        <v xml:space="preserve"> 18 ft.- 1 3/ 8"</v>
      </c>
      <c r="I701" s="2">
        <f>VLOOKUP([jobnumber],OvalData[],MATCH(Table2[[#Headers],[Support Tubes]],Table2[#Headers],0),0)</f>
        <v>0</v>
      </c>
      <c r="J701" s="2">
        <f>VLOOKUP([jobnumber],OvalData[],MATCH(Table2[[#Headers],[Upset]],Table2[#Headers],0),0)</f>
        <v>2</v>
      </c>
      <c r="K701" s="2" t="str">
        <f>VLOOKUP([jobnumber],OvalData[],MATCH(Table2[[#Headers],[Guide Type]],Table2[#Headers],0),0)</f>
        <v>SN2-4 5/8-E</v>
      </c>
      <c r="L701" s="2" t="str">
        <f>VLOOKUP([jobnumber],OvalData[],MATCH(Table2[[#Headers],[Wall Angle]],Table2[#Headers],0),0)</f>
        <v xml:space="preserve"> 11 ft.- 8"</v>
      </c>
      <c r="M701" s="2" t="str">
        <f>VLOOKUP([jobnumber],OvalData[],MATCH(Table2[[#Headers],[Middle Angle]],Table2[#Headers],0),0)</f>
        <v xml:space="preserve"> 10 ft.- 4 1/ 2"</v>
      </c>
      <c r="N701" s="2" t="str">
        <f>VLOOKUP([jobnumber],OvalData[],MATCH(Table2[[#Headers],[Front Angle]],Table2[#Headers],0),0)</f>
        <v xml:space="preserve"> 10 ft.- 3"</v>
      </c>
      <c r="O701" s="2">
        <f>VLOOKUP([jobnumber],OvalData[],MATCH(Table2[[#Headers],[Pipe Center Line]],Table2[#Headers],0),0)</f>
        <v>131</v>
      </c>
      <c r="P701" s="2">
        <f>VLOOKUP([jobnumber],OvalData[],MATCH(Table2[[#Headers],[Heat Expansion Gap]],Table2[#Headers],0),0)</f>
        <v>0</v>
      </c>
      <c r="Q701" s="2">
        <f>VLOOKUP([jobnumber],OvalData[],MATCH(Table2[[#Headers],[Hanging Weight Closed]],Table2[#Headers],0),0)</f>
        <v>795</v>
      </c>
      <c r="R701" s="2">
        <f>VLOOKUP([jobnumber],OvalData[],MATCH(Table2[[#Headers],[Hanging Weight Open]],Table2[#Headers],0),0)</f>
        <v>140</v>
      </c>
      <c r="S701" s="2">
        <f>VLOOKUP([jobnumber],OvalData[],MATCH(Table2[[#Headers],[Initial Lever Arm]],Table2[#Headers],0),0)</f>
        <v>4.25</v>
      </c>
      <c r="T701" s="2">
        <f>VLOOKUP([jobnumber],OvalData[],MATCH(Table2[[#Headers],[Turns to Raise]],Table2[#Headers],0),0)</f>
        <v>3.5859999999999999</v>
      </c>
      <c r="U701" s="2">
        <f>VLOOKUP([jobnumber],OvalData[],MATCH(Table2[[#Headers],[Final Lever Arm]],Table2[#Headers],0),0)</f>
        <v>6.37</v>
      </c>
      <c r="V701" s="2">
        <f>VLOOKUP([jobnumber],OvalData[],MATCH(Table2[[#Headers],[Torque Required Closed]],Table2[#Headers],0),0)</f>
        <v>3377.9</v>
      </c>
      <c r="W701" s="2">
        <f>VLOOKUP([jobnumber],OvalData[],MATCH(Table2[[#Headers],[Torque Required Open]],Table2[#Headers],0),0)</f>
        <v>892</v>
      </c>
      <c r="X701" s="2">
        <f>VLOOKUP([jobnumber],OvalData[],MATCH(Table2[[#Headers],[Pre Turns]],Table2[#Headers],0),0)</f>
        <v>1.3332999999999999</v>
      </c>
      <c r="Y701" s="2">
        <f>VLOOKUP([jobnumber],OvalData[],MATCH(Table2[[#Headers],[Required Torque Per Turn]],Table2[#Headers],0),0)</f>
        <v>688</v>
      </c>
      <c r="Z701" s="2">
        <f>VLOOKUP([jobnumber],OvalData[],MATCH(Table2[[#Headers],[Total Turns]],Table2[#Headers],0),0)</f>
        <v>4.91</v>
      </c>
      <c r="AA701" s="2">
        <f>VLOOKUP([jobnumber],OvalData[],MATCH(Table2[[#Headers],[Grille Vision Section]],Table2[#Headers],0),0)</f>
        <v>0</v>
      </c>
      <c r="AB701" s="2">
        <f>VLOOKUP([jobnumber],OvalData[],MATCH(Table2[[#Headers],[Grille Amount]],Table2[#Headers],0),0)</f>
        <v>0</v>
      </c>
      <c r="AC701" s="2">
        <f>VLOOKUP([jobnumber],OvalData[],MATCH(Table2[[#Headers],[Grille Center]],Table2[#Headers],0),0)</f>
        <v>0</v>
      </c>
      <c r="AD701" s="2">
        <f>VLOOKUP([jobnumber],OvalData[],MATCH(Table2[[#Headers],[Grille Pattern]],Table2[#Headers],0),0)</f>
        <v>0</v>
      </c>
      <c r="AE701" s="2">
        <f>VLOOKUP([jobnumber],OvalData[],MATCH(Table2[[#Headers],[Grille First Tube]],Table2[#Headers],0),0)</f>
        <v>0</v>
      </c>
      <c r="AF701" s="2">
        <f>VLOOKUP([jobnumber],OvalData[],MATCH(Table2[[#Headers],[Grille Standard Tube]],Table2[#Headers],0),0)</f>
        <v>0</v>
      </c>
      <c r="AG701" s="2">
        <f>VLOOKUP([jobnumber],OvalData[],MATCH(Table2[[#Headers],[Grille Total Links]],Table2[#Headers],0),0)</f>
        <v>0</v>
      </c>
      <c r="AH701" s="2">
        <f>VLOOKUP([jobnumber],OvalData[],MATCH(Table2[[#Headers],[Grille Rods]],Table2[#Headers],0),0)</f>
        <v>0</v>
      </c>
      <c r="AI701" s="2">
        <f>VLOOKUP([jobnumber],OvalData[],MATCH(Table2[[#Headers],[Grille Rod Length]],Table2[#Headers],0),0)</f>
        <v>0</v>
      </c>
      <c r="AJ701" s="2">
        <f>VLOOKUP([jobnumber],OvalData[],MATCH(Table2[[#Headers],[slattype]],Table2[#Headers],0),0)</f>
        <v>2</v>
      </c>
      <c r="AK701" s="2">
        <f>VLOOKUP([jobnumber],OvalData[],MATCH(Table2[[#Headers],[slatgage]],Table2[#Headers],0),0)</f>
        <v>18</v>
      </c>
      <c r="AL701" s="2">
        <f>VLOOKUP([jobnumber],OvalData[],MATCH(Table2[[#Headers],[Numer of Top Slats]],Table2[#Headers],0),0)</f>
        <v>0</v>
      </c>
      <c r="AM701" s="2">
        <f>VLOOKUP([jobnumber],OvalData[],MATCH(Table2[[#Headers],[Number of Bottom Slats]],Table2[#Headers],0),0)</f>
        <v>0</v>
      </c>
      <c r="AN701" s="2">
        <f>VLOOKUP([jobnumber],OvalData[],MATCH(Table2[[#Headers],[Solid Bottom Height]],Table2[#Headers],0),0)</f>
        <v>0</v>
      </c>
      <c r="AO701" s="2" t="str">
        <f>VLOOKUP([jobnumber],OvalData[],MATCH(Table2[[#Headers],[slatlength]],Table2[#Headers],0),0)</f>
        <v xml:space="preserve"> 18 ft.- 5 7/ 8"</v>
      </c>
      <c r="AP701" s="2">
        <f>VLOOKUP([jobnumber],OvalData[],MATCH(Table2[[#Headers],[Bottom Slat Length]],Table2[#Headers],0),0)</f>
        <v>0</v>
      </c>
      <c r="AQ701" s="2">
        <f>VLOOKUP([jobnumber],OvalData[],MATCH(Table2[[#Headers],[Number of Perferated Slats]],Table2[#Headers],0),0)</f>
        <v>0</v>
      </c>
      <c r="AR701" s="2">
        <f>VLOOKUP([jobnumber],OvalData[],MATCH(Table2[[#Headers],[First Preferated Slat From End]],Table2[#Headers],0),0)</f>
        <v>0</v>
      </c>
      <c r="AS701" s="2">
        <f>VLOOKUP([jobnumber],OvalData[],MATCH(Table2[[#Headers],[First Preferated Slat From Bottom]],Table2[#Headers],0),0)</f>
        <v>0</v>
      </c>
      <c r="AT701" s="2">
        <f>VLOOKUP([jobnumber],OvalData[],MATCH(Table2[[#Headers],[Total Number of Slats]],Table2[#Headers],0),0)</f>
        <v>51</v>
      </c>
      <c r="AU701" s="2">
        <f>VLOOKUP([jobnumber],OvalData[],MATCH(Table2[[#Headers],[Bottom Bar Slope]],Table2[#Headers],0),0)</f>
        <v>0</v>
      </c>
      <c r="AV701" s="2">
        <f>VLOOKUP([jobnumber],OvalData[],MATCH(Table2[[#Headers],[Bottom Bar Weight]],Table2[#Headers],0),0)</f>
        <v>80.5</v>
      </c>
      <c r="AW701" s="2" t="str">
        <f>VLOOKUP([jobnumber],OvalData[],MATCH(Table2[[#Headers],[Outer Spring Gage]],Table2[#Headers],0),0)</f>
        <v>Null</v>
      </c>
      <c r="AX701" s="2" t="str">
        <f>VLOOKUP([jobnumber],OvalData[],MATCH(Table2[[#Headers],[Outer Spring OD]],Table2[#Headers],0),0)</f>
        <v>Null</v>
      </c>
      <c r="AY701" s="2" t="str">
        <f>VLOOKUP([jobnumber],OvalData[],MATCH(Table2[[#Headers],[Outer Spring Length]],Table2[#Headers],0),0)</f>
        <v>Null</v>
      </c>
      <c r="AZ701" s="2" t="str">
        <f>VLOOKUP([jobnumber],OvalData[],MATCH(Table2[[#Headers],[Outer Spring Stretch]],Table2[#Headers],0),0)</f>
        <v>Null</v>
      </c>
      <c r="BA701" s="2" t="str">
        <f>VLOOKUP([jobnumber],OvalData[],MATCH(Table2[[#Headers],[Outer Spring Torque]],Table2[#Headers],0),0)</f>
        <v>Null</v>
      </c>
      <c r="BB701" s="2" t="str">
        <f>VLOOKUP([jobnumber],OvalData[],MATCH(Table2[[#Headers],[Outer Spring Max Turns]],Table2[#Headers],0),0)</f>
        <v>Null</v>
      </c>
      <c r="BC701" s="2" t="str">
        <f>VLOOKUP([jobnumber],OvalData[],MATCH(Table2[[#Headers],[Outer Spring Weight]],Table2[#Headers],0),0)</f>
        <v>Null</v>
      </c>
      <c r="BD701" s="2" t="str">
        <f>VLOOKUP([jobnumber],OvalData[],MATCH(Table2[[#Headers],[Inner Spring Gage]],Table2[#Headers],0),0)</f>
        <v>Null</v>
      </c>
      <c r="BE701" s="2" t="str">
        <f>VLOOKUP([jobnumber],OvalData[],MATCH(Table2[[#Headers],[Inner Spring OD]],Table2[#Headers],0),0)</f>
        <v>Null</v>
      </c>
      <c r="BF701" s="2" t="str">
        <f>VLOOKUP([jobnumber],OvalData[],MATCH(Table2[[#Headers],[Inner Spring Length]],Table2[#Headers],0),0)</f>
        <v>Null</v>
      </c>
      <c r="BG701" s="2" t="str">
        <f>VLOOKUP([jobnumber],OvalData[],MATCH(Table2[[#Headers],[Inner Spring Stretch]],Table2[#Headers],0),0)</f>
        <v>Null</v>
      </c>
      <c r="BH701" s="2" t="str">
        <f>VLOOKUP([jobnumber],OvalData[],MATCH(Table2[[#Headers],[Inner Spring Torque]],Table2[#Headers],0),0)</f>
        <v>Null</v>
      </c>
      <c r="BI701" s="2" t="str">
        <f>VLOOKUP([jobnumber],OvalData[],MATCH(Table2[[#Headers],[Inner Spring Max Turns]],Table2[#Headers],0),0)</f>
        <v>Null</v>
      </c>
      <c r="BJ701" s="2" t="str">
        <f>VLOOKUP([jobnumber],OvalData[],MATCH(Table2[[#Headers],[Inner Spring Weight]],Table2[#Headers],0),0)</f>
        <v>Null</v>
      </c>
      <c r="BK701" s="2">
        <f>VLOOKUP([jobnumber],OvalData[],MATCH(Table2[[#Headers],[Cycles]],Table2[#Headers],0),0)</f>
        <v>0</v>
      </c>
      <c r="BL701" s="2">
        <f>VLOOKUP([jobnumber],OvalData[],MATCH(Table2[[#Headers],[Total Spring Torque]],Table2[#Headers],0),0)</f>
        <v>0</v>
      </c>
      <c r="BM701" s="2">
        <f>VLOOKUP([jobnumber],OvalData[],MATCH(Table2[[#Headers],[Total Spring Weight]],Table2[#Headers],0),0)</f>
        <v>0</v>
      </c>
      <c r="BN701" s="2">
        <f>VLOOKUP([jobnumber],OvalData[],MATCH(Table2[[#Headers],[Pipe Weight]],Table2[#Headers],0),0)</f>
        <v>688.24239999999998</v>
      </c>
      <c r="BO701" s="2">
        <f>VLOOKUP([jobnumber],OvalData[],MATCH(Table2[[#Headers],[Max Pipe Deflection]],Table2[#Headers],0),0)</f>
        <v>2309</v>
      </c>
      <c r="BP701" s="2">
        <f>VLOOKUP([jobnumber],OvalData[],MATCH(Table2[[#Headers],[Number Non-Insulated Wrap Slats]],Table2[#Headers],0),0)</f>
        <v>0</v>
      </c>
      <c r="BQ701" s="2">
        <f>VLOOKUP([jobnumber],OvalData[],MATCH(Table2[[#Headers],[Number of Insolated Top Slats]],Table2[#Headers],0),0)</f>
        <v>45</v>
      </c>
      <c r="BR701" s="2">
        <f>VLOOKUP([jobnumber],OvalData[],MATCH(Table2[[#Headers],[Insolated Total Slats]],Table2[#Headers],0),0)</f>
        <v>45</v>
      </c>
      <c r="BS701" s="2">
        <f>VLOOKUP([jobnumber],OvalData[],MATCH(Table2[[#Headers],[Number of Slats]],Table2[#Headers],0),0)</f>
        <v>44.69</v>
      </c>
      <c r="BT701" s="2">
        <f>VLOOKUP([jobnumber],OvalData[],MATCH(Table2[[#Headers],[Wrap]],Table2[#Headers],0),0)</f>
        <v>0</v>
      </c>
      <c r="BU701" s="2">
        <f>VLOOKUP([jobnumber],OvalData[],MATCH(Table2[[#Headers],[Wall Angle Thickness]],Table2[#Headers],0),0)</f>
        <v>0</v>
      </c>
      <c r="BV701" s="2">
        <f>VLOOKUP([jobnumber],OvalData[],MATCH(Table2[[#Headers],[windlocks]],Table2[#Headers],0),0)</f>
        <v>0</v>
      </c>
      <c r="BW701" s="2" t="str">
        <f>VLOOKUP([jobnumber],OvalData[],MATCH(Table2[[#Headers],[bottombartype]],Table2[#Headers],0),0)</f>
        <v>SPECIAL</v>
      </c>
      <c r="BX701" s="2">
        <f>VLOOKUP([jobnumber],OvalData[],MATCH(Table2[[#Headers],[endlockweight]],Table2[#Headers],0),0)</f>
        <v>0.17</v>
      </c>
      <c r="BY701" s="2">
        <f>VLOOKUP([jobnumber],OvalData[],MATCH(Table2[[#Headers],[Endlock Total Weight]],Table2[#Headers],0),0)</f>
        <v>7.5972999999999997</v>
      </c>
      <c r="BZ701" s="2">
        <f>VLOOKUP([jobnumber],OvalData[],MATCH(Table2[[#Headers],[Grille Weight]],Table2[#Headers],0),0)</f>
        <v>0</v>
      </c>
      <c r="CA701" s="2">
        <f>VLOOKUP([jobnumber],OvalData[],MATCH(Table2[[#Headers],[barrelrings]],Table2[#Headers],0),0)</f>
        <v>1</v>
      </c>
    </row>
    <row r="702" spans="2:79">
      <c r="B702" s="2" t="str">
        <f>VLOOKUP([jobnumber],OvalData[],MATCH(Table2[[#Headers],[Hand]],Table2[#Headers],0),0)</f>
        <v>RH</v>
      </c>
      <c r="C702" s="2" t="str">
        <f>VLOOKUP([jobnumber],OvalData[],MATCH(Table2[[#Headers],[Model]],Table2[#Headers],0),0)</f>
        <v>SFMPP</v>
      </c>
      <c r="D702" s="2" t="str">
        <f>VLOOKUP([jobnumber],OvalData[],MATCH(Table2[[#Headers],[width]],Table2[#Headers],0),0)</f>
        <v xml:space="preserve"> 18 ft.- 2"</v>
      </c>
      <c r="E702" s="2" t="str">
        <f>VLOOKUP([jobnumber],OvalData[],MATCH(Table2[[#Headers],[stopheight]],Table2[#Headers],0),0)</f>
        <v xml:space="preserve"> 10 ft.- 0"</v>
      </c>
      <c r="F702" s="2" t="str">
        <f>VLOOKUP([jobnumber],OvalData[],MATCH(Table2[[#Headers],[Between Brackets]],Table2[#Headers],0),0)</f>
        <v xml:space="preserve"> 18 ft.- 7 7/ 8"</v>
      </c>
      <c r="G702" s="2" t="str">
        <f>VLOOKUP([jobnumber],OvalData[],MATCH(Table2[[#Headers],[shell]],Table2[#Headers],0),0)</f>
        <v>6 INCH TUBE</v>
      </c>
      <c r="H702" s="2" t="str">
        <f>VLOOKUP([jobnumber],OvalData[],MATCH(Table2[[#Headers],[pipewidth]],Table2[#Headers],0),0)</f>
        <v xml:space="preserve"> 18 ft.- 1 3/ 8"</v>
      </c>
      <c r="I702" s="2">
        <f>VLOOKUP([jobnumber],OvalData[],MATCH(Table2[[#Headers],[Support Tubes]],Table2[#Headers],0),0)</f>
        <v>0</v>
      </c>
      <c r="J702" s="2">
        <f>VLOOKUP([jobnumber],OvalData[],MATCH(Table2[[#Headers],[Upset]],Table2[#Headers],0),0)</f>
        <v>2</v>
      </c>
      <c r="K702" s="2" t="str">
        <f>VLOOKUP([jobnumber],OvalData[],MATCH(Table2[[#Headers],[Guide Type]],Table2[#Headers],0),0)</f>
        <v>SN2-4 5/8-E</v>
      </c>
      <c r="L702" s="2" t="str">
        <f>VLOOKUP([jobnumber],OvalData[],MATCH(Table2[[#Headers],[Wall Angle]],Table2[#Headers],0),0)</f>
        <v xml:space="preserve"> 11 ft.- 8"</v>
      </c>
      <c r="M702" s="2" t="str">
        <f>VLOOKUP([jobnumber],OvalData[],MATCH(Table2[[#Headers],[Middle Angle]],Table2[#Headers],0),0)</f>
        <v xml:space="preserve"> 10 ft.- 4 1/ 2"</v>
      </c>
      <c r="N702" s="2" t="str">
        <f>VLOOKUP([jobnumber],OvalData[],MATCH(Table2[[#Headers],[Front Angle]],Table2[#Headers],0),0)</f>
        <v xml:space="preserve"> 10 ft.- 3"</v>
      </c>
      <c r="O702" s="2">
        <f>VLOOKUP([jobnumber],OvalData[],MATCH(Table2[[#Headers],[Pipe Center Line]],Table2[#Headers],0),0)</f>
        <v>131</v>
      </c>
      <c r="P702" s="2">
        <f>VLOOKUP([jobnumber],OvalData[],MATCH(Table2[[#Headers],[Heat Expansion Gap]],Table2[#Headers],0),0)</f>
        <v>0</v>
      </c>
      <c r="Q702" s="2">
        <f>VLOOKUP([jobnumber],OvalData[],MATCH(Table2[[#Headers],[Hanging Weight Closed]],Table2[#Headers],0),0)</f>
        <v>795</v>
      </c>
      <c r="R702" s="2">
        <f>VLOOKUP([jobnumber],OvalData[],MATCH(Table2[[#Headers],[Hanging Weight Open]],Table2[#Headers],0),0)</f>
        <v>140</v>
      </c>
      <c r="S702" s="2">
        <f>VLOOKUP([jobnumber],OvalData[],MATCH(Table2[[#Headers],[Initial Lever Arm]],Table2[#Headers],0),0)</f>
        <v>4.25</v>
      </c>
      <c r="T702" s="2">
        <f>VLOOKUP([jobnumber],OvalData[],MATCH(Table2[[#Headers],[Turns to Raise]],Table2[#Headers],0),0)</f>
        <v>3.5859999999999999</v>
      </c>
      <c r="U702" s="2">
        <f>VLOOKUP([jobnumber],OvalData[],MATCH(Table2[[#Headers],[Final Lever Arm]],Table2[#Headers],0),0)</f>
        <v>6.37</v>
      </c>
      <c r="V702" s="2">
        <f>VLOOKUP([jobnumber],OvalData[],MATCH(Table2[[#Headers],[Torque Required Closed]],Table2[#Headers],0),0)</f>
        <v>3377.9</v>
      </c>
      <c r="W702" s="2">
        <f>VLOOKUP([jobnumber],OvalData[],MATCH(Table2[[#Headers],[Torque Required Open]],Table2[#Headers],0),0)</f>
        <v>892</v>
      </c>
      <c r="X702" s="2">
        <f>VLOOKUP([jobnumber],OvalData[],MATCH(Table2[[#Headers],[Pre Turns]],Table2[#Headers],0),0)</f>
        <v>1.3332999999999999</v>
      </c>
      <c r="Y702" s="2">
        <f>VLOOKUP([jobnumber],OvalData[],MATCH(Table2[[#Headers],[Required Torque Per Turn]],Table2[#Headers],0),0)</f>
        <v>688</v>
      </c>
      <c r="Z702" s="2">
        <f>VLOOKUP([jobnumber],OvalData[],MATCH(Table2[[#Headers],[Total Turns]],Table2[#Headers],0),0)</f>
        <v>4.91</v>
      </c>
      <c r="AA702" s="2">
        <f>VLOOKUP([jobnumber],OvalData[],MATCH(Table2[[#Headers],[Grille Vision Section]],Table2[#Headers],0),0)</f>
        <v>0</v>
      </c>
      <c r="AB702" s="2">
        <f>VLOOKUP([jobnumber],OvalData[],MATCH(Table2[[#Headers],[Grille Amount]],Table2[#Headers],0),0)</f>
        <v>0</v>
      </c>
      <c r="AC702" s="2">
        <f>VLOOKUP([jobnumber],OvalData[],MATCH(Table2[[#Headers],[Grille Center]],Table2[#Headers],0),0)</f>
        <v>0</v>
      </c>
      <c r="AD702" s="2">
        <f>VLOOKUP([jobnumber],OvalData[],MATCH(Table2[[#Headers],[Grille Pattern]],Table2[#Headers],0),0)</f>
        <v>0</v>
      </c>
      <c r="AE702" s="2">
        <f>VLOOKUP([jobnumber],OvalData[],MATCH(Table2[[#Headers],[Grille First Tube]],Table2[#Headers],0),0)</f>
        <v>0</v>
      </c>
      <c r="AF702" s="2">
        <f>VLOOKUP([jobnumber],OvalData[],MATCH(Table2[[#Headers],[Grille Standard Tube]],Table2[#Headers],0),0)</f>
        <v>0</v>
      </c>
      <c r="AG702" s="2">
        <f>VLOOKUP([jobnumber],OvalData[],MATCH(Table2[[#Headers],[Grille Total Links]],Table2[#Headers],0),0)</f>
        <v>0</v>
      </c>
      <c r="AH702" s="2">
        <f>VLOOKUP([jobnumber],OvalData[],MATCH(Table2[[#Headers],[Grille Rods]],Table2[#Headers],0),0)</f>
        <v>0</v>
      </c>
      <c r="AI702" s="2">
        <f>VLOOKUP([jobnumber],OvalData[],MATCH(Table2[[#Headers],[Grille Rod Length]],Table2[#Headers],0),0)</f>
        <v>0</v>
      </c>
      <c r="AJ702" s="2">
        <f>VLOOKUP([jobnumber],OvalData[],MATCH(Table2[[#Headers],[slattype]],Table2[#Headers],0),0)</f>
        <v>2</v>
      </c>
      <c r="AK702" s="2">
        <f>VLOOKUP([jobnumber],OvalData[],MATCH(Table2[[#Headers],[slatgage]],Table2[#Headers],0),0)</f>
        <v>18</v>
      </c>
      <c r="AL702" s="2">
        <f>VLOOKUP([jobnumber],OvalData[],MATCH(Table2[[#Headers],[Numer of Top Slats]],Table2[#Headers],0),0)</f>
        <v>0</v>
      </c>
      <c r="AM702" s="2">
        <f>VLOOKUP([jobnumber],OvalData[],MATCH(Table2[[#Headers],[Number of Bottom Slats]],Table2[#Headers],0),0)</f>
        <v>0</v>
      </c>
      <c r="AN702" s="2">
        <f>VLOOKUP([jobnumber],OvalData[],MATCH(Table2[[#Headers],[Solid Bottom Height]],Table2[#Headers],0),0)</f>
        <v>0</v>
      </c>
      <c r="AO702" s="2" t="str">
        <f>VLOOKUP([jobnumber],OvalData[],MATCH(Table2[[#Headers],[slatlength]],Table2[#Headers],0),0)</f>
        <v xml:space="preserve"> 18 ft.- 5 7/ 8"</v>
      </c>
      <c r="AP702" s="2">
        <f>VLOOKUP([jobnumber],OvalData[],MATCH(Table2[[#Headers],[Bottom Slat Length]],Table2[#Headers],0),0)</f>
        <v>0</v>
      </c>
      <c r="AQ702" s="2">
        <f>VLOOKUP([jobnumber],OvalData[],MATCH(Table2[[#Headers],[Number of Perferated Slats]],Table2[#Headers],0),0)</f>
        <v>0</v>
      </c>
      <c r="AR702" s="2">
        <f>VLOOKUP([jobnumber],OvalData[],MATCH(Table2[[#Headers],[First Preferated Slat From End]],Table2[#Headers],0),0)</f>
        <v>0</v>
      </c>
      <c r="AS702" s="2">
        <f>VLOOKUP([jobnumber],OvalData[],MATCH(Table2[[#Headers],[First Preferated Slat From Bottom]],Table2[#Headers],0),0)</f>
        <v>0</v>
      </c>
      <c r="AT702" s="2">
        <f>VLOOKUP([jobnumber],OvalData[],MATCH(Table2[[#Headers],[Total Number of Slats]],Table2[#Headers],0),0)</f>
        <v>51</v>
      </c>
      <c r="AU702" s="2">
        <f>VLOOKUP([jobnumber],OvalData[],MATCH(Table2[[#Headers],[Bottom Bar Slope]],Table2[#Headers],0),0)</f>
        <v>0</v>
      </c>
      <c r="AV702" s="2">
        <f>VLOOKUP([jobnumber],OvalData[],MATCH(Table2[[#Headers],[Bottom Bar Weight]],Table2[#Headers],0),0)</f>
        <v>80.5</v>
      </c>
      <c r="AW702" s="2" t="str">
        <f>VLOOKUP([jobnumber],OvalData[],MATCH(Table2[[#Headers],[Outer Spring Gage]],Table2[#Headers],0),0)</f>
        <v>Null</v>
      </c>
      <c r="AX702" s="2" t="str">
        <f>VLOOKUP([jobnumber],OvalData[],MATCH(Table2[[#Headers],[Outer Spring OD]],Table2[#Headers],0),0)</f>
        <v>Null</v>
      </c>
      <c r="AY702" s="2" t="str">
        <f>VLOOKUP([jobnumber],OvalData[],MATCH(Table2[[#Headers],[Outer Spring Length]],Table2[#Headers],0),0)</f>
        <v>Null</v>
      </c>
      <c r="AZ702" s="2" t="str">
        <f>VLOOKUP([jobnumber],OvalData[],MATCH(Table2[[#Headers],[Outer Spring Stretch]],Table2[#Headers],0),0)</f>
        <v>Null</v>
      </c>
      <c r="BA702" s="2" t="str">
        <f>VLOOKUP([jobnumber],OvalData[],MATCH(Table2[[#Headers],[Outer Spring Torque]],Table2[#Headers],0),0)</f>
        <v>Null</v>
      </c>
      <c r="BB702" s="2" t="str">
        <f>VLOOKUP([jobnumber],OvalData[],MATCH(Table2[[#Headers],[Outer Spring Max Turns]],Table2[#Headers],0),0)</f>
        <v>Null</v>
      </c>
      <c r="BC702" s="2" t="str">
        <f>VLOOKUP([jobnumber],OvalData[],MATCH(Table2[[#Headers],[Outer Spring Weight]],Table2[#Headers],0),0)</f>
        <v>Null</v>
      </c>
      <c r="BD702" s="2" t="str">
        <f>VLOOKUP([jobnumber],OvalData[],MATCH(Table2[[#Headers],[Inner Spring Gage]],Table2[#Headers],0),0)</f>
        <v>Null</v>
      </c>
      <c r="BE702" s="2" t="str">
        <f>VLOOKUP([jobnumber],OvalData[],MATCH(Table2[[#Headers],[Inner Spring OD]],Table2[#Headers],0),0)</f>
        <v>Null</v>
      </c>
      <c r="BF702" s="2" t="str">
        <f>VLOOKUP([jobnumber],OvalData[],MATCH(Table2[[#Headers],[Inner Spring Length]],Table2[#Headers],0),0)</f>
        <v>Null</v>
      </c>
      <c r="BG702" s="2" t="str">
        <f>VLOOKUP([jobnumber],OvalData[],MATCH(Table2[[#Headers],[Inner Spring Stretch]],Table2[#Headers],0),0)</f>
        <v>Null</v>
      </c>
      <c r="BH702" s="2" t="str">
        <f>VLOOKUP([jobnumber],OvalData[],MATCH(Table2[[#Headers],[Inner Spring Torque]],Table2[#Headers],0),0)</f>
        <v>Null</v>
      </c>
      <c r="BI702" s="2" t="str">
        <f>VLOOKUP([jobnumber],OvalData[],MATCH(Table2[[#Headers],[Inner Spring Max Turns]],Table2[#Headers],0),0)</f>
        <v>Null</v>
      </c>
      <c r="BJ702" s="2" t="str">
        <f>VLOOKUP([jobnumber],OvalData[],MATCH(Table2[[#Headers],[Inner Spring Weight]],Table2[#Headers],0),0)</f>
        <v>Null</v>
      </c>
      <c r="BK702" s="2">
        <f>VLOOKUP([jobnumber],OvalData[],MATCH(Table2[[#Headers],[Cycles]],Table2[#Headers],0),0)</f>
        <v>0</v>
      </c>
      <c r="BL702" s="2">
        <f>VLOOKUP([jobnumber],OvalData[],MATCH(Table2[[#Headers],[Total Spring Torque]],Table2[#Headers],0),0)</f>
        <v>0</v>
      </c>
      <c r="BM702" s="2">
        <f>VLOOKUP([jobnumber],OvalData[],MATCH(Table2[[#Headers],[Total Spring Weight]],Table2[#Headers],0),0)</f>
        <v>0</v>
      </c>
      <c r="BN702" s="2">
        <f>VLOOKUP([jobnumber],OvalData[],MATCH(Table2[[#Headers],[Pipe Weight]],Table2[#Headers],0),0)</f>
        <v>688.24239999999998</v>
      </c>
      <c r="BO702" s="2">
        <f>VLOOKUP([jobnumber],OvalData[],MATCH(Table2[[#Headers],[Max Pipe Deflection]],Table2[#Headers],0),0)</f>
        <v>2309</v>
      </c>
      <c r="BP702" s="2">
        <f>VLOOKUP([jobnumber],OvalData[],MATCH(Table2[[#Headers],[Number Non-Insulated Wrap Slats]],Table2[#Headers],0),0)</f>
        <v>0</v>
      </c>
      <c r="BQ702" s="2">
        <f>VLOOKUP([jobnumber],OvalData[],MATCH(Table2[[#Headers],[Number of Insolated Top Slats]],Table2[#Headers],0),0)</f>
        <v>45</v>
      </c>
      <c r="BR702" s="2">
        <f>VLOOKUP([jobnumber],OvalData[],MATCH(Table2[[#Headers],[Insolated Total Slats]],Table2[#Headers],0),0)</f>
        <v>45</v>
      </c>
      <c r="BS702" s="2">
        <f>VLOOKUP([jobnumber],OvalData[],MATCH(Table2[[#Headers],[Number of Slats]],Table2[#Headers],0),0)</f>
        <v>44.69</v>
      </c>
      <c r="BT702" s="2">
        <f>VLOOKUP([jobnumber],OvalData[],MATCH(Table2[[#Headers],[Wrap]],Table2[#Headers],0),0)</f>
        <v>0</v>
      </c>
      <c r="BU702" s="2">
        <f>VLOOKUP([jobnumber],OvalData[],MATCH(Table2[[#Headers],[Wall Angle Thickness]],Table2[#Headers],0),0)</f>
        <v>0</v>
      </c>
      <c r="BV702" s="2">
        <f>VLOOKUP([jobnumber],OvalData[],MATCH(Table2[[#Headers],[windlocks]],Table2[#Headers],0),0)</f>
        <v>0</v>
      </c>
      <c r="BW702" s="2" t="str">
        <f>VLOOKUP([jobnumber],OvalData[],MATCH(Table2[[#Headers],[bottombartype]],Table2[#Headers],0),0)</f>
        <v>SPECIAL</v>
      </c>
      <c r="BX702" s="2">
        <f>VLOOKUP([jobnumber],OvalData[],MATCH(Table2[[#Headers],[endlockweight]],Table2[#Headers],0),0)</f>
        <v>0.17</v>
      </c>
      <c r="BY702" s="2">
        <f>VLOOKUP([jobnumber],OvalData[],MATCH(Table2[[#Headers],[Endlock Total Weight]],Table2[#Headers],0),0)</f>
        <v>7.5972999999999997</v>
      </c>
      <c r="BZ702" s="2">
        <f>VLOOKUP([jobnumber],OvalData[],MATCH(Table2[[#Headers],[Grille Weight]],Table2[#Headers],0),0)</f>
        <v>0</v>
      </c>
      <c r="CA702" s="2">
        <f>VLOOKUP([jobnumber],OvalData[],MATCH(Table2[[#Headers],[barrelrings]],Table2[#Headers],0),0)</f>
        <v>1</v>
      </c>
    </row>
    <row r="703" spans="2:79">
      <c r="B703" s="2" t="str">
        <f>VLOOKUP([jobnumber],OvalData[],MATCH(Table2[[#Headers],[Hand]],Table2[#Headers],0),0)</f>
        <v>RH</v>
      </c>
      <c r="C703" s="2" t="str">
        <f>VLOOKUP([jobnumber],OvalData[],MATCH(Table2[[#Headers],[Model]],Table2[#Headers],0),0)</f>
        <v>SFMPP</v>
      </c>
      <c r="D703" s="2" t="str">
        <f>VLOOKUP([jobnumber],OvalData[],MATCH(Table2[[#Headers],[width]],Table2[#Headers],0),0)</f>
        <v xml:space="preserve"> 18 ft.- 2"</v>
      </c>
      <c r="E703" s="2" t="str">
        <f>VLOOKUP([jobnumber],OvalData[],MATCH(Table2[[#Headers],[stopheight]],Table2[#Headers],0),0)</f>
        <v xml:space="preserve"> 10 ft.- 0"</v>
      </c>
      <c r="F703" s="2" t="str">
        <f>VLOOKUP([jobnumber],OvalData[],MATCH(Table2[[#Headers],[Between Brackets]],Table2[#Headers],0),0)</f>
        <v xml:space="preserve"> 18 ft.- 7 7/ 8"</v>
      </c>
      <c r="G703" s="2" t="str">
        <f>VLOOKUP([jobnumber],OvalData[],MATCH(Table2[[#Headers],[shell]],Table2[#Headers],0),0)</f>
        <v>6 INCH TUBE</v>
      </c>
      <c r="H703" s="2" t="str">
        <f>VLOOKUP([jobnumber],OvalData[],MATCH(Table2[[#Headers],[pipewidth]],Table2[#Headers],0),0)</f>
        <v xml:space="preserve"> 18 ft.- 1 3/ 8"</v>
      </c>
      <c r="I703" s="2">
        <f>VLOOKUP([jobnumber],OvalData[],MATCH(Table2[[#Headers],[Support Tubes]],Table2[#Headers],0),0)</f>
        <v>0</v>
      </c>
      <c r="J703" s="2">
        <f>VLOOKUP([jobnumber],OvalData[],MATCH(Table2[[#Headers],[Upset]],Table2[#Headers],0),0)</f>
        <v>2</v>
      </c>
      <c r="K703" s="2" t="str">
        <f>VLOOKUP([jobnumber],OvalData[],MATCH(Table2[[#Headers],[Guide Type]],Table2[#Headers],0),0)</f>
        <v>SN2-4 5/8-E</v>
      </c>
      <c r="L703" s="2" t="str">
        <f>VLOOKUP([jobnumber],OvalData[],MATCH(Table2[[#Headers],[Wall Angle]],Table2[#Headers],0),0)</f>
        <v xml:space="preserve"> 11 ft.- 8"</v>
      </c>
      <c r="M703" s="2" t="str">
        <f>VLOOKUP([jobnumber],OvalData[],MATCH(Table2[[#Headers],[Middle Angle]],Table2[#Headers],0),0)</f>
        <v xml:space="preserve"> 10 ft.- 4 1/ 2"</v>
      </c>
      <c r="N703" s="2" t="str">
        <f>VLOOKUP([jobnumber],OvalData[],MATCH(Table2[[#Headers],[Front Angle]],Table2[#Headers],0),0)</f>
        <v xml:space="preserve"> 10 ft.- 3"</v>
      </c>
      <c r="O703" s="2">
        <f>VLOOKUP([jobnumber],OvalData[],MATCH(Table2[[#Headers],[Pipe Center Line]],Table2[#Headers],0),0)</f>
        <v>131</v>
      </c>
      <c r="P703" s="2">
        <f>VLOOKUP([jobnumber],OvalData[],MATCH(Table2[[#Headers],[Heat Expansion Gap]],Table2[#Headers],0),0)</f>
        <v>0</v>
      </c>
      <c r="Q703" s="2">
        <f>VLOOKUP([jobnumber],OvalData[],MATCH(Table2[[#Headers],[Hanging Weight Closed]],Table2[#Headers],0),0)</f>
        <v>795</v>
      </c>
      <c r="R703" s="2">
        <f>VLOOKUP([jobnumber],OvalData[],MATCH(Table2[[#Headers],[Hanging Weight Open]],Table2[#Headers],0),0)</f>
        <v>140</v>
      </c>
      <c r="S703" s="2">
        <f>VLOOKUP([jobnumber],OvalData[],MATCH(Table2[[#Headers],[Initial Lever Arm]],Table2[#Headers],0),0)</f>
        <v>4.25</v>
      </c>
      <c r="T703" s="2">
        <f>VLOOKUP([jobnumber],OvalData[],MATCH(Table2[[#Headers],[Turns to Raise]],Table2[#Headers],0),0)</f>
        <v>3.5859999999999999</v>
      </c>
      <c r="U703" s="2">
        <f>VLOOKUP([jobnumber],OvalData[],MATCH(Table2[[#Headers],[Final Lever Arm]],Table2[#Headers],0),0)</f>
        <v>6.37</v>
      </c>
      <c r="V703" s="2">
        <f>VLOOKUP([jobnumber],OvalData[],MATCH(Table2[[#Headers],[Torque Required Closed]],Table2[#Headers],0),0)</f>
        <v>3377.9</v>
      </c>
      <c r="W703" s="2">
        <f>VLOOKUP([jobnumber],OvalData[],MATCH(Table2[[#Headers],[Torque Required Open]],Table2[#Headers],0),0)</f>
        <v>892</v>
      </c>
      <c r="X703" s="2">
        <f>VLOOKUP([jobnumber],OvalData[],MATCH(Table2[[#Headers],[Pre Turns]],Table2[#Headers],0),0)</f>
        <v>1.3332999999999999</v>
      </c>
      <c r="Y703" s="2">
        <f>VLOOKUP([jobnumber],OvalData[],MATCH(Table2[[#Headers],[Required Torque Per Turn]],Table2[#Headers],0),0)</f>
        <v>688</v>
      </c>
      <c r="Z703" s="2">
        <f>VLOOKUP([jobnumber],OvalData[],MATCH(Table2[[#Headers],[Total Turns]],Table2[#Headers],0),0)</f>
        <v>4.91</v>
      </c>
      <c r="AA703" s="2">
        <f>VLOOKUP([jobnumber],OvalData[],MATCH(Table2[[#Headers],[Grille Vision Section]],Table2[#Headers],0),0)</f>
        <v>0</v>
      </c>
      <c r="AB703" s="2">
        <f>VLOOKUP([jobnumber],OvalData[],MATCH(Table2[[#Headers],[Grille Amount]],Table2[#Headers],0),0)</f>
        <v>0</v>
      </c>
      <c r="AC703" s="2">
        <f>VLOOKUP([jobnumber],OvalData[],MATCH(Table2[[#Headers],[Grille Center]],Table2[#Headers],0),0)</f>
        <v>0</v>
      </c>
      <c r="AD703" s="2">
        <f>VLOOKUP([jobnumber],OvalData[],MATCH(Table2[[#Headers],[Grille Pattern]],Table2[#Headers],0),0)</f>
        <v>0</v>
      </c>
      <c r="AE703" s="2">
        <f>VLOOKUP([jobnumber],OvalData[],MATCH(Table2[[#Headers],[Grille First Tube]],Table2[#Headers],0),0)</f>
        <v>0</v>
      </c>
      <c r="AF703" s="2">
        <f>VLOOKUP([jobnumber],OvalData[],MATCH(Table2[[#Headers],[Grille Standard Tube]],Table2[#Headers],0),0)</f>
        <v>0</v>
      </c>
      <c r="AG703" s="2">
        <f>VLOOKUP([jobnumber],OvalData[],MATCH(Table2[[#Headers],[Grille Total Links]],Table2[#Headers],0),0)</f>
        <v>0</v>
      </c>
      <c r="AH703" s="2">
        <f>VLOOKUP([jobnumber],OvalData[],MATCH(Table2[[#Headers],[Grille Rods]],Table2[#Headers],0),0)</f>
        <v>0</v>
      </c>
      <c r="AI703" s="2">
        <f>VLOOKUP([jobnumber],OvalData[],MATCH(Table2[[#Headers],[Grille Rod Length]],Table2[#Headers],0),0)</f>
        <v>0</v>
      </c>
      <c r="AJ703" s="2">
        <f>VLOOKUP([jobnumber],OvalData[],MATCH(Table2[[#Headers],[slattype]],Table2[#Headers],0),0)</f>
        <v>2</v>
      </c>
      <c r="AK703" s="2">
        <f>VLOOKUP([jobnumber],OvalData[],MATCH(Table2[[#Headers],[slatgage]],Table2[#Headers],0),0)</f>
        <v>18</v>
      </c>
      <c r="AL703" s="2">
        <f>VLOOKUP([jobnumber],OvalData[],MATCH(Table2[[#Headers],[Numer of Top Slats]],Table2[#Headers],0),0)</f>
        <v>0</v>
      </c>
      <c r="AM703" s="2">
        <f>VLOOKUP([jobnumber],OvalData[],MATCH(Table2[[#Headers],[Number of Bottom Slats]],Table2[#Headers],0),0)</f>
        <v>0</v>
      </c>
      <c r="AN703" s="2">
        <f>VLOOKUP([jobnumber],OvalData[],MATCH(Table2[[#Headers],[Solid Bottom Height]],Table2[#Headers],0),0)</f>
        <v>0</v>
      </c>
      <c r="AO703" s="2" t="str">
        <f>VLOOKUP([jobnumber],OvalData[],MATCH(Table2[[#Headers],[slatlength]],Table2[#Headers],0),0)</f>
        <v xml:space="preserve"> 18 ft.- 5 7/ 8"</v>
      </c>
      <c r="AP703" s="2">
        <f>VLOOKUP([jobnumber],OvalData[],MATCH(Table2[[#Headers],[Bottom Slat Length]],Table2[#Headers],0),0)</f>
        <v>0</v>
      </c>
      <c r="AQ703" s="2">
        <f>VLOOKUP([jobnumber],OvalData[],MATCH(Table2[[#Headers],[Number of Perferated Slats]],Table2[#Headers],0),0)</f>
        <v>0</v>
      </c>
      <c r="AR703" s="2">
        <f>VLOOKUP([jobnumber],OvalData[],MATCH(Table2[[#Headers],[First Preferated Slat From End]],Table2[#Headers],0),0)</f>
        <v>0</v>
      </c>
      <c r="AS703" s="2">
        <f>VLOOKUP([jobnumber],OvalData[],MATCH(Table2[[#Headers],[First Preferated Slat From Bottom]],Table2[#Headers],0),0)</f>
        <v>0</v>
      </c>
      <c r="AT703" s="2">
        <f>VLOOKUP([jobnumber],OvalData[],MATCH(Table2[[#Headers],[Total Number of Slats]],Table2[#Headers],0),0)</f>
        <v>51</v>
      </c>
      <c r="AU703" s="2">
        <f>VLOOKUP([jobnumber],OvalData[],MATCH(Table2[[#Headers],[Bottom Bar Slope]],Table2[#Headers],0),0)</f>
        <v>0</v>
      </c>
      <c r="AV703" s="2">
        <f>VLOOKUP([jobnumber],OvalData[],MATCH(Table2[[#Headers],[Bottom Bar Weight]],Table2[#Headers],0),0)</f>
        <v>80.5</v>
      </c>
      <c r="AW703" s="2" t="str">
        <f>VLOOKUP([jobnumber],OvalData[],MATCH(Table2[[#Headers],[Outer Spring Gage]],Table2[#Headers],0),0)</f>
        <v>Null</v>
      </c>
      <c r="AX703" s="2" t="str">
        <f>VLOOKUP([jobnumber],OvalData[],MATCH(Table2[[#Headers],[Outer Spring OD]],Table2[#Headers],0),0)</f>
        <v>Null</v>
      </c>
      <c r="AY703" s="2" t="str">
        <f>VLOOKUP([jobnumber],OvalData[],MATCH(Table2[[#Headers],[Outer Spring Length]],Table2[#Headers],0),0)</f>
        <v>Null</v>
      </c>
      <c r="AZ703" s="2" t="str">
        <f>VLOOKUP([jobnumber],OvalData[],MATCH(Table2[[#Headers],[Outer Spring Stretch]],Table2[#Headers],0),0)</f>
        <v>Null</v>
      </c>
      <c r="BA703" s="2" t="str">
        <f>VLOOKUP([jobnumber],OvalData[],MATCH(Table2[[#Headers],[Outer Spring Torque]],Table2[#Headers],0),0)</f>
        <v>Null</v>
      </c>
      <c r="BB703" s="2" t="str">
        <f>VLOOKUP([jobnumber],OvalData[],MATCH(Table2[[#Headers],[Outer Spring Max Turns]],Table2[#Headers],0),0)</f>
        <v>Null</v>
      </c>
      <c r="BC703" s="2" t="str">
        <f>VLOOKUP([jobnumber],OvalData[],MATCH(Table2[[#Headers],[Outer Spring Weight]],Table2[#Headers],0),0)</f>
        <v>Null</v>
      </c>
      <c r="BD703" s="2" t="str">
        <f>VLOOKUP([jobnumber],OvalData[],MATCH(Table2[[#Headers],[Inner Spring Gage]],Table2[#Headers],0),0)</f>
        <v>Null</v>
      </c>
      <c r="BE703" s="2" t="str">
        <f>VLOOKUP([jobnumber],OvalData[],MATCH(Table2[[#Headers],[Inner Spring OD]],Table2[#Headers],0),0)</f>
        <v>Null</v>
      </c>
      <c r="BF703" s="2" t="str">
        <f>VLOOKUP([jobnumber],OvalData[],MATCH(Table2[[#Headers],[Inner Spring Length]],Table2[#Headers],0),0)</f>
        <v>Null</v>
      </c>
      <c r="BG703" s="2" t="str">
        <f>VLOOKUP([jobnumber],OvalData[],MATCH(Table2[[#Headers],[Inner Spring Stretch]],Table2[#Headers],0),0)</f>
        <v>Null</v>
      </c>
      <c r="BH703" s="2" t="str">
        <f>VLOOKUP([jobnumber],OvalData[],MATCH(Table2[[#Headers],[Inner Spring Torque]],Table2[#Headers],0),0)</f>
        <v>Null</v>
      </c>
      <c r="BI703" s="2" t="str">
        <f>VLOOKUP([jobnumber],OvalData[],MATCH(Table2[[#Headers],[Inner Spring Max Turns]],Table2[#Headers],0),0)</f>
        <v>Null</v>
      </c>
      <c r="BJ703" s="2" t="str">
        <f>VLOOKUP([jobnumber],OvalData[],MATCH(Table2[[#Headers],[Inner Spring Weight]],Table2[#Headers],0),0)</f>
        <v>Null</v>
      </c>
      <c r="BK703" s="2">
        <f>VLOOKUP([jobnumber],OvalData[],MATCH(Table2[[#Headers],[Cycles]],Table2[#Headers],0),0)</f>
        <v>0</v>
      </c>
      <c r="BL703" s="2">
        <f>VLOOKUP([jobnumber],OvalData[],MATCH(Table2[[#Headers],[Total Spring Torque]],Table2[#Headers],0),0)</f>
        <v>0</v>
      </c>
      <c r="BM703" s="2">
        <f>VLOOKUP([jobnumber],OvalData[],MATCH(Table2[[#Headers],[Total Spring Weight]],Table2[#Headers],0),0)</f>
        <v>0</v>
      </c>
      <c r="BN703" s="2">
        <f>VLOOKUP([jobnumber],OvalData[],MATCH(Table2[[#Headers],[Pipe Weight]],Table2[#Headers],0),0)</f>
        <v>688.24239999999998</v>
      </c>
      <c r="BO703" s="2">
        <f>VLOOKUP([jobnumber],OvalData[],MATCH(Table2[[#Headers],[Max Pipe Deflection]],Table2[#Headers],0),0)</f>
        <v>2309</v>
      </c>
      <c r="BP703" s="2">
        <f>VLOOKUP([jobnumber],OvalData[],MATCH(Table2[[#Headers],[Number Non-Insulated Wrap Slats]],Table2[#Headers],0),0)</f>
        <v>0</v>
      </c>
      <c r="BQ703" s="2">
        <f>VLOOKUP([jobnumber],OvalData[],MATCH(Table2[[#Headers],[Number of Insolated Top Slats]],Table2[#Headers],0),0)</f>
        <v>45</v>
      </c>
      <c r="BR703" s="2">
        <f>VLOOKUP([jobnumber],OvalData[],MATCH(Table2[[#Headers],[Insolated Total Slats]],Table2[#Headers],0),0)</f>
        <v>45</v>
      </c>
      <c r="BS703" s="2">
        <f>VLOOKUP([jobnumber],OvalData[],MATCH(Table2[[#Headers],[Number of Slats]],Table2[#Headers],0),0)</f>
        <v>44.69</v>
      </c>
      <c r="BT703" s="2">
        <f>VLOOKUP([jobnumber],OvalData[],MATCH(Table2[[#Headers],[Wrap]],Table2[#Headers],0),0)</f>
        <v>0</v>
      </c>
      <c r="BU703" s="2">
        <f>VLOOKUP([jobnumber],OvalData[],MATCH(Table2[[#Headers],[Wall Angle Thickness]],Table2[#Headers],0),0)</f>
        <v>0</v>
      </c>
      <c r="BV703" s="2">
        <f>VLOOKUP([jobnumber],OvalData[],MATCH(Table2[[#Headers],[windlocks]],Table2[#Headers],0),0)</f>
        <v>0</v>
      </c>
      <c r="BW703" s="2" t="str">
        <f>VLOOKUP([jobnumber],OvalData[],MATCH(Table2[[#Headers],[bottombartype]],Table2[#Headers],0),0)</f>
        <v>SPECIAL</v>
      </c>
      <c r="BX703" s="2">
        <f>VLOOKUP([jobnumber],OvalData[],MATCH(Table2[[#Headers],[endlockweight]],Table2[#Headers],0),0)</f>
        <v>0.17</v>
      </c>
      <c r="BY703" s="2">
        <f>VLOOKUP([jobnumber],OvalData[],MATCH(Table2[[#Headers],[Endlock Total Weight]],Table2[#Headers],0),0)</f>
        <v>7.5972999999999997</v>
      </c>
      <c r="BZ703" s="2">
        <f>VLOOKUP([jobnumber],OvalData[],MATCH(Table2[[#Headers],[Grille Weight]],Table2[#Headers],0),0)</f>
        <v>0</v>
      </c>
      <c r="CA703" s="2">
        <f>VLOOKUP([jobnumber],OvalData[],MATCH(Table2[[#Headers],[barrelrings]],Table2[#Headers],0),0)</f>
        <v>1</v>
      </c>
    </row>
    <row r="704" spans="2:79">
      <c r="B704" s="2" t="str">
        <f>VLOOKUP([jobnumber],OvalData[],MATCH(Table2[[#Headers],[Hand]],Table2[#Headers],0),0)</f>
        <v>RH</v>
      </c>
      <c r="C704" s="2" t="str">
        <f>VLOOKUP([jobnumber],OvalData[],MATCH(Table2[[#Headers],[Model]],Table2[#Headers],0),0)</f>
        <v>SFMPP</v>
      </c>
      <c r="D704" s="2" t="str">
        <f>VLOOKUP([jobnumber],OvalData[],MATCH(Table2[[#Headers],[width]],Table2[#Headers],0),0)</f>
        <v xml:space="preserve"> 18 ft.- 2"</v>
      </c>
      <c r="E704" s="2" t="str">
        <f>VLOOKUP([jobnumber],OvalData[],MATCH(Table2[[#Headers],[stopheight]],Table2[#Headers],0),0)</f>
        <v xml:space="preserve"> 10 ft.- 0"</v>
      </c>
      <c r="F704" s="2" t="str">
        <f>VLOOKUP([jobnumber],OvalData[],MATCH(Table2[[#Headers],[Between Brackets]],Table2[#Headers],0),0)</f>
        <v xml:space="preserve"> 18 ft.- 7 7/ 8"</v>
      </c>
      <c r="G704" s="2" t="str">
        <f>VLOOKUP([jobnumber],OvalData[],MATCH(Table2[[#Headers],[shell]],Table2[#Headers],0),0)</f>
        <v>6 INCH TUBE</v>
      </c>
      <c r="H704" s="2" t="str">
        <f>VLOOKUP([jobnumber],OvalData[],MATCH(Table2[[#Headers],[pipewidth]],Table2[#Headers],0),0)</f>
        <v xml:space="preserve"> 18 ft.- 1 3/ 8"</v>
      </c>
      <c r="I704" s="2">
        <f>VLOOKUP([jobnumber],OvalData[],MATCH(Table2[[#Headers],[Support Tubes]],Table2[#Headers],0),0)</f>
        <v>0</v>
      </c>
      <c r="J704" s="2">
        <f>VLOOKUP([jobnumber],OvalData[],MATCH(Table2[[#Headers],[Upset]],Table2[#Headers],0),0)</f>
        <v>2</v>
      </c>
      <c r="K704" s="2" t="str">
        <f>VLOOKUP([jobnumber],OvalData[],MATCH(Table2[[#Headers],[Guide Type]],Table2[#Headers],0),0)</f>
        <v>SN2-4 5/8-E</v>
      </c>
      <c r="L704" s="2" t="str">
        <f>VLOOKUP([jobnumber],OvalData[],MATCH(Table2[[#Headers],[Wall Angle]],Table2[#Headers],0),0)</f>
        <v xml:space="preserve"> 11 ft.- 8"</v>
      </c>
      <c r="M704" s="2" t="str">
        <f>VLOOKUP([jobnumber],OvalData[],MATCH(Table2[[#Headers],[Middle Angle]],Table2[#Headers],0),0)</f>
        <v xml:space="preserve"> 10 ft.- 4 1/ 2"</v>
      </c>
      <c r="N704" s="2" t="str">
        <f>VLOOKUP([jobnumber],OvalData[],MATCH(Table2[[#Headers],[Front Angle]],Table2[#Headers],0),0)</f>
        <v xml:space="preserve"> 10 ft.- 3"</v>
      </c>
      <c r="O704" s="2">
        <f>VLOOKUP([jobnumber],OvalData[],MATCH(Table2[[#Headers],[Pipe Center Line]],Table2[#Headers],0),0)</f>
        <v>131</v>
      </c>
      <c r="P704" s="2">
        <f>VLOOKUP([jobnumber],OvalData[],MATCH(Table2[[#Headers],[Heat Expansion Gap]],Table2[#Headers],0),0)</f>
        <v>0</v>
      </c>
      <c r="Q704" s="2">
        <f>VLOOKUP([jobnumber],OvalData[],MATCH(Table2[[#Headers],[Hanging Weight Closed]],Table2[#Headers],0),0)</f>
        <v>795</v>
      </c>
      <c r="R704" s="2">
        <f>VLOOKUP([jobnumber],OvalData[],MATCH(Table2[[#Headers],[Hanging Weight Open]],Table2[#Headers],0),0)</f>
        <v>140</v>
      </c>
      <c r="S704" s="2">
        <f>VLOOKUP([jobnumber],OvalData[],MATCH(Table2[[#Headers],[Initial Lever Arm]],Table2[#Headers],0),0)</f>
        <v>4.25</v>
      </c>
      <c r="T704" s="2">
        <f>VLOOKUP([jobnumber],OvalData[],MATCH(Table2[[#Headers],[Turns to Raise]],Table2[#Headers],0),0)</f>
        <v>3.5859999999999999</v>
      </c>
      <c r="U704" s="2">
        <f>VLOOKUP([jobnumber],OvalData[],MATCH(Table2[[#Headers],[Final Lever Arm]],Table2[#Headers],0),0)</f>
        <v>6.37</v>
      </c>
      <c r="V704" s="2">
        <f>VLOOKUP([jobnumber],OvalData[],MATCH(Table2[[#Headers],[Torque Required Closed]],Table2[#Headers],0),0)</f>
        <v>3377.9</v>
      </c>
      <c r="W704" s="2">
        <f>VLOOKUP([jobnumber],OvalData[],MATCH(Table2[[#Headers],[Torque Required Open]],Table2[#Headers],0),0)</f>
        <v>892</v>
      </c>
      <c r="X704" s="2">
        <f>VLOOKUP([jobnumber],OvalData[],MATCH(Table2[[#Headers],[Pre Turns]],Table2[#Headers],0),0)</f>
        <v>1.3332999999999999</v>
      </c>
      <c r="Y704" s="2">
        <f>VLOOKUP([jobnumber],OvalData[],MATCH(Table2[[#Headers],[Required Torque Per Turn]],Table2[#Headers],0),0)</f>
        <v>688</v>
      </c>
      <c r="Z704" s="2">
        <f>VLOOKUP([jobnumber],OvalData[],MATCH(Table2[[#Headers],[Total Turns]],Table2[#Headers],0),0)</f>
        <v>4.91</v>
      </c>
      <c r="AA704" s="2">
        <f>VLOOKUP([jobnumber],OvalData[],MATCH(Table2[[#Headers],[Grille Vision Section]],Table2[#Headers],0),0)</f>
        <v>0</v>
      </c>
      <c r="AB704" s="2">
        <f>VLOOKUP([jobnumber],OvalData[],MATCH(Table2[[#Headers],[Grille Amount]],Table2[#Headers],0),0)</f>
        <v>0</v>
      </c>
      <c r="AC704" s="2">
        <f>VLOOKUP([jobnumber],OvalData[],MATCH(Table2[[#Headers],[Grille Center]],Table2[#Headers],0),0)</f>
        <v>0</v>
      </c>
      <c r="AD704" s="2">
        <f>VLOOKUP([jobnumber],OvalData[],MATCH(Table2[[#Headers],[Grille Pattern]],Table2[#Headers],0),0)</f>
        <v>0</v>
      </c>
      <c r="AE704" s="2">
        <f>VLOOKUP([jobnumber],OvalData[],MATCH(Table2[[#Headers],[Grille First Tube]],Table2[#Headers],0),0)</f>
        <v>0</v>
      </c>
      <c r="AF704" s="2">
        <f>VLOOKUP([jobnumber],OvalData[],MATCH(Table2[[#Headers],[Grille Standard Tube]],Table2[#Headers],0),0)</f>
        <v>0</v>
      </c>
      <c r="AG704" s="2">
        <f>VLOOKUP([jobnumber],OvalData[],MATCH(Table2[[#Headers],[Grille Total Links]],Table2[#Headers],0),0)</f>
        <v>0</v>
      </c>
      <c r="AH704" s="2">
        <f>VLOOKUP([jobnumber],OvalData[],MATCH(Table2[[#Headers],[Grille Rods]],Table2[#Headers],0),0)</f>
        <v>0</v>
      </c>
      <c r="AI704" s="2">
        <f>VLOOKUP([jobnumber],OvalData[],MATCH(Table2[[#Headers],[Grille Rod Length]],Table2[#Headers],0),0)</f>
        <v>0</v>
      </c>
      <c r="AJ704" s="2">
        <f>VLOOKUP([jobnumber],OvalData[],MATCH(Table2[[#Headers],[slattype]],Table2[#Headers],0),0)</f>
        <v>2</v>
      </c>
      <c r="AK704" s="2">
        <f>VLOOKUP([jobnumber],OvalData[],MATCH(Table2[[#Headers],[slatgage]],Table2[#Headers],0),0)</f>
        <v>18</v>
      </c>
      <c r="AL704" s="2">
        <f>VLOOKUP([jobnumber],OvalData[],MATCH(Table2[[#Headers],[Numer of Top Slats]],Table2[#Headers],0),0)</f>
        <v>0</v>
      </c>
      <c r="AM704" s="2">
        <f>VLOOKUP([jobnumber],OvalData[],MATCH(Table2[[#Headers],[Number of Bottom Slats]],Table2[#Headers],0),0)</f>
        <v>0</v>
      </c>
      <c r="AN704" s="2">
        <f>VLOOKUP([jobnumber],OvalData[],MATCH(Table2[[#Headers],[Solid Bottom Height]],Table2[#Headers],0),0)</f>
        <v>0</v>
      </c>
      <c r="AO704" s="2" t="str">
        <f>VLOOKUP([jobnumber],OvalData[],MATCH(Table2[[#Headers],[slatlength]],Table2[#Headers],0),0)</f>
        <v xml:space="preserve"> 18 ft.- 5 7/ 8"</v>
      </c>
      <c r="AP704" s="2">
        <f>VLOOKUP([jobnumber],OvalData[],MATCH(Table2[[#Headers],[Bottom Slat Length]],Table2[#Headers],0),0)</f>
        <v>0</v>
      </c>
      <c r="AQ704" s="2">
        <f>VLOOKUP([jobnumber],OvalData[],MATCH(Table2[[#Headers],[Number of Perferated Slats]],Table2[#Headers],0),0)</f>
        <v>0</v>
      </c>
      <c r="AR704" s="2">
        <f>VLOOKUP([jobnumber],OvalData[],MATCH(Table2[[#Headers],[First Preferated Slat From End]],Table2[#Headers],0),0)</f>
        <v>0</v>
      </c>
      <c r="AS704" s="2">
        <f>VLOOKUP([jobnumber],OvalData[],MATCH(Table2[[#Headers],[First Preferated Slat From Bottom]],Table2[#Headers],0),0)</f>
        <v>0</v>
      </c>
      <c r="AT704" s="2">
        <f>VLOOKUP([jobnumber],OvalData[],MATCH(Table2[[#Headers],[Total Number of Slats]],Table2[#Headers],0),0)</f>
        <v>51</v>
      </c>
      <c r="AU704" s="2">
        <f>VLOOKUP([jobnumber],OvalData[],MATCH(Table2[[#Headers],[Bottom Bar Slope]],Table2[#Headers],0),0)</f>
        <v>0</v>
      </c>
      <c r="AV704" s="2">
        <f>VLOOKUP([jobnumber],OvalData[],MATCH(Table2[[#Headers],[Bottom Bar Weight]],Table2[#Headers],0),0)</f>
        <v>80.5</v>
      </c>
      <c r="AW704" s="2" t="str">
        <f>VLOOKUP([jobnumber],OvalData[],MATCH(Table2[[#Headers],[Outer Spring Gage]],Table2[#Headers],0),0)</f>
        <v>Null</v>
      </c>
      <c r="AX704" s="2" t="str">
        <f>VLOOKUP([jobnumber],OvalData[],MATCH(Table2[[#Headers],[Outer Spring OD]],Table2[#Headers],0),0)</f>
        <v>Null</v>
      </c>
      <c r="AY704" s="2" t="str">
        <f>VLOOKUP([jobnumber],OvalData[],MATCH(Table2[[#Headers],[Outer Spring Length]],Table2[#Headers],0),0)</f>
        <v>Null</v>
      </c>
      <c r="AZ704" s="2" t="str">
        <f>VLOOKUP([jobnumber],OvalData[],MATCH(Table2[[#Headers],[Outer Spring Stretch]],Table2[#Headers],0),0)</f>
        <v>Null</v>
      </c>
      <c r="BA704" s="2" t="str">
        <f>VLOOKUP([jobnumber],OvalData[],MATCH(Table2[[#Headers],[Outer Spring Torque]],Table2[#Headers],0),0)</f>
        <v>Null</v>
      </c>
      <c r="BB704" s="2" t="str">
        <f>VLOOKUP([jobnumber],OvalData[],MATCH(Table2[[#Headers],[Outer Spring Max Turns]],Table2[#Headers],0),0)</f>
        <v>Null</v>
      </c>
      <c r="BC704" s="2" t="str">
        <f>VLOOKUP([jobnumber],OvalData[],MATCH(Table2[[#Headers],[Outer Spring Weight]],Table2[#Headers],0),0)</f>
        <v>Null</v>
      </c>
      <c r="BD704" s="2" t="str">
        <f>VLOOKUP([jobnumber],OvalData[],MATCH(Table2[[#Headers],[Inner Spring Gage]],Table2[#Headers],0),0)</f>
        <v>Null</v>
      </c>
      <c r="BE704" s="2" t="str">
        <f>VLOOKUP([jobnumber],OvalData[],MATCH(Table2[[#Headers],[Inner Spring OD]],Table2[#Headers],0),0)</f>
        <v>Null</v>
      </c>
      <c r="BF704" s="2" t="str">
        <f>VLOOKUP([jobnumber],OvalData[],MATCH(Table2[[#Headers],[Inner Spring Length]],Table2[#Headers],0),0)</f>
        <v>Null</v>
      </c>
      <c r="BG704" s="2" t="str">
        <f>VLOOKUP([jobnumber],OvalData[],MATCH(Table2[[#Headers],[Inner Spring Stretch]],Table2[#Headers],0),0)</f>
        <v>Null</v>
      </c>
      <c r="BH704" s="2" t="str">
        <f>VLOOKUP([jobnumber],OvalData[],MATCH(Table2[[#Headers],[Inner Spring Torque]],Table2[#Headers],0),0)</f>
        <v>Null</v>
      </c>
      <c r="BI704" s="2" t="str">
        <f>VLOOKUP([jobnumber],OvalData[],MATCH(Table2[[#Headers],[Inner Spring Max Turns]],Table2[#Headers],0),0)</f>
        <v>Null</v>
      </c>
      <c r="BJ704" s="2" t="str">
        <f>VLOOKUP([jobnumber],OvalData[],MATCH(Table2[[#Headers],[Inner Spring Weight]],Table2[#Headers],0),0)</f>
        <v>Null</v>
      </c>
      <c r="BK704" s="2">
        <f>VLOOKUP([jobnumber],OvalData[],MATCH(Table2[[#Headers],[Cycles]],Table2[#Headers],0),0)</f>
        <v>0</v>
      </c>
      <c r="BL704" s="2">
        <f>VLOOKUP([jobnumber],OvalData[],MATCH(Table2[[#Headers],[Total Spring Torque]],Table2[#Headers],0),0)</f>
        <v>0</v>
      </c>
      <c r="BM704" s="2">
        <f>VLOOKUP([jobnumber],OvalData[],MATCH(Table2[[#Headers],[Total Spring Weight]],Table2[#Headers],0),0)</f>
        <v>0</v>
      </c>
      <c r="BN704" s="2">
        <f>VLOOKUP([jobnumber],OvalData[],MATCH(Table2[[#Headers],[Pipe Weight]],Table2[#Headers],0),0)</f>
        <v>688.24239999999998</v>
      </c>
      <c r="BO704" s="2">
        <f>VLOOKUP([jobnumber],OvalData[],MATCH(Table2[[#Headers],[Max Pipe Deflection]],Table2[#Headers],0),0)</f>
        <v>2309</v>
      </c>
      <c r="BP704" s="2">
        <f>VLOOKUP([jobnumber],OvalData[],MATCH(Table2[[#Headers],[Number Non-Insulated Wrap Slats]],Table2[#Headers],0),0)</f>
        <v>0</v>
      </c>
      <c r="BQ704" s="2">
        <f>VLOOKUP([jobnumber],OvalData[],MATCH(Table2[[#Headers],[Number of Insolated Top Slats]],Table2[#Headers],0),0)</f>
        <v>45</v>
      </c>
      <c r="BR704" s="2">
        <f>VLOOKUP([jobnumber],OvalData[],MATCH(Table2[[#Headers],[Insolated Total Slats]],Table2[#Headers],0),0)</f>
        <v>45</v>
      </c>
      <c r="BS704" s="2">
        <f>VLOOKUP([jobnumber],OvalData[],MATCH(Table2[[#Headers],[Number of Slats]],Table2[#Headers],0),0)</f>
        <v>44.69</v>
      </c>
      <c r="BT704" s="2">
        <f>VLOOKUP([jobnumber],OvalData[],MATCH(Table2[[#Headers],[Wrap]],Table2[#Headers],0),0)</f>
        <v>0</v>
      </c>
      <c r="BU704" s="2">
        <f>VLOOKUP([jobnumber],OvalData[],MATCH(Table2[[#Headers],[Wall Angle Thickness]],Table2[#Headers],0),0)</f>
        <v>0</v>
      </c>
      <c r="BV704" s="2">
        <f>VLOOKUP([jobnumber],OvalData[],MATCH(Table2[[#Headers],[windlocks]],Table2[#Headers],0),0)</f>
        <v>0</v>
      </c>
      <c r="BW704" s="2" t="str">
        <f>VLOOKUP([jobnumber],OvalData[],MATCH(Table2[[#Headers],[bottombartype]],Table2[#Headers],0),0)</f>
        <v>SPECIAL</v>
      </c>
      <c r="BX704" s="2">
        <f>VLOOKUP([jobnumber],OvalData[],MATCH(Table2[[#Headers],[endlockweight]],Table2[#Headers],0),0)</f>
        <v>0.17</v>
      </c>
      <c r="BY704" s="2">
        <f>VLOOKUP([jobnumber],OvalData[],MATCH(Table2[[#Headers],[Endlock Total Weight]],Table2[#Headers],0),0)</f>
        <v>7.5972999999999997</v>
      </c>
      <c r="BZ704" s="2">
        <f>VLOOKUP([jobnumber],OvalData[],MATCH(Table2[[#Headers],[Grille Weight]],Table2[#Headers],0),0)</f>
        <v>0</v>
      </c>
      <c r="CA704" s="2">
        <f>VLOOKUP([jobnumber],OvalData[],MATCH(Table2[[#Headers],[barrelrings]],Table2[#Headers],0),0)</f>
        <v>1</v>
      </c>
    </row>
    <row r="705" spans="2:79">
      <c r="B705" s="2" t="str">
        <f>VLOOKUP([jobnumber],OvalData[],MATCH(Table2[[#Headers],[Hand]],Table2[#Headers],0),0)</f>
        <v>RH</v>
      </c>
      <c r="C705" s="2" t="str">
        <f>VLOOKUP([jobnumber],OvalData[],MATCH(Table2[[#Headers],[Model]],Table2[#Headers],0),0)</f>
        <v>SFMPP</v>
      </c>
      <c r="D705" s="2" t="str">
        <f>VLOOKUP([jobnumber],OvalData[],MATCH(Table2[[#Headers],[width]],Table2[#Headers],0),0)</f>
        <v xml:space="preserve"> 18 ft.- 2"</v>
      </c>
      <c r="E705" s="2" t="str">
        <f>VLOOKUP([jobnumber],OvalData[],MATCH(Table2[[#Headers],[stopheight]],Table2[#Headers],0),0)</f>
        <v xml:space="preserve"> 10 ft.- 0"</v>
      </c>
      <c r="F705" s="2" t="str">
        <f>VLOOKUP([jobnumber],OvalData[],MATCH(Table2[[#Headers],[Between Brackets]],Table2[#Headers],0),0)</f>
        <v xml:space="preserve"> 18 ft.- 7 7/ 8"</v>
      </c>
      <c r="G705" s="2" t="str">
        <f>VLOOKUP([jobnumber],OvalData[],MATCH(Table2[[#Headers],[shell]],Table2[#Headers],0),0)</f>
        <v>6 INCH TUBE</v>
      </c>
      <c r="H705" s="2" t="str">
        <f>VLOOKUP([jobnumber],OvalData[],MATCH(Table2[[#Headers],[pipewidth]],Table2[#Headers],0),0)</f>
        <v xml:space="preserve"> 18 ft.- 1 3/ 8"</v>
      </c>
      <c r="I705" s="2">
        <f>VLOOKUP([jobnumber],OvalData[],MATCH(Table2[[#Headers],[Support Tubes]],Table2[#Headers],0),0)</f>
        <v>0</v>
      </c>
      <c r="J705" s="2">
        <f>VLOOKUP([jobnumber],OvalData[],MATCH(Table2[[#Headers],[Upset]],Table2[#Headers],0),0)</f>
        <v>2</v>
      </c>
      <c r="K705" s="2" t="str">
        <f>VLOOKUP([jobnumber],OvalData[],MATCH(Table2[[#Headers],[Guide Type]],Table2[#Headers],0),0)</f>
        <v>SN2-4 5/8-E</v>
      </c>
      <c r="L705" s="2" t="str">
        <f>VLOOKUP([jobnumber],OvalData[],MATCH(Table2[[#Headers],[Wall Angle]],Table2[#Headers],0),0)</f>
        <v xml:space="preserve"> 11 ft.- 8"</v>
      </c>
      <c r="M705" s="2" t="str">
        <f>VLOOKUP([jobnumber],OvalData[],MATCH(Table2[[#Headers],[Middle Angle]],Table2[#Headers],0),0)</f>
        <v xml:space="preserve"> 10 ft.- 4 1/ 2"</v>
      </c>
      <c r="N705" s="2" t="str">
        <f>VLOOKUP([jobnumber],OvalData[],MATCH(Table2[[#Headers],[Front Angle]],Table2[#Headers],0),0)</f>
        <v xml:space="preserve"> 10 ft.- 3"</v>
      </c>
      <c r="O705" s="2">
        <f>VLOOKUP([jobnumber],OvalData[],MATCH(Table2[[#Headers],[Pipe Center Line]],Table2[#Headers],0),0)</f>
        <v>131</v>
      </c>
      <c r="P705" s="2">
        <f>VLOOKUP([jobnumber],OvalData[],MATCH(Table2[[#Headers],[Heat Expansion Gap]],Table2[#Headers],0),0)</f>
        <v>0</v>
      </c>
      <c r="Q705" s="2">
        <f>VLOOKUP([jobnumber],OvalData[],MATCH(Table2[[#Headers],[Hanging Weight Closed]],Table2[#Headers],0),0)</f>
        <v>795</v>
      </c>
      <c r="R705" s="2">
        <f>VLOOKUP([jobnumber],OvalData[],MATCH(Table2[[#Headers],[Hanging Weight Open]],Table2[#Headers],0),0)</f>
        <v>140</v>
      </c>
      <c r="S705" s="2">
        <f>VLOOKUP([jobnumber],OvalData[],MATCH(Table2[[#Headers],[Initial Lever Arm]],Table2[#Headers],0),0)</f>
        <v>4.25</v>
      </c>
      <c r="T705" s="2">
        <f>VLOOKUP([jobnumber],OvalData[],MATCH(Table2[[#Headers],[Turns to Raise]],Table2[#Headers],0),0)</f>
        <v>3.5859999999999999</v>
      </c>
      <c r="U705" s="2">
        <f>VLOOKUP([jobnumber],OvalData[],MATCH(Table2[[#Headers],[Final Lever Arm]],Table2[#Headers],0),0)</f>
        <v>6.37</v>
      </c>
      <c r="V705" s="2">
        <f>VLOOKUP([jobnumber],OvalData[],MATCH(Table2[[#Headers],[Torque Required Closed]],Table2[#Headers],0),0)</f>
        <v>3377.9</v>
      </c>
      <c r="W705" s="2">
        <f>VLOOKUP([jobnumber],OvalData[],MATCH(Table2[[#Headers],[Torque Required Open]],Table2[#Headers],0),0)</f>
        <v>892</v>
      </c>
      <c r="X705" s="2">
        <f>VLOOKUP([jobnumber],OvalData[],MATCH(Table2[[#Headers],[Pre Turns]],Table2[#Headers],0),0)</f>
        <v>1.3332999999999999</v>
      </c>
      <c r="Y705" s="2">
        <f>VLOOKUP([jobnumber],OvalData[],MATCH(Table2[[#Headers],[Required Torque Per Turn]],Table2[#Headers],0),0)</f>
        <v>688</v>
      </c>
      <c r="Z705" s="2">
        <f>VLOOKUP([jobnumber],OvalData[],MATCH(Table2[[#Headers],[Total Turns]],Table2[#Headers],0),0)</f>
        <v>4.91</v>
      </c>
      <c r="AA705" s="2">
        <f>VLOOKUP([jobnumber],OvalData[],MATCH(Table2[[#Headers],[Grille Vision Section]],Table2[#Headers],0),0)</f>
        <v>0</v>
      </c>
      <c r="AB705" s="2">
        <f>VLOOKUP([jobnumber],OvalData[],MATCH(Table2[[#Headers],[Grille Amount]],Table2[#Headers],0),0)</f>
        <v>0</v>
      </c>
      <c r="AC705" s="2">
        <f>VLOOKUP([jobnumber],OvalData[],MATCH(Table2[[#Headers],[Grille Center]],Table2[#Headers],0),0)</f>
        <v>0</v>
      </c>
      <c r="AD705" s="2">
        <f>VLOOKUP([jobnumber],OvalData[],MATCH(Table2[[#Headers],[Grille Pattern]],Table2[#Headers],0),0)</f>
        <v>0</v>
      </c>
      <c r="AE705" s="2">
        <f>VLOOKUP([jobnumber],OvalData[],MATCH(Table2[[#Headers],[Grille First Tube]],Table2[#Headers],0),0)</f>
        <v>0</v>
      </c>
      <c r="AF705" s="2">
        <f>VLOOKUP([jobnumber],OvalData[],MATCH(Table2[[#Headers],[Grille Standard Tube]],Table2[#Headers],0),0)</f>
        <v>0</v>
      </c>
      <c r="AG705" s="2">
        <f>VLOOKUP([jobnumber],OvalData[],MATCH(Table2[[#Headers],[Grille Total Links]],Table2[#Headers],0),0)</f>
        <v>0</v>
      </c>
      <c r="AH705" s="2">
        <f>VLOOKUP([jobnumber],OvalData[],MATCH(Table2[[#Headers],[Grille Rods]],Table2[#Headers],0),0)</f>
        <v>0</v>
      </c>
      <c r="AI705" s="2">
        <f>VLOOKUP([jobnumber],OvalData[],MATCH(Table2[[#Headers],[Grille Rod Length]],Table2[#Headers],0),0)</f>
        <v>0</v>
      </c>
      <c r="AJ705" s="2">
        <f>VLOOKUP([jobnumber],OvalData[],MATCH(Table2[[#Headers],[slattype]],Table2[#Headers],0),0)</f>
        <v>2</v>
      </c>
      <c r="AK705" s="2">
        <f>VLOOKUP([jobnumber],OvalData[],MATCH(Table2[[#Headers],[slatgage]],Table2[#Headers],0),0)</f>
        <v>18</v>
      </c>
      <c r="AL705" s="2">
        <f>VLOOKUP([jobnumber],OvalData[],MATCH(Table2[[#Headers],[Numer of Top Slats]],Table2[#Headers],0),0)</f>
        <v>0</v>
      </c>
      <c r="AM705" s="2">
        <f>VLOOKUP([jobnumber],OvalData[],MATCH(Table2[[#Headers],[Number of Bottom Slats]],Table2[#Headers],0),0)</f>
        <v>0</v>
      </c>
      <c r="AN705" s="2">
        <f>VLOOKUP([jobnumber],OvalData[],MATCH(Table2[[#Headers],[Solid Bottom Height]],Table2[#Headers],0),0)</f>
        <v>0</v>
      </c>
      <c r="AO705" s="2" t="str">
        <f>VLOOKUP([jobnumber],OvalData[],MATCH(Table2[[#Headers],[slatlength]],Table2[#Headers],0),0)</f>
        <v xml:space="preserve"> 18 ft.- 5 7/ 8"</v>
      </c>
      <c r="AP705" s="2">
        <f>VLOOKUP([jobnumber],OvalData[],MATCH(Table2[[#Headers],[Bottom Slat Length]],Table2[#Headers],0),0)</f>
        <v>0</v>
      </c>
      <c r="AQ705" s="2">
        <f>VLOOKUP([jobnumber],OvalData[],MATCH(Table2[[#Headers],[Number of Perferated Slats]],Table2[#Headers],0),0)</f>
        <v>0</v>
      </c>
      <c r="AR705" s="2">
        <f>VLOOKUP([jobnumber],OvalData[],MATCH(Table2[[#Headers],[First Preferated Slat From End]],Table2[#Headers],0),0)</f>
        <v>0</v>
      </c>
      <c r="AS705" s="2">
        <f>VLOOKUP([jobnumber],OvalData[],MATCH(Table2[[#Headers],[First Preferated Slat From Bottom]],Table2[#Headers],0),0)</f>
        <v>0</v>
      </c>
      <c r="AT705" s="2">
        <f>VLOOKUP([jobnumber],OvalData[],MATCH(Table2[[#Headers],[Total Number of Slats]],Table2[#Headers],0),0)</f>
        <v>51</v>
      </c>
      <c r="AU705" s="2">
        <f>VLOOKUP([jobnumber],OvalData[],MATCH(Table2[[#Headers],[Bottom Bar Slope]],Table2[#Headers],0),0)</f>
        <v>0</v>
      </c>
      <c r="AV705" s="2">
        <f>VLOOKUP([jobnumber],OvalData[],MATCH(Table2[[#Headers],[Bottom Bar Weight]],Table2[#Headers],0),0)</f>
        <v>80.5</v>
      </c>
      <c r="AW705" s="2" t="str">
        <f>VLOOKUP([jobnumber],OvalData[],MATCH(Table2[[#Headers],[Outer Spring Gage]],Table2[#Headers],0),0)</f>
        <v>Null</v>
      </c>
      <c r="AX705" s="2" t="str">
        <f>VLOOKUP([jobnumber],OvalData[],MATCH(Table2[[#Headers],[Outer Spring OD]],Table2[#Headers],0),0)</f>
        <v>Null</v>
      </c>
      <c r="AY705" s="2" t="str">
        <f>VLOOKUP([jobnumber],OvalData[],MATCH(Table2[[#Headers],[Outer Spring Length]],Table2[#Headers],0),0)</f>
        <v>Null</v>
      </c>
      <c r="AZ705" s="2" t="str">
        <f>VLOOKUP([jobnumber],OvalData[],MATCH(Table2[[#Headers],[Outer Spring Stretch]],Table2[#Headers],0),0)</f>
        <v>Null</v>
      </c>
      <c r="BA705" s="2" t="str">
        <f>VLOOKUP([jobnumber],OvalData[],MATCH(Table2[[#Headers],[Outer Spring Torque]],Table2[#Headers],0),0)</f>
        <v>Null</v>
      </c>
      <c r="BB705" s="2" t="str">
        <f>VLOOKUP([jobnumber],OvalData[],MATCH(Table2[[#Headers],[Outer Spring Max Turns]],Table2[#Headers],0),0)</f>
        <v>Null</v>
      </c>
      <c r="BC705" s="2" t="str">
        <f>VLOOKUP([jobnumber],OvalData[],MATCH(Table2[[#Headers],[Outer Spring Weight]],Table2[#Headers],0),0)</f>
        <v>Null</v>
      </c>
      <c r="BD705" s="2" t="str">
        <f>VLOOKUP([jobnumber],OvalData[],MATCH(Table2[[#Headers],[Inner Spring Gage]],Table2[#Headers],0),0)</f>
        <v>Null</v>
      </c>
      <c r="BE705" s="2" t="str">
        <f>VLOOKUP([jobnumber],OvalData[],MATCH(Table2[[#Headers],[Inner Spring OD]],Table2[#Headers],0),0)</f>
        <v>Null</v>
      </c>
      <c r="BF705" s="2" t="str">
        <f>VLOOKUP([jobnumber],OvalData[],MATCH(Table2[[#Headers],[Inner Spring Length]],Table2[#Headers],0),0)</f>
        <v>Null</v>
      </c>
      <c r="BG705" s="2" t="str">
        <f>VLOOKUP([jobnumber],OvalData[],MATCH(Table2[[#Headers],[Inner Spring Stretch]],Table2[#Headers],0),0)</f>
        <v>Null</v>
      </c>
      <c r="BH705" s="2" t="str">
        <f>VLOOKUP([jobnumber],OvalData[],MATCH(Table2[[#Headers],[Inner Spring Torque]],Table2[#Headers],0),0)</f>
        <v>Null</v>
      </c>
      <c r="BI705" s="2" t="str">
        <f>VLOOKUP([jobnumber],OvalData[],MATCH(Table2[[#Headers],[Inner Spring Max Turns]],Table2[#Headers],0),0)</f>
        <v>Null</v>
      </c>
      <c r="BJ705" s="2" t="str">
        <f>VLOOKUP([jobnumber],OvalData[],MATCH(Table2[[#Headers],[Inner Spring Weight]],Table2[#Headers],0),0)</f>
        <v>Null</v>
      </c>
      <c r="BK705" s="2">
        <f>VLOOKUP([jobnumber],OvalData[],MATCH(Table2[[#Headers],[Cycles]],Table2[#Headers],0),0)</f>
        <v>0</v>
      </c>
      <c r="BL705" s="2">
        <f>VLOOKUP([jobnumber],OvalData[],MATCH(Table2[[#Headers],[Total Spring Torque]],Table2[#Headers],0),0)</f>
        <v>0</v>
      </c>
      <c r="BM705" s="2">
        <f>VLOOKUP([jobnumber],OvalData[],MATCH(Table2[[#Headers],[Total Spring Weight]],Table2[#Headers],0),0)</f>
        <v>0</v>
      </c>
      <c r="BN705" s="2">
        <f>VLOOKUP([jobnumber],OvalData[],MATCH(Table2[[#Headers],[Pipe Weight]],Table2[#Headers],0),0)</f>
        <v>688.24239999999998</v>
      </c>
      <c r="BO705" s="2">
        <f>VLOOKUP([jobnumber],OvalData[],MATCH(Table2[[#Headers],[Max Pipe Deflection]],Table2[#Headers],0),0)</f>
        <v>2309</v>
      </c>
      <c r="BP705" s="2">
        <f>VLOOKUP([jobnumber],OvalData[],MATCH(Table2[[#Headers],[Number Non-Insulated Wrap Slats]],Table2[#Headers],0),0)</f>
        <v>0</v>
      </c>
      <c r="BQ705" s="2">
        <f>VLOOKUP([jobnumber],OvalData[],MATCH(Table2[[#Headers],[Number of Insolated Top Slats]],Table2[#Headers],0),0)</f>
        <v>45</v>
      </c>
      <c r="BR705" s="2">
        <f>VLOOKUP([jobnumber],OvalData[],MATCH(Table2[[#Headers],[Insolated Total Slats]],Table2[#Headers],0),0)</f>
        <v>45</v>
      </c>
      <c r="BS705" s="2">
        <f>VLOOKUP([jobnumber],OvalData[],MATCH(Table2[[#Headers],[Number of Slats]],Table2[#Headers],0),0)</f>
        <v>44.69</v>
      </c>
      <c r="BT705" s="2">
        <f>VLOOKUP([jobnumber],OvalData[],MATCH(Table2[[#Headers],[Wrap]],Table2[#Headers],0),0)</f>
        <v>0</v>
      </c>
      <c r="BU705" s="2">
        <f>VLOOKUP([jobnumber],OvalData[],MATCH(Table2[[#Headers],[Wall Angle Thickness]],Table2[#Headers],0),0)</f>
        <v>0</v>
      </c>
      <c r="BV705" s="2">
        <f>VLOOKUP([jobnumber],OvalData[],MATCH(Table2[[#Headers],[windlocks]],Table2[#Headers],0),0)</f>
        <v>0</v>
      </c>
      <c r="BW705" s="2" t="str">
        <f>VLOOKUP([jobnumber],OvalData[],MATCH(Table2[[#Headers],[bottombartype]],Table2[#Headers],0),0)</f>
        <v>SPECIAL</v>
      </c>
      <c r="BX705" s="2">
        <f>VLOOKUP([jobnumber],OvalData[],MATCH(Table2[[#Headers],[endlockweight]],Table2[#Headers],0),0)</f>
        <v>0.17</v>
      </c>
      <c r="BY705" s="2">
        <f>VLOOKUP([jobnumber],OvalData[],MATCH(Table2[[#Headers],[Endlock Total Weight]],Table2[#Headers],0),0)</f>
        <v>7.5972999999999997</v>
      </c>
      <c r="BZ705" s="2">
        <f>VLOOKUP([jobnumber],OvalData[],MATCH(Table2[[#Headers],[Grille Weight]],Table2[#Headers],0),0)</f>
        <v>0</v>
      </c>
      <c r="CA705" s="2">
        <f>VLOOKUP([jobnumber],OvalData[],MATCH(Table2[[#Headers],[barrelrings]],Table2[#Headers],0),0)</f>
        <v>1</v>
      </c>
    </row>
    <row r="706" spans="2:79">
      <c r="B706" s="2" t="str">
        <f>VLOOKUP([jobnumber],OvalData[],MATCH(Table2[[#Headers],[Hand]],Table2[#Headers],0),0)</f>
        <v>RH</v>
      </c>
      <c r="C706" s="2" t="str">
        <f>VLOOKUP([jobnumber],OvalData[],MATCH(Table2[[#Headers],[Model]],Table2[#Headers],0),0)</f>
        <v>SFMPP</v>
      </c>
      <c r="D706" s="2" t="str">
        <f>VLOOKUP([jobnumber],OvalData[],MATCH(Table2[[#Headers],[width]],Table2[#Headers],0),0)</f>
        <v xml:space="preserve"> 18 ft.- 2"</v>
      </c>
      <c r="E706" s="2" t="str">
        <f>VLOOKUP([jobnumber],OvalData[],MATCH(Table2[[#Headers],[stopheight]],Table2[#Headers],0),0)</f>
        <v xml:space="preserve"> 10 ft.- 0"</v>
      </c>
      <c r="F706" s="2" t="str">
        <f>VLOOKUP([jobnumber],OvalData[],MATCH(Table2[[#Headers],[Between Brackets]],Table2[#Headers],0),0)</f>
        <v xml:space="preserve"> 18 ft.- 7 7/ 8"</v>
      </c>
      <c r="G706" s="2" t="str">
        <f>VLOOKUP([jobnumber],OvalData[],MATCH(Table2[[#Headers],[shell]],Table2[#Headers],0),0)</f>
        <v>6 INCH TUBE</v>
      </c>
      <c r="H706" s="2" t="str">
        <f>VLOOKUP([jobnumber],OvalData[],MATCH(Table2[[#Headers],[pipewidth]],Table2[#Headers],0),0)</f>
        <v xml:space="preserve"> 18 ft.- 1 3/ 8"</v>
      </c>
      <c r="I706" s="2">
        <f>VLOOKUP([jobnumber],OvalData[],MATCH(Table2[[#Headers],[Support Tubes]],Table2[#Headers],0),0)</f>
        <v>0</v>
      </c>
      <c r="J706" s="2">
        <f>VLOOKUP([jobnumber],OvalData[],MATCH(Table2[[#Headers],[Upset]],Table2[#Headers],0),0)</f>
        <v>2</v>
      </c>
      <c r="K706" s="2" t="str">
        <f>VLOOKUP([jobnumber],OvalData[],MATCH(Table2[[#Headers],[Guide Type]],Table2[#Headers],0),0)</f>
        <v>SN2-4 5/8-E</v>
      </c>
      <c r="L706" s="2" t="str">
        <f>VLOOKUP([jobnumber],OvalData[],MATCH(Table2[[#Headers],[Wall Angle]],Table2[#Headers],0),0)</f>
        <v xml:space="preserve"> 11 ft.- 8"</v>
      </c>
      <c r="M706" s="2" t="str">
        <f>VLOOKUP([jobnumber],OvalData[],MATCH(Table2[[#Headers],[Middle Angle]],Table2[#Headers],0),0)</f>
        <v xml:space="preserve"> 10 ft.- 4 1/ 2"</v>
      </c>
      <c r="N706" s="2" t="str">
        <f>VLOOKUP([jobnumber],OvalData[],MATCH(Table2[[#Headers],[Front Angle]],Table2[#Headers],0),0)</f>
        <v xml:space="preserve"> 10 ft.- 3"</v>
      </c>
      <c r="O706" s="2">
        <f>VLOOKUP([jobnumber],OvalData[],MATCH(Table2[[#Headers],[Pipe Center Line]],Table2[#Headers],0),0)</f>
        <v>131</v>
      </c>
      <c r="P706" s="2">
        <f>VLOOKUP([jobnumber],OvalData[],MATCH(Table2[[#Headers],[Heat Expansion Gap]],Table2[#Headers],0),0)</f>
        <v>0</v>
      </c>
      <c r="Q706" s="2">
        <f>VLOOKUP([jobnumber],OvalData[],MATCH(Table2[[#Headers],[Hanging Weight Closed]],Table2[#Headers],0),0)</f>
        <v>795</v>
      </c>
      <c r="R706" s="2">
        <f>VLOOKUP([jobnumber],OvalData[],MATCH(Table2[[#Headers],[Hanging Weight Open]],Table2[#Headers],0),0)</f>
        <v>140</v>
      </c>
      <c r="S706" s="2">
        <f>VLOOKUP([jobnumber],OvalData[],MATCH(Table2[[#Headers],[Initial Lever Arm]],Table2[#Headers],0),0)</f>
        <v>4.25</v>
      </c>
      <c r="T706" s="2">
        <f>VLOOKUP([jobnumber],OvalData[],MATCH(Table2[[#Headers],[Turns to Raise]],Table2[#Headers],0),0)</f>
        <v>3.5859999999999999</v>
      </c>
      <c r="U706" s="2">
        <f>VLOOKUP([jobnumber],OvalData[],MATCH(Table2[[#Headers],[Final Lever Arm]],Table2[#Headers],0),0)</f>
        <v>6.37</v>
      </c>
      <c r="V706" s="2">
        <f>VLOOKUP([jobnumber],OvalData[],MATCH(Table2[[#Headers],[Torque Required Closed]],Table2[#Headers],0),0)</f>
        <v>3377.9</v>
      </c>
      <c r="W706" s="2">
        <f>VLOOKUP([jobnumber],OvalData[],MATCH(Table2[[#Headers],[Torque Required Open]],Table2[#Headers],0),0)</f>
        <v>892</v>
      </c>
      <c r="X706" s="2">
        <f>VLOOKUP([jobnumber],OvalData[],MATCH(Table2[[#Headers],[Pre Turns]],Table2[#Headers],0),0)</f>
        <v>1.3332999999999999</v>
      </c>
      <c r="Y706" s="2">
        <f>VLOOKUP([jobnumber],OvalData[],MATCH(Table2[[#Headers],[Required Torque Per Turn]],Table2[#Headers],0),0)</f>
        <v>688</v>
      </c>
      <c r="Z706" s="2">
        <f>VLOOKUP([jobnumber],OvalData[],MATCH(Table2[[#Headers],[Total Turns]],Table2[#Headers],0),0)</f>
        <v>4.91</v>
      </c>
      <c r="AA706" s="2">
        <f>VLOOKUP([jobnumber],OvalData[],MATCH(Table2[[#Headers],[Grille Vision Section]],Table2[#Headers],0),0)</f>
        <v>0</v>
      </c>
      <c r="AB706" s="2">
        <f>VLOOKUP([jobnumber],OvalData[],MATCH(Table2[[#Headers],[Grille Amount]],Table2[#Headers],0),0)</f>
        <v>0</v>
      </c>
      <c r="AC706" s="2">
        <f>VLOOKUP([jobnumber],OvalData[],MATCH(Table2[[#Headers],[Grille Center]],Table2[#Headers],0),0)</f>
        <v>0</v>
      </c>
      <c r="AD706" s="2">
        <f>VLOOKUP([jobnumber],OvalData[],MATCH(Table2[[#Headers],[Grille Pattern]],Table2[#Headers],0),0)</f>
        <v>0</v>
      </c>
      <c r="AE706" s="2">
        <f>VLOOKUP([jobnumber],OvalData[],MATCH(Table2[[#Headers],[Grille First Tube]],Table2[#Headers],0),0)</f>
        <v>0</v>
      </c>
      <c r="AF706" s="2">
        <f>VLOOKUP([jobnumber],OvalData[],MATCH(Table2[[#Headers],[Grille Standard Tube]],Table2[#Headers],0),0)</f>
        <v>0</v>
      </c>
      <c r="AG706" s="2">
        <f>VLOOKUP([jobnumber],OvalData[],MATCH(Table2[[#Headers],[Grille Total Links]],Table2[#Headers],0),0)</f>
        <v>0</v>
      </c>
      <c r="AH706" s="2">
        <f>VLOOKUP([jobnumber],OvalData[],MATCH(Table2[[#Headers],[Grille Rods]],Table2[#Headers],0),0)</f>
        <v>0</v>
      </c>
      <c r="AI706" s="2">
        <f>VLOOKUP([jobnumber],OvalData[],MATCH(Table2[[#Headers],[Grille Rod Length]],Table2[#Headers],0),0)</f>
        <v>0</v>
      </c>
      <c r="AJ706" s="2">
        <f>VLOOKUP([jobnumber],OvalData[],MATCH(Table2[[#Headers],[slattype]],Table2[#Headers],0),0)</f>
        <v>2</v>
      </c>
      <c r="AK706" s="2">
        <f>VLOOKUP([jobnumber],OvalData[],MATCH(Table2[[#Headers],[slatgage]],Table2[#Headers],0),0)</f>
        <v>18</v>
      </c>
      <c r="AL706" s="2">
        <f>VLOOKUP([jobnumber],OvalData[],MATCH(Table2[[#Headers],[Numer of Top Slats]],Table2[#Headers],0),0)</f>
        <v>0</v>
      </c>
      <c r="AM706" s="2">
        <f>VLOOKUP([jobnumber],OvalData[],MATCH(Table2[[#Headers],[Number of Bottom Slats]],Table2[#Headers],0),0)</f>
        <v>0</v>
      </c>
      <c r="AN706" s="2">
        <f>VLOOKUP([jobnumber],OvalData[],MATCH(Table2[[#Headers],[Solid Bottom Height]],Table2[#Headers],0),0)</f>
        <v>0</v>
      </c>
      <c r="AO706" s="2" t="str">
        <f>VLOOKUP([jobnumber],OvalData[],MATCH(Table2[[#Headers],[slatlength]],Table2[#Headers],0),0)</f>
        <v xml:space="preserve"> 18 ft.- 5 7/ 8"</v>
      </c>
      <c r="AP706" s="2">
        <f>VLOOKUP([jobnumber],OvalData[],MATCH(Table2[[#Headers],[Bottom Slat Length]],Table2[#Headers],0),0)</f>
        <v>0</v>
      </c>
      <c r="AQ706" s="2">
        <f>VLOOKUP([jobnumber],OvalData[],MATCH(Table2[[#Headers],[Number of Perferated Slats]],Table2[#Headers],0),0)</f>
        <v>0</v>
      </c>
      <c r="AR706" s="2">
        <f>VLOOKUP([jobnumber],OvalData[],MATCH(Table2[[#Headers],[First Preferated Slat From End]],Table2[#Headers],0),0)</f>
        <v>0</v>
      </c>
      <c r="AS706" s="2">
        <f>VLOOKUP([jobnumber],OvalData[],MATCH(Table2[[#Headers],[First Preferated Slat From Bottom]],Table2[#Headers],0),0)</f>
        <v>0</v>
      </c>
      <c r="AT706" s="2">
        <f>VLOOKUP([jobnumber],OvalData[],MATCH(Table2[[#Headers],[Total Number of Slats]],Table2[#Headers],0),0)</f>
        <v>51</v>
      </c>
      <c r="AU706" s="2">
        <f>VLOOKUP([jobnumber],OvalData[],MATCH(Table2[[#Headers],[Bottom Bar Slope]],Table2[#Headers],0),0)</f>
        <v>0</v>
      </c>
      <c r="AV706" s="2">
        <f>VLOOKUP([jobnumber],OvalData[],MATCH(Table2[[#Headers],[Bottom Bar Weight]],Table2[#Headers],0),0)</f>
        <v>80.5</v>
      </c>
      <c r="AW706" s="2" t="str">
        <f>VLOOKUP([jobnumber],OvalData[],MATCH(Table2[[#Headers],[Outer Spring Gage]],Table2[#Headers],0),0)</f>
        <v>Null</v>
      </c>
      <c r="AX706" s="2" t="str">
        <f>VLOOKUP([jobnumber],OvalData[],MATCH(Table2[[#Headers],[Outer Spring OD]],Table2[#Headers],0),0)</f>
        <v>Null</v>
      </c>
      <c r="AY706" s="2" t="str">
        <f>VLOOKUP([jobnumber],OvalData[],MATCH(Table2[[#Headers],[Outer Spring Length]],Table2[#Headers],0),0)</f>
        <v>Null</v>
      </c>
      <c r="AZ706" s="2" t="str">
        <f>VLOOKUP([jobnumber],OvalData[],MATCH(Table2[[#Headers],[Outer Spring Stretch]],Table2[#Headers],0),0)</f>
        <v>Null</v>
      </c>
      <c r="BA706" s="2" t="str">
        <f>VLOOKUP([jobnumber],OvalData[],MATCH(Table2[[#Headers],[Outer Spring Torque]],Table2[#Headers],0),0)</f>
        <v>Null</v>
      </c>
      <c r="BB706" s="2" t="str">
        <f>VLOOKUP([jobnumber],OvalData[],MATCH(Table2[[#Headers],[Outer Spring Max Turns]],Table2[#Headers],0),0)</f>
        <v>Null</v>
      </c>
      <c r="BC706" s="2" t="str">
        <f>VLOOKUP([jobnumber],OvalData[],MATCH(Table2[[#Headers],[Outer Spring Weight]],Table2[#Headers],0),0)</f>
        <v>Null</v>
      </c>
      <c r="BD706" s="2" t="str">
        <f>VLOOKUP([jobnumber],OvalData[],MATCH(Table2[[#Headers],[Inner Spring Gage]],Table2[#Headers],0),0)</f>
        <v>Null</v>
      </c>
      <c r="BE706" s="2" t="str">
        <f>VLOOKUP([jobnumber],OvalData[],MATCH(Table2[[#Headers],[Inner Spring OD]],Table2[#Headers],0),0)</f>
        <v>Null</v>
      </c>
      <c r="BF706" s="2" t="str">
        <f>VLOOKUP([jobnumber],OvalData[],MATCH(Table2[[#Headers],[Inner Spring Length]],Table2[#Headers],0),0)</f>
        <v>Null</v>
      </c>
      <c r="BG706" s="2" t="str">
        <f>VLOOKUP([jobnumber],OvalData[],MATCH(Table2[[#Headers],[Inner Spring Stretch]],Table2[#Headers],0),0)</f>
        <v>Null</v>
      </c>
      <c r="BH706" s="2" t="str">
        <f>VLOOKUP([jobnumber],OvalData[],MATCH(Table2[[#Headers],[Inner Spring Torque]],Table2[#Headers],0),0)</f>
        <v>Null</v>
      </c>
      <c r="BI706" s="2" t="str">
        <f>VLOOKUP([jobnumber],OvalData[],MATCH(Table2[[#Headers],[Inner Spring Max Turns]],Table2[#Headers],0),0)</f>
        <v>Null</v>
      </c>
      <c r="BJ706" s="2" t="str">
        <f>VLOOKUP([jobnumber],OvalData[],MATCH(Table2[[#Headers],[Inner Spring Weight]],Table2[#Headers],0),0)</f>
        <v>Null</v>
      </c>
      <c r="BK706" s="2">
        <f>VLOOKUP([jobnumber],OvalData[],MATCH(Table2[[#Headers],[Cycles]],Table2[#Headers],0),0)</f>
        <v>0</v>
      </c>
      <c r="BL706" s="2">
        <f>VLOOKUP([jobnumber],OvalData[],MATCH(Table2[[#Headers],[Total Spring Torque]],Table2[#Headers],0),0)</f>
        <v>0</v>
      </c>
      <c r="BM706" s="2">
        <f>VLOOKUP([jobnumber],OvalData[],MATCH(Table2[[#Headers],[Total Spring Weight]],Table2[#Headers],0),0)</f>
        <v>0</v>
      </c>
      <c r="BN706" s="2">
        <f>VLOOKUP([jobnumber],OvalData[],MATCH(Table2[[#Headers],[Pipe Weight]],Table2[#Headers],0),0)</f>
        <v>688.24239999999998</v>
      </c>
      <c r="BO706" s="2">
        <f>VLOOKUP([jobnumber],OvalData[],MATCH(Table2[[#Headers],[Max Pipe Deflection]],Table2[#Headers],0),0)</f>
        <v>2309</v>
      </c>
      <c r="BP706" s="2">
        <f>VLOOKUP([jobnumber],OvalData[],MATCH(Table2[[#Headers],[Number Non-Insulated Wrap Slats]],Table2[#Headers],0),0)</f>
        <v>0</v>
      </c>
      <c r="BQ706" s="2">
        <f>VLOOKUP([jobnumber],OvalData[],MATCH(Table2[[#Headers],[Number of Insolated Top Slats]],Table2[#Headers],0),0)</f>
        <v>45</v>
      </c>
      <c r="BR706" s="2">
        <f>VLOOKUP([jobnumber],OvalData[],MATCH(Table2[[#Headers],[Insolated Total Slats]],Table2[#Headers],0),0)</f>
        <v>45</v>
      </c>
      <c r="BS706" s="2">
        <f>VLOOKUP([jobnumber],OvalData[],MATCH(Table2[[#Headers],[Number of Slats]],Table2[#Headers],0),0)</f>
        <v>44.69</v>
      </c>
      <c r="BT706" s="2">
        <f>VLOOKUP([jobnumber],OvalData[],MATCH(Table2[[#Headers],[Wrap]],Table2[#Headers],0),0)</f>
        <v>0</v>
      </c>
      <c r="BU706" s="2">
        <f>VLOOKUP([jobnumber],OvalData[],MATCH(Table2[[#Headers],[Wall Angle Thickness]],Table2[#Headers],0),0)</f>
        <v>0</v>
      </c>
      <c r="BV706" s="2">
        <f>VLOOKUP([jobnumber],OvalData[],MATCH(Table2[[#Headers],[windlocks]],Table2[#Headers],0),0)</f>
        <v>0</v>
      </c>
      <c r="BW706" s="2" t="str">
        <f>VLOOKUP([jobnumber],OvalData[],MATCH(Table2[[#Headers],[bottombartype]],Table2[#Headers],0),0)</f>
        <v>SPECIAL</v>
      </c>
      <c r="BX706" s="2">
        <f>VLOOKUP([jobnumber],OvalData[],MATCH(Table2[[#Headers],[endlockweight]],Table2[#Headers],0),0)</f>
        <v>0.17</v>
      </c>
      <c r="BY706" s="2">
        <f>VLOOKUP([jobnumber],OvalData[],MATCH(Table2[[#Headers],[Endlock Total Weight]],Table2[#Headers],0),0)</f>
        <v>7.5972999999999997</v>
      </c>
      <c r="BZ706" s="2">
        <f>VLOOKUP([jobnumber],OvalData[],MATCH(Table2[[#Headers],[Grille Weight]],Table2[#Headers],0),0)</f>
        <v>0</v>
      </c>
      <c r="CA706" s="2">
        <f>VLOOKUP([jobnumber],OvalData[],MATCH(Table2[[#Headers],[barrelrings]],Table2[#Headers],0),0)</f>
        <v>1</v>
      </c>
    </row>
    <row r="707" spans="2:79">
      <c r="B707" s="2" t="str">
        <f>VLOOKUP([jobnumber],OvalData[],MATCH(Table2[[#Headers],[Hand]],Table2[#Headers],0),0)</f>
        <v>RH</v>
      </c>
      <c r="C707" s="2" t="str">
        <f>VLOOKUP([jobnumber],OvalData[],MATCH(Table2[[#Headers],[Model]],Table2[#Headers],0),0)</f>
        <v>SFMPP</v>
      </c>
      <c r="D707" s="2" t="str">
        <f>VLOOKUP([jobnumber],OvalData[],MATCH(Table2[[#Headers],[width]],Table2[#Headers],0),0)</f>
        <v xml:space="preserve"> 18 ft.- 2"</v>
      </c>
      <c r="E707" s="2" t="str">
        <f>VLOOKUP([jobnumber],OvalData[],MATCH(Table2[[#Headers],[stopheight]],Table2[#Headers],0),0)</f>
        <v xml:space="preserve"> 10 ft.- 0"</v>
      </c>
      <c r="F707" s="2" t="str">
        <f>VLOOKUP([jobnumber],OvalData[],MATCH(Table2[[#Headers],[Between Brackets]],Table2[#Headers],0),0)</f>
        <v xml:space="preserve"> 18 ft.- 7 7/ 8"</v>
      </c>
      <c r="G707" s="2" t="str">
        <f>VLOOKUP([jobnumber],OvalData[],MATCH(Table2[[#Headers],[shell]],Table2[#Headers],0),0)</f>
        <v>6 INCH TUBE</v>
      </c>
      <c r="H707" s="2" t="str">
        <f>VLOOKUP([jobnumber],OvalData[],MATCH(Table2[[#Headers],[pipewidth]],Table2[#Headers],0),0)</f>
        <v xml:space="preserve"> 18 ft.- 1 3/ 8"</v>
      </c>
      <c r="I707" s="2">
        <f>VLOOKUP([jobnumber],OvalData[],MATCH(Table2[[#Headers],[Support Tubes]],Table2[#Headers],0),0)</f>
        <v>0</v>
      </c>
      <c r="J707" s="2">
        <f>VLOOKUP([jobnumber],OvalData[],MATCH(Table2[[#Headers],[Upset]],Table2[#Headers],0),0)</f>
        <v>2</v>
      </c>
      <c r="K707" s="2" t="str">
        <f>VLOOKUP([jobnumber],OvalData[],MATCH(Table2[[#Headers],[Guide Type]],Table2[#Headers],0),0)</f>
        <v>SN2-4 5/8-E</v>
      </c>
      <c r="L707" s="2" t="str">
        <f>VLOOKUP([jobnumber],OvalData[],MATCH(Table2[[#Headers],[Wall Angle]],Table2[#Headers],0),0)</f>
        <v xml:space="preserve"> 11 ft.- 8"</v>
      </c>
      <c r="M707" s="2" t="str">
        <f>VLOOKUP([jobnumber],OvalData[],MATCH(Table2[[#Headers],[Middle Angle]],Table2[#Headers],0),0)</f>
        <v xml:space="preserve"> 10 ft.- 4 1/ 2"</v>
      </c>
      <c r="N707" s="2" t="str">
        <f>VLOOKUP([jobnumber],OvalData[],MATCH(Table2[[#Headers],[Front Angle]],Table2[#Headers],0),0)</f>
        <v xml:space="preserve"> 10 ft.- 3"</v>
      </c>
      <c r="O707" s="2">
        <f>VLOOKUP([jobnumber],OvalData[],MATCH(Table2[[#Headers],[Pipe Center Line]],Table2[#Headers],0),0)</f>
        <v>131</v>
      </c>
      <c r="P707" s="2">
        <f>VLOOKUP([jobnumber],OvalData[],MATCH(Table2[[#Headers],[Heat Expansion Gap]],Table2[#Headers],0),0)</f>
        <v>0</v>
      </c>
      <c r="Q707" s="2">
        <f>VLOOKUP([jobnumber],OvalData[],MATCH(Table2[[#Headers],[Hanging Weight Closed]],Table2[#Headers],0),0)</f>
        <v>795</v>
      </c>
      <c r="R707" s="2">
        <f>VLOOKUP([jobnumber],OvalData[],MATCH(Table2[[#Headers],[Hanging Weight Open]],Table2[#Headers],0),0)</f>
        <v>140</v>
      </c>
      <c r="S707" s="2">
        <f>VLOOKUP([jobnumber],OvalData[],MATCH(Table2[[#Headers],[Initial Lever Arm]],Table2[#Headers],0),0)</f>
        <v>4.25</v>
      </c>
      <c r="T707" s="2">
        <f>VLOOKUP([jobnumber],OvalData[],MATCH(Table2[[#Headers],[Turns to Raise]],Table2[#Headers],0),0)</f>
        <v>3.5859999999999999</v>
      </c>
      <c r="U707" s="2">
        <f>VLOOKUP([jobnumber],OvalData[],MATCH(Table2[[#Headers],[Final Lever Arm]],Table2[#Headers],0),0)</f>
        <v>6.37</v>
      </c>
      <c r="V707" s="2">
        <f>VLOOKUP([jobnumber],OvalData[],MATCH(Table2[[#Headers],[Torque Required Closed]],Table2[#Headers],0),0)</f>
        <v>3377.9</v>
      </c>
      <c r="W707" s="2">
        <f>VLOOKUP([jobnumber],OvalData[],MATCH(Table2[[#Headers],[Torque Required Open]],Table2[#Headers],0),0)</f>
        <v>892</v>
      </c>
      <c r="X707" s="2">
        <f>VLOOKUP([jobnumber],OvalData[],MATCH(Table2[[#Headers],[Pre Turns]],Table2[#Headers],0),0)</f>
        <v>1.3332999999999999</v>
      </c>
      <c r="Y707" s="2">
        <f>VLOOKUP([jobnumber],OvalData[],MATCH(Table2[[#Headers],[Required Torque Per Turn]],Table2[#Headers],0),0)</f>
        <v>688</v>
      </c>
      <c r="Z707" s="2">
        <f>VLOOKUP([jobnumber],OvalData[],MATCH(Table2[[#Headers],[Total Turns]],Table2[#Headers],0),0)</f>
        <v>4.91</v>
      </c>
      <c r="AA707" s="2">
        <f>VLOOKUP([jobnumber],OvalData[],MATCH(Table2[[#Headers],[Grille Vision Section]],Table2[#Headers],0),0)</f>
        <v>0</v>
      </c>
      <c r="AB707" s="2">
        <f>VLOOKUP([jobnumber],OvalData[],MATCH(Table2[[#Headers],[Grille Amount]],Table2[#Headers],0),0)</f>
        <v>0</v>
      </c>
      <c r="AC707" s="2">
        <f>VLOOKUP([jobnumber],OvalData[],MATCH(Table2[[#Headers],[Grille Center]],Table2[#Headers],0),0)</f>
        <v>0</v>
      </c>
      <c r="AD707" s="2">
        <f>VLOOKUP([jobnumber],OvalData[],MATCH(Table2[[#Headers],[Grille Pattern]],Table2[#Headers],0),0)</f>
        <v>0</v>
      </c>
      <c r="AE707" s="2">
        <f>VLOOKUP([jobnumber],OvalData[],MATCH(Table2[[#Headers],[Grille First Tube]],Table2[#Headers],0),0)</f>
        <v>0</v>
      </c>
      <c r="AF707" s="2">
        <f>VLOOKUP([jobnumber],OvalData[],MATCH(Table2[[#Headers],[Grille Standard Tube]],Table2[#Headers],0),0)</f>
        <v>0</v>
      </c>
      <c r="AG707" s="2">
        <f>VLOOKUP([jobnumber],OvalData[],MATCH(Table2[[#Headers],[Grille Total Links]],Table2[#Headers],0),0)</f>
        <v>0</v>
      </c>
      <c r="AH707" s="2">
        <f>VLOOKUP([jobnumber],OvalData[],MATCH(Table2[[#Headers],[Grille Rods]],Table2[#Headers],0),0)</f>
        <v>0</v>
      </c>
      <c r="AI707" s="2">
        <f>VLOOKUP([jobnumber],OvalData[],MATCH(Table2[[#Headers],[Grille Rod Length]],Table2[#Headers],0),0)</f>
        <v>0</v>
      </c>
      <c r="AJ707" s="2">
        <f>VLOOKUP([jobnumber],OvalData[],MATCH(Table2[[#Headers],[slattype]],Table2[#Headers],0),0)</f>
        <v>2</v>
      </c>
      <c r="AK707" s="2">
        <f>VLOOKUP([jobnumber],OvalData[],MATCH(Table2[[#Headers],[slatgage]],Table2[#Headers],0),0)</f>
        <v>18</v>
      </c>
      <c r="AL707" s="2">
        <f>VLOOKUP([jobnumber],OvalData[],MATCH(Table2[[#Headers],[Numer of Top Slats]],Table2[#Headers],0),0)</f>
        <v>0</v>
      </c>
      <c r="AM707" s="2">
        <f>VLOOKUP([jobnumber],OvalData[],MATCH(Table2[[#Headers],[Number of Bottom Slats]],Table2[#Headers],0),0)</f>
        <v>0</v>
      </c>
      <c r="AN707" s="2">
        <f>VLOOKUP([jobnumber],OvalData[],MATCH(Table2[[#Headers],[Solid Bottom Height]],Table2[#Headers],0),0)</f>
        <v>0</v>
      </c>
      <c r="AO707" s="2" t="str">
        <f>VLOOKUP([jobnumber],OvalData[],MATCH(Table2[[#Headers],[slatlength]],Table2[#Headers],0),0)</f>
        <v xml:space="preserve"> 18 ft.- 5 7/ 8"</v>
      </c>
      <c r="AP707" s="2">
        <f>VLOOKUP([jobnumber],OvalData[],MATCH(Table2[[#Headers],[Bottom Slat Length]],Table2[#Headers],0),0)</f>
        <v>0</v>
      </c>
      <c r="AQ707" s="2">
        <f>VLOOKUP([jobnumber],OvalData[],MATCH(Table2[[#Headers],[Number of Perferated Slats]],Table2[#Headers],0),0)</f>
        <v>0</v>
      </c>
      <c r="AR707" s="2">
        <f>VLOOKUP([jobnumber],OvalData[],MATCH(Table2[[#Headers],[First Preferated Slat From End]],Table2[#Headers],0),0)</f>
        <v>0</v>
      </c>
      <c r="AS707" s="2">
        <f>VLOOKUP([jobnumber],OvalData[],MATCH(Table2[[#Headers],[First Preferated Slat From Bottom]],Table2[#Headers],0),0)</f>
        <v>0</v>
      </c>
      <c r="AT707" s="2">
        <f>VLOOKUP([jobnumber],OvalData[],MATCH(Table2[[#Headers],[Total Number of Slats]],Table2[#Headers],0),0)</f>
        <v>51</v>
      </c>
      <c r="AU707" s="2">
        <f>VLOOKUP([jobnumber],OvalData[],MATCH(Table2[[#Headers],[Bottom Bar Slope]],Table2[#Headers],0),0)</f>
        <v>0</v>
      </c>
      <c r="AV707" s="2">
        <f>VLOOKUP([jobnumber],OvalData[],MATCH(Table2[[#Headers],[Bottom Bar Weight]],Table2[#Headers],0),0)</f>
        <v>80.5</v>
      </c>
      <c r="AW707" s="2" t="str">
        <f>VLOOKUP([jobnumber],OvalData[],MATCH(Table2[[#Headers],[Outer Spring Gage]],Table2[#Headers],0),0)</f>
        <v>Null</v>
      </c>
      <c r="AX707" s="2" t="str">
        <f>VLOOKUP([jobnumber],OvalData[],MATCH(Table2[[#Headers],[Outer Spring OD]],Table2[#Headers],0),0)</f>
        <v>Null</v>
      </c>
      <c r="AY707" s="2" t="str">
        <f>VLOOKUP([jobnumber],OvalData[],MATCH(Table2[[#Headers],[Outer Spring Length]],Table2[#Headers],0),0)</f>
        <v>Null</v>
      </c>
      <c r="AZ707" s="2" t="str">
        <f>VLOOKUP([jobnumber],OvalData[],MATCH(Table2[[#Headers],[Outer Spring Stretch]],Table2[#Headers],0),0)</f>
        <v>Null</v>
      </c>
      <c r="BA707" s="2" t="str">
        <f>VLOOKUP([jobnumber],OvalData[],MATCH(Table2[[#Headers],[Outer Spring Torque]],Table2[#Headers],0),0)</f>
        <v>Null</v>
      </c>
      <c r="BB707" s="2" t="str">
        <f>VLOOKUP([jobnumber],OvalData[],MATCH(Table2[[#Headers],[Outer Spring Max Turns]],Table2[#Headers],0),0)</f>
        <v>Null</v>
      </c>
      <c r="BC707" s="2" t="str">
        <f>VLOOKUP([jobnumber],OvalData[],MATCH(Table2[[#Headers],[Outer Spring Weight]],Table2[#Headers],0),0)</f>
        <v>Null</v>
      </c>
      <c r="BD707" s="2" t="str">
        <f>VLOOKUP([jobnumber],OvalData[],MATCH(Table2[[#Headers],[Inner Spring Gage]],Table2[#Headers],0),0)</f>
        <v>Null</v>
      </c>
      <c r="BE707" s="2" t="str">
        <f>VLOOKUP([jobnumber],OvalData[],MATCH(Table2[[#Headers],[Inner Spring OD]],Table2[#Headers],0),0)</f>
        <v>Null</v>
      </c>
      <c r="BF707" s="2" t="str">
        <f>VLOOKUP([jobnumber],OvalData[],MATCH(Table2[[#Headers],[Inner Spring Length]],Table2[#Headers],0),0)</f>
        <v>Null</v>
      </c>
      <c r="BG707" s="2" t="str">
        <f>VLOOKUP([jobnumber],OvalData[],MATCH(Table2[[#Headers],[Inner Spring Stretch]],Table2[#Headers],0),0)</f>
        <v>Null</v>
      </c>
      <c r="BH707" s="2" t="str">
        <f>VLOOKUP([jobnumber],OvalData[],MATCH(Table2[[#Headers],[Inner Spring Torque]],Table2[#Headers],0),0)</f>
        <v>Null</v>
      </c>
      <c r="BI707" s="2" t="str">
        <f>VLOOKUP([jobnumber],OvalData[],MATCH(Table2[[#Headers],[Inner Spring Max Turns]],Table2[#Headers],0),0)</f>
        <v>Null</v>
      </c>
      <c r="BJ707" s="2" t="str">
        <f>VLOOKUP([jobnumber],OvalData[],MATCH(Table2[[#Headers],[Inner Spring Weight]],Table2[#Headers],0),0)</f>
        <v>Null</v>
      </c>
      <c r="BK707" s="2">
        <f>VLOOKUP([jobnumber],OvalData[],MATCH(Table2[[#Headers],[Cycles]],Table2[#Headers],0),0)</f>
        <v>0</v>
      </c>
      <c r="BL707" s="2">
        <f>VLOOKUP([jobnumber],OvalData[],MATCH(Table2[[#Headers],[Total Spring Torque]],Table2[#Headers],0),0)</f>
        <v>0</v>
      </c>
      <c r="BM707" s="2">
        <f>VLOOKUP([jobnumber],OvalData[],MATCH(Table2[[#Headers],[Total Spring Weight]],Table2[#Headers],0),0)</f>
        <v>0</v>
      </c>
      <c r="BN707" s="2">
        <f>VLOOKUP([jobnumber],OvalData[],MATCH(Table2[[#Headers],[Pipe Weight]],Table2[#Headers],0),0)</f>
        <v>688.24239999999998</v>
      </c>
      <c r="BO707" s="2">
        <f>VLOOKUP([jobnumber],OvalData[],MATCH(Table2[[#Headers],[Max Pipe Deflection]],Table2[#Headers],0),0)</f>
        <v>2309</v>
      </c>
      <c r="BP707" s="2">
        <f>VLOOKUP([jobnumber],OvalData[],MATCH(Table2[[#Headers],[Number Non-Insulated Wrap Slats]],Table2[#Headers],0),0)</f>
        <v>0</v>
      </c>
      <c r="BQ707" s="2">
        <f>VLOOKUP([jobnumber],OvalData[],MATCH(Table2[[#Headers],[Number of Insolated Top Slats]],Table2[#Headers],0),0)</f>
        <v>45</v>
      </c>
      <c r="BR707" s="2">
        <f>VLOOKUP([jobnumber],OvalData[],MATCH(Table2[[#Headers],[Insolated Total Slats]],Table2[#Headers],0),0)</f>
        <v>45</v>
      </c>
      <c r="BS707" s="2">
        <f>VLOOKUP([jobnumber],OvalData[],MATCH(Table2[[#Headers],[Number of Slats]],Table2[#Headers],0),0)</f>
        <v>44.69</v>
      </c>
      <c r="BT707" s="2">
        <f>VLOOKUP([jobnumber],OvalData[],MATCH(Table2[[#Headers],[Wrap]],Table2[#Headers],0),0)</f>
        <v>0</v>
      </c>
      <c r="BU707" s="2">
        <f>VLOOKUP([jobnumber],OvalData[],MATCH(Table2[[#Headers],[Wall Angle Thickness]],Table2[#Headers],0),0)</f>
        <v>0</v>
      </c>
      <c r="BV707" s="2">
        <f>VLOOKUP([jobnumber],OvalData[],MATCH(Table2[[#Headers],[windlocks]],Table2[#Headers],0),0)</f>
        <v>0</v>
      </c>
      <c r="BW707" s="2" t="str">
        <f>VLOOKUP([jobnumber],OvalData[],MATCH(Table2[[#Headers],[bottombartype]],Table2[#Headers],0),0)</f>
        <v>SPECIAL</v>
      </c>
      <c r="BX707" s="2">
        <f>VLOOKUP([jobnumber],OvalData[],MATCH(Table2[[#Headers],[endlockweight]],Table2[#Headers],0),0)</f>
        <v>0.17</v>
      </c>
      <c r="BY707" s="2">
        <f>VLOOKUP([jobnumber],OvalData[],MATCH(Table2[[#Headers],[Endlock Total Weight]],Table2[#Headers],0),0)</f>
        <v>7.5972999999999997</v>
      </c>
      <c r="BZ707" s="2">
        <f>VLOOKUP([jobnumber],OvalData[],MATCH(Table2[[#Headers],[Grille Weight]],Table2[#Headers],0),0)</f>
        <v>0</v>
      </c>
      <c r="CA707" s="2">
        <f>VLOOKUP([jobnumber],OvalData[],MATCH(Table2[[#Headers],[barrelrings]],Table2[#Headers],0),0)</f>
        <v>1</v>
      </c>
    </row>
    <row r="708" spans="2:79">
      <c r="B708" s="2" t="str">
        <f>VLOOKUP([jobnumber],OvalData[],MATCH(Table2[[#Headers],[Hand]],Table2[#Headers],0),0)</f>
        <v>RH</v>
      </c>
      <c r="C708" s="2" t="str">
        <f>VLOOKUP([jobnumber],OvalData[],MATCH(Table2[[#Headers],[Model]],Table2[#Headers],0),0)</f>
        <v>SFMPP</v>
      </c>
      <c r="D708" s="2" t="str">
        <f>VLOOKUP([jobnumber],OvalData[],MATCH(Table2[[#Headers],[width]],Table2[#Headers],0),0)</f>
        <v xml:space="preserve"> 18 ft.- 2"</v>
      </c>
      <c r="E708" s="2" t="str">
        <f>VLOOKUP([jobnumber],OvalData[],MATCH(Table2[[#Headers],[stopheight]],Table2[#Headers],0),0)</f>
        <v xml:space="preserve"> 10 ft.- 0"</v>
      </c>
      <c r="F708" s="2" t="str">
        <f>VLOOKUP([jobnumber],OvalData[],MATCH(Table2[[#Headers],[Between Brackets]],Table2[#Headers],0),0)</f>
        <v xml:space="preserve"> 18 ft.- 7 7/ 8"</v>
      </c>
      <c r="G708" s="2" t="str">
        <f>VLOOKUP([jobnumber],OvalData[],MATCH(Table2[[#Headers],[shell]],Table2[#Headers],0),0)</f>
        <v>6 INCH TUBE</v>
      </c>
      <c r="H708" s="2" t="str">
        <f>VLOOKUP([jobnumber],OvalData[],MATCH(Table2[[#Headers],[pipewidth]],Table2[#Headers],0),0)</f>
        <v xml:space="preserve"> 18 ft.- 1 3/ 8"</v>
      </c>
      <c r="I708" s="2">
        <f>VLOOKUP([jobnumber],OvalData[],MATCH(Table2[[#Headers],[Support Tubes]],Table2[#Headers],0),0)</f>
        <v>0</v>
      </c>
      <c r="J708" s="2">
        <f>VLOOKUP([jobnumber],OvalData[],MATCH(Table2[[#Headers],[Upset]],Table2[#Headers],0),0)</f>
        <v>2</v>
      </c>
      <c r="K708" s="2" t="str">
        <f>VLOOKUP([jobnumber],OvalData[],MATCH(Table2[[#Headers],[Guide Type]],Table2[#Headers],0),0)</f>
        <v>SN2-4 5/8-E</v>
      </c>
      <c r="L708" s="2" t="str">
        <f>VLOOKUP([jobnumber],OvalData[],MATCH(Table2[[#Headers],[Wall Angle]],Table2[#Headers],0),0)</f>
        <v xml:space="preserve"> 11 ft.- 8"</v>
      </c>
      <c r="M708" s="2" t="str">
        <f>VLOOKUP([jobnumber],OvalData[],MATCH(Table2[[#Headers],[Middle Angle]],Table2[#Headers],0),0)</f>
        <v xml:space="preserve"> 10 ft.- 4 1/ 2"</v>
      </c>
      <c r="N708" s="2" t="str">
        <f>VLOOKUP([jobnumber],OvalData[],MATCH(Table2[[#Headers],[Front Angle]],Table2[#Headers],0),0)</f>
        <v xml:space="preserve"> 10 ft.- 3"</v>
      </c>
      <c r="O708" s="2">
        <f>VLOOKUP([jobnumber],OvalData[],MATCH(Table2[[#Headers],[Pipe Center Line]],Table2[#Headers],0),0)</f>
        <v>131</v>
      </c>
      <c r="P708" s="2">
        <f>VLOOKUP([jobnumber],OvalData[],MATCH(Table2[[#Headers],[Heat Expansion Gap]],Table2[#Headers],0),0)</f>
        <v>0</v>
      </c>
      <c r="Q708" s="2">
        <f>VLOOKUP([jobnumber],OvalData[],MATCH(Table2[[#Headers],[Hanging Weight Closed]],Table2[#Headers],0),0)</f>
        <v>795</v>
      </c>
      <c r="R708" s="2">
        <f>VLOOKUP([jobnumber],OvalData[],MATCH(Table2[[#Headers],[Hanging Weight Open]],Table2[#Headers],0),0)</f>
        <v>140</v>
      </c>
      <c r="S708" s="2">
        <f>VLOOKUP([jobnumber],OvalData[],MATCH(Table2[[#Headers],[Initial Lever Arm]],Table2[#Headers],0),0)</f>
        <v>4.25</v>
      </c>
      <c r="T708" s="2">
        <f>VLOOKUP([jobnumber],OvalData[],MATCH(Table2[[#Headers],[Turns to Raise]],Table2[#Headers],0),0)</f>
        <v>3.5859999999999999</v>
      </c>
      <c r="U708" s="2">
        <f>VLOOKUP([jobnumber],OvalData[],MATCH(Table2[[#Headers],[Final Lever Arm]],Table2[#Headers],0),0)</f>
        <v>6.37</v>
      </c>
      <c r="V708" s="2">
        <f>VLOOKUP([jobnumber],OvalData[],MATCH(Table2[[#Headers],[Torque Required Closed]],Table2[#Headers],0),0)</f>
        <v>3377.9</v>
      </c>
      <c r="W708" s="2">
        <f>VLOOKUP([jobnumber],OvalData[],MATCH(Table2[[#Headers],[Torque Required Open]],Table2[#Headers],0),0)</f>
        <v>892</v>
      </c>
      <c r="X708" s="2">
        <f>VLOOKUP([jobnumber],OvalData[],MATCH(Table2[[#Headers],[Pre Turns]],Table2[#Headers],0),0)</f>
        <v>1.3332999999999999</v>
      </c>
      <c r="Y708" s="2">
        <f>VLOOKUP([jobnumber],OvalData[],MATCH(Table2[[#Headers],[Required Torque Per Turn]],Table2[#Headers],0),0)</f>
        <v>688</v>
      </c>
      <c r="Z708" s="2">
        <f>VLOOKUP([jobnumber],OvalData[],MATCH(Table2[[#Headers],[Total Turns]],Table2[#Headers],0),0)</f>
        <v>4.91</v>
      </c>
      <c r="AA708" s="2">
        <f>VLOOKUP([jobnumber],OvalData[],MATCH(Table2[[#Headers],[Grille Vision Section]],Table2[#Headers],0),0)</f>
        <v>0</v>
      </c>
      <c r="AB708" s="2">
        <f>VLOOKUP([jobnumber],OvalData[],MATCH(Table2[[#Headers],[Grille Amount]],Table2[#Headers],0),0)</f>
        <v>0</v>
      </c>
      <c r="AC708" s="2">
        <f>VLOOKUP([jobnumber],OvalData[],MATCH(Table2[[#Headers],[Grille Center]],Table2[#Headers],0),0)</f>
        <v>0</v>
      </c>
      <c r="AD708" s="2">
        <f>VLOOKUP([jobnumber],OvalData[],MATCH(Table2[[#Headers],[Grille Pattern]],Table2[#Headers],0),0)</f>
        <v>0</v>
      </c>
      <c r="AE708" s="2">
        <f>VLOOKUP([jobnumber],OvalData[],MATCH(Table2[[#Headers],[Grille First Tube]],Table2[#Headers],0),0)</f>
        <v>0</v>
      </c>
      <c r="AF708" s="2">
        <f>VLOOKUP([jobnumber],OvalData[],MATCH(Table2[[#Headers],[Grille Standard Tube]],Table2[#Headers],0),0)</f>
        <v>0</v>
      </c>
      <c r="AG708" s="2">
        <f>VLOOKUP([jobnumber],OvalData[],MATCH(Table2[[#Headers],[Grille Total Links]],Table2[#Headers],0),0)</f>
        <v>0</v>
      </c>
      <c r="AH708" s="2">
        <f>VLOOKUP([jobnumber],OvalData[],MATCH(Table2[[#Headers],[Grille Rods]],Table2[#Headers],0),0)</f>
        <v>0</v>
      </c>
      <c r="AI708" s="2">
        <f>VLOOKUP([jobnumber],OvalData[],MATCH(Table2[[#Headers],[Grille Rod Length]],Table2[#Headers],0),0)</f>
        <v>0</v>
      </c>
      <c r="AJ708" s="2">
        <f>VLOOKUP([jobnumber],OvalData[],MATCH(Table2[[#Headers],[slattype]],Table2[#Headers],0),0)</f>
        <v>2</v>
      </c>
      <c r="AK708" s="2">
        <f>VLOOKUP([jobnumber],OvalData[],MATCH(Table2[[#Headers],[slatgage]],Table2[#Headers],0),0)</f>
        <v>18</v>
      </c>
      <c r="AL708" s="2">
        <f>VLOOKUP([jobnumber],OvalData[],MATCH(Table2[[#Headers],[Numer of Top Slats]],Table2[#Headers],0),0)</f>
        <v>0</v>
      </c>
      <c r="AM708" s="2">
        <f>VLOOKUP([jobnumber],OvalData[],MATCH(Table2[[#Headers],[Number of Bottom Slats]],Table2[#Headers],0),0)</f>
        <v>0</v>
      </c>
      <c r="AN708" s="2">
        <f>VLOOKUP([jobnumber],OvalData[],MATCH(Table2[[#Headers],[Solid Bottom Height]],Table2[#Headers],0),0)</f>
        <v>0</v>
      </c>
      <c r="AO708" s="2" t="str">
        <f>VLOOKUP([jobnumber],OvalData[],MATCH(Table2[[#Headers],[slatlength]],Table2[#Headers],0),0)</f>
        <v xml:space="preserve"> 18 ft.- 5 7/ 8"</v>
      </c>
      <c r="AP708" s="2">
        <f>VLOOKUP([jobnumber],OvalData[],MATCH(Table2[[#Headers],[Bottom Slat Length]],Table2[#Headers],0),0)</f>
        <v>0</v>
      </c>
      <c r="AQ708" s="2">
        <f>VLOOKUP([jobnumber],OvalData[],MATCH(Table2[[#Headers],[Number of Perferated Slats]],Table2[#Headers],0),0)</f>
        <v>0</v>
      </c>
      <c r="AR708" s="2">
        <f>VLOOKUP([jobnumber],OvalData[],MATCH(Table2[[#Headers],[First Preferated Slat From End]],Table2[#Headers],0),0)</f>
        <v>0</v>
      </c>
      <c r="AS708" s="2">
        <f>VLOOKUP([jobnumber],OvalData[],MATCH(Table2[[#Headers],[First Preferated Slat From Bottom]],Table2[#Headers],0),0)</f>
        <v>0</v>
      </c>
      <c r="AT708" s="2">
        <f>VLOOKUP([jobnumber],OvalData[],MATCH(Table2[[#Headers],[Total Number of Slats]],Table2[#Headers],0),0)</f>
        <v>51</v>
      </c>
      <c r="AU708" s="2">
        <f>VLOOKUP([jobnumber],OvalData[],MATCH(Table2[[#Headers],[Bottom Bar Slope]],Table2[#Headers],0),0)</f>
        <v>0</v>
      </c>
      <c r="AV708" s="2">
        <f>VLOOKUP([jobnumber],OvalData[],MATCH(Table2[[#Headers],[Bottom Bar Weight]],Table2[#Headers],0),0)</f>
        <v>80.5</v>
      </c>
      <c r="AW708" s="2" t="str">
        <f>VLOOKUP([jobnumber],OvalData[],MATCH(Table2[[#Headers],[Outer Spring Gage]],Table2[#Headers],0),0)</f>
        <v>Null</v>
      </c>
      <c r="AX708" s="2" t="str">
        <f>VLOOKUP([jobnumber],OvalData[],MATCH(Table2[[#Headers],[Outer Spring OD]],Table2[#Headers],0),0)</f>
        <v>Null</v>
      </c>
      <c r="AY708" s="2" t="str">
        <f>VLOOKUP([jobnumber],OvalData[],MATCH(Table2[[#Headers],[Outer Spring Length]],Table2[#Headers],0),0)</f>
        <v>Null</v>
      </c>
      <c r="AZ708" s="2" t="str">
        <f>VLOOKUP([jobnumber],OvalData[],MATCH(Table2[[#Headers],[Outer Spring Stretch]],Table2[#Headers],0),0)</f>
        <v>Null</v>
      </c>
      <c r="BA708" s="2" t="str">
        <f>VLOOKUP([jobnumber],OvalData[],MATCH(Table2[[#Headers],[Outer Spring Torque]],Table2[#Headers],0),0)</f>
        <v>Null</v>
      </c>
      <c r="BB708" s="2" t="str">
        <f>VLOOKUP([jobnumber],OvalData[],MATCH(Table2[[#Headers],[Outer Spring Max Turns]],Table2[#Headers],0),0)</f>
        <v>Null</v>
      </c>
      <c r="BC708" s="2" t="str">
        <f>VLOOKUP([jobnumber],OvalData[],MATCH(Table2[[#Headers],[Outer Spring Weight]],Table2[#Headers],0),0)</f>
        <v>Null</v>
      </c>
      <c r="BD708" s="2" t="str">
        <f>VLOOKUP([jobnumber],OvalData[],MATCH(Table2[[#Headers],[Inner Spring Gage]],Table2[#Headers],0),0)</f>
        <v>Null</v>
      </c>
      <c r="BE708" s="2" t="str">
        <f>VLOOKUP([jobnumber],OvalData[],MATCH(Table2[[#Headers],[Inner Spring OD]],Table2[#Headers],0),0)</f>
        <v>Null</v>
      </c>
      <c r="BF708" s="2" t="str">
        <f>VLOOKUP([jobnumber],OvalData[],MATCH(Table2[[#Headers],[Inner Spring Length]],Table2[#Headers],0),0)</f>
        <v>Null</v>
      </c>
      <c r="BG708" s="2" t="str">
        <f>VLOOKUP([jobnumber],OvalData[],MATCH(Table2[[#Headers],[Inner Spring Stretch]],Table2[#Headers],0),0)</f>
        <v>Null</v>
      </c>
      <c r="BH708" s="2" t="str">
        <f>VLOOKUP([jobnumber],OvalData[],MATCH(Table2[[#Headers],[Inner Spring Torque]],Table2[#Headers],0),0)</f>
        <v>Null</v>
      </c>
      <c r="BI708" s="2" t="str">
        <f>VLOOKUP([jobnumber],OvalData[],MATCH(Table2[[#Headers],[Inner Spring Max Turns]],Table2[#Headers],0),0)</f>
        <v>Null</v>
      </c>
      <c r="BJ708" s="2" t="str">
        <f>VLOOKUP([jobnumber],OvalData[],MATCH(Table2[[#Headers],[Inner Spring Weight]],Table2[#Headers],0),0)</f>
        <v>Null</v>
      </c>
      <c r="BK708" s="2">
        <f>VLOOKUP([jobnumber],OvalData[],MATCH(Table2[[#Headers],[Cycles]],Table2[#Headers],0),0)</f>
        <v>0</v>
      </c>
      <c r="BL708" s="2">
        <f>VLOOKUP([jobnumber],OvalData[],MATCH(Table2[[#Headers],[Total Spring Torque]],Table2[#Headers],0),0)</f>
        <v>0</v>
      </c>
      <c r="BM708" s="2">
        <f>VLOOKUP([jobnumber],OvalData[],MATCH(Table2[[#Headers],[Total Spring Weight]],Table2[#Headers],0),0)</f>
        <v>0</v>
      </c>
      <c r="BN708" s="2">
        <f>VLOOKUP([jobnumber],OvalData[],MATCH(Table2[[#Headers],[Pipe Weight]],Table2[#Headers],0),0)</f>
        <v>688.24239999999998</v>
      </c>
      <c r="BO708" s="2">
        <f>VLOOKUP([jobnumber],OvalData[],MATCH(Table2[[#Headers],[Max Pipe Deflection]],Table2[#Headers],0),0)</f>
        <v>2309</v>
      </c>
      <c r="BP708" s="2">
        <f>VLOOKUP([jobnumber],OvalData[],MATCH(Table2[[#Headers],[Number Non-Insulated Wrap Slats]],Table2[#Headers],0),0)</f>
        <v>0</v>
      </c>
      <c r="BQ708" s="2">
        <f>VLOOKUP([jobnumber],OvalData[],MATCH(Table2[[#Headers],[Number of Insolated Top Slats]],Table2[#Headers],0),0)</f>
        <v>45</v>
      </c>
      <c r="BR708" s="2">
        <f>VLOOKUP([jobnumber],OvalData[],MATCH(Table2[[#Headers],[Insolated Total Slats]],Table2[#Headers],0),0)</f>
        <v>45</v>
      </c>
      <c r="BS708" s="2">
        <f>VLOOKUP([jobnumber],OvalData[],MATCH(Table2[[#Headers],[Number of Slats]],Table2[#Headers],0),0)</f>
        <v>44.69</v>
      </c>
      <c r="BT708" s="2">
        <f>VLOOKUP([jobnumber],OvalData[],MATCH(Table2[[#Headers],[Wrap]],Table2[#Headers],0),0)</f>
        <v>0</v>
      </c>
      <c r="BU708" s="2">
        <f>VLOOKUP([jobnumber],OvalData[],MATCH(Table2[[#Headers],[Wall Angle Thickness]],Table2[#Headers],0),0)</f>
        <v>0</v>
      </c>
      <c r="BV708" s="2">
        <f>VLOOKUP([jobnumber],OvalData[],MATCH(Table2[[#Headers],[windlocks]],Table2[#Headers],0),0)</f>
        <v>0</v>
      </c>
      <c r="BW708" s="2" t="str">
        <f>VLOOKUP([jobnumber],OvalData[],MATCH(Table2[[#Headers],[bottombartype]],Table2[#Headers],0),0)</f>
        <v>SPECIAL</v>
      </c>
      <c r="BX708" s="2">
        <f>VLOOKUP([jobnumber],OvalData[],MATCH(Table2[[#Headers],[endlockweight]],Table2[#Headers],0),0)</f>
        <v>0.17</v>
      </c>
      <c r="BY708" s="2">
        <f>VLOOKUP([jobnumber],OvalData[],MATCH(Table2[[#Headers],[Endlock Total Weight]],Table2[#Headers],0),0)</f>
        <v>7.5972999999999997</v>
      </c>
      <c r="BZ708" s="2">
        <f>VLOOKUP([jobnumber],OvalData[],MATCH(Table2[[#Headers],[Grille Weight]],Table2[#Headers],0),0)</f>
        <v>0</v>
      </c>
      <c r="CA708" s="2">
        <f>VLOOKUP([jobnumber],OvalData[],MATCH(Table2[[#Headers],[barrelrings]],Table2[#Headers],0),0)</f>
        <v>1</v>
      </c>
    </row>
    <row r="709" spans="2:79">
      <c r="B709" s="2" t="str">
        <f>VLOOKUP([jobnumber],OvalData[],MATCH(Table2[[#Headers],[Hand]],Table2[#Headers],0),0)</f>
        <v>RH</v>
      </c>
      <c r="C709" s="2" t="str">
        <f>VLOOKUP([jobnumber],OvalData[],MATCH(Table2[[#Headers],[Model]],Table2[#Headers],0),0)</f>
        <v>SFMPP</v>
      </c>
      <c r="D709" s="2" t="str">
        <f>VLOOKUP([jobnumber],OvalData[],MATCH(Table2[[#Headers],[width]],Table2[#Headers],0),0)</f>
        <v xml:space="preserve"> 18 ft.- 2"</v>
      </c>
      <c r="E709" s="2" t="str">
        <f>VLOOKUP([jobnumber],OvalData[],MATCH(Table2[[#Headers],[stopheight]],Table2[#Headers],0),0)</f>
        <v xml:space="preserve"> 10 ft.- 0"</v>
      </c>
      <c r="F709" s="2" t="str">
        <f>VLOOKUP([jobnumber],OvalData[],MATCH(Table2[[#Headers],[Between Brackets]],Table2[#Headers],0),0)</f>
        <v xml:space="preserve"> 18 ft.- 7 7/ 8"</v>
      </c>
      <c r="G709" s="2" t="str">
        <f>VLOOKUP([jobnumber],OvalData[],MATCH(Table2[[#Headers],[shell]],Table2[#Headers],0),0)</f>
        <v>6 INCH TUBE</v>
      </c>
      <c r="H709" s="2" t="str">
        <f>VLOOKUP([jobnumber],OvalData[],MATCH(Table2[[#Headers],[pipewidth]],Table2[#Headers],0),0)</f>
        <v xml:space="preserve"> 18 ft.- 1 3/ 8"</v>
      </c>
      <c r="I709" s="2">
        <f>VLOOKUP([jobnumber],OvalData[],MATCH(Table2[[#Headers],[Support Tubes]],Table2[#Headers],0),0)</f>
        <v>0</v>
      </c>
      <c r="J709" s="2">
        <f>VLOOKUP([jobnumber],OvalData[],MATCH(Table2[[#Headers],[Upset]],Table2[#Headers],0),0)</f>
        <v>2</v>
      </c>
      <c r="K709" s="2" t="str">
        <f>VLOOKUP([jobnumber],OvalData[],MATCH(Table2[[#Headers],[Guide Type]],Table2[#Headers],0),0)</f>
        <v>SN2-4 5/8-E</v>
      </c>
      <c r="L709" s="2" t="str">
        <f>VLOOKUP([jobnumber],OvalData[],MATCH(Table2[[#Headers],[Wall Angle]],Table2[#Headers],0),0)</f>
        <v xml:space="preserve"> 11 ft.- 8"</v>
      </c>
      <c r="M709" s="2" t="str">
        <f>VLOOKUP([jobnumber],OvalData[],MATCH(Table2[[#Headers],[Middle Angle]],Table2[#Headers],0),0)</f>
        <v xml:space="preserve"> 10 ft.- 4 1/ 2"</v>
      </c>
      <c r="N709" s="2" t="str">
        <f>VLOOKUP([jobnumber],OvalData[],MATCH(Table2[[#Headers],[Front Angle]],Table2[#Headers],0),0)</f>
        <v xml:space="preserve"> 10 ft.- 3"</v>
      </c>
      <c r="O709" s="2">
        <f>VLOOKUP([jobnumber],OvalData[],MATCH(Table2[[#Headers],[Pipe Center Line]],Table2[#Headers],0),0)</f>
        <v>131</v>
      </c>
      <c r="P709" s="2">
        <f>VLOOKUP([jobnumber],OvalData[],MATCH(Table2[[#Headers],[Heat Expansion Gap]],Table2[#Headers],0),0)</f>
        <v>0</v>
      </c>
      <c r="Q709" s="2">
        <f>VLOOKUP([jobnumber],OvalData[],MATCH(Table2[[#Headers],[Hanging Weight Closed]],Table2[#Headers],0),0)</f>
        <v>795</v>
      </c>
      <c r="R709" s="2">
        <f>VLOOKUP([jobnumber],OvalData[],MATCH(Table2[[#Headers],[Hanging Weight Open]],Table2[#Headers],0),0)</f>
        <v>140</v>
      </c>
      <c r="S709" s="2">
        <f>VLOOKUP([jobnumber],OvalData[],MATCH(Table2[[#Headers],[Initial Lever Arm]],Table2[#Headers],0),0)</f>
        <v>4.25</v>
      </c>
      <c r="T709" s="2">
        <f>VLOOKUP([jobnumber],OvalData[],MATCH(Table2[[#Headers],[Turns to Raise]],Table2[#Headers],0),0)</f>
        <v>3.5859999999999999</v>
      </c>
      <c r="U709" s="2">
        <f>VLOOKUP([jobnumber],OvalData[],MATCH(Table2[[#Headers],[Final Lever Arm]],Table2[#Headers],0),0)</f>
        <v>6.37</v>
      </c>
      <c r="V709" s="2">
        <f>VLOOKUP([jobnumber],OvalData[],MATCH(Table2[[#Headers],[Torque Required Closed]],Table2[#Headers],0),0)</f>
        <v>3377.9</v>
      </c>
      <c r="W709" s="2">
        <f>VLOOKUP([jobnumber],OvalData[],MATCH(Table2[[#Headers],[Torque Required Open]],Table2[#Headers],0),0)</f>
        <v>892</v>
      </c>
      <c r="X709" s="2">
        <f>VLOOKUP([jobnumber],OvalData[],MATCH(Table2[[#Headers],[Pre Turns]],Table2[#Headers],0),0)</f>
        <v>1.3332999999999999</v>
      </c>
      <c r="Y709" s="2">
        <f>VLOOKUP([jobnumber],OvalData[],MATCH(Table2[[#Headers],[Required Torque Per Turn]],Table2[#Headers],0),0)</f>
        <v>688</v>
      </c>
      <c r="Z709" s="2">
        <f>VLOOKUP([jobnumber],OvalData[],MATCH(Table2[[#Headers],[Total Turns]],Table2[#Headers],0),0)</f>
        <v>4.91</v>
      </c>
      <c r="AA709" s="2">
        <f>VLOOKUP([jobnumber],OvalData[],MATCH(Table2[[#Headers],[Grille Vision Section]],Table2[#Headers],0),0)</f>
        <v>0</v>
      </c>
      <c r="AB709" s="2">
        <f>VLOOKUP([jobnumber],OvalData[],MATCH(Table2[[#Headers],[Grille Amount]],Table2[#Headers],0),0)</f>
        <v>0</v>
      </c>
      <c r="AC709" s="2">
        <f>VLOOKUP([jobnumber],OvalData[],MATCH(Table2[[#Headers],[Grille Center]],Table2[#Headers],0),0)</f>
        <v>0</v>
      </c>
      <c r="AD709" s="2">
        <f>VLOOKUP([jobnumber],OvalData[],MATCH(Table2[[#Headers],[Grille Pattern]],Table2[#Headers],0),0)</f>
        <v>0</v>
      </c>
      <c r="AE709" s="2">
        <f>VLOOKUP([jobnumber],OvalData[],MATCH(Table2[[#Headers],[Grille First Tube]],Table2[#Headers],0),0)</f>
        <v>0</v>
      </c>
      <c r="AF709" s="2">
        <f>VLOOKUP([jobnumber],OvalData[],MATCH(Table2[[#Headers],[Grille Standard Tube]],Table2[#Headers],0),0)</f>
        <v>0</v>
      </c>
      <c r="AG709" s="2">
        <f>VLOOKUP([jobnumber],OvalData[],MATCH(Table2[[#Headers],[Grille Total Links]],Table2[#Headers],0),0)</f>
        <v>0</v>
      </c>
      <c r="AH709" s="2">
        <f>VLOOKUP([jobnumber],OvalData[],MATCH(Table2[[#Headers],[Grille Rods]],Table2[#Headers],0),0)</f>
        <v>0</v>
      </c>
      <c r="AI709" s="2">
        <f>VLOOKUP([jobnumber],OvalData[],MATCH(Table2[[#Headers],[Grille Rod Length]],Table2[#Headers],0),0)</f>
        <v>0</v>
      </c>
      <c r="AJ709" s="2">
        <f>VLOOKUP([jobnumber],OvalData[],MATCH(Table2[[#Headers],[slattype]],Table2[#Headers],0),0)</f>
        <v>2</v>
      </c>
      <c r="AK709" s="2">
        <f>VLOOKUP([jobnumber],OvalData[],MATCH(Table2[[#Headers],[slatgage]],Table2[#Headers],0),0)</f>
        <v>18</v>
      </c>
      <c r="AL709" s="2">
        <f>VLOOKUP([jobnumber],OvalData[],MATCH(Table2[[#Headers],[Numer of Top Slats]],Table2[#Headers],0),0)</f>
        <v>0</v>
      </c>
      <c r="AM709" s="2">
        <f>VLOOKUP([jobnumber],OvalData[],MATCH(Table2[[#Headers],[Number of Bottom Slats]],Table2[#Headers],0),0)</f>
        <v>0</v>
      </c>
      <c r="AN709" s="2">
        <f>VLOOKUP([jobnumber],OvalData[],MATCH(Table2[[#Headers],[Solid Bottom Height]],Table2[#Headers],0),0)</f>
        <v>0</v>
      </c>
      <c r="AO709" s="2" t="str">
        <f>VLOOKUP([jobnumber],OvalData[],MATCH(Table2[[#Headers],[slatlength]],Table2[#Headers],0),0)</f>
        <v xml:space="preserve"> 18 ft.- 5 7/ 8"</v>
      </c>
      <c r="AP709" s="2">
        <f>VLOOKUP([jobnumber],OvalData[],MATCH(Table2[[#Headers],[Bottom Slat Length]],Table2[#Headers],0),0)</f>
        <v>0</v>
      </c>
      <c r="AQ709" s="2">
        <f>VLOOKUP([jobnumber],OvalData[],MATCH(Table2[[#Headers],[Number of Perferated Slats]],Table2[#Headers],0),0)</f>
        <v>0</v>
      </c>
      <c r="AR709" s="2">
        <f>VLOOKUP([jobnumber],OvalData[],MATCH(Table2[[#Headers],[First Preferated Slat From End]],Table2[#Headers],0),0)</f>
        <v>0</v>
      </c>
      <c r="AS709" s="2">
        <f>VLOOKUP([jobnumber],OvalData[],MATCH(Table2[[#Headers],[First Preferated Slat From Bottom]],Table2[#Headers],0),0)</f>
        <v>0</v>
      </c>
      <c r="AT709" s="2">
        <f>VLOOKUP([jobnumber],OvalData[],MATCH(Table2[[#Headers],[Total Number of Slats]],Table2[#Headers],0),0)</f>
        <v>51</v>
      </c>
      <c r="AU709" s="2">
        <f>VLOOKUP([jobnumber],OvalData[],MATCH(Table2[[#Headers],[Bottom Bar Slope]],Table2[#Headers],0),0)</f>
        <v>0</v>
      </c>
      <c r="AV709" s="2">
        <f>VLOOKUP([jobnumber],OvalData[],MATCH(Table2[[#Headers],[Bottom Bar Weight]],Table2[#Headers],0),0)</f>
        <v>80.5</v>
      </c>
      <c r="AW709" s="2" t="str">
        <f>VLOOKUP([jobnumber],OvalData[],MATCH(Table2[[#Headers],[Outer Spring Gage]],Table2[#Headers],0),0)</f>
        <v>Null</v>
      </c>
      <c r="AX709" s="2" t="str">
        <f>VLOOKUP([jobnumber],OvalData[],MATCH(Table2[[#Headers],[Outer Spring OD]],Table2[#Headers],0),0)</f>
        <v>Null</v>
      </c>
      <c r="AY709" s="2" t="str">
        <f>VLOOKUP([jobnumber],OvalData[],MATCH(Table2[[#Headers],[Outer Spring Length]],Table2[#Headers],0),0)</f>
        <v>Null</v>
      </c>
      <c r="AZ709" s="2" t="str">
        <f>VLOOKUP([jobnumber],OvalData[],MATCH(Table2[[#Headers],[Outer Spring Stretch]],Table2[#Headers],0),0)</f>
        <v>Null</v>
      </c>
      <c r="BA709" s="2" t="str">
        <f>VLOOKUP([jobnumber],OvalData[],MATCH(Table2[[#Headers],[Outer Spring Torque]],Table2[#Headers],0),0)</f>
        <v>Null</v>
      </c>
      <c r="BB709" s="2" t="str">
        <f>VLOOKUP([jobnumber],OvalData[],MATCH(Table2[[#Headers],[Outer Spring Max Turns]],Table2[#Headers],0),0)</f>
        <v>Null</v>
      </c>
      <c r="BC709" s="2" t="str">
        <f>VLOOKUP([jobnumber],OvalData[],MATCH(Table2[[#Headers],[Outer Spring Weight]],Table2[#Headers],0),0)</f>
        <v>Null</v>
      </c>
      <c r="BD709" s="2" t="str">
        <f>VLOOKUP([jobnumber],OvalData[],MATCH(Table2[[#Headers],[Inner Spring Gage]],Table2[#Headers],0),0)</f>
        <v>Null</v>
      </c>
      <c r="BE709" s="2" t="str">
        <f>VLOOKUP([jobnumber],OvalData[],MATCH(Table2[[#Headers],[Inner Spring OD]],Table2[#Headers],0),0)</f>
        <v>Null</v>
      </c>
      <c r="BF709" s="2" t="str">
        <f>VLOOKUP([jobnumber],OvalData[],MATCH(Table2[[#Headers],[Inner Spring Length]],Table2[#Headers],0),0)</f>
        <v>Null</v>
      </c>
      <c r="BG709" s="2" t="str">
        <f>VLOOKUP([jobnumber],OvalData[],MATCH(Table2[[#Headers],[Inner Spring Stretch]],Table2[#Headers],0),0)</f>
        <v>Null</v>
      </c>
      <c r="BH709" s="2" t="str">
        <f>VLOOKUP([jobnumber],OvalData[],MATCH(Table2[[#Headers],[Inner Spring Torque]],Table2[#Headers],0),0)</f>
        <v>Null</v>
      </c>
      <c r="BI709" s="2" t="str">
        <f>VLOOKUP([jobnumber],OvalData[],MATCH(Table2[[#Headers],[Inner Spring Max Turns]],Table2[#Headers],0),0)</f>
        <v>Null</v>
      </c>
      <c r="BJ709" s="2" t="str">
        <f>VLOOKUP([jobnumber],OvalData[],MATCH(Table2[[#Headers],[Inner Spring Weight]],Table2[#Headers],0),0)</f>
        <v>Null</v>
      </c>
      <c r="BK709" s="2">
        <f>VLOOKUP([jobnumber],OvalData[],MATCH(Table2[[#Headers],[Cycles]],Table2[#Headers],0),0)</f>
        <v>0</v>
      </c>
      <c r="BL709" s="2">
        <f>VLOOKUP([jobnumber],OvalData[],MATCH(Table2[[#Headers],[Total Spring Torque]],Table2[#Headers],0),0)</f>
        <v>0</v>
      </c>
      <c r="BM709" s="2">
        <f>VLOOKUP([jobnumber],OvalData[],MATCH(Table2[[#Headers],[Total Spring Weight]],Table2[#Headers],0),0)</f>
        <v>0</v>
      </c>
      <c r="BN709" s="2">
        <f>VLOOKUP([jobnumber],OvalData[],MATCH(Table2[[#Headers],[Pipe Weight]],Table2[#Headers],0),0)</f>
        <v>688.24239999999998</v>
      </c>
      <c r="BO709" s="2">
        <f>VLOOKUP([jobnumber],OvalData[],MATCH(Table2[[#Headers],[Max Pipe Deflection]],Table2[#Headers],0),0)</f>
        <v>2309</v>
      </c>
      <c r="BP709" s="2">
        <f>VLOOKUP([jobnumber],OvalData[],MATCH(Table2[[#Headers],[Number Non-Insulated Wrap Slats]],Table2[#Headers],0),0)</f>
        <v>0</v>
      </c>
      <c r="BQ709" s="2">
        <f>VLOOKUP([jobnumber],OvalData[],MATCH(Table2[[#Headers],[Number of Insolated Top Slats]],Table2[#Headers],0),0)</f>
        <v>45</v>
      </c>
      <c r="BR709" s="2">
        <f>VLOOKUP([jobnumber],OvalData[],MATCH(Table2[[#Headers],[Insolated Total Slats]],Table2[#Headers],0),0)</f>
        <v>45</v>
      </c>
      <c r="BS709" s="2">
        <f>VLOOKUP([jobnumber],OvalData[],MATCH(Table2[[#Headers],[Number of Slats]],Table2[#Headers],0),0)</f>
        <v>44.69</v>
      </c>
      <c r="BT709" s="2">
        <f>VLOOKUP([jobnumber],OvalData[],MATCH(Table2[[#Headers],[Wrap]],Table2[#Headers],0),0)</f>
        <v>0</v>
      </c>
      <c r="BU709" s="2">
        <f>VLOOKUP([jobnumber],OvalData[],MATCH(Table2[[#Headers],[Wall Angle Thickness]],Table2[#Headers],0),0)</f>
        <v>0</v>
      </c>
      <c r="BV709" s="2">
        <f>VLOOKUP([jobnumber],OvalData[],MATCH(Table2[[#Headers],[windlocks]],Table2[#Headers],0),0)</f>
        <v>0</v>
      </c>
      <c r="BW709" s="2" t="str">
        <f>VLOOKUP([jobnumber],OvalData[],MATCH(Table2[[#Headers],[bottombartype]],Table2[#Headers],0),0)</f>
        <v>SPECIAL</v>
      </c>
      <c r="BX709" s="2">
        <f>VLOOKUP([jobnumber],OvalData[],MATCH(Table2[[#Headers],[endlockweight]],Table2[#Headers],0),0)</f>
        <v>0.17</v>
      </c>
      <c r="BY709" s="2">
        <f>VLOOKUP([jobnumber],OvalData[],MATCH(Table2[[#Headers],[Endlock Total Weight]],Table2[#Headers],0),0)</f>
        <v>7.5972999999999997</v>
      </c>
      <c r="BZ709" s="2">
        <f>VLOOKUP([jobnumber],OvalData[],MATCH(Table2[[#Headers],[Grille Weight]],Table2[#Headers],0),0)</f>
        <v>0</v>
      </c>
      <c r="CA709" s="2">
        <f>VLOOKUP([jobnumber],OvalData[],MATCH(Table2[[#Headers],[barrelrings]],Table2[#Headers],0),0)</f>
        <v>1</v>
      </c>
    </row>
    <row r="710" spans="2:79">
      <c r="B710" s="2" t="str">
        <f>VLOOKUP([jobnumber],OvalData[],MATCH(Table2[[#Headers],[Hand]],Table2[#Headers],0),0)</f>
        <v>RH</v>
      </c>
      <c r="C710" s="2" t="str">
        <f>VLOOKUP([jobnumber],OvalData[],MATCH(Table2[[#Headers],[Model]],Table2[#Headers],0),0)</f>
        <v>SFMPP</v>
      </c>
      <c r="D710" s="2" t="str">
        <f>VLOOKUP([jobnumber],OvalData[],MATCH(Table2[[#Headers],[width]],Table2[#Headers],0),0)</f>
        <v xml:space="preserve"> 18 ft.- 2"</v>
      </c>
      <c r="E710" s="2" t="str">
        <f>VLOOKUP([jobnumber],OvalData[],MATCH(Table2[[#Headers],[stopheight]],Table2[#Headers],0),0)</f>
        <v xml:space="preserve"> 10 ft.- 0"</v>
      </c>
      <c r="F710" s="2" t="str">
        <f>VLOOKUP([jobnumber],OvalData[],MATCH(Table2[[#Headers],[Between Brackets]],Table2[#Headers],0),0)</f>
        <v xml:space="preserve"> 18 ft.- 7 7/ 8"</v>
      </c>
      <c r="G710" s="2" t="str">
        <f>VLOOKUP([jobnumber],OvalData[],MATCH(Table2[[#Headers],[shell]],Table2[#Headers],0),0)</f>
        <v>6 INCH TUBE</v>
      </c>
      <c r="H710" s="2" t="str">
        <f>VLOOKUP([jobnumber],OvalData[],MATCH(Table2[[#Headers],[pipewidth]],Table2[#Headers],0),0)</f>
        <v xml:space="preserve"> 18 ft.- 1 3/ 8"</v>
      </c>
      <c r="I710" s="2">
        <f>VLOOKUP([jobnumber],OvalData[],MATCH(Table2[[#Headers],[Support Tubes]],Table2[#Headers],0),0)</f>
        <v>0</v>
      </c>
      <c r="J710" s="2">
        <f>VLOOKUP([jobnumber],OvalData[],MATCH(Table2[[#Headers],[Upset]],Table2[#Headers],0),0)</f>
        <v>2</v>
      </c>
      <c r="K710" s="2" t="str">
        <f>VLOOKUP([jobnumber],OvalData[],MATCH(Table2[[#Headers],[Guide Type]],Table2[#Headers],0),0)</f>
        <v>SN2-4 5/8-E</v>
      </c>
      <c r="L710" s="2" t="str">
        <f>VLOOKUP([jobnumber],OvalData[],MATCH(Table2[[#Headers],[Wall Angle]],Table2[#Headers],0),0)</f>
        <v xml:space="preserve"> 11 ft.- 8"</v>
      </c>
      <c r="M710" s="2" t="str">
        <f>VLOOKUP([jobnumber],OvalData[],MATCH(Table2[[#Headers],[Middle Angle]],Table2[#Headers],0),0)</f>
        <v xml:space="preserve"> 10 ft.- 4 1/ 2"</v>
      </c>
      <c r="N710" s="2" t="str">
        <f>VLOOKUP([jobnumber],OvalData[],MATCH(Table2[[#Headers],[Front Angle]],Table2[#Headers],0),0)</f>
        <v xml:space="preserve"> 10 ft.- 3"</v>
      </c>
      <c r="O710" s="2">
        <f>VLOOKUP([jobnumber],OvalData[],MATCH(Table2[[#Headers],[Pipe Center Line]],Table2[#Headers],0),0)</f>
        <v>131</v>
      </c>
      <c r="P710" s="2">
        <f>VLOOKUP([jobnumber],OvalData[],MATCH(Table2[[#Headers],[Heat Expansion Gap]],Table2[#Headers],0),0)</f>
        <v>0</v>
      </c>
      <c r="Q710" s="2">
        <f>VLOOKUP([jobnumber],OvalData[],MATCH(Table2[[#Headers],[Hanging Weight Closed]],Table2[#Headers],0),0)</f>
        <v>795</v>
      </c>
      <c r="R710" s="2">
        <f>VLOOKUP([jobnumber],OvalData[],MATCH(Table2[[#Headers],[Hanging Weight Open]],Table2[#Headers],0),0)</f>
        <v>140</v>
      </c>
      <c r="S710" s="2">
        <f>VLOOKUP([jobnumber],OvalData[],MATCH(Table2[[#Headers],[Initial Lever Arm]],Table2[#Headers],0),0)</f>
        <v>4.25</v>
      </c>
      <c r="T710" s="2">
        <f>VLOOKUP([jobnumber],OvalData[],MATCH(Table2[[#Headers],[Turns to Raise]],Table2[#Headers],0),0)</f>
        <v>3.5859999999999999</v>
      </c>
      <c r="U710" s="2">
        <f>VLOOKUP([jobnumber],OvalData[],MATCH(Table2[[#Headers],[Final Lever Arm]],Table2[#Headers],0),0)</f>
        <v>6.37</v>
      </c>
      <c r="V710" s="2">
        <f>VLOOKUP([jobnumber],OvalData[],MATCH(Table2[[#Headers],[Torque Required Closed]],Table2[#Headers],0),0)</f>
        <v>3377.9</v>
      </c>
      <c r="W710" s="2">
        <f>VLOOKUP([jobnumber],OvalData[],MATCH(Table2[[#Headers],[Torque Required Open]],Table2[#Headers],0),0)</f>
        <v>892</v>
      </c>
      <c r="X710" s="2">
        <f>VLOOKUP([jobnumber],OvalData[],MATCH(Table2[[#Headers],[Pre Turns]],Table2[#Headers],0),0)</f>
        <v>1.3332999999999999</v>
      </c>
      <c r="Y710" s="2">
        <f>VLOOKUP([jobnumber],OvalData[],MATCH(Table2[[#Headers],[Required Torque Per Turn]],Table2[#Headers],0),0)</f>
        <v>688</v>
      </c>
      <c r="Z710" s="2">
        <f>VLOOKUP([jobnumber],OvalData[],MATCH(Table2[[#Headers],[Total Turns]],Table2[#Headers],0),0)</f>
        <v>4.91</v>
      </c>
      <c r="AA710" s="2">
        <f>VLOOKUP([jobnumber],OvalData[],MATCH(Table2[[#Headers],[Grille Vision Section]],Table2[#Headers],0),0)</f>
        <v>0</v>
      </c>
      <c r="AB710" s="2">
        <f>VLOOKUP([jobnumber],OvalData[],MATCH(Table2[[#Headers],[Grille Amount]],Table2[#Headers],0),0)</f>
        <v>0</v>
      </c>
      <c r="AC710" s="2">
        <f>VLOOKUP([jobnumber],OvalData[],MATCH(Table2[[#Headers],[Grille Center]],Table2[#Headers],0),0)</f>
        <v>0</v>
      </c>
      <c r="AD710" s="2">
        <f>VLOOKUP([jobnumber],OvalData[],MATCH(Table2[[#Headers],[Grille Pattern]],Table2[#Headers],0),0)</f>
        <v>0</v>
      </c>
      <c r="AE710" s="2">
        <f>VLOOKUP([jobnumber],OvalData[],MATCH(Table2[[#Headers],[Grille First Tube]],Table2[#Headers],0),0)</f>
        <v>0</v>
      </c>
      <c r="AF710" s="2">
        <f>VLOOKUP([jobnumber],OvalData[],MATCH(Table2[[#Headers],[Grille Standard Tube]],Table2[#Headers],0),0)</f>
        <v>0</v>
      </c>
      <c r="AG710" s="2">
        <f>VLOOKUP([jobnumber],OvalData[],MATCH(Table2[[#Headers],[Grille Total Links]],Table2[#Headers],0),0)</f>
        <v>0</v>
      </c>
      <c r="AH710" s="2">
        <f>VLOOKUP([jobnumber],OvalData[],MATCH(Table2[[#Headers],[Grille Rods]],Table2[#Headers],0),0)</f>
        <v>0</v>
      </c>
      <c r="AI710" s="2">
        <f>VLOOKUP([jobnumber],OvalData[],MATCH(Table2[[#Headers],[Grille Rod Length]],Table2[#Headers],0),0)</f>
        <v>0</v>
      </c>
      <c r="AJ710" s="2">
        <f>VLOOKUP([jobnumber],OvalData[],MATCH(Table2[[#Headers],[slattype]],Table2[#Headers],0),0)</f>
        <v>2</v>
      </c>
      <c r="AK710" s="2">
        <f>VLOOKUP([jobnumber],OvalData[],MATCH(Table2[[#Headers],[slatgage]],Table2[#Headers],0),0)</f>
        <v>18</v>
      </c>
      <c r="AL710" s="2">
        <f>VLOOKUP([jobnumber],OvalData[],MATCH(Table2[[#Headers],[Numer of Top Slats]],Table2[#Headers],0),0)</f>
        <v>0</v>
      </c>
      <c r="AM710" s="2">
        <f>VLOOKUP([jobnumber],OvalData[],MATCH(Table2[[#Headers],[Number of Bottom Slats]],Table2[#Headers],0),0)</f>
        <v>0</v>
      </c>
      <c r="AN710" s="2">
        <f>VLOOKUP([jobnumber],OvalData[],MATCH(Table2[[#Headers],[Solid Bottom Height]],Table2[#Headers],0),0)</f>
        <v>0</v>
      </c>
      <c r="AO710" s="2" t="str">
        <f>VLOOKUP([jobnumber],OvalData[],MATCH(Table2[[#Headers],[slatlength]],Table2[#Headers],0),0)</f>
        <v xml:space="preserve"> 18 ft.- 5 7/ 8"</v>
      </c>
      <c r="AP710" s="2">
        <f>VLOOKUP([jobnumber],OvalData[],MATCH(Table2[[#Headers],[Bottom Slat Length]],Table2[#Headers],0),0)</f>
        <v>0</v>
      </c>
      <c r="AQ710" s="2">
        <f>VLOOKUP([jobnumber],OvalData[],MATCH(Table2[[#Headers],[Number of Perferated Slats]],Table2[#Headers],0),0)</f>
        <v>0</v>
      </c>
      <c r="AR710" s="2">
        <f>VLOOKUP([jobnumber],OvalData[],MATCH(Table2[[#Headers],[First Preferated Slat From End]],Table2[#Headers],0),0)</f>
        <v>0</v>
      </c>
      <c r="AS710" s="2">
        <f>VLOOKUP([jobnumber],OvalData[],MATCH(Table2[[#Headers],[First Preferated Slat From Bottom]],Table2[#Headers],0),0)</f>
        <v>0</v>
      </c>
      <c r="AT710" s="2">
        <f>VLOOKUP([jobnumber],OvalData[],MATCH(Table2[[#Headers],[Total Number of Slats]],Table2[#Headers],0),0)</f>
        <v>51</v>
      </c>
      <c r="AU710" s="2">
        <f>VLOOKUP([jobnumber],OvalData[],MATCH(Table2[[#Headers],[Bottom Bar Slope]],Table2[#Headers],0),0)</f>
        <v>0</v>
      </c>
      <c r="AV710" s="2">
        <f>VLOOKUP([jobnumber],OvalData[],MATCH(Table2[[#Headers],[Bottom Bar Weight]],Table2[#Headers],0),0)</f>
        <v>80.5</v>
      </c>
      <c r="AW710" s="2" t="str">
        <f>VLOOKUP([jobnumber],OvalData[],MATCH(Table2[[#Headers],[Outer Spring Gage]],Table2[#Headers],0),0)</f>
        <v>Null</v>
      </c>
      <c r="AX710" s="2" t="str">
        <f>VLOOKUP([jobnumber],OvalData[],MATCH(Table2[[#Headers],[Outer Spring OD]],Table2[#Headers],0),0)</f>
        <v>Null</v>
      </c>
      <c r="AY710" s="2" t="str">
        <f>VLOOKUP([jobnumber],OvalData[],MATCH(Table2[[#Headers],[Outer Spring Length]],Table2[#Headers],0),0)</f>
        <v>Null</v>
      </c>
      <c r="AZ710" s="2" t="str">
        <f>VLOOKUP([jobnumber],OvalData[],MATCH(Table2[[#Headers],[Outer Spring Stretch]],Table2[#Headers],0),0)</f>
        <v>Null</v>
      </c>
      <c r="BA710" s="2" t="str">
        <f>VLOOKUP([jobnumber],OvalData[],MATCH(Table2[[#Headers],[Outer Spring Torque]],Table2[#Headers],0),0)</f>
        <v>Null</v>
      </c>
      <c r="BB710" s="2" t="str">
        <f>VLOOKUP([jobnumber],OvalData[],MATCH(Table2[[#Headers],[Outer Spring Max Turns]],Table2[#Headers],0),0)</f>
        <v>Null</v>
      </c>
      <c r="BC710" s="2" t="str">
        <f>VLOOKUP([jobnumber],OvalData[],MATCH(Table2[[#Headers],[Outer Spring Weight]],Table2[#Headers],0),0)</f>
        <v>Null</v>
      </c>
      <c r="BD710" s="2" t="str">
        <f>VLOOKUP([jobnumber],OvalData[],MATCH(Table2[[#Headers],[Inner Spring Gage]],Table2[#Headers],0),0)</f>
        <v>Null</v>
      </c>
      <c r="BE710" s="2" t="str">
        <f>VLOOKUP([jobnumber],OvalData[],MATCH(Table2[[#Headers],[Inner Spring OD]],Table2[#Headers],0),0)</f>
        <v>Null</v>
      </c>
      <c r="BF710" s="2" t="str">
        <f>VLOOKUP([jobnumber],OvalData[],MATCH(Table2[[#Headers],[Inner Spring Length]],Table2[#Headers],0),0)</f>
        <v>Null</v>
      </c>
      <c r="BG710" s="2" t="str">
        <f>VLOOKUP([jobnumber],OvalData[],MATCH(Table2[[#Headers],[Inner Spring Stretch]],Table2[#Headers],0),0)</f>
        <v>Null</v>
      </c>
      <c r="BH710" s="2" t="str">
        <f>VLOOKUP([jobnumber],OvalData[],MATCH(Table2[[#Headers],[Inner Spring Torque]],Table2[#Headers],0),0)</f>
        <v>Null</v>
      </c>
      <c r="BI710" s="2" t="str">
        <f>VLOOKUP([jobnumber],OvalData[],MATCH(Table2[[#Headers],[Inner Spring Max Turns]],Table2[#Headers],0),0)</f>
        <v>Null</v>
      </c>
      <c r="BJ710" s="2" t="str">
        <f>VLOOKUP([jobnumber],OvalData[],MATCH(Table2[[#Headers],[Inner Spring Weight]],Table2[#Headers],0),0)</f>
        <v>Null</v>
      </c>
      <c r="BK710" s="2">
        <f>VLOOKUP([jobnumber],OvalData[],MATCH(Table2[[#Headers],[Cycles]],Table2[#Headers],0),0)</f>
        <v>0</v>
      </c>
      <c r="BL710" s="2">
        <f>VLOOKUP([jobnumber],OvalData[],MATCH(Table2[[#Headers],[Total Spring Torque]],Table2[#Headers],0),0)</f>
        <v>0</v>
      </c>
      <c r="BM710" s="2">
        <f>VLOOKUP([jobnumber],OvalData[],MATCH(Table2[[#Headers],[Total Spring Weight]],Table2[#Headers],0),0)</f>
        <v>0</v>
      </c>
      <c r="BN710" s="2">
        <f>VLOOKUP([jobnumber],OvalData[],MATCH(Table2[[#Headers],[Pipe Weight]],Table2[#Headers],0),0)</f>
        <v>688.24239999999998</v>
      </c>
      <c r="BO710" s="2">
        <f>VLOOKUP([jobnumber],OvalData[],MATCH(Table2[[#Headers],[Max Pipe Deflection]],Table2[#Headers],0),0)</f>
        <v>2309</v>
      </c>
      <c r="BP710" s="2">
        <f>VLOOKUP([jobnumber],OvalData[],MATCH(Table2[[#Headers],[Number Non-Insulated Wrap Slats]],Table2[#Headers],0),0)</f>
        <v>0</v>
      </c>
      <c r="BQ710" s="2">
        <f>VLOOKUP([jobnumber],OvalData[],MATCH(Table2[[#Headers],[Number of Insolated Top Slats]],Table2[#Headers],0),0)</f>
        <v>45</v>
      </c>
      <c r="BR710" s="2">
        <f>VLOOKUP([jobnumber],OvalData[],MATCH(Table2[[#Headers],[Insolated Total Slats]],Table2[#Headers],0),0)</f>
        <v>45</v>
      </c>
      <c r="BS710" s="2">
        <f>VLOOKUP([jobnumber],OvalData[],MATCH(Table2[[#Headers],[Number of Slats]],Table2[#Headers],0),0)</f>
        <v>44.69</v>
      </c>
      <c r="BT710" s="2">
        <f>VLOOKUP([jobnumber],OvalData[],MATCH(Table2[[#Headers],[Wrap]],Table2[#Headers],0),0)</f>
        <v>0</v>
      </c>
      <c r="BU710" s="2">
        <f>VLOOKUP([jobnumber],OvalData[],MATCH(Table2[[#Headers],[Wall Angle Thickness]],Table2[#Headers],0),0)</f>
        <v>0</v>
      </c>
      <c r="BV710" s="2">
        <f>VLOOKUP([jobnumber],OvalData[],MATCH(Table2[[#Headers],[windlocks]],Table2[#Headers],0),0)</f>
        <v>0</v>
      </c>
      <c r="BW710" s="2" t="str">
        <f>VLOOKUP([jobnumber],OvalData[],MATCH(Table2[[#Headers],[bottombartype]],Table2[#Headers],0),0)</f>
        <v>SPECIAL</v>
      </c>
      <c r="BX710" s="2">
        <f>VLOOKUP([jobnumber],OvalData[],MATCH(Table2[[#Headers],[endlockweight]],Table2[#Headers],0),0)</f>
        <v>0.17</v>
      </c>
      <c r="BY710" s="2">
        <f>VLOOKUP([jobnumber],OvalData[],MATCH(Table2[[#Headers],[Endlock Total Weight]],Table2[#Headers],0),0)</f>
        <v>7.5972999999999997</v>
      </c>
      <c r="BZ710" s="2">
        <f>VLOOKUP([jobnumber],OvalData[],MATCH(Table2[[#Headers],[Grille Weight]],Table2[#Headers],0),0)</f>
        <v>0</v>
      </c>
      <c r="CA710" s="2">
        <f>VLOOKUP([jobnumber],OvalData[],MATCH(Table2[[#Headers],[barrelrings]],Table2[#Headers],0),0)</f>
        <v>1</v>
      </c>
    </row>
    <row r="711" spans="2:79">
      <c r="B711" s="2" t="str">
        <f>VLOOKUP([jobnumber],OvalData[],MATCH(Table2[[#Headers],[Hand]],Table2[#Headers],0),0)</f>
        <v>RH</v>
      </c>
      <c r="C711" s="2" t="str">
        <f>VLOOKUP([jobnumber],OvalData[],MATCH(Table2[[#Headers],[Model]],Table2[#Headers],0),0)</f>
        <v>SFMPP</v>
      </c>
      <c r="D711" s="2" t="str">
        <f>VLOOKUP([jobnumber],OvalData[],MATCH(Table2[[#Headers],[width]],Table2[#Headers],0),0)</f>
        <v xml:space="preserve"> 18 ft.- 2"</v>
      </c>
      <c r="E711" s="2" t="str">
        <f>VLOOKUP([jobnumber],OvalData[],MATCH(Table2[[#Headers],[stopheight]],Table2[#Headers],0),0)</f>
        <v xml:space="preserve"> 10 ft.- 0"</v>
      </c>
      <c r="F711" s="2" t="str">
        <f>VLOOKUP([jobnumber],OvalData[],MATCH(Table2[[#Headers],[Between Brackets]],Table2[#Headers],0),0)</f>
        <v xml:space="preserve"> 18 ft.- 7 7/ 8"</v>
      </c>
      <c r="G711" s="2" t="str">
        <f>VLOOKUP([jobnumber],OvalData[],MATCH(Table2[[#Headers],[shell]],Table2[#Headers],0),0)</f>
        <v>6 INCH TUBE</v>
      </c>
      <c r="H711" s="2" t="str">
        <f>VLOOKUP([jobnumber],OvalData[],MATCH(Table2[[#Headers],[pipewidth]],Table2[#Headers],0),0)</f>
        <v xml:space="preserve"> 18 ft.- 1 3/ 8"</v>
      </c>
      <c r="I711" s="2">
        <f>VLOOKUP([jobnumber],OvalData[],MATCH(Table2[[#Headers],[Support Tubes]],Table2[#Headers],0),0)</f>
        <v>0</v>
      </c>
      <c r="J711" s="2">
        <f>VLOOKUP([jobnumber],OvalData[],MATCH(Table2[[#Headers],[Upset]],Table2[#Headers],0),0)</f>
        <v>2</v>
      </c>
      <c r="K711" s="2" t="str">
        <f>VLOOKUP([jobnumber],OvalData[],MATCH(Table2[[#Headers],[Guide Type]],Table2[#Headers],0),0)</f>
        <v>SN2-4 5/8-E</v>
      </c>
      <c r="L711" s="2" t="str">
        <f>VLOOKUP([jobnumber],OvalData[],MATCH(Table2[[#Headers],[Wall Angle]],Table2[#Headers],0),0)</f>
        <v xml:space="preserve"> 11 ft.- 8"</v>
      </c>
      <c r="M711" s="2" t="str">
        <f>VLOOKUP([jobnumber],OvalData[],MATCH(Table2[[#Headers],[Middle Angle]],Table2[#Headers],0),0)</f>
        <v xml:space="preserve"> 10 ft.- 4 1/ 2"</v>
      </c>
      <c r="N711" s="2" t="str">
        <f>VLOOKUP([jobnumber],OvalData[],MATCH(Table2[[#Headers],[Front Angle]],Table2[#Headers],0),0)</f>
        <v xml:space="preserve"> 10 ft.- 3"</v>
      </c>
      <c r="O711" s="2">
        <f>VLOOKUP([jobnumber],OvalData[],MATCH(Table2[[#Headers],[Pipe Center Line]],Table2[#Headers],0),0)</f>
        <v>131</v>
      </c>
      <c r="P711" s="2">
        <f>VLOOKUP([jobnumber],OvalData[],MATCH(Table2[[#Headers],[Heat Expansion Gap]],Table2[#Headers],0),0)</f>
        <v>0</v>
      </c>
      <c r="Q711" s="2">
        <f>VLOOKUP([jobnumber],OvalData[],MATCH(Table2[[#Headers],[Hanging Weight Closed]],Table2[#Headers],0),0)</f>
        <v>795</v>
      </c>
      <c r="R711" s="2">
        <f>VLOOKUP([jobnumber],OvalData[],MATCH(Table2[[#Headers],[Hanging Weight Open]],Table2[#Headers],0),0)</f>
        <v>140</v>
      </c>
      <c r="S711" s="2">
        <f>VLOOKUP([jobnumber],OvalData[],MATCH(Table2[[#Headers],[Initial Lever Arm]],Table2[#Headers],0),0)</f>
        <v>4.25</v>
      </c>
      <c r="T711" s="2">
        <f>VLOOKUP([jobnumber],OvalData[],MATCH(Table2[[#Headers],[Turns to Raise]],Table2[#Headers],0),0)</f>
        <v>3.5859999999999999</v>
      </c>
      <c r="U711" s="2">
        <f>VLOOKUP([jobnumber],OvalData[],MATCH(Table2[[#Headers],[Final Lever Arm]],Table2[#Headers],0),0)</f>
        <v>6.37</v>
      </c>
      <c r="V711" s="2">
        <f>VLOOKUP([jobnumber],OvalData[],MATCH(Table2[[#Headers],[Torque Required Closed]],Table2[#Headers],0),0)</f>
        <v>3377.9</v>
      </c>
      <c r="W711" s="2">
        <f>VLOOKUP([jobnumber],OvalData[],MATCH(Table2[[#Headers],[Torque Required Open]],Table2[#Headers],0),0)</f>
        <v>892</v>
      </c>
      <c r="X711" s="2">
        <f>VLOOKUP([jobnumber],OvalData[],MATCH(Table2[[#Headers],[Pre Turns]],Table2[#Headers],0),0)</f>
        <v>1.3332999999999999</v>
      </c>
      <c r="Y711" s="2">
        <f>VLOOKUP([jobnumber],OvalData[],MATCH(Table2[[#Headers],[Required Torque Per Turn]],Table2[#Headers],0),0)</f>
        <v>688</v>
      </c>
      <c r="Z711" s="2">
        <f>VLOOKUP([jobnumber],OvalData[],MATCH(Table2[[#Headers],[Total Turns]],Table2[#Headers],0),0)</f>
        <v>4.91</v>
      </c>
      <c r="AA711" s="2">
        <f>VLOOKUP([jobnumber],OvalData[],MATCH(Table2[[#Headers],[Grille Vision Section]],Table2[#Headers],0),0)</f>
        <v>0</v>
      </c>
      <c r="AB711" s="2">
        <f>VLOOKUP([jobnumber],OvalData[],MATCH(Table2[[#Headers],[Grille Amount]],Table2[#Headers],0),0)</f>
        <v>0</v>
      </c>
      <c r="AC711" s="2">
        <f>VLOOKUP([jobnumber],OvalData[],MATCH(Table2[[#Headers],[Grille Center]],Table2[#Headers],0),0)</f>
        <v>0</v>
      </c>
      <c r="AD711" s="2">
        <f>VLOOKUP([jobnumber],OvalData[],MATCH(Table2[[#Headers],[Grille Pattern]],Table2[#Headers],0),0)</f>
        <v>0</v>
      </c>
      <c r="AE711" s="2">
        <f>VLOOKUP([jobnumber],OvalData[],MATCH(Table2[[#Headers],[Grille First Tube]],Table2[#Headers],0),0)</f>
        <v>0</v>
      </c>
      <c r="AF711" s="2">
        <f>VLOOKUP([jobnumber],OvalData[],MATCH(Table2[[#Headers],[Grille Standard Tube]],Table2[#Headers],0),0)</f>
        <v>0</v>
      </c>
      <c r="AG711" s="2">
        <f>VLOOKUP([jobnumber],OvalData[],MATCH(Table2[[#Headers],[Grille Total Links]],Table2[#Headers],0),0)</f>
        <v>0</v>
      </c>
      <c r="AH711" s="2">
        <f>VLOOKUP([jobnumber],OvalData[],MATCH(Table2[[#Headers],[Grille Rods]],Table2[#Headers],0),0)</f>
        <v>0</v>
      </c>
      <c r="AI711" s="2">
        <f>VLOOKUP([jobnumber],OvalData[],MATCH(Table2[[#Headers],[Grille Rod Length]],Table2[#Headers],0),0)</f>
        <v>0</v>
      </c>
      <c r="AJ711" s="2">
        <f>VLOOKUP([jobnumber],OvalData[],MATCH(Table2[[#Headers],[slattype]],Table2[#Headers],0),0)</f>
        <v>2</v>
      </c>
      <c r="AK711" s="2">
        <f>VLOOKUP([jobnumber],OvalData[],MATCH(Table2[[#Headers],[slatgage]],Table2[#Headers],0),0)</f>
        <v>18</v>
      </c>
      <c r="AL711" s="2">
        <f>VLOOKUP([jobnumber],OvalData[],MATCH(Table2[[#Headers],[Numer of Top Slats]],Table2[#Headers],0),0)</f>
        <v>0</v>
      </c>
      <c r="AM711" s="2">
        <f>VLOOKUP([jobnumber],OvalData[],MATCH(Table2[[#Headers],[Number of Bottom Slats]],Table2[#Headers],0),0)</f>
        <v>0</v>
      </c>
      <c r="AN711" s="2">
        <f>VLOOKUP([jobnumber],OvalData[],MATCH(Table2[[#Headers],[Solid Bottom Height]],Table2[#Headers],0),0)</f>
        <v>0</v>
      </c>
      <c r="AO711" s="2" t="str">
        <f>VLOOKUP([jobnumber],OvalData[],MATCH(Table2[[#Headers],[slatlength]],Table2[#Headers],0),0)</f>
        <v xml:space="preserve"> 18 ft.- 5 7/ 8"</v>
      </c>
      <c r="AP711" s="2">
        <f>VLOOKUP([jobnumber],OvalData[],MATCH(Table2[[#Headers],[Bottom Slat Length]],Table2[#Headers],0),0)</f>
        <v>0</v>
      </c>
      <c r="AQ711" s="2">
        <f>VLOOKUP([jobnumber],OvalData[],MATCH(Table2[[#Headers],[Number of Perferated Slats]],Table2[#Headers],0),0)</f>
        <v>0</v>
      </c>
      <c r="AR711" s="2">
        <f>VLOOKUP([jobnumber],OvalData[],MATCH(Table2[[#Headers],[First Preferated Slat From End]],Table2[#Headers],0),0)</f>
        <v>0</v>
      </c>
      <c r="AS711" s="2">
        <f>VLOOKUP([jobnumber],OvalData[],MATCH(Table2[[#Headers],[First Preferated Slat From Bottom]],Table2[#Headers],0),0)</f>
        <v>0</v>
      </c>
      <c r="AT711" s="2">
        <f>VLOOKUP([jobnumber],OvalData[],MATCH(Table2[[#Headers],[Total Number of Slats]],Table2[#Headers],0),0)</f>
        <v>51</v>
      </c>
      <c r="AU711" s="2">
        <f>VLOOKUP([jobnumber],OvalData[],MATCH(Table2[[#Headers],[Bottom Bar Slope]],Table2[#Headers],0),0)</f>
        <v>0</v>
      </c>
      <c r="AV711" s="2">
        <f>VLOOKUP([jobnumber],OvalData[],MATCH(Table2[[#Headers],[Bottom Bar Weight]],Table2[#Headers],0),0)</f>
        <v>80.5</v>
      </c>
      <c r="AW711" s="2" t="str">
        <f>VLOOKUP([jobnumber],OvalData[],MATCH(Table2[[#Headers],[Outer Spring Gage]],Table2[#Headers],0),0)</f>
        <v>Null</v>
      </c>
      <c r="AX711" s="2" t="str">
        <f>VLOOKUP([jobnumber],OvalData[],MATCH(Table2[[#Headers],[Outer Spring OD]],Table2[#Headers],0),0)</f>
        <v>Null</v>
      </c>
      <c r="AY711" s="2" t="str">
        <f>VLOOKUP([jobnumber],OvalData[],MATCH(Table2[[#Headers],[Outer Spring Length]],Table2[#Headers],0),0)</f>
        <v>Null</v>
      </c>
      <c r="AZ711" s="2" t="str">
        <f>VLOOKUP([jobnumber],OvalData[],MATCH(Table2[[#Headers],[Outer Spring Stretch]],Table2[#Headers],0),0)</f>
        <v>Null</v>
      </c>
      <c r="BA711" s="2" t="str">
        <f>VLOOKUP([jobnumber],OvalData[],MATCH(Table2[[#Headers],[Outer Spring Torque]],Table2[#Headers],0),0)</f>
        <v>Null</v>
      </c>
      <c r="BB711" s="2" t="str">
        <f>VLOOKUP([jobnumber],OvalData[],MATCH(Table2[[#Headers],[Outer Spring Max Turns]],Table2[#Headers],0),0)</f>
        <v>Null</v>
      </c>
      <c r="BC711" s="2" t="str">
        <f>VLOOKUP([jobnumber],OvalData[],MATCH(Table2[[#Headers],[Outer Spring Weight]],Table2[#Headers],0),0)</f>
        <v>Null</v>
      </c>
      <c r="BD711" s="2" t="str">
        <f>VLOOKUP([jobnumber],OvalData[],MATCH(Table2[[#Headers],[Inner Spring Gage]],Table2[#Headers],0),0)</f>
        <v>Null</v>
      </c>
      <c r="BE711" s="2" t="str">
        <f>VLOOKUP([jobnumber],OvalData[],MATCH(Table2[[#Headers],[Inner Spring OD]],Table2[#Headers],0),0)</f>
        <v>Null</v>
      </c>
      <c r="BF711" s="2" t="str">
        <f>VLOOKUP([jobnumber],OvalData[],MATCH(Table2[[#Headers],[Inner Spring Length]],Table2[#Headers],0),0)</f>
        <v>Null</v>
      </c>
      <c r="BG711" s="2" t="str">
        <f>VLOOKUP([jobnumber],OvalData[],MATCH(Table2[[#Headers],[Inner Spring Stretch]],Table2[#Headers],0),0)</f>
        <v>Null</v>
      </c>
      <c r="BH711" s="2" t="str">
        <f>VLOOKUP([jobnumber],OvalData[],MATCH(Table2[[#Headers],[Inner Spring Torque]],Table2[#Headers],0),0)</f>
        <v>Null</v>
      </c>
      <c r="BI711" s="2" t="str">
        <f>VLOOKUP([jobnumber],OvalData[],MATCH(Table2[[#Headers],[Inner Spring Max Turns]],Table2[#Headers],0),0)</f>
        <v>Null</v>
      </c>
      <c r="BJ711" s="2" t="str">
        <f>VLOOKUP([jobnumber],OvalData[],MATCH(Table2[[#Headers],[Inner Spring Weight]],Table2[#Headers],0),0)</f>
        <v>Null</v>
      </c>
      <c r="BK711" s="2">
        <f>VLOOKUP([jobnumber],OvalData[],MATCH(Table2[[#Headers],[Cycles]],Table2[#Headers],0),0)</f>
        <v>0</v>
      </c>
      <c r="BL711" s="2">
        <f>VLOOKUP([jobnumber],OvalData[],MATCH(Table2[[#Headers],[Total Spring Torque]],Table2[#Headers],0),0)</f>
        <v>0</v>
      </c>
      <c r="BM711" s="2">
        <f>VLOOKUP([jobnumber],OvalData[],MATCH(Table2[[#Headers],[Total Spring Weight]],Table2[#Headers],0),0)</f>
        <v>0</v>
      </c>
      <c r="BN711" s="2">
        <f>VLOOKUP([jobnumber],OvalData[],MATCH(Table2[[#Headers],[Pipe Weight]],Table2[#Headers],0),0)</f>
        <v>688.24239999999998</v>
      </c>
      <c r="BO711" s="2">
        <f>VLOOKUP([jobnumber],OvalData[],MATCH(Table2[[#Headers],[Max Pipe Deflection]],Table2[#Headers],0),0)</f>
        <v>2309</v>
      </c>
      <c r="BP711" s="2">
        <f>VLOOKUP([jobnumber],OvalData[],MATCH(Table2[[#Headers],[Number Non-Insulated Wrap Slats]],Table2[#Headers],0),0)</f>
        <v>0</v>
      </c>
      <c r="BQ711" s="2">
        <f>VLOOKUP([jobnumber],OvalData[],MATCH(Table2[[#Headers],[Number of Insolated Top Slats]],Table2[#Headers],0),0)</f>
        <v>45</v>
      </c>
      <c r="BR711" s="2">
        <f>VLOOKUP([jobnumber],OvalData[],MATCH(Table2[[#Headers],[Insolated Total Slats]],Table2[#Headers],0),0)</f>
        <v>45</v>
      </c>
      <c r="BS711" s="2">
        <f>VLOOKUP([jobnumber],OvalData[],MATCH(Table2[[#Headers],[Number of Slats]],Table2[#Headers],0),0)</f>
        <v>44.69</v>
      </c>
      <c r="BT711" s="2">
        <f>VLOOKUP([jobnumber],OvalData[],MATCH(Table2[[#Headers],[Wrap]],Table2[#Headers],0),0)</f>
        <v>0</v>
      </c>
      <c r="BU711" s="2">
        <f>VLOOKUP([jobnumber],OvalData[],MATCH(Table2[[#Headers],[Wall Angle Thickness]],Table2[#Headers],0),0)</f>
        <v>0</v>
      </c>
      <c r="BV711" s="2">
        <f>VLOOKUP([jobnumber],OvalData[],MATCH(Table2[[#Headers],[windlocks]],Table2[#Headers],0),0)</f>
        <v>0</v>
      </c>
      <c r="BW711" s="2" t="str">
        <f>VLOOKUP([jobnumber],OvalData[],MATCH(Table2[[#Headers],[bottombartype]],Table2[#Headers],0),0)</f>
        <v>SPECIAL</v>
      </c>
      <c r="BX711" s="2">
        <f>VLOOKUP([jobnumber],OvalData[],MATCH(Table2[[#Headers],[endlockweight]],Table2[#Headers],0),0)</f>
        <v>0.17</v>
      </c>
      <c r="BY711" s="2">
        <f>VLOOKUP([jobnumber],OvalData[],MATCH(Table2[[#Headers],[Endlock Total Weight]],Table2[#Headers],0),0)</f>
        <v>7.5972999999999997</v>
      </c>
      <c r="BZ711" s="2">
        <f>VLOOKUP([jobnumber],OvalData[],MATCH(Table2[[#Headers],[Grille Weight]],Table2[#Headers],0),0)</f>
        <v>0</v>
      </c>
      <c r="CA711" s="2">
        <f>VLOOKUP([jobnumber],OvalData[],MATCH(Table2[[#Headers],[barrelrings]],Table2[#Headers],0),0)</f>
        <v>1</v>
      </c>
    </row>
    <row r="712" spans="2:79">
      <c r="B712" s="2" t="str">
        <f>VLOOKUP([jobnumber],OvalData[],MATCH(Table2[[#Headers],[Hand]],Table2[#Headers],0),0)</f>
        <v>RH</v>
      </c>
      <c r="C712" s="2" t="str">
        <f>VLOOKUP([jobnumber],OvalData[],MATCH(Table2[[#Headers],[Model]],Table2[#Headers],0),0)</f>
        <v>SFMPP</v>
      </c>
      <c r="D712" s="2" t="str">
        <f>VLOOKUP([jobnumber],OvalData[],MATCH(Table2[[#Headers],[width]],Table2[#Headers],0),0)</f>
        <v xml:space="preserve"> 18 ft.- 2"</v>
      </c>
      <c r="E712" s="2" t="str">
        <f>VLOOKUP([jobnumber],OvalData[],MATCH(Table2[[#Headers],[stopheight]],Table2[#Headers],0),0)</f>
        <v xml:space="preserve"> 10 ft.- 0"</v>
      </c>
      <c r="F712" s="2" t="str">
        <f>VLOOKUP([jobnumber],OvalData[],MATCH(Table2[[#Headers],[Between Brackets]],Table2[#Headers],0),0)</f>
        <v xml:space="preserve"> 18 ft.- 7 7/ 8"</v>
      </c>
      <c r="G712" s="2" t="str">
        <f>VLOOKUP([jobnumber],OvalData[],MATCH(Table2[[#Headers],[shell]],Table2[#Headers],0),0)</f>
        <v>6 INCH TUBE</v>
      </c>
      <c r="H712" s="2" t="str">
        <f>VLOOKUP([jobnumber],OvalData[],MATCH(Table2[[#Headers],[pipewidth]],Table2[#Headers],0),0)</f>
        <v xml:space="preserve"> 18 ft.- 1 3/ 8"</v>
      </c>
      <c r="I712" s="2">
        <f>VLOOKUP([jobnumber],OvalData[],MATCH(Table2[[#Headers],[Support Tubes]],Table2[#Headers],0),0)</f>
        <v>0</v>
      </c>
      <c r="J712" s="2">
        <f>VLOOKUP([jobnumber],OvalData[],MATCH(Table2[[#Headers],[Upset]],Table2[#Headers],0),0)</f>
        <v>2</v>
      </c>
      <c r="K712" s="2" t="str">
        <f>VLOOKUP([jobnumber],OvalData[],MATCH(Table2[[#Headers],[Guide Type]],Table2[#Headers],0),0)</f>
        <v>SN2-4 5/8-E</v>
      </c>
      <c r="L712" s="2" t="str">
        <f>VLOOKUP([jobnumber],OvalData[],MATCH(Table2[[#Headers],[Wall Angle]],Table2[#Headers],0),0)</f>
        <v xml:space="preserve"> 11 ft.- 8"</v>
      </c>
      <c r="M712" s="2" t="str">
        <f>VLOOKUP([jobnumber],OvalData[],MATCH(Table2[[#Headers],[Middle Angle]],Table2[#Headers],0),0)</f>
        <v xml:space="preserve"> 10 ft.- 4 1/ 2"</v>
      </c>
      <c r="N712" s="2" t="str">
        <f>VLOOKUP([jobnumber],OvalData[],MATCH(Table2[[#Headers],[Front Angle]],Table2[#Headers],0),0)</f>
        <v xml:space="preserve"> 10 ft.- 3"</v>
      </c>
      <c r="O712" s="2">
        <f>VLOOKUP([jobnumber],OvalData[],MATCH(Table2[[#Headers],[Pipe Center Line]],Table2[#Headers],0),0)</f>
        <v>131</v>
      </c>
      <c r="P712" s="2">
        <f>VLOOKUP([jobnumber],OvalData[],MATCH(Table2[[#Headers],[Heat Expansion Gap]],Table2[#Headers],0),0)</f>
        <v>0</v>
      </c>
      <c r="Q712" s="2">
        <f>VLOOKUP([jobnumber],OvalData[],MATCH(Table2[[#Headers],[Hanging Weight Closed]],Table2[#Headers],0),0)</f>
        <v>795</v>
      </c>
      <c r="R712" s="2">
        <f>VLOOKUP([jobnumber],OvalData[],MATCH(Table2[[#Headers],[Hanging Weight Open]],Table2[#Headers],0),0)</f>
        <v>140</v>
      </c>
      <c r="S712" s="2">
        <f>VLOOKUP([jobnumber],OvalData[],MATCH(Table2[[#Headers],[Initial Lever Arm]],Table2[#Headers],0),0)</f>
        <v>4.25</v>
      </c>
      <c r="T712" s="2">
        <f>VLOOKUP([jobnumber],OvalData[],MATCH(Table2[[#Headers],[Turns to Raise]],Table2[#Headers],0),0)</f>
        <v>3.5859999999999999</v>
      </c>
      <c r="U712" s="2">
        <f>VLOOKUP([jobnumber],OvalData[],MATCH(Table2[[#Headers],[Final Lever Arm]],Table2[#Headers],0),0)</f>
        <v>6.37</v>
      </c>
      <c r="V712" s="2">
        <f>VLOOKUP([jobnumber],OvalData[],MATCH(Table2[[#Headers],[Torque Required Closed]],Table2[#Headers],0),0)</f>
        <v>3377.9</v>
      </c>
      <c r="W712" s="2">
        <f>VLOOKUP([jobnumber],OvalData[],MATCH(Table2[[#Headers],[Torque Required Open]],Table2[#Headers],0),0)</f>
        <v>892</v>
      </c>
      <c r="X712" s="2">
        <f>VLOOKUP([jobnumber],OvalData[],MATCH(Table2[[#Headers],[Pre Turns]],Table2[#Headers],0),0)</f>
        <v>1.3332999999999999</v>
      </c>
      <c r="Y712" s="2">
        <f>VLOOKUP([jobnumber],OvalData[],MATCH(Table2[[#Headers],[Required Torque Per Turn]],Table2[#Headers],0),0)</f>
        <v>688</v>
      </c>
      <c r="Z712" s="2">
        <f>VLOOKUP([jobnumber],OvalData[],MATCH(Table2[[#Headers],[Total Turns]],Table2[#Headers],0),0)</f>
        <v>4.91</v>
      </c>
      <c r="AA712" s="2">
        <f>VLOOKUP([jobnumber],OvalData[],MATCH(Table2[[#Headers],[Grille Vision Section]],Table2[#Headers],0),0)</f>
        <v>0</v>
      </c>
      <c r="AB712" s="2">
        <f>VLOOKUP([jobnumber],OvalData[],MATCH(Table2[[#Headers],[Grille Amount]],Table2[#Headers],0),0)</f>
        <v>0</v>
      </c>
      <c r="AC712" s="2">
        <f>VLOOKUP([jobnumber],OvalData[],MATCH(Table2[[#Headers],[Grille Center]],Table2[#Headers],0),0)</f>
        <v>0</v>
      </c>
      <c r="AD712" s="2">
        <f>VLOOKUP([jobnumber],OvalData[],MATCH(Table2[[#Headers],[Grille Pattern]],Table2[#Headers],0),0)</f>
        <v>0</v>
      </c>
      <c r="AE712" s="2">
        <f>VLOOKUP([jobnumber],OvalData[],MATCH(Table2[[#Headers],[Grille First Tube]],Table2[#Headers],0),0)</f>
        <v>0</v>
      </c>
      <c r="AF712" s="2">
        <f>VLOOKUP([jobnumber],OvalData[],MATCH(Table2[[#Headers],[Grille Standard Tube]],Table2[#Headers],0),0)</f>
        <v>0</v>
      </c>
      <c r="AG712" s="2">
        <f>VLOOKUP([jobnumber],OvalData[],MATCH(Table2[[#Headers],[Grille Total Links]],Table2[#Headers],0),0)</f>
        <v>0</v>
      </c>
      <c r="AH712" s="2">
        <f>VLOOKUP([jobnumber],OvalData[],MATCH(Table2[[#Headers],[Grille Rods]],Table2[#Headers],0),0)</f>
        <v>0</v>
      </c>
      <c r="AI712" s="2">
        <f>VLOOKUP([jobnumber],OvalData[],MATCH(Table2[[#Headers],[Grille Rod Length]],Table2[#Headers],0),0)</f>
        <v>0</v>
      </c>
      <c r="AJ712" s="2">
        <f>VLOOKUP([jobnumber],OvalData[],MATCH(Table2[[#Headers],[slattype]],Table2[#Headers],0),0)</f>
        <v>2</v>
      </c>
      <c r="AK712" s="2">
        <f>VLOOKUP([jobnumber],OvalData[],MATCH(Table2[[#Headers],[slatgage]],Table2[#Headers],0),0)</f>
        <v>18</v>
      </c>
      <c r="AL712" s="2">
        <f>VLOOKUP([jobnumber],OvalData[],MATCH(Table2[[#Headers],[Numer of Top Slats]],Table2[#Headers],0),0)</f>
        <v>0</v>
      </c>
      <c r="AM712" s="2">
        <f>VLOOKUP([jobnumber],OvalData[],MATCH(Table2[[#Headers],[Number of Bottom Slats]],Table2[#Headers],0),0)</f>
        <v>0</v>
      </c>
      <c r="AN712" s="2">
        <f>VLOOKUP([jobnumber],OvalData[],MATCH(Table2[[#Headers],[Solid Bottom Height]],Table2[#Headers],0),0)</f>
        <v>0</v>
      </c>
      <c r="AO712" s="2" t="str">
        <f>VLOOKUP([jobnumber],OvalData[],MATCH(Table2[[#Headers],[slatlength]],Table2[#Headers],0),0)</f>
        <v xml:space="preserve"> 18 ft.- 5 7/ 8"</v>
      </c>
      <c r="AP712" s="2">
        <f>VLOOKUP([jobnumber],OvalData[],MATCH(Table2[[#Headers],[Bottom Slat Length]],Table2[#Headers],0),0)</f>
        <v>0</v>
      </c>
      <c r="AQ712" s="2">
        <f>VLOOKUP([jobnumber],OvalData[],MATCH(Table2[[#Headers],[Number of Perferated Slats]],Table2[#Headers],0),0)</f>
        <v>0</v>
      </c>
      <c r="AR712" s="2">
        <f>VLOOKUP([jobnumber],OvalData[],MATCH(Table2[[#Headers],[First Preferated Slat From End]],Table2[#Headers],0),0)</f>
        <v>0</v>
      </c>
      <c r="AS712" s="2">
        <f>VLOOKUP([jobnumber],OvalData[],MATCH(Table2[[#Headers],[First Preferated Slat From Bottom]],Table2[#Headers],0),0)</f>
        <v>0</v>
      </c>
      <c r="AT712" s="2">
        <f>VLOOKUP([jobnumber],OvalData[],MATCH(Table2[[#Headers],[Total Number of Slats]],Table2[#Headers],0),0)</f>
        <v>51</v>
      </c>
      <c r="AU712" s="2">
        <f>VLOOKUP([jobnumber],OvalData[],MATCH(Table2[[#Headers],[Bottom Bar Slope]],Table2[#Headers],0),0)</f>
        <v>0</v>
      </c>
      <c r="AV712" s="2">
        <f>VLOOKUP([jobnumber],OvalData[],MATCH(Table2[[#Headers],[Bottom Bar Weight]],Table2[#Headers],0),0)</f>
        <v>80.5</v>
      </c>
      <c r="AW712" s="2" t="str">
        <f>VLOOKUP([jobnumber],OvalData[],MATCH(Table2[[#Headers],[Outer Spring Gage]],Table2[#Headers],0),0)</f>
        <v>Null</v>
      </c>
      <c r="AX712" s="2" t="str">
        <f>VLOOKUP([jobnumber],OvalData[],MATCH(Table2[[#Headers],[Outer Spring OD]],Table2[#Headers],0),0)</f>
        <v>Null</v>
      </c>
      <c r="AY712" s="2" t="str">
        <f>VLOOKUP([jobnumber],OvalData[],MATCH(Table2[[#Headers],[Outer Spring Length]],Table2[#Headers],0),0)</f>
        <v>Null</v>
      </c>
      <c r="AZ712" s="2" t="str">
        <f>VLOOKUP([jobnumber],OvalData[],MATCH(Table2[[#Headers],[Outer Spring Stretch]],Table2[#Headers],0),0)</f>
        <v>Null</v>
      </c>
      <c r="BA712" s="2" t="str">
        <f>VLOOKUP([jobnumber],OvalData[],MATCH(Table2[[#Headers],[Outer Spring Torque]],Table2[#Headers],0),0)</f>
        <v>Null</v>
      </c>
      <c r="BB712" s="2" t="str">
        <f>VLOOKUP([jobnumber],OvalData[],MATCH(Table2[[#Headers],[Outer Spring Max Turns]],Table2[#Headers],0),0)</f>
        <v>Null</v>
      </c>
      <c r="BC712" s="2" t="str">
        <f>VLOOKUP([jobnumber],OvalData[],MATCH(Table2[[#Headers],[Outer Spring Weight]],Table2[#Headers],0),0)</f>
        <v>Null</v>
      </c>
      <c r="BD712" s="2" t="str">
        <f>VLOOKUP([jobnumber],OvalData[],MATCH(Table2[[#Headers],[Inner Spring Gage]],Table2[#Headers],0),0)</f>
        <v>Null</v>
      </c>
      <c r="BE712" s="2" t="str">
        <f>VLOOKUP([jobnumber],OvalData[],MATCH(Table2[[#Headers],[Inner Spring OD]],Table2[#Headers],0),0)</f>
        <v>Null</v>
      </c>
      <c r="BF712" s="2" t="str">
        <f>VLOOKUP([jobnumber],OvalData[],MATCH(Table2[[#Headers],[Inner Spring Length]],Table2[#Headers],0),0)</f>
        <v>Null</v>
      </c>
      <c r="BG712" s="2" t="str">
        <f>VLOOKUP([jobnumber],OvalData[],MATCH(Table2[[#Headers],[Inner Spring Stretch]],Table2[#Headers],0),0)</f>
        <v>Null</v>
      </c>
      <c r="BH712" s="2" t="str">
        <f>VLOOKUP([jobnumber],OvalData[],MATCH(Table2[[#Headers],[Inner Spring Torque]],Table2[#Headers],0),0)</f>
        <v>Null</v>
      </c>
      <c r="BI712" s="2" t="str">
        <f>VLOOKUP([jobnumber],OvalData[],MATCH(Table2[[#Headers],[Inner Spring Max Turns]],Table2[#Headers],0),0)</f>
        <v>Null</v>
      </c>
      <c r="BJ712" s="2" t="str">
        <f>VLOOKUP([jobnumber],OvalData[],MATCH(Table2[[#Headers],[Inner Spring Weight]],Table2[#Headers],0),0)</f>
        <v>Null</v>
      </c>
      <c r="BK712" s="2">
        <f>VLOOKUP([jobnumber],OvalData[],MATCH(Table2[[#Headers],[Cycles]],Table2[#Headers],0),0)</f>
        <v>0</v>
      </c>
      <c r="BL712" s="2">
        <f>VLOOKUP([jobnumber],OvalData[],MATCH(Table2[[#Headers],[Total Spring Torque]],Table2[#Headers],0),0)</f>
        <v>0</v>
      </c>
      <c r="BM712" s="2">
        <f>VLOOKUP([jobnumber],OvalData[],MATCH(Table2[[#Headers],[Total Spring Weight]],Table2[#Headers],0),0)</f>
        <v>0</v>
      </c>
      <c r="BN712" s="2">
        <f>VLOOKUP([jobnumber],OvalData[],MATCH(Table2[[#Headers],[Pipe Weight]],Table2[#Headers],0),0)</f>
        <v>688.24239999999998</v>
      </c>
      <c r="BO712" s="2">
        <f>VLOOKUP([jobnumber],OvalData[],MATCH(Table2[[#Headers],[Max Pipe Deflection]],Table2[#Headers],0),0)</f>
        <v>2309</v>
      </c>
      <c r="BP712" s="2">
        <f>VLOOKUP([jobnumber],OvalData[],MATCH(Table2[[#Headers],[Number Non-Insulated Wrap Slats]],Table2[#Headers],0),0)</f>
        <v>0</v>
      </c>
      <c r="BQ712" s="2">
        <f>VLOOKUP([jobnumber],OvalData[],MATCH(Table2[[#Headers],[Number of Insolated Top Slats]],Table2[#Headers],0),0)</f>
        <v>45</v>
      </c>
      <c r="BR712" s="2">
        <f>VLOOKUP([jobnumber],OvalData[],MATCH(Table2[[#Headers],[Insolated Total Slats]],Table2[#Headers],0),0)</f>
        <v>45</v>
      </c>
      <c r="BS712" s="2">
        <f>VLOOKUP([jobnumber],OvalData[],MATCH(Table2[[#Headers],[Number of Slats]],Table2[#Headers],0),0)</f>
        <v>44.69</v>
      </c>
      <c r="BT712" s="2">
        <f>VLOOKUP([jobnumber],OvalData[],MATCH(Table2[[#Headers],[Wrap]],Table2[#Headers],0),0)</f>
        <v>0</v>
      </c>
      <c r="BU712" s="2">
        <f>VLOOKUP([jobnumber],OvalData[],MATCH(Table2[[#Headers],[Wall Angle Thickness]],Table2[#Headers],0),0)</f>
        <v>0</v>
      </c>
      <c r="BV712" s="2">
        <f>VLOOKUP([jobnumber],OvalData[],MATCH(Table2[[#Headers],[windlocks]],Table2[#Headers],0),0)</f>
        <v>0</v>
      </c>
      <c r="BW712" s="2" t="str">
        <f>VLOOKUP([jobnumber],OvalData[],MATCH(Table2[[#Headers],[bottombartype]],Table2[#Headers],0),0)</f>
        <v>SPECIAL</v>
      </c>
      <c r="BX712" s="2">
        <f>VLOOKUP([jobnumber],OvalData[],MATCH(Table2[[#Headers],[endlockweight]],Table2[#Headers],0),0)</f>
        <v>0.17</v>
      </c>
      <c r="BY712" s="2">
        <f>VLOOKUP([jobnumber],OvalData[],MATCH(Table2[[#Headers],[Endlock Total Weight]],Table2[#Headers],0),0)</f>
        <v>7.5972999999999997</v>
      </c>
      <c r="BZ712" s="2">
        <f>VLOOKUP([jobnumber],OvalData[],MATCH(Table2[[#Headers],[Grille Weight]],Table2[#Headers],0),0)</f>
        <v>0</v>
      </c>
      <c r="CA712" s="2">
        <f>VLOOKUP([jobnumber],OvalData[],MATCH(Table2[[#Headers],[barrelrings]],Table2[#Headers],0),0)</f>
        <v>1</v>
      </c>
    </row>
    <row r="713" spans="2:79">
      <c r="B713" s="2" t="str">
        <f>VLOOKUP([jobnumber],OvalData[],MATCH(Table2[[#Headers],[Hand]],Table2[#Headers],0),0)</f>
        <v>RH</v>
      </c>
      <c r="C713" s="2" t="str">
        <f>VLOOKUP([jobnumber],OvalData[],MATCH(Table2[[#Headers],[Model]],Table2[#Headers],0),0)</f>
        <v>SFMPP</v>
      </c>
      <c r="D713" s="2" t="str">
        <f>VLOOKUP([jobnumber],OvalData[],MATCH(Table2[[#Headers],[width]],Table2[#Headers],0),0)</f>
        <v xml:space="preserve"> 18 ft.- 2"</v>
      </c>
      <c r="E713" s="2" t="str">
        <f>VLOOKUP([jobnumber],OvalData[],MATCH(Table2[[#Headers],[stopheight]],Table2[#Headers],0),0)</f>
        <v xml:space="preserve"> 10 ft.- 0"</v>
      </c>
      <c r="F713" s="2" t="str">
        <f>VLOOKUP([jobnumber],OvalData[],MATCH(Table2[[#Headers],[Between Brackets]],Table2[#Headers],0),0)</f>
        <v xml:space="preserve"> 18 ft.- 7 7/ 8"</v>
      </c>
      <c r="G713" s="2" t="str">
        <f>VLOOKUP([jobnumber],OvalData[],MATCH(Table2[[#Headers],[shell]],Table2[#Headers],0),0)</f>
        <v>6 INCH TUBE</v>
      </c>
      <c r="H713" s="2" t="str">
        <f>VLOOKUP([jobnumber],OvalData[],MATCH(Table2[[#Headers],[pipewidth]],Table2[#Headers],0),0)</f>
        <v xml:space="preserve"> 18 ft.- 1 3/ 8"</v>
      </c>
      <c r="I713" s="2">
        <f>VLOOKUP([jobnumber],OvalData[],MATCH(Table2[[#Headers],[Support Tubes]],Table2[#Headers],0),0)</f>
        <v>0</v>
      </c>
      <c r="J713" s="2">
        <f>VLOOKUP([jobnumber],OvalData[],MATCH(Table2[[#Headers],[Upset]],Table2[#Headers],0),0)</f>
        <v>2</v>
      </c>
      <c r="K713" s="2" t="str">
        <f>VLOOKUP([jobnumber],OvalData[],MATCH(Table2[[#Headers],[Guide Type]],Table2[#Headers],0),0)</f>
        <v>SN2-4 5/8-E</v>
      </c>
      <c r="L713" s="2" t="str">
        <f>VLOOKUP([jobnumber],OvalData[],MATCH(Table2[[#Headers],[Wall Angle]],Table2[#Headers],0),0)</f>
        <v xml:space="preserve"> 11 ft.- 8"</v>
      </c>
      <c r="M713" s="2" t="str">
        <f>VLOOKUP([jobnumber],OvalData[],MATCH(Table2[[#Headers],[Middle Angle]],Table2[#Headers],0),0)</f>
        <v xml:space="preserve"> 10 ft.- 4 1/ 2"</v>
      </c>
      <c r="N713" s="2" t="str">
        <f>VLOOKUP([jobnumber],OvalData[],MATCH(Table2[[#Headers],[Front Angle]],Table2[#Headers],0),0)</f>
        <v xml:space="preserve"> 10 ft.- 3"</v>
      </c>
      <c r="O713" s="2">
        <f>VLOOKUP([jobnumber],OvalData[],MATCH(Table2[[#Headers],[Pipe Center Line]],Table2[#Headers],0),0)</f>
        <v>131</v>
      </c>
      <c r="P713" s="2">
        <f>VLOOKUP([jobnumber],OvalData[],MATCH(Table2[[#Headers],[Heat Expansion Gap]],Table2[#Headers],0),0)</f>
        <v>0</v>
      </c>
      <c r="Q713" s="2">
        <f>VLOOKUP([jobnumber],OvalData[],MATCH(Table2[[#Headers],[Hanging Weight Closed]],Table2[#Headers],0),0)</f>
        <v>795</v>
      </c>
      <c r="R713" s="2">
        <f>VLOOKUP([jobnumber],OvalData[],MATCH(Table2[[#Headers],[Hanging Weight Open]],Table2[#Headers],0),0)</f>
        <v>140</v>
      </c>
      <c r="S713" s="2">
        <f>VLOOKUP([jobnumber],OvalData[],MATCH(Table2[[#Headers],[Initial Lever Arm]],Table2[#Headers],0),0)</f>
        <v>4.25</v>
      </c>
      <c r="T713" s="2">
        <f>VLOOKUP([jobnumber],OvalData[],MATCH(Table2[[#Headers],[Turns to Raise]],Table2[#Headers],0),0)</f>
        <v>3.5859999999999999</v>
      </c>
      <c r="U713" s="2">
        <f>VLOOKUP([jobnumber],OvalData[],MATCH(Table2[[#Headers],[Final Lever Arm]],Table2[#Headers],0),0)</f>
        <v>6.37</v>
      </c>
      <c r="V713" s="2">
        <f>VLOOKUP([jobnumber],OvalData[],MATCH(Table2[[#Headers],[Torque Required Closed]],Table2[#Headers],0),0)</f>
        <v>3377.9</v>
      </c>
      <c r="W713" s="2">
        <f>VLOOKUP([jobnumber],OvalData[],MATCH(Table2[[#Headers],[Torque Required Open]],Table2[#Headers],0),0)</f>
        <v>892</v>
      </c>
      <c r="X713" s="2">
        <f>VLOOKUP([jobnumber],OvalData[],MATCH(Table2[[#Headers],[Pre Turns]],Table2[#Headers],0),0)</f>
        <v>1.3332999999999999</v>
      </c>
      <c r="Y713" s="2">
        <f>VLOOKUP([jobnumber],OvalData[],MATCH(Table2[[#Headers],[Required Torque Per Turn]],Table2[#Headers],0),0)</f>
        <v>688</v>
      </c>
      <c r="Z713" s="2">
        <f>VLOOKUP([jobnumber],OvalData[],MATCH(Table2[[#Headers],[Total Turns]],Table2[#Headers],0),0)</f>
        <v>4.91</v>
      </c>
      <c r="AA713" s="2">
        <f>VLOOKUP([jobnumber],OvalData[],MATCH(Table2[[#Headers],[Grille Vision Section]],Table2[#Headers],0),0)</f>
        <v>0</v>
      </c>
      <c r="AB713" s="2">
        <f>VLOOKUP([jobnumber],OvalData[],MATCH(Table2[[#Headers],[Grille Amount]],Table2[#Headers],0),0)</f>
        <v>0</v>
      </c>
      <c r="AC713" s="2">
        <f>VLOOKUP([jobnumber],OvalData[],MATCH(Table2[[#Headers],[Grille Center]],Table2[#Headers],0),0)</f>
        <v>0</v>
      </c>
      <c r="AD713" s="2">
        <f>VLOOKUP([jobnumber],OvalData[],MATCH(Table2[[#Headers],[Grille Pattern]],Table2[#Headers],0),0)</f>
        <v>0</v>
      </c>
      <c r="AE713" s="2">
        <f>VLOOKUP([jobnumber],OvalData[],MATCH(Table2[[#Headers],[Grille First Tube]],Table2[#Headers],0),0)</f>
        <v>0</v>
      </c>
      <c r="AF713" s="2">
        <f>VLOOKUP([jobnumber],OvalData[],MATCH(Table2[[#Headers],[Grille Standard Tube]],Table2[#Headers],0),0)</f>
        <v>0</v>
      </c>
      <c r="AG713" s="2">
        <f>VLOOKUP([jobnumber],OvalData[],MATCH(Table2[[#Headers],[Grille Total Links]],Table2[#Headers],0),0)</f>
        <v>0</v>
      </c>
      <c r="AH713" s="2">
        <f>VLOOKUP([jobnumber],OvalData[],MATCH(Table2[[#Headers],[Grille Rods]],Table2[#Headers],0),0)</f>
        <v>0</v>
      </c>
      <c r="AI713" s="2">
        <f>VLOOKUP([jobnumber],OvalData[],MATCH(Table2[[#Headers],[Grille Rod Length]],Table2[#Headers],0),0)</f>
        <v>0</v>
      </c>
      <c r="AJ713" s="2">
        <f>VLOOKUP([jobnumber],OvalData[],MATCH(Table2[[#Headers],[slattype]],Table2[#Headers],0),0)</f>
        <v>2</v>
      </c>
      <c r="AK713" s="2">
        <f>VLOOKUP([jobnumber],OvalData[],MATCH(Table2[[#Headers],[slatgage]],Table2[#Headers],0),0)</f>
        <v>18</v>
      </c>
      <c r="AL713" s="2">
        <f>VLOOKUP([jobnumber],OvalData[],MATCH(Table2[[#Headers],[Numer of Top Slats]],Table2[#Headers],0),0)</f>
        <v>0</v>
      </c>
      <c r="AM713" s="2">
        <f>VLOOKUP([jobnumber],OvalData[],MATCH(Table2[[#Headers],[Number of Bottom Slats]],Table2[#Headers],0),0)</f>
        <v>0</v>
      </c>
      <c r="AN713" s="2">
        <f>VLOOKUP([jobnumber],OvalData[],MATCH(Table2[[#Headers],[Solid Bottom Height]],Table2[#Headers],0),0)</f>
        <v>0</v>
      </c>
      <c r="AO713" s="2" t="str">
        <f>VLOOKUP([jobnumber],OvalData[],MATCH(Table2[[#Headers],[slatlength]],Table2[#Headers],0),0)</f>
        <v xml:space="preserve"> 18 ft.- 5 7/ 8"</v>
      </c>
      <c r="AP713" s="2">
        <f>VLOOKUP([jobnumber],OvalData[],MATCH(Table2[[#Headers],[Bottom Slat Length]],Table2[#Headers],0),0)</f>
        <v>0</v>
      </c>
      <c r="AQ713" s="2">
        <f>VLOOKUP([jobnumber],OvalData[],MATCH(Table2[[#Headers],[Number of Perferated Slats]],Table2[#Headers],0),0)</f>
        <v>0</v>
      </c>
      <c r="AR713" s="2">
        <f>VLOOKUP([jobnumber],OvalData[],MATCH(Table2[[#Headers],[First Preferated Slat From End]],Table2[#Headers],0),0)</f>
        <v>0</v>
      </c>
      <c r="AS713" s="2">
        <f>VLOOKUP([jobnumber],OvalData[],MATCH(Table2[[#Headers],[First Preferated Slat From Bottom]],Table2[#Headers],0),0)</f>
        <v>0</v>
      </c>
      <c r="AT713" s="2">
        <f>VLOOKUP([jobnumber],OvalData[],MATCH(Table2[[#Headers],[Total Number of Slats]],Table2[#Headers],0),0)</f>
        <v>51</v>
      </c>
      <c r="AU713" s="2">
        <f>VLOOKUP([jobnumber],OvalData[],MATCH(Table2[[#Headers],[Bottom Bar Slope]],Table2[#Headers],0),0)</f>
        <v>0</v>
      </c>
      <c r="AV713" s="2">
        <f>VLOOKUP([jobnumber],OvalData[],MATCH(Table2[[#Headers],[Bottom Bar Weight]],Table2[#Headers],0),0)</f>
        <v>80.5</v>
      </c>
      <c r="AW713" s="2" t="str">
        <f>VLOOKUP([jobnumber],OvalData[],MATCH(Table2[[#Headers],[Outer Spring Gage]],Table2[#Headers],0),0)</f>
        <v>Null</v>
      </c>
      <c r="AX713" s="2" t="str">
        <f>VLOOKUP([jobnumber],OvalData[],MATCH(Table2[[#Headers],[Outer Spring OD]],Table2[#Headers],0),0)</f>
        <v>Null</v>
      </c>
      <c r="AY713" s="2" t="str">
        <f>VLOOKUP([jobnumber],OvalData[],MATCH(Table2[[#Headers],[Outer Spring Length]],Table2[#Headers],0),0)</f>
        <v>Null</v>
      </c>
      <c r="AZ713" s="2" t="str">
        <f>VLOOKUP([jobnumber],OvalData[],MATCH(Table2[[#Headers],[Outer Spring Stretch]],Table2[#Headers],0),0)</f>
        <v>Null</v>
      </c>
      <c r="BA713" s="2" t="str">
        <f>VLOOKUP([jobnumber],OvalData[],MATCH(Table2[[#Headers],[Outer Spring Torque]],Table2[#Headers],0),0)</f>
        <v>Null</v>
      </c>
      <c r="BB713" s="2" t="str">
        <f>VLOOKUP([jobnumber],OvalData[],MATCH(Table2[[#Headers],[Outer Spring Max Turns]],Table2[#Headers],0),0)</f>
        <v>Null</v>
      </c>
      <c r="BC713" s="2" t="str">
        <f>VLOOKUP([jobnumber],OvalData[],MATCH(Table2[[#Headers],[Outer Spring Weight]],Table2[#Headers],0),0)</f>
        <v>Null</v>
      </c>
      <c r="BD713" s="2" t="str">
        <f>VLOOKUP([jobnumber],OvalData[],MATCH(Table2[[#Headers],[Inner Spring Gage]],Table2[#Headers],0),0)</f>
        <v>Null</v>
      </c>
      <c r="BE713" s="2" t="str">
        <f>VLOOKUP([jobnumber],OvalData[],MATCH(Table2[[#Headers],[Inner Spring OD]],Table2[#Headers],0),0)</f>
        <v>Null</v>
      </c>
      <c r="BF713" s="2" t="str">
        <f>VLOOKUP([jobnumber],OvalData[],MATCH(Table2[[#Headers],[Inner Spring Length]],Table2[#Headers],0),0)</f>
        <v>Null</v>
      </c>
      <c r="BG713" s="2" t="str">
        <f>VLOOKUP([jobnumber],OvalData[],MATCH(Table2[[#Headers],[Inner Spring Stretch]],Table2[#Headers],0),0)</f>
        <v>Null</v>
      </c>
      <c r="BH713" s="2" t="str">
        <f>VLOOKUP([jobnumber],OvalData[],MATCH(Table2[[#Headers],[Inner Spring Torque]],Table2[#Headers],0),0)</f>
        <v>Null</v>
      </c>
      <c r="BI713" s="2" t="str">
        <f>VLOOKUP([jobnumber],OvalData[],MATCH(Table2[[#Headers],[Inner Spring Max Turns]],Table2[#Headers],0),0)</f>
        <v>Null</v>
      </c>
      <c r="BJ713" s="2" t="str">
        <f>VLOOKUP([jobnumber],OvalData[],MATCH(Table2[[#Headers],[Inner Spring Weight]],Table2[#Headers],0),0)</f>
        <v>Null</v>
      </c>
      <c r="BK713" s="2">
        <f>VLOOKUP([jobnumber],OvalData[],MATCH(Table2[[#Headers],[Cycles]],Table2[#Headers],0),0)</f>
        <v>0</v>
      </c>
      <c r="BL713" s="2">
        <f>VLOOKUP([jobnumber],OvalData[],MATCH(Table2[[#Headers],[Total Spring Torque]],Table2[#Headers],0),0)</f>
        <v>0</v>
      </c>
      <c r="BM713" s="2">
        <f>VLOOKUP([jobnumber],OvalData[],MATCH(Table2[[#Headers],[Total Spring Weight]],Table2[#Headers],0),0)</f>
        <v>0</v>
      </c>
      <c r="BN713" s="2">
        <f>VLOOKUP([jobnumber],OvalData[],MATCH(Table2[[#Headers],[Pipe Weight]],Table2[#Headers],0),0)</f>
        <v>688.24239999999998</v>
      </c>
      <c r="BO713" s="2">
        <f>VLOOKUP([jobnumber],OvalData[],MATCH(Table2[[#Headers],[Max Pipe Deflection]],Table2[#Headers],0),0)</f>
        <v>2309</v>
      </c>
      <c r="BP713" s="2">
        <f>VLOOKUP([jobnumber],OvalData[],MATCH(Table2[[#Headers],[Number Non-Insulated Wrap Slats]],Table2[#Headers],0),0)</f>
        <v>0</v>
      </c>
      <c r="BQ713" s="2">
        <f>VLOOKUP([jobnumber],OvalData[],MATCH(Table2[[#Headers],[Number of Insolated Top Slats]],Table2[#Headers],0),0)</f>
        <v>45</v>
      </c>
      <c r="BR713" s="2">
        <f>VLOOKUP([jobnumber],OvalData[],MATCH(Table2[[#Headers],[Insolated Total Slats]],Table2[#Headers],0),0)</f>
        <v>45</v>
      </c>
      <c r="BS713" s="2">
        <f>VLOOKUP([jobnumber],OvalData[],MATCH(Table2[[#Headers],[Number of Slats]],Table2[#Headers],0),0)</f>
        <v>44.69</v>
      </c>
      <c r="BT713" s="2">
        <f>VLOOKUP([jobnumber],OvalData[],MATCH(Table2[[#Headers],[Wrap]],Table2[#Headers],0),0)</f>
        <v>0</v>
      </c>
      <c r="BU713" s="2">
        <f>VLOOKUP([jobnumber],OvalData[],MATCH(Table2[[#Headers],[Wall Angle Thickness]],Table2[#Headers],0),0)</f>
        <v>0</v>
      </c>
      <c r="BV713" s="2">
        <f>VLOOKUP([jobnumber],OvalData[],MATCH(Table2[[#Headers],[windlocks]],Table2[#Headers],0),0)</f>
        <v>0</v>
      </c>
      <c r="BW713" s="2" t="str">
        <f>VLOOKUP([jobnumber],OvalData[],MATCH(Table2[[#Headers],[bottombartype]],Table2[#Headers],0),0)</f>
        <v>SPECIAL</v>
      </c>
      <c r="BX713" s="2">
        <f>VLOOKUP([jobnumber],OvalData[],MATCH(Table2[[#Headers],[endlockweight]],Table2[#Headers],0),0)</f>
        <v>0.17</v>
      </c>
      <c r="BY713" s="2">
        <f>VLOOKUP([jobnumber],OvalData[],MATCH(Table2[[#Headers],[Endlock Total Weight]],Table2[#Headers],0),0)</f>
        <v>7.5972999999999997</v>
      </c>
      <c r="BZ713" s="2">
        <f>VLOOKUP([jobnumber],OvalData[],MATCH(Table2[[#Headers],[Grille Weight]],Table2[#Headers],0),0)</f>
        <v>0</v>
      </c>
      <c r="CA713" s="2">
        <f>VLOOKUP([jobnumber],OvalData[],MATCH(Table2[[#Headers],[barrelrings]],Table2[#Headers],0),0)</f>
        <v>1</v>
      </c>
    </row>
    <row r="714" spans="2:79">
      <c r="B714" s="2" t="str">
        <f>VLOOKUP([jobnumber],OvalData[],MATCH(Table2[[#Headers],[Hand]],Table2[#Headers],0),0)</f>
        <v>RH</v>
      </c>
      <c r="C714" s="2" t="str">
        <f>VLOOKUP([jobnumber],OvalData[],MATCH(Table2[[#Headers],[Model]],Table2[#Headers],0),0)</f>
        <v>SFMPP</v>
      </c>
      <c r="D714" s="2" t="str">
        <f>VLOOKUP([jobnumber],OvalData[],MATCH(Table2[[#Headers],[width]],Table2[#Headers],0),0)</f>
        <v xml:space="preserve"> 18 ft.- 2"</v>
      </c>
      <c r="E714" s="2" t="str">
        <f>VLOOKUP([jobnumber],OvalData[],MATCH(Table2[[#Headers],[stopheight]],Table2[#Headers],0),0)</f>
        <v xml:space="preserve"> 10 ft.- 0"</v>
      </c>
      <c r="F714" s="2" t="str">
        <f>VLOOKUP([jobnumber],OvalData[],MATCH(Table2[[#Headers],[Between Brackets]],Table2[#Headers],0),0)</f>
        <v xml:space="preserve"> 18 ft.- 7 7/ 8"</v>
      </c>
      <c r="G714" s="2" t="str">
        <f>VLOOKUP([jobnumber],OvalData[],MATCH(Table2[[#Headers],[shell]],Table2[#Headers],0),0)</f>
        <v>6 INCH TUBE</v>
      </c>
      <c r="H714" s="2" t="str">
        <f>VLOOKUP([jobnumber],OvalData[],MATCH(Table2[[#Headers],[pipewidth]],Table2[#Headers],0),0)</f>
        <v xml:space="preserve"> 18 ft.- 1 3/ 8"</v>
      </c>
      <c r="I714" s="2">
        <f>VLOOKUP([jobnumber],OvalData[],MATCH(Table2[[#Headers],[Support Tubes]],Table2[#Headers],0),0)</f>
        <v>0</v>
      </c>
      <c r="J714" s="2">
        <f>VLOOKUP([jobnumber],OvalData[],MATCH(Table2[[#Headers],[Upset]],Table2[#Headers],0),0)</f>
        <v>2</v>
      </c>
      <c r="K714" s="2" t="str">
        <f>VLOOKUP([jobnumber],OvalData[],MATCH(Table2[[#Headers],[Guide Type]],Table2[#Headers],0),0)</f>
        <v>SN2-4 5/8-E</v>
      </c>
      <c r="L714" s="2" t="str">
        <f>VLOOKUP([jobnumber],OvalData[],MATCH(Table2[[#Headers],[Wall Angle]],Table2[#Headers],0),0)</f>
        <v xml:space="preserve"> 11 ft.- 8"</v>
      </c>
      <c r="M714" s="2" t="str">
        <f>VLOOKUP([jobnumber],OvalData[],MATCH(Table2[[#Headers],[Middle Angle]],Table2[#Headers],0),0)</f>
        <v xml:space="preserve"> 10 ft.- 4 1/ 2"</v>
      </c>
      <c r="N714" s="2" t="str">
        <f>VLOOKUP([jobnumber],OvalData[],MATCH(Table2[[#Headers],[Front Angle]],Table2[#Headers],0),0)</f>
        <v xml:space="preserve"> 10 ft.- 3"</v>
      </c>
      <c r="O714" s="2">
        <f>VLOOKUP([jobnumber],OvalData[],MATCH(Table2[[#Headers],[Pipe Center Line]],Table2[#Headers],0),0)</f>
        <v>131</v>
      </c>
      <c r="P714" s="2">
        <f>VLOOKUP([jobnumber],OvalData[],MATCH(Table2[[#Headers],[Heat Expansion Gap]],Table2[#Headers],0),0)</f>
        <v>0</v>
      </c>
      <c r="Q714" s="2">
        <f>VLOOKUP([jobnumber],OvalData[],MATCH(Table2[[#Headers],[Hanging Weight Closed]],Table2[#Headers],0),0)</f>
        <v>795</v>
      </c>
      <c r="R714" s="2">
        <f>VLOOKUP([jobnumber],OvalData[],MATCH(Table2[[#Headers],[Hanging Weight Open]],Table2[#Headers],0),0)</f>
        <v>140</v>
      </c>
      <c r="S714" s="2">
        <f>VLOOKUP([jobnumber],OvalData[],MATCH(Table2[[#Headers],[Initial Lever Arm]],Table2[#Headers],0),0)</f>
        <v>4.25</v>
      </c>
      <c r="T714" s="2">
        <f>VLOOKUP([jobnumber],OvalData[],MATCH(Table2[[#Headers],[Turns to Raise]],Table2[#Headers],0),0)</f>
        <v>3.5859999999999999</v>
      </c>
      <c r="U714" s="2">
        <f>VLOOKUP([jobnumber],OvalData[],MATCH(Table2[[#Headers],[Final Lever Arm]],Table2[#Headers],0),0)</f>
        <v>6.37</v>
      </c>
      <c r="V714" s="2">
        <f>VLOOKUP([jobnumber],OvalData[],MATCH(Table2[[#Headers],[Torque Required Closed]],Table2[#Headers],0),0)</f>
        <v>3377.9</v>
      </c>
      <c r="W714" s="2">
        <f>VLOOKUP([jobnumber],OvalData[],MATCH(Table2[[#Headers],[Torque Required Open]],Table2[#Headers],0),0)</f>
        <v>892</v>
      </c>
      <c r="X714" s="2">
        <f>VLOOKUP([jobnumber],OvalData[],MATCH(Table2[[#Headers],[Pre Turns]],Table2[#Headers],0),0)</f>
        <v>1.3332999999999999</v>
      </c>
      <c r="Y714" s="2">
        <f>VLOOKUP([jobnumber],OvalData[],MATCH(Table2[[#Headers],[Required Torque Per Turn]],Table2[#Headers],0),0)</f>
        <v>688</v>
      </c>
      <c r="Z714" s="2">
        <f>VLOOKUP([jobnumber],OvalData[],MATCH(Table2[[#Headers],[Total Turns]],Table2[#Headers],0),0)</f>
        <v>4.91</v>
      </c>
      <c r="AA714" s="2">
        <f>VLOOKUP([jobnumber],OvalData[],MATCH(Table2[[#Headers],[Grille Vision Section]],Table2[#Headers],0),0)</f>
        <v>0</v>
      </c>
      <c r="AB714" s="2">
        <f>VLOOKUP([jobnumber],OvalData[],MATCH(Table2[[#Headers],[Grille Amount]],Table2[#Headers],0),0)</f>
        <v>0</v>
      </c>
      <c r="AC714" s="2">
        <f>VLOOKUP([jobnumber],OvalData[],MATCH(Table2[[#Headers],[Grille Center]],Table2[#Headers],0),0)</f>
        <v>0</v>
      </c>
      <c r="AD714" s="2">
        <f>VLOOKUP([jobnumber],OvalData[],MATCH(Table2[[#Headers],[Grille Pattern]],Table2[#Headers],0),0)</f>
        <v>0</v>
      </c>
      <c r="AE714" s="2">
        <f>VLOOKUP([jobnumber],OvalData[],MATCH(Table2[[#Headers],[Grille First Tube]],Table2[#Headers],0),0)</f>
        <v>0</v>
      </c>
      <c r="AF714" s="2">
        <f>VLOOKUP([jobnumber],OvalData[],MATCH(Table2[[#Headers],[Grille Standard Tube]],Table2[#Headers],0),0)</f>
        <v>0</v>
      </c>
      <c r="AG714" s="2">
        <f>VLOOKUP([jobnumber],OvalData[],MATCH(Table2[[#Headers],[Grille Total Links]],Table2[#Headers],0),0)</f>
        <v>0</v>
      </c>
      <c r="AH714" s="2">
        <f>VLOOKUP([jobnumber],OvalData[],MATCH(Table2[[#Headers],[Grille Rods]],Table2[#Headers],0),0)</f>
        <v>0</v>
      </c>
      <c r="AI714" s="2">
        <f>VLOOKUP([jobnumber],OvalData[],MATCH(Table2[[#Headers],[Grille Rod Length]],Table2[#Headers],0),0)</f>
        <v>0</v>
      </c>
      <c r="AJ714" s="2">
        <f>VLOOKUP([jobnumber],OvalData[],MATCH(Table2[[#Headers],[slattype]],Table2[#Headers],0),0)</f>
        <v>2</v>
      </c>
      <c r="AK714" s="2">
        <f>VLOOKUP([jobnumber],OvalData[],MATCH(Table2[[#Headers],[slatgage]],Table2[#Headers],0),0)</f>
        <v>18</v>
      </c>
      <c r="AL714" s="2">
        <f>VLOOKUP([jobnumber],OvalData[],MATCH(Table2[[#Headers],[Numer of Top Slats]],Table2[#Headers],0),0)</f>
        <v>0</v>
      </c>
      <c r="AM714" s="2">
        <f>VLOOKUP([jobnumber],OvalData[],MATCH(Table2[[#Headers],[Number of Bottom Slats]],Table2[#Headers],0),0)</f>
        <v>0</v>
      </c>
      <c r="AN714" s="2">
        <f>VLOOKUP([jobnumber],OvalData[],MATCH(Table2[[#Headers],[Solid Bottom Height]],Table2[#Headers],0),0)</f>
        <v>0</v>
      </c>
      <c r="AO714" s="2" t="str">
        <f>VLOOKUP([jobnumber],OvalData[],MATCH(Table2[[#Headers],[slatlength]],Table2[#Headers],0),0)</f>
        <v xml:space="preserve"> 18 ft.- 5 7/ 8"</v>
      </c>
      <c r="AP714" s="2">
        <f>VLOOKUP([jobnumber],OvalData[],MATCH(Table2[[#Headers],[Bottom Slat Length]],Table2[#Headers],0),0)</f>
        <v>0</v>
      </c>
      <c r="AQ714" s="2">
        <f>VLOOKUP([jobnumber],OvalData[],MATCH(Table2[[#Headers],[Number of Perferated Slats]],Table2[#Headers],0),0)</f>
        <v>0</v>
      </c>
      <c r="AR714" s="2">
        <f>VLOOKUP([jobnumber],OvalData[],MATCH(Table2[[#Headers],[First Preferated Slat From End]],Table2[#Headers],0),0)</f>
        <v>0</v>
      </c>
      <c r="AS714" s="2">
        <f>VLOOKUP([jobnumber],OvalData[],MATCH(Table2[[#Headers],[First Preferated Slat From Bottom]],Table2[#Headers],0),0)</f>
        <v>0</v>
      </c>
      <c r="AT714" s="2">
        <f>VLOOKUP([jobnumber],OvalData[],MATCH(Table2[[#Headers],[Total Number of Slats]],Table2[#Headers],0),0)</f>
        <v>51</v>
      </c>
      <c r="AU714" s="2">
        <f>VLOOKUP([jobnumber],OvalData[],MATCH(Table2[[#Headers],[Bottom Bar Slope]],Table2[#Headers],0),0)</f>
        <v>0</v>
      </c>
      <c r="AV714" s="2">
        <f>VLOOKUP([jobnumber],OvalData[],MATCH(Table2[[#Headers],[Bottom Bar Weight]],Table2[#Headers],0),0)</f>
        <v>80.5</v>
      </c>
      <c r="AW714" s="2" t="str">
        <f>VLOOKUP([jobnumber],OvalData[],MATCH(Table2[[#Headers],[Outer Spring Gage]],Table2[#Headers],0),0)</f>
        <v>Null</v>
      </c>
      <c r="AX714" s="2" t="str">
        <f>VLOOKUP([jobnumber],OvalData[],MATCH(Table2[[#Headers],[Outer Spring OD]],Table2[#Headers],0),0)</f>
        <v>Null</v>
      </c>
      <c r="AY714" s="2" t="str">
        <f>VLOOKUP([jobnumber],OvalData[],MATCH(Table2[[#Headers],[Outer Spring Length]],Table2[#Headers],0),0)</f>
        <v>Null</v>
      </c>
      <c r="AZ714" s="2" t="str">
        <f>VLOOKUP([jobnumber],OvalData[],MATCH(Table2[[#Headers],[Outer Spring Stretch]],Table2[#Headers],0),0)</f>
        <v>Null</v>
      </c>
      <c r="BA714" s="2" t="str">
        <f>VLOOKUP([jobnumber],OvalData[],MATCH(Table2[[#Headers],[Outer Spring Torque]],Table2[#Headers],0),0)</f>
        <v>Null</v>
      </c>
      <c r="BB714" s="2" t="str">
        <f>VLOOKUP([jobnumber],OvalData[],MATCH(Table2[[#Headers],[Outer Spring Max Turns]],Table2[#Headers],0),0)</f>
        <v>Null</v>
      </c>
      <c r="BC714" s="2" t="str">
        <f>VLOOKUP([jobnumber],OvalData[],MATCH(Table2[[#Headers],[Outer Spring Weight]],Table2[#Headers],0),0)</f>
        <v>Null</v>
      </c>
      <c r="BD714" s="2" t="str">
        <f>VLOOKUP([jobnumber],OvalData[],MATCH(Table2[[#Headers],[Inner Spring Gage]],Table2[#Headers],0),0)</f>
        <v>Null</v>
      </c>
      <c r="BE714" s="2" t="str">
        <f>VLOOKUP([jobnumber],OvalData[],MATCH(Table2[[#Headers],[Inner Spring OD]],Table2[#Headers],0),0)</f>
        <v>Null</v>
      </c>
      <c r="BF714" s="2" t="str">
        <f>VLOOKUP([jobnumber],OvalData[],MATCH(Table2[[#Headers],[Inner Spring Length]],Table2[#Headers],0),0)</f>
        <v>Null</v>
      </c>
      <c r="BG714" s="2" t="str">
        <f>VLOOKUP([jobnumber],OvalData[],MATCH(Table2[[#Headers],[Inner Spring Stretch]],Table2[#Headers],0),0)</f>
        <v>Null</v>
      </c>
      <c r="BH714" s="2" t="str">
        <f>VLOOKUP([jobnumber],OvalData[],MATCH(Table2[[#Headers],[Inner Spring Torque]],Table2[#Headers],0),0)</f>
        <v>Null</v>
      </c>
      <c r="BI714" s="2" t="str">
        <f>VLOOKUP([jobnumber],OvalData[],MATCH(Table2[[#Headers],[Inner Spring Max Turns]],Table2[#Headers],0),0)</f>
        <v>Null</v>
      </c>
      <c r="BJ714" s="2" t="str">
        <f>VLOOKUP([jobnumber],OvalData[],MATCH(Table2[[#Headers],[Inner Spring Weight]],Table2[#Headers],0),0)</f>
        <v>Null</v>
      </c>
      <c r="BK714" s="2">
        <f>VLOOKUP([jobnumber],OvalData[],MATCH(Table2[[#Headers],[Cycles]],Table2[#Headers],0),0)</f>
        <v>0</v>
      </c>
      <c r="BL714" s="2">
        <f>VLOOKUP([jobnumber],OvalData[],MATCH(Table2[[#Headers],[Total Spring Torque]],Table2[#Headers],0),0)</f>
        <v>0</v>
      </c>
      <c r="BM714" s="2">
        <f>VLOOKUP([jobnumber],OvalData[],MATCH(Table2[[#Headers],[Total Spring Weight]],Table2[#Headers],0),0)</f>
        <v>0</v>
      </c>
      <c r="BN714" s="2">
        <f>VLOOKUP([jobnumber],OvalData[],MATCH(Table2[[#Headers],[Pipe Weight]],Table2[#Headers],0),0)</f>
        <v>688.24239999999998</v>
      </c>
      <c r="BO714" s="2">
        <f>VLOOKUP([jobnumber],OvalData[],MATCH(Table2[[#Headers],[Max Pipe Deflection]],Table2[#Headers],0),0)</f>
        <v>2309</v>
      </c>
      <c r="BP714" s="2">
        <f>VLOOKUP([jobnumber],OvalData[],MATCH(Table2[[#Headers],[Number Non-Insulated Wrap Slats]],Table2[#Headers],0),0)</f>
        <v>0</v>
      </c>
      <c r="BQ714" s="2">
        <f>VLOOKUP([jobnumber],OvalData[],MATCH(Table2[[#Headers],[Number of Insolated Top Slats]],Table2[#Headers],0),0)</f>
        <v>45</v>
      </c>
      <c r="BR714" s="2">
        <f>VLOOKUP([jobnumber],OvalData[],MATCH(Table2[[#Headers],[Insolated Total Slats]],Table2[#Headers],0),0)</f>
        <v>45</v>
      </c>
      <c r="BS714" s="2">
        <f>VLOOKUP([jobnumber],OvalData[],MATCH(Table2[[#Headers],[Number of Slats]],Table2[#Headers],0),0)</f>
        <v>44.69</v>
      </c>
      <c r="BT714" s="2">
        <f>VLOOKUP([jobnumber],OvalData[],MATCH(Table2[[#Headers],[Wrap]],Table2[#Headers],0),0)</f>
        <v>0</v>
      </c>
      <c r="BU714" s="2">
        <f>VLOOKUP([jobnumber],OvalData[],MATCH(Table2[[#Headers],[Wall Angle Thickness]],Table2[#Headers],0),0)</f>
        <v>0</v>
      </c>
      <c r="BV714" s="2">
        <f>VLOOKUP([jobnumber],OvalData[],MATCH(Table2[[#Headers],[windlocks]],Table2[#Headers],0),0)</f>
        <v>0</v>
      </c>
      <c r="BW714" s="2" t="str">
        <f>VLOOKUP([jobnumber],OvalData[],MATCH(Table2[[#Headers],[bottombartype]],Table2[#Headers],0),0)</f>
        <v>SPECIAL</v>
      </c>
      <c r="BX714" s="2">
        <f>VLOOKUP([jobnumber],OvalData[],MATCH(Table2[[#Headers],[endlockweight]],Table2[#Headers],0),0)</f>
        <v>0.17</v>
      </c>
      <c r="BY714" s="2">
        <f>VLOOKUP([jobnumber],OvalData[],MATCH(Table2[[#Headers],[Endlock Total Weight]],Table2[#Headers],0),0)</f>
        <v>7.5972999999999997</v>
      </c>
      <c r="BZ714" s="2">
        <f>VLOOKUP([jobnumber],OvalData[],MATCH(Table2[[#Headers],[Grille Weight]],Table2[#Headers],0),0)</f>
        <v>0</v>
      </c>
      <c r="CA714" s="2">
        <f>VLOOKUP([jobnumber],OvalData[],MATCH(Table2[[#Headers],[barrelrings]],Table2[#Headers],0),0)</f>
        <v>1</v>
      </c>
    </row>
    <row r="715" spans="2:79">
      <c r="B715" s="2" t="str">
        <f>VLOOKUP([jobnumber],OvalData[],MATCH(Table2[[#Headers],[Hand]],Table2[#Headers],0),0)</f>
        <v>RH</v>
      </c>
      <c r="C715" s="2" t="str">
        <f>VLOOKUP([jobnumber],OvalData[],MATCH(Table2[[#Headers],[Model]],Table2[#Headers],0),0)</f>
        <v>SFMPP</v>
      </c>
      <c r="D715" s="2" t="str">
        <f>VLOOKUP([jobnumber],OvalData[],MATCH(Table2[[#Headers],[width]],Table2[#Headers],0),0)</f>
        <v xml:space="preserve"> 18 ft.- 2"</v>
      </c>
      <c r="E715" s="2" t="str">
        <f>VLOOKUP([jobnumber],OvalData[],MATCH(Table2[[#Headers],[stopheight]],Table2[#Headers],0),0)</f>
        <v xml:space="preserve"> 10 ft.- 0"</v>
      </c>
      <c r="F715" s="2" t="str">
        <f>VLOOKUP([jobnumber],OvalData[],MATCH(Table2[[#Headers],[Between Brackets]],Table2[#Headers],0),0)</f>
        <v xml:space="preserve"> 18 ft.- 7 7/ 8"</v>
      </c>
      <c r="G715" s="2" t="str">
        <f>VLOOKUP([jobnumber],OvalData[],MATCH(Table2[[#Headers],[shell]],Table2[#Headers],0),0)</f>
        <v>6 INCH TUBE</v>
      </c>
      <c r="H715" s="2" t="str">
        <f>VLOOKUP([jobnumber],OvalData[],MATCH(Table2[[#Headers],[pipewidth]],Table2[#Headers],0),0)</f>
        <v xml:space="preserve"> 18 ft.- 1 3/ 8"</v>
      </c>
      <c r="I715" s="2">
        <f>VLOOKUP([jobnumber],OvalData[],MATCH(Table2[[#Headers],[Support Tubes]],Table2[#Headers],0),0)</f>
        <v>0</v>
      </c>
      <c r="J715" s="2">
        <f>VLOOKUP([jobnumber],OvalData[],MATCH(Table2[[#Headers],[Upset]],Table2[#Headers],0),0)</f>
        <v>2</v>
      </c>
      <c r="K715" s="2" t="str">
        <f>VLOOKUP([jobnumber],OvalData[],MATCH(Table2[[#Headers],[Guide Type]],Table2[#Headers],0),0)</f>
        <v>SN2-4 5/8-E</v>
      </c>
      <c r="L715" s="2" t="str">
        <f>VLOOKUP([jobnumber],OvalData[],MATCH(Table2[[#Headers],[Wall Angle]],Table2[#Headers],0),0)</f>
        <v xml:space="preserve"> 11 ft.- 8"</v>
      </c>
      <c r="M715" s="2" t="str">
        <f>VLOOKUP([jobnumber],OvalData[],MATCH(Table2[[#Headers],[Middle Angle]],Table2[#Headers],0),0)</f>
        <v xml:space="preserve"> 10 ft.- 4 1/ 2"</v>
      </c>
      <c r="N715" s="2" t="str">
        <f>VLOOKUP([jobnumber],OvalData[],MATCH(Table2[[#Headers],[Front Angle]],Table2[#Headers],0),0)</f>
        <v xml:space="preserve"> 10 ft.- 3"</v>
      </c>
      <c r="O715" s="2">
        <f>VLOOKUP([jobnumber],OvalData[],MATCH(Table2[[#Headers],[Pipe Center Line]],Table2[#Headers],0),0)</f>
        <v>131</v>
      </c>
      <c r="P715" s="2">
        <f>VLOOKUP([jobnumber],OvalData[],MATCH(Table2[[#Headers],[Heat Expansion Gap]],Table2[#Headers],0),0)</f>
        <v>0</v>
      </c>
      <c r="Q715" s="2">
        <f>VLOOKUP([jobnumber],OvalData[],MATCH(Table2[[#Headers],[Hanging Weight Closed]],Table2[#Headers],0),0)</f>
        <v>795</v>
      </c>
      <c r="R715" s="2">
        <f>VLOOKUP([jobnumber],OvalData[],MATCH(Table2[[#Headers],[Hanging Weight Open]],Table2[#Headers],0),0)</f>
        <v>140</v>
      </c>
      <c r="S715" s="2">
        <f>VLOOKUP([jobnumber],OvalData[],MATCH(Table2[[#Headers],[Initial Lever Arm]],Table2[#Headers],0),0)</f>
        <v>4.25</v>
      </c>
      <c r="T715" s="2">
        <f>VLOOKUP([jobnumber],OvalData[],MATCH(Table2[[#Headers],[Turns to Raise]],Table2[#Headers],0),0)</f>
        <v>3.5859999999999999</v>
      </c>
      <c r="U715" s="2">
        <f>VLOOKUP([jobnumber],OvalData[],MATCH(Table2[[#Headers],[Final Lever Arm]],Table2[#Headers],0),0)</f>
        <v>6.37</v>
      </c>
      <c r="V715" s="2">
        <f>VLOOKUP([jobnumber],OvalData[],MATCH(Table2[[#Headers],[Torque Required Closed]],Table2[#Headers],0),0)</f>
        <v>3377.9</v>
      </c>
      <c r="W715" s="2">
        <f>VLOOKUP([jobnumber],OvalData[],MATCH(Table2[[#Headers],[Torque Required Open]],Table2[#Headers],0),0)</f>
        <v>892</v>
      </c>
      <c r="X715" s="2">
        <f>VLOOKUP([jobnumber],OvalData[],MATCH(Table2[[#Headers],[Pre Turns]],Table2[#Headers],0),0)</f>
        <v>1.3332999999999999</v>
      </c>
      <c r="Y715" s="2">
        <f>VLOOKUP([jobnumber],OvalData[],MATCH(Table2[[#Headers],[Required Torque Per Turn]],Table2[#Headers],0),0)</f>
        <v>688</v>
      </c>
      <c r="Z715" s="2">
        <f>VLOOKUP([jobnumber],OvalData[],MATCH(Table2[[#Headers],[Total Turns]],Table2[#Headers],0),0)</f>
        <v>4.91</v>
      </c>
      <c r="AA715" s="2">
        <f>VLOOKUP([jobnumber],OvalData[],MATCH(Table2[[#Headers],[Grille Vision Section]],Table2[#Headers],0),0)</f>
        <v>0</v>
      </c>
      <c r="AB715" s="2">
        <f>VLOOKUP([jobnumber],OvalData[],MATCH(Table2[[#Headers],[Grille Amount]],Table2[#Headers],0),0)</f>
        <v>0</v>
      </c>
      <c r="AC715" s="2">
        <f>VLOOKUP([jobnumber],OvalData[],MATCH(Table2[[#Headers],[Grille Center]],Table2[#Headers],0),0)</f>
        <v>0</v>
      </c>
      <c r="AD715" s="2">
        <f>VLOOKUP([jobnumber],OvalData[],MATCH(Table2[[#Headers],[Grille Pattern]],Table2[#Headers],0),0)</f>
        <v>0</v>
      </c>
      <c r="AE715" s="2">
        <f>VLOOKUP([jobnumber],OvalData[],MATCH(Table2[[#Headers],[Grille First Tube]],Table2[#Headers],0),0)</f>
        <v>0</v>
      </c>
      <c r="AF715" s="2">
        <f>VLOOKUP([jobnumber],OvalData[],MATCH(Table2[[#Headers],[Grille Standard Tube]],Table2[#Headers],0),0)</f>
        <v>0</v>
      </c>
      <c r="AG715" s="2">
        <f>VLOOKUP([jobnumber],OvalData[],MATCH(Table2[[#Headers],[Grille Total Links]],Table2[#Headers],0),0)</f>
        <v>0</v>
      </c>
      <c r="AH715" s="2">
        <f>VLOOKUP([jobnumber],OvalData[],MATCH(Table2[[#Headers],[Grille Rods]],Table2[#Headers],0),0)</f>
        <v>0</v>
      </c>
      <c r="AI715" s="2">
        <f>VLOOKUP([jobnumber],OvalData[],MATCH(Table2[[#Headers],[Grille Rod Length]],Table2[#Headers],0),0)</f>
        <v>0</v>
      </c>
      <c r="AJ715" s="2">
        <f>VLOOKUP([jobnumber],OvalData[],MATCH(Table2[[#Headers],[slattype]],Table2[#Headers],0),0)</f>
        <v>2</v>
      </c>
      <c r="AK715" s="2">
        <f>VLOOKUP([jobnumber],OvalData[],MATCH(Table2[[#Headers],[slatgage]],Table2[#Headers],0),0)</f>
        <v>18</v>
      </c>
      <c r="AL715" s="2">
        <f>VLOOKUP([jobnumber],OvalData[],MATCH(Table2[[#Headers],[Numer of Top Slats]],Table2[#Headers],0),0)</f>
        <v>0</v>
      </c>
      <c r="AM715" s="2">
        <f>VLOOKUP([jobnumber],OvalData[],MATCH(Table2[[#Headers],[Number of Bottom Slats]],Table2[#Headers],0),0)</f>
        <v>0</v>
      </c>
      <c r="AN715" s="2">
        <f>VLOOKUP([jobnumber],OvalData[],MATCH(Table2[[#Headers],[Solid Bottom Height]],Table2[#Headers],0),0)</f>
        <v>0</v>
      </c>
      <c r="AO715" s="2" t="str">
        <f>VLOOKUP([jobnumber],OvalData[],MATCH(Table2[[#Headers],[slatlength]],Table2[#Headers],0),0)</f>
        <v xml:space="preserve"> 18 ft.- 5 7/ 8"</v>
      </c>
      <c r="AP715" s="2">
        <f>VLOOKUP([jobnumber],OvalData[],MATCH(Table2[[#Headers],[Bottom Slat Length]],Table2[#Headers],0),0)</f>
        <v>0</v>
      </c>
      <c r="AQ715" s="2">
        <f>VLOOKUP([jobnumber],OvalData[],MATCH(Table2[[#Headers],[Number of Perferated Slats]],Table2[#Headers],0),0)</f>
        <v>0</v>
      </c>
      <c r="AR715" s="2">
        <f>VLOOKUP([jobnumber],OvalData[],MATCH(Table2[[#Headers],[First Preferated Slat From End]],Table2[#Headers],0),0)</f>
        <v>0</v>
      </c>
      <c r="AS715" s="2">
        <f>VLOOKUP([jobnumber],OvalData[],MATCH(Table2[[#Headers],[First Preferated Slat From Bottom]],Table2[#Headers],0),0)</f>
        <v>0</v>
      </c>
      <c r="AT715" s="2">
        <f>VLOOKUP([jobnumber],OvalData[],MATCH(Table2[[#Headers],[Total Number of Slats]],Table2[#Headers],0),0)</f>
        <v>51</v>
      </c>
      <c r="AU715" s="2">
        <f>VLOOKUP([jobnumber],OvalData[],MATCH(Table2[[#Headers],[Bottom Bar Slope]],Table2[#Headers],0),0)</f>
        <v>0</v>
      </c>
      <c r="AV715" s="2">
        <f>VLOOKUP([jobnumber],OvalData[],MATCH(Table2[[#Headers],[Bottom Bar Weight]],Table2[#Headers],0),0)</f>
        <v>80.5</v>
      </c>
      <c r="AW715" s="2" t="str">
        <f>VLOOKUP([jobnumber],OvalData[],MATCH(Table2[[#Headers],[Outer Spring Gage]],Table2[#Headers],0),0)</f>
        <v>Null</v>
      </c>
      <c r="AX715" s="2" t="str">
        <f>VLOOKUP([jobnumber],OvalData[],MATCH(Table2[[#Headers],[Outer Spring OD]],Table2[#Headers],0),0)</f>
        <v>Null</v>
      </c>
      <c r="AY715" s="2" t="str">
        <f>VLOOKUP([jobnumber],OvalData[],MATCH(Table2[[#Headers],[Outer Spring Length]],Table2[#Headers],0),0)</f>
        <v>Null</v>
      </c>
      <c r="AZ715" s="2" t="str">
        <f>VLOOKUP([jobnumber],OvalData[],MATCH(Table2[[#Headers],[Outer Spring Stretch]],Table2[#Headers],0),0)</f>
        <v>Null</v>
      </c>
      <c r="BA715" s="2" t="str">
        <f>VLOOKUP([jobnumber],OvalData[],MATCH(Table2[[#Headers],[Outer Spring Torque]],Table2[#Headers],0),0)</f>
        <v>Null</v>
      </c>
      <c r="BB715" s="2" t="str">
        <f>VLOOKUP([jobnumber],OvalData[],MATCH(Table2[[#Headers],[Outer Spring Max Turns]],Table2[#Headers],0),0)</f>
        <v>Null</v>
      </c>
      <c r="BC715" s="2" t="str">
        <f>VLOOKUP([jobnumber],OvalData[],MATCH(Table2[[#Headers],[Outer Spring Weight]],Table2[#Headers],0),0)</f>
        <v>Null</v>
      </c>
      <c r="BD715" s="2" t="str">
        <f>VLOOKUP([jobnumber],OvalData[],MATCH(Table2[[#Headers],[Inner Spring Gage]],Table2[#Headers],0),0)</f>
        <v>Null</v>
      </c>
      <c r="BE715" s="2" t="str">
        <f>VLOOKUP([jobnumber],OvalData[],MATCH(Table2[[#Headers],[Inner Spring OD]],Table2[#Headers],0),0)</f>
        <v>Null</v>
      </c>
      <c r="BF715" s="2" t="str">
        <f>VLOOKUP([jobnumber],OvalData[],MATCH(Table2[[#Headers],[Inner Spring Length]],Table2[#Headers],0),0)</f>
        <v>Null</v>
      </c>
      <c r="BG715" s="2" t="str">
        <f>VLOOKUP([jobnumber],OvalData[],MATCH(Table2[[#Headers],[Inner Spring Stretch]],Table2[#Headers],0),0)</f>
        <v>Null</v>
      </c>
      <c r="BH715" s="2" t="str">
        <f>VLOOKUP([jobnumber],OvalData[],MATCH(Table2[[#Headers],[Inner Spring Torque]],Table2[#Headers],0),0)</f>
        <v>Null</v>
      </c>
      <c r="BI715" s="2" t="str">
        <f>VLOOKUP([jobnumber],OvalData[],MATCH(Table2[[#Headers],[Inner Spring Max Turns]],Table2[#Headers],0),0)</f>
        <v>Null</v>
      </c>
      <c r="BJ715" s="2" t="str">
        <f>VLOOKUP([jobnumber],OvalData[],MATCH(Table2[[#Headers],[Inner Spring Weight]],Table2[#Headers],0),0)</f>
        <v>Null</v>
      </c>
      <c r="BK715" s="2">
        <f>VLOOKUP([jobnumber],OvalData[],MATCH(Table2[[#Headers],[Cycles]],Table2[#Headers],0),0)</f>
        <v>0</v>
      </c>
      <c r="BL715" s="2">
        <f>VLOOKUP([jobnumber],OvalData[],MATCH(Table2[[#Headers],[Total Spring Torque]],Table2[#Headers],0),0)</f>
        <v>0</v>
      </c>
      <c r="BM715" s="2">
        <f>VLOOKUP([jobnumber],OvalData[],MATCH(Table2[[#Headers],[Total Spring Weight]],Table2[#Headers],0),0)</f>
        <v>0</v>
      </c>
      <c r="BN715" s="2">
        <f>VLOOKUP([jobnumber],OvalData[],MATCH(Table2[[#Headers],[Pipe Weight]],Table2[#Headers],0),0)</f>
        <v>688.24239999999998</v>
      </c>
      <c r="BO715" s="2">
        <f>VLOOKUP([jobnumber],OvalData[],MATCH(Table2[[#Headers],[Max Pipe Deflection]],Table2[#Headers],0),0)</f>
        <v>2309</v>
      </c>
      <c r="BP715" s="2">
        <f>VLOOKUP([jobnumber],OvalData[],MATCH(Table2[[#Headers],[Number Non-Insulated Wrap Slats]],Table2[#Headers],0),0)</f>
        <v>0</v>
      </c>
      <c r="BQ715" s="2">
        <f>VLOOKUP([jobnumber],OvalData[],MATCH(Table2[[#Headers],[Number of Insolated Top Slats]],Table2[#Headers],0),0)</f>
        <v>45</v>
      </c>
      <c r="BR715" s="2">
        <f>VLOOKUP([jobnumber],OvalData[],MATCH(Table2[[#Headers],[Insolated Total Slats]],Table2[#Headers],0),0)</f>
        <v>45</v>
      </c>
      <c r="BS715" s="2">
        <f>VLOOKUP([jobnumber],OvalData[],MATCH(Table2[[#Headers],[Number of Slats]],Table2[#Headers],0),0)</f>
        <v>44.69</v>
      </c>
      <c r="BT715" s="2">
        <f>VLOOKUP([jobnumber],OvalData[],MATCH(Table2[[#Headers],[Wrap]],Table2[#Headers],0),0)</f>
        <v>0</v>
      </c>
      <c r="BU715" s="2">
        <f>VLOOKUP([jobnumber],OvalData[],MATCH(Table2[[#Headers],[Wall Angle Thickness]],Table2[#Headers],0),0)</f>
        <v>0</v>
      </c>
      <c r="BV715" s="2">
        <f>VLOOKUP([jobnumber],OvalData[],MATCH(Table2[[#Headers],[windlocks]],Table2[#Headers],0),0)</f>
        <v>0</v>
      </c>
      <c r="BW715" s="2" t="str">
        <f>VLOOKUP([jobnumber],OvalData[],MATCH(Table2[[#Headers],[bottombartype]],Table2[#Headers],0),0)</f>
        <v>SPECIAL</v>
      </c>
      <c r="BX715" s="2">
        <f>VLOOKUP([jobnumber],OvalData[],MATCH(Table2[[#Headers],[endlockweight]],Table2[#Headers],0),0)</f>
        <v>0.17</v>
      </c>
      <c r="BY715" s="2">
        <f>VLOOKUP([jobnumber],OvalData[],MATCH(Table2[[#Headers],[Endlock Total Weight]],Table2[#Headers],0),0)</f>
        <v>7.5972999999999997</v>
      </c>
      <c r="BZ715" s="2">
        <f>VLOOKUP([jobnumber],OvalData[],MATCH(Table2[[#Headers],[Grille Weight]],Table2[#Headers],0),0)</f>
        <v>0</v>
      </c>
      <c r="CA715" s="2">
        <f>VLOOKUP([jobnumber],OvalData[],MATCH(Table2[[#Headers],[barrelrings]],Table2[#Headers],0),0)</f>
        <v>1</v>
      </c>
    </row>
    <row r="716" spans="2:79">
      <c r="B716" s="2" t="str">
        <f>VLOOKUP([jobnumber],OvalData[],MATCH(Table2[[#Headers],[Hand]],Table2[#Headers],0),0)</f>
        <v>RH</v>
      </c>
      <c r="C716" s="2" t="str">
        <f>VLOOKUP([jobnumber],OvalData[],MATCH(Table2[[#Headers],[Model]],Table2[#Headers],0),0)</f>
        <v>SFMPP</v>
      </c>
      <c r="D716" s="2" t="str">
        <f>VLOOKUP([jobnumber],OvalData[],MATCH(Table2[[#Headers],[width]],Table2[#Headers],0),0)</f>
        <v xml:space="preserve"> 18 ft.- 2"</v>
      </c>
      <c r="E716" s="2" t="str">
        <f>VLOOKUP([jobnumber],OvalData[],MATCH(Table2[[#Headers],[stopheight]],Table2[#Headers],0),0)</f>
        <v xml:space="preserve"> 10 ft.- 0"</v>
      </c>
      <c r="F716" s="2" t="str">
        <f>VLOOKUP([jobnumber],OvalData[],MATCH(Table2[[#Headers],[Between Brackets]],Table2[#Headers],0),0)</f>
        <v xml:space="preserve"> 18 ft.- 7 7/ 8"</v>
      </c>
      <c r="G716" s="2" t="str">
        <f>VLOOKUP([jobnumber],OvalData[],MATCH(Table2[[#Headers],[shell]],Table2[#Headers],0),0)</f>
        <v>6 INCH TUBE</v>
      </c>
      <c r="H716" s="2" t="str">
        <f>VLOOKUP([jobnumber],OvalData[],MATCH(Table2[[#Headers],[pipewidth]],Table2[#Headers],0),0)</f>
        <v xml:space="preserve"> 18 ft.- 1 3/ 8"</v>
      </c>
      <c r="I716" s="2">
        <f>VLOOKUP([jobnumber],OvalData[],MATCH(Table2[[#Headers],[Support Tubes]],Table2[#Headers],0),0)</f>
        <v>0</v>
      </c>
      <c r="J716" s="2">
        <f>VLOOKUP([jobnumber],OvalData[],MATCH(Table2[[#Headers],[Upset]],Table2[#Headers],0),0)</f>
        <v>2</v>
      </c>
      <c r="K716" s="2" t="str">
        <f>VLOOKUP([jobnumber],OvalData[],MATCH(Table2[[#Headers],[Guide Type]],Table2[#Headers],0),0)</f>
        <v>SN2-4 5/8-E</v>
      </c>
      <c r="L716" s="2" t="str">
        <f>VLOOKUP([jobnumber],OvalData[],MATCH(Table2[[#Headers],[Wall Angle]],Table2[#Headers],0),0)</f>
        <v xml:space="preserve"> 11 ft.- 8"</v>
      </c>
      <c r="M716" s="2" t="str">
        <f>VLOOKUP([jobnumber],OvalData[],MATCH(Table2[[#Headers],[Middle Angle]],Table2[#Headers],0),0)</f>
        <v xml:space="preserve"> 10 ft.- 4 1/ 2"</v>
      </c>
      <c r="N716" s="2" t="str">
        <f>VLOOKUP([jobnumber],OvalData[],MATCH(Table2[[#Headers],[Front Angle]],Table2[#Headers],0),0)</f>
        <v xml:space="preserve"> 10 ft.- 3"</v>
      </c>
      <c r="O716" s="2">
        <f>VLOOKUP([jobnumber],OvalData[],MATCH(Table2[[#Headers],[Pipe Center Line]],Table2[#Headers],0),0)</f>
        <v>131</v>
      </c>
      <c r="P716" s="2">
        <f>VLOOKUP([jobnumber],OvalData[],MATCH(Table2[[#Headers],[Heat Expansion Gap]],Table2[#Headers],0),0)</f>
        <v>0</v>
      </c>
      <c r="Q716" s="2">
        <f>VLOOKUP([jobnumber],OvalData[],MATCH(Table2[[#Headers],[Hanging Weight Closed]],Table2[#Headers],0),0)</f>
        <v>795</v>
      </c>
      <c r="R716" s="2">
        <f>VLOOKUP([jobnumber],OvalData[],MATCH(Table2[[#Headers],[Hanging Weight Open]],Table2[#Headers],0),0)</f>
        <v>140</v>
      </c>
      <c r="S716" s="2">
        <f>VLOOKUP([jobnumber],OvalData[],MATCH(Table2[[#Headers],[Initial Lever Arm]],Table2[#Headers],0),0)</f>
        <v>4.25</v>
      </c>
      <c r="T716" s="2">
        <f>VLOOKUP([jobnumber],OvalData[],MATCH(Table2[[#Headers],[Turns to Raise]],Table2[#Headers],0),0)</f>
        <v>3.5859999999999999</v>
      </c>
      <c r="U716" s="2">
        <f>VLOOKUP([jobnumber],OvalData[],MATCH(Table2[[#Headers],[Final Lever Arm]],Table2[#Headers],0),0)</f>
        <v>6.37</v>
      </c>
      <c r="V716" s="2">
        <f>VLOOKUP([jobnumber],OvalData[],MATCH(Table2[[#Headers],[Torque Required Closed]],Table2[#Headers],0),0)</f>
        <v>3377.9</v>
      </c>
      <c r="W716" s="2">
        <f>VLOOKUP([jobnumber],OvalData[],MATCH(Table2[[#Headers],[Torque Required Open]],Table2[#Headers],0),0)</f>
        <v>892</v>
      </c>
      <c r="X716" s="2">
        <f>VLOOKUP([jobnumber],OvalData[],MATCH(Table2[[#Headers],[Pre Turns]],Table2[#Headers],0),0)</f>
        <v>1.3332999999999999</v>
      </c>
      <c r="Y716" s="2">
        <f>VLOOKUP([jobnumber],OvalData[],MATCH(Table2[[#Headers],[Required Torque Per Turn]],Table2[#Headers],0),0)</f>
        <v>688</v>
      </c>
      <c r="Z716" s="2">
        <f>VLOOKUP([jobnumber],OvalData[],MATCH(Table2[[#Headers],[Total Turns]],Table2[#Headers],0),0)</f>
        <v>4.91</v>
      </c>
      <c r="AA716" s="2">
        <f>VLOOKUP([jobnumber],OvalData[],MATCH(Table2[[#Headers],[Grille Vision Section]],Table2[#Headers],0),0)</f>
        <v>0</v>
      </c>
      <c r="AB716" s="2">
        <f>VLOOKUP([jobnumber],OvalData[],MATCH(Table2[[#Headers],[Grille Amount]],Table2[#Headers],0),0)</f>
        <v>0</v>
      </c>
      <c r="AC716" s="2">
        <f>VLOOKUP([jobnumber],OvalData[],MATCH(Table2[[#Headers],[Grille Center]],Table2[#Headers],0),0)</f>
        <v>0</v>
      </c>
      <c r="AD716" s="2">
        <f>VLOOKUP([jobnumber],OvalData[],MATCH(Table2[[#Headers],[Grille Pattern]],Table2[#Headers],0),0)</f>
        <v>0</v>
      </c>
      <c r="AE716" s="2">
        <f>VLOOKUP([jobnumber],OvalData[],MATCH(Table2[[#Headers],[Grille First Tube]],Table2[#Headers],0),0)</f>
        <v>0</v>
      </c>
      <c r="AF716" s="2">
        <f>VLOOKUP([jobnumber],OvalData[],MATCH(Table2[[#Headers],[Grille Standard Tube]],Table2[#Headers],0),0)</f>
        <v>0</v>
      </c>
      <c r="AG716" s="2">
        <f>VLOOKUP([jobnumber],OvalData[],MATCH(Table2[[#Headers],[Grille Total Links]],Table2[#Headers],0),0)</f>
        <v>0</v>
      </c>
      <c r="AH716" s="2">
        <f>VLOOKUP([jobnumber],OvalData[],MATCH(Table2[[#Headers],[Grille Rods]],Table2[#Headers],0),0)</f>
        <v>0</v>
      </c>
      <c r="AI716" s="2">
        <f>VLOOKUP([jobnumber],OvalData[],MATCH(Table2[[#Headers],[Grille Rod Length]],Table2[#Headers],0),0)</f>
        <v>0</v>
      </c>
      <c r="AJ716" s="2">
        <f>VLOOKUP([jobnumber],OvalData[],MATCH(Table2[[#Headers],[slattype]],Table2[#Headers],0),0)</f>
        <v>2</v>
      </c>
      <c r="AK716" s="2">
        <f>VLOOKUP([jobnumber],OvalData[],MATCH(Table2[[#Headers],[slatgage]],Table2[#Headers],0),0)</f>
        <v>18</v>
      </c>
      <c r="AL716" s="2">
        <f>VLOOKUP([jobnumber],OvalData[],MATCH(Table2[[#Headers],[Numer of Top Slats]],Table2[#Headers],0),0)</f>
        <v>0</v>
      </c>
      <c r="AM716" s="2">
        <f>VLOOKUP([jobnumber],OvalData[],MATCH(Table2[[#Headers],[Number of Bottom Slats]],Table2[#Headers],0),0)</f>
        <v>0</v>
      </c>
      <c r="AN716" s="2">
        <f>VLOOKUP([jobnumber],OvalData[],MATCH(Table2[[#Headers],[Solid Bottom Height]],Table2[#Headers],0),0)</f>
        <v>0</v>
      </c>
      <c r="AO716" s="2" t="str">
        <f>VLOOKUP([jobnumber],OvalData[],MATCH(Table2[[#Headers],[slatlength]],Table2[#Headers],0),0)</f>
        <v xml:space="preserve"> 18 ft.- 5 7/ 8"</v>
      </c>
      <c r="AP716" s="2">
        <f>VLOOKUP([jobnumber],OvalData[],MATCH(Table2[[#Headers],[Bottom Slat Length]],Table2[#Headers],0),0)</f>
        <v>0</v>
      </c>
      <c r="AQ716" s="2">
        <f>VLOOKUP([jobnumber],OvalData[],MATCH(Table2[[#Headers],[Number of Perferated Slats]],Table2[#Headers],0),0)</f>
        <v>0</v>
      </c>
      <c r="AR716" s="2">
        <f>VLOOKUP([jobnumber],OvalData[],MATCH(Table2[[#Headers],[First Preferated Slat From End]],Table2[#Headers],0),0)</f>
        <v>0</v>
      </c>
      <c r="AS716" s="2">
        <f>VLOOKUP([jobnumber],OvalData[],MATCH(Table2[[#Headers],[First Preferated Slat From Bottom]],Table2[#Headers],0),0)</f>
        <v>0</v>
      </c>
      <c r="AT716" s="2">
        <f>VLOOKUP([jobnumber],OvalData[],MATCH(Table2[[#Headers],[Total Number of Slats]],Table2[#Headers],0),0)</f>
        <v>51</v>
      </c>
      <c r="AU716" s="2">
        <f>VLOOKUP([jobnumber],OvalData[],MATCH(Table2[[#Headers],[Bottom Bar Slope]],Table2[#Headers],0),0)</f>
        <v>0</v>
      </c>
      <c r="AV716" s="2">
        <f>VLOOKUP([jobnumber],OvalData[],MATCH(Table2[[#Headers],[Bottom Bar Weight]],Table2[#Headers],0),0)</f>
        <v>80.5</v>
      </c>
      <c r="AW716" s="2" t="str">
        <f>VLOOKUP([jobnumber],OvalData[],MATCH(Table2[[#Headers],[Outer Spring Gage]],Table2[#Headers],0),0)</f>
        <v>Null</v>
      </c>
      <c r="AX716" s="2" t="str">
        <f>VLOOKUP([jobnumber],OvalData[],MATCH(Table2[[#Headers],[Outer Spring OD]],Table2[#Headers],0),0)</f>
        <v>Null</v>
      </c>
      <c r="AY716" s="2" t="str">
        <f>VLOOKUP([jobnumber],OvalData[],MATCH(Table2[[#Headers],[Outer Spring Length]],Table2[#Headers],0),0)</f>
        <v>Null</v>
      </c>
      <c r="AZ716" s="2" t="str">
        <f>VLOOKUP([jobnumber],OvalData[],MATCH(Table2[[#Headers],[Outer Spring Stretch]],Table2[#Headers],0),0)</f>
        <v>Null</v>
      </c>
      <c r="BA716" s="2" t="str">
        <f>VLOOKUP([jobnumber],OvalData[],MATCH(Table2[[#Headers],[Outer Spring Torque]],Table2[#Headers],0),0)</f>
        <v>Null</v>
      </c>
      <c r="BB716" s="2" t="str">
        <f>VLOOKUP([jobnumber],OvalData[],MATCH(Table2[[#Headers],[Outer Spring Max Turns]],Table2[#Headers],0),0)</f>
        <v>Null</v>
      </c>
      <c r="BC716" s="2" t="str">
        <f>VLOOKUP([jobnumber],OvalData[],MATCH(Table2[[#Headers],[Outer Spring Weight]],Table2[#Headers],0),0)</f>
        <v>Null</v>
      </c>
      <c r="BD716" s="2" t="str">
        <f>VLOOKUP([jobnumber],OvalData[],MATCH(Table2[[#Headers],[Inner Spring Gage]],Table2[#Headers],0),0)</f>
        <v>Null</v>
      </c>
      <c r="BE716" s="2" t="str">
        <f>VLOOKUP([jobnumber],OvalData[],MATCH(Table2[[#Headers],[Inner Spring OD]],Table2[#Headers],0),0)</f>
        <v>Null</v>
      </c>
      <c r="BF716" s="2" t="str">
        <f>VLOOKUP([jobnumber],OvalData[],MATCH(Table2[[#Headers],[Inner Spring Length]],Table2[#Headers],0),0)</f>
        <v>Null</v>
      </c>
      <c r="BG716" s="2" t="str">
        <f>VLOOKUP([jobnumber],OvalData[],MATCH(Table2[[#Headers],[Inner Spring Stretch]],Table2[#Headers],0),0)</f>
        <v>Null</v>
      </c>
      <c r="BH716" s="2" t="str">
        <f>VLOOKUP([jobnumber],OvalData[],MATCH(Table2[[#Headers],[Inner Spring Torque]],Table2[#Headers],0),0)</f>
        <v>Null</v>
      </c>
      <c r="BI716" s="2" t="str">
        <f>VLOOKUP([jobnumber],OvalData[],MATCH(Table2[[#Headers],[Inner Spring Max Turns]],Table2[#Headers],0),0)</f>
        <v>Null</v>
      </c>
      <c r="BJ716" s="2" t="str">
        <f>VLOOKUP([jobnumber],OvalData[],MATCH(Table2[[#Headers],[Inner Spring Weight]],Table2[#Headers],0),0)</f>
        <v>Null</v>
      </c>
      <c r="BK716" s="2">
        <f>VLOOKUP([jobnumber],OvalData[],MATCH(Table2[[#Headers],[Cycles]],Table2[#Headers],0),0)</f>
        <v>0</v>
      </c>
      <c r="BL716" s="2">
        <f>VLOOKUP([jobnumber],OvalData[],MATCH(Table2[[#Headers],[Total Spring Torque]],Table2[#Headers],0),0)</f>
        <v>0</v>
      </c>
      <c r="BM716" s="2">
        <f>VLOOKUP([jobnumber],OvalData[],MATCH(Table2[[#Headers],[Total Spring Weight]],Table2[#Headers],0),0)</f>
        <v>0</v>
      </c>
      <c r="BN716" s="2">
        <f>VLOOKUP([jobnumber],OvalData[],MATCH(Table2[[#Headers],[Pipe Weight]],Table2[#Headers],0),0)</f>
        <v>688.24239999999998</v>
      </c>
      <c r="BO716" s="2">
        <f>VLOOKUP([jobnumber],OvalData[],MATCH(Table2[[#Headers],[Max Pipe Deflection]],Table2[#Headers],0),0)</f>
        <v>2309</v>
      </c>
      <c r="BP716" s="2">
        <f>VLOOKUP([jobnumber],OvalData[],MATCH(Table2[[#Headers],[Number Non-Insulated Wrap Slats]],Table2[#Headers],0),0)</f>
        <v>0</v>
      </c>
      <c r="BQ716" s="2">
        <f>VLOOKUP([jobnumber],OvalData[],MATCH(Table2[[#Headers],[Number of Insolated Top Slats]],Table2[#Headers],0),0)</f>
        <v>45</v>
      </c>
      <c r="BR716" s="2">
        <f>VLOOKUP([jobnumber],OvalData[],MATCH(Table2[[#Headers],[Insolated Total Slats]],Table2[#Headers],0),0)</f>
        <v>45</v>
      </c>
      <c r="BS716" s="2">
        <f>VLOOKUP([jobnumber],OvalData[],MATCH(Table2[[#Headers],[Number of Slats]],Table2[#Headers],0),0)</f>
        <v>44.69</v>
      </c>
      <c r="BT716" s="2">
        <f>VLOOKUP([jobnumber],OvalData[],MATCH(Table2[[#Headers],[Wrap]],Table2[#Headers],0),0)</f>
        <v>0</v>
      </c>
      <c r="BU716" s="2">
        <f>VLOOKUP([jobnumber],OvalData[],MATCH(Table2[[#Headers],[Wall Angle Thickness]],Table2[#Headers],0),0)</f>
        <v>0</v>
      </c>
      <c r="BV716" s="2">
        <f>VLOOKUP([jobnumber],OvalData[],MATCH(Table2[[#Headers],[windlocks]],Table2[#Headers],0),0)</f>
        <v>0</v>
      </c>
      <c r="BW716" s="2" t="str">
        <f>VLOOKUP([jobnumber],OvalData[],MATCH(Table2[[#Headers],[bottombartype]],Table2[#Headers],0),0)</f>
        <v>SPECIAL</v>
      </c>
      <c r="BX716" s="2">
        <f>VLOOKUP([jobnumber],OvalData[],MATCH(Table2[[#Headers],[endlockweight]],Table2[#Headers],0),0)</f>
        <v>0.17</v>
      </c>
      <c r="BY716" s="2">
        <f>VLOOKUP([jobnumber],OvalData[],MATCH(Table2[[#Headers],[Endlock Total Weight]],Table2[#Headers],0),0)</f>
        <v>7.5972999999999997</v>
      </c>
      <c r="BZ716" s="2">
        <f>VLOOKUP([jobnumber],OvalData[],MATCH(Table2[[#Headers],[Grille Weight]],Table2[#Headers],0),0)</f>
        <v>0</v>
      </c>
      <c r="CA716" s="2">
        <f>VLOOKUP([jobnumber],OvalData[],MATCH(Table2[[#Headers],[barrelrings]],Table2[#Headers],0),0)</f>
        <v>1</v>
      </c>
    </row>
    <row r="717" spans="2:79">
      <c r="B717" s="2" t="str">
        <f>VLOOKUP([jobnumber],OvalData[],MATCH(Table2[[#Headers],[Hand]],Table2[#Headers],0),0)</f>
        <v>RH</v>
      </c>
      <c r="C717" s="2" t="str">
        <f>VLOOKUP([jobnumber],OvalData[],MATCH(Table2[[#Headers],[Model]],Table2[#Headers],0),0)</f>
        <v>SFMPP</v>
      </c>
      <c r="D717" s="2" t="str">
        <f>VLOOKUP([jobnumber],OvalData[],MATCH(Table2[[#Headers],[width]],Table2[#Headers],0),0)</f>
        <v xml:space="preserve"> 18 ft.- 2"</v>
      </c>
      <c r="E717" s="2" t="str">
        <f>VLOOKUP([jobnumber],OvalData[],MATCH(Table2[[#Headers],[stopheight]],Table2[#Headers],0),0)</f>
        <v xml:space="preserve"> 10 ft.- 0"</v>
      </c>
      <c r="F717" s="2" t="str">
        <f>VLOOKUP([jobnumber],OvalData[],MATCH(Table2[[#Headers],[Between Brackets]],Table2[#Headers],0),0)</f>
        <v xml:space="preserve"> 18 ft.- 7 7/ 8"</v>
      </c>
      <c r="G717" s="2" t="str">
        <f>VLOOKUP([jobnumber],OvalData[],MATCH(Table2[[#Headers],[shell]],Table2[#Headers],0),0)</f>
        <v>6 INCH TUBE</v>
      </c>
      <c r="H717" s="2" t="str">
        <f>VLOOKUP([jobnumber],OvalData[],MATCH(Table2[[#Headers],[pipewidth]],Table2[#Headers],0),0)</f>
        <v xml:space="preserve"> 18 ft.- 1 3/ 8"</v>
      </c>
      <c r="I717" s="2">
        <f>VLOOKUP([jobnumber],OvalData[],MATCH(Table2[[#Headers],[Support Tubes]],Table2[#Headers],0),0)</f>
        <v>0</v>
      </c>
      <c r="J717" s="2">
        <f>VLOOKUP([jobnumber],OvalData[],MATCH(Table2[[#Headers],[Upset]],Table2[#Headers],0),0)</f>
        <v>2</v>
      </c>
      <c r="K717" s="2" t="str">
        <f>VLOOKUP([jobnumber],OvalData[],MATCH(Table2[[#Headers],[Guide Type]],Table2[#Headers],0),0)</f>
        <v>SN2-4 5/8-E</v>
      </c>
      <c r="L717" s="2" t="str">
        <f>VLOOKUP([jobnumber],OvalData[],MATCH(Table2[[#Headers],[Wall Angle]],Table2[#Headers],0),0)</f>
        <v xml:space="preserve"> 11 ft.- 8"</v>
      </c>
      <c r="M717" s="2" t="str">
        <f>VLOOKUP([jobnumber],OvalData[],MATCH(Table2[[#Headers],[Middle Angle]],Table2[#Headers],0),0)</f>
        <v xml:space="preserve"> 10 ft.- 4 1/ 2"</v>
      </c>
      <c r="N717" s="2" t="str">
        <f>VLOOKUP([jobnumber],OvalData[],MATCH(Table2[[#Headers],[Front Angle]],Table2[#Headers],0),0)</f>
        <v xml:space="preserve"> 10 ft.- 3"</v>
      </c>
      <c r="O717" s="2">
        <f>VLOOKUP([jobnumber],OvalData[],MATCH(Table2[[#Headers],[Pipe Center Line]],Table2[#Headers],0),0)</f>
        <v>131</v>
      </c>
      <c r="P717" s="2">
        <f>VLOOKUP([jobnumber],OvalData[],MATCH(Table2[[#Headers],[Heat Expansion Gap]],Table2[#Headers],0),0)</f>
        <v>0</v>
      </c>
      <c r="Q717" s="2">
        <f>VLOOKUP([jobnumber],OvalData[],MATCH(Table2[[#Headers],[Hanging Weight Closed]],Table2[#Headers],0),0)</f>
        <v>795</v>
      </c>
      <c r="R717" s="2">
        <f>VLOOKUP([jobnumber],OvalData[],MATCH(Table2[[#Headers],[Hanging Weight Open]],Table2[#Headers],0),0)</f>
        <v>140</v>
      </c>
      <c r="S717" s="2">
        <f>VLOOKUP([jobnumber],OvalData[],MATCH(Table2[[#Headers],[Initial Lever Arm]],Table2[#Headers],0),0)</f>
        <v>4.25</v>
      </c>
      <c r="T717" s="2">
        <f>VLOOKUP([jobnumber],OvalData[],MATCH(Table2[[#Headers],[Turns to Raise]],Table2[#Headers],0),0)</f>
        <v>3.5859999999999999</v>
      </c>
      <c r="U717" s="2">
        <f>VLOOKUP([jobnumber],OvalData[],MATCH(Table2[[#Headers],[Final Lever Arm]],Table2[#Headers],0),0)</f>
        <v>6.37</v>
      </c>
      <c r="V717" s="2">
        <f>VLOOKUP([jobnumber],OvalData[],MATCH(Table2[[#Headers],[Torque Required Closed]],Table2[#Headers],0),0)</f>
        <v>3377.9</v>
      </c>
      <c r="W717" s="2">
        <f>VLOOKUP([jobnumber],OvalData[],MATCH(Table2[[#Headers],[Torque Required Open]],Table2[#Headers],0),0)</f>
        <v>892</v>
      </c>
      <c r="X717" s="2">
        <f>VLOOKUP([jobnumber],OvalData[],MATCH(Table2[[#Headers],[Pre Turns]],Table2[#Headers],0),0)</f>
        <v>1.3332999999999999</v>
      </c>
      <c r="Y717" s="2">
        <f>VLOOKUP([jobnumber],OvalData[],MATCH(Table2[[#Headers],[Required Torque Per Turn]],Table2[#Headers],0),0)</f>
        <v>688</v>
      </c>
      <c r="Z717" s="2">
        <f>VLOOKUP([jobnumber],OvalData[],MATCH(Table2[[#Headers],[Total Turns]],Table2[#Headers],0),0)</f>
        <v>4.91</v>
      </c>
      <c r="AA717" s="2">
        <f>VLOOKUP([jobnumber],OvalData[],MATCH(Table2[[#Headers],[Grille Vision Section]],Table2[#Headers],0),0)</f>
        <v>0</v>
      </c>
      <c r="AB717" s="2">
        <f>VLOOKUP([jobnumber],OvalData[],MATCH(Table2[[#Headers],[Grille Amount]],Table2[#Headers],0),0)</f>
        <v>0</v>
      </c>
      <c r="AC717" s="2">
        <f>VLOOKUP([jobnumber],OvalData[],MATCH(Table2[[#Headers],[Grille Center]],Table2[#Headers],0),0)</f>
        <v>0</v>
      </c>
      <c r="AD717" s="2">
        <f>VLOOKUP([jobnumber],OvalData[],MATCH(Table2[[#Headers],[Grille Pattern]],Table2[#Headers],0),0)</f>
        <v>0</v>
      </c>
      <c r="AE717" s="2">
        <f>VLOOKUP([jobnumber],OvalData[],MATCH(Table2[[#Headers],[Grille First Tube]],Table2[#Headers],0),0)</f>
        <v>0</v>
      </c>
      <c r="AF717" s="2">
        <f>VLOOKUP([jobnumber],OvalData[],MATCH(Table2[[#Headers],[Grille Standard Tube]],Table2[#Headers],0),0)</f>
        <v>0</v>
      </c>
      <c r="AG717" s="2">
        <f>VLOOKUP([jobnumber],OvalData[],MATCH(Table2[[#Headers],[Grille Total Links]],Table2[#Headers],0),0)</f>
        <v>0</v>
      </c>
      <c r="AH717" s="2">
        <f>VLOOKUP([jobnumber],OvalData[],MATCH(Table2[[#Headers],[Grille Rods]],Table2[#Headers],0),0)</f>
        <v>0</v>
      </c>
      <c r="AI717" s="2">
        <f>VLOOKUP([jobnumber],OvalData[],MATCH(Table2[[#Headers],[Grille Rod Length]],Table2[#Headers],0),0)</f>
        <v>0</v>
      </c>
      <c r="AJ717" s="2">
        <f>VLOOKUP([jobnumber],OvalData[],MATCH(Table2[[#Headers],[slattype]],Table2[#Headers],0),0)</f>
        <v>2</v>
      </c>
      <c r="AK717" s="2">
        <f>VLOOKUP([jobnumber],OvalData[],MATCH(Table2[[#Headers],[slatgage]],Table2[#Headers],0),0)</f>
        <v>18</v>
      </c>
      <c r="AL717" s="2">
        <f>VLOOKUP([jobnumber],OvalData[],MATCH(Table2[[#Headers],[Numer of Top Slats]],Table2[#Headers],0),0)</f>
        <v>0</v>
      </c>
      <c r="AM717" s="2">
        <f>VLOOKUP([jobnumber],OvalData[],MATCH(Table2[[#Headers],[Number of Bottom Slats]],Table2[#Headers],0),0)</f>
        <v>0</v>
      </c>
      <c r="AN717" s="2">
        <f>VLOOKUP([jobnumber],OvalData[],MATCH(Table2[[#Headers],[Solid Bottom Height]],Table2[#Headers],0),0)</f>
        <v>0</v>
      </c>
      <c r="AO717" s="2" t="str">
        <f>VLOOKUP([jobnumber],OvalData[],MATCH(Table2[[#Headers],[slatlength]],Table2[#Headers],0),0)</f>
        <v xml:space="preserve"> 18 ft.- 5 7/ 8"</v>
      </c>
      <c r="AP717" s="2">
        <f>VLOOKUP([jobnumber],OvalData[],MATCH(Table2[[#Headers],[Bottom Slat Length]],Table2[#Headers],0),0)</f>
        <v>0</v>
      </c>
      <c r="AQ717" s="2">
        <f>VLOOKUP([jobnumber],OvalData[],MATCH(Table2[[#Headers],[Number of Perferated Slats]],Table2[#Headers],0),0)</f>
        <v>0</v>
      </c>
      <c r="AR717" s="2">
        <f>VLOOKUP([jobnumber],OvalData[],MATCH(Table2[[#Headers],[First Preferated Slat From End]],Table2[#Headers],0),0)</f>
        <v>0</v>
      </c>
      <c r="AS717" s="2">
        <f>VLOOKUP([jobnumber],OvalData[],MATCH(Table2[[#Headers],[First Preferated Slat From Bottom]],Table2[#Headers],0),0)</f>
        <v>0</v>
      </c>
      <c r="AT717" s="2">
        <f>VLOOKUP([jobnumber],OvalData[],MATCH(Table2[[#Headers],[Total Number of Slats]],Table2[#Headers],0),0)</f>
        <v>51</v>
      </c>
      <c r="AU717" s="2">
        <f>VLOOKUP([jobnumber],OvalData[],MATCH(Table2[[#Headers],[Bottom Bar Slope]],Table2[#Headers],0),0)</f>
        <v>0</v>
      </c>
      <c r="AV717" s="2">
        <f>VLOOKUP([jobnumber],OvalData[],MATCH(Table2[[#Headers],[Bottom Bar Weight]],Table2[#Headers],0),0)</f>
        <v>80.5</v>
      </c>
      <c r="AW717" s="2" t="str">
        <f>VLOOKUP([jobnumber],OvalData[],MATCH(Table2[[#Headers],[Outer Spring Gage]],Table2[#Headers],0),0)</f>
        <v>Null</v>
      </c>
      <c r="AX717" s="2" t="str">
        <f>VLOOKUP([jobnumber],OvalData[],MATCH(Table2[[#Headers],[Outer Spring OD]],Table2[#Headers],0),0)</f>
        <v>Null</v>
      </c>
      <c r="AY717" s="2" t="str">
        <f>VLOOKUP([jobnumber],OvalData[],MATCH(Table2[[#Headers],[Outer Spring Length]],Table2[#Headers],0),0)</f>
        <v>Null</v>
      </c>
      <c r="AZ717" s="2" t="str">
        <f>VLOOKUP([jobnumber],OvalData[],MATCH(Table2[[#Headers],[Outer Spring Stretch]],Table2[#Headers],0),0)</f>
        <v>Null</v>
      </c>
      <c r="BA717" s="2" t="str">
        <f>VLOOKUP([jobnumber],OvalData[],MATCH(Table2[[#Headers],[Outer Spring Torque]],Table2[#Headers],0),0)</f>
        <v>Null</v>
      </c>
      <c r="BB717" s="2" t="str">
        <f>VLOOKUP([jobnumber],OvalData[],MATCH(Table2[[#Headers],[Outer Spring Max Turns]],Table2[#Headers],0),0)</f>
        <v>Null</v>
      </c>
      <c r="BC717" s="2" t="str">
        <f>VLOOKUP([jobnumber],OvalData[],MATCH(Table2[[#Headers],[Outer Spring Weight]],Table2[#Headers],0),0)</f>
        <v>Null</v>
      </c>
      <c r="BD717" s="2" t="str">
        <f>VLOOKUP([jobnumber],OvalData[],MATCH(Table2[[#Headers],[Inner Spring Gage]],Table2[#Headers],0),0)</f>
        <v>Null</v>
      </c>
      <c r="BE717" s="2" t="str">
        <f>VLOOKUP([jobnumber],OvalData[],MATCH(Table2[[#Headers],[Inner Spring OD]],Table2[#Headers],0),0)</f>
        <v>Null</v>
      </c>
      <c r="BF717" s="2" t="str">
        <f>VLOOKUP([jobnumber],OvalData[],MATCH(Table2[[#Headers],[Inner Spring Length]],Table2[#Headers],0),0)</f>
        <v>Null</v>
      </c>
      <c r="BG717" s="2" t="str">
        <f>VLOOKUP([jobnumber],OvalData[],MATCH(Table2[[#Headers],[Inner Spring Stretch]],Table2[#Headers],0),0)</f>
        <v>Null</v>
      </c>
      <c r="BH717" s="2" t="str">
        <f>VLOOKUP([jobnumber],OvalData[],MATCH(Table2[[#Headers],[Inner Spring Torque]],Table2[#Headers],0),0)</f>
        <v>Null</v>
      </c>
      <c r="BI717" s="2" t="str">
        <f>VLOOKUP([jobnumber],OvalData[],MATCH(Table2[[#Headers],[Inner Spring Max Turns]],Table2[#Headers],0),0)</f>
        <v>Null</v>
      </c>
      <c r="BJ717" s="2" t="str">
        <f>VLOOKUP([jobnumber],OvalData[],MATCH(Table2[[#Headers],[Inner Spring Weight]],Table2[#Headers],0),0)</f>
        <v>Null</v>
      </c>
      <c r="BK717" s="2">
        <f>VLOOKUP([jobnumber],OvalData[],MATCH(Table2[[#Headers],[Cycles]],Table2[#Headers],0),0)</f>
        <v>0</v>
      </c>
      <c r="BL717" s="2">
        <f>VLOOKUP([jobnumber],OvalData[],MATCH(Table2[[#Headers],[Total Spring Torque]],Table2[#Headers],0),0)</f>
        <v>0</v>
      </c>
      <c r="BM717" s="2">
        <f>VLOOKUP([jobnumber],OvalData[],MATCH(Table2[[#Headers],[Total Spring Weight]],Table2[#Headers],0),0)</f>
        <v>0</v>
      </c>
      <c r="BN717" s="2">
        <f>VLOOKUP([jobnumber],OvalData[],MATCH(Table2[[#Headers],[Pipe Weight]],Table2[#Headers],0),0)</f>
        <v>688.24239999999998</v>
      </c>
      <c r="BO717" s="2">
        <f>VLOOKUP([jobnumber],OvalData[],MATCH(Table2[[#Headers],[Max Pipe Deflection]],Table2[#Headers],0),0)</f>
        <v>2309</v>
      </c>
      <c r="BP717" s="2">
        <f>VLOOKUP([jobnumber],OvalData[],MATCH(Table2[[#Headers],[Number Non-Insulated Wrap Slats]],Table2[#Headers],0),0)</f>
        <v>0</v>
      </c>
      <c r="BQ717" s="2">
        <f>VLOOKUP([jobnumber],OvalData[],MATCH(Table2[[#Headers],[Number of Insolated Top Slats]],Table2[#Headers],0),0)</f>
        <v>45</v>
      </c>
      <c r="BR717" s="2">
        <f>VLOOKUP([jobnumber],OvalData[],MATCH(Table2[[#Headers],[Insolated Total Slats]],Table2[#Headers],0),0)</f>
        <v>45</v>
      </c>
      <c r="BS717" s="2">
        <f>VLOOKUP([jobnumber],OvalData[],MATCH(Table2[[#Headers],[Number of Slats]],Table2[#Headers],0),0)</f>
        <v>44.69</v>
      </c>
      <c r="BT717" s="2">
        <f>VLOOKUP([jobnumber],OvalData[],MATCH(Table2[[#Headers],[Wrap]],Table2[#Headers],0),0)</f>
        <v>0</v>
      </c>
      <c r="BU717" s="2">
        <f>VLOOKUP([jobnumber],OvalData[],MATCH(Table2[[#Headers],[Wall Angle Thickness]],Table2[#Headers],0),0)</f>
        <v>0</v>
      </c>
      <c r="BV717" s="2">
        <f>VLOOKUP([jobnumber],OvalData[],MATCH(Table2[[#Headers],[windlocks]],Table2[#Headers],0),0)</f>
        <v>0</v>
      </c>
      <c r="BW717" s="2" t="str">
        <f>VLOOKUP([jobnumber],OvalData[],MATCH(Table2[[#Headers],[bottombartype]],Table2[#Headers],0),0)</f>
        <v>SPECIAL</v>
      </c>
      <c r="BX717" s="2">
        <f>VLOOKUP([jobnumber],OvalData[],MATCH(Table2[[#Headers],[endlockweight]],Table2[#Headers],0),0)</f>
        <v>0.17</v>
      </c>
      <c r="BY717" s="2">
        <f>VLOOKUP([jobnumber],OvalData[],MATCH(Table2[[#Headers],[Endlock Total Weight]],Table2[#Headers],0),0)</f>
        <v>7.5972999999999997</v>
      </c>
      <c r="BZ717" s="2">
        <f>VLOOKUP([jobnumber],OvalData[],MATCH(Table2[[#Headers],[Grille Weight]],Table2[#Headers],0),0)</f>
        <v>0</v>
      </c>
      <c r="CA717" s="2">
        <f>VLOOKUP([jobnumber],OvalData[],MATCH(Table2[[#Headers],[barrelrings]],Table2[#Headers],0),0)</f>
        <v>1</v>
      </c>
    </row>
    <row r="718" spans="2:79">
      <c r="B718" s="2" t="str">
        <f>VLOOKUP([jobnumber],OvalData[],MATCH(Table2[[#Headers],[Hand]],Table2[#Headers],0),0)</f>
        <v>RH</v>
      </c>
      <c r="C718" s="2" t="str">
        <f>VLOOKUP([jobnumber],OvalData[],MATCH(Table2[[#Headers],[Model]],Table2[#Headers],0),0)</f>
        <v>SFMPP</v>
      </c>
      <c r="D718" s="2" t="str">
        <f>VLOOKUP([jobnumber],OvalData[],MATCH(Table2[[#Headers],[width]],Table2[#Headers],0),0)</f>
        <v xml:space="preserve"> 18 ft.- 2"</v>
      </c>
      <c r="E718" s="2" t="str">
        <f>VLOOKUP([jobnumber],OvalData[],MATCH(Table2[[#Headers],[stopheight]],Table2[#Headers],0),0)</f>
        <v xml:space="preserve"> 10 ft.- 0"</v>
      </c>
      <c r="F718" s="2" t="str">
        <f>VLOOKUP([jobnumber],OvalData[],MATCH(Table2[[#Headers],[Between Brackets]],Table2[#Headers],0),0)</f>
        <v xml:space="preserve"> 18 ft.- 7 7/ 8"</v>
      </c>
      <c r="G718" s="2" t="str">
        <f>VLOOKUP([jobnumber],OvalData[],MATCH(Table2[[#Headers],[shell]],Table2[#Headers],0),0)</f>
        <v>6 INCH TUBE</v>
      </c>
      <c r="H718" s="2" t="str">
        <f>VLOOKUP([jobnumber],OvalData[],MATCH(Table2[[#Headers],[pipewidth]],Table2[#Headers],0),0)</f>
        <v xml:space="preserve"> 18 ft.- 1 3/ 8"</v>
      </c>
      <c r="I718" s="2">
        <f>VLOOKUP([jobnumber],OvalData[],MATCH(Table2[[#Headers],[Support Tubes]],Table2[#Headers],0),0)</f>
        <v>0</v>
      </c>
      <c r="J718" s="2">
        <f>VLOOKUP([jobnumber],OvalData[],MATCH(Table2[[#Headers],[Upset]],Table2[#Headers],0),0)</f>
        <v>2</v>
      </c>
      <c r="K718" s="2" t="str">
        <f>VLOOKUP([jobnumber],OvalData[],MATCH(Table2[[#Headers],[Guide Type]],Table2[#Headers],0),0)</f>
        <v>SN2-4 5/8-E</v>
      </c>
      <c r="L718" s="2" t="str">
        <f>VLOOKUP([jobnumber],OvalData[],MATCH(Table2[[#Headers],[Wall Angle]],Table2[#Headers],0),0)</f>
        <v xml:space="preserve"> 11 ft.- 8"</v>
      </c>
      <c r="M718" s="2" t="str">
        <f>VLOOKUP([jobnumber],OvalData[],MATCH(Table2[[#Headers],[Middle Angle]],Table2[#Headers],0),0)</f>
        <v xml:space="preserve"> 10 ft.- 4 1/ 2"</v>
      </c>
      <c r="N718" s="2" t="str">
        <f>VLOOKUP([jobnumber],OvalData[],MATCH(Table2[[#Headers],[Front Angle]],Table2[#Headers],0),0)</f>
        <v xml:space="preserve"> 10 ft.- 3"</v>
      </c>
      <c r="O718" s="2">
        <f>VLOOKUP([jobnumber],OvalData[],MATCH(Table2[[#Headers],[Pipe Center Line]],Table2[#Headers],0),0)</f>
        <v>131</v>
      </c>
      <c r="P718" s="2">
        <f>VLOOKUP([jobnumber],OvalData[],MATCH(Table2[[#Headers],[Heat Expansion Gap]],Table2[#Headers],0),0)</f>
        <v>0</v>
      </c>
      <c r="Q718" s="2">
        <f>VLOOKUP([jobnumber],OvalData[],MATCH(Table2[[#Headers],[Hanging Weight Closed]],Table2[#Headers],0),0)</f>
        <v>795</v>
      </c>
      <c r="R718" s="2">
        <f>VLOOKUP([jobnumber],OvalData[],MATCH(Table2[[#Headers],[Hanging Weight Open]],Table2[#Headers],0),0)</f>
        <v>140</v>
      </c>
      <c r="S718" s="2">
        <f>VLOOKUP([jobnumber],OvalData[],MATCH(Table2[[#Headers],[Initial Lever Arm]],Table2[#Headers],0),0)</f>
        <v>4.25</v>
      </c>
      <c r="T718" s="2">
        <f>VLOOKUP([jobnumber],OvalData[],MATCH(Table2[[#Headers],[Turns to Raise]],Table2[#Headers],0),0)</f>
        <v>3.5859999999999999</v>
      </c>
      <c r="U718" s="2">
        <f>VLOOKUP([jobnumber],OvalData[],MATCH(Table2[[#Headers],[Final Lever Arm]],Table2[#Headers],0),0)</f>
        <v>6.37</v>
      </c>
      <c r="V718" s="2">
        <f>VLOOKUP([jobnumber],OvalData[],MATCH(Table2[[#Headers],[Torque Required Closed]],Table2[#Headers],0),0)</f>
        <v>3377.9</v>
      </c>
      <c r="W718" s="2">
        <f>VLOOKUP([jobnumber],OvalData[],MATCH(Table2[[#Headers],[Torque Required Open]],Table2[#Headers],0),0)</f>
        <v>892</v>
      </c>
      <c r="X718" s="2">
        <f>VLOOKUP([jobnumber],OvalData[],MATCH(Table2[[#Headers],[Pre Turns]],Table2[#Headers],0),0)</f>
        <v>1.3332999999999999</v>
      </c>
      <c r="Y718" s="2">
        <f>VLOOKUP([jobnumber],OvalData[],MATCH(Table2[[#Headers],[Required Torque Per Turn]],Table2[#Headers],0),0)</f>
        <v>688</v>
      </c>
      <c r="Z718" s="2">
        <f>VLOOKUP([jobnumber],OvalData[],MATCH(Table2[[#Headers],[Total Turns]],Table2[#Headers],0),0)</f>
        <v>4.91</v>
      </c>
      <c r="AA718" s="2">
        <f>VLOOKUP([jobnumber],OvalData[],MATCH(Table2[[#Headers],[Grille Vision Section]],Table2[#Headers],0),0)</f>
        <v>0</v>
      </c>
      <c r="AB718" s="2">
        <f>VLOOKUP([jobnumber],OvalData[],MATCH(Table2[[#Headers],[Grille Amount]],Table2[#Headers],0),0)</f>
        <v>0</v>
      </c>
      <c r="AC718" s="2">
        <f>VLOOKUP([jobnumber],OvalData[],MATCH(Table2[[#Headers],[Grille Center]],Table2[#Headers],0),0)</f>
        <v>0</v>
      </c>
      <c r="AD718" s="2">
        <f>VLOOKUP([jobnumber],OvalData[],MATCH(Table2[[#Headers],[Grille Pattern]],Table2[#Headers],0),0)</f>
        <v>0</v>
      </c>
      <c r="AE718" s="2">
        <f>VLOOKUP([jobnumber],OvalData[],MATCH(Table2[[#Headers],[Grille First Tube]],Table2[#Headers],0),0)</f>
        <v>0</v>
      </c>
      <c r="AF718" s="2">
        <f>VLOOKUP([jobnumber],OvalData[],MATCH(Table2[[#Headers],[Grille Standard Tube]],Table2[#Headers],0),0)</f>
        <v>0</v>
      </c>
      <c r="AG718" s="2">
        <f>VLOOKUP([jobnumber],OvalData[],MATCH(Table2[[#Headers],[Grille Total Links]],Table2[#Headers],0),0)</f>
        <v>0</v>
      </c>
      <c r="AH718" s="2">
        <f>VLOOKUP([jobnumber],OvalData[],MATCH(Table2[[#Headers],[Grille Rods]],Table2[#Headers],0),0)</f>
        <v>0</v>
      </c>
      <c r="AI718" s="2">
        <f>VLOOKUP([jobnumber],OvalData[],MATCH(Table2[[#Headers],[Grille Rod Length]],Table2[#Headers],0),0)</f>
        <v>0</v>
      </c>
      <c r="AJ718" s="2">
        <f>VLOOKUP([jobnumber],OvalData[],MATCH(Table2[[#Headers],[slattype]],Table2[#Headers],0),0)</f>
        <v>2</v>
      </c>
      <c r="AK718" s="2">
        <f>VLOOKUP([jobnumber],OvalData[],MATCH(Table2[[#Headers],[slatgage]],Table2[#Headers],0),0)</f>
        <v>18</v>
      </c>
      <c r="AL718" s="2">
        <f>VLOOKUP([jobnumber],OvalData[],MATCH(Table2[[#Headers],[Numer of Top Slats]],Table2[#Headers],0),0)</f>
        <v>0</v>
      </c>
      <c r="AM718" s="2">
        <f>VLOOKUP([jobnumber],OvalData[],MATCH(Table2[[#Headers],[Number of Bottom Slats]],Table2[#Headers],0),0)</f>
        <v>0</v>
      </c>
      <c r="AN718" s="2">
        <f>VLOOKUP([jobnumber],OvalData[],MATCH(Table2[[#Headers],[Solid Bottom Height]],Table2[#Headers],0),0)</f>
        <v>0</v>
      </c>
      <c r="AO718" s="2" t="str">
        <f>VLOOKUP([jobnumber],OvalData[],MATCH(Table2[[#Headers],[slatlength]],Table2[#Headers],0),0)</f>
        <v xml:space="preserve"> 18 ft.- 5 7/ 8"</v>
      </c>
      <c r="AP718" s="2">
        <f>VLOOKUP([jobnumber],OvalData[],MATCH(Table2[[#Headers],[Bottom Slat Length]],Table2[#Headers],0),0)</f>
        <v>0</v>
      </c>
      <c r="AQ718" s="2">
        <f>VLOOKUP([jobnumber],OvalData[],MATCH(Table2[[#Headers],[Number of Perferated Slats]],Table2[#Headers],0),0)</f>
        <v>0</v>
      </c>
      <c r="AR718" s="2">
        <f>VLOOKUP([jobnumber],OvalData[],MATCH(Table2[[#Headers],[First Preferated Slat From End]],Table2[#Headers],0),0)</f>
        <v>0</v>
      </c>
      <c r="AS718" s="2">
        <f>VLOOKUP([jobnumber],OvalData[],MATCH(Table2[[#Headers],[First Preferated Slat From Bottom]],Table2[#Headers],0),0)</f>
        <v>0</v>
      </c>
      <c r="AT718" s="2">
        <f>VLOOKUP([jobnumber],OvalData[],MATCH(Table2[[#Headers],[Total Number of Slats]],Table2[#Headers],0),0)</f>
        <v>51</v>
      </c>
      <c r="AU718" s="2">
        <f>VLOOKUP([jobnumber],OvalData[],MATCH(Table2[[#Headers],[Bottom Bar Slope]],Table2[#Headers],0),0)</f>
        <v>0</v>
      </c>
      <c r="AV718" s="2">
        <f>VLOOKUP([jobnumber],OvalData[],MATCH(Table2[[#Headers],[Bottom Bar Weight]],Table2[#Headers],0),0)</f>
        <v>80.5</v>
      </c>
      <c r="AW718" s="2" t="str">
        <f>VLOOKUP([jobnumber],OvalData[],MATCH(Table2[[#Headers],[Outer Spring Gage]],Table2[#Headers],0),0)</f>
        <v>Null</v>
      </c>
      <c r="AX718" s="2" t="str">
        <f>VLOOKUP([jobnumber],OvalData[],MATCH(Table2[[#Headers],[Outer Spring OD]],Table2[#Headers],0),0)</f>
        <v>Null</v>
      </c>
      <c r="AY718" s="2" t="str">
        <f>VLOOKUP([jobnumber],OvalData[],MATCH(Table2[[#Headers],[Outer Spring Length]],Table2[#Headers],0),0)</f>
        <v>Null</v>
      </c>
      <c r="AZ718" s="2" t="str">
        <f>VLOOKUP([jobnumber],OvalData[],MATCH(Table2[[#Headers],[Outer Spring Stretch]],Table2[#Headers],0),0)</f>
        <v>Null</v>
      </c>
      <c r="BA718" s="2" t="str">
        <f>VLOOKUP([jobnumber],OvalData[],MATCH(Table2[[#Headers],[Outer Spring Torque]],Table2[#Headers],0),0)</f>
        <v>Null</v>
      </c>
      <c r="BB718" s="2" t="str">
        <f>VLOOKUP([jobnumber],OvalData[],MATCH(Table2[[#Headers],[Outer Spring Max Turns]],Table2[#Headers],0),0)</f>
        <v>Null</v>
      </c>
      <c r="BC718" s="2" t="str">
        <f>VLOOKUP([jobnumber],OvalData[],MATCH(Table2[[#Headers],[Outer Spring Weight]],Table2[#Headers],0),0)</f>
        <v>Null</v>
      </c>
      <c r="BD718" s="2" t="str">
        <f>VLOOKUP([jobnumber],OvalData[],MATCH(Table2[[#Headers],[Inner Spring Gage]],Table2[#Headers],0),0)</f>
        <v>Null</v>
      </c>
      <c r="BE718" s="2" t="str">
        <f>VLOOKUP([jobnumber],OvalData[],MATCH(Table2[[#Headers],[Inner Spring OD]],Table2[#Headers],0),0)</f>
        <v>Null</v>
      </c>
      <c r="BF718" s="2" t="str">
        <f>VLOOKUP([jobnumber],OvalData[],MATCH(Table2[[#Headers],[Inner Spring Length]],Table2[#Headers],0),0)</f>
        <v>Null</v>
      </c>
      <c r="BG718" s="2" t="str">
        <f>VLOOKUP([jobnumber],OvalData[],MATCH(Table2[[#Headers],[Inner Spring Stretch]],Table2[#Headers],0),0)</f>
        <v>Null</v>
      </c>
      <c r="BH718" s="2" t="str">
        <f>VLOOKUP([jobnumber],OvalData[],MATCH(Table2[[#Headers],[Inner Spring Torque]],Table2[#Headers],0),0)</f>
        <v>Null</v>
      </c>
      <c r="BI718" s="2" t="str">
        <f>VLOOKUP([jobnumber],OvalData[],MATCH(Table2[[#Headers],[Inner Spring Max Turns]],Table2[#Headers],0),0)</f>
        <v>Null</v>
      </c>
      <c r="BJ718" s="2" t="str">
        <f>VLOOKUP([jobnumber],OvalData[],MATCH(Table2[[#Headers],[Inner Spring Weight]],Table2[#Headers],0),0)</f>
        <v>Null</v>
      </c>
      <c r="BK718" s="2">
        <f>VLOOKUP([jobnumber],OvalData[],MATCH(Table2[[#Headers],[Cycles]],Table2[#Headers],0),0)</f>
        <v>0</v>
      </c>
      <c r="BL718" s="2">
        <f>VLOOKUP([jobnumber],OvalData[],MATCH(Table2[[#Headers],[Total Spring Torque]],Table2[#Headers],0),0)</f>
        <v>0</v>
      </c>
      <c r="BM718" s="2">
        <f>VLOOKUP([jobnumber],OvalData[],MATCH(Table2[[#Headers],[Total Spring Weight]],Table2[#Headers],0),0)</f>
        <v>0</v>
      </c>
      <c r="BN718" s="2">
        <f>VLOOKUP([jobnumber],OvalData[],MATCH(Table2[[#Headers],[Pipe Weight]],Table2[#Headers],0),0)</f>
        <v>688.24239999999998</v>
      </c>
      <c r="BO718" s="2">
        <f>VLOOKUP([jobnumber],OvalData[],MATCH(Table2[[#Headers],[Max Pipe Deflection]],Table2[#Headers],0),0)</f>
        <v>2309</v>
      </c>
      <c r="BP718" s="2">
        <f>VLOOKUP([jobnumber],OvalData[],MATCH(Table2[[#Headers],[Number Non-Insulated Wrap Slats]],Table2[#Headers],0),0)</f>
        <v>0</v>
      </c>
      <c r="BQ718" s="2">
        <f>VLOOKUP([jobnumber],OvalData[],MATCH(Table2[[#Headers],[Number of Insolated Top Slats]],Table2[#Headers],0),0)</f>
        <v>45</v>
      </c>
      <c r="BR718" s="2">
        <f>VLOOKUP([jobnumber],OvalData[],MATCH(Table2[[#Headers],[Insolated Total Slats]],Table2[#Headers],0),0)</f>
        <v>45</v>
      </c>
      <c r="BS718" s="2">
        <f>VLOOKUP([jobnumber],OvalData[],MATCH(Table2[[#Headers],[Number of Slats]],Table2[#Headers],0),0)</f>
        <v>44.69</v>
      </c>
      <c r="BT718" s="2">
        <f>VLOOKUP([jobnumber],OvalData[],MATCH(Table2[[#Headers],[Wrap]],Table2[#Headers],0),0)</f>
        <v>0</v>
      </c>
      <c r="BU718" s="2">
        <f>VLOOKUP([jobnumber],OvalData[],MATCH(Table2[[#Headers],[Wall Angle Thickness]],Table2[#Headers],0),0)</f>
        <v>0</v>
      </c>
      <c r="BV718" s="2">
        <f>VLOOKUP([jobnumber],OvalData[],MATCH(Table2[[#Headers],[windlocks]],Table2[#Headers],0),0)</f>
        <v>0</v>
      </c>
      <c r="BW718" s="2" t="str">
        <f>VLOOKUP([jobnumber],OvalData[],MATCH(Table2[[#Headers],[bottombartype]],Table2[#Headers],0),0)</f>
        <v>SPECIAL</v>
      </c>
      <c r="BX718" s="2">
        <f>VLOOKUP([jobnumber],OvalData[],MATCH(Table2[[#Headers],[endlockweight]],Table2[#Headers],0),0)</f>
        <v>0.17</v>
      </c>
      <c r="BY718" s="2">
        <f>VLOOKUP([jobnumber],OvalData[],MATCH(Table2[[#Headers],[Endlock Total Weight]],Table2[#Headers],0),0)</f>
        <v>7.5972999999999997</v>
      </c>
      <c r="BZ718" s="2">
        <f>VLOOKUP([jobnumber],OvalData[],MATCH(Table2[[#Headers],[Grille Weight]],Table2[#Headers],0),0)</f>
        <v>0</v>
      </c>
      <c r="CA718" s="2">
        <f>VLOOKUP([jobnumber],OvalData[],MATCH(Table2[[#Headers],[barrelrings]],Table2[#Headers],0),0)</f>
        <v>1</v>
      </c>
    </row>
    <row r="719" spans="2:79">
      <c r="B719" s="2" t="str">
        <f>VLOOKUP([jobnumber],OvalData[],MATCH(Table2[[#Headers],[Hand]],Table2[#Headers],0),0)</f>
        <v>RH</v>
      </c>
      <c r="C719" s="2" t="str">
        <f>VLOOKUP([jobnumber],OvalData[],MATCH(Table2[[#Headers],[Model]],Table2[#Headers],0),0)</f>
        <v>SFMPP</v>
      </c>
      <c r="D719" s="2" t="str">
        <f>VLOOKUP([jobnumber],OvalData[],MATCH(Table2[[#Headers],[width]],Table2[#Headers],0),0)</f>
        <v xml:space="preserve"> 18 ft.- 2"</v>
      </c>
      <c r="E719" s="2" t="str">
        <f>VLOOKUP([jobnumber],OvalData[],MATCH(Table2[[#Headers],[stopheight]],Table2[#Headers],0),0)</f>
        <v xml:space="preserve"> 10 ft.- 0"</v>
      </c>
      <c r="F719" s="2" t="str">
        <f>VLOOKUP([jobnumber],OvalData[],MATCH(Table2[[#Headers],[Between Brackets]],Table2[#Headers],0),0)</f>
        <v xml:space="preserve"> 18 ft.- 7 7/ 8"</v>
      </c>
      <c r="G719" s="2" t="str">
        <f>VLOOKUP([jobnumber],OvalData[],MATCH(Table2[[#Headers],[shell]],Table2[#Headers],0),0)</f>
        <v>6 INCH TUBE</v>
      </c>
      <c r="H719" s="2" t="str">
        <f>VLOOKUP([jobnumber],OvalData[],MATCH(Table2[[#Headers],[pipewidth]],Table2[#Headers],0),0)</f>
        <v xml:space="preserve"> 18 ft.- 1 3/ 8"</v>
      </c>
      <c r="I719" s="2">
        <f>VLOOKUP([jobnumber],OvalData[],MATCH(Table2[[#Headers],[Support Tubes]],Table2[#Headers],0),0)</f>
        <v>0</v>
      </c>
      <c r="J719" s="2">
        <f>VLOOKUP([jobnumber],OvalData[],MATCH(Table2[[#Headers],[Upset]],Table2[#Headers],0),0)</f>
        <v>2</v>
      </c>
      <c r="K719" s="2" t="str">
        <f>VLOOKUP([jobnumber],OvalData[],MATCH(Table2[[#Headers],[Guide Type]],Table2[#Headers],0),0)</f>
        <v>SN2-4 5/8-E</v>
      </c>
      <c r="L719" s="2" t="str">
        <f>VLOOKUP([jobnumber],OvalData[],MATCH(Table2[[#Headers],[Wall Angle]],Table2[#Headers],0),0)</f>
        <v xml:space="preserve"> 11 ft.- 8"</v>
      </c>
      <c r="M719" s="2" t="str">
        <f>VLOOKUP([jobnumber],OvalData[],MATCH(Table2[[#Headers],[Middle Angle]],Table2[#Headers],0),0)</f>
        <v xml:space="preserve"> 10 ft.- 4 1/ 2"</v>
      </c>
      <c r="N719" s="2" t="str">
        <f>VLOOKUP([jobnumber],OvalData[],MATCH(Table2[[#Headers],[Front Angle]],Table2[#Headers],0),0)</f>
        <v xml:space="preserve"> 10 ft.- 3"</v>
      </c>
      <c r="O719" s="2">
        <f>VLOOKUP([jobnumber],OvalData[],MATCH(Table2[[#Headers],[Pipe Center Line]],Table2[#Headers],0),0)</f>
        <v>131</v>
      </c>
      <c r="P719" s="2">
        <f>VLOOKUP([jobnumber],OvalData[],MATCH(Table2[[#Headers],[Heat Expansion Gap]],Table2[#Headers],0),0)</f>
        <v>0</v>
      </c>
      <c r="Q719" s="2">
        <f>VLOOKUP([jobnumber],OvalData[],MATCH(Table2[[#Headers],[Hanging Weight Closed]],Table2[#Headers],0),0)</f>
        <v>795</v>
      </c>
      <c r="R719" s="2">
        <f>VLOOKUP([jobnumber],OvalData[],MATCH(Table2[[#Headers],[Hanging Weight Open]],Table2[#Headers],0),0)</f>
        <v>140</v>
      </c>
      <c r="S719" s="2">
        <f>VLOOKUP([jobnumber],OvalData[],MATCH(Table2[[#Headers],[Initial Lever Arm]],Table2[#Headers],0),0)</f>
        <v>4.25</v>
      </c>
      <c r="T719" s="2">
        <f>VLOOKUP([jobnumber],OvalData[],MATCH(Table2[[#Headers],[Turns to Raise]],Table2[#Headers],0),0)</f>
        <v>3.5859999999999999</v>
      </c>
      <c r="U719" s="2">
        <f>VLOOKUP([jobnumber],OvalData[],MATCH(Table2[[#Headers],[Final Lever Arm]],Table2[#Headers],0),0)</f>
        <v>6.37</v>
      </c>
      <c r="V719" s="2">
        <f>VLOOKUP([jobnumber],OvalData[],MATCH(Table2[[#Headers],[Torque Required Closed]],Table2[#Headers],0),0)</f>
        <v>3377.9</v>
      </c>
      <c r="W719" s="2">
        <f>VLOOKUP([jobnumber],OvalData[],MATCH(Table2[[#Headers],[Torque Required Open]],Table2[#Headers],0),0)</f>
        <v>892</v>
      </c>
      <c r="X719" s="2">
        <f>VLOOKUP([jobnumber],OvalData[],MATCH(Table2[[#Headers],[Pre Turns]],Table2[#Headers],0),0)</f>
        <v>1.3332999999999999</v>
      </c>
      <c r="Y719" s="2">
        <f>VLOOKUP([jobnumber],OvalData[],MATCH(Table2[[#Headers],[Required Torque Per Turn]],Table2[#Headers],0),0)</f>
        <v>688</v>
      </c>
      <c r="Z719" s="2">
        <f>VLOOKUP([jobnumber],OvalData[],MATCH(Table2[[#Headers],[Total Turns]],Table2[#Headers],0),0)</f>
        <v>4.91</v>
      </c>
      <c r="AA719" s="2">
        <f>VLOOKUP([jobnumber],OvalData[],MATCH(Table2[[#Headers],[Grille Vision Section]],Table2[#Headers],0),0)</f>
        <v>0</v>
      </c>
      <c r="AB719" s="2">
        <f>VLOOKUP([jobnumber],OvalData[],MATCH(Table2[[#Headers],[Grille Amount]],Table2[#Headers],0),0)</f>
        <v>0</v>
      </c>
      <c r="AC719" s="2">
        <f>VLOOKUP([jobnumber],OvalData[],MATCH(Table2[[#Headers],[Grille Center]],Table2[#Headers],0),0)</f>
        <v>0</v>
      </c>
      <c r="AD719" s="2">
        <f>VLOOKUP([jobnumber],OvalData[],MATCH(Table2[[#Headers],[Grille Pattern]],Table2[#Headers],0),0)</f>
        <v>0</v>
      </c>
      <c r="AE719" s="2">
        <f>VLOOKUP([jobnumber],OvalData[],MATCH(Table2[[#Headers],[Grille First Tube]],Table2[#Headers],0),0)</f>
        <v>0</v>
      </c>
      <c r="AF719" s="2">
        <f>VLOOKUP([jobnumber],OvalData[],MATCH(Table2[[#Headers],[Grille Standard Tube]],Table2[#Headers],0),0)</f>
        <v>0</v>
      </c>
      <c r="AG719" s="2">
        <f>VLOOKUP([jobnumber],OvalData[],MATCH(Table2[[#Headers],[Grille Total Links]],Table2[#Headers],0),0)</f>
        <v>0</v>
      </c>
      <c r="AH719" s="2">
        <f>VLOOKUP([jobnumber],OvalData[],MATCH(Table2[[#Headers],[Grille Rods]],Table2[#Headers],0),0)</f>
        <v>0</v>
      </c>
      <c r="AI719" s="2">
        <f>VLOOKUP([jobnumber],OvalData[],MATCH(Table2[[#Headers],[Grille Rod Length]],Table2[#Headers],0),0)</f>
        <v>0</v>
      </c>
      <c r="AJ719" s="2">
        <f>VLOOKUP([jobnumber],OvalData[],MATCH(Table2[[#Headers],[slattype]],Table2[#Headers],0),0)</f>
        <v>2</v>
      </c>
      <c r="AK719" s="2">
        <f>VLOOKUP([jobnumber],OvalData[],MATCH(Table2[[#Headers],[slatgage]],Table2[#Headers],0),0)</f>
        <v>18</v>
      </c>
      <c r="AL719" s="2">
        <f>VLOOKUP([jobnumber],OvalData[],MATCH(Table2[[#Headers],[Numer of Top Slats]],Table2[#Headers],0),0)</f>
        <v>0</v>
      </c>
      <c r="AM719" s="2">
        <f>VLOOKUP([jobnumber],OvalData[],MATCH(Table2[[#Headers],[Number of Bottom Slats]],Table2[#Headers],0),0)</f>
        <v>0</v>
      </c>
      <c r="AN719" s="2">
        <f>VLOOKUP([jobnumber],OvalData[],MATCH(Table2[[#Headers],[Solid Bottom Height]],Table2[#Headers],0),0)</f>
        <v>0</v>
      </c>
      <c r="AO719" s="2" t="str">
        <f>VLOOKUP([jobnumber],OvalData[],MATCH(Table2[[#Headers],[slatlength]],Table2[#Headers],0),0)</f>
        <v xml:space="preserve"> 18 ft.- 5 7/ 8"</v>
      </c>
      <c r="AP719" s="2">
        <f>VLOOKUP([jobnumber],OvalData[],MATCH(Table2[[#Headers],[Bottom Slat Length]],Table2[#Headers],0),0)</f>
        <v>0</v>
      </c>
      <c r="AQ719" s="2">
        <f>VLOOKUP([jobnumber],OvalData[],MATCH(Table2[[#Headers],[Number of Perferated Slats]],Table2[#Headers],0),0)</f>
        <v>0</v>
      </c>
      <c r="AR719" s="2">
        <f>VLOOKUP([jobnumber],OvalData[],MATCH(Table2[[#Headers],[First Preferated Slat From End]],Table2[#Headers],0),0)</f>
        <v>0</v>
      </c>
      <c r="AS719" s="2">
        <f>VLOOKUP([jobnumber],OvalData[],MATCH(Table2[[#Headers],[First Preferated Slat From Bottom]],Table2[#Headers],0),0)</f>
        <v>0</v>
      </c>
      <c r="AT719" s="2">
        <f>VLOOKUP([jobnumber],OvalData[],MATCH(Table2[[#Headers],[Total Number of Slats]],Table2[#Headers],0),0)</f>
        <v>51</v>
      </c>
      <c r="AU719" s="2">
        <f>VLOOKUP([jobnumber],OvalData[],MATCH(Table2[[#Headers],[Bottom Bar Slope]],Table2[#Headers],0),0)</f>
        <v>0</v>
      </c>
      <c r="AV719" s="2">
        <f>VLOOKUP([jobnumber],OvalData[],MATCH(Table2[[#Headers],[Bottom Bar Weight]],Table2[#Headers],0),0)</f>
        <v>80.5</v>
      </c>
      <c r="AW719" s="2" t="str">
        <f>VLOOKUP([jobnumber],OvalData[],MATCH(Table2[[#Headers],[Outer Spring Gage]],Table2[#Headers],0),0)</f>
        <v>Null</v>
      </c>
      <c r="AX719" s="2" t="str">
        <f>VLOOKUP([jobnumber],OvalData[],MATCH(Table2[[#Headers],[Outer Spring OD]],Table2[#Headers],0),0)</f>
        <v>Null</v>
      </c>
      <c r="AY719" s="2" t="str">
        <f>VLOOKUP([jobnumber],OvalData[],MATCH(Table2[[#Headers],[Outer Spring Length]],Table2[#Headers],0),0)</f>
        <v>Null</v>
      </c>
      <c r="AZ719" s="2" t="str">
        <f>VLOOKUP([jobnumber],OvalData[],MATCH(Table2[[#Headers],[Outer Spring Stretch]],Table2[#Headers],0),0)</f>
        <v>Null</v>
      </c>
      <c r="BA719" s="2" t="str">
        <f>VLOOKUP([jobnumber],OvalData[],MATCH(Table2[[#Headers],[Outer Spring Torque]],Table2[#Headers],0),0)</f>
        <v>Null</v>
      </c>
      <c r="BB719" s="2" t="str">
        <f>VLOOKUP([jobnumber],OvalData[],MATCH(Table2[[#Headers],[Outer Spring Max Turns]],Table2[#Headers],0),0)</f>
        <v>Null</v>
      </c>
      <c r="BC719" s="2" t="str">
        <f>VLOOKUP([jobnumber],OvalData[],MATCH(Table2[[#Headers],[Outer Spring Weight]],Table2[#Headers],0),0)</f>
        <v>Null</v>
      </c>
      <c r="BD719" s="2" t="str">
        <f>VLOOKUP([jobnumber],OvalData[],MATCH(Table2[[#Headers],[Inner Spring Gage]],Table2[#Headers],0),0)</f>
        <v>Null</v>
      </c>
      <c r="BE719" s="2" t="str">
        <f>VLOOKUP([jobnumber],OvalData[],MATCH(Table2[[#Headers],[Inner Spring OD]],Table2[#Headers],0),0)</f>
        <v>Null</v>
      </c>
      <c r="BF719" s="2" t="str">
        <f>VLOOKUP([jobnumber],OvalData[],MATCH(Table2[[#Headers],[Inner Spring Length]],Table2[#Headers],0),0)</f>
        <v>Null</v>
      </c>
      <c r="BG719" s="2" t="str">
        <f>VLOOKUP([jobnumber],OvalData[],MATCH(Table2[[#Headers],[Inner Spring Stretch]],Table2[#Headers],0),0)</f>
        <v>Null</v>
      </c>
      <c r="BH719" s="2" t="str">
        <f>VLOOKUP([jobnumber],OvalData[],MATCH(Table2[[#Headers],[Inner Spring Torque]],Table2[#Headers],0),0)</f>
        <v>Null</v>
      </c>
      <c r="BI719" s="2" t="str">
        <f>VLOOKUP([jobnumber],OvalData[],MATCH(Table2[[#Headers],[Inner Spring Max Turns]],Table2[#Headers],0),0)</f>
        <v>Null</v>
      </c>
      <c r="BJ719" s="2" t="str">
        <f>VLOOKUP([jobnumber],OvalData[],MATCH(Table2[[#Headers],[Inner Spring Weight]],Table2[#Headers],0),0)</f>
        <v>Null</v>
      </c>
      <c r="BK719" s="2">
        <f>VLOOKUP([jobnumber],OvalData[],MATCH(Table2[[#Headers],[Cycles]],Table2[#Headers],0),0)</f>
        <v>0</v>
      </c>
      <c r="BL719" s="2">
        <f>VLOOKUP([jobnumber],OvalData[],MATCH(Table2[[#Headers],[Total Spring Torque]],Table2[#Headers],0),0)</f>
        <v>0</v>
      </c>
      <c r="BM719" s="2">
        <f>VLOOKUP([jobnumber],OvalData[],MATCH(Table2[[#Headers],[Total Spring Weight]],Table2[#Headers],0),0)</f>
        <v>0</v>
      </c>
      <c r="BN719" s="2">
        <f>VLOOKUP([jobnumber],OvalData[],MATCH(Table2[[#Headers],[Pipe Weight]],Table2[#Headers],0),0)</f>
        <v>688.24239999999998</v>
      </c>
      <c r="BO719" s="2">
        <f>VLOOKUP([jobnumber],OvalData[],MATCH(Table2[[#Headers],[Max Pipe Deflection]],Table2[#Headers],0),0)</f>
        <v>2309</v>
      </c>
      <c r="BP719" s="2">
        <f>VLOOKUP([jobnumber],OvalData[],MATCH(Table2[[#Headers],[Number Non-Insulated Wrap Slats]],Table2[#Headers],0),0)</f>
        <v>0</v>
      </c>
      <c r="BQ719" s="2">
        <f>VLOOKUP([jobnumber],OvalData[],MATCH(Table2[[#Headers],[Number of Insolated Top Slats]],Table2[#Headers],0),0)</f>
        <v>45</v>
      </c>
      <c r="BR719" s="2">
        <f>VLOOKUP([jobnumber],OvalData[],MATCH(Table2[[#Headers],[Insolated Total Slats]],Table2[#Headers],0),0)</f>
        <v>45</v>
      </c>
      <c r="BS719" s="2">
        <f>VLOOKUP([jobnumber],OvalData[],MATCH(Table2[[#Headers],[Number of Slats]],Table2[#Headers],0),0)</f>
        <v>44.69</v>
      </c>
      <c r="BT719" s="2">
        <f>VLOOKUP([jobnumber],OvalData[],MATCH(Table2[[#Headers],[Wrap]],Table2[#Headers],0),0)</f>
        <v>0</v>
      </c>
      <c r="BU719" s="2">
        <f>VLOOKUP([jobnumber],OvalData[],MATCH(Table2[[#Headers],[Wall Angle Thickness]],Table2[#Headers],0),0)</f>
        <v>0</v>
      </c>
      <c r="BV719" s="2">
        <f>VLOOKUP([jobnumber],OvalData[],MATCH(Table2[[#Headers],[windlocks]],Table2[#Headers],0),0)</f>
        <v>0</v>
      </c>
      <c r="BW719" s="2" t="str">
        <f>VLOOKUP([jobnumber],OvalData[],MATCH(Table2[[#Headers],[bottombartype]],Table2[#Headers],0),0)</f>
        <v>SPECIAL</v>
      </c>
      <c r="BX719" s="2">
        <f>VLOOKUP([jobnumber],OvalData[],MATCH(Table2[[#Headers],[endlockweight]],Table2[#Headers],0),0)</f>
        <v>0.17</v>
      </c>
      <c r="BY719" s="2">
        <f>VLOOKUP([jobnumber],OvalData[],MATCH(Table2[[#Headers],[Endlock Total Weight]],Table2[#Headers],0),0)</f>
        <v>7.5972999999999997</v>
      </c>
      <c r="BZ719" s="2">
        <f>VLOOKUP([jobnumber],OvalData[],MATCH(Table2[[#Headers],[Grille Weight]],Table2[#Headers],0),0)</f>
        <v>0</v>
      </c>
      <c r="CA719" s="2">
        <f>VLOOKUP([jobnumber],OvalData[],MATCH(Table2[[#Headers],[barrelrings]],Table2[#Headers],0),0)</f>
        <v>1</v>
      </c>
    </row>
    <row r="720" spans="2:79">
      <c r="B720" s="2" t="str">
        <f>VLOOKUP([jobnumber],OvalData[],MATCH(Table2[[#Headers],[Hand]],Table2[#Headers],0),0)</f>
        <v>RH</v>
      </c>
      <c r="C720" s="2" t="str">
        <f>VLOOKUP([jobnumber],OvalData[],MATCH(Table2[[#Headers],[Model]],Table2[#Headers],0),0)</f>
        <v>SFMPP</v>
      </c>
      <c r="D720" s="2" t="str">
        <f>VLOOKUP([jobnumber],OvalData[],MATCH(Table2[[#Headers],[width]],Table2[#Headers],0),0)</f>
        <v xml:space="preserve"> 18 ft.- 2"</v>
      </c>
      <c r="E720" s="2" t="str">
        <f>VLOOKUP([jobnumber],OvalData[],MATCH(Table2[[#Headers],[stopheight]],Table2[#Headers],0),0)</f>
        <v xml:space="preserve"> 10 ft.- 0"</v>
      </c>
      <c r="F720" s="2" t="str">
        <f>VLOOKUP([jobnumber],OvalData[],MATCH(Table2[[#Headers],[Between Brackets]],Table2[#Headers],0),0)</f>
        <v xml:space="preserve"> 18 ft.- 7 7/ 8"</v>
      </c>
      <c r="G720" s="2" t="str">
        <f>VLOOKUP([jobnumber],OvalData[],MATCH(Table2[[#Headers],[shell]],Table2[#Headers],0),0)</f>
        <v>6 INCH TUBE</v>
      </c>
      <c r="H720" s="2" t="str">
        <f>VLOOKUP([jobnumber],OvalData[],MATCH(Table2[[#Headers],[pipewidth]],Table2[#Headers],0),0)</f>
        <v xml:space="preserve"> 18 ft.- 1 3/ 8"</v>
      </c>
      <c r="I720" s="2">
        <f>VLOOKUP([jobnumber],OvalData[],MATCH(Table2[[#Headers],[Support Tubes]],Table2[#Headers],0),0)</f>
        <v>0</v>
      </c>
      <c r="J720" s="2">
        <f>VLOOKUP([jobnumber],OvalData[],MATCH(Table2[[#Headers],[Upset]],Table2[#Headers],0),0)</f>
        <v>2</v>
      </c>
      <c r="K720" s="2" t="str">
        <f>VLOOKUP([jobnumber],OvalData[],MATCH(Table2[[#Headers],[Guide Type]],Table2[#Headers],0),0)</f>
        <v>SN2-4 5/8-E</v>
      </c>
      <c r="L720" s="2" t="str">
        <f>VLOOKUP([jobnumber],OvalData[],MATCH(Table2[[#Headers],[Wall Angle]],Table2[#Headers],0),0)</f>
        <v xml:space="preserve"> 11 ft.- 8"</v>
      </c>
      <c r="M720" s="2" t="str">
        <f>VLOOKUP([jobnumber],OvalData[],MATCH(Table2[[#Headers],[Middle Angle]],Table2[#Headers],0),0)</f>
        <v xml:space="preserve"> 10 ft.- 4 1/ 2"</v>
      </c>
      <c r="N720" s="2" t="str">
        <f>VLOOKUP([jobnumber],OvalData[],MATCH(Table2[[#Headers],[Front Angle]],Table2[#Headers],0),0)</f>
        <v xml:space="preserve"> 10 ft.- 3"</v>
      </c>
      <c r="O720" s="2">
        <f>VLOOKUP([jobnumber],OvalData[],MATCH(Table2[[#Headers],[Pipe Center Line]],Table2[#Headers],0),0)</f>
        <v>131</v>
      </c>
      <c r="P720" s="2">
        <f>VLOOKUP([jobnumber],OvalData[],MATCH(Table2[[#Headers],[Heat Expansion Gap]],Table2[#Headers],0),0)</f>
        <v>0</v>
      </c>
      <c r="Q720" s="2">
        <f>VLOOKUP([jobnumber],OvalData[],MATCH(Table2[[#Headers],[Hanging Weight Closed]],Table2[#Headers],0),0)</f>
        <v>795</v>
      </c>
      <c r="R720" s="2">
        <f>VLOOKUP([jobnumber],OvalData[],MATCH(Table2[[#Headers],[Hanging Weight Open]],Table2[#Headers],0),0)</f>
        <v>140</v>
      </c>
      <c r="S720" s="2">
        <f>VLOOKUP([jobnumber],OvalData[],MATCH(Table2[[#Headers],[Initial Lever Arm]],Table2[#Headers],0),0)</f>
        <v>4.25</v>
      </c>
      <c r="T720" s="2">
        <f>VLOOKUP([jobnumber],OvalData[],MATCH(Table2[[#Headers],[Turns to Raise]],Table2[#Headers],0),0)</f>
        <v>3.5859999999999999</v>
      </c>
      <c r="U720" s="2">
        <f>VLOOKUP([jobnumber],OvalData[],MATCH(Table2[[#Headers],[Final Lever Arm]],Table2[#Headers],0),0)</f>
        <v>6.37</v>
      </c>
      <c r="V720" s="2">
        <f>VLOOKUP([jobnumber],OvalData[],MATCH(Table2[[#Headers],[Torque Required Closed]],Table2[#Headers],0),0)</f>
        <v>3377.9</v>
      </c>
      <c r="W720" s="2">
        <f>VLOOKUP([jobnumber],OvalData[],MATCH(Table2[[#Headers],[Torque Required Open]],Table2[#Headers],0),0)</f>
        <v>892</v>
      </c>
      <c r="X720" s="2">
        <f>VLOOKUP([jobnumber],OvalData[],MATCH(Table2[[#Headers],[Pre Turns]],Table2[#Headers],0),0)</f>
        <v>1.3332999999999999</v>
      </c>
      <c r="Y720" s="2">
        <f>VLOOKUP([jobnumber],OvalData[],MATCH(Table2[[#Headers],[Required Torque Per Turn]],Table2[#Headers],0),0)</f>
        <v>688</v>
      </c>
      <c r="Z720" s="2">
        <f>VLOOKUP([jobnumber],OvalData[],MATCH(Table2[[#Headers],[Total Turns]],Table2[#Headers],0),0)</f>
        <v>4.91</v>
      </c>
      <c r="AA720" s="2">
        <f>VLOOKUP([jobnumber],OvalData[],MATCH(Table2[[#Headers],[Grille Vision Section]],Table2[#Headers],0),0)</f>
        <v>0</v>
      </c>
      <c r="AB720" s="2">
        <f>VLOOKUP([jobnumber],OvalData[],MATCH(Table2[[#Headers],[Grille Amount]],Table2[#Headers],0),0)</f>
        <v>0</v>
      </c>
      <c r="AC720" s="2">
        <f>VLOOKUP([jobnumber],OvalData[],MATCH(Table2[[#Headers],[Grille Center]],Table2[#Headers],0),0)</f>
        <v>0</v>
      </c>
      <c r="AD720" s="2">
        <f>VLOOKUP([jobnumber],OvalData[],MATCH(Table2[[#Headers],[Grille Pattern]],Table2[#Headers],0),0)</f>
        <v>0</v>
      </c>
      <c r="AE720" s="2">
        <f>VLOOKUP([jobnumber],OvalData[],MATCH(Table2[[#Headers],[Grille First Tube]],Table2[#Headers],0),0)</f>
        <v>0</v>
      </c>
      <c r="AF720" s="2">
        <f>VLOOKUP([jobnumber],OvalData[],MATCH(Table2[[#Headers],[Grille Standard Tube]],Table2[#Headers],0),0)</f>
        <v>0</v>
      </c>
      <c r="AG720" s="2">
        <f>VLOOKUP([jobnumber],OvalData[],MATCH(Table2[[#Headers],[Grille Total Links]],Table2[#Headers],0),0)</f>
        <v>0</v>
      </c>
      <c r="AH720" s="2">
        <f>VLOOKUP([jobnumber],OvalData[],MATCH(Table2[[#Headers],[Grille Rods]],Table2[#Headers],0),0)</f>
        <v>0</v>
      </c>
      <c r="AI720" s="2">
        <f>VLOOKUP([jobnumber],OvalData[],MATCH(Table2[[#Headers],[Grille Rod Length]],Table2[#Headers],0),0)</f>
        <v>0</v>
      </c>
      <c r="AJ720" s="2">
        <f>VLOOKUP([jobnumber],OvalData[],MATCH(Table2[[#Headers],[slattype]],Table2[#Headers],0),0)</f>
        <v>2</v>
      </c>
      <c r="AK720" s="2">
        <f>VLOOKUP([jobnumber],OvalData[],MATCH(Table2[[#Headers],[slatgage]],Table2[#Headers],0),0)</f>
        <v>18</v>
      </c>
      <c r="AL720" s="2">
        <f>VLOOKUP([jobnumber],OvalData[],MATCH(Table2[[#Headers],[Numer of Top Slats]],Table2[#Headers],0),0)</f>
        <v>0</v>
      </c>
      <c r="AM720" s="2">
        <f>VLOOKUP([jobnumber],OvalData[],MATCH(Table2[[#Headers],[Number of Bottom Slats]],Table2[#Headers],0),0)</f>
        <v>0</v>
      </c>
      <c r="AN720" s="2">
        <f>VLOOKUP([jobnumber],OvalData[],MATCH(Table2[[#Headers],[Solid Bottom Height]],Table2[#Headers],0),0)</f>
        <v>0</v>
      </c>
      <c r="AO720" s="2" t="str">
        <f>VLOOKUP([jobnumber],OvalData[],MATCH(Table2[[#Headers],[slatlength]],Table2[#Headers],0),0)</f>
        <v xml:space="preserve"> 18 ft.- 5 7/ 8"</v>
      </c>
      <c r="AP720" s="2">
        <f>VLOOKUP([jobnumber],OvalData[],MATCH(Table2[[#Headers],[Bottom Slat Length]],Table2[#Headers],0),0)</f>
        <v>0</v>
      </c>
      <c r="AQ720" s="2">
        <f>VLOOKUP([jobnumber],OvalData[],MATCH(Table2[[#Headers],[Number of Perferated Slats]],Table2[#Headers],0),0)</f>
        <v>0</v>
      </c>
      <c r="AR720" s="2">
        <f>VLOOKUP([jobnumber],OvalData[],MATCH(Table2[[#Headers],[First Preferated Slat From End]],Table2[#Headers],0),0)</f>
        <v>0</v>
      </c>
      <c r="AS720" s="2">
        <f>VLOOKUP([jobnumber],OvalData[],MATCH(Table2[[#Headers],[First Preferated Slat From Bottom]],Table2[#Headers],0),0)</f>
        <v>0</v>
      </c>
      <c r="AT720" s="2">
        <f>VLOOKUP([jobnumber],OvalData[],MATCH(Table2[[#Headers],[Total Number of Slats]],Table2[#Headers],0),0)</f>
        <v>51</v>
      </c>
      <c r="AU720" s="2">
        <f>VLOOKUP([jobnumber],OvalData[],MATCH(Table2[[#Headers],[Bottom Bar Slope]],Table2[#Headers],0),0)</f>
        <v>0</v>
      </c>
      <c r="AV720" s="2">
        <f>VLOOKUP([jobnumber],OvalData[],MATCH(Table2[[#Headers],[Bottom Bar Weight]],Table2[#Headers],0),0)</f>
        <v>80.5</v>
      </c>
      <c r="AW720" s="2" t="str">
        <f>VLOOKUP([jobnumber],OvalData[],MATCH(Table2[[#Headers],[Outer Spring Gage]],Table2[#Headers],0),0)</f>
        <v>Null</v>
      </c>
      <c r="AX720" s="2" t="str">
        <f>VLOOKUP([jobnumber],OvalData[],MATCH(Table2[[#Headers],[Outer Spring OD]],Table2[#Headers],0),0)</f>
        <v>Null</v>
      </c>
      <c r="AY720" s="2" t="str">
        <f>VLOOKUP([jobnumber],OvalData[],MATCH(Table2[[#Headers],[Outer Spring Length]],Table2[#Headers],0),0)</f>
        <v>Null</v>
      </c>
      <c r="AZ720" s="2" t="str">
        <f>VLOOKUP([jobnumber],OvalData[],MATCH(Table2[[#Headers],[Outer Spring Stretch]],Table2[#Headers],0),0)</f>
        <v>Null</v>
      </c>
      <c r="BA720" s="2" t="str">
        <f>VLOOKUP([jobnumber],OvalData[],MATCH(Table2[[#Headers],[Outer Spring Torque]],Table2[#Headers],0),0)</f>
        <v>Null</v>
      </c>
      <c r="BB720" s="2" t="str">
        <f>VLOOKUP([jobnumber],OvalData[],MATCH(Table2[[#Headers],[Outer Spring Max Turns]],Table2[#Headers],0),0)</f>
        <v>Null</v>
      </c>
      <c r="BC720" s="2" t="str">
        <f>VLOOKUP([jobnumber],OvalData[],MATCH(Table2[[#Headers],[Outer Spring Weight]],Table2[#Headers],0),0)</f>
        <v>Null</v>
      </c>
      <c r="BD720" s="2" t="str">
        <f>VLOOKUP([jobnumber],OvalData[],MATCH(Table2[[#Headers],[Inner Spring Gage]],Table2[#Headers],0),0)</f>
        <v>Null</v>
      </c>
      <c r="BE720" s="2" t="str">
        <f>VLOOKUP([jobnumber],OvalData[],MATCH(Table2[[#Headers],[Inner Spring OD]],Table2[#Headers],0),0)</f>
        <v>Null</v>
      </c>
      <c r="BF720" s="2" t="str">
        <f>VLOOKUP([jobnumber],OvalData[],MATCH(Table2[[#Headers],[Inner Spring Length]],Table2[#Headers],0),0)</f>
        <v>Null</v>
      </c>
      <c r="BG720" s="2" t="str">
        <f>VLOOKUP([jobnumber],OvalData[],MATCH(Table2[[#Headers],[Inner Spring Stretch]],Table2[#Headers],0),0)</f>
        <v>Null</v>
      </c>
      <c r="BH720" s="2" t="str">
        <f>VLOOKUP([jobnumber],OvalData[],MATCH(Table2[[#Headers],[Inner Spring Torque]],Table2[#Headers],0),0)</f>
        <v>Null</v>
      </c>
      <c r="BI720" s="2" t="str">
        <f>VLOOKUP([jobnumber],OvalData[],MATCH(Table2[[#Headers],[Inner Spring Max Turns]],Table2[#Headers],0),0)</f>
        <v>Null</v>
      </c>
      <c r="BJ720" s="2" t="str">
        <f>VLOOKUP([jobnumber],OvalData[],MATCH(Table2[[#Headers],[Inner Spring Weight]],Table2[#Headers],0),0)</f>
        <v>Null</v>
      </c>
      <c r="BK720" s="2">
        <f>VLOOKUP([jobnumber],OvalData[],MATCH(Table2[[#Headers],[Cycles]],Table2[#Headers],0),0)</f>
        <v>0</v>
      </c>
      <c r="BL720" s="2">
        <f>VLOOKUP([jobnumber],OvalData[],MATCH(Table2[[#Headers],[Total Spring Torque]],Table2[#Headers],0),0)</f>
        <v>0</v>
      </c>
      <c r="BM720" s="2">
        <f>VLOOKUP([jobnumber],OvalData[],MATCH(Table2[[#Headers],[Total Spring Weight]],Table2[#Headers],0),0)</f>
        <v>0</v>
      </c>
      <c r="BN720" s="2">
        <f>VLOOKUP([jobnumber],OvalData[],MATCH(Table2[[#Headers],[Pipe Weight]],Table2[#Headers],0),0)</f>
        <v>688.24239999999998</v>
      </c>
      <c r="BO720" s="2">
        <f>VLOOKUP([jobnumber],OvalData[],MATCH(Table2[[#Headers],[Max Pipe Deflection]],Table2[#Headers],0),0)</f>
        <v>2309</v>
      </c>
      <c r="BP720" s="2">
        <f>VLOOKUP([jobnumber],OvalData[],MATCH(Table2[[#Headers],[Number Non-Insulated Wrap Slats]],Table2[#Headers],0),0)</f>
        <v>0</v>
      </c>
      <c r="BQ720" s="2">
        <f>VLOOKUP([jobnumber],OvalData[],MATCH(Table2[[#Headers],[Number of Insolated Top Slats]],Table2[#Headers],0),0)</f>
        <v>45</v>
      </c>
      <c r="BR720" s="2">
        <f>VLOOKUP([jobnumber],OvalData[],MATCH(Table2[[#Headers],[Insolated Total Slats]],Table2[#Headers],0),0)</f>
        <v>45</v>
      </c>
      <c r="BS720" s="2">
        <f>VLOOKUP([jobnumber],OvalData[],MATCH(Table2[[#Headers],[Number of Slats]],Table2[#Headers],0),0)</f>
        <v>44.69</v>
      </c>
      <c r="BT720" s="2">
        <f>VLOOKUP([jobnumber],OvalData[],MATCH(Table2[[#Headers],[Wrap]],Table2[#Headers],0),0)</f>
        <v>0</v>
      </c>
      <c r="BU720" s="2">
        <f>VLOOKUP([jobnumber],OvalData[],MATCH(Table2[[#Headers],[Wall Angle Thickness]],Table2[#Headers],0),0)</f>
        <v>0</v>
      </c>
      <c r="BV720" s="2">
        <f>VLOOKUP([jobnumber],OvalData[],MATCH(Table2[[#Headers],[windlocks]],Table2[#Headers],0),0)</f>
        <v>0</v>
      </c>
      <c r="BW720" s="2" t="str">
        <f>VLOOKUP([jobnumber],OvalData[],MATCH(Table2[[#Headers],[bottombartype]],Table2[#Headers],0),0)</f>
        <v>SPECIAL</v>
      </c>
      <c r="BX720" s="2">
        <f>VLOOKUP([jobnumber],OvalData[],MATCH(Table2[[#Headers],[endlockweight]],Table2[#Headers],0),0)</f>
        <v>0.17</v>
      </c>
      <c r="BY720" s="2">
        <f>VLOOKUP([jobnumber],OvalData[],MATCH(Table2[[#Headers],[Endlock Total Weight]],Table2[#Headers],0),0)</f>
        <v>7.5972999999999997</v>
      </c>
      <c r="BZ720" s="2">
        <f>VLOOKUP([jobnumber],OvalData[],MATCH(Table2[[#Headers],[Grille Weight]],Table2[#Headers],0),0)</f>
        <v>0</v>
      </c>
      <c r="CA720" s="2">
        <f>VLOOKUP([jobnumber],OvalData[],MATCH(Table2[[#Headers],[barrelrings]],Table2[#Headers],0),0)</f>
        <v>1</v>
      </c>
    </row>
    <row r="721" spans="2:79">
      <c r="B721" s="2" t="str">
        <f>VLOOKUP([jobnumber],OvalData[],MATCH(Table2[[#Headers],[Hand]],Table2[#Headers],0),0)</f>
        <v>RH</v>
      </c>
      <c r="C721" s="2" t="str">
        <f>VLOOKUP([jobnumber],OvalData[],MATCH(Table2[[#Headers],[Model]],Table2[#Headers],0),0)</f>
        <v>SFMPP</v>
      </c>
      <c r="D721" s="2" t="str">
        <f>VLOOKUP([jobnumber],OvalData[],MATCH(Table2[[#Headers],[width]],Table2[#Headers],0),0)</f>
        <v xml:space="preserve"> 18 ft.- 2"</v>
      </c>
      <c r="E721" s="2" t="str">
        <f>VLOOKUP([jobnumber],OvalData[],MATCH(Table2[[#Headers],[stopheight]],Table2[#Headers],0),0)</f>
        <v xml:space="preserve"> 10 ft.- 0"</v>
      </c>
      <c r="F721" s="2" t="str">
        <f>VLOOKUP([jobnumber],OvalData[],MATCH(Table2[[#Headers],[Between Brackets]],Table2[#Headers],0),0)</f>
        <v xml:space="preserve"> 18 ft.- 7 7/ 8"</v>
      </c>
      <c r="G721" s="2" t="str">
        <f>VLOOKUP([jobnumber],OvalData[],MATCH(Table2[[#Headers],[shell]],Table2[#Headers],0),0)</f>
        <v>6 INCH TUBE</v>
      </c>
      <c r="H721" s="2" t="str">
        <f>VLOOKUP([jobnumber],OvalData[],MATCH(Table2[[#Headers],[pipewidth]],Table2[#Headers],0),0)</f>
        <v xml:space="preserve"> 18 ft.- 1 3/ 8"</v>
      </c>
      <c r="I721" s="2">
        <f>VLOOKUP([jobnumber],OvalData[],MATCH(Table2[[#Headers],[Support Tubes]],Table2[#Headers],0),0)</f>
        <v>0</v>
      </c>
      <c r="J721" s="2">
        <f>VLOOKUP([jobnumber],OvalData[],MATCH(Table2[[#Headers],[Upset]],Table2[#Headers],0),0)</f>
        <v>2</v>
      </c>
      <c r="K721" s="2" t="str">
        <f>VLOOKUP([jobnumber],OvalData[],MATCH(Table2[[#Headers],[Guide Type]],Table2[#Headers],0),0)</f>
        <v>SN2-4 5/8-E</v>
      </c>
      <c r="L721" s="2" t="str">
        <f>VLOOKUP([jobnumber],OvalData[],MATCH(Table2[[#Headers],[Wall Angle]],Table2[#Headers],0),0)</f>
        <v xml:space="preserve"> 11 ft.- 8"</v>
      </c>
      <c r="M721" s="2" t="str">
        <f>VLOOKUP([jobnumber],OvalData[],MATCH(Table2[[#Headers],[Middle Angle]],Table2[#Headers],0),0)</f>
        <v xml:space="preserve"> 10 ft.- 4 1/ 2"</v>
      </c>
      <c r="N721" s="2" t="str">
        <f>VLOOKUP([jobnumber],OvalData[],MATCH(Table2[[#Headers],[Front Angle]],Table2[#Headers],0),0)</f>
        <v xml:space="preserve"> 10 ft.- 3"</v>
      </c>
      <c r="O721" s="2">
        <f>VLOOKUP([jobnumber],OvalData[],MATCH(Table2[[#Headers],[Pipe Center Line]],Table2[#Headers],0),0)</f>
        <v>131</v>
      </c>
      <c r="P721" s="2">
        <f>VLOOKUP([jobnumber],OvalData[],MATCH(Table2[[#Headers],[Heat Expansion Gap]],Table2[#Headers],0),0)</f>
        <v>0</v>
      </c>
      <c r="Q721" s="2">
        <f>VLOOKUP([jobnumber],OvalData[],MATCH(Table2[[#Headers],[Hanging Weight Closed]],Table2[#Headers],0),0)</f>
        <v>795</v>
      </c>
      <c r="R721" s="2">
        <f>VLOOKUP([jobnumber],OvalData[],MATCH(Table2[[#Headers],[Hanging Weight Open]],Table2[#Headers],0),0)</f>
        <v>140</v>
      </c>
      <c r="S721" s="2">
        <f>VLOOKUP([jobnumber],OvalData[],MATCH(Table2[[#Headers],[Initial Lever Arm]],Table2[#Headers],0),0)</f>
        <v>4.25</v>
      </c>
      <c r="T721" s="2">
        <f>VLOOKUP([jobnumber],OvalData[],MATCH(Table2[[#Headers],[Turns to Raise]],Table2[#Headers],0),0)</f>
        <v>3.5859999999999999</v>
      </c>
      <c r="U721" s="2">
        <f>VLOOKUP([jobnumber],OvalData[],MATCH(Table2[[#Headers],[Final Lever Arm]],Table2[#Headers],0),0)</f>
        <v>6.37</v>
      </c>
      <c r="V721" s="2">
        <f>VLOOKUP([jobnumber],OvalData[],MATCH(Table2[[#Headers],[Torque Required Closed]],Table2[#Headers],0),0)</f>
        <v>3377.9</v>
      </c>
      <c r="W721" s="2">
        <f>VLOOKUP([jobnumber],OvalData[],MATCH(Table2[[#Headers],[Torque Required Open]],Table2[#Headers],0),0)</f>
        <v>892</v>
      </c>
      <c r="X721" s="2">
        <f>VLOOKUP([jobnumber],OvalData[],MATCH(Table2[[#Headers],[Pre Turns]],Table2[#Headers],0),0)</f>
        <v>1.3332999999999999</v>
      </c>
      <c r="Y721" s="2">
        <f>VLOOKUP([jobnumber],OvalData[],MATCH(Table2[[#Headers],[Required Torque Per Turn]],Table2[#Headers],0),0)</f>
        <v>688</v>
      </c>
      <c r="Z721" s="2">
        <f>VLOOKUP([jobnumber],OvalData[],MATCH(Table2[[#Headers],[Total Turns]],Table2[#Headers],0),0)</f>
        <v>4.91</v>
      </c>
      <c r="AA721" s="2">
        <f>VLOOKUP([jobnumber],OvalData[],MATCH(Table2[[#Headers],[Grille Vision Section]],Table2[#Headers],0),0)</f>
        <v>0</v>
      </c>
      <c r="AB721" s="2">
        <f>VLOOKUP([jobnumber],OvalData[],MATCH(Table2[[#Headers],[Grille Amount]],Table2[#Headers],0),0)</f>
        <v>0</v>
      </c>
      <c r="AC721" s="2">
        <f>VLOOKUP([jobnumber],OvalData[],MATCH(Table2[[#Headers],[Grille Center]],Table2[#Headers],0),0)</f>
        <v>0</v>
      </c>
      <c r="AD721" s="2">
        <f>VLOOKUP([jobnumber],OvalData[],MATCH(Table2[[#Headers],[Grille Pattern]],Table2[#Headers],0),0)</f>
        <v>0</v>
      </c>
      <c r="AE721" s="2">
        <f>VLOOKUP([jobnumber],OvalData[],MATCH(Table2[[#Headers],[Grille First Tube]],Table2[#Headers],0),0)</f>
        <v>0</v>
      </c>
      <c r="AF721" s="2">
        <f>VLOOKUP([jobnumber],OvalData[],MATCH(Table2[[#Headers],[Grille Standard Tube]],Table2[#Headers],0),0)</f>
        <v>0</v>
      </c>
      <c r="AG721" s="2">
        <f>VLOOKUP([jobnumber],OvalData[],MATCH(Table2[[#Headers],[Grille Total Links]],Table2[#Headers],0),0)</f>
        <v>0</v>
      </c>
      <c r="AH721" s="2">
        <f>VLOOKUP([jobnumber],OvalData[],MATCH(Table2[[#Headers],[Grille Rods]],Table2[#Headers],0),0)</f>
        <v>0</v>
      </c>
      <c r="AI721" s="2">
        <f>VLOOKUP([jobnumber],OvalData[],MATCH(Table2[[#Headers],[Grille Rod Length]],Table2[#Headers],0),0)</f>
        <v>0</v>
      </c>
      <c r="AJ721" s="2">
        <f>VLOOKUP([jobnumber],OvalData[],MATCH(Table2[[#Headers],[slattype]],Table2[#Headers],0),0)</f>
        <v>2</v>
      </c>
      <c r="AK721" s="2">
        <f>VLOOKUP([jobnumber],OvalData[],MATCH(Table2[[#Headers],[slatgage]],Table2[#Headers],0),0)</f>
        <v>18</v>
      </c>
      <c r="AL721" s="2">
        <f>VLOOKUP([jobnumber],OvalData[],MATCH(Table2[[#Headers],[Numer of Top Slats]],Table2[#Headers],0),0)</f>
        <v>0</v>
      </c>
      <c r="AM721" s="2">
        <f>VLOOKUP([jobnumber],OvalData[],MATCH(Table2[[#Headers],[Number of Bottom Slats]],Table2[#Headers],0),0)</f>
        <v>0</v>
      </c>
      <c r="AN721" s="2">
        <f>VLOOKUP([jobnumber],OvalData[],MATCH(Table2[[#Headers],[Solid Bottom Height]],Table2[#Headers],0),0)</f>
        <v>0</v>
      </c>
      <c r="AO721" s="2" t="str">
        <f>VLOOKUP([jobnumber],OvalData[],MATCH(Table2[[#Headers],[slatlength]],Table2[#Headers],0),0)</f>
        <v xml:space="preserve"> 18 ft.- 5 7/ 8"</v>
      </c>
      <c r="AP721" s="2">
        <f>VLOOKUP([jobnumber],OvalData[],MATCH(Table2[[#Headers],[Bottom Slat Length]],Table2[#Headers],0),0)</f>
        <v>0</v>
      </c>
      <c r="AQ721" s="2">
        <f>VLOOKUP([jobnumber],OvalData[],MATCH(Table2[[#Headers],[Number of Perferated Slats]],Table2[#Headers],0),0)</f>
        <v>0</v>
      </c>
      <c r="AR721" s="2">
        <f>VLOOKUP([jobnumber],OvalData[],MATCH(Table2[[#Headers],[First Preferated Slat From End]],Table2[#Headers],0),0)</f>
        <v>0</v>
      </c>
      <c r="AS721" s="2">
        <f>VLOOKUP([jobnumber],OvalData[],MATCH(Table2[[#Headers],[First Preferated Slat From Bottom]],Table2[#Headers],0),0)</f>
        <v>0</v>
      </c>
      <c r="AT721" s="2">
        <f>VLOOKUP([jobnumber],OvalData[],MATCH(Table2[[#Headers],[Total Number of Slats]],Table2[#Headers],0),0)</f>
        <v>51</v>
      </c>
      <c r="AU721" s="2">
        <f>VLOOKUP([jobnumber],OvalData[],MATCH(Table2[[#Headers],[Bottom Bar Slope]],Table2[#Headers],0),0)</f>
        <v>0</v>
      </c>
      <c r="AV721" s="2">
        <f>VLOOKUP([jobnumber],OvalData[],MATCH(Table2[[#Headers],[Bottom Bar Weight]],Table2[#Headers],0),0)</f>
        <v>80.5</v>
      </c>
      <c r="AW721" s="2" t="str">
        <f>VLOOKUP([jobnumber],OvalData[],MATCH(Table2[[#Headers],[Outer Spring Gage]],Table2[#Headers],0),0)</f>
        <v>Null</v>
      </c>
      <c r="AX721" s="2" t="str">
        <f>VLOOKUP([jobnumber],OvalData[],MATCH(Table2[[#Headers],[Outer Spring OD]],Table2[#Headers],0),0)</f>
        <v>Null</v>
      </c>
      <c r="AY721" s="2" t="str">
        <f>VLOOKUP([jobnumber],OvalData[],MATCH(Table2[[#Headers],[Outer Spring Length]],Table2[#Headers],0),0)</f>
        <v>Null</v>
      </c>
      <c r="AZ721" s="2" t="str">
        <f>VLOOKUP([jobnumber],OvalData[],MATCH(Table2[[#Headers],[Outer Spring Stretch]],Table2[#Headers],0),0)</f>
        <v>Null</v>
      </c>
      <c r="BA721" s="2" t="str">
        <f>VLOOKUP([jobnumber],OvalData[],MATCH(Table2[[#Headers],[Outer Spring Torque]],Table2[#Headers],0),0)</f>
        <v>Null</v>
      </c>
      <c r="BB721" s="2" t="str">
        <f>VLOOKUP([jobnumber],OvalData[],MATCH(Table2[[#Headers],[Outer Spring Max Turns]],Table2[#Headers],0),0)</f>
        <v>Null</v>
      </c>
      <c r="BC721" s="2" t="str">
        <f>VLOOKUP([jobnumber],OvalData[],MATCH(Table2[[#Headers],[Outer Spring Weight]],Table2[#Headers],0),0)</f>
        <v>Null</v>
      </c>
      <c r="BD721" s="2" t="str">
        <f>VLOOKUP([jobnumber],OvalData[],MATCH(Table2[[#Headers],[Inner Spring Gage]],Table2[#Headers],0),0)</f>
        <v>Null</v>
      </c>
      <c r="BE721" s="2" t="str">
        <f>VLOOKUP([jobnumber],OvalData[],MATCH(Table2[[#Headers],[Inner Spring OD]],Table2[#Headers],0),0)</f>
        <v>Null</v>
      </c>
      <c r="BF721" s="2" t="str">
        <f>VLOOKUP([jobnumber],OvalData[],MATCH(Table2[[#Headers],[Inner Spring Length]],Table2[#Headers],0),0)</f>
        <v>Null</v>
      </c>
      <c r="BG721" s="2" t="str">
        <f>VLOOKUP([jobnumber],OvalData[],MATCH(Table2[[#Headers],[Inner Spring Stretch]],Table2[#Headers],0),0)</f>
        <v>Null</v>
      </c>
      <c r="BH721" s="2" t="str">
        <f>VLOOKUP([jobnumber],OvalData[],MATCH(Table2[[#Headers],[Inner Spring Torque]],Table2[#Headers],0),0)</f>
        <v>Null</v>
      </c>
      <c r="BI721" s="2" t="str">
        <f>VLOOKUP([jobnumber],OvalData[],MATCH(Table2[[#Headers],[Inner Spring Max Turns]],Table2[#Headers],0),0)</f>
        <v>Null</v>
      </c>
      <c r="BJ721" s="2" t="str">
        <f>VLOOKUP([jobnumber],OvalData[],MATCH(Table2[[#Headers],[Inner Spring Weight]],Table2[#Headers],0),0)</f>
        <v>Null</v>
      </c>
      <c r="BK721" s="2">
        <f>VLOOKUP([jobnumber],OvalData[],MATCH(Table2[[#Headers],[Cycles]],Table2[#Headers],0),0)</f>
        <v>0</v>
      </c>
      <c r="BL721" s="2">
        <f>VLOOKUP([jobnumber],OvalData[],MATCH(Table2[[#Headers],[Total Spring Torque]],Table2[#Headers],0),0)</f>
        <v>0</v>
      </c>
      <c r="BM721" s="2">
        <f>VLOOKUP([jobnumber],OvalData[],MATCH(Table2[[#Headers],[Total Spring Weight]],Table2[#Headers],0),0)</f>
        <v>0</v>
      </c>
      <c r="BN721" s="2">
        <f>VLOOKUP([jobnumber],OvalData[],MATCH(Table2[[#Headers],[Pipe Weight]],Table2[#Headers],0),0)</f>
        <v>688.24239999999998</v>
      </c>
      <c r="BO721" s="2">
        <f>VLOOKUP([jobnumber],OvalData[],MATCH(Table2[[#Headers],[Max Pipe Deflection]],Table2[#Headers],0),0)</f>
        <v>2309</v>
      </c>
      <c r="BP721" s="2">
        <f>VLOOKUP([jobnumber],OvalData[],MATCH(Table2[[#Headers],[Number Non-Insulated Wrap Slats]],Table2[#Headers],0),0)</f>
        <v>0</v>
      </c>
      <c r="BQ721" s="2">
        <f>VLOOKUP([jobnumber],OvalData[],MATCH(Table2[[#Headers],[Number of Insolated Top Slats]],Table2[#Headers],0),0)</f>
        <v>45</v>
      </c>
      <c r="BR721" s="2">
        <f>VLOOKUP([jobnumber],OvalData[],MATCH(Table2[[#Headers],[Insolated Total Slats]],Table2[#Headers],0),0)</f>
        <v>45</v>
      </c>
      <c r="BS721" s="2">
        <f>VLOOKUP([jobnumber],OvalData[],MATCH(Table2[[#Headers],[Number of Slats]],Table2[#Headers],0),0)</f>
        <v>44.69</v>
      </c>
      <c r="BT721" s="2">
        <f>VLOOKUP([jobnumber],OvalData[],MATCH(Table2[[#Headers],[Wrap]],Table2[#Headers],0),0)</f>
        <v>0</v>
      </c>
      <c r="BU721" s="2">
        <f>VLOOKUP([jobnumber],OvalData[],MATCH(Table2[[#Headers],[Wall Angle Thickness]],Table2[#Headers],0),0)</f>
        <v>0</v>
      </c>
      <c r="BV721" s="2">
        <f>VLOOKUP([jobnumber],OvalData[],MATCH(Table2[[#Headers],[windlocks]],Table2[#Headers],0),0)</f>
        <v>0</v>
      </c>
      <c r="BW721" s="2" t="str">
        <f>VLOOKUP([jobnumber],OvalData[],MATCH(Table2[[#Headers],[bottombartype]],Table2[#Headers],0),0)</f>
        <v>SPECIAL</v>
      </c>
      <c r="BX721" s="2">
        <f>VLOOKUP([jobnumber],OvalData[],MATCH(Table2[[#Headers],[endlockweight]],Table2[#Headers],0),0)</f>
        <v>0.17</v>
      </c>
      <c r="BY721" s="2">
        <f>VLOOKUP([jobnumber],OvalData[],MATCH(Table2[[#Headers],[Endlock Total Weight]],Table2[#Headers],0),0)</f>
        <v>7.5972999999999997</v>
      </c>
      <c r="BZ721" s="2">
        <f>VLOOKUP([jobnumber],OvalData[],MATCH(Table2[[#Headers],[Grille Weight]],Table2[#Headers],0),0)</f>
        <v>0</v>
      </c>
      <c r="CA721" s="2">
        <f>VLOOKUP([jobnumber],OvalData[],MATCH(Table2[[#Headers],[barrelrings]],Table2[#Headers],0),0)</f>
        <v>1</v>
      </c>
    </row>
    <row r="722" spans="2:79">
      <c r="B722" s="2" t="str">
        <f>VLOOKUP([jobnumber],OvalData[],MATCH(Table2[[#Headers],[Hand]],Table2[#Headers],0),0)</f>
        <v>RH</v>
      </c>
      <c r="C722" s="2" t="str">
        <f>VLOOKUP([jobnumber],OvalData[],MATCH(Table2[[#Headers],[Model]],Table2[#Headers],0),0)</f>
        <v>SFMPP</v>
      </c>
      <c r="D722" s="2" t="str">
        <f>VLOOKUP([jobnumber],OvalData[],MATCH(Table2[[#Headers],[width]],Table2[#Headers],0),0)</f>
        <v xml:space="preserve"> 18 ft.- 2"</v>
      </c>
      <c r="E722" s="2" t="str">
        <f>VLOOKUP([jobnumber],OvalData[],MATCH(Table2[[#Headers],[stopheight]],Table2[#Headers],0),0)</f>
        <v xml:space="preserve"> 10 ft.- 0"</v>
      </c>
      <c r="F722" s="2" t="str">
        <f>VLOOKUP([jobnumber],OvalData[],MATCH(Table2[[#Headers],[Between Brackets]],Table2[#Headers],0),0)</f>
        <v xml:space="preserve"> 18 ft.- 7 7/ 8"</v>
      </c>
      <c r="G722" s="2" t="str">
        <f>VLOOKUP([jobnumber],OvalData[],MATCH(Table2[[#Headers],[shell]],Table2[#Headers],0),0)</f>
        <v>6 INCH TUBE</v>
      </c>
      <c r="H722" s="2" t="str">
        <f>VLOOKUP([jobnumber],OvalData[],MATCH(Table2[[#Headers],[pipewidth]],Table2[#Headers],0),0)</f>
        <v xml:space="preserve"> 18 ft.- 1 3/ 8"</v>
      </c>
      <c r="I722" s="2">
        <f>VLOOKUP([jobnumber],OvalData[],MATCH(Table2[[#Headers],[Support Tubes]],Table2[#Headers],0),0)</f>
        <v>0</v>
      </c>
      <c r="J722" s="2">
        <f>VLOOKUP([jobnumber],OvalData[],MATCH(Table2[[#Headers],[Upset]],Table2[#Headers],0),0)</f>
        <v>2</v>
      </c>
      <c r="K722" s="2" t="str">
        <f>VLOOKUP([jobnumber],OvalData[],MATCH(Table2[[#Headers],[Guide Type]],Table2[#Headers],0),0)</f>
        <v>SN2-4 5/8-E</v>
      </c>
      <c r="L722" s="2" t="str">
        <f>VLOOKUP([jobnumber],OvalData[],MATCH(Table2[[#Headers],[Wall Angle]],Table2[#Headers],0),0)</f>
        <v xml:space="preserve"> 11 ft.- 8"</v>
      </c>
      <c r="M722" s="2" t="str">
        <f>VLOOKUP([jobnumber],OvalData[],MATCH(Table2[[#Headers],[Middle Angle]],Table2[#Headers],0),0)</f>
        <v xml:space="preserve"> 10 ft.- 4 1/ 2"</v>
      </c>
      <c r="N722" s="2" t="str">
        <f>VLOOKUP([jobnumber],OvalData[],MATCH(Table2[[#Headers],[Front Angle]],Table2[#Headers],0),0)</f>
        <v xml:space="preserve"> 10 ft.- 3"</v>
      </c>
      <c r="O722" s="2">
        <f>VLOOKUP([jobnumber],OvalData[],MATCH(Table2[[#Headers],[Pipe Center Line]],Table2[#Headers],0),0)</f>
        <v>131</v>
      </c>
      <c r="P722" s="2">
        <f>VLOOKUP([jobnumber],OvalData[],MATCH(Table2[[#Headers],[Heat Expansion Gap]],Table2[#Headers],0),0)</f>
        <v>0</v>
      </c>
      <c r="Q722" s="2">
        <f>VLOOKUP([jobnumber],OvalData[],MATCH(Table2[[#Headers],[Hanging Weight Closed]],Table2[#Headers],0),0)</f>
        <v>795</v>
      </c>
      <c r="R722" s="2">
        <f>VLOOKUP([jobnumber],OvalData[],MATCH(Table2[[#Headers],[Hanging Weight Open]],Table2[#Headers],0),0)</f>
        <v>140</v>
      </c>
      <c r="S722" s="2">
        <f>VLOOKUP([jobnumber],OvalData[],MATCH(Table2[[#Headers],[Initial Lever Arm]],Table2[#Headers],0),0)</f>
        <v>4.25</v>
      </c>
      <c r="T722" s="2">
        <f>VLOOKUP([jobnumber],OvalData[],MATCH(Table2[[#Headers],[Turns to Raise]],Table2[#Headers],0),0)</f>
        <v>3.5859999999999999</v>
      </c>
      <c r="U722" s="2">
        <f>VLOOKUP([jobnumber],OvalData[],MATCH(Table2[[#Headers],[Final Lever Arm]],Table2[#Headers],0),0)</f>
        <v>6.37</v>
      </c>
      <c r="V722" s="2">
        <f>VLOOKUP([jobnumber],OvalData[],MATCH(Table2[[#Headers],[Torque Required Closed]],Table2[#Headers],0),0)</f>
        <v>3377.9</v>
      </c>
      <c r="W722" s="2">
        <f>VLOOKUP([jobnumber],OvalData[],MATCH(Table2[[#Headers],[Torque Required Open]],Table2[#Headers],0),0)</f>
        <v>892</v>
      </c>
      <c r="X722" s="2">
        <f>VLOOKUP([jobnumber],OvalData[],MATCH(Table2[[#Headers],[Pre Turns]],Table2[#Headers],0),0)</f>
        <v>1.3332999999999999</v>
      </c>
      <c r="Y722" s="2">
        <f>VLOOKUP([jobnumber],OvalData[],MATCH(Table2[[#Headers],[Required Torque Per Turn]],Table2[#Headers],0),0)</f>
        <v>688</v>
      </c>
      <c r="Z722" s="2">
        <f>VLOOKUP([jobnumber],OvalData[],MATCH(Table2[[#Headers],[Total Turns]],Table2[#Headers],0),0)</f>
        <v>4.91</v>
      </c>
      <c r="AA722" s="2">
        <f>VLOOKUP([jobnumber],OvalData[],MATCH(Table2[[#Headers],[Grille Vision Section]],Table2[#Headers],0),0)</f>
        <v>0</v>
      </c>
      <c r="AB722" s="2">
        <f>VLOOKUP([jobnumber],OvalData[],MATCH(Table2[[#Headers],[Grille Amount]],Table2[#Headers],0),0)</f>
        <v>0</v>
      </c>
      <c r="AC722" s="2">
        <f>VLOOKUP([jobnumber],OvalData[],MATCH(Table2[[#Headers],[Grille Center]],Table2[#Headers],0),0)</f>
        <v>0</v>
      </c>
      <c r="AD722" s="2">
        <f>VLOOKUP([jobnumber],OvalData[],MATCH(Table2[[#Headers],[Grille Pattern]],Table2[#Headers],0),0)</f>
        <v>0</v>
      </c>
      <c r="AE722" s="2">
        <f>VLOOKUP([jobnumber],OvalData[],MATCH(Table2[[#Headers],[Grille First Tube]],Table2[#Headers],0),0)</f>
        <v>0</v>
      </c>
      <c r="AF722" s="2">
        <f>VLOOKUP([jobnumber],OvalData[],MATCH(Table2[[#Headers],[Grille Standard Tube]],Table2[#Headers],0),0)</f>
        <v>0</v>
      </c>
      <c r="AG722" s="2">
        <f>VLOOKUP([jobnumber],OvalData[],MATCH(Table2[[#Headers],[Grille Total Links]],Table2[#Headers],0),0)</f>
        <v>0</v>
      </c>
      <c r="AH722" s="2">
        <f>VLOOKUP([jobnumber],OvalData[],MATCH(Table2[[#Headers],[Grille Rods]],Table2[#Headers],0),0)</f>
        <v>0</v>
      </c>
      <c r="AI722" s="2">
        <f>VLOOKUP([jobnumber],OvalData[],MATCH(Table2[[#Headers],[Grille Rod Length]],Table2[#Headers],0),0)</f>
        <v>0</v>
      </c>
      <c r="AJ722" s="2">
        <f>VLOOKUP([jobnumber],OvalData[],MATCH(Table2[[#Headers],[slattype]],Table2[#Headers],0),0)</f>
        <v>2</v>
      </c>
      <c r="AK722" s="2">
        <f>VLOOKUP([jobnumber],OvalData[],MATCH(Table2[[#Headers],[slatgage]],Table2[#Headers],0),0)</f>
        <v>18</v>
      </c>
      <c r="AL722" s="2">
        <f>VLOOKUP([jobnumber],OvalData[],MATCH(Table2[[#Headers],[Numer of Top Slats]],Table2[#Headers],0),0)</f>
        <v>0</v>
      </c>
      <c r="AM722" s="2">
        <f>VLOOKUP([jobnumber],OvalData[],MATCH(Table2[[#Headers],[Number of Bottom Slats]],Table2[#Headers],0),0)</f>
        <v>0</v>
      </c>
      <c r="AN722" s="2">
        <f>VLOOKUP([jobnumber],OvalData[],MATCH(Table2[[#Headers],[Solid Bottom Height]],Table2[#Headers],0),0)</f>
        <v>0</v>
      </c>
      <c r="AO722" s="2" t="str">
        <f>VLOOKUP([jobnumber],OvalData[],MATCH(Table2[[#Headers],[slatlength]],Table2[#Headers],0),0)</f>
        <v xml:space="preserve"> 18 ft.- 5 7/ 8"</v>
      </c>
      <c r="AP722" s="2">
        <f>VLOOKUP([jobnumber],OvalData[],MATCH(Table2[[#Headers],[Bottom Slat Length]],Table2[#Headers],0),0)</f>
        <v>0</v>
      </c>
      <c r="AQ722" s="2">
        <f>VLOOKUP([jobnumber],OvalData[],MATCH(Table2[[#Headers],[Number of Perferated Slats]],Table2[#Headers],0),0)</f>
        <v>0</v>
      </c>
      <c r="AR722" s="2">
        <f>VLOOKUP([jobnumber],OvalData[],MATCH(Table2[[#Headers],[First Preferated Slat From End]],Table2[#Headers],0),0)</f>
        <v>0</v>
      </c>
      <c r="AS722" s="2">
        <f>VLOOKUP([jobnumber],OvalData[],MATCH(Table2[[#Headers],[First Preferated Slat From Bottom]],Table2[#Headers],0),0)</f>
        <v>0</v>
      </c>
      <c r="AT722" s="2">
        <f>VLOOKUP([jobnumber],OvalData[],MATCH(Table2[[#Headers],[Total Number of Slats]],Table2[#Headers],0),0)</f>
        <v>51</v>
      </c>
      <c r="AU722" s="2">
        <f>VLOOKUP([jobnumber],OvalData[],MATCH(Table2[[#Headers],[Bottom Bar Slope]],Table2[#Headers],0),0)</f>
        <v>0</v>
      </c>
      <c r="AV722" s="2">
        <f>VLOOKUP([jobnumber],OvalData[],MATCH(Table2[[#Headers],[Bottom Bar Weight]],Table2[#Headers],0),0)</f>
        <v>80.5</v>
      </c>
      <c r="AW722" s="2" t="str">
        <f>VLOOKUP([jobnumber],OvalData[],MATCH(Table2[[#Headers],[Outer Spring Gage]],Table2[#Headers],0),0)</f>
        <v>Null</v>
      </c>
      <c r="AX722" s="2" t="str">
        <f>VLOOKUP([jobnumber],OvalData[],MATCH(Table2[[#Headers],[Outer Spring OD]],Table2[#Headers],0),0)</f>
        <v>Null</v>
      </c>
      <c r="AY722" s="2" t="str">
        <f>VLOOKUP([jobnumber],OvalData[],MATCH(Table2[[#Headers],[Outer Spring Length]],Table2[#Headers],0),0)</f>
        <v>Null</v>
      </c>
      <c r="AZ722" s="2" t="str">
        <f>VLOOKUP([jobnumber],OvalData[],MATCH(Table2[[#Headers],[Outer Spring Stretch]],Table2[#Headers],0),0)</f>
        <v>Null</v>
      </c>
      <c r="BA722" s="2" t="str">
        <f>VLOOKUP([jobnumber],OvalData[],MATCH(Table2[[#Headers],[Outer Spring Torque]],Table2[#Headers],0),0)</f>
        <v>Null</v>
      </c>
      <c r="BB722" s="2" t="str">
        <f>VLOOKUP([jobnumber],OvalData[],MATCH(Table2[[#Headers],[Outer Spring Max Turns]],Table2[#Headers],0),0)</f>
        <v>Null</v>
      </c>
      <c r="BC722" s="2" t="str">
        <f>VLOOKUP([jobnumber],OvalData[],MATCH(Table2[[#Headers],[Outer Spring Weight]],Table2[#Headers],0),0)</f>
        <v>Null</v>
      </c>
      <c r="BD722" s="2" t="str">
        <f>VLOOKUP([jobnumber],OvalData[],MATCH(Table2[[#Headers],[Inner Spring Gage]],Table2[#Headers],0),0)</f>
        <v>Null</v>
      </c>
      <c r="BE722" s="2" t="str">
        <f>VLOOKUP([jobnumber],OvalData[],MATCH(Table2[[#Headers],[Inner Spring OD]],Table2[#Headers],0),0)</f>
        <v>Null</v>
      </c>
      <c r="BF722" s="2" t="str">
        <f>VLOOKUP([jobnumber],OvalData[],MATCH(Table2[[#Headers],[Inner Spring Length]],Table2[#Headers],0),0)</f>
        <v>Null</v>
      </c>
      <c r="BG722" s="2" t="str">
        <f>VLOOKUP([jobnumber],OvalData[],MATCH(Table2[[#Headers],[Inner Spring Stretch]],Table2[#Headers],0),0)</f>
        <v>Null</v>
      </c>
      <c r="BH722" s="2" t="str">
        <f>VLOOKUP([jobnumber],OvalData[],MATCH(Table2[[#Headers],[Inner Spring Torque]],Table2[#Headers],0),0)</f>
        <v>Null</v>
      </c>
      <c r="BI722" s="2" t="str">
        <f>VLOOKUP([jobnumber],OvalData[],MATCH(Table2[[#Headers],[Inner Spring Max Turns]],Table2[#Headers],0),0)</f>
        <v>Null</v>
      </c>
      <c r="BJ722" s="2" t="str">
        <f>VLOOKUP([jobnumber],OvalData[],MATCH(Table2[[#Headers],[Inner Spring Weight]],Table2[#Headers],0),0)</f>
        <v>Null</v>
      </c>
      <c r="BK722" s="2">
        <f>VLOOKUP([jobnumber],OvalData[],MATCH(Table2[[#Headers],[Cycles]],Table2[#Headers],0),0)</f>
        <v>0</v>
      </c>
      <c r="BL722" s="2">
        <f>VLOOKUP([jobnumber],OvalData[],MATCH(Table2[[#Headers],[Total Spring Torque]],Table2[#Headers],0),0)</f>
        <v>0</v>
      </c>
      <c r="BM722" s="2">
        <f>VLOOKUP([jobnumber],OvalData[],MATCH(Table2[[#Headers],[Total Spring Weight]],Table2[#Headers],0),0)</f>
        <v>0</v>
      </c>
      <c r="BN722" s="2">
        <f>VLOOKUP([jobnumber],OvalData[],MATCH(Table2[[#Headers],[Pipe Weight]],Table2[#Headers],0),0)</f>
        <v>688.24239999999998</v>
      </c>
      <c r="BO722" s="2">
        <f>VLOOKUP([jobnumber],OvalData[],MATCH(Table2[[#Headers],[Max Pipe Deflection]],Table2[#Headers],0),0)</f>
        <v>2309</v>
      </c>
      <c r="BP722" s="2">
        <f>VLOOKUP([jobnumber],OvalData[],MATCH(Table2[[#Headers],[Number Non-Insulated Wrap Slats]],Table2[#Headers],0),0)</f>
        <v>0</v>
      </c>
      <c r="BQ722" s="2">
        <f>VLOOKUP([jobnumber],OvalData[],MATCH(Table2[[#Headers],[Number of Insolated Top Slats]],Table2[#Headers],0),0)</f>
        <v>45</v>
      </c>
      <c r="BR722" s="2">
        <f>VLOOKUP([jobnumber],OvalData[],MATCH(Table2[[#Headers],[Insolated Total Slats]],Table2[#Headers],0),0)</f>
        <v>45</v>
      </c>
      <c r="BS722" s="2">
        <f>VLOOKUP([jobnumber],OvalData[],MATCH(Table2[[#Headers],[Number of Slats]],Table2[#Headers],0),0)</f>
        <v>44.69</v>
      </c>
      <c r="BT722" s="2">
        <f>VLOOKUP([jobnumber],OvalData[],MATCH(Table2[[#Headers],[Wrap]],Table2[#Headers],0),0)</f>
        <v>0</v>
      </c>
      <c r="BU722" s="2">
        <f>VLOOKUP([jobnumber],OvalData[],MATCH(Table2[[#Headers],[Wall Angle Thickness]],Table2[#Headers],0),0)</f>
        <v>0</v>
      </c>
      <c r="BV722" s="2">
        <f>VLOOKUP([jobnumber],OvalData[],MATCH(Table2[[#Headers],[windlocks]],Table2[#Headers],0),0)</f>
        <v>0</v>
      </c>
      <c r="BW722" s="2" t="str">
        <f>VLOOKUP([jobnumber],OvalData[],MATCH(Table2[[#Headers],[bottombartype]],Table2[#Headers],0),0)</f>
        <v>SPECIAL</v>
      </c>
      <c r="BX722" s="2">
        <f>VLOOKUP([jobnumber],OvalData[],MATCH(Table2[[#Headers],[endlockweight]],Table2[#Headers],0),0)</f>
        <v>0.17</v>
      </c>
      <c r="BY722" s="2">
        <f>VLOOKUP([jobnumber],OvalData[],MATCH(Table2[[#Headers],[Endlock Total Weight]],Table2[#Headers],0),0)</f>
        <v>7.5972999999999997</v>
      </c>
      <c r="BZ722" s="2">
        <f>VLOOKUP([jobnumber],OvalData[],MATCH(Table2[[#Headers],[Grille Weight]],Table2[#Headers],0),0)</f>
        <v>0</v>
      </c>
      <c r="CA722" s="2">
        <f>VLOOKUP([jobnumber],OvalData[],MATCH(Table2[[#Headers],[barrelrings]],Table2[#Headers],0),0)</f>
        <v>1</v>
      </c>
    </row>
    <row r="723" spans="2:79">
      <c r="B723" s="2" t="str">
        <f>VLOOKUP([jobnumber],OvalData[],MATCH(Table2[[#Headers],[Hand]],Table2[#Headers],0),0)</f>
        <v>RH</v>
      </c>
      <c r="C723" s="2" t="str">
        <f>VLOOKUP([jobnumber],OvalData[],MATCH(Table2[[#Headers],[Model]],Table2[#Headers],0),0)</f>
        <v>SFMPP</v>
      </c>
      <c r="D723" s="2" t="str">
        <f>VLOOKUP([jobnumber],OvalData[],MATCH(Table2[[#Headers],[width]],Table2[#Headers],0),0)</f>
        <v xml:space="preserve"> 18 ft.- 2"</v>
      </c>
      <c r="E723" s="2" t="str">
        <f>VLOOKUP([jobnumber],OvalData[],MATCH(Table2[[#Headers],[stopheight]],Table2[#Headers],0),0)</f>
        <v xml:space="preserve"> 10 ft.- 0"</v>
      </c>
      <c r="F723" s="2" t="str">
        <f>VLOOKUP([jobnumber],OvalData[],MATCH(Table2[[#Headers],[Between Brackets]],Table2[#Headers],0),0)</f>
        <v xml:space="preserve"> 18 ft.- 7 7/ 8"</v>
      </c>
      <c r="G723" s="2" t="str">
        <f>VLOOKUP([jobnumber],OvalData[],MATCH(Table2[[#Headers],[shell]],Table2[#Headers],0),0)</f>
        <v>6 INCH TUBE</v>
      </c>
      <c r="H723" s="2" t="str">
        <f>VLOOKUP([jobnumber],OvalData[],MATCH(Table2[[#Headers],[pipewidth]],Table2[#Headers],0),0)</f>
        <v xml:space="preserve"> 18 ft.- 1 3/ 8"</v>
      </c>
      <c r="I723" s="2">
        <f>VLOOKUP([jobnumber],OvalData[],MATCH(Table2[[#Headers],[Support Tubes]],Table2[#Headers],0),0)</f>
        <v>0</v>
      </c>
      <c r="J723" s="2">
        <f>VLOOKUP([jobnumber],OvalData[],MATCH(Table2[[#Headers],[Upset]],Table2[#Headers],0),0)</f>
        <v>2</v>
      </c>
      <c r="K723" s="2" t="str">
        <f>VLOOKUP([jobnumber],OvalData[],MATCH(Table2[[#Headers],[Guide Type]],Table2[#Headers],0),0)</f>
        <v>SN2-4 5/8-E</v>
      </c>
      <c r="L723" s="2" t="str">
        <f>VLOOKUP([jobnumber],OvalData[],MATCH(Table2[[#Headers],[Wall Angle]],Table2[#Headers],0),0)</f>
        <v xml:space="preserve"> 11 ft.- 8"</v>
      </c>
      <c r="M723" s="2" t="str">
        <f>VLOOKUP([jobnumber],OvalData[],MATCH(Table2[[#Headers],[Middle Angle]],Table2[#Headers],0),0)</f>
        <v xml:space="preserve"> 10 ft.- 4 1/ 2"</v>
      </c>
      <c r="N723" s="2" t="str">
        <f>VLOOKUP([jobnumber],OvalData[],MATCH(Table2[[#Headers],[Front Angle]],Table2[#Headers],0),0)</f>
        <v xml:space="preserve"> 10 ft.- 3"</v>
      </c>
      <c r="O723" s="2">
        <f>VLOOKUP([jobnumber],OvalData[],MATCH(Table2[[#Headers],[Pipe Center Line]],Table2[#Headers],0),0)</f>
        <v>131</v>
      </c>
      <c r="P723" s="2">
        <f>VLOOKUP([jobnumber],OvalData[],MATCH(Table2[[#Headers],[Heat Expansion Gap]],Table2[#Headers],0),0)</f>
        <v>0</v>
      </c>
      <c r="Q723" s="2">
        <f>VLOOKUP([jobnumber],OvalData[],MATCH(Table2[[#Headers],[Hanging Weight Closed]],Table2[#Headers],0),0)</f>
        <v>795</v>
      </c>
      <c r="R723" s="2">
        <f>VLOOKUP([jobnumber],OvalData[],MATCH(Table2[[#Headers],[Hanging Weight Open]],Table2[#Headers],0),0)</f>
        <v>140</v>
      </c>
      <c r="S723" s="2">
        <f>VLOOKUP([jobnumber],OvalData[],MATCH(Table2[[#Headers],[Initial Lever Arm]],Table2[#Headers],0),0)</f>
        <v>4.25</v>
      </c>
      <c r="T723" s="2">
        <f>VLOOKUP([jobnumber],OvalData[],MATCH(Table2[[#Headers],[Turns to Raise]],Table2[#Headers],0),0)</f>
        <v>3.5859999999999999</v>
      </c>
      <c r="U723" s="2">
        <f>VLOOKUP([jobnumber],OvalData[],MATCH(Table2[[#Headers],[Final Lever Arm]],Table2[#Headers],0),0)</f>
        <v>6.37</v>
      </c>
      <c r="V723" s="2">
        <f>VLOOKUP([jobnumber],OvalData[],MATCH(Table2[[#Headers],[Torque Required Closed]],Table2[#Headers],0),0)</f>
        <v>3377.9</v>
      </c>
      <c r="W723" s="2">
        <f>VLOOKUP([jobnumber],OvalData[],MATCH(Table2[[#Headers],[Torque Required Open]],Table2[#Headers],0),0)</f>
        <v>892</v>
      </c>
      <c r="X723" s="2">
        <f>VLOOKUP([jobnumber],OvalData[],MATCH(Table2[[#Headers],[Pre Turns]],Table2[#Headers],0),0)</f>
        <v>1.3332999999999999</v>
      </c>
      <c r="Y723" s="2">
        <f>VLOOKUP([jobnumber],OvalData[],MATCH(Table2[[#Headers],[Required Torque Per Turn]],Table2[#Headers],0),0)</f>
        <v>688</v>
      </c>
      <c r="Z723" s="2">
        <f>VLOOKUP([jobnumber],OvalData[],MATCH(Table2[[#Headers],[Total Turns]],Table2[#Headers],0),0)</f>
        <v>4.91</v>
      </c>
      <c r="AA723" s="2">
        <f>VLOOKUP([jobnumber],OvalData[],MATCH(Table2[[#Headers],[Grille Vision Section]],Table2[#Headers],0),0)</f>
        <v>0</v>
      </c>
      <c r="AB723" s="2">
        <f>VLOOKUP([jobnumber],OvalData[],MATCH(Table2[[#Headers],[Grille Amount]],Table2[#Headers],0),0)</f>
        <v>0</v>
      </c>
      <c r="AC723" s="2">
        <f>VLOOKUP([jobnumber],OvalData[],MATCH(Table2[[#Headers],[Grille Center]],Table2[#Headers],0),0)</f>
        <v>0</v>
      </c>
      <c r="AD723" s="2">
        <f>VLOOKUP([jobnumber],OvalData[],MATCH(Table2[[#Headers],[Grille Pattern]],Table2[#Headers],0),0)</f>
        <v>0</v>
      </c>
      <c r="AE723" s="2">
        <f>VLOOKUP([jobnumber],OvalData[],MATCH(Table2[[#Headers],[Grille First Tube]],Table2[#Headers],0),0)</f>
        <v>0</v>
      </c>
      <c r="AF723" s="2">
        <f>VLOOKUP([jobnumber],OvalData[],MATCH(Table2[[#Headers],[Grille Standard Tube]],Table2[#Headers],0),0)</f>
        <v>0</v>
      </c>
      <c r="AG723" s="2">
        <f>VLOOKUP([jobnumber],OvalData[],MATCH(Table2[[#Headers],[Grille Total Links]],Table2[#Headers],0),0)</f>
        <v>0</v>
      </c>
      <c r="AH723" s="2">
        <f>VLOOKUP([jobnumber],OvalData[],MATCH(Table2[[#Headers],[Grille Rods]],Table2[#Headers],0),0)</f>
        <v>0</v>
      </c>
      <c r="AI723" s="2">
        <f>VLOOKUP([jobnumber],OvalData[],MATCH(Table2[[#Headers],[Grille Rod Length]],Table2[#Headers],0),0)</f>
        <v>0</v>
      </c>
      <c r="AJ723" s="2">
        <f>VLOOKUP([jobnumber],OvalData[],MATCH(Table2[[#Headers],[slattype]],Table2[#Headers],0),0)</f>
        <v>2</v>
      </c>
      <c r="AK723" s="2">
        <f>VLOOKUP([jobnumber],OvalData[],MATCH(Table2[[#Headers],[slatgage]],Table2[#Headers],0),0)</f>
        <v>18</v>
      </c>
      <c r="AL723" s="2">
        <f>VLOOKUP([jobnumber],OvalData[],MATCH(Table2[[#Headers],[Numer of Top Slats]],Table2[#Headers],0),0)</f>
        <v>0</v>
      </c>
      <c r="AM723" s="2">
        <f>VLOOKUP([jobnumber],OvalData[],MATCH(Table2[[#Headers],[Number of Bottom Slats]],Table2[#Headers],0),0)</f>
        <v>0</v>
      </c>
      <c r="AN723" s="2">
        <f>VLOOKUP([jobnumber],OvalData[],MATCH(Table2[[#Headers],[Solid Bottom Height]],Table2[#Headers],0),0)</f>
        <v>0</v>
      </c>
      <c r="AO723" s="2" t="str">
        <f>VLOOKUP([jobnumber],OvalData[],MATCH(Table2[[#Headers],[slatlength]],Table2[#Headers],0),0)</f>
        <v xml:space="preserve"> 18 ft.- 5 7/ 8"</v>
      </c>
      <c r="AP723" s="2">
        <f>VLOOKUP([jobnumber],OvalData[],MATCH(Table2[[#Headers],[Bottom Slat Length]],Table2[#Headers],0),0)</f>
        <v>0</v>
      </c>
      <c r="AQ723" s="2">
        <f>VLOOKUP([jobnumber],OvalData[],MATCH(Table2[[#Headers],[Number of Perferated Slats]],Table2[#Headers],0),0)</f>
        <v>0</v>
      </c>
      <c r="AR723" s="2">
        <f>VLOOKUP([jobnumber],OvalData[],MATCH(Table2[[#Headers],[First Preferated Slat From End]],Table2[#Headers],0),0)</f>
        <v>0</v>
      </c>
      <c r="AS723" s="2">
        <f>VLOOKUP([jobnumber],OvalData[],MATCH(Table2[[#Headers],[First Preferated Slat From Bottom]],Table2[#Headers],0),0)</f>
        <v>0</v>
      </c>
      <c r="AT723" s="2">
        <f>VLOOKUP([jobnumber],OvalData[],MATCH(Table2[[#Headers],[Total Number of Slats]],Table2[#Headers],0),0)</f>
        <v>51</v>
      </c>
      <c r="AU723" s="2">
        <f>VLOOKUP([jobnumber],OvalData[],MATCH(Table2[[#Headers],[Bottom Bar Slope]],Table2[#Headers],0),0)</f>
        <v>0</v>
      </c>
      <c r="AV723" s="2">
        <f>VLOOKUP([jobnumber],OvalData[],MATCH(Table2[[#Headers],[Bottom Bar Weight]],Table2[#Headers],0),0)</f>
        <v>80.5</v>
      </c>
      <c r="AW723" s="2" t="str">
        <f>VLOOKUP([jobnumber],OvalData[],MATCH(Table2[[#Headers],[Outer Spring Gage]],Table2[#Headers],0),0)</f>
        <v>Null</v>
      </c>
      <c r="AX723" s="2" t="str">
        <f>VLOOKUP([jobnumber],OvalData[],MATCH(Table2[[#Headers],[Outer Spring OD]],Table2[#Headers],0),0)</f>
        <v>Null</v>
      </c>
      <c r="AY723" s="2" t="str">
        <f>VLOOKUP([jobnumber],OvalData[],MATCH(Table2[[#Headers],[Outer Spring Length]],Table2[#Headers],0),0)</f>
        <v>Null</v>
      </c>
      <c r="AZ723" s="2" t="str">
        <f>VLOOKUP([jobnumber],OvalData[],MATCH(Table2[[#Headers],[Outer Spring Stretch]],Table2[#Headers],0),0)</f>
        <v>Null</v>
      </c>
      <c r="BA723" s="2" t="str">
        <f>VLOOKUP([jobnumber],OvalData[],MATCH(Table2[[#Headers],[Outer Spring Torque]],Table2[#Headers],0),0)</f>
        <v>Null</v>
      </c>
      <c r="BB723" s="2" t="str">
        <f>VLOOKUP([jobnumber],OvalData[],MATCH(Table2[[#Headers],[Outer Spring Max Turns]],Table2[#Headers],0),0)</f>
        <v>Null</v>
      </c>
      <c r="BC723" s="2" t="str">
        <f>VLOOKUP([jobnumber],OvalData[],MATCH(Table2[[#Headers],[Outer Spring Weight]],Table2[#Headers],0),0)</f>
        <v>Null</v>
      </c>
      <c r="BD723" s="2" t="str">
        <f>VLOOKUP([jobnumber],OvalData[],MATCH(Table2[[#Headers],[Inner Spring Gage]],Table2[#Headers],0),0)</f>
        <v>Null</v>
      </c>
      <c r="BE723" s="2" t="str">
        <f>VLOOKUP([jobnumber],OvalData[],MATCH(Table2[[#Headers],[Inner Spring OD]],Table2[#Headers],0),0)</f>
        <v>Null</v>
      </c>
      <c r="BF723" s="2" t="str">
        <f>VLOOKUP([jobnumber],OvalData[],MATCH(Table2[[#Headers],[Inner Spring Length]],Table2[#Headers],0),0)</f>
        <v>Null</v>
      </c>
      <c r="BG723" s="2" t="str">
        <f>VLOOKUP([jobnumber],OvalData[],MATCH(Table2[[#Headers],[Inner Spring Stretch]],Table2[#Headers],0),0)</f>
        <v>Null</v>
      </c>
      <c r="BH723" s="2" t="str">
        <f>VLOOKUP([jobnumber],OvalData[],MATCH(Table2[[#Headers],[Inner Spring Torque]],Table2[#Headers],0),0)</f>
        <v>Null</v>
      </c>
      <c r="BI723" s="2" t="str">
        <f>VLOOKUP([jobnumber],OvalData[],MATCH(Table2[[#Headers],[Inner Spring Max Turns]],Table2[#Headers],0),0)</f>
        <v>Null</v>
      </c>
      <c r="BJ723" s="2" t="str">
        <f>VLOOKUP([jobnumber],OvalData[],MATCH(Table2[[#Headers],[Inner Spring Weight]],Table2[#Headers],0),0)</f>
        <v>Null</v>
      </c>
      <c r="BK723" s="2">
        <f>VLOOKUP([jobnumber],OvalData[],MATCH(Table2[[#Headers],[Cycles]],Table2[#Headers],0),0)</f>
        <v>0</v>
      </c>
      <c r="BL723" s="2">
        <f>VLOOKUP([jobnumber],OvalData[],MATCH(Table2[[#Headers],[Total Spring Torque]],Table2[#Headers],0),0)</f>
        <v>0</v>
      </c>
      <c r="BM723" s="2">
        <f>VLOOKUP([jobnumber],OvalData[],MATCH(Table2[[#Headers],[Total Spring Weight]],Table2[#Headers],0),0)</f>
        <v>0</v>
      </c>
      <c r="BN723" s="2">
        <f>VLOOKUP([jobnumber],OvalData[],MATCH(Table2[[#Headers],[Pipe Weight]],Table2[#Headers],0),0)</f>
        <v>688.24239999999998</v>
      </c>
      <c r="BO723" s="2">
        <f>VLOOKUP([jobnumber],OvalData[],MATCH(Table2[[#Headers],[Max Pipe Deflection]],Table2[#Headers],0),0)</f>
        <v>2309</v>
      </c>
      <c r="BP723" s="2">
        <f>VLOOKUP([jobnumber],OvalData[],MATCH(Table2[[#Headers],[Number Non-Insulated Wrap Slats]],Table2[#Headers],0),0)</f>
        <v>0</v>
      </c>
      <c r="BQ723" s="2">
        <f>VLOOKUP([jobnumber],OvalData[],MATCH(Table2[[#Headers],[Number of Insolated Top Slats]],Table2[#Headers],0),0)</f>
        <v>45</v>
      </c>
      <c r="BR723" s="2">
        <f>VLOOKUP([jobnumber],OvalData[],MATCH(Table2[[#Headers],[Insolated Total Slats]],Table2[#Headers],0),0)</f>
        <v>45</v>
      </c>
      <c r="BS723" s="2">
        <f>VLOOKUP([jobnumber],OvalData[],MATCH(Table2[[#Headers],[Number of Slats]],Table2[#Headers],0),0)</f>
        <v>44.69</v>
      </c>
      <c r="BT723" s="2">
        <f>VLOOKUP([jobnumber],OvalData[],MATCH(Table2[[#Headers],[Wrap]],Table2[#Headers],0),0)</f>
        <v>0</v>
      </c>
      <c r="BU723" s="2">
        <f>VLOOKUP([jobnumber],OvalData[],MATCH(Table2[[#Headers],[Wall Angle Thickness]],Table2[#Headers],0),0)</f>
        <v>0</v>
      </c>
      <c r="BV723" s="2">
        <f>VLOOKUP([jobnumber],OvalData[],MATCH(Table2[[#Headers],[windlocks]],Table2[#Headers],0),0)</f>
        <v>0</v>
      </c>
      <c r="BW723" s="2" t="str">
        <f>VLOOKUP([jobnumber],OvalData[],MATCH(Table2[[#Headers],[bottombartype]],Table2[#Headers],0),0)</f>
        <v>SPECIAL</v>
      </c>
      <c r="BX723" s="2">
        <f>VLOOKUP([jobnumber],OvalData[],MATCH(Table2[[#Headers],[endlockweight]],Table2[#Headers],0),0)</f>
        <v>0.17</v>
      </c>
      <c r="BY723" s="2">
        <f>VLOOKUP([jobnumber],OvalData[],MATCH(Table2[[#Headers],[Endlock Total Weight]],Table2[#Headers],0),0)</f>
        <v>7.5972999999999997</v>
      </c>
      <c r="BZ723" s="2">
        <f>VLOOKUP([jobnumber],OvalData[],MATCH(Table2[[#Headers],[Grille Weight]],Table2[#Headers],0),0)</f>
        <v>0</v>
      </c>
      <c r="CA723" s="2">
        <f>VLOOKUP([jobnumber],OvalData[],MATCH(Table2[[#Headers],[barrelrings]],Table2[#Headers],0),0)</f>
        <v>1</v>
      </c>
    </row>
    <row r="724" spans="2:79">
      <c r="B724" s="2" t="str">
        <f>VLOOKUP([jobnumber],OvalData[],MATCH(Table2[[#Headers],[Hand]],Table2[#Headers],0),0)</f>
        <v>RH</v>
      </c>
      <c r="C724" s="2" t="str">
        <f>VLOOKUP([jobnumber],OvalData[],MATCH(Table2[[#Headers],[Model]],Table2[#Headers],0),0)</f>
        <v>SFMPP</v>
      </c>
      <c r="D724" s="2" t="str">
        <f>VLOOKUP([jobnumber],OvalData[],MATCH(Table2[[#Headers],[width]],Table2[#Headers],0),0)</f>
        <v xml:space="preserve"> 18 ft.- 2"</v>
      </c>
      <c r="E724" s="2" t="str">
        <f>VLOOKUP([jobnumber],OvalData[],MATCH(Table2[[#Headers],[stopheight]],Table2[#Headers],0),0)</f>
        <v xml:space="preserve"> 10 ft.- 0"</v>
      </c>
      <c r="F724" s="2" t="str">
        <f>VLOOKUP([jobnumber],OvalData[],MATCH(Table2[[#Headers],[Between Brackets]],Table2[#Headers],0),0)</f>
        <v xml:space="preserve"> 18 ft.- 7 7/ 8"</v>
      </c>
      <c r="G724" s="2" t="str">
        <f>VLOOKUP([jobnumber],OvalData[],MATCH(Table2[[#Headers],[shell]],Table2[#Headers],0),0)</f>
        <v>6 INCH TUBE</v>
      </c>
      <c r="H724" s="2" t="str">
        <f>VLOOKUP([jobnumber],OvalData[],MATCH(Table2[[#Headers],[pipewidth]],Table2[#Headers],0),0)</f>
        <v xml:space="preserve"> 18 ft.- 1 3/ 8"</v>
      </c>
      <c r="I724" s="2">
        <f>VLOOKUP([jobnumber],OvalData[],MATCH(Table2[[#Headers],[Support Tubes]],Table2[#Headers],0),0)</f>
        <v>0</v>
      </c>
      <c r="J724" s="2">
        <f>VLOOKUP([jobnumber],OvalData[],MATCH(Table2[[#Headers],[Upset]],Table2[#Headers],0),0)</f>
        <v>2</v>
      </c>
      <c r="K724" s="2" t="str">
        <f>VLOOKUP([jobnumber],OvalData[],MATCH(Table2[[#Headers],[Guide Type]],Table2[#Headers],0),0)</f>
        <v>SN2-4 5/8-E</v>
      </c>
      <c r="L724" s="2" t="str">
        <f>VLOOKUP([jobnumber],OvalData[],MATCH(Table2[[#Headers],[Wall Angle]],Table2[#Headers],0),0)</f>
        <v xml:space="preserve"> 11 ft.- 8"</v>
      </c>
      <c r="M724" s="2" t="str">
        <f>VLOOKUP([jobnumber],OvalData[],MATCH(Table2[[#Headers],[Middle Angle]],Table2[#Headers],0),0)</f>
        <v xml:space="preserve"> 10 ft.- 4 1/ 2"</v>
      </c>
      <c r="N724" s="2" t="str">
        <f>VLOOKUP([jobnumber],OvalData[],MATCH(Table2[[#Headers],[Front Angle]],Table2[#Headers],0),0)</f>
        <v xml:space="preserve"> 10 ft.- 3"</v>
      </c>
      <c r="O724" s="2">
        <f>VLOOKUP([jobnumber],OvalData[],MATCH(Table2[[#Headers],[Pipe Center Line]],Table2[#Headers],0),0)</f>
        <v>131</v>
      </c>
      <c r="P724" s="2">
        <f>VLOOKUP([jobnumber],OvalData[],MATCH(Table2[[#Headers],[Heat Expansion Gap]],Table2[#Headers],0),0)</f>
        <v>0</v>
      </c>
      <c r="Q724" s="2">
        <f>VLOOKUP([jobnumber],OvalData[],MATCH(Table2[[#Headers],[Hanging Weight Closed]],Table2[#Headers],0),0)</f>
        <v>795</v>
      </c>
      <c r="R724" s="2">
        <f>VLOOKUP([jobnumber],OvalData[],MATCH(Table2[[#Headers],[Hanging Weight Open]],Table2[#Headers],0),0)</f>
        <v>140</v>
      </c>
      <c r="S724" s="2">
        <f>VLOOKUP([jobnumber],OvalData[],MATCH(Table2[[#Headers],[Initial Lever Arm]],Table2[#Headers],0),0)</f>
        <v>4.25</v>
      </c>
      <c r="T724" s="2">
        <f>VLOOKUP([jobnumber],OvalData[],MATCH(Table2[[#Headers],[Turns to Raise]],Table2[#Headers],0),0)</f>
        <v>3.5859999999999999</v>
      </c>
      <c r="U724" s="2">
        <f>VLOOKUP([jobnumber],OvalData[],MATCH(Table2[[#Headers],[Final Lever Arm]],Table2[#Headers],0),0)</f>
        <v>6.37</v>
      </c>
      <c r="V724" s="2">
        <f>VLOOKUP([jobnumber],OvalData[],MATCH(Table2[[#Headers],[Torque Required Closed]],Table2[#Headers],0),0)</f>
        <v>3377.9</v>
      </c>
      <c r="W724" s="2">
        <f>VLOOKUP([jobnumber],OvalData[],MATCH(Table2[[#Headers],[Torque Required Open]],Table2[#Headers],0),0)</f>
        <v>892</v>
      </c>
      <c r="X724" s="2">
        <f>VLOOKUP([jobnumber],OvalData[],MATCH(Table2[[#Headers],[Pre Turns]],Table2[#Headers],0),0)</f>
        <v>1.3332999999999999</v>
      </c>
      <c r="Y724" s="2">
        <f>VLOOKUP([jobnumber],OvalData[],MATCH(Table2[[#Headers],[Required Torque Per Turn]],Table2[#Headers],0),0)</f>
        <v>688</v>
      </c>
      <c r="Z724" s="2">
        <f>VLOOKUP([jobnumber],OvalData[],MATCH(Table2[[#Headers],[Total Turns]],Table2[#Headers],0),0)</f>
        <v>4.91</v>
      </c>
      <c r="AA724" s="2">
        <f>VLOOKUP([jobnumber],OvalData[],MATCH(Table2[[#Headers],[Grille Vision Section]],Table2[#Headers],0),0)</f>
        <v>0</v>
      </c>
      <c r="AB724" s="2">
        <f>VLOOKUP([jobnumber],OvalData[],MATCH(Table2[[#Headers],[Grille Amount]],Table2[#Headers],0),0)</f>
        <v>0</v>
      </c>
      <c r="AC724" s="2">
        <f>VLOOKUP([jobnumber],OvalData[],MATCH(Table2[[#Headers],[Grille Center]],Table2[#Headers],0),0)</f>
        <v>0</v>
      </c>
      <c r="AD724" s="2">
        <f>VLOOKUP([jobnumber],OvalData[],MATCH(Table2[[#Headers],[Grille Pattern]],Table2[#Headers],0),0)</f>
        <v>0</v>
      </c>
      <c r="AE724" s="2">
        <f>VLOOKUP([jobnumber],OvalData[],MATCH(Table2[[#Headers],[Grille First Tube]],Table2[#Headers],0),0)</f>
        <v>0</v>
      </c>
      <c r="AF724" s="2">
        <f>VLOOKUP([jobnumber],OvalData[],MATCH(Table2[[#Headers],[Grille Standard Tube]],Table2[#Headers],0),0)</f>
        <v>0</v>
      </c>
      <c r="AG724" s="2">
        <f>VLOOKUP([jobnumber],OvalData[],MATCH(Table2[[#Headers],[Grille Total Links]],Table2[#Headers],0),0)</f>
        <v>0</v>
      </c>
      <c r="AH724" s="2">
        <f>VLOOKUP([jobnumber],OvalData[],MATCH(Table2[[#Headers],[Grille Rods]],Table2[#Headers],0),0)</f>
        <v>0</v>
      </c>
      <c r="AI724" s="2">
        <f>VLOOKUP([jobnumber],OvalData[],MATCH(Table2[[#Headers],[Grille Rod Length]],Table2[#Headers],0),0)</f>
        <v>0</v>
      </c>
      <c r="AJ724" s="2">
        <f>VLOOKUP([jobnumber],OvalData[],MATCH(Table2[[#Headers],[slattype]],Table2[#Headers],0),0)</f>
        <v>2</v>
      </c>
      <c r="AK724" s="2">
        <f>VLOOKUP([jobnumber],OvalData[],MATCH(Table2[[#Headers],[slatgage]],Table2[#Headers],0),0)</f>
        <v>18</v>
      </c>
      <c r="AL724" s="2">
        <f>VLOOKUP([jobnumber],OvalData[],MATCH(Table2[[#Headers],[Numer of Top Slats]],Table2[#Headers],0),0)</f>
        <v>0</v>
      </c>
      <c r="AM724" s="2">
        <f>VLOOKUP([jobnumber],OvalData[],MATCH(Table2[[#Headers],[Number of Bottom Slats]],Table2[#Headers],0),0)</f>
        <v>0</v>
      </c>
      <c r="AN724" s="2">
        <f>VLOOKUP([jobnumber],OvalData[],MATCH(Table2[[#Headers],[Solid Bottom Height]],Table2[#Headers],0),0)</f>
        <v>0</v>
      </c>
      <c r="AO724" s="2" t="str">
        <f>VLOOKUP([jobnumber],OvalData[],MATCH(Table2[[#Headers],[slatlength]],Table2[#Headers],0),0)</f>
        <v xml:space="preserve"> 18 ft.- 5 7/ 8"</v>
      </c>
      <c r="AP724" s="2">
        <f>VLOOKUP([jobnumber],OvalData[],MATCH(Table2[[#Headers],[Bottom Slat Length]],Table2[#Headers],0),0)</f>
        <v>0</v>
      </c>
      <c r="AQ724" s="2">
        <f>VLOOKUP([jobnumber],OvalData[],MATCH(Table2[[#Headers],[Number of Perferated Slats]],Table2[#Headers],0),0)</f>
        <v>0</v>
      </c>
      <c r="AR724" s="2">
        <f>VLOOKUP([jobnumber],OvalData[],MATCH(Table2[[#Headers],[First Preferated Slat From End]],Table2[#Headers],0),0)</f>
        <v>0</v>
      </c>
      <c r="AS724" s="2">
        <f>VLOOKUP([jobnumber],OvalData[],MATCH(Table2[[#Headers],[First Preferated Slat From Bottom]],Table2[#Headers],0),0)</f>
        <v>0</v>
      </c>
      <c r="AT724" s="2">
        <f>VLOOKUP([jobnumber],OvalData[],MATCH(Table2[[#Headers],[Total Number of Slats]],Table2[#Headers],0),0)</f>
        <v>51</v>
      </c>
      <c r="AU724" s="2">
        <f>VLOOKUP([jobnumber],OvalData[],MATCH(Table2[[#Headers],[Bottom Bar Slope]],Table2[#Headers],0),0)</f>
        <v>0</v>
      </c>
      <c r="AV724" s="2">
        <f>VLOOKUP([jobnumber],OvalData[],MATCH(Table2[[#Headers],[Bottom Bar Weight]],Table2[#Headers],0),0)</f>
        <v>80.5</v>
      </c>
      <c r="AW724" s="2" t="str">
        <f>VLOOKUP([jobnumber],OvalData[],MATCH(Table2[[#Headers],[Outer Spring Gage]],Table2[#Headers],0),0)</f>
        <v>Null</v>
      </c>
      <c r="AX724" s="2" t="str">
        <f>VLOOKUP([jobnumber],OvalData[],MATCH(Table2[[#Headers],[Outer Spring OD]],Table2[#Headers],0),0)</f>
        <v>Null</v>
      </c>
      <c r="AY724" s="2" t="str">
        <f>VLOOKUP([jobnumber],OvalData[],MATCH(Table2[[#Headers],[Outer Spring Length]],Table2[#Headers],0),0)</f>
        <v>Null</v>
      </c>
      <c r="AZ724" s="2" t="str">
        <f>VLOOKUP([jobnumber],OvalData[],MATCH(Table2[[#Headers],[Outer Spring Stretch]],Table2[#Headers],0),0)</f>
        <v>Null</v>
      </c>
      <c r="BA724" s="2" t="str">
        <f>VLOOKUP([jobnumber],OvalData[],MATCH(Table2[[#Headers],[Outer Spring Torque]],Table2[#Headers],0),0)</f>
        <v>Null</v>
      </c>
      <c r="BB724" s="2" t="str">
        <f>VLOOKUP([jobnumber],OvalData[],MATCH(Table2[[#Headers],[Outer Spring Max Turns]],Table2[#Headers],0),0)</f>
        <v>Null</v>
      </c>
      <c r="BC724" s="2" t="str">
        <f>VLOOKUP([jobnumber],OvalData[],MATCH(Table2[[#Headers],[Outer Spring Weight]],Table2[#Headers],0),0)</f>
        <v>Null</v>
      </c>
      <c r="BD724" s="2" t="str">
        <f>VLOOKUP([jobnumber],OvalData[],MATCH(Table2[[#Headers],[Inner Spring Gage]],Table2[#Headers],0),0)</f>
        <v>Null</v>
      </c>
      <c r="BE724" s="2" t="str">
        <f>VLOOKUP([jobnumber],OvalData[],MATCH(Table2[[#Headers],[Inner Spring OD]],Table2[#Headers],0),0)</f>
        <v>Null</v>
      </c>
      <c r="BF724" s="2" t="str">
        <f>VLOOKUP([jobnumber],OvalData[],MATCH(Table2[[#Headers],[Inner Spring Length]],Table2[#Headers],0),0)</f>
        <v>Null</v>
      </c>
      <c r="BG724" s="2" t="str">
        <f>VLOOKUP([jobnumber],OvalData[],MATCH(Table2[[#Headers],[Inner Spring Stretch]],Table2[#Headers],0),0)</f>
        <v>Null</v>
      </c>
      <c r="BH724" s="2" t="str">
        <f>VLOOKUP([jobnumber],OvalData[],MATCH(Table2[[#Headers],[Inner Spring Torque]],Table2[#Headers],0),0)</f>
        <v>Null</v>
      </c>
      <c r="BI724" s="2" t="str">
        <f>VLOOKUP([jobnumber],OvalData[],MATCH(Table2[[#Headers],[Inner Spring Max Turns]],Table2[#Headers],0),0)</f>
        <v>Null</v>
      </c>
      <c r="BJ724" s="2" t="str">
        <f>VLOOKUP([jobnumber],OvalData[],MATCH(Table2[[#Headers],[Inner Spring Weight]],Table2[#Headers],0),0)</f>
        <v>Null</v>
      </c>
      <c r="BK724" s="2">
        <f>VLOOKUP([jobnumber],OvalData[],MATCH(Table2[[#Headers],[Cycles]],Table2[#Headers],0),0)</f>
        <v>0</v>
      </c>
      <c r="BL724" s="2">
        <f>VLOOKUP([jobnumber],OvalData[],MATCH(Table2[[#Headers],[Total Spring Torque]],Table2[#Headers],0),0)</f>
        <v>0</v>
      </c>
      <c r="BM724" s="2">
        <f>VLOOKUP([jobnumber],OvalData[],MATCH(Table2[[#Headers],[Total Spring Weight]],Table2[#Headers],0),0)</f>
        <v>0</v>
      </c>
      <c r="BN724" s="2">
        <f>VLOOKUP([jobnumber],OvalData[],MATCH(Table2[[#Headers],[Pipe Weight]],Table2[#Headers],0),0)</f>
        <v>688.24239999999998</v>
      </c>
      <c r="BO724" s="2">
        <f>VLOOKUP([jobnumber],OvalData[],MATCH(Table2[[#Headers],[Max Pipe Deflection]],Table2[#Headers],0),0)</f>
        <v>2309</v>
      </c>
      <c r="BP724" s="2">
        <f>VLOOKUP([jobnumber],OvalData[],MATCH(Table2[[#Headers],[Number Non-Insulated Wrap Slats]],Table2[#Headers],0),0)</f>
        <v>0</v>
      </c>
      <c r="BQ724" s="2">
        <f>VLOOKUP([jobnumber],OvalData[],MATCH(Table2[[#Headers],[Number of Insolated Top Slats]],Table2[#Headers],0),0)</f>
        <v>45</v>
      </c>
      <c r="BR724" s="2">
        <f>VLOOKUP([jobnumber],OvalData[],MATCH(Table2[[#Headers],[Insolated Total Slats]],Table2[#Headers],0),0)</f>
        <v>45</v>
      </c>
      <c r="BS724" s="2">
        <f>VLOOKUP([jobnumber],OvalData[],MATCH(Table2[[#Headers],[Number of Slats]],Table2[#Headers],0),0)</f>
        <v>44.69</v>
      </c>
      <c r="BT724" s="2">
        <f>VLOOKUP([jobnumber],OvalData[],MATCH(Table2[[#Headers],[Wrap]],Table2[#Headers],0),0)</f>
        <v>0</v>
      </c>
      <c r="BU724" s="2">
        <f>VLOOKUP([jobnumber],OvalData[],MATCH(Table2[[#Headers],[Wall Angle Thickness]],Table2[#Headers],0),0)</f>
        <v>0</v>
      </c>
      <c r="BV724" s="2">
        <f>VLOOKUP([jobnumber],OvalData[],MATCH(Table2[[#Headers],[windlocks]],Table2[#Headers],0),0)</f>
        <v>0</v>
      </c>
      <c r="BW724" s="2" t="str">
        <f>VLOOKUP([jobnumber],OvalData[],MATCH(Table2[[#Headers],[bottombartype]],Table2[#Headers],0),0)</f>
        <v>SPECIAL</v>
      </c>
      <c r="BX724" s="2">
        <f>VLOOKUP([jobnumber],OvalData[],MATCH(Table2[[#Headers],[endlockweight]],Table2[#Headers],0),0)</f>
        <v>0.17</v>
      </c>
      <c r="BY724" s="2">
        <f>VLOOKUP([jobnumber],OvalData[],MATCH(Table2[[#Headers],[Endlock Total Weight]],Table2[#Headers],0),0)</f>
        <v>7.5972999999999997</v>
      </c>
      <c r="BZ724" s="2">
        <f>VLOOKUP([jobnumber],OvalData[],MATCH(Table2[[#Headers],[Grille Weight]],Table2[#Headers],0),0)</f>
        <v>0</v>
      </c>
      <c r="CA724" s="2">
        <f>VLOOKUP([jobnumber],OvalData[],MATCH(Table2[[#Headers],[barrelrings]],Table2[#Headers],0),0)</f>
        <v>1</v>
      </c>
    </row>
    <row r="725" spans="2:79">
      <c r="B725" s="2" t="str">
        <f>VLOOKUP([jobnumber],OvalData[],MATCH(Table2[[#Headers],[Hand]],Table2[#Headers],0),0)</f>
        <v>RH</v>
      </c>
      <c r="C725" s="2" t="str">
        <f>VLOOKUP([jobnumber],OvalData[],MATCH(Table2[[#Headers],[Model]],Table2[#Headers],0),0)</f>
        <v>SFMPP</v>
      </c>
      <c r="D725" s="2" t="str">
        <f>VLOOKUP([jobnumber],OvalData[],MATCH(Table2[[#Headers],[width]],Table2[#Headers],0),0)</f>
        <v xml:space="preserve"> 18 ft.- 2"</v>
      </c>
      <c r="E725" s="2" t="str">
        <f>VLOOKUP([jobnumber],OvalData[],MATCH(Table2[[#Headers],[stopheight]],Table2[#Headers],0),0)</f>
        <v xml:space="preserve"> 10 ft.- 0"</v>
      </c>
      <c r="F725" s="2" t="str">
        <f>VLOOKUP([jobnumber],OvalData[],MATCH(Table2[[#Headers],[Between Brackets]],Table2[#Headers],0),0)</f>
        <v xml:space="preserve"> 18 ft.- 7 7/ 8"</v>
      </c>
      <c r="G725" s="2" t="str">
        <f>VLOOKUP([jobnumber],OvalData[],MATCH(Table2[[#Headers],[shell]],Table2[#Headers],0),0)</f>
        <v>6 INCH TUBE</v>
      </c>
      <c r="H725" s="2" t="str">
        <f>VLOOKUP([jobnumber],OvalData[],MATCH(Table2[[#Headers],[pipewidth]],Table2[#Headers],0),0)</f>
        <v xml:space="preserve"> 18 ft.- 1 3/ 8"</v>
      </c>
      <c r="I725" s="2">
        <f>VLOOKUP([jobnumber],OvalData[],MATCH(Table2[[#Headers],[Support Tubes]],Table2[#Headers],0),0)</f>
        <v>0</v>
      </c>
      <c r="J725" s="2">
        <f>VLOOKUP([jobnumber],OvalData[],MATCH(Table2[[#Headers],[Upset]],Table2[#Headers],0),0)</f>
        <v>2</v>
      </c>
      <c r="K725" s="2" t="str">
        <f>VLOOKUP([jobnumber],OvalData[],MATCH(Table2[[#Headers],[Guide Type]],Table2[#Headers],0),0)</f>
        <v>SN2-4 5/8-E</v>
      </c>
      <c r="L725" s="2" t="str">
        <f>VLOOKUP([jobnumber],OvalData[],MATCH(Table2[[#Headers],[Wall Angle]],Table2[#Headers],0),0)</f>
        <v xml:space="preserve"> 11 ft.- 8"</v>
      </c>
      <c r="M725" s="2" t="str">
        <f>VLOOKUP([jobnumber],OvalData[],MATCH(Table2[[#Headers],[Middle Angle]],Table2[#Headers],0),0)</f>
        <v xml:space="preserve"> 10 ft.- 4 1/ 2"</v>
      </c>
      <c r="N725" s="2" t="str">
        <f>VLOOKUP([jobnumber],OvalData[],MATCH(Table2[[#Headers],[Front Angle]],Table2[#Headers],0),0)</f>
        <v xml:space="preserve"> 10 ft.- 3"</v>
      </c>
      <c r="O725" s="2">
        <f>VLOOKUP([jobnumber],OvalData[],MATCH(Table2[[#Headers],[Pipe Center Line]],Table2[#Headers],0),0)</f>
        <v>131</v>
      </c>
      <c r="P725" s="2">
        <f>VLOOKUP([jobnumber],OvalData[],MATCH(Table2[[#Headers],[Heat Expansion Gap]],Table2[#Headers],0),0)</f>
        <v>0</v>
      </c>
      <c r="Q725" s="2">
        <f>VLOOKUP([jobnumber],OvalData[],MATCH(Table2[[#Headers],[Hanging Weight Closed]],Table2[#Headers],0),0)</f>
        <v>795</v>
      </c>
      <c r="R725" s="2">
        <f>VLOOKUP([jobnumber],OvalData[],MATCH(Table2[[#Headers],[Hanging Weight Open]],Table2[#Headers],0),0)</f>
        <v>140</v>
      </c>
      <c r="S725" s="2">
        <f>VLOOKUP([jobnumber],OvalData[],MATCH(Table2[[#Headers],[Initial Lever Arm]],Table2[#Headers],0),0)</f>
        <v>4.25</v>
      </c>
      <c r="T725" s="2">
        <f>VLOOKUP([jobnumber],OvalData[],MATCH(Table2[[#Headers],[Turns to Raise]],Table2[#Headers],0),0)</f>
        <v>3.5859999999999999</v>
      </c>
      <c r="U725" s="2">
        <f>VLOOKUP([jobnumber],OvalData[],MATCH(Table2[[#Headers],[Final Lever Arm]],Table2[#Headers],0),0)</f>
        <v>6.37</v>
      </c>
      <c r="V725" s="2">
        <f>VLOOKUP([jobnumber],OvalData[],MATCH(Table2[[#Headers],[Torque Required Closed]],Table2[#Headers],0),0)</f>
        <v>3377.9</v>
      </c>
      <c r="W725" s="2">
        <f>VLOOKUP([jobnumber],OvalData[],MATCH(Table2[[#Headers],[Torque Required Open]],Table2[#Headers],0),0)</f>
        <v>892</v>
      </c>
      <c r="X725" s="2">
        <f>VLOOKUP([jobnumber],OvalData[],MATCH(Table2[[#Headers],[Pre Turns]],Table2[#Headers],0),0)</f>
        <v>1.3332999999999999</v>
      </c>
      <c r="Y725" s="2">
        <f>VLOOKUP([jobnumber],OvalData[],MATCH(Table2[[#Headers],[Required Torque Per Turn]],Table2[#Headers],0),0)</f>
        <v>688</v>
      </c>
      <c r="Z725" s="2">
        <f>VLOOKUP([jobnumber],OvalData[],MATCH(Table2[[#Headers],[Total Turns]],Table2[#Headers],0),0)</f>
        <v>4.91</v>
      </c>
      <c r="AA725" s="2">
        <f>VLOOKUP([jobnumber],OvalData[],MATCH(Table2[[#Headers],[Grille Vision Section]],Table2[#Headers],0),0)</f>
        <v>0</v>
      </c>
      <c r="AB725" s="2">
        <f>VLOOKUP([jobnumber],OvalData[],MATCH(Table2[[#Headers],[Grille Amount]],Table2[#Headers],0),0)</f>
        <v>0</v>
      </c>
      <c r="AC725" s="2">
        <f>VLOOKUP([jobnumber],OvalData[],MATCH(Table2[[#Headers],[Grille Center]],Table2[#Headers],0),0)</f>
        <v>0</v>
      </c>
      <c r="AD725" s="2">
        <f>VLOOKUP([jobnumber],OvalData[],MATCH(Table2[[#Headers],[Grille Pattern]],Table2[#Headers],0),0)</f>
        <v>0</v>
      </c>
      <c r="AE725" s="2">
        <f>VLOOKUP([jobnumber],OvalData[],MATCH(Table2[[#Headers],[Grille First Tube]],Table2[#Headers],0),0)</f>
        <v>0</v>
      </c>
      <c r="AF725" s="2">
        <f>VLOOKUP([jobnumber],OvalData[],MATCH(Table2[[#Headers],[Grille Standard Tube]],Table2[#Headers],0),0)</f>
        <v>0</v>
      </c>
      <c r="AG725" s="2">
        <f>VLOOKUP([jobnumber],OvalData[],MATCH(Table2[[#Headers],[Grille Total Links]],Table2[#Headers],0),0)</f>
        <v>0</v>
      </c>
      <c r="AH725" s="2">
        <f>VLOOKUP([jobnumber],OvalData[],MATCH(Table2[[#Headers],[Grille Rods]],Table2[#Headers],0),0)</f>
        <v>0</v>
      </c>
      <c r="AI725" s="2">
        <f>VLOOKUP([jobnumber],OvalData[],MATCH(Table2[[#Headers],[Grille Rod Length]],Table2[#Headers],0),0)</f>
        <v>0</v>
      </c>
      <c r="AJ725" s="2">
        <f>VLOOKUP([jobnumber],OvalData[],MATCH(Table2[[#Headers],[slattype]],Table2[#Headers],0),0)</f>
        <v>2</v>
      </c>
      <c r="AK725" s="2">
        <f>VLOOKUP([jobnumber],OvalData[],MATCH(Table2[[#Headers],[slatgage]],Table2[#Headers],0),0)</f>
        <v>18</v>
      </c>
      <c r="AL725" s="2">
        <f>VLOOKUP([jobnumber],OvalData[],MATCH(Table2[[#Headers],[Numer of Top Slats]],Table2[#Headers],0),0)</f>
        <v>0</v>
      </c>
      <c r="AM725" s="2">
        <f>VLOOKUP([jobnumber],OvalData[],MATCH(Table2[[#Headers],[Number of Bottom Slats]],Table2[#Headers],0),0)</f>
        <v>0</v>
      </c>
      <c r="AN725" s="2">
        <f>VLOOKUP([jobnumber],OvalData[],MATCH(Table2[[#Headers],[Solid Bottom Height]],Table2[#Headers],0),0)</f>
        <v>0</v>
      </c>
      <c r="AO725" s="2" t="str">
        <f>VLOOKUP([jobnumber],OvalData[],MATCH(Table2[[#Headers],[slatlength]],Table2[#Headers],0),0)</f>
        <v xml:space="preserve"> 18 ft.- 5 7/ 8"</v>
      </c>
      <c r="AP725" s="2">
        <f>VLOOKUP([jobnumber],OvalData[],MATCH(Table2[[#Headers],[Bottom Slat Length]],Table2[#Headers],0),0)</f>
        <v>0</v>
      </c>
      <c r="AQ725" s="2">
        <f>VLOOKUP([jobnumber],OvalData[],MATCH(Table2[[#Headers],[Number of Perferated Slats]],Table2[#Headers],0),0)</f>
        <v>0</v>
      </c>
      <c r="AR725" s="2">
        <f>VLOOKUP([jobnumber],OvalData[],MATCH(Table2[[#Headers],[First Preferated Slat From End]],Table2[#Headers],0),0)</f>
        <v>0</v>
      </c>
      <c r="AS725" s="2">
        <f>VLOOKUP([jobnumber],OvalData[],MATCH(Table2[[#Headers],[First Preferated Slat From Bottom]],Table2[#Headers],0),0)</f>
        <v>0</v>
      </c>
      <c r="AT725" s="2">
        <f>VLOOKUP([jobnumber],OvalData[],MATCH(Table2[[#Headers],[Total Number of Slats]],Table2[#Headers],0),0)</f>
        <v>51</v>
      </c>
      <c r="AU725" s="2">
        <f>VLOOKUP([jobnumber],OvalData[],MATCH(Table2[[#Headers],[Bottom Bar Slope]],Table2[#Headers],0),0)</f>
        <v>0</v>
      </c>
      <c r="AV725" s="2">
        <f>VLOOKUP([jobnumber],OvalData[],MATCH(Table2[[#Headers],[Bottom Bar Weight]],Table2[#Headers],0),0)</f>
        <v>80.5</v>
      </c>
      <c r="AW725" s="2" t="str">
        <f>VLOOKUP([jobnumber],OvalData[],MATCH(Table2[[#Headers],[Outer Spring Gage]],Table2[#Headers],0),0)</f>
        <v>Null</v>
      </c>
      <c r="AX725" s="2" t="str">
        <f>VLOOKUP([jobnumber],OvalData[],MATCH(Table2[[#Headers],[Outer Spring OD]],Table2[#Headers],0),0)</f>
        <v>Null</v>
      </c>
      <c r="AY725" s="2" t="str">
        <f>VLOOKUP([jobnumber],OvalData[],MATCH(Table2[[#Headers],[Outer Spring Length]],Table2[#Headers],0),0)</f>
        <v>Null</v>
      </c>
      <c r="AZ725" s="2" t="str">
        <f>VLOOKUP([jobnumber],OvalData[],MATCH(Table2[[#Headers],[Outer Spring Stretch]],Table2[#Headers],0),0)</f>
        <v>Null</v>
      </c>
      <c r="BA725" s="2" t="str">
        <f>VLOOKUP([jobnumber],OvalData[],MATCH(Table2[[#Headers],[Outer Spring Torque]],Table2[#Headers],0),0)</f>
        <v>Null</v>
      </c>
      <c r="BB725" s="2" t="str">
        <f>VLOOKUP([jobnumber],OvalData[],MATCH(Table2[[#Headers],[Outer Spring Max Turns]],Table2[#Headers],0),0)</f>
        <v>Null</v>
      </c>
      <c r="BC725" s="2" t="str">
        <f>VLOOKUP([jobnumber],OvalData[],MATCH(Table2[[#Headers],[Outer Spring Weight]],Table2[#Headers],0),0)</f>
        <v>Null</v>
      </c>
      <c r="BD725" s="2" t="str">
        <f>VLOOKUP([jobnumber],OvalData[],MATCH(Table2[[#Headers],[Inner Spring Gage]],Table2[#Headers],0),0)</f>
        <v>Null</v>
      </c>
      <c r="BE725" s="2" t="str">
        <f>VLOOKUP([jobnumber],OvalData[],MATCH(Table2[[#Headers],[Inner Spring OD]],Table2[#Headers],0),0)</f>
        <v>Null</v>
      </c>
      <c r="BF725" s="2" t="str">
        <f>VLOOKUP([jobnumber],OvalData[],MATCH(Table2[[#Headers],[Inner Spring Length]],Table2[#Headers],0),0)</f>
        <v>Null</v>
      </c>
      <c r="BG725" s="2" t="str">
        <f>VLOOKUP([jobnumber],OvalData[],MATCH(Table2[[#Headers],[Inner Spring Stretch]],Table2[#Headers],0),0)</f>
        <v>Null</v>
      </c>
      <c r="BH725" s="2" t="str">
        <f>VLOOKUP([jobnumber],OvalData[],MATCH(Table2[[#Headers],[Inner Spring Torque]],Table2[#Headers],0),0)</f>
        <v>Null</v>
      </c>
      <c r="BI725" s="2" t="str">
        <f>VLOOKUP([jobnumber],OvalData[],MATCH(Table2[[#Headers],[Inner Spring Max Turns]],Table2[#Headers],0),0)</f>
        <v>Null</v>
      </c>
      <c r="BJ725" s="2" t="str">
        <f>VLOOKUP([jobnumber],OvalData[],MATCH(Table2[[#Headers],[Inner Spring Weight]],Table2[#Headers],0),0)</f>
        <v>Null</v>
      </c>
      <c r="BK725" s="2">
        <f>VLOOKUP([jobnumber],OvalData[],MATCH(Table2[[#Headers],[Cycles]],Table2[#Headers],0),0)</f>
        <v>0</v>
      </c>
      <c r="BL725" s="2">
        <f>VLOOKUP([jobnumber],OvalData[],MATCH(Table2[[#Headers],[Total Spring Torque]],Table2[#Headers],0),0)</f>
        <v>0</v>
      </c>
      <c r="BM725" s="2">
        <f>VLOOKUP([jobnumber],OvalData[],MATCH(Table2[[#Headers],[Total Spring Weight]],Table2[#Headers],0),0)</f>
        <v>0</v>
      </c>
      <c r="BN725" s="2">
        <f>VLOOKUP([jobnumber],OvalData[],MATCH(Table2[[#Headers],[Pipe Weight]],Table2[#Headers],0),0)</f>
        <v>688.24239999999998</v>
      </c>
      <c r="BO725" s="2">
        <f>VLOOKUP([jobnumber],OvalData[],MATCH(Table2[[#Headers],[Max Pipe Deflection]],Table2[#Headers],0),0)</f>
        <v>2309</v>
      </c>
      <c r="BP725" s="2">
        <f>VLOOKUP([jobnumber],OvalData[],MATCH(Table2[[#Headers],[Number Non-Insulated Wrap Slats]],Table2[#Headers],0),0)</f>
        <v>0</v>
      </c>
      <c r="BQ725" s="2">
        <f>VLOOKUP([jobnumber],OvalData[],MATCH(Table2[[#Headers],[Number of Insolated Top Slats]],Table2[#Headers],0),0)</f>
        <v>45</v>
      </c>
      <c r="BR725" s="2">
        <f>VLOOKUP([jobnumber],OvalData[],MATCH(Table2[[#Headers],[Insolated Total Slats]],Table2[#Headers],0),0)</f>
        <v>45</v>
      </c>
      <c r="BS725" s="2">
        <f>VLOOKUP([jobnumber],OvalData[],MATCH(Table2[[#Headers],[Number of Slats]],Table2[#Headers],0),0)</f>
        <v>44.69</v>
      </c>
      <c r="BT725" s="2">
        <f>VLOOKUP([jobnumber],OvalData[],MATCH(Table2[[#Headers],[Wrap]],Table2[#Headers],0),0)</f>
        <v>0</v>
      </c>
      <c r="BU725" s="2">
        <f>VLOOKUP([jobnumber],OvalData[],MATCH(Table2[[#Headers],[Wall Angle Thickness]],Table2[#Headers],0),0)</f>
        <v>0</v>
      </c>
      <c r="BV725" s="2">
        <f>VLOOKUP([jobnumber],OvalData[],MATCH(Table2[[#Headers],[windlocks]],Table2[#Headers],0),0)</f>
        <v>0</v>
      </c>
      <c r="BW725" s="2" t="str">
        <f>VLOOKUP([jobnumber],OvalData[],MATCH(Table2[[#Headers],[bottombartype]],Table2[#Headers],0),0)</f>
        <v>SPECIAL</v>
      </c>
      <c r="BX725" s="2">
        <f>VLOOKUP([jobnumber],OvalData[],MATCH(Table2[[#Headers],[endlockweight]],Table2[#Headers],0),0)</f>
        <v>0.17</v>
      </c>
      <c r="BY725" s="2">
        <f>VLOOKUP([jobnumber],OvalData[],MATCH(Table2[[#Headers],[Endlock Total Weight]],Table2[#Headers],0),0)</f>
        <v>7.5972999999999997</v>
      </c>
      <c r="BZ725" s="2">
        <f>VLOOKUP([jobnumber],OvalData[],MATCH(Table2[[#Headers],[Grille Weight]],Table2[#Headers],0),0)</f>
        <v>0</v>
      </c>
      <c r="CA725" s="2">
        <f>VLOOKUP([jobnumber],OvalData[],MATCH(Table2[[#Headers],[barrelrings]],Table2[#Headers],0),0)</f>
        <v>1</v>
      </c>
    </row>
    <row r="726" spans="2:79">
      <c r="B726" s="2" t="str">
        <f>VLOOKUP([jobnumber],OvalData[],MATCH(Table2[[#Headers],[Hand]],Table2[#Headers],0),0)</f>
        <v>RH</v>
      </c>
      <c r="C726" s="2" t="str">
        <f>VLOOKUP([jobnumber],OvalData[],MATCH(Table2[[#Headers],[Model]],Table2[#Headers],0),0)</f>
        <v>SFMPP</v>
      </c>
      <c r="D726" s="2" t="str">
        <f>VLOOKUP([jobnumber],OvalData[],MATCH(Table2[[#Headers],[width]],Table2[#Headers],0),0)</f>
        <v xml:space="preserve"> 18 ft.- 2"</v>
      </c>
      <c r="E726" s="2" t="str">
        <f>VLOOKUP([jobnumber],OvalData[],MATCH(Table2[[#Headers],[stopheight]],Table2[#Headers],0),0)</f>
        <v xml:space="preserve"> 10 ft.- 0"</v>
      </c>
      <c r="F726" s="2" t="str">
        <f>VLOOKUP([jobnumber],OvalData[],MATCH(Table2[[#Headers],[Between Brackets]],Table2[#Headers],0),0)</f>
        <v xml:space="preserve"> 18 ft.- 7 7/ 8"</v>
      </c>
      <c r="G726" s="2" t="str">
        <f>VLOOKUP([jobnumber],OvalData[],MATCH(Table2[[#Headers],[shell]],Table2[#Headers],0),0)</f>
        <v>6 INCH TUBE</v>
      </c>
      <c r="H726" s="2" t="str">
        <f>VLOOKUP([jobnumber],OvalData[],MATCH(Table2[[#Headers],[pipewidth]],Table2[#Headers],0),0)</f>
        <v xml:space="preserve"> 18 ft.- 1 3/ 8"</v>
      </c>
      <c r="I726" s="2">
        <f>VLOOKUP([jobnumber],OvalData[],MATCH(Table2[[#Headers],[Support Tubes]],Table2[#Headers],0),0)</f>
        <v>0</v>
      </c>
      <c r="J726" s="2">
        <f>VLOOKUP([jobnumber],OvalData[],MATCH(Table2[[#Headers],[Upset]],Table2[#Headers],0),0)</f>
        <v>2</v>
      </c>
      <c r="K726" s="2" t="str">
        <f>VLOOKUP([jobnumber],OvalData[],MATCH(Table2[[#Headers],[Guide Type]],Table2[#Headers],0),0)</f>
        <v>SN2-4 5/8-E</v>
      </c>
      <c r="L726" s="2" t="str">
        <f>VLOOKUP([jobnumber],OvalData[],MATCH(Table2[[#Headers],[Wall Angle]],Table2[#Headers],0),0)</f>
        <v xml:space="preserve"> 11 ft.- 8"</v>
      </c>
      <c r="M726" s="2" t="str">
        <f>VLOOKUP([jobnumber],OvalData[],MATCH(Table2[[#Headers],[Middle Angle]],Table2[#Headers],0),0)</f>
        <v xml:space="preserve"> 10 ft.- 4 1/ 2"</v>
      </c>
      <c r="N726" s="2" t="str">
        <f>VLOOKUP([jobnumber],OvalData[],MATCH(Table2[[#Headers],[Front Angle]],Table2[#Headers],0),0)</f>
        <v xml:space="preserve"> 10 ft.- 3"</v>
      </c>
      <c r="O726" s="2">
        <f>VLOOKUP([jobnumber],OvalData[],MATCH(Table2[[#Headers],[Pipe Center Line]],Table2[#Headers],0),0)</f>
        <v>131</v>
      </c>
      <c r="P726" s="2">
        <f>VLOOKUP([jobnumber],OvalData[],MATCH(Table2[[#Headers],[Heat Expansion Gap]],Table2[#Headers],0),0)</f>
        <v>0</v>
      </c>
      <c r="Q726" s="2">
        <f>VLOOKUP([jobnumber],OvalData[],MATCH(Table2[[#Headers],[Hanging Weight Closed]],Table2[#Headers],0),0)</f>
        <v>795</v>
      </c>
      <c r="R726" s="2">
        <f>VLOOKUP([jobnumber],OvalData[],MATCH(Table2[[#Headers],[Hanging Weight Open]],Table2[#Headers],0),0)</f>
        <v>140</v>
      </c>
      <c r="S726" s="2">
        <f>VLOOKUP([jobnumber],OvalData[],MATCH(Table2[[#Headers],[Initial Lever Arm]],Table2[#Headers],0),0)</f>
        <v>4.25</v>
      </c>
      <c r="T726" s="2">
        <f>VLOOKUP([jobnumber],OvalData[],MATCH(Table2[[#Headers],[Turns to Raise]],Table2[#Headers],0),0)</f>
        <v>3.5859999999999999</v>
      </c>
      <c r="U726" s="2">
        <f>VLOOKUP([jobnumber],OvalData[],MATCH(Table2[[#Headers],[Final Lever Arm]],Table2[#Headers],0),0)</f>
        <v>6.37</v>
      </c>
      <c r="V726" s="2">
        <f>VLOOKUP([jobnumber],OvalData[],MATCH(Table2[[#Headers],[Torque Required Closed]],Table2[#Headers],0),0)</f>
        <v>3377.9</v>
      </c>
      <c r="W726" s="2">
        <f>VLOOKUP([jobnumber],OvalData[],MATCH(Table2[[#Headers],[Torque Required Open]],Table2[#Headers],0),0)</f>
        <v>892</v>
      </c>
      <c r="X726" s="2">
        <f>VLOOKUP([jobnumber],OvalData[],MATCH(Table2[[#Headers],[Pre Turns]],Table2[#Headers],0),0)</f>
        <v>1.3332999999999999</v>
      </c>
      <c r="Y726" s="2">
        <f>VLOOKUP([jobnumber],OvalData[],MATCH(Table2[[#Headers],[Required Torque Per Turn]],Table2[#Headers],0),0)</f>
        <v>688</v>
      </c>
      <c r="Z726" s="2">
        <f>VLOOKUP([jobnumber],OvalData[],MATCH(Table2[[#Headers],[Total Turns]],Table2[#Headers],0),0)</f>
        <v>4.91</v>
      </c>
      <c r="AA726" s="2">
        <f>VLOOKUP([jobnumber],OvalData[],MATCH(Table2[[#Headers],[Grille Vision Section]],Table2[#Headers],0),0)</f>
        <v>0</v>
      </c>
      <c r="AB726" s="2">
        <f>VLOOKUP([jobnumber],OvalData[],MATCH(Table2[[#Headers],[Grille Amount]],Table2[#Headers],0),0)</f>
        <v>0</v>
      </c>
      <c r="AC726" s="2">
        <f>VLOOKUP([jobnumber],OvalData[],MATCH(Table2[[#Headers],[Grille Center]],Table2[#Headers],0),0)</f>
        <v>0</v>
      </c>
      <c r="AD726" s="2">
        <f>VLOOKUP([jobnumber],OvalData[],MATCH(Table2[[#Headers],[Grille Pattern]],Table2[#Headers],0),0)</f>
        <v>0</v>
      </c>
      <c r="AE726" s="2">
        <f>VLOOKUP([jobnumber],OvalData[],MATCH(Table2[[#Headers],[Grille First Tube]],Table2[#Headers],0),0)</f>
        <v>0</v>
      </c>
      <c r="AF726" s="2">
        <f>VLOOKUP([jobnumber],OvalData[],MATCH(Table2[[#Headers],[Grille Standard Tube]],Table2[#Headers],0),0)</f>
        <v>0</v>
      </c>
      <c r="AG726" s="2">
        <f>VLOOKUP([jobnumber],OvalData[],MATCH(Table2[[#Headers],[Grille Total Links]],Table2[#Headers],0),0)</f>
        <v>0</v>
      </c>
      <c r="AH726" s="2">
        <f>VLOOKUP([jobnumber],OvalData[],MATCH(Table2[[#Headers],[Grille Rods]],Table2[#Headers],0),0)</f>
        <v>0</v>
      </c>
      <c r="AI726" s="2">
        <f>VLOOKUP([jobnumber],OvalData[],MATCH(Table2[[#Headers],[Grille Rod Length]],Table2[#Headers],0),0)</f>
        <v>0</v>
      </c>
      <c r="AJ726" s="2">
        <f>VLOOKUP([jobnumber],OvalData[],MATCH(Table2[[#Headers],[slattype]],Table2[#Headers],0),0)</f>
        <v>2</v>
      </c>
      <c r="AK726" s="2">
        <f>VLOOKUP([jobnumber],OvalData[],MATCH(Table2[[#Headers],[slatgage]],Table2[#Headers],0),0)</f>
        <v>18</v>
      </c>
      <c r="AL726" s="2">
        <f>VLOOKUP([jobnumber],OvalData[],MATCH(Table2[[#Headers],[Numer of Top Slats]],Table2[#Headers],0),0)</f>
        <v>0</v>
      </c>
      <c r="AM726" s="2">
        <f>VLOOKUP([jobnumber],OvalData[],MATCH(Table2[[#Headers],[Number of Bottom Slats]],Table2[#Headers],0),0)</f>
        <v>0</v>
      </c>
      <c r="AN726" s="2">
        <f>VLOOKUP([jobnumber],OvalData[],MATCH(Table2[[#Headers],[Solid Bottom Height]],Table2[#Headers],0),0)</f>
        <v>0</v>
      </c>
      <c r="AO726" s="2" t="str">
        <f>VLOOKUP([jobnumber],OvalData[],MATCH(Table2[[#Headers],[slatlength]],Table2[#Headers],0),0)</f>
        <v xml:space="preserve"> 18 ft.- 5 7/ 8"</v>
      </c>
      <c r="AP726" s="2">
        <f>VLOOKUP([jobnumber],OvalData[],MATCH(Table2[[#Headers],[Bottom Slat Length]],Table2[#Headers],0),0)</f>
        <v>0</v>
      </c>
      <c r="AQ726" s="2">
        <f>VLOOKUP([jobnumber],OvalData[],MATCH(Table2[[#Headers],[Number of Perferated Slats]],Table2[#Headers],0),0)</f>
        <v>0</v>
      </c>
      <c r="AR726" s="2">
        <f>VLOOKUP([jobnumber],OvalData[],MATCH(Table2[[#Headers],[First Preferated Slat From End]],Table2[#Headers],0),0)</f>
        <v>0</v>
      </c>
      <c r="AS726" s="2">
        <f>VLOOKUP([jobnumber],OvalData[],MATCH(Table2[[#Headers],[First Preferated Slat From Bottom]],Table2[#Headers],0),0)</f>
        <v>0</v>
      </c>
      <c r="AT726" s="2">
        <f>VLOOKUP([jobnumber],OvalData[],MATCH(Table2[[#Headers],[Total Number of Slats]],Table2[#Headers],0),0)</f>
        <v>51</v>
      </c>
      <c r="AU726" s="2">
        <f>VLOOKUP([jobnumber],OvalData[],MATCH(Table2[[#Headers],[Bottom Bar Slope]],Table2[#Headers],0),0)</f>
        <v>0</v>
      </c>
      <c r="AV726" s="2">
        <f>VLOOKUP([jobnumber],OvalData[],MATCH(Table2[[#Headers],[Bottom Bar Weight]],Table2[#Headers],0),0)</f>
        <v>80.5</v>
      </c>
      <c r="AW726" s="2" t="str">
        <f>VLOOKUP([jobnumber],OvalData[],MATCH(Table2[[#Headers],[Outer Spring Gage]],Table2[#Headers],0),0)</f>
        <v>Null</v>
      </c>
      <c r="AX726" s="2" t="str">
        <f>VLOOKUP([jobnumber],OvalData[],MATCH(Table2[[#Headers],[Outer Spring OD]],Table2[#Headers],0),0)</f>
        <v>Null</v>
      </c>
      <c r="AY726" s="2" t="str">
        <f>VLOOKUP([jobnumber],OvalData[],MATCH(Table2[[#Headers],[Outer Spring Length]],Table2[#Headers],0),0)</f>
        <v>Null</v>
      </c>
      <c r="AZ726" s="2" t="str">
        <f>VLOOKUP([jobnumber],OvalData[],MATCH(Table2[[#Headers],[Outer Spring Stretch]],Table2[#Headers],0),0)</f>
        <v>Null</v>
      </c>
      <c r="BA726" s="2" t="str">
        <f>VLOOKUP([jobnumber],OvalData[],MATCH(Table2[[#Headers],[Outer Spring Torque]],Table2[#Headers],0),0)</f>
        <v>Null</v>
      </c>
      <c r="BB726" s="2" t="str">
        <f>VLOOKUP([jobnumber],OvalData[],MATCH(Table2[[#Headers],[Outer Spring Max Turns]],Table2[#Headers],0),0)</f>
        <v>Null</v>
      </c>
      <c r="BC726" s="2" t="str">
        <f>VLOOKUP([jobnumber],OvalData[],MATCH(Table2[[#Headers],[Outer Spring Weight]],Table2[#Headers],0),0)</f>
        <v>Null</v>
      </c>
      <c r="BD726" s="2" t="str">
        <f>VLOOKUP([jobnumber],OvalData[],MATCH(Table2[[#Headers],[Inner Spring Gage]],Table2[#Headers],0),0)</f>
        <v>Null</v>
      </c>
      <c r="BE726" s="2" t="str">
        <f>VLOOKUP([jobnumber],OvalData[],MATCH(Table2[[#Headers],[Inner Spring OD]],Table2[#Headers],0),0)</f>
        <v>Null</v>
      </c>
      <c r="BF726" s="2" t="str">
        <f>VLOOKUP([jobnumber],OvalData[],MATCH(Table2[[#Headers],[Inner Spring Length]],Table2[#Headers],0),0)</f>
        <v>Null</v>
      </c>
      <c r="BG726" s="2" t="str">
        <f>VLOOKUP([jobnumber],OvalData[],MATCH(Table2[[#Headers],[Inner Spring Stretch]],Table2[#Headers],0),0)</f>
        <v>Null</v>
      </c>
      <c r="BH726" s="2" t="str">
        <f>VLOOKUP([jobnumber],OvalData[],MATCH(Table2[[#Headers],[Inner Spring Torque]],Table2[#Headers],0),0)</f>
        <v>Null</v>
      </c>
      <c r="BI726" s="2" t="str">
        <f>VLOOKUP([jobnumber],OvalData[],MATCH(Table2[[#Headers],[Inner Spring Max Turns]],Table2[#Headers],0),0)</f>
        <v>Null</v>
      </c>
      <c r="BJ726" s="2" t="str">
        <f>VLOOKUP([jobnumber],OvalData[],MATCH(Table2[[#Headers],[Inner Spring Weight]],Table2[#Headers],0),0)</f>
        <v>Null</v>
      </c>
      <c r="BK726" s="2">
        <f>VLOOKUP([jobnumber],OvalData[],MATCH(Table2[[#Headers],[Cycles]],Table2[#Headers],0),0)</f>
        <v>0</v>
      </c>
      <c r="BL726" s="2">
        <f>VLOOKUP([jobnumber],OvalData[],MATCH(Table2[[#Headers],[Total Spring Torque]],Table2[#Headers],0),0)</f>
        <v>0</v>
      </c>
      <c r="BM726" s="2">
        <f>VLOOKUP([jobnumber],OvalData[],MATCH(Table2[[#Headers],[Total Spring Weight]],Table2[#Headers],0),0)</f>
        <v>0</v>
      </c>
      <c r="BN726" s="2">
        <f>VLOOKUP([jobnumber],OvalData[],MATCH(Table2[[#Headers],[Pipe Weight]],Table2[#Headers],0),0)</f>
        <v>688.24239999999998</v>
      </c>
      <c r="BO726" s="2">
        <f>VLOOKUP([jobnumber],OvalData[],MATCH(Table2[[#Headers],[Max Pipe Deflection]],Table2[#Headers],0),0)</f>
        <v>2309</v>
      </c>
      <c r="BP726" s="2">
        <f>VLOOKUP([jobnumber],OvalData[],MATCH(Table2[[#Headers],[Number Non-Insulated Wrap Slats]],Table2[#Headers],0),0)</f>
        <v>0</v>
      </c>
      <c r="BQ726" s="2">
        <f>VLOOKUP([jobnumber],OvalData[],MATCH(Table2[[#Headers],[Number of Insolated Top Slats]],Table2[#Headers],0),0)</f>
        <v>45</v>
      </c>
      <c r="BR726" s="2">
        <f>VLOOKUP([jobnumber],OvalData[],MATCH(Table2[[#Headers],[Insolated Total Slats]],Table2[#Headers],0),0)</f>
        <v>45</v>
      </c>
      <c r="BS726" s="2">
        <f>VLOOKUP([jobnumber],OvalData[],MATCH(Table2[[#Headers],[Number of Slats]],Table2[#Headers],0),0)</f>
        <v>44.69</v>
      </c>
      <c r="BT726" s="2">
        <f>VLOOKUP([jobnumber],OvalData[],MATCH(Table2[[#Headers],[Wrap]],Table2[#Headers],0),0)</f>
        <v>0</v>
      </c>
      <c r="BU726" s="2">
        <f>VLOOKUP([jobnumber],OvalData[],MATCH(Table2[[#Headers],[Wall Angle Thickness]],Table2[#Headers],0),0)</f>
        <v>0</v>
      </c>
      <c r="BV726" s="2">
        <f>VLOOKUP([jobnumber],OvalData[],MATCH(Table2[[#Headers],[windlocks]],Table2[#Headers],0),0)</f>
        <v>0</v>
      </c>
      <c r="BW726" s="2" t="str">
        <f>VLOOKUP([jobnumber],OvalData[],MATCH(Table2[[#Headers],[bottombartype]],Table2[#Headers],0),0)</f>
        <v>SPECIAL</v>
      </c>
      <c r="BX726" s="2">
        <f>VLOOKUP([jobnumber],OvalData[],MATCH(Table2[[#Headers],[endlockweight]],Table2[#Headers],0),0)</f>
        <v>0.17</v>
      </c>
      <c r="BY726" s="2">
        <f>VLOOKUP([jobnumber],OvalData[],MATCH(Table2[[#Headers],[Endlock Total Weight]],Table2[#Headers],0),0)</f>
        <v>7.5972999999999997</v>
      </c>
      <c r="BZ726" s="2">
        <f>VLOOKUP([jobnumber],OvalData[],MATCH(Table2[[#Headers],[Grille Weight]],Table2[#Headers],0),0)</f>
        <v>0</v>
      </c>
      <c r="CA726" s="2">
        <f>VLOOKUP([jobnumber],OvalData[],MATCH(Table2[[#Headers],[barrelrings]],Table2[#Headers],0),0)</f>
        <v>1</v>
      </c>
    </row>
    <row r="727" spans="2:79">
      <c r="B727" s="2" t="str">
        <f>VLOOKUP([jobnumber],OvalData[],MATCH(Table2[[#Headers],[Hand]],Table2[#Headers],0),0)</f>
        <v>RH</v>
      </c>
      <c r="C727" s="2" t="str">
        <f>VLOOKUP([jobnumber],OvalData[],MATCH(Table2[[#Headers],[Model]],Table2[#Headers],0),0)</f>
        <v>SFMPP</v>
      </c>
      <c r="D727" s="2" t="str">
        <f>VLOOKUP([jobnumber],OvalData[],MATCH(Table2[[#Headers],[width]],Table2[#Headers],0),0)</f>
        <v xml:space="preserve"> 18 ft.- 2"</v>
      </c>
      <c r="E727" s="2" t="str">
        <f>VLOOKUP([jobnumber],OvalData[],MATCH(Table2[[#Headers],[stopheight]],Table2[#Headers],0),0)</f>
        <v xml:space="preserve"> 10 ft.- 0"</v>
      </c>
      <c r="F727" s="2" t="str">
        <f>VLOOKUP([jobnumber],OvalData[],MATCH(Table2[[#Headers],[Between Brackets]],Table2[#Headers],0),0)</f>
        <v xml:space="preserve"> 18 ft.- 7 7/ 8"</v>
      </c>
      <c r="G727" s="2" t="str">
        <f>VLOOKUP([jobnumber],OvalData[],MATCH(Table2[[#Headers],[shell]],Table2[#Headers],0),0)</f>
        <v>6 INCH TUBE</v>
      </c>
      <c r="H727" s="2" t="str">
        <f>VLOOKUP([jobnumber],OvalData[],MATCH(Table2[[#Headers],[pipewidth]],Table2[#Headers],0),0)</f>
        <v xml:space="preserve"> 18 ft.- 1 3/ 8"</v>
      </c>
      <c r="I727" s="2">
        <f>VLOOKUP([jobnumber],OvalData[],MATCH(Table2[[#Headers],[Support Tubes]],Table2[#Headers],0),0)</f>
        <v>0</v>
      </c>
      <c r="J727" s="2">
        <f>VLOOKUP([jobnumber],OvalData[],MATCH(Table2[[#Headers],[Upset]],Table2[#Headers],0),0)</f>
        <v>2</v>
      </c>
      <c r="K727" s="2" t="str">
        <f>VLOOKUP([jobnumber],OvalData[],MATCH(Table2[[#Headers],[Guide Type]],Table2[#Headers],0),0)</f>
        <v>SN2-4 5/8-E</v>
      </c>
      <c r="L727" s="2" t="str">
        <f>VLOOKUP([jobnumber],OvalData[],MATCH(Table2[[#Headers],[Wall Angle]],Table2[#Headers],0),0)</f>
        <v xml:space="preserve"> 11 ft.- 8"</v>
      </c>
      <c r="M727" s="2" t="str">
        <f>VLOOKUP([jobnumber],OvalData[],MATCH(Table2[[#Headers],[Middle Angle]],Table2[#Headers],0),0)</f>
        <v xml:space="preserve"> 10 ft.- 4 1/ 2"</v>
      </c>
      <c r="N727" s="2" t="str">
        <f>VLOOKUP([jobnumber],OvalData[],MATCH(Table2[[#Headers],[Front Angle]],Table2[#Headers],0),0)</f>
        <v xml:space="preserve"> 10 ft.- 3"</v>
      </c>
      <c r="O727" s="2">
        <f>VLOOKUP([jobnumber],OvalData[],MATCH(Table2[[#Headers],[Pipe Center Line]],Table2[#Headers],0),0)</f>
        <v>131</v>
      </c>
      <c r="P727" s="2">
        <f>VLOOKUP([jobnumber],OvalData[],MATCH(Table2[[#Headers],[Heat Expansion Gap]],Table2[#Headers],0),0)</f>
        <v>0</v>
      </c>
      <c r="Q727" s="2">
        <f>VLOOKUP([jobnumber],OvalData[],MATCH(Table2[[#Headers],[Hanging Weight Closed]],Table2[#Headers],0),0)</f>
        <v>795</v>
      </c>
      <c r="R727" s="2">
        <f>VLOOKUP([jobnumber],OvalData[],MATCH(Table2[[#Headers],[Hanging Weight Open]],Table2[#Headers],0),0)</f>
        <v>140</v>
      </c>
      <c r="S727" s="2">
        <f>VLOOKUP([jobnumber],OvalData[],MATCH(Table2[[#Headers],[Initial Lever Arm]],Table2[#Headers],0),0)</f>
        <v>4.25</v>
      </c>
      <c r="T727" s="2">
        <f>VLOOKUP([jobnumber],OvalData[],MATCH(Table2[[#Headers],[Turns to Raise]],Table2[#Headers],0),0)</f>
        <v>3.5859999999999999</v>
      </c>
      <c r="U727" s="2">
        <f>VLOOKUP([jobnumber],OvalData[],MATCH(Table2[[#Headers],[Final Lever Arm]],Table2[#Headers],0),0)</f>
        <v>6.37</v>
      </c>
      <c r="V727" s="2">
        <f>VLOOKUP([jobnumber],OvalData[],MATCH(Table2[[#Headers],[Torque Required Closed]],Table2[#Headers],0),0)</f>
        <v>3377.9</v>
      </c>
      <c r="W727" s="2">
        <f>VLOOKUP([jobnumber],OvalData[],MATCH(Table2[[#Headers],[Torque Required Open]],Table2[#Headers],0),0)</f>
        <v>892</v>
      </c>
      <c r="X727" s="2">
        <f>VLOOKUP([jobnumber],OvalData[],MATCH(Table2[[#Headers],[Pre Turns]],Table2[#Headers],0),0)</f>
        <v>1.3332999999999999</v>
      </c>
      <c r="Y727" s="2">
        <f>VLOOKUP([jobnumber],OvalData[],MATCH(Table2[[#Headers],[Required Torque Per Turn]],Table2[#Headers],0),0)</f>
        <v>688</v>
      </c>
      <c r="Z727" s="2">
        <f>VLOOKUP([jobnumber],OvalData[],MATCH(Table2[[#Headers],[Total Turns]],Table2[#Headers],0),0)</f>
        <v>4.91</v>
      </c>
      <c r="AA727" s="2">
        <f>VLOOKUP([jobnumber],OvalData[],MATCH(Table2[[#Headers],[Grille Vision Section]],Table2[#Headers],0),0)</f>
        <v>0</v>
      </c>
      <c r="AB727" s="2">
        <f>VLOOKUP([jobnumber],OvalData[],MATCH(Table2[[#Headers],[Grille Amount]],Table2[#Headers],0),0)</f>
        <v>0</v>
      </c>
      <c r="AC727" s="2">
        <f>VLOOKUP([jobnumber],OvalData[],MATCH(Table2[[#Headers],[Grille Center]],Table2[#Headers],0),0)</f>
        <v>0</v>
      </c>
      <c r="AD727" s="2">
        <f>VLOOKUP([jobnumber],OvalData[],MATCH(Table2[[#Headers],[Grille Pattern]],Table2[#Headers],0),0)</f>
        <v>0</v>
      </c>
      <c r="AE727" s="2">
        <f>VLOOKUP([jobnumber],OvalData[],MATCH(Table2[[#Headers],[Grille First Tube]],Table2[#Headers],0),0)</f>
        <v>0</v>
      </c>
      <c r="AF727" s="2">
        <f>VLOOKUP([jobnumber],OvalData[],MATCH(Table2[[#Headers],[Grille Standard Tube]],Table2[#Headers],0),0)</f>
        <v>0</v>
      </c>
      <c r="AG727" s="2">
        <f>VLOOKUP([jobnumber],OvalData[],MATCH(Table2[[#Headers],[Grille Total Links]],Table2[#Headers],0),0)</f>
        <v>0</v>
      </c>
      <c r="AH727" s="2">
        <f>VLOOKUP([jobnumber],OvalData[],MATCH(Table2[[#Headers],[Grille Rods]],Table2[#Headers],0),0)</f>
        <v>0</v>
      </c>
      <c r="AI727" s="2">
        <f>VLOOKUP([jobnumber],OvalData[],MATCH(Table2[[#Headers],[Grille Rod Length]],Table2[#Headers],0),0)</f>
        <v>0</v>
      </c>
      <c r="AJ727" s="2">
        <f>VLOOKUP([jobnumber],OvalData[],MATCH(Table2[[#Headers],[slattype]],Table2[#Headers],0),0)</f>
        <v>2</v>
      </c>
      <c r="AK727" s="2">
        <f>VLOOKUP([jobnumber],OvalData[],MATCH(Table2[[#Headers],[slatgage]],Table2[#Headers],0),0)</f>
        <v>18</v>
      </c>
      <c r="AL727" s="2">
        <f>VLOOKUP([jobnumber],OvalData[],MATCH(Table2[[#Headers],[Numer of Top Slats]],Table2[#Headers],0),0)</f>
        <v>0</v>
      </c>
      <c r="AM727" s="2">
        <f>VLOOKUP([jobnumber],OvalData[],MATCH(Table2[[#Headers],[Number of Bottom Slats]],Table2[#Headers],0),0)</f>
        <v>0</v>
      </c>
      <c r="AN727" s="2">
        <f>VLOOKUP([jobnumber],OvalData[],MATCH(Table2[[#Headers],[Solid Bottom Height]],Table2[#Headers],0),0)</f>
        <v>0</v>
      </c>
      <c r="AO727" s="2" t="str">
        <f>VLOOKUP([jobnumber],OvalData[],MATCH(Table2[[#Headers],[slatlength]],Table2[#Headers],0),0)</f>
        <v xml:space="preserve"> 18 ft.- 5 7/ 8"</v>
      </c>
      <c r="AP727" s="2">
        <f>VLOOKUP([jobnumber],OvalData[],MATCH(Table2[[#Headers],[Bottom Slat Length]],Table2[#Headers],0),0)</f>
        <v>0</v>
      </c>
      <c r="AQ727" s="2">
        <f>VLOOKUP([jobnumber],OvalData[],MATCH(Table2[[#Headers],[Number of Perferated Slats]],Table2[#Headers],0),0)</f>
        <v>0</v>
      </c>
      <c r="AR727" s="2">
        <f>VLOOKUP([jobnumber],OvalData[],MATCH(Table2[[#Headers],[First Preferated Slat From End]],Table2[#Headers],0),0)</f>
        <v>0</v>
      </c>
      <c r="AS727" s="2">
        <f>VLOOKUP([jobnumber],OvalData[],MATCH(Table2[[#Headers],[First Preferated Slat From Bottom]],Table2[#Headers],0),0)</f>
        <v>0</v>
      </c>
      <c r="AT727" s="2">
        <f>VLOOKUP([jobnumber],OvalData[],MATCH(Table2[[#Headers],[Total Number of Slats]],Table2[#Headers],0),0)</f>
        <v>51</v>
      </c>
      <c r="AU727" s="2">
        <f>VLOOKUP([jobnumber],OvalData[],MATCH(Table2[[#Headers],[Bottom Bar Slope]],Table2[#Headers],0),0)</f>
        <v>0</v>
      </c>
      <c r="AV727" s="2">
        <f>VLOOKUP([jobnumber],OvalData[],MATCH(Table2[[#Headers],[Bottom Bar Weight]],Table2[#Headers],0),0)</f>
        <v>80.5</v>
      </c>
      <c r="AW727" s="2" t="str">
        <f>VLOOKUP([jobnumber],OvalData[],MATCH(Table2[[#Headers],[Outer Spring Gage]],Table2[#Headers],0),0)</f>
        <v>Null</v>
      </c>
      <c r="AX727" s="2" t="str">
        <f>VLOOKUP([jobnumber],OvalData[],MATCH(Table2[[#Headers],[Outer Spring OD]],Table2[#Headers],0),0)</f>
        <v>Null</v>
      </c>
      <c r="AY727" s="2" t="str">
        <f>VLOOKUP([jobnumber],OvalData[],MATCH(Table2[[#Headers],[Outer Spring Length]],Table2[#Headers],0),0)</f>
        <v>Null</v>
      </c>
      <c r="AZ727" s="2" t="str">
        <f>VLOOKUP([jobnumber],OvalData[],MATCH(Table2[[#Headers],[Outer Spring Stretch]],Table2[#Headers],0),0)</f>
        <v>Null</v>
      </c>
      <c r="BA727" s="2" t="str">
        <f>VLOOKUP([jobnumber],OvalData[],MATCH(Table2[[#Headers],[Outer Spring Torque]],Table2[#Headers],0),0)</f>
        <v>Null</v>
      </c>
      <c r="BB727" s="2" t="str">
        <f>VLOOKUP([jobnumber],OvalData[],MATCH(Table2[[#Headers],[Outer Spring Max Turns]],Table2[#Headers],0),0)</f>
        <v>Null</v>
      </c>
      <c r="BC727" s="2" t="str">
        <f>VLOOKUP([jobnumber],OvalData[],MATCH(Table2[[#Headers],[Outer Spring Weight]],Table2[#Headers],0),0)</f>
        <v>Null</v>
      </c>
      <c r="BD727" s="2" t="str">
        <f>VLOOKUP([jobnumber],OvalData[],MATCH(Table2[[#Headers],[Inner Spring Gage]],Table2[#Headers],0),0)</f>
        <v>Null</v>
      </c>
      <c r="BE727" s="2" t="str">
        <f>VLOOKUP([jobnumber],OvalData[],MATCH(Table2[[#Headers],[Inner Spring OD]],Table2[#Headers],0),0)</f>
        <v>Null</v>
      </c>
      <c r="BF727" s="2" t="str">
        <f>VLOOKUP([jobnumber],OvalData[],MATCH(Table2[[#Headers],[Inner Spring Length]],Table2[#Headers],0),0)</f>
        <v>Null</v>
      </c>
      <c r="BG727" s="2" t="str">
        <f>VLOOKUP([jobnumber],OvalData[],MATCH(Table2[[#Headers],[Inner Spring Stretch]],Table2[#Headers],0),0)</f>
        <v>Null</v>
      </c>
      <c r="BH727" s="2" t="str">
        <f>VLOOKUP([jobnumber],OvalData[],MATCH(Table2[[#Headers],[Inner Spring Torque]],Table2[#Headers],0),0)</f>
        <v>Null</v>
      </c>
      <c r="BI727" s="2" t="str">
        <f>VLOOKUP([jobnumber],OvalData[],MATCH(Table2[[#Headers],[Inner Spring Max Turns]],Table2[#Headers],0),0)</f>
        <v>Null</v>
      </c>
      <c r="BJ727" s="2" t="str">
        <f>VLOOKUP([jobnumber],OvalData[],MATCH(Table2[[#Headers],[Inner Spring Weight]],Table2[#Headers],0),0)</f>
        <v>Null</v>
      </c>
      <c r="BK727" s="2">
        <f>VLOOKUP([jobnumber],OvalData[],MATCH(Table2[[#Headers],[Cycles]],Table2[#Headers],0),0)</f>
        <v>0</v>
      </c>
      <c r="BL727" s="2">
        <f>VLOOKUP([jobnumber],OvalData[],MATCH(Table2[[#Headers],[Total Spring Torque]],Table2[#Headers],0),0)</f>
        <v>0</v>
      </c>
      <c r="BM727" s="2">
        <f>VLOOKUP([jobnumber],OvalData[],MATCH(Table2[[#Headers],[Total Spring Weight]],Table2[#Headers],0),0)</f>
        <v>0</v>
      </c>
      <c r="BN727" s="2">
        <f>VLOOKUP([jobnumber],OvalData[],MATCH(Table2[[#Headers],[Pipe Weight]],Table2[#Headers],0),0)</f>
        <v>688.24239999999998</v>
      </c>
      <c r="BO727" s="2">
        <f>VLOOKUP([jobnumber],OvalData[],MATCH(Table2[[#Headers],[Max Pipe Deflection]],Table2[#Headers],0),0)</f>
        <v>2309</v>
      </c>
      <c r="BP727" s="2">
        <f>VLOOKUP([jobnumber],OvalData[],MATCH(Table2[[#Headers],[Number Non-Insulated Wrap Slats]],Table2[#Headers],0),0)</f>
        <v>0</v>
      </c>
      <c r="BQ727" s="2">
        <f>VLOOKUP([jobnumber],OvalData[],MATCH(Table2[[#Headers],[Number of Insolated Top Slats]],Table2[#Headers],0),0)</f>
        <v>45</v>
      </c>
      <c r="BR727" s="2">
        <f>VLOOKUP([jobnumber],OvalData[],MATCH(Table2[[#Headers],[Insolated Total Slats]],Table2[#Headers],0),0)</f>
        <v>45</v>
      </c>
      <c r="BS727" s="2">
        <f>VLOOKUP([jobnumber],OvalData[],MATCH(Table2[[#Headers],[Number of Slats]],Table2[#Headers],0),0)</f>
        <v>44.69</v>
      </c>
      <c r="BT727" s="2">
        <f>VLOOKUP([jobnumber],OvalData[],MATCH(Table2[[#Headers],[Wrap]],Table2[#Headers],0),0)</f>
        <v>0</v>
      </c>
      <c r="BU727" s="2">
        <f>VLOOKUP([jobnumber],OvalData[],MATCH(Table2[[#Headers],[Wall Angle Thickness]],Table2[#Headers],0),0)</f>
        <v>0</v>
      </c>
      <c r="BV727" s="2">
        <f>VLOOKUP([jobnumber],OvalData[],MATCH(Table2[[#Headers],[windlocks]],Table2[#Headers],0),0)</f>
        <v>0</v>
      </c>
      <c r="BW727" s="2" t="str">
        <f>VLOOKUP([jobnumber],OvalData[],MATCH(Table2[[#Headers],[bottombartype]],Table2[#Headers],0),0)</f>
        <v>SPECIAL</v>
      </c>
      <c r="BX727" s="2">
        <f>VLOOKUP([jobnumber],OvalData[],MATCH(Table2[[#Headers],[endlockweight]],Table2[#Headers],0),0)</f>
        <v>0.17</v>
      </c>
      <c r="BY727" s="2">
        <f>VLOOKUP([jobnumber],OvalData[],MATCH(Table2[[#Headers],[Endlock Total Weight]],Table2[#Headers],0),0)</f>
        <v>7.5972999999999997</v>
      </c>
      <c r="BZ727" s="2">
        <f>VLOOKUP([jobnumber],OvalData[],MATCH(Table2[[#Headers],[Grille Weight]],Table2[#Headers],0),0)</f>
        <v>0</v>
      </c>
      <c r="CA727" s="2">
        <f>VLOOKUP([jobnumber],OvalData[],MATCH(Table2[[#Headers],[barrelrings]],Table2[#Headers],0),0)</f>
        <v>1</v>
      </c>
    </row>
    <row r="728" spans="2:79">
      <c r="B728" s="2" t="str">
        <f>VLOOKUP([jobnumber],OvalData[],MATCH(Table2[[#Headers],[Hand]],Table2[#Headers],0),0)</f>
        <v>RH</v>
      </c>
      <c r="C728" s="2" t="str">
        <f>VLOOKUP([jobnumber],OvalData[],MATCH(Table2[[#Headers],[Model]],Table2[#Headers],0),0)</f>
        <v>SFMPP</v>
      </c>
      <c r="D728" s="2" t="str">
        <f>VLOOKUP([jobnumber],OvalData[],MATCH(Table2[[#Headers],[width]],Table2[#Headers],0),0)</f>
        <v xml:space="preserve"> 18 ft.- 2"</v>
      </c>
      <c r="E728" s="2" t="str">
        <f>VLOOKUP([jobnumber],OvalData[],MATCH(Table2[[#Headers],[stopheight]],Table2[#Headers],0),0)</f>
        <v xml:space="preserve"> 10 ft.- 0"</v>
      </c>
      <c r="F728" s="2" t="str">
        <f>VLOOKUP([jobnumber],OvalData[],MATCH(Table2[[#Headers],[Between Brackets]],Table2[#Headers],0),0)</f>
        <v xml:space="preserve"> 18 ft.- 7 7/ 8"</v>
      </c>
      <c r="G728" s="2" t="str">
        <f>VLOOKUP([jobnumber],OvalData[],MATCH(Table2[[#Headers],[shell]],Table2[#Headers],0),0)</f>
        <v>6 INCH TUBE</v>
      </c>
      <c r="H728" s="2" t="str">
        <f>VLOOKUP([jobnumber],OvalData[],MATCH(Table2[[#Headers],[pipewidth]],Table2[#Headers],0),0)</f>
        <v xml:space="preserve"> 18 ft.- 1 3/ 8"</v>
      </c>
      <c r="I728" s="2">
        <f>VLOOKUP([jobnumber],OvalData[],MATCH(Table2[[#Headers],[Support Tubes]],Table2[#Headers],0),0)</f>
        <v>0</v>
      </c>
      <c r="J728" s="2">
        <f>VLOOKUP([jobnumber],OvalData[],MATCH(Table2[[#Headers],[Upset]],Table2[#Headers],0),0)</f>
        <v>2</v>
      </c>
      <c r="K728" s="2" t="str">
        <f>VLOOKUP([jobnumber],OvalData[],MATCH(Table2[[#Headers],[Guide Type]],Table2[#Headers],0),0)</f>
        <v>SN2-4 5/8-E</v>
      </c>
      <c r="L728" s="2" t="str">
        <f>VLOOKUP([jobnumber],OvalData[],MATCH(Table2[[#Headers],[Wall Angle]],Table2[#Headers],0),0)</f>
        <v xml:space="preserve"> 11 ft.- 8"</v>
      </c>
      <c r="M728" s="2" t="str">
        <f>VLOOKUP([jobnumber],OvalData[],MATCH(Table2[[#Headers],[Middle Angle]],Table2[#Headers],0),0)</f>
        <v xml:space="preserve"> 10 ft.- 4 1/ 2"</v>
      </c>
      <c r="N728" s="2" t="str">
        <f>VLOOKUP([jobnumber],OvalData[],MATCH(Table2[[#Headers],[Front Angle]],Table2[#Headers],0),0)</f>
        <v xml:space="preserve"> 10 ft.- 3"</v>
      </c>
      <c r="O728" s="2">
        <f>VLOOKUP([jobnumber],OvalData[],MATCH(Table2[[#Headers],[Pipe Center Line]],Table2[#Headers],0),0)</f>
        <v>131</v>
      </c>
      <c r="P728" s="2">
        <f>VLOOKUP([jobnumber],OvalData[],MATCH(Table2[[#Headers],[Heat Expansion Gap]],Table2[#Headers],0),0)</f>
        <v>0</v>
      </c>
      <c r="Q728" s="2">
        <f>VLOOKUP([jobnumber],OvalData[],MATCH(Table2[[#Headers],[Hanging Weight Closed]],Table2[#Headers],0),0)</f>
        <v>795</v>
      </c>
      <c r="R728" s="2">
        <f>VLOOKUP([jobnumber],OvalData[],MATCH(Table2[[#Headers],[Hanging Weight Open]],Table2[#Headers],0),0)</f>
        <v>140</v>
      </c>
      <c r="S728" s="2">
        <f>VLOOKUP([jobnumber],OvalData[],MATCH(Table2[[#Headers],[Initial Lever Arm]],Table2[#Headers],0),0)</f>
        <v>4.25</v>
      </c>
      <c r="T728" s="2">
        <f>VLOOKUP([jobnumber],OvalData[],MATCH(Table2[[#Headers],[Turns to Raise]],Table2[#Headers],0),0)</f>
        <v>3.5859999999999999</v>
      </c>
      <c r="U728" s="2">
        <f>VLOOKUP([jobnumber],OvalData[],MATCH(Table2[[#Headers],[Final Lever Arm]],Table2[#Headers],0),0)</f>
        <v>6.37</v>
      </c>
      <c r="V728" s="2">
        <f>VLOOKUP([jobnumber],OvalData[],MATCH(Table2[[#Headers],[Torque Required Closed]],Table2[#Headers],0),0)</f>
        <v>3377.9</v>
      </c>
      <c r="W728" s="2">
        <f>VLOOKUP([jobnumber],OvalData[],MATCH(Table2[[#Headers],[Torque Required Open]],Table2[#Headers],0),0)</f>
        <v>892</v>
      </c>
      <c r="X728" s="2">
        <f>VLOOKUP([jobnumber],OvalData[],MATCH(Table2[[#Headers],[Pre Turns]],Table2[#Headers],0),0)</f>
        <v>1.3332999999999999</v>
      </c>
      <c r="Y728" s="2">
        <f>VLOOKUP([jobnumber],OvalData[],MATCH(Table2[[#Headers],[Required Torque Per Turn]],Table2[#Headers],0),0)</f>
        <v>688</v>
      </c>
      <c r="Z728" s="2">
        <f>VLOOKUP([jobnumber],OvalData[],MATCH(Table2[[#Headers],[Total Turns]],Table2[#Headers],0),0)</f>
        <v>4.91</v>
      </c>
      <c r="AA728" s="2">
        <f>VLOOKUP([jobnumber],OvalData[],MATCH(Table2[[#Headers],[Grille Vision Section]],Table2[#Headers],0),0)</f>
        <v>0</v>
      </c>
      <c r="AB728" s="2">
        <f>VLOOKUP([jobnumber],OvalData[],MATCH(Table2[[#Headers],[Grille Amount]],Table2[#Headers],0),0)</f>
        <v>0</v>
      </c>
      <c r="AC728" s="2">
        <f>VLOOKUP([jobnumber],OvalData[],MATCH(Table2[[#Headers],[Grille Center]],Table2[#Headers],0),0)</f>
        <v>0</v>
      </c>
      <c r="AD728" s="2">
        <f>VLOOKUP([jobnumber],OvalData[],MATCH(Table2[[#Headers],[Grille Pattern]],Table2[#Headers],0),0)</f>
        <v>0</v>
      </c>
      <c r="AE728" s="2">
        <f>VLOOKUP([jobnumber],OvalData[],MATCH(Table2[[#Headers],[Grille First Tube]],Table2[#Headers],0),0)</f>
        <v>0</v>
      </c>
      <c r="AF728" s="2">
        <f>VLOOKUP([jobnumber],OvalData[],MATCH(Table2[[#Headers],[Grille Standard Tube]],Table2[#Headers],0),0)</f>
        <v>0</v>
      </c>
      <c r="AG728" s="2">
        <f>VLOOKUP([jobnumber],OvalData[],MATCH(Table2[[#Headers],[Grille Total Links]],Table2[#Headers],0),0)</f>
        <v>0</v>
      </c>
      <c r="AH728" s="2">
        <f>VLOOKUP([jobnumber],OvalData[],MATCH(Table2[[#Headers],[Grille Rods]],Table2[#Headers],0),0)</f>
        <v>0</v>
      </c>
      <c r="AI728" s="2">
        <f>VLOOKUP([jobnumber],OvalData[],MATCH(Table2[[#Headers],[Grille Rod Length]],Table2[#Headers],0),0)</f>
        <v>0</v>
      </c>
      <c r="AJ728" s="2">
        <f>VLOOKUP([jobnumber],OvalData[],MATCH(Table2[[#Headers],[slattype]],Table2[#Headers],0),0)</f>
        <v>2</v>
      </c>
      <c r="AK728" s="2">
        <f>VLOOKUP([jobnumber],OvalData[],MATCH(Table2[[#Headers],[slatgage]],Table2[#Headers],0),0)</f>
        <v>18</v>
      </c>
      <c r="AL728" s="2">
        <f>VLOOKUP([jobnumber],OvalData[],MATCH(Table2[[#Headers],[Numer of Top Slats]],Table2[#Headers],0),0)</f>
        <v>0</v>
      </c>
      <c r="AM728" s="2">
        <f>VLOOKUP([jobnumber],OvalData[],MATCH(Table2[[#Headers],[Number of Bottom Slats]],Table2[#Headers],0),0)</f>
        <v>0</v>
      </c>
      <c r="AN728" s="2">
        <f>VLOOKUP([jobnumber],OvalData[],MATCH(Table2[[#Headers],[Solid Bottom Height]],Table2[#Headers],0),0)</f>
        <v>0</v>
      </c>
      <c r="AO728" s="2" t="str">
        <f>VLOOKUP([jobnumber],OvalData[],MATCH(Table2[[#Headers],[slatlength]],Table2[#Headers],0),0)</f>
        <v xml:space="preserve"> 18 ft.- 5 7/ 8"</v>
      </c>
      <c r="AP728" s="2">
        <f>VLOOKUP([jobnumber],OvalData[],MATCH(Table2[[#Headers],[Bottom Slat Length]],Table2[#Headers],0),0)</f>
        <v>0</v>
      </c>
      <c r="AQ728" s="2">
        <f>VLOOKUP([jobnumber],OvalData[],MATCH(Table2[[#Headers],[Number of Perferated Slats]],Table2[#Headers],0),0)</f>
        <v>0</v>
      </c>
      <c r="AR728" s="2">
        <f>VLOOKUP([jobnumber],OvalData[],MATCH(Table2[[#Headers],[First Preferated Slat From End]],Table2[#Headers],0),0)</f>
        <v>0</v>
      </c>
      <c r="AS728" s="2">
        <f>VLOOKUP([jobnumber],OvalData[],MATCH(Table2[[#Headers],[First Preferated Slat From Bottom]],Table2[#Headers],0),0)</f>
        <v>0</v>
      </c>
      <c r="AT728" s="2">
        <f>VLOOKUP([jobnumber],OvalData[],MATCH(Table2[[#Headers],[Total Number of Slats]],Table2[#Headers],0),0)</f>
        <v>51</v>
      </c>
      <c r="AU728" s="2">
        <f>VLOOKUP([jobnumber],OvalData[],MATCH(Table2[[#Headers],[Bottom Bar Slope]],Table2[#Headers],0),0)</f>
        <v>0</v>
      </c>
      <c r="AV728" s="2">
        <f>VLOOKUP([jobnumber],OvalData[],MATCH(Table2[[#Headers],[Bottom Bar Weight]],Table2[#Headers],0),0)</f>
        <v>80.5</v>
      </c>
      <c r="AW728" s="2" t="str">
        <f>VLOOKUP([jobnumber],OvalData[],MATCH(Table2[[#Headers],[Outer Spring Gage]],Table2[#Headers],0),0)</f>
        <v>Null</v>
      </c>
      <c r="AX728" s="2" t="str">
        <f>VLOOKUP([jobnumber],OvalData[],MATCH(Table2[[#Headers],[Outer Spring OD]],Table2[#Headers],0),0)</f>
        <v>Null</v>
      </c>
      <c r="AY728" s="2" t="str">
        <f>VLOOKUP([jobnumber],OvalData[],MATCH(Table2[[#Headers],[Outer Spring Length]],Table2[#Headers],0),0)</f>
        <v>Null</v>
      </c>
      <c r="AZ728" s="2" t="str">
        <f>VLOOKUP([jobnumber],OvalData[],MATCH(Table2[[#Headers],[Outer Spring Stretch]],Table2[#Headers],0),0)</f>
        <v>Null</v>
      </c>
      <c r="BA728" s="2" t="str">
        <f>VLOOKUP([jobnumber],OvalData[],MATCH(Table2[[#Headers],[Outer Spring Torque]],Table2[#Headers],0),0)</f>
        <v>Null</v>
      </c>
      <c r="BB728" s="2" t="str">
        <f>VLOOKUP([jobnumber],OvalData[],MATCH(Table2[[#Headers],[Outer Spring Max Turns]],Table2[#Headers],0),0)</f>
        <v>Null</v>
      </c>
      <c r="BC728" s="2" t="str">
        <f>VLOOKUP([jobnumber],OvalData[],MATCH(Table2[[#Headers],[Outer Spring Weight]],Table2[#Headers],0),0)</f>
        <v>Null</v>
      </c>
      <c r="BD728" s="2" t="str">
        <f>VLOOKUP([jobnumber],OvalData[],MATCH(Table2[[#Headers],[Inner Spring Gage]],Table2[#Headers],0),0)</f>
        <v>Null</v>
      </c>
      <c r="BE728" s="2" t="str">
        <f>VLOOKUP([jobnumber],OvalData[],MATCH(Table2[[#Headers],[Inner Spring OD]],Table2[#Headers],0),0)</f>
        <v>Null</v>
      </c>
      <c r="BF728" s="2" t="str">
        <f>VLOOKUP([jobnumber],OvalData[],MATCH(Table2[[#Headers],[Inner Spring Length]],Table2[#Headers],0),0)</f>
        <v>Null</v>
      </c>
      <c r="BG728" s="2" t="str">
        <f>VLOOKUP([jobnumber],OvalData[],MATCH(Table2[[#Headers],[Inner Spring Stretch]],Table2[#Headers],0),0)</f>
        <v>Null</v>
      </c>
      <c r="BH728" s="2" t="str">
        <f>VLOOKUP([jobnumber],OvalData[],MATCH(Table2[[#Headers],[Inner Spring Torque]],Table2[#Headers],0),0)</f>
        <v>Null</v>
      </c>
      <c r="BI728" s="2" t="str">
        <f>VLOOKUP([jobnumber],OvalData[],MATCH(Table2[[#Headers],[Inner Spring Max Turns]],Table2[#Headers],0),0)</f>
        <v>Null</v>
      </c>
      <c r="BJ728" s="2" t="str">
        <f>VLOOKUP([jobnumber],OvalData[],MATCH(Table2[[#Headers],[Inner Spring Weight]],Table2[#Headers],0),0)</f>
        <v>Null</v>
      </c>
      <c r="BK728" s="2">
        <f>VLOOKUP([jobnumber],OvalData[],MATCH(Table2[[#Headers],[Cycles]],Table2[#Headers],0),0)</f>
        <v>0</v>
      </c>
      <c r="BL728" s="2">
        <f>VLOOKUP([jobnumber],OvalData[],MATCH(Table2[[#Headers],[Total Spring Torque]],Table2[#Headers],0),0)</f>
        <v>0</v>
      </c>
      <c r="BM728" s="2">
        <f>VLOOKUP([jobnumber],OvalData[],MATCH(Table2[[#Headers],[Total Spring Weight]],Table2[#Headers],0),0)</f>
        <v>0</v>
      </c>
      <c r="BN728" s="2">
        <f>VLOOKUP([jobnumber],OvalData[],MATCH(Table2[[#Headers],[Pipe Weight]],Table2[#Headers],0),0)</f>
        <v>688.24239999999998</v>
      </c>
      <c r="BO728" s="2">
        <f>VLOOKUP([jobnumber],OvalData[],MATCH(Table2[[#Headers],[Max Pipe Deflection]],Table2[#Headers],0),0)</f>
        <v>2309</v>
      </c>
      <c r="BP728" s="2">
        <f>VLOOKUP([jobnumber],OvalData[],MATCH(Table2[[#Headers],[Number Non-Insulated Wrap Slats]],Table2[#Headers],0),0)</f>
        <v>0</v>
      </c>
      <c r="BQ728" s="2">
        <f>VLOOKUP([jobnumber],OvalData[],MATCH(Table2[[#Headers],[Number of Insolated Top Slats]],Table2[#Headers],0),0)</f>
        <v>45</v>
      </c>
      <c r="BR728" s="2">
        <f>VLOOKUP([jobnumber],OvalData[],MATCH(Table2[[#Headers],[Insolated Total Slats]],Table2[#Headers],0),0)</f>
        <v>45</v>
      </c>
      <c r="BS728" s="2">
        <f>VLOOKUP([jobnumber],OvalData[],MATCH(Table2[[#Headers],[Number of Slats]],Table2[#Headers],0),0)</f>
        <v>44.69</v>
      </c>
      <c r="BT728" s="2">
        <f>VLOOKUP([jobnumber],OvalData[],MATCH(Table2[[#Headers],[Wrap]],Table2[#Headers],0),0)</f>
        <v>0</v>
      </c>
      <c r="BU728" s="2">
        <f>VLOOKUP([jobnumber],OvalData[],MATCH(Table2[[#Headers],[Wall Angle Thickness]],Table2[#Headers],0),0)</f>
        <v>0</v>
      </c>
      <c r="BV728" s="2">
        <f>VLOOKUP([jobnumber],OvalData[],MATCH(Table2[[#Headers],[windlocks]],Table2[#Headers],0),0)</f>
        <v>0</v>
      </c>
      <c r="BW728" s="2" t="str">
        <f>VLOOKUP([jobnumber],OvalData[],MATCH(Table2[[#Headers],[bottombartype]],Table2[#Headers],0),0)</f>
        <v>SPECIAL</v>
      </c>
      <c r="BX728" s="2">
        <f>VLOOKUP([jobnumber],OvalData[],MATCH(Table2[[#Headers],[endlockweight]],Table2[#Headers],0),0)</f>
        <v>0.17</v>
      </c>
      <c r="BY728" s="2">
        <f>VLOOKUP([jobnumber],OvalData[],MATCH(Table2[[#Headers],[Endlock Total Weight]],Table2[#Headers],0),0)</f>
        <v>7.5972999999999997</v>
      </c>
      <c r="BZ728" s="2">
        <f>VLOOKUP([jobnumber],OvalData[],MATCH(Table2[[#Headers],[Grille Weight]],Table2[#Headers],0),0)</f>
        <v>0</v>
      </c>
      <c r="CA728" s="2">
        <f>VLOOKUP([jobnumber],OvalData[],MATCH(Table2[[#Headers],[barrelrings]],Table2[#Headers],0),0)</f>
        <v>1</v>
      </c>
    </row>
    <row r="729" spans="2:79">
      <c r="B729" s="2" t="str">
        <f>VLOOKUP([jobnumber],OvalData[],MATCH(Table2[[#Headers],[Hand]],Table2[#Headers],0),0)</f>
        <v>RH</v>
      </c>
      <c r="C729" s="2" t="str">
        <f>VLOOKUP([jobnumber],OvalData[],MATCH(Table2[[#Headers],[Model]],Table2[#Headers],0),0)</f>
        <v>SFMPP</v>
      </c>
      <c r="D729" s="2" t="str">
        <f>VLOOKUP([jobnumber],OvalData[],MATCH(Table2[[#Headers],[width]],Table2[#Headers],0),0)</f>
        <v xml:space="preserve"> 18 ft.- 2"</v>
      </c>
      <c r="E729" s="2" t="str">
        <f>VLOOKUP([jobnumber],OvalData[],MATCH(Table2[[#Headers],[stopheight]],Table2[#Headers],0),0)</f>
        <v xml:space="preserve"> 10 ft.- 0"</v>
      </c>
      <c r="F729" s="2" t="str">
        <f>VLOOKUP([jobnumber],OvalData[],MATCH(Table2[[#Headers],[Between Brackets]],Table2[#Headers],0),0)</f>
        <v xml:space="preserve"> 18 ft.- 7 7/ 8"</v>
      </c>
      <c r="G729" s="2" t="str">
        <f>VLOOKUP([jobnumber],OvalData[],MATCH(Table2[[#Headers],[shell]],Table2[#Headers],0),0)</f>
        <v>6 INCH TUBE</v>
      </c>
      <c r="H729" s="2" t="str">
        <f>VLOOKUP([jobnumber],OvalData[],MATCH(Table2[[#Headers],[pipewidth]],Table2[#Headers],0),0)</f>
        <v xml:space="preserve"> 18 ft.- 1 3/ 8"</v>
      </c>
      <c r="I729" s="2">
        <f>VLOOKUP([jobnumber],OvalData[],MATCH(Table2[[#Headers],[Support Tubes]],Table2[#Headers],0),0)</f>
        <v>0</v>
      </c>
      <c r="J729" s="2">
        <f>VLOOKUP([jobnumber],OvalData[],MATCH(Table2[[#Headers],[Upset]],Table2[#Headers],0),0)</f>
        <v>2</v>
      </c>
      <c r="K729" s="2" t="str">
        <f>VLOOKUP([jobnumber],OvalData[],MATCH(Table2[[#Headers],[Guide Type]],Table2[#Headers],0),0)</f>
        <v>SN2-4 5/8-E</v>
      </c>
      <c r="L729" s="2" t="str">
        <f>VLOOKUP([jobnumber],OvalData[],MATCH(Table2[[#Headers],[Wall Angle]],Table2[#Headers],0),0)</f>
        <v xml:space="preserve"> 11 ft.- 8"</v>
      </c>
      <c r="M729" s="2" t="str">
        <f>VLOOKUP([jobnumber],OvalData[],MATCH(Table2[[#Headers],[Middle Angle]],Table2[#Headers],0),0)</f>
        <v xml:space="preserve"> 10 ft.- 4 1/ 2"</v>
      </c>
      <c r="N729" s="2" t="str">
        <f>VLOOKUP([jobnumber],OvalData[],MATCH(Table2[[#Headers],[Front Angle]],Table2[#Headers],0),0)</f>
        <v xml:space="preserve"> 10 ft.- 3"</v>
      </c>
      <c r="O729" s="2">
        <f>VLOOKUP([jobnumber],OvalData[],MATCH(Table2[[#Headers],[Pipe Center Line]],Table2[#Headers],0),0)</f>
        <v>131</v>
      </c>
      <c r="P729" s="2">
        <f>VLOOKUP([jobnumber],OvalData[],MATCH(Table2[[#Headers],[Heat Expansion Gap]],Table2[#Headers],0),0)</f>
        <v>0</v>
      </c>
      <c r="Q729" s="2">
        <f>VLOOKUP([jobnumber],OvalData[],MATCH(Table2[[#Headers],[Hanging Weight Closed]],Table2[#Headers],0),0)</f>
        <v>795</v>
      </c>
      <c r="R729" s="2">
        <f>VLOOKUP([jobnumber],OvalData[],MATCH(Table2[[#Headers],[Hanging Weight Open]],Table2[#Headers],0),0)</f>
        <v>140</v>
      </c>
      <c r="S729" s="2">
        <f>VLOOKUP([jobnumber],OvalData[],MATCH(Table2[[#Headers],[Initial Lever Arm]],Table2[#Headers],0),0)</f>
        <v>4.25</v>
      </c>
      <c r="T729" s="2">
        <f>VLOOKUP([jobnumber],OvalData[],MATCH(Table2[[#Headers],[Turns to Raise]],Table2[#Headers],0),0)</f>
        <v>3.5859999999999999</v>
      </c>
      <c r="U729" s="2">
        <f>VLOOKUP([jobnumber],OvalData[],MATCH(Table2[[#Headers],[Final Lever Arm]],Table2[#Headers],0),0)</f>
        <v>6.37</v>
      </c>
      <c r="V729" s="2">
        <f>VLOOKUP([jobnumber],OvalData[],MATCH(Table2[[#Headers],[Torque Required Closed]],Table2[#Headers],0),0)</f>
        <v>3377.9</v>
      </c>
      <c r="W729" s="2">
        <f>VLOOKUP([jobnumber],OvalData[],MATCH(Table2[[#Headers],[Torque Required Open]],Table2[#Headers],0),0)</f>
        <v>892</v>
      </c>
      <c r="X729" s="2">
        <f>VLOOKUP([jobnumber],OvalData[],MATCH(Table2[[#Headers],[Pre Turns]],Table2[#Headers],0),0)</f>
        <v>1.3332999999999999</v>
      </c>
      <c r="Y729" s="2">
        <f>VLOOKUP([jobnumber],OvalData[],MATCH(Table2[[#Headers],[Required Torque Per Turn]],Table2[#Headers],0),0)</f>
        <v>688</v>
      </c>
      <c r="Z729" s="2">
        <f>VLOOKUP([jobnumber],OvalData[],MATCH(Table2[[#Headers],[Total Turns]],Table2[#Headers],0),0)</f>
        <v>4.91</v>
      </c>
      <c r="AA729" s="2">
        <f>VLOOKUP([jobnumber],OvalData[],MATCH(Table2[[#Headers],[Grille Vision Section]],Table2[#Headers],0),0)</f>
        <v>0</v>
      </c>
      <c r="AB729" s="2">
        <f>VLOOKUP([jobnumber],OvalData[],MATCH(Table2[[#Headers],[Grille Amount]],Table2[#Headers],0),0)</f>
        <v>0</v>
      </c>
      <c r="AC729" s="2">
        <f>VLOOKUP([jobnumber],OvalData[],MATCH(Table2[[#Headers],[Grille Center]],Table2[#Headers],0),0)</f>
        <v>0</v>
      </c>
      <c r="AD729" s="2">
        <f>VLOOKUP([jobnumber],OvalData[],MATCH(Table2[[#Headers],[Grille Pattern]],Table2[#Headers],0),0)</f>
        <v>0</v>
      </c>
      <c r="AE729" s="2">
        <f>VLOOKUP([jobnumber],OvalData[],MATCH(Table2[[#Headers],[Grille First Tube]],Table2[#Headers],0),0)</f>
        <v>0</v>
      </c>
      <c r="AF729" s="2">
        <f>VLOOKUP([jobnumber],OvalData[],MATCH(Table2[[#Headers],[Grille Standard Tube]],Table2[#Headers],0),0)</f>
        <v>0</v>
      </c>
      <c r="AG729" s="2">
        <f>VLOOKUP([jobnumber],OvalData[],MATCH(Table2[[#Headers],[Grille Total Links]],Table2[#Headers],0),0)</f>
        <v>0</v>
      </c>
      <c r="AH729" s="2">
        <f>VLOOKUP([jobnumber],OvalData[],MATCH(Table2[[#Headers],[Grille Rods]],Table2[#Headers],0),0)</f>
        <v>0</v>
      </c>
      <c r="AI729" s="2">
        <f>VLOOKUP([jobnumber],OvalData[],MATCH(Table2[[#Headers],[Grille Rod Length]],Table2[#Headers],0),0)</f>
        <v>0</v>
      </c>
      <c r="AJ729" s="2">
        <f>VLOOKUP([jobnumber],OvalData[],MATCH(Table2[[#Headers],[slattype]],Table2[#Headers],0),0)</f>
        <v>2</v>
      </c>
      <c r="AK729" s="2">
        <f>VLOOKUP([jobnumber],OvalData[],MATCH(Table2[[#Headers],[slatgage]],Table2[#Headers],0),0)</f>
        <v>18</v>
      </c>
      <c r="AL729" s="2">
        <f>VLOOKUP([jobnumber],OvalData[],MATCH(Table2[[#Headers],[Numer of Top Slats]],Table2[#Headers],0),0)</f>
        <v>0</v>
      </c>
      <c r="AM729" s="2">
        <f>VLOOKUP([jobnumber],OvalData[],MATCH(Table2[[#Headers],[Number of Bottom Slats]],Table2[#Headers],0),0)</f>
        <v>0</v>
      </c>
      <c r="AN729" s="2">
        <f>VLOOKUP([jobnumber],OvalData[],MATCH(Table2[[#Headers],[Solid Bottom Height]],Table2[#Headers],0),0)</f>
        <v>0</v>
      </c>
      <c r="AO729" s="2" t="str">
        <f>VLOOKUP([jobnumber],OvalData[],MATCH(Table2[[#Headers],[slatlength]],Table2[#Headers],0),0)</f>
        <v xml:space="preserve"> 18 ft.- 5 7/ 8"</v>
      </c>
      <c r="AP729" s="2">
        <f>VLOOKUP([jobnumber],OvalData[],MATCH(Table2[[#Headers],[Bottom Slat Length]],Table2[#Headers],0),0)</f>
        <v>0</v>
      </c>
      <c r="AQ729" s="2">
        <f>VLOOKUP([jobnumber],OvalData[],MATCH(Table2[[#Headers],[Number of Perferated Slats]],Table2[#Headers],0),0)</f>
        <v>0</v>
      </c>
      <c r="AR729" s="2">
        <f>VLOOKUP([jobnumber],OvalData[],MATCH(Table2[[#Headers],[First Preferated Slat From End]],Table2[#Headers],0),0)</f>
        <v>0</v>
      </c>
      <c r="AS729" s="2">
        <f>VLOOKUP([jobnumber],OvalData[],MATCH(Table2[[#Headers],[First Preferated Slat From Bottom]],Table2[#Headers],0),0)</f>
        <v>0</v>
      </c>
      <c r="AT729" s="2">
        <f>VLOOKUP([jobnumber],OvalData[],MATCH(Table2[[#Headers],[Total Number of Slats]],Table2[#Headers],0),0)</f>
        <v>51</v>
      </c>
      <c r="AU729" s="2">
        <f>VLOOKUP([jobnumber],OvalData[],MATCH(Table2[[#Headers],[Bottom Bar Slope]],Table2[#Headers],0),0)</f>
        <v>0</v>
      </c>
      <c r="AV729" s="2">
        <f>VLOOKUP([jobnumber],OvalData[],MATCH(Table2[[#Headers],[Bottom Bar Weight]],Table2[#Headers],0),0)</f>
        <v>80.5</v>
      </c>
      <c r="AW729" s="2" t="str">
        <f>VLOOKUP([jobnumber],OvalData[],MATCH(Table2[[#Headers],[Outer Spring Gage]],Table2[#Headers],0),0)</f>
        <v>Null</v>
      </c>
      <c r="AX729" s="2" t="str">
        <f>VLOOKUP([jobnumber],OvalData[],MATCH(Table2[[#Headers],[Outer Spring OD]],Table2[#Headers],0),0)</f>
        <v>Null</v>
      </c>
      <c r="AY729" s="2" t="str">
        <f>VLOOKUP([jobnumber],OvalData[],MATCH(Table2[[#Headers],[Outer Spring Length]],Table2[#Headers],0),0)</f>
        <v>Null</v>
      </c>
      <c r="AZ729" s="2" t="str">
        <f>VLOOKUP([jobnumber],OvalData[],MATCH(Table2[[#Headers],[Outer Spring Stretch]],Table2[#Headers],0),0)</f>
        <v>Null</v>
      </c>
      <c r="BA729" s="2" t="str">
        <f>VLOOKUP([jobnumber],OvalData[],MATCH(Table2[[#Headers],[Outer Spring Torque]],Table2[#Headers],0),0)</f>
        <v>Null</v>
      </c>
      <c r="BB729" s="2" t="str">
        <f>VLOOKUP([jobnumber],OvalData[],MATCH(Table2[[#Headers],[Outer Spring Max Turns]],Table2[#Headers],0),0)</f>
        <v>Null</v>
      </c>
      <c r="BC729" s="2" t="str">
        <f>VLOOKUP([jobnumber],OvalData[],MATCH(Table2[[#Headers],[Outer Spring Weight]],Table2[#Headers],0),0)</f>
        <v>Null</v>
      </c>
      <c r="BD729" s="2" t="str">
        <f>VLOOKUP([jobnumber],OvalData[],MATCH(Table2[[#Headers],[Inner Spring Gage]],Table2[#Headers],0),0)</f>
        <v>Null</v>
      </c>
      <c r="BE729" s="2" t="str">
        <f>VLOOKUP([jobnumber],OvalData[],MATCH(Table2[[#Headers],[Inner Spring OD]],Table2[#Headers],0),0)</f>
        <v>Null</v>
      </c>
      <c r="BF729" s="2" t="str">
        <f>VLOOKUP([jobnumber],OvalData[],MATCH(Table2[[#Headers],[Inner Spring Length]],Table2[#Headers],0),0)</f>
        <v>Null</v>
      </c>
      <c r="BG729" s="2" t="str">
        <f>VLOOKUP([jobnumber],OvalData[],MATCH(Table2[[#Headers],[Inner Spring Stretch]],Table2[#Headers],0),0)</f>
        <v>Null</v>
      </c>
      <c r="BH729" s="2" t="str">
        <f>VLOOKUP([jobnumber],OvalData[],MATCH(Table2[[#Headers],[Inner Spring Torque]],Table2[#Headers],0),0)</f>
        <v>Null</v>
      </c>
      <c r="BI729" s="2" t="str">
        <f>VLOOKUP([jobnumber],OvalData[],MATCH(Table2[[#Headers],[Inner Spring Max Turns]],Table2[#Headers],0),0)</f>
        <v>Null</v>
      </c>
      <c r="BJ729" s="2" t="str">
        <f>VLOOKUP([jobnumber],OvalData[],MATCH(Table2[[#Headers],[Inner Spring Weight]],Table2[#Headers],0),0)</f>
        <v>Null</v>
      </c>
      <c r="BK729" s="2">
        <f>VLOOKUP([jobnumber],OvalData[],MATCH(Table2[[#Headers],[Cycles]],Table2[#Headers],0),0)</f>
        <v>0</v>
      </c>
      <c r="BL729" s="2">
        <f>VLOOKUP([jobnumber],OvalData[],MATCH(Table2[[#Headers],[Total Spring Torque]],Table2[#Headers],0),0)</f>
        <v>0</v>
      </c>
      <c r="BM729" s="2">
        <f>VLOOKUP([jobnumber],OvalData[],MATCH(Table2[[#Headers],[Total Spring Weight]],Table2[#Headers],0),0)</f>
        <v>0</v>
      </c>
      <c r="BN729" s="2">
        <f>VLOOKUP([jobnumber],OvalData[],MATCH(Table2[[#Headers],[Pipe Weight]],Table2[#Headers],0),0)</f>
        <v>688.24239999999998</v>
      </c>
      <c r="BO729" s="2">
        <f>VLOOKUP([jobnumber],OvalData[],MATCH(Table2[[#Headers],[Max Pipe Deflection]],Table2[#Headers],0),0)</f>
        <v>2309</v>
      </c>
      <c r="BP729" s="2">
        <f>VLOOKUP([jobnumber],OvalData[],MATCH(Table2[[#Headers],[Number Non-Insulated Wrap Slats]],Table2[#Headers],0),0)</f>
        <v>0</v>
      </c>
      <c r="BQ729" s="2">
        <f>VLOOKUP([jobnumber],OvalData[],MATCH(Table2[[#Headers],[Number of Insolated Top Slats]],Table2[#Headers],0),0)</f>
        <v>45</v>
      </c>
      <c r="BR729" s="2">
        <f>VLOOKUP([jobnumber],OvalData[],MATCH(Table2[[#Headers],[Insolated Total Slats]],Table2[#Headers],0),0)</f>
        <v>45</v>
      </c>
      <c r="BS729" s="2">
        <f>VLOOKUP([jobnumber],OvalData[],MATCH(Table2[[#Headers],[Number of Slats]],Table2[#Headers],0),0)</f>
        <v>44.69</v>
      </c>
      <c r="BT729" s="2">
        <f>VLOOKUP([jobnumber],OvalData[],MATCH(Table2[[#Headers],[Wrap]],Table2[#Headers],0),0)</f>
        <v>0</v>
      </c>
      <c r="BU729" s="2">
        <f>VLOOKUP([jobnumber],OvalData[],MATCH(Table2[[#Headers],[Wall Angle Thickness]],Table2[#Headers],0),0)</f>
        <v>0</v>
      </c>
      <c r="BV729" s="2">
        <f>VLOOKUP([jobnumber],OvalData[],MATCH(Table2[[#Headers],[windlocks]],Table2[#Headers],0),0)</f>
        <v>0</v>
      </c>
      <c r="BW729" s="2" t="str">
        <f>VLOOKUP([jobnumber],OvalData[],MATCH(Table2[[#Headers],[bottombartype]],Table2[#Headers],0),0)</f>
        <v>SPECIAL</v>
      </c>
      <c r="BX729" s="2">
        <f>VLOOKUP([jobnumber],OvalData[],MATCH(Table2[[#Headers],[endlockweight]],Table2[#Headers],0),0)</f>
        <v>0.17</v>
      </c>
      <c r="BY729" s="2">
        <f>VLOOKUP([jobnumber],OvalData[],MATCH(Table2[[#Headers],[Endlock Total Weight]],Table2[#Headers],0),0)</f>
        <v>7.5972999999999997</v>
      </c>
      <c r="BZ729" s="2">
        <f>VLOOKUP([jobnumber],OvalData[],MATCH(Table2[[#Headers],[Grille Weight]],Table2[#Headers],0),0)</f>
        <v>0</v>
      </c>
      <c r="CA729" s="2">
        <f>VLOOKUP([jobnumber],OvalData[],MATCH(Table2[[#Headers],[barrelrings]],Table2[#Headers],0),0)</f>
        <v>1</v>
      </c>
    </row>
    <row r="730" spans="2:79">
      <c r="B730" s="2" t="str">
        <f>VLOOKUP([jobnumber],OvalData[],MATCH(Table2[[#Headers],[Hand]],Table2[#Headers],0),0)</f>
        <v>RH</v>
      </c>
      <c r="C730" s="2" t="str">
        <f>VLOOKUP([jobnumber],OvalData[],MATCH(Table2[[#Headers],[Model]],Table2[#Headers],0),0)</f>
        <v>SFMPP</v>
      </c>
      <c r="D730" s="2" t="str">
        <f>VLOOKUP([jobnumber],OvalData[],MATCH(Table2[[#Headers],[width]],Table2[#Headers],0),0)</f>
        <v xml:space="preserve"> 18 ft.- 2"</v>
      </c>
      <c r="E730" s="2" t="str">
        <f>VLOOKUP([jobnumber],OvalData[],MATCH(Table2[[#Headers],[stopheight]],Table2[#Headers],0),0)</f>
        <v xml:space="preserve"> 10 ft.- 0"</v>
      </c>
      <c r="F730" s="2" t="str">
        <f>VLOOKUP([jobnumber],OvalData[],MATCH(Table2[[#Headers],[Between Brackets]],Table2[#Headers],0),0)</f>
        <v xml:space="preserve"> 18 ft.- 7 7/ 8"</v>
      </c>
      <c r="G730" s="2" t="str">
        <f>VLOOKUP([jobnumber],OvalData[],MATCH(Table2[[#Headers],[shell]],Table2[#Headers],0),0)</f>
        <v>6 INCH TUBE</v>
      </c>
      <c r="H730" s="2" t="str">
        <f>VLOOKUP([jobnumber],OvalData[],MATCH(Table2[[#Headers],[pipewidth]],Table2[#Headers],0),0)</f>
        <v xml:space="preserve"> 18 ft.- 1 3/ 8"</v>
      </c>
      <c r="I730" s="2">
        <f>VLOOKUP([jobnumber],OvalData[],MATCH(Table2[[#Headers],[Support Tubes]],Table2[#Headers],0),0)</f>
        <v>0</v>
      </c>
      <c r="J730" s="2">
        <f>VLOOKUP([jobnumber],OvalData[],MATCH(Table2[[#Headers],[Upset]],Table2[#Headers],0),0)</f>
        <v>2</v>
      </c>
      <c r="K730" s="2" t="str">
        <f>VLOOKUP([jobnumber],OvalData[],MATCH(Table2[[#Headers],[Guide Type]],Table2[#Headers],0),0)</f>
        <v>SN2-4 5/8-E</v>
      </c>
      <c r="L730" s="2" t="str">
        <f>VLOOKUP([jobnumber],OvalData[],MATCH(Table2[[#Headers],[Wall Angle]],Table2[#Headers],0),0)</f>
        <v xml:space="preserve"> 11 ft.- 8"</v>
      </c>
      <c r="M730" s="2" t="str">
        <f>VLOOKUP([jobnumber],OvalData[],MATCH(Table2[[#Headers],[Middle Angle]],Table2[#Headers],0),0)</f>
        <v xml:space="preserve"> 10 ft.- 4 1/ 2"</v>
      </c>
      <c r="N730" s="2" t="str">
        <f>VLOOKUP([jobnumber],OvalData[],MATCH(Table2[[#Headers],[Front Angle]],Table2[#Headers],0),0)</f>
        <v xml:space="preserve"> 10 ft.- 3"</v>
      </c>
      <c r="O730" s="2">
        <f>VLOOKUP([jobnumber],OvalData[],MATCH(Table2[[#Headers],[Pipe Center Line]],Table2[#Headers],0),0)</f>
        <v>131</v>
      </c>
      <c r="P730" s="2">
        <f>VLOOKUP([jobnumber],OvalData[],MATCH(Table2[[#Headers],[Heat Expansion Gap]],Table2[#Headers],0),0)</f>
        <v>0</v>
      </c>
      <c r="Q730" s="2">
        <f>VLOOKUP([jobnumber],OvalData[],MATCH(Table2[[#Headers],[Hanging Weight Closed]],Table2[#Headers],0),0)</f>
        <v>795</v>
      </c>
      <c r="R730" s="2">
        <f>VLOOKUP([jobnumber],OvalData[],MATCH(Table2[[#Headers],[Hanging Weight Open]],Table2[#Headers],0),0)</f>
        <v>140</v>
      </c>
      <c r="S730" s="2">
        <f>VLOOKUP([jobnumber],OvalData[],MATCH(Table2[[#Headers],[Initial Lever Arm]],Table2[#Headers],0),0)</f>
        <v>4.25</v>
      </c>
      <c r="T730" s="2">
        <f>VLOOKUP([jobnumber],OvalData[],MATCH(Table2[[#Headers],[Turns to Raise]],Table2[#Headers],0),0)</f>
        <v>3.5859999999999999</v>
      </c>
      <c r="U730" s="2">
        <f>VLOOKUP([jobnumber],OvalData[],MATCH(Table2[[#Headers],[Final Lever Arm]],Table2[#Headers],0),0)</f>
        <v>6.37</v>
      </c>
      <c r="V730" s="2">
        <f>VLOOKUP([jobnumber],OvalData[],MATCH(Table2[[#Headers],[Torque Required Closed]],Table2[#Headers],0),0)</f>
        <v>3377.9</v>
      </c>
      <c r="W730" s="2">
        <f>VLOOKUP([jobnumber],OvalData[],MATCH(Table2[[#Headers],[Torque Required Open]],Table2[#Headers],0),0)</f>
        <v>892</v>
      </c>
      <c r="X730" s="2">
        <f>VLOOKUP([jobnumber],OvalData[],MATCH(Table2[[#Headers],[Pre Turns]],Table2[#Headers],0),0)</f>
        <v>1.3332999999999999</v>
      </c>
      <c r="Y730" s="2">
        <f>VLOOKUP([jobnumber],OvalData[],MATCH(Table2[[#Headers],[Required Torque Per Turn]],Table2[#Headers],0),0)</f>
        <v>688</v>
      </c>
      <c r="Z730" s="2">
        <f>VLOOKUP([jobnumber],OvalData[],MATCH(Table2[[#Headers],[Total Turns]],Table2[#Headers],0),0)</f>
        <v>4.91</v>
      </c>
      <c r="AA730" s="2">
        <f>VLOOKUP([jobnumber],OvalData[],MATCH(Table2[[#Headers],[Grille Vision Section]],Table2[#Headers],0),0)</f>
        <v>0</v>
      </c>
      <c r="AB730" s="2">
        <f>VLOOKUP([jobnumber],OvalData[],MATCH(Table2[[#Headers],[Grille Amount]],Table2[#Headers],0),0)</f>
        <v>0</v>
      </c>
      <c r="AC730" s="2">
        <f>VLOOKUP([jobnumber],OvalData[],MATCH(Table2[[#Headers],[Grille Center]],Table2[#Headers],0),0)</f>
        <v>0</v>
      </c>
      <c r="AD730" s="2">
        <f>VLOOKUP([jobnumber],OvalData[],MATCH(Table2[[#Headers],[Grille Pattern]],Table2[#Headers],0),0)</f>
        <v>0</v>
      </c>
      <c r="AE730" s="2">
        <f>VLOOKUP([jobnumber],OvalData[],MATCH(Table2[[#Headers],[Grille First Tube]],Table2[#Headers],0),0)</f>
        <v>0</v>
      </c>
      <c r="AF730" s="2">
        <f>VLOOKUP([jobnumber],OvalData[],MATCH(Table2[[#Headers],[Grille Standard Tube]],Table2[#Headers],0),0)</f>
        <v>0</v>
      </c>
      <c r="AG730" s="2">
        <f>VLOOKUP([jobnumber],OvalData[],MATCH(Table2[[#Headers],[Grille Total Links]],Table2[#Headers],0),0)</f>
        <v>0</v>
      </c>
      <c r="AH730" s="2">
        <f>VLOOKUP([jobnumber],OvalData[],MATCH(Table2[[#Headers],[Grille Rods]],Table2[#Headers],0),0)</f>
        <v>0</v>
      </c>
      <c r="AI730" s="2">
        <f>VLOOKUP([jobnumber],OvalData[],MATCH(Table2[[#Headers],[Grille Rod Length]],Table2[#Headers],0),0)</f>
        <v>0</v>
      </c>
      <c r="AJ730" s="2">
        <f>VLOOKUP([jobnumber],OvalData[],MATCH(Table2[[#Headers],[slattype]],Table2[#Headers],0),0)</f>
        <v>2</v>
      </c>
      <c r="AK730" s="2">
        <f>VLOOKUP([jobnumber],OvalData[],MATCH(Table2[[#Headers],[slatgage]],Table2[#Headers],0),0)</f>
        <v>18</v>
      </c>
      <c r="AL730" s="2">
        <f>VLOOKUP([jobnumber],OvalData[],MATCH(Table2[[#Headers],[Numer of Top Slats]],Table2[#Headers],0),0)</f>
        <v>0</v>
      </c>
      <c r="AM730" s="2">
        <f>VLOOKUP([jobnumber],OvalData[],MATCH(Table2[[#Headers],[Number of Bottom Slats]],Table2[#Headers],0),0)</f>
        <v>0</v>
      </c>
      <c r="AN730" s="2">
        <f>VLOOKUP([jobnumber],OvalData[],MATCH(Table2[[#Headers],[Solid Bottom Height]],Table2[#Headers],0),0)</f>
        <v>0</v>
      </c>
      <c r="AO730" s="2" t="str">
        <f>VLOOKUP([jobnumber],OvalData[],MATCH(Table2[[#Headers],[slatlength]],Table2[#Headers],0),0)</f>
        <v xml:space="preserve"> 18 ft.- 5 7/ 8"</v>
      </c>
      <c r="AP730" s="2">
        <f>VLOOKUP([jobnumber],OvalData[],MATCH(Table2[[#Headers],[Bottom Slat Length]],Table2[#Headers],0),0)</f>
        <v>0</v>
      </c>
      <c r="AQ730" s="2">
        <f>VLOOKUP([jobnumber],OvalData[],MATCH(Table2[[#Headers],[Number of Perferated Slats]],Table2[#Headers],0),0)</f>
        <v>0</v>
      </c>
      <c r="AR730" s="2">
        <f>VLOOKUP([jobnumber],OvalData[],MATCH(Table2[[#Headers],[First Preferated Slat From End]],Table2[#Headers],0),0)</f>
        <v>0</v>
      </c>
      <c r="AS730" s="2">
        <f>VLOOKUP([jobnumber],OvalData[],MATCH(Table2[[#Headers],[First Preferated Slat From Bottom]],Table2[#Headers],0),0)</f>
        <v>0</v>
      </c>
      <c r="AT730" s="2">
        <f>VLOOKUP([jobnumber],OvalData[],MATCH(Table2[[#Headers],[Total Number of Slats]],Table2[#Headers],0),0)</f>
        <v>51</v>
      </c>
      <c r="AU730" s="2">
        <f>VLOOKUP([jobnumber],OvalData[],MATCH(Table2[[#Headers],[Bottom Bar Slope]],Table2[#Headers],0),0)</f>
        <v>0</v>
      </c>
      <c r="AV730" s="2">
        <f>VLOOKUP([jobnumber],OvalData[],MATCH(Table2[[#Headers],[Bottom Bar Weight]],Table2[#Headers],0),0)</f>
        <v>80.5</v>
      </c>
      <c r="AW730" s="2" t="str">
        <f>VLOOKUP([jobnumber],OvalData[],MATCH(Table2[[#Headers],[Outer Spring Gage]],Table2[#Headers],0),0)</f>
        <v>Null</v>
      </c>
      <c r="AX730" s="2" t="str">
        <f>VLOOKUP([jobnumber],OvalData[],MATCH(Table2[[#Headers],[Outer Spring OD]],Table2[#Headers],0),0)</f>
        <v>Null</v>
      </c>
      <c r="AY730" s="2" t="str">
        <f>VLOOKUP([jobnumber],OvalData[],MATCH(Table2[[#Headers],[Outer Spring Length]],Table2[#Headers],0),0)</f>
        <v>Null</v>
      </c>
      <c r="AZ730" s="2" t="str">
        <f>VLOOKUP([jobnumber],OvalData[],MATCH(Table2[[#Headers],[Outer Spring Stretch]],Table2[#Headers],0),0)</f>
        <v>Null</v>
      </c>
      <c r="BA730" s="2" t="str">
        <f>VLOOKUP([jobnumber],OvalData[],MATCH(Table2[[#Headers],[Outer Spring Torque]],Table2[#Headers],0),0)</f>
        <v>Null</v>
      </c>
      <c r="BB730" s="2" t="str">
        <f>VLOOKUP([jobnumber],OvalData[],MATCH(Table2[[#Headers],[Outer Spring Max Turns]],Table2[#Headers],0),0)</f>
        <v>Null</v>
      </c>
      <c r="BC730" s="2" t="str">
        <f>VLOOKUP([jobnumber],OvalData[],MATCH(Table2[[#Headers],[Outer Spring Weight]],Table2[#Headers],0),0)</f>
        <v>Null</v>
      </c>
      <c r="BD730" s="2" t="str">
        <f>VLOOKUP([jobnumber],OvalData[],MATCH(Table2[[#Headers],[Inner Spring Gage]],Table2[#Headers],0),0)</f>
        <v>Null</v>
      </c>
      <c r="BE730" s="2" t="str">
        <f>VLOOKUP([jobnumber],OvalData[],MATCH(Table2[[#Headers],[Inner Spring OD]],Table2[#Headers],0),0)</f>
        <v>Null</v>
      </c>
      <c r="BF730" s="2" t="str">
        <f>VLOOKUP([jobnumber],OvalData[],MATCH(Table2[[#Headers],[Inner Spring Length]],Table2[#Headers],0),0)</f>
        <v>Null</v>
      </c>
      <c r="BG730" s="2" t="str">
        <f>VLOOKUP([jobnumber],OvalData[],MATCH(Table2[[#Headers],[Inner Spring Stretch]],Table2[#Headers],0),0)</f>
        <v>Null</v>
      </c>
      <c r="BH730" s="2" t="str">
        <f>VLOOKUP([jobnumber],OvalData[],MATCH(Table2[[#Headers],[Inner Spring Torque]],Table2[#Headers],0),0)</f>
        <v>Null</v>
      </c>
      <c r="BI730" s="2" t="str">
        <f>VLOOKUP([jobnumber],OvalData[],MATCH(Table2[[#Headers],[Inner Spring Max Turns]],Table2[#Headers],0),0)</f>
        <v>Null</v>
      </c>
      <c r="BJ730" s="2" t="str">
        <f>VLOOKUP([jobnumber],OvalData[],MATCH(Table2[[#Headers],[Inner Spring Weight]],Table2[#Headers],0),0)</f>
        <v>Null</v>
      </c>
      <c r="BK730" s="2">
        <f>VLOOKUP([jobnumber],OvalData[],MATCH(Table2[[#Headers],[Cycles]],Table2[#Headers],0),0)</f>
        <v>0</v>
      </c>
      <c r="BL730" s="2">
        <f>VLOOKUP([jobnumber],OvalData[],MATCH(Table2[[#Headers],[Total Spring Torque]],Table2[#Headers],0),0)</f>
        <v>0</v>
      </c>
      <c r="BM730" s="2">
        <f>VLOOKUP([jobnumber],OvalData[],MATCH(Table2[[#Headers],[Total Spring Weight]],Table2[#Headers],0),0)</f>
        <v>0</v>
      </c>
      <c r="BN730" s="2">
        <f>VLOOKUP([jobnumber],OvalData[],MATCH(Table2[[#Headers],[Pipe Weight]],Table2[#Headers],0),0)</f>
        <v>688.24239999999998</v>
      </c>
      <c r="BO730" s="2">
        <f>VLOOKUP([jobnumber],OvalData[],MATCH(Table2[[#Headers],[Max Pipe Deflection]],Table2[#Headers],0),0)</f>
        <v>2309</v>
      </c>
      <c r="BP730" s="2">
        <f>VLOOKUP([jobnumber],OvalData[],MATCH(Table2[[#Headers],[Number Non-Insulated Wrap Slats]],Table2[#Headers],0),0)</f>
        <v>0</v>
      </c>
      <c r="BQ730" s="2">
        <f>VLOOKUP([jobnumber],OvalData[],MATCH(Table2[[#Headers],[Number of Insolated Top Slats]],Table2[#Headers],0),0)</f>
        <v>45</v>
      </c>
      <c r="BR730" s="2">
        <f>VLOOKUP([jobnumber],OvalData[],MATCH(Table2[[#Headers],[Insolated Total Slats]],Table2[#Headers],0),0)</f>
        <v>45</v>
      </c>
      <c r="BS730" s="2">
        <f>VLOOKUP([jobnumber],OvalData[],MATCH(Table2[[#Headers],[Number of Slats]],Table2[#Headers],0),0)</f>
        <v>44.69</v>
      </c>
      <c r="BT730" s="2">
        <f>VLOOKUP([jobnumber],OvalData[],MATCH(Table2[[#Headers],[Wrap]],Table2[#Headers],0),0)</f>
        <v>0</v>
      </c>
      <c r="BU730" s="2">
        <f>VLOOKUP([jobnumber],OvalData[],MATCH(Table2[[#Headers],[Wall Angle Thickness]],Table2[#Headers],0),0)</f>
        <v>0</v>
      </c>
      <c r="BV730" s="2">
        <f>VLOOKUP([jobnumber],OvalData[],MATCH(Table2[[#Headers],[windlocks]],Table2[#Headers],0),0)</f>
        <v>0</v>
      </c>
      <c r="BW730" s="2" t="str">
        <f>VLOOKUP([jobnumber],OvalData[],MATCH(Table2[[#Headers],[bottombartype]],Table2[#Headers],0),0)</f>
        <v>SPECIAL</v>
      </c>
      <c r="BX730" s="2">
        <f>VLOOKUP([jobnumber],OvalData[],MATCH(Table2[[#Headers],[endlockweight]],Table2[#Headers],0),0)</f>
        <v>0.17</v>
      </c>
      <c r="BY730" s="2">
        <f>VLOOKUP([jobnumber],OvalData[],MATCH(Table2[[#Headers],[Endlock Total Weight]],Table2[#Headers],0),0)</f>
        <v>7.5972999999999997</v>
      </c>
      <c r="BZ730" s="2">
        <f>VLOOKUP([jobnumber],OvalData[],MATCH(Table2[[#Headers],[Grille Weight]],Table2[#Headers],0),0)</f>
        <v>0</v>
      </c>
      <c r="CA730" s="2">
        <f>VLOOKUP([jobnumber],OvalData[],MATCH(Table2[[#Headers],[barrelrings]],Table2[#Headers],0),0)</f>
        <v>1</v>
      </c>
    </row>
    <row r="731" spans="2:79">
      <c r="B731" s="2" t="str">
        <f>VLOOKUP([jobnumber],OvalData[],MATCH(Table2[[#Headers],[Hand]],Table2[#Headers],0),0)</f>
        <v>RH</v>
      </c>
      <c r="C731" s="2" t="str">
        <f>VLOOKUP([jobnumber],OvalData[],MATCH(Table2[[#Headers],[Model]],Table2[#Headers],0),0)</f>
        <v>SFMPP</v>
      </c>
      <c r="D731" s="2" t="str">
        <f>VLOOKUP([jobnumber],OvalData[],MATCH(Table2[[#Headers],[width]],Table2[#Headers],0),0)</f>
        <v xml:space="preserve"> 18 ft.- 2"</v>
      </c>
      <c r="E731" s="2" t="str">
        <f>VLOOKUP([jobnumber],OvalData[],MATCH(Table2[[#Headers],[stopheight]],Table2[#Headers],0),0)</f>
        <v xml:space="preserve"> 10 ft.- 0"</v>
      </c>
      <c r="F731" s="2" t="str">
        <f>VLOOKUP([jobnumber],OvalData[],MATCH(Table2[[#Headers],[Between Brackets]],Table2[#Headers],0),0)</f>
        <v xml:space="preserve"> 18 ft.- 7 7/ 8"</v>
      </c>
      <c r="G731" s="2" t="str">
        <f>VLOOKUP([jobnumber],OvalData[],MATCH(Table2[[#Headers],[shell]],Table2[#Headers],0),0)</f>
        <v>6 INCH TUBE</v>
      </c>
      <c r="H731" s="2" t="str">
        <f>VLOOKUP([jobnumber],OvalData[],MATCH(Table2[[#Headers],[pipewidth]],Table2[#Headers],0),0)</f>
        <v xml:space="preserve"> 18 ft.- 1 3/ 8"</v>
      </c>
      <c r="I731" s="2">
        <f>VLOOKUP([jobnumber],OvalData[],MATCH(Table2[[#Headers],[Support Tubes]],Table2[#Headers],0),0)</f>
        <v>0</v>
      </c>
      <c r="J731" s="2">
        <f>VLOOKUP([jobnumber],OvalData[],MATCH(Table2[[#Headers],[Upset]],Table2[#Headers],0),0)</f>
        <v>2</v>
      </c>
      <c r="K731" s="2" t="str">
        <f>VLOOKUP([jobnumber],OvalData[],MATCH(Table2[[#Headers],[Guide Type]],Table2[#Headers],0),0)</f>
        <v>SN2-4 5/8-E</v>
      </c>
      <c r="L731" s="2" t="str">
        <f>VLOOKUP([jobnumber],OvalData[],MATCH(Table2[[#Headers],[Wall Angle]],Table2[#Headers],0),0)</f>
        <v xml:space="preserve"> 11 ft.- 8"</v>
      </c>
      <c r="M731" s="2" t="str">
        <f>VLOOKUP([jobnumber],OvalData[],MATCH(Table2[[#Headers],[Middle Angle]],Table2[#Headers],0),0)</f>
        <v xml:space="preserve"> 10 ft.- 4 1/ 2"</v>
      </c>
      <c r="N731" s="2" t="str">
        <f>VLOOKUP([jobnumber],OvalData[],MATCH(Table2[[#Headers],[Front Angle]],Table2[#Headers],0),0)</f>
        <v xml:space="preserve"> 10 ft.- 3"</v>
      </c>
      <c r="O731" s="2">
        <f>VLOOKUP([jobnumber],OvalData[],MATCH(Table2[[#Headers],[Pipe Center Line]],Table2[#Headers],0),0)</f>
        <v>131</v>
      </c>
      <c r="P731" s="2">
        <f>VLOOKUP([jobnumber],OvalData[],MATCH(Table2[[#Headers],[Heat Expansion Gap]],Table2[#Headers],0),0)</f>
        <v>0</v>
      </c>
      <c r="Q731" s="2">
        <f>VLOOKUP([jobnumber],OvalData[],MATCH(Table2[[#Headers],[Hanging Weight Closed]],Table2[#Headers],0),0)</f>
        <v>795</v>
      </c>
      <c r="R731" s="2">
        <f>VLOOKUP([jobnumber],OvalData[],MATCH(Table2[[#Headers],[Hanging Weight Open]],Table2[#Headers],0),0)</f>
        <v>140</v>
      </c>
      <c r="S731" s="2">
        <f>VLOOKUP([jobnumber],OvalData[],MATCH(Table2[[#Headers],[Initial Lever Arm]],Table2[#Headers],0),0)</f>
        <v>4.25</v>
      </c>
      <c r="T731" s="2">
        <f>VLOOKUP([jobnumber],OvalData[],MATCH(Table2[[#Headers],[Turns to Raise]],Table2[#Headers],0),0)</f>
        <v>3.5859999999999999</v>
      </c>
      <c r="U731" s="2">
        <f>VLOOKUP([jobnumber],OvalData[],MATCH(Table2[[#Headers],[Final Lever Arm]],Table2[#Headers],0),0)</f>
        <v>6.37</v>
      </c>
      <c r="V731" s="2">
        <f>VLOOKUP([jobnumber],OvalData[],MATCH(Table2[[#Headers],[Torque Required Closed]],Table2[#Headers],0),0)</f>
        <v>3377.9</v>
      </c>
      <c r="W731" s="2">
        <f>VLOOKUP([jobnumber],OvalData[],MATCH(Table2[[#Headers],[Torque Required Open]],Table2[#Headers],0),0)</f>
        <v>892</v>
      </c>
      <c r="X731" s="2">
        <f>VLOOKUP([jobnumber],OvalData[],MATCH(Table2[[#Headers],[Pre Turns]],Table2[#Headers],0),0)</f>
        <v>1.3332999999999999</v>
      </c>
      <c r="Y731" s="2">
        <f>VLOOKUP([jobnumber],OvalData[],MATCH(Table2[[#Headers],[Required Torque Per Turn]],Table2[#Headers],0),0)</f>
        <v>688</v>
      </c>
      <c r="Z731" s="2">
        <f>VLOOKUP([jobnumber],OvalData[],MATCH(Table2[[#Headers],[Total Turns]],Table2[#Headers],0),0)</f>
        <v>4.91</v>
      </c>
      <c r="AA731" s="2">
        <f>VLOOKUP([jobnumber],OvalData[],MATCH(Table2[[#Headers],[Grille Vision Section]],Table2[#Headers],0),0)</f>
        <v>0</v>
      </c>
      <c r="AB731" s="2">
        <f>VLOOKUP([jobnumber],OvalData[],MATCH(Table2[[#Headers],[Grille Amount]],Table2[#Headers],0),0)</f>
        <v>0</v>
      </c>
      <c r="AC731" s="2">
        <f>VLOOKUP([jobnumber],OvalData[],MATCH(Table2[[#Headers],[Grille Center]],Table2[#Headers],0),0)</f>
        <v>0</v>
      </c>
      <c r="AD731" s="2">
        <f>VLOOKUP([jobnumber],OvalData[],MATCH(Table2[[#Headers],[Grille Pattern]],Table2[#Headers],0),0)</f>
        <v>0</v>
      </c>
      <c r="AE731" s="2">
        <f>VLOOKUP([jobnumber],OvalData[],MATCH(Table2[[#Headers],[Grille First Tube]],Table2[#Headers],0),0)</f>
        <v>0</v>
      </c>
      <c r="AF731" s="2">
        <f>VLOOKUP([jobnumber],OvalData[],MATCH(Table2[[#Headers],[Grille Standard Tube]],Table2[#Headers],0),0)</f>
        <v>0</v>
      </c>
      <c r="AG731" s="2">
        <f>VLOOKUP([jobnumber],OvalData[],MATCH(Table2[[#Headers],[Grille Total Links]],Table2[#Headers],0),0)</f>
        <v>0</v>
      </c>
      <c r="AH731" s="2">
        <f>VLOOKUP([jobnumber],OvalData[],MATCH(Table2[[#Headers],[Grille Rods]],Table2[#Headers],0),0)</f>
        <v>0</v>
      </c>
      <c r="AI731" s="2">
        <f>VLOOKUP([jobnumber],OvalData[],MATCH(Table2[[#Headers],[Grille Rod Length]],Table2[#Headers],0),0)</f>
        <v>0</v>
      </c>
      <c r="AJ731" s="2">
        <f>VLOOKUP([jobnumber],OvalData[],MATCH(Table2[[#Headers],[slattype]],Table2[#Headers],0),0)</f>
        <v>2</v>
      </c>
      <c r="AK731" s="2">
        <f>VLOOKUP([jobnumber],OvalData[],MATCH(Table2[[#Headers],[slatgage]],Table2[#Headers],0),0)</f>
        <v>18</v>
      </c>
      <c r="AL731" s="2">
        <f>VLOOKUP([jobnumber],OvalData[],MATCH(Table2[[#Headers],[Numer of Top Slats]],Table2[#Headers],0),0)</f>
        <v>0</v>
      </c>
      <c r="AM731" s="2">
        <f>VLOOKUP([jobnumber],OvalData[],MATCH(Table2[[#Headers],[Number of Bottom Slats]],Table2[#Headers],0),0)</f>
        <v>0</v>
      </c>
      <c r="AN731" s="2">
        <f>VLOOKUP([jobnumber],OvalData[],MATCH(Table2[[#Headers],[Solid Bottom Height]],Table2[#Headers],0),0)</f>
        <v>0</v>
      </c>
      <c r="AO731" s="2" t="str">
        <f>VLOOKUP([jobnumber],OvalData[],MATCH(Table2[[#Headers],[slatlength]],Table2[#Headers],0),0)</f>
        <v xml:space="preserve"> 18 ft.- 5 7/ 8"</v>
      </c>
      <c r="AP731" s="2">
        <f>VLOOKUP([jobnumber],OvalData[],MATCH(Table2[[#Headers],[Bottom Slat Length]],Table2[#Headers],0),0)</f>
        <v>0</v>
      </c>
      <c r="AQ731" s="2">
        <f>VLOOKUP([jobnumber],OvalData[],MATCH(Table2[[#Headers],[Number of Perferated Slats]],Table2[#Headers],0),0)</f>
        <v>0</v>
      </c>
      <c r="AR731" s="2">
        <f>VLOOKUP([jobnumber],OvalData[],MATCH(Table2[[#Headers],[First Preferated Slat From End]],Table2[#Headers],0),0)</f>
        <v>0</v>
      </c>
      <c r="AS731" s="2">
        <f>VLOOKUP([jobnumber],OvalData[],MATCH(Table2[[#Headers],[First Preferated Slat From Bottom]],Table2[#Headers],0),0)</f>
        <v>0</v>
      </c>
      <c r="AT731" s="2">
        <f>VLOOKUP([jobnumber],OvalData[],MATCH(Table2[[#Headers],[Total Number of Slats]],Table2[#Headers],0),0)</f>
        <v>51</v>
      </c>
      <c r="AU731" s="2">
        <f>VLOOKUP([jobnumber],OvalData[],MATCH(Table2[[#Headers],[Bottom Bar Slope]],Table2[#Headers],0),0)</f>
        <v>0</v>
      </c>
      <c r="AV731" s="2">
        <f>VLOOKUP([jobnumber],OvalData[],MATCH(Table2[[#Headers],[Bottom Bar Weight]],Table2[#Headers],0),0)</f>
        <v>80.5</v>
      </c>
      <c r="AW731" s="2" t="str">
        <f>VLOOKUP([jobnumber],OvalData[],MATCH(Table2[[#Headers],[Outer Spring Gage]],Table2[#Headers],0),0)</f>
        <v>Null</v>
      </c>
      <c r="AX731" s="2" t="str">
        <f>VLOOKUP([jobnumber],OvalData[],MATCH(Table2[[#Headers],[Outer Spring OD]],Table2[#Headers],0),0)</f>
        <v>Null</v>
      </c>
      <c r="AY731" s="2" t="str">
        <f>VLOOKUP([jobnumber],OvalData[],MATCH(Table2[[#Headers],[Outer Spring Length]],Table2[#Headers],0),0)</f>
        <v>Null</v>
      </c>
      <c r="AZ731" s="2" t="str">
        <f>VLOOKUP([jobnumber],OvalData[],MATCH(Table2[[#Headers],[Outer Spring Stretch]],Table2[#Headers],0),0)</f>
        <v>Null</v>
      </c>
      <c r="BA731" s="2" t="str">
        <f>VLOOKUP([jobnumber],OvalData[],MATCH(Table2[[#Headers],[Outer Spring Torque]],Table2[#Headers],0),0)</f>
        <v>Null</v>
      </c>
      <c r="BB731" s="2" t="str">
        <f>VLOOKUP([jobnumber],OvalData[],MATCH(Table2[[#Headers],[Outer Spring Max Turns]],Table2[#Headers],0),0)</f>
        <v>Null</v>
      </c>
      <c r="BC731" s="2" t="str">
        <f>VLOOKUP([jobnumber],OvalData[],MATCH(Table2[[#Headers],[Outer Spring Weight]],Table2[#Headers],0),0)</f>
        <v>Null</v>
      </c>
      <c r="BD731" s="2" t="str">
        <f>VLOOKUP([jobnumber],OvalData[],MATCH(Table2[[#Headers],[Inner Spring Gage]],Table2[#Headers],0),0)</f>
        <v>Null</v>
      </c>
      <c r="BE731" s="2" t="str">
        <f>VLOOKUP([jobnumber],OvalData[],MATCH(Table2[[#Headers],[Inner Spring OD]],Table2[#Headers],0),0)</f>
        <v>Null</v>
      </c>
      <c r="BF731" s="2" t="str">
        <f>VLOOKUP([jobnumber],OvalData[],MATCH(Table2[[#Headers],[Inner Spring Length]],Table2[#Headers],0),0)</f>
        <v>Null</v>
      </c>
      <c r="BG731" s="2" t="str">
        <f>VLOOKUP([jobnumber],OvalData[],MATCH(Table2[[#Headers],[Inner Spring Stretch]],Table2[#Headers],0),0)</f>
        <v>Null</v>
      </c>
      <c r="BH731" s="2" t="str">
        <f>VLOOKUP([jobnumber],OvalData[],MATCH(Table2[[#Headers],[Inner Spring Torque]],Table2[#Headers],0),0)</f>
        <v>Null</v>
      </c>
      <c r="BI731" s="2" t="str">
        <f>VLOOKUP([jobnumber],OvalData[],MATCH(Table2[[#Headers],[Inner Spring Max Turns]],Table2[#Headers],0),0)</f>
        <v>Null</v>
      </c>
      <c r="BJ731" s="2" t="str">
        <f>VLOOKUP([jobnumber],OvalData[],MATCH(Table2[[#Headers],[Inner Spring Weight]],Table2[#Headers],0),0)</f>
        <v>Null</v>
      </c>
      <c r="BK731" s="2">
        <f>VLOOKUP([jobnumber],OvalData[],MATCH(Table2[[#Headers],[Cycles]],Table2[#Headers],0),0)</f>
        <v>0</v>
      </c>
      <c r="BL731" s="2">
        <f>VLOOKUP([jobnumber],OvalData[],MATCH(Table2[[#Headers],[Total Spring Torque]],Table2[#Headers],0),0)</f>
        <v>0</v>
      </c>
      <c r="BM731" s="2">
        <f>VLOOKUP([jobnumber],OvalData[],MATCH(Table2[[#Headers],[Total Spring Weight]],Table2[#Headers],0),0)</f>
        <v>0</v>
      </c>
      <c r="BN731" s="2">
        <f>VLOOKUP([jobnumber],OvalData[],MATCH(Table2[[#Headers],[Pipe Weight]],Table2[#Headers],0),0)</f>
        <v>688.24239999999998</v>
      </c>
      <c r="BO731" s="2">
        <f>VLOOKUP([jobnumber],OvalData[],MATCH(Table2[[#Headers],[Max Pipe Deflection]],Table2[#Headers],0),0)</f>
        <v>2309</v>
      </c>
      <c r="BP731" s="2">
        <f>VLOOKUP([jobnumber],OvalData[],MATCH(Table2[[#Headers],[Number Non-Insulated Wrap Slats]],Table2[#Headers],0),0)</f>
        <v>0</v>
      </c>
      <c r="BQ731" s="2">
        <f>VLOOKUP([jobnumber],OvalData[],MATCH(Table2[[#Headers],[Number of Insolated Top Slats]],Table2[#Headers],0),0)</f>
        <v>45</v>
      </c>
      <c r="BR731" s="2">
        <f>VLOOKUP([jobnumber],OvalData[],MATCH(Table2[[#Headers],[Insolated Total Slats]],Table2[#Headers],0),0)</f>
        <v>45</v>
      </c>
      <c r="BS731" s="2">
        <f>VLOOKUP([jobnumber],OvalData[],MATCH(Table2[[#Headers],[Number of Slats]],Table2[#Headers],0),0)</f>
        <v>44.69</v>
      </c>
      <c r="BT731" s="2">
        <f>VLOOKUP([jobnumber],OvalData[],MATCH(Table2[[#Headers],[Wrap]],Table2[#Headers],0),0)</f>
        <v>0</v>
      </c>
      <c r="BU731" s="2">
        <f>VLOOKUP([jobnumber],OvalData[],MATCH(Table2[[#Headers],[Wall Angle Thickness]],Table2[#Headers],0),0)</f>
        <v>0</v>
      </c>
      <c r="BV731" s="2">
        <f>VLOOKUP([jobnumber],OvalData[],MATCH(Table2[[#Headers],[windlocks]],Table2[#Headers],0),0)</f>
        <v>0</v>
      </c>
      <c r="BW731" s="2" t="str">
        <f>VLOOKUP([jobnumber],OvalData[],MATCH(Table2[[#Headers],[bottombartype]],Table2[#Headers],0),0)</f>
        <v>SPECIAL</v>
      </c>
      <c r="BX731" s="2">
        <f>VLOOKUP([jobnumber],OvalData[],MATCH(Table2[[#Headers],[endlockweight]],Table2[#Headers],0),0)</f>
        <v>0.17</v>
      </c>
      <c r="BY731" s="2">
        <f>VLOOKUP([jobnumber],OvalData[],MATCH(Table2[[#Headers],[Endlock Total Weight]],Table2[#Headers],0),0)</f>
        <v>7.5972999999999997</v>
      </c>
      <c r="BZ731" s="2">
        <f>VLOOKUP([jobnumber],OvalData[],MATCH(Table2[[#Headers],[Grille Weight]],Table2[#Headers],0),0)</f>
        <v>0</v>
      </c>
      <c r="CA731" s="2">
        <f>VLOOKUP([jobnumber],OvalData[],MATCH(Table2[[#Headers],[barrelrings]],Table2[#Headers],0),0)</f>
        <v>1</v>
      </c>
    </row>
    <row r="732" spans="2:79">
      <c r="B732" s="2" t="str">
        <f>VLOOKUP([jobnumber],OvalData[],MATCH(Table2[[#Headers],[Hand]],Table2[#Headers],0),0)</f>
        <v>RH</v>
      </c>
      <c r="C732" s="2" t="str">
        <f>VLOOKUP([jobnumber],OvalData[],MATCH(Table2[[#Headers],[Model]],Table2[#Headers],0),0)</f>
        <v>SFMPP</v>
      </c>
      <c r="D732" s="2" t="str">
        <f>VLOOKUP([jobnumber],OvalData[],MATCH(Table2[[#Headers],[width]],Table2[#Headers],0),0)</f>
        <v xml:space="preserve"> 18 ft.- 2"</v>
      </c>
      <c r="E732" s="2" t="str">
        <f>VLOOKUP([jobnumber],OvalData[],MATCH(Table2[[#Headers],[stopheight]],Table2[#Headers],0),0)</f>
        <v xml:space="preserve"> 10 ft.- 0"</v>
      </c>
      <c r="F732" s="2" t="str">
        <f>VLOOKUP([jobnumber],OvalData[],MATCH(Table2[[#Headers],[Between Brackets]],Table2[#Headers],0),0)</f>
        <v xml:space="preserve"> 18 ft.- 7 7/ 8"</v>
      </c>
      <c r="G732" s="2" t="str">
        <f>VLOOKUP([jobnumber],OvalData[],MATCH(Table2[[#Headers],[shell]],Table2[#Headers],0),0)</f>
        <v>6 INCH TUBE</v>
      </c>
      <c r="H732" s="2" t="str">
        <f>VLOOKUP([jobnumber],OvalData[],MATCH(Table2[[#Headers],[pipewidth]],Table2[#Headers],0),0)</f>
        <v xml:space="preserve"> 18 ft.- 1 3/ 8"</v>
      </c>
      <c r="I732" s="2">
        <f>VLOOKUP([jobnumber],OvalData[],MATCH(Table2[[#Headers],[Support Tubes]],Table2[#Headers],0),0)</f>
        <v>0</v>
      </c>
      <c r="J732" s="2">
        <f>VLOOKUP([jobnumber],OvalData[],MATCH(Table2[[#Headers],[Upset]],Table2[#Headers],0),0)</f>
        <v>2</v>
      </c>
      <c r="K732" s="2" t="str">
        <f>VLOOKUP([jobnumber],OvalData[],MATCH(Table2[[#Headers],[Guide Type]],Table2[#Headers],0),0)</f>
        <v>SN2-4 5/8-E</v>
      </c>
      <c r="L732" s="2" t="str">
        <f>VLOOKUP([jobnumber],OvalData[],MATCH(Table2[[#Headers],[Wall Angle]],Table2[#Headers],0),0)</f>
        <v xml:space="preserve"> 11 ft.- 8"</v>
      </c>
      <c r="M732" s="2" t="str">
        <f>VLOOKUP([jobnumber],OvalData[],MATCH(Table2[[#Headers],[Middle Angle]],Table2[#Headers],0),0)</f>
        <v xml:space="preserve"> 10 ft.- 4 1/ 2"</v>
      </c>
      <c r="N732" s="2" t="str">
        <f>VLOOKUP([jobnumber],OvalData[],MATCH(Table2[[#Headers],[Front Angle]],Table2[#Headers],0),0)</f>
        <v xml:space="preserve"> 10 ft.- 3"</v>
      </c>
      <c r="O732" s="2">
        <f>VLOOKUP([jobnumber],OvalData[],MATCH(Table2[[#Headers],[Pipe Center Line]],Table2[#Headers],0),0)</f>
        <v>131</v>
      </c>
      <c r="P732" s="2">
        <f>VLOOKUP([jobnumber],OvalData[],MATCH(Table2[[#Headers],[Heat Expansion Gap]],Table2[#Headers],0),0)</f>
        <v>0</v>
      </c>
      <c r="Q732" s="2">
        <f>VLOOKUP([jobnumber],OvalData[],MATCH(Table2[[#Headers],[Hanging Weight Closed]],Table2[#Headers],0),0)</f>
        <v>795</v>
      </c>
      <c r="R732" s="2">
        <f>VLOOKUP([jobnumber],OvalData[],MATCH(Table2[[#Headers],[Hanging Weight Open]],Table2[#Headers],0),0)</f>
        <v>140</v>
      </c>
      <c r="S732" s="2">
        <f>VLOOKUP([jobnumber],OvalData[],MATCH(Table2[[#Headers],[Initial Lever Arm]],Table2[#Headers],0),0)</f>
        <v>4.25</v>
      </c>
      <c r="T732" s="2">
        <f>VLOOKUP([jobnumber],OvalData[],MATCH(Table2[[#Headers],[Turns to Raise]],Table2[#Headers],0),0)</f>
        <v>3.5859999999999999</v>
      </c>
      <c r="U732" s="2">
        <f>VLOOKUP([jobnumber],OvalData[],MATCH(Table2[[#Headers],[Final Lever Arm]],Table2[#Headers],0),0)</f>
        <v>6.37</v>
      </c>
      <c r="V732" s="2">
        <f>VLOOKUP([jobnumber],OvalData[],MATCH(Table2[[#Headers],[Torque Required Closed]],Table2[#Headers],0),0)</f>
        <v>3377.9</v>
      </c>
      <c r="W732" s="2">
        <f>VLOOKUP([jobnumber],OvalData[],MATCH(Table2[[#Headers],[Torque Required Open]],Table2[#Headers],0),0)</f>
        <v>892</v>
      </c>
      <c r="X732" s="2">
        <f>VLOOKUP([jobnumber],OvalData[],MATCH(Table2[[#Headers],[Pre Turns]],Table2[#Headers],0),0)</f>
        <v>1.3332999999999999</v>
      </c>
      <c r="Y732" s="2">
        <f>VLOOKUP([jobnumber],OvalData[],MATCH(Table2[[#Headers],[Required Torque Per Turn]],Table2[#Headers],0),0)</f>
        <v>688</v>
      </c>
      <c r="Z732" s="2">
        <f>VLOOKUP([jobnumber],OvalData[],MATCH(Table2[[#Headers],[Total Turns]],Table2[#Headers],0),0)</f>
        <v>4.91</v>
      </c>
      <c r="AA732" s="2">
        <f>VLOOKUP([jobnumber],OvalData[],MATCH(Table2[[#Headers],[Grille Vision Section]],Table2[#Headers],0),0)</f>
        <v>0</v>
      </c>
      <c r="AB732" s="2">
        <f>VLOOKUP([jobnumber],OvalData[],MATCH(Table2[[#Headers],[Grille Amount]],Table2[#Headers],0),0)</f>
        <v>0</v>
      </c>
      <c r="AC732" s="2">
        <f>VLOOKUP([jobnumber],OvalData[],MATCH(Table2[[#Headers],[Grille Center]],Table2[#Headers],0),0)</f>
        <v>0</v>
      </c>
      <c r="AD732" s="2">
        <f>VLOOKUP([jobnumber],OvalData[],MATCH(Table2[[#Headers],[Grille Pattern]],Table2[#Headers],0),0)</f>
        <v>0</v>
      </c>
      <c r="AE732" s="2">
        <f>VLOOKUP([jobnumber],OvalData[],MATCH(Table2[[#Headers],[Grille First Tube]],Table2[#Headers],0),0)</f>
        <v>0</v>
      </c>
      <c r="AF732" s="2">
        <f>VLOOKUP([jobnumber],OvalData[],MATCH(Table2[[#Headers],[Grille Standard Tube]],Table2[#Headers],0),0)</f>
        <v>0</v>
      </c>
      <c r="AG732" s="2">
        <f>VLOOKUP([jobnumber],OvalData[],MATCH(Table2[[#Headers],[Grille Total Links]],Table2[#Headers],0),0)</f>
        <v>0</v>
      </c>
      <c r="AH732" s="2">
        <f>VLOOKUP([jobnumber],OvalData[],MATCH(Table2[[#Headers],[Grille Rods]],Table2[#Headers],0),0)</f>
        <v>0</v>
      </c>
      <c r="AI732" s="2">
        <f>VLOOKUP([jobnumber],OvalData[],MATCH(Table2[[#Headers],[Grille Rod Length]],Table2[#Headers],0),0)</f>
        <v>0</v>
      </c>
      <c r="AJ732" s="2">
        <f>VLOOKUP([jobnumber],OvalData[],MATCH(Table2[[#Headers],[slattype]],Table2[#Headers],0),0)</f>
        <v>2</v>
      </c>
      <c r="AK732" s="2">
        <f>VLOOKUP([jobnumber],OvalData[],MATCH(Table2[[#Headers],[slatgage]],Table2[#Headers],0),0)</f>
        <v>18</v>
      </c>
      <c r="AL732" s="2">
        <f>VLOOKUP([jobnumber],OvalData[],MATCH(Table2[[#Headers],[Numer of Top Slats]],Table2[#Headers],0),0)</f>
        <v>0</v>
      </c>
      <c r="AM732" s="2">
        <f>VLOOKUP([jobnumber],OvalData[],MATCH(Table2[[#Headers],[Number of Bottom Slats]],Table2[#Headers],0),0)</f>
        <v>0</v>
      </c>
      <c r="AN732" s="2">
        <f>VLOOKUP([jobnumber],OvalData[],MATCH(Table2[[#Headers],[Solid Bottom Height]],Table2[#Headers],0),0)</f>
        <v>0</v>
      </c>
      <c r="AO732" s="2" t="str">
        <f>VLOOKUP([jobnumber],OvalData[],MATCH(Table2[[#Headers],[slatlength]],Table2[#Headers],0),0)</f>
        <v xml:space="preserve"> 18 ft.- 5 7/ 8"</v>
      </c>
      <c r="AP732" s="2">
        <f>VLOOKUP([jobnumber],OvalData[],MATCH(Table2[[#Headers],[Bottom Slat Length]],Table2[#Headers],0),0)</f>
        <v>0</v>
      </c>
      <c r="AQ732" s="2">
        <f>VLOOKUP([jobnumber],OvalData[],MATCH(Table2[[#Headers],[Number of Perferated Slats]],Table2[#Headers],0),0)</f>
        <v>0</v>
      </c>
      <c r="AR732" s="2">
        <f>VLOOKUP([jobnumber],OvalData[],MATCH(Table2[[#Headers],[First Preferated Slat From End]],Table2[#Headers],0),0)</f>
        <v>0</v>
      </c>
      <c r="AS732" s="2">
        <f>VLOOKUP([jobnumber],OvalData[],MATCH(Table2[[#Headers],[First Preferated Slat From Bottom]],Table2[#Headers],0),0)</f>
        <v>0</v>
      </c>
      <c r="AT732" s="2">
        <f>VLOOKUP([jobnumber],OvalData[],MATCH(Table2[[#Headers],[Total Number of Slats]],Table2[#Headers],0),0)</f>
        <v>51</v>
      </c>
      <c r="AU732" s="2">
        <f>VLOOKUP([jobnumber],OvalData[],MATCH(Table2[[#Headers],[Bottom Bar Slope]],Table2[#Headers],0),0)</f>
        <v>0</v>
      </c>
      <c r="AV732" s="2">
        <f>VLOOKUP([jobnumber],OvalData[],MATCH(Table2[[#Headers],[Bottom Bar Weight]],Table2[#Headers],0),0)</f>
        <v>80.5</v>
      </c>
      <c r="AW732" s="2" t="str">
        <f>VLOOKUP([jobnumber],OvalData[],MATCH(Table2[[#Headers],[Outer Spring Gage]],Table2[#Headers],0),0)</f>
        <v>Null</v>
      </c>
      <c r="AX732" s="2" t="str">
        <f>VLOOKUP([jobnumber],OvalData[],MATCH(Table2[[#Headers],[Outer Spring OD]],Table2[#Headers],0),0)</f>
        <v>Null</v>
      </c>
      <c r="AY732" s="2" t="str">
        <f>VLOOKUP([jobnumber],OvalData[],MATCH(Table2[[#Headers],[Outer Spring Length]],Table2[#Headers],0),0)</f>
        <v>Null</v>
      </c>
      <c r="AZ732" s="2" t="str">
        <f>VLOOKUP([jobnumber],OvalData[],MATCH(Table2[[#Headers],[Outer Spring Stretch]],Table2[#Headers],0),0)</f>
        <v>Null</v>
      </c>
      <c r="BA732" s="2" t="str">
        <f>VLOOKUP([jobnumber],OvalData[],MATCH(Table2[[#Headers],[Outer Spring Torque]],Table2[#Headers],0),0)</f>
        <v>Null</v>
      </c>
      <c r="BB732" s="2" t="str">
        <f>VLOOKUP([jobnumber],OvalData[],MATCH(Table2[[#Headers],[Outer Spring Max Turns]],Table2[#Headers],0),0)</f>
        <v>Null</v>
      </c>
      <c r="BC732" s="2" t="str">
        <f>VLOOKUP([jobnumber],OvalData[],MATCH(Table2[[#Headers],[Outer Spring Weight]],Table2[#Headers],0),0)</f>
        <v>Null</v>
      </c>
      <c r="BD732" s="2" t="str">
        <f>VLOOKUP([jobnumber],OvalData[],MATCH(Table2[[#Headers],[Inner Spring Gage]],Table2[#Headers],0),0)</f>
        <v>Null</v>
      </c>
      <c r="BE732" s="2" t="str">
        <f>VLOOKUP([jobnumber],OvalData[],MATCH(Table2[[#Headers],[Inner Spring OD]],Table2[#Headers],0),0)</f>
        <v>Null</v>
      </c>
      <c r="BF732" s="2" t="str">
        <f>VLOOKUP([jobnumber],OvalData[],MATCH(Table2[[#Headers],[Inner Spring Length]],Table2[#Headers],0),0)</f>
        <v>Null</v>
      </c>
      <c r="BG732" s="2" t="str">
        <f>VLOOKUP([jobnumber],OvalData[],MATCH(Table2[[#Headers],[Inner Spring Stretch]],Table2[#Headers],0),0)</f>
        <v>Null</v>
      </c>
      <c r="BH732" s="2" t="str">
        <f>VLOOKUP([jobnumber],OvalData[],MATCH(Table2[[#Headers],[Inner Spring Torque]],Table2[#Headers],0),0)</f>
        <v>Null</v>
      </c>
      <c r="BI732" s="2" t="str">
        <f>VLOOKUP([jobnumber],OvalData[],MATCH(Table2[[#Headers],[Inner Spring Max Turns]],Table2[#Headers],0),0)</f>
        <v>Null</v>
      </c>
      <c r="BJ732" s="2" t="str">
        <f>VLOOKUP([jobnumber],OvalData[],MATCH(Table2[[#Headers],[Inner Spring Weight]],Table2[#Headers],0),0)</f>
        <v>Null</v>
      </c>
      <c r="BK732" s="2">
        <f>VLOOKUP([jobnumber],OvalData[],MATCH(Table2[[#Headers],[Cycles]],Table2[#Headers],0),0)</f>
        <v>0</v>
      </c>
      <c r="BL732" s="2">
        <f>VLOOKUP([jobnumber],OvalData[],MATCH(Table2[[#Headers],[Total Spring Torque]],Table2[#Headers],0),0)</f>
        <v>0</v>
      </c>
      <c r="BM732" s="2">
        <f>VLOOKUP([jobnumber],OvalData[],MATCH(Table2[[#Headers],[Total Spring Weight]],Table2[#Headers],0),0)</f>
        <v>0</v>
      </c>
      <c r="BN732" s="2">
        <f>VLOOKUP([jobnumber],OvalData[],MATCH(Table2[[#Headers],[Pipe Weight]],Table2[#Headers],0),0)</f>
        <v>688.24239999999998</v>
      </c>
      <c r="BO732" s="2">
        <f>VLOOKUP([jobnumber],OvalData[],MATCH(Table2[[#Headers],[Max Pipe Deflection]],Table2[#Headers],0),0)</f>
        <v>2309</v>
      </c>
      <c r="BP732" s="2">
        <f>VLOOKUP([jobnumber],OvalData[],MATCH(Table2[[#Headers],[Number Non-Insulated Wrap Slats]],Table2[#Headers],0),0)</f>
        <v>0</v>
      </c>
      <c r="BQ732" s="2">
        <f>VLOOKUP([jobnumber],OvalData[],MATCH(Table2[[#Headers],[Number of Insolated Top Slats]],Table2[#Headers],0),0)</f>
        <v>45</v>
      </c>
      <c r="BR732" s="2">
        <f>VLOOKUP([jobnumber],OvalData[],MATCH(Table2[[#Headers],[Insolated Total Slats]],Table2[#Headers],0),0)</f>
        <v>45</v>
      </c>
      <c r="BS732" s="2">
        <f>VLOOKUP([jobnumber],OvalData[],MATCH(Table2[[#Headers],[Number of Slats]],Table2[#Headers],0),0)</f>
        <v>44.69</v>
      </c>
      <c r="BT732" s="2">
        <f>VLOOKUP([jobnumber],OvalData[],MATCH(Table2[[#Headers],[Wrap]],Table2[#Headers],0),0)</f>
        <v>0</v>
      </c>
      <c r="BU732" s="2">
        <f>VLOOKUP([jobnumber],OvalData[],MATCH(Table2[[#Headers],[Wall Angle Thickness]],Table2[#Headers],0),0)</f>
        <v>0</v>
      </c>
      <c r="BV732" s="2">
        <f>VLOOKUP([jobnumber],OvalData[],MATCH(Table2[[#Headers],[windlocks]],Table2[#Headers],0),0)</f>
        <v>0</v>
      </c>
      <c r="BW732" s="2" t="str">
        <f>VLOOKUP([jobnumber],OvalData[],MATCH(Table2[[#Headers],[bottombartype]],Table2[#Headers],0),0)</f>
        <v>SPECIAL</v>
      </c>
      <c r="BX732" s="2">
        <f>VLOOKUP([jobnumber],OvalData[],MATCH(Table2[[#Headers],[endlockweight]],Table2[#Headers],0),0)</f>
        <v>0.17</v>
      </c>
      <c r="BY732" s="2">
        <f>VLOOKUP([jobnumber],OvalData[],MATCH(Table2[[#Headers],[Endlock Total Weight]],Table2[#Headers],0),0)</f>
        <v>7.5972999999999997</v>
      </c>
      <c r="BZ732" s="2">
        <f>VLOOKUP([jobnumber],OvalData[],MATCH(Table2[[#Headers],[Grille Weight]],Table2[#Headers],0),0)</f>
        <v>0</v>
      </c>
      <c r="CA732" s="2">
        <f>VLOOKUP([jobnumber],OvalData[],MATCH(Table2[[#Headers],[barrelrings]],Table2[#Headers],0),0)</f>
        <v>1</v>
      </c>
    </row>
    <row r="733" spans="2:79">
      <c r="B733" s="2" t="str">
        <f>VLOOKUP([jobnumber],OvalData[],MATCH(Table2[[#Headers],[Hand]],Table2[#Headers],0),0)</f>
        <v>RH</v>
      </c>
      <c r="C733" s="2" t="str">
        <f>VLOOKUP([jobnumber],OvalData[],MATCH(Table2[[#Headers],[Model]],Table2[#Headers],0),0)</f>
        <v>SFMPP</v>
      </c>
      <c r="D733" s="2" t="str">
        <f>VLOOKUP([jobnumber],OvalData[],MATCH(Table2[[#Headers],[width]],Table2[#Headers],0),0)</f>
        <v xml:space="preserve"> 18 ft.- 2"</v>
      </c>
      <c r="E733" s="2" t="str">
        <f>VLOOKUP([jobnumber],OvalData[],MATCH(Table2[[#Headers],[stopheight]],Table2[#Headers],0),0)</f>
        <v xml:space="preserve"> 10 ft.- 0"</v>
      </c>
      <c r="F733" s="2" t="str">
        <f>VLOOKUP([jobnumber],OvalData[],MATCH(Table2[[#Headers],[Between Brackets]],Table2[#Headers],0),0)</f>
        <v xml:space="preserve"> 18 ft.- 7 7/ 8"</v>
      </c>
      <c r="G733" s="2" t="str">
        <f>VLOOKUP([jobnumber],OvalData[],MATCH(Table2[[#Headers],[shell]],Table2[#Headers],0),0)</f>
        <v>6 INCH TUBE</v>
      </c>
      <c r="H733" s="2" t="str">
        <f>VLOOKUP([jobnumber],OvalData[],MATCH(Table2[[#Headers],[pipewidth]],Table2[#Headers],0),0)</f>
        <v xml:space="preserve"> 18 ft.- 1 3/ 8"</v>
      </c>
      <c r="I733" s="2">
        <f>VLOOKUP([jobnumber],OvalData[],MATCH(Table2[[#Headers],[Support Tubes]],Table2[#Headers],0),0)</f>
        <v>0</v>
      </c>
      <c r="J733" s="2">
        <f>VLOOKUP([jobnumber],OvalData[],MATCH(Table2[[#Headers],[Upset]],Table2[#Headers],0),0)</f>
        <v>2</v>
      </c>
      <c r="K733" s="2" t="str">
        <f>VLOOKUP([jobnumber],OvalData[],MATCH(Table2[[#Headers],[Guide Type]],Table2[#Headers],0),0)</f>
        <v>SN2-4 5/8-E</v>
      </c>
      <c r="L733" s="2" t="str">
        <f>VLOOKUP([jobnumber],OvalData[],MATCH(Table2[[#Headers],[Wall Angle]],Table2[#Headers],0),0)</f>
        <v xml:space="preserve"> 11 ft.- 8"</v>
      </c>
      <c r="M733" s="2" t="str">
        <f>VLOOKUP([jobnumber],OvalData[],MATCH(Table2[[#Headers],[Middle Angle]],Table2[#Headers],0),0)</f>
        <v xml:space="preserve"> 10 ft.- 4 1/ 2"</v>
      </c>
      <c r="N733" s="2" t="str">
        <f>VLOOKUP([jobnumber],OvalData[],MATCH(Table2[[#Headers],[Front Angle]],Table2[#Headers],0),0)</f>
        <v xml:space="preserve"> 10 ft.- 3"</v>
      </c>
      <c r="O733" s="2">
        <f>VLOOKUP([jobnumber],OvalData[],MATCH(Table2[[#Headers],[Pipe Center Line]],Table2[#Headers],0),0)</f>
        <v>131</v>
      </c>
      <c r="P733" s="2">
        <f>VLOOKUP([jobnumber],OvalData[],MATCH(Table2[[#Headers],[Heat Expansion Gap]],Table2[#Headers],0),0)</f>
        <v>0</v>
      </c>
      <c r="Q733" s="2">
        <f>VLOOKUP([jobnumber],OvalData[],MATCH(Table2[[#Headers],[Hanging Weight Closed]],Table2[#Headers],0),0)</f>
        <v>795</v>
      </c>
      <c r="R733" s="2">
        <f>VLOOKUP([jobnumber],OvalData[],MATCH(Table2[[#Headers],[Hanging Weight Open]],Table2[#Headers],0),0)</f>
        <v>140</v>
      </c>
      <c r="S733" s="2">
        <f>VLOOKUP([jobnumber],OvalData[],MATCH(Table2[[#Headers],[Initial Lever Arm]],Table2[#Headers],0),0)</f>
        <v>4.25</v>
      </c>
      <c r="T733" s="2">
        <f>VLOOKUP([jobnumber],OvalData[],MATCH(Table2[[#Headers],[Turns to Raise]],Table2[#Headers],0),0)</f>
        <v>3.5859999999999999</v>
      </c>
      <c r="U733" s="2">
        <f>VLOOKUP([jobnumber],OvalData[],MATCH(Table2[[#Headers],[Final Lever Arm]],Table2[#Headers],0),0)</f>
        <v>6.37</v>
      </c>
      <c r="V733" s="2">
        <f>VLOOKUP([jobnumber],OvalData[],MATCH(Table2[[#Headers],[Torque Required Closed]],Table2[#Headers],0),0)</f>
        <v>3377.9</v>
      </c>
      <c r="W733" s="2">
        <f>VLOOKUP([jobnumber],OvalData[],MATCH(Table2[[#Headers],[Torque Required Open]],Table2[#Headers],0),0)</f>
        <v>892</v>
      </c>
      <c r="X733" s="2">
        <f>VLOOKUP([jobnumber],OvalData[],MATCH(Table2[[#Headers],[Pre Turns]],Table2[#Headers],0),0)</f>
        <v>1.3332999999999999</v>
      </c>
      <c r="Y733" s="2">
        <f>VLOOKUP([jobnumber],OvalData[],MATCH(Table2[[#Headers],[Required Torque Per Turn]],Table2[#Headers],0),0)</f>
        <v>688</v>
      </c>
      <c r="Z733" s="2">
        <f>VLOOKUP([jobnumber],OvalData[],MATCH(Table2[[#Headers],[Total Turns]],Table2[#Headers],0),0)</f>
        <v>4.91</v>
      </c>
      <c r="AA733" s="2">
        <f>VLOOKUP([jobnumber],OvalData[],MATCH(Table2[[#Headers],[Grille Vision Section]],Table2[#Headers],0),0)</f>
        <v>0</v>
      </c>
      <c r="AB733" s="2">
        <f>VLOOKUP([jobnumber],OvalData[],MATCH(Table2[[#Headers],[Grille Amount]],Table2[#Headers],0),0)</f>
        <v>0</v>
      </c>
      <c r="AC733" s="2">
        <f>VLOOKUP([jobnumber],OvalData[],MATCH(Table2[[#Headers],[Grille Center]],Table2[#Headers],0),0)</f>
        <v>0</v>
      </c>
      <c r="AD733" s="2">
        <f>VLOOKUP([jobnumber],OvalData[],MATCH(Table2[[#Headers],[Grille Pattern]],Table2[#Headers],0),0)</f>
        <v>0</v>
      </c>
      <c r="AE733" s="2">
        <f>VLOOKUP([jobnumber],OvalData[],MATCH(Table2[[#Headers],[Grille First Tube]],Table2[#Headers],0),0)</f>
        <v>0</v>
      </c>
      <c r="AF733" s="2">
        <f>VLOOKUP([jobnumber],OvalData[],MATCH(Table2[[#Headers],[Grille Standard Tube]],Table2[#Headers],0),0)</f>
        <v>0</v>
      </c>
      <c r="AG733" s="2">
        <f>VLOOKUP([jobnumber],OvalData[],MATCH(Table2[[#Headers],[Grille Total Links]],Table2[#Headers],0),0)</f>
        <v>0</v>
      </c>
      <c r="AH733" s="2">
        <f>VLOOKUP([jobnumber],OvalData[],MATCH(Table2[[#Headers],[Grille Rods]],Table2[#Headers],0),0)</f>
        <v>0</v>
      </c>
      <c r="AI733" s="2">
        <f>VLOOKUP([jobnumber],OvalData[],MATCH(Table2[[#Headers],[Grille Rod Length]],Table2[#Headers],0),0)</f>
        <v>0</v>
      </c>
      <c r="AJ733" s="2">
        <f>VLOOKUP([jobnumber],OvalData[],MATCH(Table2[[#Headers],[slattype]],Table2[#Headers],0),0)</f>
        <v>2</v>
      </c>
      <c r="AK733" s="2">
        <f>VLOOKUP([jobnumber],OvalData[],MATCH(Table2[[#Headers],[slatgage]],Table2[#Headers],0),0)</f>
        <v>18</v>
      </c>
      <c r="AL733" s="2">
        <f>VLOOKUP([jobnumber],OvalData[],MATCH(Table2[[#Headers],[Numer of Top Slats]],Table2[#Headers],0),0)</f>
        <v>0</v>
      </c>
      <c r="AM733" s="2">
        <f>VLOOKUP([jobnumber],OvalData[],MATCH(Table2[[#Headers],[Number of Bottom Slats]],Table2[#Headers],0),0)</f>
        <v>0</v>
      </c>
      <c r="AN733" s="2">
        <f>VLOOKUP([jobnumber],OvalData[],MATCH(Table2[[#Headers],[Solid Bottom Height]],Table2[#Headers],0),0)</f>
        <v>0</v>
      </c>
      <c r="AO733" s="2" t="str">
        <f>VLOOKUP([jobnumber],OvalData[],MATCH(Table2[[#Headers],[slatlength]],Table2[#Headers],0),0)</f>
        <v xml:space="preserve"> 18 ft.- 5 7/ 8"</v>
      </c>
      <c r="AP733" s="2">
        <f>VLOOKUP([jobnumber],OvalData[],MATCH(Table2[[#Headers],[Bottom Slat Length]],Table2[#Headers],0),0)</f>
        <v>0</v>
      </c>
      <c r="AQ733" s="2">
        <f>VLOOKUP([jobnumber],OvalData[],MATCH(Table2[[#Headers],[Number of Perferated Slats]],Table2[#Headers],0),0)</f>
        <v>0</v>
      </c>
      <c r="AR733" s="2">
        <f>VLOOKUP([jobnumber],OvalData[],MATCH(Table2[[#Headers],[First Preferated Slat From End]],Table2[#Headers],0),0)</f>
        <v>0</v>
      </c>
      <c r="AS733" s="2">
        <f>VLOOKUP([jobnumber],OvalData[],MATCH(Table2[[#Headers],[First Preferated Slat From Bottom]],Table2[#Headers],0),0)</f>
        <v>0</v>
      </c>
      <c r="AT733" s="2">
        <f>VLOOKUP([jobnumber],OvalData[],MATCH(Table2[[#Headers],[Total Number of Slats]],Table2[#Headers],0),0)</f>
        <v>51</v>
      </c>
      <c r="AU733" s="2">
        <f>VLOOKUP([jobnumber],OvalData[],MATCH(Table2[[#Headers],[Bottom Bar Slope]],Table2[#Headers],0),0)</f>
        <v>0</v>
      </c>
      <c r="AV733" s="2">
        <f>VLOOKUP([jobnumber],OvalData[],MATCH(Table2[[#Headers],[Bottom Bar Weight]],Table2[#Headers],0),0)</f>
        <v>80.5</v>
      </c>
      <c r="AW733" s="2" t="str">
        <f>VLOOKUP([jobnumber],OvalData[],MATCH(Table2[[#Headers],[Outer Spring Gage]],Table2[#Headers],0),0)</f>
        <v>Null</v>
      </c>
      <c r="AX733" s="2" t="str">
        <f>VLOOKUP([jobnumber],OvalData[],MATCH(Table2[[#Headers],[Outer Spring OD]],Table2[#Headers],0),0)</f>
        <v>Null</v>
      </c>
      <c r="AY733" s="2" t="str">
        <f>VLOOKUP([jobnumber],OvalData[],MATCH(Table2[[#Headers],[Outer Spring Length]],Table2[#Headers],0),0)</f>
        <v>Null</v>
      </c>
      <c r="AZ733" s="2" t="str">
        <f>VLOOKUP([jobnumber],OvalData[],MATCH(Table2[[#Headers],[Outer Spring Stretch]],Table2[#Headers],0),0)</f>
        <v>Null</v>
      </c>
      <c r="BA733" s="2" t="str">
        <f>VLOOKUP([jobnumber],OvalData[],MATCH(Table2[[#Headers],[Outer Spring Torque]],Table2[#Headers],0),0)</f>
        <v>Null</v>
      </c>
      <c r="BB733" s="2" t="str">
        <f>VLOOKUP([jobnumber],OvalData[],MATCH(Table2[[#Headers],[Outer Spring Max Turns]],Table2[#Headers],0),0)</f>
        <v>Null</v>
      </c>
      <c r="BC733" s="2" t="str">
        <f>VLOOKUP([jobnumber],OvalData[],MATCH(Table2[[#Headers],[Outer Spring Weight]],Table2[#Headers],0),0)</f>
        <v>Null</v>
      </c>
      <c r="BD733" s="2" t="str">
        <f>VLOOKUP([jobnumber],OvalData[],MATCH(Table2[[#Headers],[Inner Spring Gage]],Table2[#Headers],0),0)</f>
        <v>Null</v>
      </c>
      <c r="BE733" s="2" t="str">
        <f>VLOOKUP([jobnumber],OvalData[],MATCH(Table2[[#Headers],[Inner Spring OD]],Table2[#Headers],0),0)</f>
        <v>Null</v>
      </c>
      <c r="BF733" s="2" t="str">
        <f>VLOOKUP([jobnumber],OvalData[],MATCH(Table2[[#Headers],[Inner Spring Length]],Table2[#Headers],0),0)</f>
        <v>Null</v>
      </c>
      <c r="BG733" s="2" t="str">
        <f>VLOOKUP([jobnumber],OvalData[],MATCH(Table2[[#Headers],[Inner Spring Stretch]],Table2[#Headers],0),0)</f>
        <v>Null</v>
      </c>
      <c r="BH733" s="2" t="str">
        <f>VLOOKUP([jobnumber],OvalData[],MATCH(Table2[[#Headers],[Inner Spring Torque]],Table2[#Headers],0),0)</f>
        <v>Null</v>
      </c>
      <c r="BI733" s="2" t="str">
        <f>VLOOKUP([jobnumber],OvalData[],MATCH(Table2[[#Headers],[Inner Spring Max Turns]],Table2[#Headers],0),0)</f>
        <v>Null</v>
      </c>
      <c r="BJ733" s="2" t="str">
        <f>VLOOKUP([jobnumber],OvalData[],MATCH(Table2[[#Headers],[Inner Spring Weight]],Table2[#Headers],0),0)</f>
        <v>Null</v>
      </c>
      <c r="BK733" s="2">
        <f>VLOOKUP([jobnumber],OvalData[],MATCH(Table2[[#Headers],[Cycles]],Table2[#Headers],0),0)</f>
        <v>0</v>
      </c>
      <c r="BL733" s="2">
        <f>VLOOKUP([jobnumber],OvalData[],MATCH(Table2[[#Headers],[Total Spring Torque]],Table2[#Headers],0),0)</f>
        <v>0</v>
      </c>
      <c r="BM733" s="2">
        <f>VLOOKUP([jobnumber],OvalData[],MATCH(Table2[[#Headers],[Total Spring Weight]],Table2[#Headers],0),0)</f>
        <v>0</v>
      </c>
      <c r="BN733" s="2">
        <f>VLOOKUP([jobnumber],OvalData[],MATCH(Table2[[#Headers],[Pipe Weight]],Table2[#Headers],0),0)</f>
        <v>688.24239999999998</v>
      </c>
      <c r="BO733" s="2">
        <f>VLOOKUP([jobnumber],OvalData[],MATCH(Table2[[#Headers],[Max Pipe Deflection]],Table2[#Headers],0),0)</f>
        <v>2309</v>
      </c>
      <c r="BP733" s="2">
        <f>VLOOKUP([jobnumber],OvalData[],MATCH(Table2[[#Headers],[Number Non-Insulated Wrap Slats]],Table2[#Headers],0),0)</f>
        <v>0</v>
      </c>
      <c r="BQ733" s="2">
        <f>VLOOKUP([jobnumber],OvalData[],MATCH(Table2[[#Headers],[Number of Insolated Top Slats]],Table2[#Headers],0),0)</f>
        <v>45</v>
      </c>
      <c r="BR733" s="2">
        <f>VLOOKUP([jobnumber],OvalData[],MATCH(Table2[[#Headers],[Insolated Total Slats]],Table2[#Headers],0),0)</f>
        <v>45</v>
      </c>
      <c r="BS733" s="2">
        <f>VLOOKUP([jobnumber],OvalData[],MATCH(Table2[[#Headers],[Number of Slats]],Table2[#Headers],0),0)</f>
        <v>44.69</v>
      </c>
      <c r="BT733" s="2">
        <f>VLOOKUP([jobnumber],OvalData[],MATCH(Table2[[#Headers],[Wrap]],Table2[#Headers],0),0)</f>
        <v>0</v>
      </c>
      <c r="BU733" s="2">
        <f>VLOOKUP([jobnumber],OvalData[],MATCH(Table2[[#Headers],[Wall Angle Thickness]],Table2[#Headers],0),0)</f>
        <v>0</v>
      </c>
      <c r="BV733" s="2">
        <f>VLOOKUP([jobnumber],OvalData[],MATCH(Table2[[#Headers],[windlocks]],Table2[#Headers],0),0)</f>
        <v>0</v>
      </c>
      <c r="BW733" s="2" t="str">
        <f>VLOOKUP([jobnumber],OvalData[],MATCH(Table2[[#Headers],[bottombartype]],Table2[#Headers],0),0)</f>
        <v>SPECIAL</v>
      </c>
      <c r="BX733" s="2">
        <f>VLOOKUP([jobnumber],OvalData[],MATCH(Table2[[#Headers],[endlockweight]],Table2[#Headers],0),0)</f>
        <v>0.17</v>
      </c>
      <c r="BY733" s="2">
        <f>VLOOKUP([jobnumber],OvalData[],MATCH(Table2[[#Headers],[Endlock Total Weight]],Table2[#Headers],0),0)</f>
        <v>7.5972999999999997</v>
      </c>
      <c r="BZ733" s="2">
        <f>VLOOKUP([jobnumber],OvalData[],MATCH(Table2[[#Headers],[Grille Weight]],Table2[#Headers],0),0)</f>
        <v>0</v>
      </c>
      <c r="CA733" s="2">
        <f>VLOOKUP([jobnumber],OvalData[],MATCH(Table2[[#Headers],[barrelrings]],Table2[#Headers],0),0)</f>
        <v>1</v>
      </c>
    </row>
    <row r="734" spans="2:79">
      <c r="B734" s="2" t="str">
        <f>VLOOKUP([jobnumber],OvalData[],MATCH(Table2[[#Headers],[Hand]],Table2[#Headers],0),0)</f>
        <v>RH</v>
      </c>
      <c r="C734" s="2" t="str">
        <f>VLOOKUP([jobnumber],OvalData[],MATCH(Table2[[#Headers],[Model]],Table2[#Headers],0),0)</f>
        <v>SFMPP</v>
      </c>
      <c r="D734" s="2" t="str">
        <f>VLOOKUP([jobnumber],OvalData[],MATCH(Table2[[#Headers],[width]],Table2[#Headers],0),0)</f>
        <v xml:space="preserve"> 18 ft.- 2"</v>
      </c>
      <c r="E734" s="2" t="str">
        <f>VLOOKUP([jobnumber],OvalData[],MATCH(Table2[[#Headers],[stopheight]],Table2[#Headers],0),0)</f>
        <v xml:space="preserve"> 10 ft.- 0"</v>
      </c>
      <c r="F734" s="2" t="str">
        <f>VLOOKUP([jobnumber],OvalData[],MATCH(Table2[[#Headers],[Between Brackets]],Table2[#Headers],0),0)</f>
        <v xml:space="preserve"> 18 ft.- 7 7/ 8"</v>
      </c>
      <c r="G734" s="2" t="str">
        <f>VLOOKUP([jobnumber],OvalData[],MATCH(Table2[[#Headers],[shell]],Table2[#Headers],0),0)</f>
        <v>6 INCH TUBE</v>
      </c>
      <c r="H734" s="2" t="str">
        <f>VLOOKUP([jobnumber],OvalData[],MATCH(Table2[[#Headers],[pipewidth]],Table2[#Headers],0),0)</f>
        <v xml:space="preserve"> 18 ft.- 1 3/ 8"</v>
      </c>
      <c r="I734" s="2">
        <f>VLOOKUP([jobnumber],OvalData[],MATCH(Table2[[#Headers],[Support Tubes]],Table2[#Headers],0),0)</f>
        <v>0</v>
      </c>
      <c r="J734" s="2">
        <f>VLOOKUP([jobnumber],OvalData[],MATCH(Table2[[#Headers],[Upset]],Table2[#Headers],0),0)</f>
        <v>2</v>
      </c>
      <c r="K734" s="2" t="str">
        <f>VLOOKUP([jobnumber],OvalData[],MATCH(Table2[[#Headers],[Guide Type]],Table2[#Headers],0),0)</f>
        <v>SN2-4 5/8-E</v>
      </c>
      <c r="L734" s="2" t="str">
        <f>VLOOKUP([jobnumber],OvalData[],MATCH(Table2[[#Headers],[Wall Angle]],Table2[#Headers],0),0)</f>
        <v xml:space="preserve"> 11 ft.- 8"</v>
      </c>
      <c r="M734" s="2" t="str">
        <f>VLOOKUP([jobnumber],OvalData[],MATCH(Table2[[#Headers],[Middle Angle]],Table2[#Headers],0),0)</f>
        <v xml:space="preserve"> 10 ft.- 4 1/ 2"</v>
      </c>
      <c r="N734" s="2" t="str">
        <f>VLOOKUP([jobnumber],OvalData[],MATCH(Table2[[#Headers],[Front Angle]],Table2[#Headers],0),0)</f>
        <v xml:space="preserve"> 10 ft.- 3"</v>
      </c>
      <c r="O734" s="2">
        <f>VLOOKUP([jobnumber],OvalData[],MATCH(Table2[[#Headers],[Pipe Center Line]],Table2[#Headers],0),0)</f>
        <v>131</v>
      </c>
      <c r="P734" s="2">
        <f>VLOOKUP([jobnumber],OvalData[],MATCH(Table2[[#Headers],[Heat Expansion Gap]],Table2[#Headers],0),0)</f>
        <v>0</v>
      </c>
      <c r="Q734" s="2">
        <f>VLOOKUP([jobnumber],OvalData[],MATCH(Table2[[#Headers],[Hanging Weight Closed]],Table2[#Headers],0),0)</f>
        <v>795</v>
      </c>
      <c r="R734" s="2">
        <f>VLOOKUP([jobnumber],OvalData[],MATCH(Table2[[#Headers],[Hanging Weight Open]],Table2[#Headers],0),0)</f>
        <v>140</v>
      </c>
      <c r="S734" s="2">
        <f>VLOOKUP([jobnumber],OvalData[],MATCH(Table2[[#Headers],[Initial Lever Arm]],Table2[#Headers],0),0)</f>
        <v>4.25</v>
      </c>
      <c r="T734" s="2">
        <f>VLOOKUP([jobnumber],OvalData[],MATCH(Table2[[#Headers],[Turns to Raise]],Table2[#Headers],0),0)</f>
        <v>3.5859999999999999</v>
      </c>
      <c r="U734" s="2">
        <f>VLOOKUP([jobnumber],OvalData[],MATCH(Table2[[#Headers],[Final Lever Arm]],Table2[#Headers],0),0)</f>
        <v>6.37</v>
      </c>
      <c r="V734" s="2">
        <f>VLOOKUP([jobnumber],OvalData[],MATCH(Table2[[#Headers],[Torque Required Closed]],Table2[#Headers],0),0)</f>
        <v>3377.9</v>
      </c>
      <c r="W734" s="2">
        <f>VLOOKUP([jobnumber],OvalData[],MATCH(Table2[[#Headers],[Torque Required Open]],Table2[#Headers],0),0)</f>
        <v>892</v>
      </c>
      <c r="X734" s="2">
        <f>VLOOKUP([jobnumber],OvalData[],MATCH(Table2[[#Headers],[Pre Turns]],Table2[#Headers],0),0)</f>
        <v>1.3332999999999999</v>
      </c>
      <c r="Y734" s="2">
        <f>VLOOKUP([jobnumber],OvalData[],MATCH(Table2[[#Headers],[Required Torque Per Turn]],Table2[#Headers],0),0)</f>
        <v>688</v>
      </c>
      <c r="Z734" s="2">
        <f>VLOOKUP([jobnumber],OvalData[],MATCH(Table2[[#Headers],[Total Turns]],Table2[#Headers],0),0)</f>
        <v>4.91</v>
      </c>
      <c r="AA734" s="2">
        <f>VLOOKUP([jobnumber],OvalData[],MATCH(Table2[[#Headers],[Grille Vision Section]],Table2[#Headers],0),0)</f>
        <v>0</v>
      </c>
      <c r="AB734" s="2">
        <f>VLOOKUP([jobnumber],OvalData[],MATCH(Table2[[#Headers],[Grille Amount]],Table2[#Headers],0),0)</f>
        <v>0</v>
      </c>
      <c r="AC734" s="2">
        <f>VLOOKUP([jobnumber],OvalData[],MATCH(Table2[[#Headers],[Grille Center]],Table2[#Headers],0),0)</f>
        <v>0</v>
      </c>
      <c r="AD734" s="2">
        <f>VLOOKUP([jobnumber],OvalData[],MATCH(Table2[[#Headers],[Grille Pattern]],Table2[#Headers],0),0)</f>
        <v>0</v>
      </c>
      <c r="AE734" s="2">
        <f>VLOOKUP([jobnumber],OvalData[],MATCH(Table2[[#Headers],[Grille First Tube]],Table2[#Headers],0),0)</f>
        <v>0</v>
      </c>
      <c r="AF734" s="2">
        <f>VLOOKUP([jobnumber],OvalData[],MATCH(Table2[[#Headers],[Grille Standard Tube]],Table2[#Headers],0),0)</f>
        <v>0</v>
      </c>
      <c r="AG734" s="2">
        <f>VLOOKUP([jobnumber],OvalData[],MATCH(Table2[[#Headers],[Grille Total Links]],Table2[#Headers],0),0)</f>
        <v>0</v>
      </c>
      <c r="AH734" s="2">
        <f>VLOOKUP([jobnumber],OvalData[],MATCH(Table2[[#Headers],[Grille Rods]],Table2[#Headers],0),0)</f>
        <v>0</v>
      </c>
      <c r="AI734" s="2">
        <f>VLOOKUP([jobnumber],OvalData[],MATCH(Table2[[#Headers],[Grille Rod Length]],Table2[#Headers],0),0)</f>
        <v>0</v>
      </c>
      <c r="AJ734" s="2">
        <f>VLOOKUP([jobnumber],OvalData[],MATCH(Table2[[#Headers],[slattype]],Table2[#Headers],0),0)</f>
        <v>2</v>
      </c>
      <c r="AK734" s="2">
        <f>VLOOKUP([jobnumber],OvalData[],MATCH(Table2[[#Headers],[slatgage]],Table2[#Headers],0),0)</f>
        <v>18</v>
      </c>
      <c r="AL734" s="2">
        <f>VLOOKUP([jobnumber],OvalData[],MATCH(Table2[[#Headers],[Numer of Top Slats]],Table2[#Headers],0),0)</f>
        <v>0</v>
      </c>
      <c r="AM734" s="2">
        <f>VLOOKUP([jobnumber],OvalData[],MATCH(Table2[[#Headers],[Number of Bottom Slats]],Table2[#Headers],0),0)</f>
        <v>0</v>
      </c>
      <c r="AN734" s="2">
        <f>VLOOKUP([jobnumber],OvalData[],MATCH(Table2[[#Headers],[Solid Bottom Height]],Table2[#Headers],0),0)</f>
        <v>0</v>
      </c>
      <c r="AO734" s="2" t="str">
        <f>VLOOKUP([jobnumber],OvalData[],MATCH(Table2[[#Headers],[slatlength]],Table2[#Headers],0),0)</f>
        <v xml:space="preserve"> 18 ft.- 5 7/ 8"</v>
      </c>
      <c r="AP734" s="2">
        <f>VLOOKUP([jobnumber],OvalData[],MATCH(Table2[[#Headers],[Bottom Slat Length]],Table2[#Headers],0),0)</f>
        <v>0</v>
      </c>
      <c r="AQ734" s="2">
        <f>VLOOKUP([jobnumber],OvalData[],MATCH(Table2[[#Headers],[Number of Perferated Slats]],Table2[#Headers],0),0)</f>
        <v>0</v>
      </c>
      <c r="AR734" s="2">
        <f>VLOOKUP([jobnumber],OvalData[],MATCH(Table2[[#Headers],[First Preferated Slat From End]],Table2[#Headers],0),0)</f>
        <v>0</v>
      </c>
      <c r="AS734" s="2">
        <f>VLOOKUP([jobnumber],OvalData[],MATCH(Table2[[#Headers],[First Preferated Slat From Bottom]],Table2[#Headers],0),0)</f>
        <v>0</v>
      </c>
      <c r="AT734" s="2">
        <f>VLOOKUP([jobnumber],OvalData[],MATCH(Table2[[#Headers],[Total Number of Slats]],Table2[#Headers],0),0)</f>
        <v>51</v>
      </c>
      <c r="AU734" s="2">
        <f>VLOOKUP([jobnumber],OvalData[],MATCH(Table2[[#Headers],[Bottom Bar Slope]],Table2[#Headers],0),0)</f>
        <v>0</v>
      </c>
      <c r="AV734" s="2">
        <f>VLOOKUP([jobnumber],OvalData[],MATCH(Table2[[#Headers],[Bottom Bar Weight]],Table2[#Headers],0),0)</f>
        <v>80.5</v>
      </c>
      <c r="AW734" s="2" t="str">
        <f>VLOOKUP([jobnumber],OvalData[],MATCH(Table2[[#Headers],[Outer Spring Gage]],Table2[#Headers],0),0)</f>
        <v>Null</v>
      </c>
      <c r="AX734" s="2" t="str">
        <f>VLOOKUP([jobnumber],OvalData[],MATCH(Table2[[#Headers],[Outer Spring OD]],Table2[#Headers],0),0)</f>
        <v>Null</v>
      </c>
      <c r="AY734" s="2" t="str">
        <f>VLOOKUP([jobnumber],OvalData[],MATCH(Table2[[#Headers],[Outer Spring Length]],Table2[#Headers],0),0)</f>
        <v>Null</v>
      </c>
      <c r="AZ734" s="2" t="str">
        <f>VLOOKUP([jobnumber],OvalData[],MATCH(Table2[[#Headers],[Outer Spring Stretch]],Table2[#Headers],0),0)</f>
        <v>Null</v>
      </c>
      <c r="BA734" s="2" t="str">
        <f>VLOOKUP([jobnumber],OvalData[],MATCH(Table2[[#Headers],[Outer Spring Torque]],Table2[#Headers],0),0)</f>
        <v>Null</v>
      </c>
      <c r="BB734" s="2" t="str">
        <f>VLOOKUP([jobnumber],OvalData[],MATCH(Table2[[#Headers],[Outer Spring Max Turns]],Table2[#Headers],0),0)</f>
        <v>Null</v>
      </c>
      <c r="BC734" s="2" t="str">
        <f>VLOOKUP([jobnumber],OvalData[],MATCH(Table2[[#Headers],[Outer Spring Weight]],Table2[#Headers],0),0)</f>
        <v>Null</v>
      </c>
      <c r="BD734" s="2" t="str">
        <f>VLOOKUP([jobnumber],OvalData[],MATCH(Table2[[#Headers],[Inner Spring Gage]],Table2[#Headers],0),0)</f>
        <v>Null</v>
      </c>
      <c r="BE734" s="2" t="str">
        <f>VLOOKUP([jobnumber],OvalData[],MATCH(Table2[[#Headers],[Inner Spring OD]],Table2[#Headers],0),0)</f>
        <v>Null</v>
      </c>
      <c r="BF734" s="2" t="str">
        <f>VLOOKUP([jobnumber],OvalData[],MATCH(Table2[[#Headers],[Inner Spring Length]],Table2[#Headers],0),0)</f>
        <v>Null</v>
      </c>
      <c r="BG734" s="2" t="str">
        <f>VLOOKUP([jobnumber],OvalData[],MATCH(Table2[[#Headers],[Inner Spring Stretch]],Table2[#Headers],0),0)</f>
        <v>Null</v>
      </c>
      <c r="BH734" s="2" t="str">
        <f>VLOOKUP([jobnumber],OvalData[],MATCH(Table2[[#Headers],[Inner Spring Torque]],Table2[#Headers],0),0)</f>
        <v>Null</v>
      </c>
      <c r="BI734" s="2" t="str">
        <f>VLOOKUP([jobnumber],OvalData[],MATCH(Table2[[#Headers],[Inner Spring Max Turns]],Table2[#Headers],0),0)</f>
        <v>Null</v>
      </c>
      <c r="BJ734" s="2" t="str">
        <f>VLOOKUP([jobnumber],OvalData[],MATCH(Table2[[#Headers],[Inner Spring Weight]],Table2[#Headers],0),0)</f>
        <v>Null</v>
      </c>
      <c r="BK734" s="2">
        <f>VLOOKUP([jobnumber],OvalData[],MATCH(Table2[[#Headers],[Cycles]],Table2[#Headers],0),0)</f>
        <v>0</v>
      </c>
      <c r="BL734" s="2">
        <f>VLOOKUP([jobnumber],OvalData[],MATCH(Table2[[#Headers],[Total Spring Torque]],Table2[#Headers],0),0)</f>
        <v>0</v>
      </c>
      <c r="BM734" s="2">
        <f>VLOOKUP([jobnumber],OvalData[],MATCH(Table2[[#Headers],[Total Spring Weight]],Table2[#Headers],0),0)</f>
        <v>0</v>
      </c>
      <c r="BN734" s="2">
        <f>VLOOKUP([jobnumber],OvalData[],MATCH(Table2[[#Headers],[Pipe Weight]],Table2[#Headers],0),0)</f>
        <v>688.24239999999998</v>
      </c>
      <c r="BO734" s="2">
        <f>VLOOKUP([jobnumber],OvalData[],MATCH(Table2[[#Headers],[Max Pipe Deflection]],Table2[#Headers],0),0)</f>
        <v>2309</v>
      </c>
      <c r="BP734" s="2">
        <f>VLOOKUP([jobnumber],OvalData[],MATCH(Table2[[#Headers],[Number Non-Insulated Wrap Slats]],Table2[#Headers],0),0)</f>
        <v>0</v>
      </c>
      <c r="BQ734" s="2">
        <f>VLOOKUP([jobnumber],OvalData[],MATCH(Table2[[#Headers],[Number of Insolated Top Slats]],Table2[#Headers],0),0)</f>
        <v>45</v>
      </c>
      <c r="BR734" s="2">
        <f>VLOOKUP([jobnumber],OvalData[],MATCH(Table2[[#Headers],[Insolated Total Slats]],Table2[#Headers],0),0)</f>
        <v>45</v>
      </c>
      <c r="BS734" s="2">
        <f>VLOOKUP([jobnumber],OvalData[],MATCH(Table2[[#Headers],[Number of Slats]],Table2[#Headers],0),0)</f>
        <v>44.69</v>
      </c>
      <c r="BT734" s="2">
        <f>VLOOKUP([jobnumber],OvalData[],MATCH(Table2[[#Headers],[Wrap]],Table2[#Headers],0),0)</f>
        <v>0</v>
      </c>
      <c r="BU734" s="2">
        <f>VLOOKUP([jobnumber],OvalData[],MATCH(Table2[[#Headers],[Wall Angle Thickness]],Table2[#Headers],0),0)</f>
        <v>0</v>
      </c>
      <c r="BV734" s="2">
        <f>VLOOKUP([jobnumber],OvalData[],MATCH(Table2[[#Headers],[windlocks]],Table2[#Headers],0),0)</f>
        <v>0</v>
      </c>
      <c r="BW734" s="2" t="str">
        <f>VLOOKUP([jobnumber],OvalData[],MATCH(Table2[[#Headers],[bottombartype]],Table2[#Headers],0),0)</f>
        <v>SPECIAL</v>
      </c>
      <c r="BX734" s="2">
        <f>VLOOKUP([jobnumber],OvalData[],MATCH(Table2[[#Headers],[endlockweight]],Table2[#Headers],0),0)</f>
        <v>0.17</v>
      </c>
      <c r="BY734" s="2">
        <f>VLOOKUP([jobnumber],OvalData[],MATCH(Table2[[#Headers],[Endlock Total Weight]],Table2[#Headers],0),0)</f>
        <v>7.5972999999999997</v>
      </c>
      <c r="BZ734" s="2">
        <f>VLOOKUP([jobnumber],OvalData[],MATCH(Table2[[#Headers],[Grille Weight]],Table2[#Headers],0),0)</f>
        <v>0</v>
      </c>
      <c r="CA734" s="2">
        <f>VLOOKUP([jobnumber],OvalData[],MATCH(Table2[[#Headers],[barrelrings]],Table2[#Headers],0),0)</f>
        <v>1</v>
      </c>
    </row>
    <row r="735" spans="2:79">
      <c r="B735" s="2" t="str">
        <f>VLOOKUP([jobnumber],OvalData[],MATCH(Table2[[#Headers],[Hand]],Table2[#Headers],0),0)</f>
        <v>RH</v>
      </c>
      <c r="C735" s="2" t="str">
        <f>VLOOKUP([jobnumber],OvalData[],MATCH(Table2[[#Headers],[Model]],Table2[#Headers],0),0)</f>
        <v>SFMPP</v>
      </c>
      <c r="D735" s="2" t="str">
        <f>VLOOKUP([jobnumber],OvalData[],MATCH(Table2[[#Headers],[width]],Table2[#Headers],0),0)</f>
        <v xml:space="preserve"> 18 ft.- 2"</v>
      </c>
      <c r="E735" s="2" t="str">
        <f>VLOOKUP([jobnumber],OvalData[],MATCH(Table2[[#Headers],[stopheight]],Table2[#Headers],0),0)</f>
        <v xml:space="preserve"> 10 ft.- 0"</v>
      </c>
      <c r="F735" s="2" t="str">
        <f>VLOOKUP([jobnumber],OvalData[],MATCH(Table2[[#Headers],[Between Brackets]],Table2[#Headers],0),0)</f>
        <v xml:space="preserve"> 18 ft.- 7 7/ 8"</v>
      </c>
      <c r="G735" s="2" t="str">
        <f>VLOOKUP([jobnumber],OvalData[],MATCH(Table2[[#Headers],[shell]],Table2[#Headers],0),0)</f>
        <v>6 INCH TUBE</v>
      </c>
      <c r="H735" s="2" t="str">
        <f>VLOOKUP([jobnumber],OvalData[],MATCH(Table2[[#Headers],[pipewidth]],Table2[#Headers],0),0)</f>
        <v xml:space="preserve"> 18 ft.- 1 3/ 8"</v>
      </c>
      <c r="I735" s="2">
        <f>VLOOKUP([jobnumber],OvalData[],MATCH(Table2[[#Headers],[Support Tubes]],Table2[#Headers],0),0)</f>
        <v>0</v>
      </c>
      <c r="J735" s="2">
        <f>VLOOKUP([jobnumber],OvalData[],MATCH(Table2[[#Headers],[Upset]],Table2[#Headers],0),0)</f>
        <v>2</v>
      </c>
      <c r="K735" s="2" t="str">
        <f>VLOOKUP([jobnumber],OvalData[],MATCH(Table2[[#Headers],[Guide Type]],Table2[#Headers],0),0)</f>
        <v>SN2-4 5/8-E</v>
      </c>
      <c r="L735" s="2" t="str">
        <f>VLOOKUP([jobnumber],OvalData[],MATCH(Table2[[#Headers],[Wall Angle]],Table2[#Headers],0),0)</f>
        <v xml:space="preserve"> 11 ft.- 8"</v>
      </c>
      <c r="M735" s="2" t="str">
        <f>VLOOKUP([jobnumber],OvalData[],MATCH(Table2[[#Headers],[Middle Angle]],Table2[#Headers],0),0)</f>
        <v xml:space="preserve"> 10 ft.- 4 1/ 2"</v>
      </c>
      <c r="N735" s="2" t="str">
        <f>VLOOKUP([jobnumber],OvalData[],MATCH(Table2[[#Headers],[Front Angle]],Table2[#Headers],0),0)</f>
        <v xml:space="preserve"> 10 ft.- 3"</v>
      </c>
      <c r="O735" s="2">
        <f>VLOOKUP([jobnumber],OvalData[],MATCH(Table2[[#Headers],[Pipe Center Line]],Table2[#Headers],0),0)</f>
        <v>131</v>
      </c>
      <c r="P735" s="2">
        <f>VLOOKUP([jobnumber],OvalData[],MATCH(Table2[[#Headers],[Heat Expansion Gap]],Table2[#Headers],0),0)</f>
        <v>0</v>
      </c>
      <c r="Q735" s="2">
        <f>VLOOKUP([jobnumber],OvalData[],MATCH(Table2[[#Headers],[Hanging Weight Closed]],Table2[#Headers],0),0)</f>
        <v>795</v>
      </c>
      <c r="R735" s="2">
        <f>VLOOKUP([jobnumber],OvalData[],MATCH(Table2[[#Headers],[Hanging Weight Open]],Table2[#Headers],0),0)</f>
        <v>140</v>
      </c>
      <c r="S735" s="2">
        <f>VLOOKUP([jobnumber],OvalData[],MATCH(Table2[[#Headers],[Initial Lever Arm]],Table2[#Headers],0),0)</f>
        <v>4.25</v>
      </c>
      <c r="T735" s="2">
        <f>VLOOKUP([jobnumber],OvalData[],MATCH(Table2[[#Headers],[Turns to Raise]],Table2[#Headers],0),0)</f>
        <v>3.5859999999999999</v>
      </c>
      <c r="U735" s="2">
        <f>VLOOKUP([jobnumber],OvalData[],MATCH(Table2[[#Headers],[Final Lever Arm]],Table2[#Headers],0),0)</f>
        <v>6.37</v>
      </c>
      <c r="V735" s="2">
        <f>VLOOKUP([jobnumber],OvalData[],MATCH(Table2[[#Headers],[Torque Required Closed]],Table2[#Headers],0),0)</f>
        <v>3377.9</v>
      </c>
      <c r="W735" s="2">
        <f>VLOOKUP([jobnumber],OvalData[],MATCH(Table2[[#Headers],[Torque Required Open]],Table2[#Headers],0),0)</f>
        <v>892</v>
      </c>
      <c r="X735" s="2">
        <f>VLOOKUP([jobnumber],OvalData[],MATCH(Table2[[#Headers],[Pre Turns]],Table2[#Headers],0),0)</f>
        <v>1.3332999999999999</v>
      </c>
      <c r="Y735" s="2">
        <f>VLOOKUP([jobnumber],OvalData[],MATCH(Table2[[#Headers],[Required Torque Per Turn]],Table2[#Headers],0),0)</f>
        <v>688</v>
      </c>
      <c r="Z735" s="2">
        <f>VLOOKUP([jobnumber],OvalData[],MATCH(Table2[[#Headers],[Total Turns]],Table2[#Headers],0),0)</f>
        <v>4.91</v>
      </c>
      <c r="AA735" s="2">
        <f>VLOOKUP([jobnumber],OvalData[],MATCH(Table2[[#Headers],[Grille Vision Section]],Table2[#Headers],0),0)</f>
        <v>0</v>
      </c>
      <c r="AB735" s="2">
        <f>VLOOKUP([jobnumber],OvalData[],MATCH(Table2[[#Headers],[Grille Amount]],Table2[#Headers],0),0)</f>
        <v>0</v>
      </c>
      <c r="AC735" s="2">
        <f>VLOOKUP([jobnumber],OvalData[],MATCH(Table2[[#Headers],[Grille Center]],Table2[#Headers],0),0)</f>
        <v>0</v>
      </c>
      <c r="AD735" s="2">
        <f>VLOOKUP([jobnumber],OvalData[],MATCH(Table2[[#Headers],[Grille Pattern]],Table2[#Headers],0),0)</f>
        <v>0</v>
      </c>
      <c r="AE735" s="2">
        <f>VLOOKUP([jobnumber],OvalData[],MATCH(Table2[[#Headers],[Grille First Tube]],Table2[#Headers],0),0)</f>
        <v>0</v>
      </c>
      <c r="AF735" s="2">
        <f>VLOOKUP([jobnumber],OvalData[],MATCH(Table2[[#Headers],[Grille Standard Tube]],Table2[#Headers],0),0)</f>
        <v>0</v>
      </c>
      <c r="AG735" s="2">
        <f>VLOOKUP([jobnumber],OvalData[],MATCH(Table2[[#Headers],[Grille Total Links]],Table2[#Headers],0),0)</f>
        <v>0</v>
      </c>
      <c r="AH735" s="2">
        <f>VLOOKUP([jobnumber],OvalData[],MATCH(Table2[[#Headers],[Grille Rods]],Table2[#Headers],0),0)</f>
        <v>0</v>
      </c>
      <c r="AI735" s="2">
        <f>VLOOKUP([jobnumber],OvalData[],MATCH(Table2[[#Headers],[Grille Rod Length]],Table2[#Headers],0),0)</f>
        <v>0</v>
      </c>
      <c r="AJ735" s="2">
        <f>VLOOKUP([jobnumber],OvalData[],MATCH(Table2[[#Headers],[slattype]],Table2[#Headers],0),0)</f>
        <v>2</v>
      </c>
      <c r="AK735" s="2">
        <f>VLOOKUP([jobnumber],OvalData[],MATCH(Table2[[#Headers],[slatgage]],Table2[#Headers],0),0)</f>
        <v>18</v>
      </c>
      <c r="AL735" s="2">
        <f>VLOOKUP([jobnumber],OvalData[],MATCH(Table2[[#Headers],[Numer of Top Slats]],Table2[#Headers],0),0)</f>
        <v>0</v>
      </c>
      <c r="AM735" s="2">
        <f>VLOOKUP([jobnumber],OvalData[],MATCH(Table2[[#Headers],[Number of Bottom Slats]],Table2[#Headers],0),0)</f>
        <v>0</v>
      </c>
      <c r="AN735" s="2">
        <f>VLOOKUP([jobnumber],OvalData[],MATCH(Table2[[#Headers],[Solid Bottom Height]],Table2[#Headers],0),0)</f>
        <v>0</v>
      </c>
      <c r="AO735" s="2" t="str">
        <f>VLOOKUP([jobnumber],OvalData[],MATCH(Table2[[#Headers],[slatlength]],Table2[#Headers],0),0)</f>
        <v xml:space="preserve"> 18 ft.- 5 7/ 8"</v>
      </c>
      <c r="AP735" s="2">
        <f>VLOOKUP([jobnumber],OvalData[],MATCH(Table2[[#Headers],[Bottom Slat Length]],Table2[#Headers],0),0)</f>
        <v>0</v>
      </c>
      <c r="AQ735" s="2">
        <f>VLOOKUP([jobnumber],OvalData[],MATCH(Table2[[#Headers],[Number of Perferated Slats]],Table2[#Headers],0),0)</f>
        <v>0</v>
      </c>
      <c r="AR735" s="2">
        <f>VLOOKUP([jobnumber],OvalData[],MATCH(Table2[[#Headers],[First Preferated Slat From End]],Table2[#Headers],0),0)</f>
        <v>0</v>
      </c>
      <c r="AS735" s="2">
        <f>VLOOKUP([jobnumber],OvalData[],MATCH(Table2[[#Headers],[First Preferated Slat From Bottom]],Table2[#Headers],0),0)</f>
        <v>0</v>
      </c>
      <c r="AT735" s="2">
        <f>VLOOKUP([jobnumber],OvalData[],MATCH(Table2[[#Headers],[Total Number of Slats]],Table2[#Headers],0),0)</f>
        <v>51</v>
      </c>
      <c r="AU735" s="2">
        <f>VLOOKUP([jobnumber],OvalData[],MATCH(Table2[[#Headers],[Bottom Bar Slope]],Table2[#Headers],0),0)</f>
        <v>0</v>
      </c>
      <c r="AV735" s="2">
        <f>VLOOKUP([jobnumber],OvalData[],MATCH(Table2[[#Headers],[Bottom Bar Weight]],Table2[#Headers],0),0)</f>
        <v>80.5</v>
      </c>
      <c r="AW735" s="2" t="str">
        <f>VLOOKUP([jobnumber],OvalData[],MATCH(Table2[[#Headers],[Outer Spring Gage]],Table2[#Headers],0),0)</f>
        <v>Null</v>
      </c>
      <c r="AX735" s="2" t="str">
        <f>VLOOKUP([jobnumber],OvalData[],MATCH(Table2[[#Headers],[Outer Spring OD]],Table2[#Headers],0),0)</f>
        <v>Null</v>
      </c>
      <c r="AY735" s="2" t="str">
        <f>VLOOKUP([jobnumber],OvalData[],MATCH(Table2[[#Headers],[Outer Spring Length]],Table2[#Headers],0),0)</f>
        <v>Null</v>
      </c>
      <c r="AZ735" s="2" t="str">
        <f>VLOOKUP([jobnumber],OvalData[],MATCH(Table2[[#Headers],[Outer Spring Stretch]],Table2[#Headers],0),0)</f>
        <v>Null</v>
      </c>
      <c r="BA735" s="2" t="str">
        <f>VLOOKUP([jobnumber],OvalData[],MATCH(Table2[[#Headers],[Outer Spring Torque]],Table2[#Headers],0),0)</f>
        <v>Null</v>
      </c>
      <c r="BB735" s="2" t="str">
        <f>VLOOKUP([jobnumber],OvalData[],MATCH(Table2[[#Headers],[Outer Spring Max Turns]],Table2[#Headers],0),0)</f>
        <v>Null</v>
      </c>
      <c r="BC735" s="2" t="str">
        <f>VLOOKUP([jobnumber],OvalData[],MATCH(Table2[[#Headers],[Outer Spring Weight]],Table2[#Headers],0),0)</f>
        <v>Null</v>
      </c>
      <c r="BD735" s="2" t="str">
        <f>VLOOKUP([jobnumber],OvalData[],MATCH(Table2[[#Headers],[Inner Spring Gage]],Table2[#Headers],0),0)</f>
        <v>Null</v>
      </c>
      <c r="BE735" s="2" t="str">
        <f>VLOOKUP([jobnumber],OvalData[],MATCH(Table2[[#Headers],[Inner Spring OD]],Table2[#Headers],0),0)</f>
        <v>Null</v>
      </c>
      <c r="BF735" s="2" t="str">
        <f>VLOOKUP([jobnumber],OvalData[],MATCH(Table2[[#Headers],[Inner Spring Length]],Table2[#Headers],0),0)</f>
        <v>Null</v>
      </c>
      <c r="BG735" s="2" t="str">
        <f>VLOOKUP([jobnumber],OvalData[],MATCH(Table2[[#Headers],[Inner Spring Stretch]],Table2[#Headers],0),0)</f>
        <v>Null</v>
      </c>
      <c r="BH735" s="2" t="str">
        <f>VLOOKUP([jobnumber],OvalData[],MATCH(Table2[[#Headers],[Inner Spring Torque]],Table2[#Headers],0),0)</f>
        <v>Null</v>
      </c>
      <c r="BI735" s="2" t="str">
        <f>VLOOKUP([jobnumber],OvalData[],MATCH(Table2[[#Headers],[Inner Spring Max Turns]],Table2[#Headers],0),0)</f>
        <v>Null</v>
      </c>
      <c r="BJ735" s="2" t="str">
        <f>VLOOKUP([jobnumber],OvalData[],MATCH(Table2[[#Headers],[Inner Spring Weight]],Table2[#Headers],0),0)</f>
        <v>Null</v>
      </c>
      <c r="BK735" s="2">
        <f>VLOOKUP([jobnumber],OvalData[],MATCH(Table2[[#Headers],[Cycles]],Table2[#Headers],0),0)</f>
        <v>0</v>
      </c>
      <c r="BL735" s="2">
        <f>VLOOKUP([jobnumber],OvalData[],MATCH(Table2[[#Headers],[Total Spring Torque]],Table2[#Headers],0),0)</f>
        <v>0</v>
      </c>
      <c r="BM735" s="2">
        <f>VLOOKUP([jobnumber],OvalData[],MATCH(Table2[[#Headers],[Total Spring Weight]],Table2[#Headers],0),0)</f>
        <v>0</v>
      </c>
      <c r="BN735" s="2">
        <f>VLOOKUP([jobnumber],OvalData[],MATCH(Table2[[#Headers],[Pipe Weight]],Table2[#Headers],0),0)</f>
        <v>688.24239999999998</v>
      </c>
      <c r="BO735" s="2">
        <f>VLOOKUP([jobnumber],OvalData[],MATCH(Table2[[#Headers],[Max Pipe Deflection]],Table2[#Headers],0),0)</f>
        <v>2309</v>
      </c>
      <c r="BP735" s="2">
        <f>VLOOKUP([jobnumber],OvalData[],MATCH(Table2[[#Headers],[Number Non-Insulated Wrap Slats]],Table2[#Headers],0),0)</f>
        <v>0</v>
      </c>
      <c r="BQ735" s="2">
        <f>VLOOKUP([jobnumber],OvalData[],MATCH(Table2[[#Headers],[Number of Insolated Top Slats]],Table2[#Headers],0),0)</f>
        <v>45</v>
      </c>
      <c r="BR735" s="2">
        <f>VLOOKUP([jobnumber],OvalData[],MATCH(Table2[[#Headers],[Insolated Total Slats]],Table2[#Headers],0),0)</f>
        <v>45</v>
      </c>
      <c r="BS735" s="2">
        <f>VLOOKUP([jobnumber],OvalData[],MATCH(Table2[[#Headers],[Number of Slats]],Table2[#Headers],0),0)</f>
        <v>44.69</v>
      </c>
      <c r="BT735" s="2">
        <f>VLOOKUP([jobnumber],OvalData[],MATCH(Table2[[#Headers],[Wrap]],Table2[#Headers],0),0)</f>
        <v>0</v>
      </c>
      <c r="BU735" s="2">
        <f>VLOOKUP([jobnumber],OvalData[],MATCH(Table2[[#Headers],[Wall Angle Thickness]],Table2[#Headers],0),0)</f>
        <v>0</v>
      </c>
      <c r="BV735" s="2">
        <f>VLOOKUP([jobnumber],OvalData[],MATCH(Table2[[#Headers],[windlocks]],Table2[#Headers],0),0)</f>
        <v>0</v>
      </c>
      <c r="BW735" s="2" t="str">
        <f>VLOOKUP([jobnumber],OvalData[],MATCH(Table2[[#Headers],[bottombartype]],Table2[#Headers],0),0)</f>
        <v>SPECIAL</v>
      </c>
      <c r="BX735" s="2">
        <f>VLOOKUP([jobnumber],OvalData[],MATCH(Table2[[#Headers],[endlockweight]],Table2[#Headers],0),0)</f>
        <v>0.17</v>
      </c>
      <c r="BY735" s="2">
        <f>VLOOKUP([jobnumber],OvalData[],MATCH(Table2[[#Headers],[Endlock Total Weight]],Table2[#Headers],0),0)</f>
        <v>7.5972999999999997</v>
      </c>
      <c r="BZ735" s="2">
        <f>VLOOKUP([jobnumber],OvalData[],MATCH(Table2[[#Headers],[Grille Weight]],Table2[#Headers],0),0)</f>
        <v>0</v>
      </c>
      <c r="CA735" s="2">
        <f>VLOOKUP([jobnumber],OvalData[],MATCH(Table2[[#Headers],[barrelrings]],Table2[#Headers],0),0)</f>
        <v>1</v>
      </c>
    </row>
    <row r="736" spans="2:79">
      <c r="B736" s="2" t="str">
        <f>VLOOKUP([jobnumber],OvalData[],MATCH(Table2[[#Headers],[Hand]],Table2[#Headers],0),0)</f>
        <v>RH</v>
      </c>
      <c r="C736" s="2" t="str">
        <f>VLOOKUP([jobnumber],OvalData[],MATCH(Table2[[#Headers],[Model]],Table2[#Headers],0),0)</f>
        <v>SFMPP</v>
      </c>
      <c r="D736" s="2" t="str">
        <f>VLOOKUP([jobnumber],OvalData[],MATCH(Table2[[#Headers],[width]],Table2[#Headers],0),0)</f>
        <v xml:space="preserve"> 18 ft.- 2"</v>
      </c>
      <c r="E736" s="2" t="str">
        <f>VLOOKUP([jobnumber],OvalData[],MATCH(Table2[[#Headers],[stopheight]],Table2[#Headers],0),0)</f>
        <v xml:space="preserve"> 10 ft.- 0"</v>
      </c>
      <c r="F736" s="2" t="str">
        <f>VLOOKUP([jobnumber],OvalData[],MATCH(Table2[[#Headers],[Between Brackets]],Table2[#Headers],0),0)</f>
        <v xml:space="preserve"> 18 ft.- 7 7/ 8"</v>
      </c>
      <c r="G736" s="2" t="str">
        <f>VLOOKUP([jobnumber],OvalData[],MATCH(Table2[[#Headers],[shell]],Table2[#Headers],0),0)</f>
        <v>6 INCH TUBE</v>
      </c>
      <c r="H736" s="2" t="str">
        <f>VLOOKUP([jobnumber],OvalData[],MATCH(Table2[[#Headers],[pipewidth]],Table2[#Headers],0),0)</f>
        <v xml:space="preserve"> 18 ft.- 1 3/ 8"</v>
      </c>
      <c r="I736" s="2">
        <f>VLOOKUP([jobnumber],OvalData[],MATCH(Table2[[#Headers],[Support Tubes]],Table2[#Headers],0),0)</f>
        <v>0</v>
      </c>
      <c r="J736" s="2">
        <f>VLOOKUP([jobnumber],OvalData[],MATCH(Table2[[#Headers],[Upset]],Table2[#Headers],0),0)</f>
        <v>2</v>
      </c>
      <c r="K736" s="2" t="str">
        <f>VLOOKUP([jobnumber],OvalData[],MATCH(Table2[[#Headers],[Guide Type]],Table2[#Headers],0),0)</f>
        <v>SN2-4 5/8-E</v>
      </c>
      <c r="L736" s="2" t="str">
        <f>VLOOKUP([jobnumber],OvalData[],MATCH(Table2[[#Headers],[Wall Angle]],Table2[#Headers],0),0)</f>
        <v xml:space="preserve"> 11 ft.- 8"</v>
      </c>
      <c r="M736" s="2" t="str">
        <f>VLOOKUP([jobnumber],OvalData[],MATCH(Table2[[#Headers],[Middle Angle]],Table2[#Headers],0),0)</f>
        <v xml:space="preserve"> 10 ft.- 4 1/ 2"</v>
      </c>
      <c r="N736" s="2" t="str">
        <f>VLOOKUP([jobnumber],OvalData[],MATCH(Table2[[#Headers],[Front Angle]],Table2[#Headers],0),0)</f>
        <v xml:space="preserve"> 10 ft.- 3"</v>
      </c>
      <c r="O736" s="2">
        <f>VLOOKUP([jobnumber],OvalData[],MATCH(Table2[[#Headers],[Pipe Center Line]],Table2[#Headers],0),0)</f>
        <v>131</v>
      </c>
      <c r="P736" s="2">
        <f>VLOOKUP([jobnumber],OvalData[],MATCH(Table2[[#Headers],[Heat Expansion Gap]],Table2[#Headers],0),0)</f>
        <v>0</v>
      </c>
      <c r="Q736" s="2">
        <f>VLOOKUP([jobnumber],OvalData[],MATCH(Table2[[#Headers],[Hanging Weight Closed]],Table2[#Headers],0),0)</f>
        <v>795</v>
      </c>
      <c r="R736" s="2">
        <f>VLOOKUP([jobnumber],OvalData[],MATCH(Table2[[#Headers],[Hanging Weight Open]],Table2[#Headers],0),0)</f>
        <v>140</v>
      </c>
      <c r="S736" s="2">
        <f>VLOOKUP([jobnumber],OvalData[],MATCH(Table2[[#Headers],[Initial Lever Arm]],Table2[#Headers],0),0)</f>
        <v>4.25</v>
      </c>
      <c r="T736" s="2">
        <f>VLOOKUP([jobnumber],OvalData[],MATCH(Table2[[#Headers],[Turns to Raise]],Table2[#Headers],0),0)</f>
        <v>3.5859999999999999</v>
      </c>
      <c r="U736" s="2">
        <f>VLOOKUP([jobnumber],OvalData[],MATCH(Table2[[#Headers],[Final Lever Arm]],Table2[#Headers],0),0)</f>
        <v>6.37</v>
      </c>
      <c r="V736" s="2">
        <f>VLOOKUP([jobnumber],OvalData[],MATCH(Table2[[#Headers],[Torque Required Closed]],Table2[#Headers],0),0)</f>
        <v>3377.9</v>
      </c>
      <c r="W736" s="2">
        <f>VLOOKUP([jobnumber],OvalData[],MATCH(Table2[[#Headers],[Torque Required Open]],Table2[#Headers],0),0)</f>
        <v>892</v>
      </c>
      <c r="X736" s="2">
        <f>VLOOKUP([jobnumber],OvalData[],MATCH(Table2[[#Headers],[Pre Turns]],Table2[#Headers],0),0)</f>
        <v>1.3332999999999999</v>
      </c>
      <c r="Y736" s="2">
        <f>VLOOKUP([jobnumber],OvalData[],MATCH(Table2[[#Headers],[Required Torque Per Turn]],Table2[#Headers],0),0)</f>
        <v>688</v>
      </c>
      <c r="Z736" s="2">
        <f>VLOOKUP([jobnumber],OvalData[],MATCH(Table2[[#Headers],[Total Turns]],Table2[#Headers],0),0)</f>
        <v>4.91</v>
      </c>
      <c r="AA736" s="2">
        <f>VLOOKUP([jobnumber],OvalData[],MATCH(Table2[[#Headers],[Grille Vision Section]],Table2[#Headers],0),0)</f>
        <v>0</v>
      </c>
      <c r="AB736" s="2">
        <f>VLOOKUP([jobnumber],OvalData[],MATCH(Table2[[#Headers],[Grille Amount]],Table2[#Headers],0),0)</f>
        <v>0</v>
      </c>
      <c r="AC736" s="2">
        <f>VLOOKUP([jobnumber],OvalData[],MATCH(Table2[[#Headers],[Grille Center]],Table2[#Headers],0),0)</f>
        <v>0</v>
      </c>
      <c r="AD736" s="2">
        <f>VLOOKUP([jobnumber],OvalData[],MATCH(Table2[[#Headers],[Grille Pattern]],Table2[#Headers],0),0)</f>
        <v>0</v>
      </c>
      <c r="AE736" s="2">
        <f>VLOOKUP([jobnumber],OvalData[],MATCH(Table2[[#Headers],[Grille First Tube]],Table2[#Headers],0),0)</f>
        <v>0</v>
      </c>
      <c r="AF736" s="2">
        <f>VLOOKUP([jobnumber],OvalData[],MATCH(Table2[[#Headers],[Grille Standard Tube]],Table2[#Headers],0),0)</f>
        <v>0</v>
      </c>
      <c r="AG736" s="2">
        <f>VLOOKUP([jobnumber],OvalData[],MATCH(Table2[[#Headers],[Grille Total Links]],Table2[#Headers],0),0)</f>
        <v>0</v>
      </c>
      <c r="AH736" s="2">
        <f>VLOOKUP([jobnumber],OvalData[],MATCH(Table2[[#Headers],[Grille Rods]],Table2[#Headers],0),0)</f>
        <v>0</v>
      </c>
      <c r="AI736" s="2">
        <f>VLOOKUP([jobnumber],OvalData[],MATCH(Table2[[#Headers],[Grille Rod Length]],Table2[#Headers],0),0)</f>
        <v>0</v>
      </c>
      <c r="AJ736" s="2">
        <f>VLOOKUP([jobnumber],OvalData[],MATCH(Table2[[#Headers],[slattype]],Table2[#Headers],0),0)</f>
        <v>2</v>
      </c>
      <c r="AK736" s="2">
        <f>VLOOKUP([jobnumber],OvalData[],MATCH(Table2[[#Headers],[slatgage]],Table2[#Headers],0),0)</f>
        <v>18</v>
      </c>
      <c r="AL736" s="2">
        <f>VLOOKUP([jobnumber],OvalData[],MATCH(Table2[[#Headers],[Numer of Top Slats]],Table2[#Headers],0),0)</f>
        <v>0</v>
      </c>
      <c r="AM736" s="2">
        <f>VLOOKUP([jobnumber],OvalData[],MATCH(Table2[[#Headers],[Number of Bottom Slats]],Table2[#Headers],0),0)</f>
        <v>0</v>
      </c>
      <c r="AN736" s="2">
        <f>VLOOKUP([jobnumber],OvalData[],MATCH(Table2[[#Headers],[Solid Bottom Height]],Table2[#Headers],0),0)</f>
        <v>0</v>
      </c>
      <c r="AO736" s="2" t="str">
        <f>VLOOKUP([jobnumber],OvalData[],MATCH(Table2[[#Headers],[slatlength]],Table2[#Headers],0),0)</f>
        <v xml:space="preserve"> 18 ft.- 5 7/ 8"</v>
      </c>
      <c r="AP736" s="2">
        <f>VLOOKUP([jobnumber],OvalData[],MATCH(Table2[[#Headers],[Bottom Slat Length]],Table2[#Headers],0),0)</f>
        <v>0</v>
      </c>
      <c r="AQ736" s="2">
        <f>VLOOKUP([jobnumber],OvalData[],MATCH(Table2[[#Headers],[Number of Perferated Slats]],Table2[#Headers],0),0)</f>
        <v>0</v>
      </c>
      <c r="AR736" s="2">
        <f>VLOOKUP([jobnumber],OvalData[],MATCH(Table2[[#Headers],[First Preferated Slat From End]],Table2[#Headers],0),0)</f>
        <v>0</v>
      </c>
      <c r="AS736" s="2">
        <f>VLOOKUP([jobnumber],OvalData[],MATCH(Table2[[#Headers],[First Preferated Slat From Bottom]],Table2[#Headers],0),0)</f>
        <v>0</v>
      </c>
      <c r="AT736" s="2">
        <f>VLOOKUP([jobnumber],OvalData[],MATCH(Table2[[#Headers],[Total Number of Slats]],Table2[#Headers],0),0)</f>
        <v>51</v>
      </c>
      <c r="AU736" s="2">
        <f>VLOOKUP([jobnumber],OvalData[],MATCH(Table2[[#Headers],[Bottom Bar Slope]],Table2[#Headers],0),0)</f>
        <v>0</v>
      </c>
      <c r="AV736" s="2">
        <f>VLOOKUP([jobnumber],OvalData[],MATCH(Table2[[#Headers],[Bottom Bar Weight]],Table2[#Headers],0),0)</f>
        <v>80.5</v>
      </c>
      <c r="AW736" s="2" t="str">
        <f>VLOOKUP([jobnumber],OvalData[],MATCH(Table2[[#Headers],[Outer Spring Gage]],Table2[#Headers],0),0)</f>
        <v>Null</v>
      </c>
      <c r="AX736" s="2" t="str">
        <f>VLOOKUP([jobnumber],OvalData[],MATCH(Table2[[#Headers],[Outer Spring OD]],Table2[#Headers],0),0)</f>
        <v>Null</v>
      </c>
      <c r="AY736" s="2" t="str">
        <f>VLOOKUP([jobnumber],OvalData[],MATCH(Table2[[#Headers],[Outer Spring Length]],Table2[#Headers],0),0)</f>
        <v>Null</v>
      </c>
      <c r="AZ736" s="2" t="str">
        <f>VLOOKUP([jobnumber],OvalData[],MATCH(Table2[[#Headers],[Outer Spring Stretch]],Table2[#Headers],0),0)</f>
        <v>Null</v>
      </c>
      <c r="BA736" s="2" t="str">
        <f>VLOOKUP([jobnumber],OvalData[],MATCH(Table2[[#Headers],[Outer Spring Torque]],Table2[#Headers],0),0)</f>
        <v>Null</v>
      </c>
      <c r="BB736" s="2" t="str">
        <f>VLOOKUP([jobnumber],OvalData[],MATCH(Table2[[#Headers],[Outer Spring Max Turns]],Table2[#Headers],0),0)</f>
        <v>Null</v>
      </c>
      <c r="BC736" s="2" t="str">
        <f>VLOOKUP([jobnumber],OvalData[],MATCH(Table2[[#Headers],[Outer Spring Weight]],Table2[#Headers],0),0)</f>
        <v>Null</v>
      </c>
      <c r="BD736" s="2" t="str">
        <f>VLOOKUP([jobnumber],OvalData[],MATCH(Table2[[#Headers],[Inner Spring Gage]],Table2[#Headers],0),0)</f>
        <v>Null</v>
      </c>
      <c r="BE736" s="2" t="str">
        <f>VLOOKUP([jobnumber],OvalData[],MATCH(Table2[[#Headers],[Inner Spring OD]],Table2[#Headers],0),0)</f>
        <v>Null</v>
      </c>
      <c r="BF736" s="2" t="str">
        <f>VLOOKUP([jobnumber],OvalData[],MATCH(Table2[[#Headers],[Inner Spring Length]],Table2[#Headers],0),0)</f>
        <v>Null</v>
      </c>
      <c r="BG736" s="2" t="str">
        <f>VLOOKUP([jobnumber],OvalData[],MATCH(Table2[[#Headers],[Inner Spring Stretch]],Table2[#Headers],0),0)</f>
        <v>Null</v>
      </c>
      <c r="BH736" s="2" t="str">
        <f>VLOOKUP([jobnumber],OvalData[],MATCH(Table2[[#Headers],[Inner Spring Torque]],Table2[#Headers],0),0)</f>
        <v>Null</v>
      </c>
      <c r="BI736" s="2" t="str">
        <f>VLOOKUP([jobnumber],OvalData[],MATCH(Table2[[#Headers],[Inner Spring Max Turns]],Table2[#Headers],0),0)</f>
        <v>Null</v>
      </c>
      <c r="BJ736" s="2" t="str">
        <f>VLOOKUP([jobnumber],OvalData[],MATCH(Table2[[#Headers],[Inner Spring Weight]],Table2[#Headers],0),0)</f>
        <v>Null</v>
      </c>
      <c r="BK736" s="2">
        <f>VLOOKUP([jobnumber],OvalData[],MATCH(Table2[[#Headers],[Cycles]],Table2[#Headers],0),0)</f>
        <v>0</v>
      </c>
      <c r="BL736" s="2">
        <f>VLOOKUP([jobnumber],OvalData[],MATCH(Table2[[#Headers],[Total Spring Torque]],Table2[#Headers],0),0)</f>
        <v>0</v>
      </c>
      <c r="BM736" s="2">
        <f>VLOOKUP([jobnumber],OvalData[],MATCH(Table2[[#Headers],[Total Spring Weight]],Table2[#Headers],0),0)</f>
        <v>0</v>
      </c>
      <c r="BN736" s="2">
        <f>VLOOKUP([jobnumber],OvalData[],MATCH(Table2[[#Headers],[Pipe Weight]],Table2[#Headers],0),0)</f>
        <v>688.24239999999998</v>
      </c>
      <c r="BO736" s="2">
        <f>VLOOKUP([jobnumber],OvalData[],MATCH(Table2[[#Headers],[Max Pipe Deflection]],Table2[#Headers],0),0)</f>
        <v>2309</v>
      </c>
      <c r="BP736" s="2">
        <f>VLOOKUP([jobnumber],OvalData[],MATCH(Table2[[#Headers],[Number Non-Insulated Wrap Slats]],Table2[#Headers],0),0)</f>
        <v>0</v>
      </c>
      <c r="BQ736" s="2">
        <f>VLOOKUP([jobnumber],OvalData[],MATCH(Table2[[#Headers],[Number of Insolated Top Slats]],Table2[#Headers],0),0)</f>
        <v>45</v>
      </c>
      <c r="BR736" s="2">
        <f>VLOOKUP([jobnumber],OvalData[],MATCH(Table2[[#Headers],[Insolated Total Slats]],Table2[#Headers],0),0)</f>
        <v>45</v>
      </c>
      <c r="BS736" s="2">
        <f>VLOOKUP([jobnumber],OvalData[],MATCH(Table2[[#Headers],[Number of Slats]],Table2[#Headers],0),0)</f>
        <v>44.69</v>
      </c>
      <c r="BT736" s="2">
        <f>VLOOKUP([jobnumber],OvalData[],MATCH(Table2[[#Headers],[Wrap]],Table2[#Headers],0),0)</f>
        <v>0</v>
      </c>
      <c r="BU736" s="2">
        <f>VLOOKUP([jobnumber],OvalData[],MATCH(Table2[[#Headers],[Wall Angle Thickness]],Table2[#Headers],0),0)</f>
        <v>0</v>
      </c>
      <c r="BV736" s="2">
        <f>VLOOKUP([jobnumber],OvalData[],MATCH(Table2[[#Headers],[windlocks]],Table2[#Headers],0),0)</f>
        <v>0</v>
      </c>
      <c r="BW736" s="2" t="str">
        <f>VLOOKUP([jobnumber],OvalData[],MATCH(Table2[[#Headers],[bottombartype]],Table2[#Headers],0),0)</f>
        <v>SPECIAL</v>
      </c>
      <c r="BX736" s="2">
        <f>VLOOKUP([jobnumber],OvalData[],MATCH(Table2[[#Headers],[endlockweight]],Table2[#Headers],0),0)</f>
        <v>0.17</v>
      </c>
      <c r="BY736" s="2">
        <f>VLOOKUP([jobnumber],OvalData[],MATCH(Table2[[#Headers],[Endlock Total Weight]],Table2[#Headers],0),0)</f>
        <v>7.5972999999999997</v>
      </c>
      <c r="BZ736" s="2">
        <f>VLOOKUP([jobnumber],OvalData[],MATCH(Table2[[#Headers],[Grille Weight]],Table2[#Headers],0),0)</f>
        <v>0</v>
      </c>
      <c r="CA736" s="2">
        <f>VLOOKUP([jobnumber],OvalData[],MATCH(Table2[[#Headers],[barrelrings]],Table2[#Headers],0),0)</f>
        <v>1</v>
      </c>
    </row>
    <row r="737" spans="2:79">
      <c r="B737" s="2" t="str">
        <f>VLOOKUP([jobnumber],OvalData[],MATCH(Table2[[#Headers],[Hand]],Table2[#Headers],0),0)</f>
        <v>RH</v>
      </c>
      <c r="C737" s="2" t="str">
        <f>VLOOKUP([jobnumber],OvalData[],MATCH(Table2[[#Headers],[Model]],Table2[#Headers],0),0)</f>
        <v>SFMPP</v>
      </c>
      <c r="D737" s="2" t="str">
        <f>VLOOKUP([jobnumber],OvalData[],MATCH(Table2[[#Headers],[width]],Table2[#Headers],0),0)</f>
        <v xml:space="preserve"> 18 ft.- 2"</v>
      </c>
      <c r="E737" s="2" t="str">
        <f>VLOOKUP([jobnumber],OvalData[],MATCH(Table2[[#Headers],[stopheight]],Table2[#Headers],0),0)</f>
        <v xml:space="preserve"> 10 ft.- 0"</v>
      </c>
      <c r="F737" s="2" t="str">
        <f>VLOOKUP([jobnumber],OvalData[],MATCH(Table2[[#Headers],[Between Brackets]],Table2[#Headers],0),0)</f>
        <v xml:space="preserve"> 18 ft.- 7 7/ 8"</v>
      </c>
      <c r="G737" s="2" t="str">
        <f>VLOOKUP([jobnumber],OvalData[],MATCH(Table2[[#Headers],[shell]],Table2[#Headers],0),0)</f>
        <v>6 INCH TUBE</v>
      </c>
      <c r="H737" s="2" t="str">
        <f>VLOOKUP([jobnumber],OvalData[],MATCH(Table2[[#Headers],[pipewidth]],Table2[#Headers],0),0)</f>
        <v xml:space="preserve"> 18 ft.- 1 3/ 8"</v>
      </c>
      <c r="I737" s="2">
        <f>VLOOKUP([jobnumber],OvalData[],MATCH(Table2[[#Headers],[Support Tubes]],Table2[#Headers],0),0)</f>
        <v>0</v>
      </c>
      <c r="J737" s="2">
        <f>VLOOKUP([jobnumber],OvalData[],MATCH(Table2[[#Headers],[Upset]],Table2[#Headers],0),0)</f>
        <v>2</v>
      </c>
      <c r="K737" s="2" t="str">
        <f>VLOOKUP([jobnumber],OvalData[],MATCH(Table2[[#Headers],[Guide Type]],Table2[#Headers],0),0)</f>
        <v>SN2-4 5/8-E</v>
      </c>
      <c r="L737" s="2" t="str">
        <f>VLOOKUP([jobnumber],OvalData[],MATCH(Table2[[#Headers],[Wall Angle]],Table2[#Headers],0),0)</f>
        <v xml:space="preserve"> 11 ft.- 8"</v>
      </c>
      <c r="M737" s="2" t="str">
        <f>VLOOKUP([jobnumber],OvalData[],MATCH(Table2[[#Headers],[Middle Angle]],Table2[#Headers],0),0)</f>
        <v xml:space="preserve"> 10 ft.- 4 1/ 2"</v>
      </c>
      <c r="N737" s="2" t="str">
        <f>VLOOKUP([jobnumber],OvalData[],MATCH(Table2[[#Headers],[Front Angle]],Table2[#Headers],0),0)</f>
        <v xml:space="preserve"> 10 ft.- 3"</v>
      </c>
      <c r="O737" s="2">
        <f>VLOOKUP([jobnumber],OvalData[],MATCH(Table2[[#Headers],[Pipe Center Line]],Table2[#Headers],0),0)</f>
        <v>131</v>
      </c>
      <c r="P737" s="2">
        <f>VLOOKUP([jobnumber],OvalData[],MATCH(Table2[[#Headers],[Heat Expansion Gap]],Table2[#Headers],0),0)</f>
        <v>0</v>
      </c>
      <c r="Q737" s="2">
        <f>VLOOKUP([jobnumber],OvalData[],MATCH(Table2[[#Headers],[Hanging Weight Closed]],Table2[#Headers],0),0)</f>
        <v>795</v>
      </c>
      <c r="R737" s="2">
        <f>VLOOKUP([jobnumber],OvalData[],MATCH(Table2[[#Headers],[Hanging Weight Open]],Table2[#Headers],0),0)</f>
        <v>140</v>
      </c>
      <c r="S737" s="2">
        <f>VLOOKUP([jobnumber],OvalData[],MATCH(Table2[[#Headers],[Initial Lever Arm]],Table2[#Headers],0),0)</f>
        <v>4.25</v>
      </c>
      <c r="T737" s="2">
        <f>VLOOKUP([jobnumber],OvalData[],MATCH(Table2[[#Headers],[Turns to Raise]],Table2[#Headers],0),0)</f>
        <v>3.5859999999999999</v>
      </c>
      <c r="U737" s="2">
        <f>VLOOKUP([jobnumber],OvalData[],MATCH(Table2[[#Headers],[Final Lever Arm]],Table2[#Headers],0),0)</f>
        <v>6.37</v>
      </c>
      <c r="V737" s="2">
        <f>VLOOKUP([jobnumber],OvalData[],MATCH(Table2[[#Headers],[Torque Required Closed]],Table2[#Headers],0),0)</f>
        <v>3377.9</v>
      </c>
      <c r="W737" s="2">
        <f>VLOOKUP([jobnumber],OvalData[],MATCH(Table2[[#Headers],[Torque Required Open]],Table2[#Headers],0),0)</f>
        <v>892</v>
      </c>
      <c r="X737" s="2">
        <f>VLOOKUP([jobnumber],OvalData[],MATCH(Table2[[#Headers],[Pre Turns]],Table2[#Headers],0),0)</f>
        <v>1.3332999999999999</v>
      </c>
      <c r="Y737" s="2">
        <f>VLOOKUP([jobnumber],OvalData[],MATCH(Table2[[#Headers],[Required Torque Per Turn]],Table2[#Headers],0),0)</f>
        <v>688</v>
      </c>
      <c r="Z737" s="2">
        <f>VLOOKUP([jobnumber],OvalData[],MATCH(Table2[[#Headers],[Total Turns]],Table2[#Headers],0),0)</f>
        <v>4.91</v>
      </c>
      <c r="AA737" s="2">
        <f>VLOOKUP([jobnumber],OvalData[],MATCH(Table2[[#Headers],[Grille Vision Section]],Table2[#Headers],0),0)</f>
        <v>0</v>
      </c>
      <c r="AB737" s="2">
        <f>VLOOKUP([jobnumber],OvalData[],MATCH(Table2[[#Headers],[Grille Amount]],Table2[#Headers],0),0)</f>
        <v>0</v>
      </c>
      <c r="AC737" s="2">
        <f>VLOOKUP([jobnumber],OvalData[],MATCH(Table2[[#Headers],[Grille Center]],Table2[#Headers],0),0)</f>
        <v>0</v>
      </c>
      <c r="AD737" s="2">
        <f>VLOOKUP([jobnumber],OvalData[],MATCH(Table2[[#Headers],[Grille Pattern]],Table2[#Headers],0),0)</f>
        <v>0</v>
      </c>
      <c r="AE737" s="2">
        <f>VLOOKUP([jobnumber],OvalData[],MATCH(Table2[[#Headers],[Grille First Tube]],Table2[#Headers],0),0)</f>
        <v>0</v>
      </c>
      <c r="AF737" s="2">
        <f>VLOOKUP([jobnumber],OvalData[],MATCH(Table2[[#Headers],[Grille Standard Tube]],Table2[#Headers],0),0)</f>
        <v>0</v>
      </c>
      <c r="AG737" s="2">
        <f>VLOOKUP([jobnumber],OvalData[],MATCH(Table2[[#Headers],[Grille Total Links]],Table2[#Headers],0),0)</f>
        <v>0</v>
      </c>
      <c r="AH737" s="2">
        <f>VLOOKUP([jobnumber],OvalData[],MATCH(Table2[[#Headers],[Grille Rods]],Table2[#Headers],0),0)</f>
        <v>0</v>
      </c>
      <c r="AI737" s="2">
        <f>VLOOKUP([jobnumber],OvalData[],MATCH(Table2[[#Headers],[Grille Rod Length]],Table2[#Headers],0),0)</f>
        <v>0</v>
      </c>
      <c r="AJ737" s="2">
        <f>VLOOKUP([jobnumber],OvalData[],MATCH(Table2[[#Headers],[slattype]],Table2[#Headers],0),0)</f>
        <v>2</v>
      </c>
      <c r="AK737" s="2">
        <f>VLOOKUP([jobnumber],OvalData[],MATCH(Table2[[#Headers],[slatgage]],Table2[#Headers],0),0)</f>
        <v>18</v>
      </c>
      <c r="AL737" s="2">
        <f>VLOOKUP([jobnumber],OvalData[],MATCH(Table2[[#Headers],[Numer of Top Slats]],Table2[#Headers],0),0)</f>
        <v>0</v>
      </c>
      <c r="AM737" s="2">
        <f>VLOOKUP([jobnumber],OvalData[],MATCH(Table2[[#Headers],[Number of Bottom Slats]],Table2[#Headers],0),0)</f>
        <v>0</v>
      </c>
      <c r="AN737" s="2">
        <f>VLOOKUP([jobnumber],OvalData[],MATCH(Table2[[#Headers],[Solid Bottom Height]],Table2[#Headers],0),0)</f>
        <v>0</v>
      </c>
      <c r="AO737" s="2" t="str">
        <f>VLOOKUP([jobnumber],OvalData[],MATCH(Table2[[#Headers],[slatlength]],Table2[#Headers],0),0)</f>
        <v xml:space="preserve"> 18 ft.- 5 7/ 8"</v>
      </c>
      <c r="AP737" s="2">
        <f>VLOOKUP([jobnumber],OvalData[],MATCH(Table2[[#Headers],[Bottom Slat Length]],Table2[#Headers],0),0)</f>
        <v>0</v>
      </c>
      <c r="AQ737" s="2">
        <f>VLOOKUP([jobnumber],OvalData[],MATCH(Table2[[#Headers],[Number of Perferated Slats]],Table2[#Headers],0),0)</f>
        <v>0</v>
      </c>
      <c r="AR737" s="2">
        <f>VLOOKUP([jobnumber],OvalData[],MATCH(Table2[[#Headers],[First Preferated Slat From End]],Table2[#Headers],0),0)</f>
        <v>0</v>
      </c>
      <c r="AS737" s="2">
        <f>VLOOKUP([jobnumber],OvalData[],MATCH(Table2[[#Headers],[First Preferated Slat From Bottom]],Table2[#Headers],0),0)</f>
        <v>0</v>
      </c>
      <c r="AT737" s="2">
        <f>VLOOKUP([jobnumber],OvalData[],MATCH(Table2[[#Headers],[Total Number of Slats]],Table2[#Headers],0),0)</f>
        <v>51</v>
      </c>
      <c r="AU737" s="2">
        <f>VLOOKUP([jobnumber],OvalData[],MATCH(Table2[[#Headers],[Bottom Bar Slope]],Table2[#Headers],0),0)</f>
        <v>0</v>
      </c>
      <c r="AV737" s="2">
        <f>VLOOKUP([jobnumber],OvalData[],MATCH(Table2[[#Headers],[Bottom Bar Weight]],Table2[#Headers],0),0)</f>
        <v>80.5</v>
      </c>
      <c r="AW737" s="2" t="str">
        <f>VLOOKUP([jobnumber],OvalData[],MATCH(Table2[[#Headers],[Outer Spring Gage]],Table2[#Headers],0),0)</f>
        <v>Null</v>
      </c>
      <c r="AX737" s="2" t="str">
        <f>VLOOKUP([jobnumber],OvalData[],MATCH(Table2[[#Headers],[Outer Spring OD]],Table2[#Headers],0),0)</f>
        <v>Null</v>
      </c>
      <c r="AY737" s="2" t="str">
        <f>VLOOKUP([jobnumber],OvalData[],MATCH(Table2[[#Headers],[Outer Spring Length]],Table2[#Headers],0),0)</f>
        <v>Null</v>
      </c>
      <c r="AZ737" s="2" t="str">
        <f>VLOOKUP([jobnumber],OvalData[],MATCH(Table2[[#Headers],[Outer Spring Stretch]],Table2[#Headers],0),0)</f>
        <v>Null</v>
      </c>
      <c r="BA737" s="2" t="str">
        <f>VLOOKUP([jobnumber],OvalData[],MATCH(Table2[[#Headers],[Outer Spring Torque]],Table2[#Headers],0),0)</f>
        <v>Null</v>
      </c>
      <c r="BB737" s="2" t="str">
        <f>VLOOKUP([jobnumber],OvalData[],MATCH(Table2[[#Headers],[Outer Spring Max Turns]],Table2[#Headers],0),0)</f>
        <v>Null</v>
      </c>
      <c r="BC737" s="2" t="str">
        <f>VLOOKUP([jobnumber],OvalData[],MATCH(Table2[[#Headers],[Outer Spring Weight]],Table2[#Headers],0),0)</f>
        <v>Null</v>
      </c>
      <c r="BD737" s="2" t="str">
        <f>VLOOKUP([jobnumber],OvalData[],MATCH(Table2[[#Headers],[Inner Spring Gage]],Table2[#Headers],0),0)</f>
        <v>Null</v>
      </c>
      <c r="BE737" s="2" t="str">
        <f>VLOOKUP([jobnumber],OvalData[],MATCH(Table2[[#Headers],[Inner Spring OD]],Table2[#Headers],0),0)</f>
        <v>Null</v>
      </c>
      <c r="BF737" s="2" t="str">
        <f>VLOOKUP([jobnumber],OvalData[],MATCH(Table2[[#Headers],[Inner Spring Length]],Table2[#Headers],0),0)</f>
        <v>Null</v>
      </c>
      <c r="BG737" s="2" t="str">
        <f>VLOOKUP([jobnumber],OvalData[],MATCH(Table2[[#Headers],[Inner Spring Stretch]],Table2[#Headers],0),0)</f>
        <v>Null</v>
      </c>
      <c r="BH737" s="2" t="str">
        <f>VLOOKUP([jobnumber],OvalData[],MATCH(Table2[[#Headers],[Inner Spring Torque]],Table2[#Headers],0),0)</f>
        <v>Null</v>
      </c>
      <c r="BI737" s="2" t="str">
        <f>VLOOKUP([jobnumber],OvalData[],MATCH(Table2[[#Headers],[Inner Spring Max Turns]],Table2[#Headers],0),0)</f>
        <v>Null</v>
      </c>
      <c r="BJ737" s="2" t="str">
        <f>VLOOKUP([jobnumber],OvalData[],MATCH(Table2[[#Headers],[Inner Spring Weight]],Table2[#Headers],0),0)</f>
        <v>Null</v>
      </c>
      <c r="BK737" s="2">
        <f>VLOOKUP([jobnumber],OvalData[],MATCH(Table2[[#Headers],[Cycles]],Table2[#Headers],0),0)</f>
        <v>0</v>
      </c>
      <c r="BL737" s="2">
        <f>VLOOKUP([jobnumber],OvalData[],MATCH(Table2[[#Headers],[Total Spring Torque]],Table2[#Headers],0),0)</f>
        <v>0</v>
      </c>
      <c r="BM737" s="2">
        <f>VLOOKUP([jobnumber],OvalData[],MATCH(Table2[[#Headers],[Total Spring Weight]],Table2[#Headers],0),0)</f>
        <v>0</v>
      </c>
      <c r="BN737" s="2">
        <f>VLOOKUP([jobnumber],OvalData[],MATCH(Table2[[#Headers],[Pipe Weight]],Table2[#Headers],0),0)</f>
        <v>688.24239999999998</v>
      </c>
      <c r="BO737" s="2">
        <f>VLOOKUP([jobnumber],OvalData[],MATCH(Table2[[#Headers],[Max Pipe Deflection]],Table2[#Headers],0),0)</f>
        <v>2309</v>
      </c>
      <c r="BP737" s="2">
        <f>VLOOKUP([jobnumber],OvalData[],MATCH(Table2[[#Headers],[Number Non-Insulated Wrap Slats]],Table2[#Headers],0),0)</f>
        <v>0</v>
      </c>
      <c r="BQ737" s="2">
        <f>VLOOKUP([jobnumber],OvalData[],MATCH(Table2[[#Headers],[Number of Insolated Top Slats]],Table2[#Headers],0),0)</f>
        <v>45</v>
      </c>
      <c r="BR737" s="2">
        <f>VLOOKUP([jobnumber],OvalData[],MATCH(Table2[[#Headers],[Insolated Total Slats]],Table2[#Headers],0),0)</f>
        <v>45</v>
      </c>
      <c r="BS737" s="2">
        <f>VLOOKUP([jobnumber],OvalData[],MATCH(Table2[[#Headers],[Number of Slats]],Table2[#Headers],0),0)</f>
        <v>44.69</v>
      </c>
      <c r="BT737" s="2">
        <f>VLOOKUP([jobnumber],OvalData[],MATCH(Table2[[#Headers],[Wrap]],Table2[#Headers],0),0)</f>
        <v>0</v>
      </c>
      <c r="BU737" s="2">
        <f>VLOOKUP([jobnumber],OvalData[],MATCH(Table2[[#Headers],[Wall Angle Thickness]],Table2[#Headers],0),0)</f>
        <v>0</v>
      </c>
      <c r="BV737" s="2">
        <f>VLOOKUP([jobnumber],OvalData[],MATCH(Table2[[#Headers],[windlocks]],Table2[#Headers],0),0)</f>
        <v>0</v>
      </c>
      <c r="BW737" s="2" t="str">
        <f>VLOOKUP([jobnumber],OvalData[],MATCH(Table2[[#Headers],[bottombartype]],Table2[#Headers],0),0)</f>
        <v>SPECIAL</v>
      </c>
      <c r="BX737" s="2">
        <f>VLOOKUP([jobnumber],OvalData[],MATCH(Table2[[#Headers],[endlockweight]],Table2[#Headers],0),0)</f>
        <v>0.17</v>
      </c>
      <c r="BY737" s="2">
        <f>VLOOKUP([jobnumber],OvalData[],MATCH(Table2[[#Headers],[Endlock Total Weight]],Table2[#Headers],0),0)</f>
        <v>7.5972999999999997</v>
      </c>
      <c r="BZ737" s="2">
        <f>VLOOKUP([jobnumber],OvalData[],MATCH(Table2[[#Headers],[Grille Weight]],Table2[#Headers],0),0)</f>
        <v>0</v>
      </c>
      <c r="CA737" s="2">
        <f>VLOOKUP([jobnumber],OvalData[],MATCH(Table2[[#Headers],[barrelrings]],Table2[#Headers],0),0)</f>
        <v>1</v>
      </c>
    </row>
    <row r="738" spans="2:79">
      <c r="B738" s="2" t="str">
        <f>VLOOKUP([jobnumber],OvalData[],MATCH(Table2[[#Headers],[Hand]],Table2[#Headers],0),0)</f>
        <v>RH</v>
      </c>
      <c r="C738" s="2" t="str">
        <f>VLOOKUP([jobnumber],OvalData[],MATCH(Table2[[#Headers],[Model]],Table2[#Headers],0),0)</f>
        <v>SFMPP</v>
      </c>
      <c r="D738" s="2" t="str">
        <f>VLOOKUP([jobnumber],OvalData[],MATCH(Table2[[#Headers],[width]],Table2[#Headers],0),0)</f>
        <v xml:space="preserve"> 18 ft.- 2"</v>
      </c>
      <c r="E738" s="2" t="str">
        <f>VLOOKUP([jobnumber],OvalData[],MATCH(Table2[[#Headers],[stopheight]],Table2[#Headers],0),0)</f>
        <v xml:space="preserve"> 10 ft.- 0"</v>
      </c>
      <c r="F738" s="2" t="str">
        <f>VLOOKUP([jobnumber],OvalData[],MATCH(Table2[[#Headers],[Between Brackets]],Table2[#Headers],0),0)</f>
        <v xml:space="preserve"> 18 ft.- 7 7/ 8"</v>
      </c>
      <c r="G738" s="2" t="str">
        <f>VLOOKUP([jobnumber],OvalData[],MATCH(Table2[[#Headers],[shell]],Table2[#Headers],0),0)</f>
        <v>6 INCH TUBE</v>
      </c>
      <c r="H738" s="2" t="str">
        <f>VLOOKUP([jobnumber],OvalData[],MATCH(Table2[[#Headers],[pipewidth]],Table2[#Headers],0),0)</f>
        <v xml:space="preserve"> 18 ft.- 1 3/ 8"</v>
      </c>
      <c r="I738" s="2">
        <f>VLOOKUP([jobnumber],OvalData[],MATCH(Table2[[#Headers],[Support Tubes]],Table2[#Headers],0),0)</f>
        <v>0</v>
      </c>
      <c r="J738" s="2">
        <f>VLOOKUP([jobnumber],OvalData[],MATCH(Table2[[#Headers],[Upset]],Table2[#Headers],0),0)</f>
        <v>2</v>
      </c>
      <c r="K738" s="2" t="str">
        <f>VLOOKUP([jobnumber],OvalData[],MATCH(Table2[[#Headers],[Guide Type]],Table2[#Headers],0),0)</f>
        <v>SN2-4 5/8-E</v>
      </c>
      <c r="L738" s="2" t="str">
        <f>VLOOKUP([jobnumber],OvalData[],MATCH(Table2[[#Headers],[Wall Angle]],Table2[#Headers],0),0)</f>
        <v xml:space="preserve"> 11 ft.- 8"</v>
      </c>
      <c r="M738" s="2" t="str">
        <f>VLOOKUP([jobnumber],OvalData[],MATCH(Table2[[#Headers],[Middle Angle]],Table2[#Headers],0),0)</f>
        <v xml:space="preserve"> 10 ft.- 4 1/ 2"</v>
      </c>
      <c r="N738" s="2" t="str">
        <f>VLOOKUP([jobnumber],OvalData[],MATCH(Table2[[#Headers],[Front Angle]],Table2[#Headers],0),0)</f>
        <v xml:space="preserve"> 10 ft.- 3"</v>
      </c>
      <c r="O738" s="2">
        <f>VLOOKUP([jobnumber],OvalData[],MATCH(Table2[[#Headers],[Pipe Center Line]],Table2[#Headers],0),0)</f>
        <v>131</v>
      </c>
      <c r="P738" s="2">
        <f>VLOOKUP([jobnumber],OvalData[],MATCH(Table2[[#Headers],[Heat Expansion Gap]],Table2[#Headers],0),0)</f>
        <v>0</v>
      </c>
      <c r="Q738" s="2">
        <f>VLOOKUP([jobnumber],OvalData[],MATCH(Table2[[#Headers],[Hanging Weight Closed]],Table2[#Headers],0),0)</f>
        <v>795</v>
      </c>
      <c r="R738" s="2">
        <f>VLOOKUP([jobnumber],OvalData[],MATCH(Table2[[#Headers],[Hanging Weight Open]],Table2[#Headers],0),0)</f>
        <v>140</v>
      </c>
      <c r="S738" s="2">
        <f>VLOOKUP([jobnumber],OvalData[],MATCH(Table2[[#Headers],[Initial Lever Arm]],Table2[#Headers],0),0)</f>
        <v>4.25</v>
      </c>
      <c r="T738" s="2">
        <f>VLOOKUP([jobnumber],OvalData[],MATCH(Table2[[#Headers],[Turns to Raise]],Table2[#Headers],0),0)</f>
        <v>3.5859999999999999</v>
      </c>
      <c r="U738" s="2">
        <f>VLOOKUP([jobnumber],OvalData[],MATCH(Table2[[#Headers],[Final Lever Arm]],Table2[#Headers],0),0)</f>
        <v>6.37</v>
      </c>
      <c r="V738" s="2">
        <f>VLOOKUP([jobnumber],OvalData[],MATCH(Table2[[#Headers],[Torque Required Closed]],Table2[#Headers],0),0)</f>
        <v>3377.9</v>
      </c>
      <c r="W738" s="2">
        <f>VLOOKUP([jobnumber],OvalData[],MATCH(Table2[[#Headers],[Torque Required Open]],Table2[#Headers],0),0)</f>
        <v>892</v>
      </c>
      <c r="X738" s="2">
        <f>VLOOKUP([jobnumber],OvalData[],MATCH(Table2[[#Headers],[Pre Turns]],Table2[#Headers],0),0)</f>
        <v>1.3332999999999999</v>
      </c>
      <c r="Y738" s="2">
        <f>VLOOKUP([jobnumber],OvalData[],MATCH(Table2[[#Headers],[Required Torque Per Turn]],Table2[#Headers],0),0)</f>
        <v>688</v>
      </c>
      <c r="Z738" s="2">
        <f>VLOOKUP([jobnumber],OvalData[],MATCH(Table2[[#Headers],[Total Turns]],Table2[#Headers],0),0)</f>
        <v>4.91</v>
      </c>
      <c r="AA738" s="2">
        <f>VLOOKUP([jobnumber],OvalData[],MATCH(Table2[[#Headers],[Grille Vision Section]],Table2[#Headers],0),0)</f>
        <v>0</v>
      </c>
      <c r="AB738" s="2">
        <f>VLOOKUP([jobnumber],OvalData[],MATCH(Table2[[#Headers],[Grille Amount]],Table2[#Headers],0),0)</f>
        <v>0</v>
      </c>
      <c r="AC738" s="2">
        <f>VLOOKUP([jobnumber],OvalData[],MATCH(Table2[[#Headers],[Grille Center]],Table2[#Headers],0),0)</f>
        <v>0</v>
      </c>
      <c r="AD738" s="2">
        <f>VLOOKUP([jobnumber],OvalData[],MATCH(Table2[[#Headers],[Grille Pattern]],Table2[#Headers],0),0)</f>
        <v>0</v>
      </c>
      <c r="AE738" s="2">
        <f>VLOOKUP([jobnumber],OvalData[],MATCH(Table2[[#Headers],[Grille First Tube]],Table2[#Headers],0),0)</f>
        <v>0</v>
      </c>
      <c r="AF738" s="2">
        <f>VLOOKUP([jobnumber],OvalData[],MATCH(Table2[[#Headers],[Grille Standard Tube]],Table2[#Headers],0),0)</f>
        <v>0</v>
      </c>
      <c r="AG738" s="2">
        <f>VLOOKUP([jobnumber],OvalData[],MATCH(Table2[[#Headers],[Grille Total Links]],Table2[#Headers],0),0)</f>
        <v>0</v>
      </c>
      <c r="AH738" s="2">
        <f>VLOOKUP([jobnumber],OvalData[],MATCH(Table2[[#Headers],[Grille Rods]],Table2[#Headers],0),0)</f>
        <v>0</v>
      </c>
      <c r="AI738" s="2">
        <f>VLOOKUP([jobnumber],OvalData[],MATCH(Table2[[#Headers],[Grille Rod Length]],Table2[#Headers],0),0)</f>
        <v>0</v>
      </c>
      <c r="AJ738" s="2">
        <f>VLOOKUP([jobnumber],OvalData[],MATCH(Table2[[#Headers],[slattype]],Table2[#Headers],0),0)</f>
        <v>2</v>
      </c>
      <c r="AK738" s="2">
        <f>VLOOKUP([jobnumber],OvalData[],MATCH(Table2[[#Headers],[slatgage]],Table2[#Headers],0),0)</f>
        <v>18</v>
      </c>
      <c r="AL738" s="2">
        <f>VLOOKUP([jobnumber],OvalData[],MATCH(Table2[[#Headers],[Numer of Top Slats]],Table2[#Headers],0),0)</f>
        <v>0</v>
      </c>
      <c r="AM738" s="2">
        <f>VLOOKUP([jobnumber],OvalData[],MATCH(Table2[[#Headers],[Number of Bottom Slats]],Table2[#Headers],0),0)</f>
        <v>0</v>
      </c>
      <c r="AN738" s="2">
        <f>VLOOKUP([jobnumber],OvalData[],MATCH(Table2[[#Headers],[Solid Bottom Height]],Table2[#Headers],0),0)</f>
        <v>0</v>
      </c>
      <c r="AO738" s="2" t="str">
        <f>VLOOKUP([jobnumber],OvalData[],MATCH(Table2[[#Headers],[slatlength]],Table2[#Headers],0),0)</f>
        <v xml:space="preserve"> 18 ft.- 5 7/ 8"</v>
      </c>
      <c r="AP738" s="2">
        <f>VLOOKUP([jobnumber],OvalData[],MATCH(Table2[[#Headers],[Bottom Slat Length]],Table2[#Headers],0),0)</f>
        <v>0</v>
      </c>
      <c r="AQ738" s="2">
        <f>VLOOKUP([jobnumber],OvalData[],MATCH(Table2[[#Headers],[Number of Perferated Slats]],Table2[#Headers],0),0)</f>
        <v>0</v>
      </c>
      <c r="AR738" s="2">
        <f>VLOOKUP([jobnumber],OvalData[],MATCH(Table2[[#Headers],[First Preferated Slat From End]],Table2[#Headers],0),0)</f>
        <v>0</v>
      </c>
      <c r="AS738" s="2">
        <f>VLOOKUP([jobnumber],OvalData[],MATCH(Table2[[#Headers],[First Preferated Slat From Bottom]],Table2[#Headers],0),0)</f>
        <v>0</v>
      </c>
      <c r="AT738" s="2">
        <f>VLOOKUP([jobnumber],OvalData[],MATCH(Table2[[#Headers],[Total Number of Slats]],Table2[#Headers],0),0)</f>
        <v>51</v>
      </c>
      <c r="AU738" s="2">
        <f>VLOOKUP([jobnumber],OvalData[],MATCH(Table2[[#Headers],[Bottom Bar Slope]],Table2[#Headers],0),0)</f>
        <v>0</v>
      </c>
      <c r="AV738" s="2">
        <f>VLOOKUP([jobnumber],OvalData[],MATCH(Table2[[#Headers],[Bottom Bar Weight]],Table2[#Headers],0),0)</f>
        <v>80.5</v>
      </c>
      <c r="AW738" s="2" t="str">
        <f>VLOOKUP([jobnumber],OvalData[],MATCH(Table2[[#Headers],[Outer Spring Gage]],Table2[#Headers],0),0)</f>
        <v>Null</v>
      </c>
      <c r="AX738" s="2" t="str">
        <f>VLOOKUP([jobnumber],OvalData[],MATCH(Table2[[#Headers],[Outer Spring OD]],Table2[#Headers],0),0)</f>
        <v>Null</v>
      </c>
      <c r="AY738" s="2" t="str">
        <f>VLOOKUP([jobnumber],OvalData[],MATCH(Table2[[#Headers],[Outer Spring Length]],Table2[#Headers],0),0)</f>
        <v>Null</v>
      </c>
      <c r="AZ738" s="2" t="str">
        <f>VLOOKUP([jobnumber],OvalData[],MATCH(Table2[[#Headers],[Outer Spring Stretch]],Table2[#Headers],0),0)</f>
        <v>Null</v>
      </c>
      <c r="BA738" s="2" t="str">
        <f>VLOOKUP([jobnumber],OvalData[],MATCH(Table2[[#Headers],[Outer Spring Torque]],Table2[#Headers],0),0)</f>
        <v>Null</v>
      </c>
      <c r="BB738" s="2" t="str">
        <f>VLOOKUP([jobnumber],OvalData[],MATCH(Table2[[#Headers],[Outer Spring Max Turns]],Table2[#Headers],0),0)</f>
        <v>Null</v>
      </c>
      <c r="BC738" s="2" t="str">
        <f>VLOOKUP([jobnumber],OvalData[],MATCH(Table2[[#Headers],[Outer Spring Weight]],Table2[#Headers],0),0)</f>
        <v>Null</v>
      </c>
      <c r="BD738" s="2" t="str">
        <f>VLOOKUP([jobnumber],OvalData[],MATCH(Table2[[#Headers],[Inner Spring Gage]],Table2[#Headers],0),0)</f>
        <v>Null</v>
      </c>
      <c r="BE738" s="2" t="str">
        <f>VLOOKUP([jobnumber],OvalData[],MATCH(Table2[[#Headers],[Inner Spring OD]],Table2[#Headers],0),0)</f>
        <v>Null</v>
      </c>
      <c r="BF738" s="2" t="str">
        <f>VLOOKUP([jobnumber],OvalData[],MATCH(Table2[[#Headers],[Inner Spring Length]],Table2[#Headers],0),0)</f>
        <v>Null</v>
      </c>
      <c r="BG738" s="2" t="str">
        <f>VLOOKUP([jobnumber],OvalData[],MATCH(Table2[[#Headers],[Inner Spring Stretch]],Table2[#Headers],0),0)</f>
        <v>Null</v>
      </c>
      <c r="BH738" s="2" t="str">
        <f>VLOOKUP([jobnumber],OvalData[],MATCH(Table2[[#Headers],[Inner Spring Torque]],Table2[#Headers],0),0)</f>
        <v>Null</v>
      </c>
      <c r="BI738" s="2" t="str">
        <f>VLOOKUP([jobnumber],OvalData[],MATCH(Table2[[#Headers],[Inner Spring Max Turns]],Table2[#Headers],0),0)</f>
        <v>Null</v>
      </c>
      <c r="BJ738" s="2" t="str">
        <f>VLOOKUP([jobnumber],OvalData[],MATCH(Table2[[#Headers],[Inner Spring Weight]],Table2[#Headers],0),0)</f>
        <v>Null</v>
      </c>
      <c r="BK738" s="2">
        <f>VLOOKUP([jobnumber],OvalData[],MATCH(Table2[[#Headers],[Cycles]],Table2[#Headers],0),0)</f>
        <v>0</v>
      </c>
      <c r="BL738" s="2">
        <f>VLOOKUP([jobnumber],OvalData[],MATCH(Table2[[#Headers],[Total Spring Torque]],Table2[#Headers],0),0)</f>
        <v>0</v>
      </c>
      <c r="BM738" s="2">
        <f>VLOOKUP([jobnumber],OvalData[],MATCH(Table2[[#Headers],[Total Spring Weight]],Table2[#Headers],0),0)</f>
        <v>0</v>
      </c>
      <c r="BN738" s="2">
        <f>VLOOKUP([jobnumber],OvalData[],MATCH(Table2[[#Headers],[Pipe Weight]],Table2[#Headers],0),0)</f>
        <v>688.24239999999998</v>
      </c>
      <c r="BO738" s="2">
        <f>VLOOKUP([jobnumber],OvalData[],MATCH(Table2[[#Headers],[Max Pipe Deflection]],Table2[#Headers],0),0)</f>
        <v>2309</v>
      </c>
      <c r="BP738" s="2">
        <f>VLOOKUP([jobnumber],OvalData[],MATCH(Table2[[#Headers],[Number Non-Insulated Wrap Slats]],Table2[#Headers],0),0)</f>
        <v>0</v>
      </c>
      <c r="BQ738" s="2">
        <f>VLOOKUP([jobnumber],OvalData[],MATCH(Table2[[#Headers],[Number of Insolated Top Slats]],Table2[#Headers],0),0)</f>
        <v>45</v>
      </c>
      <c r="BR738" s="2">
        <f>VLOOKUP([jobnumber],OvalData[],MATCH(Table2[[#Headers],[Insolated Total Slats]],Table2[#Headers],0),0)</f>
        <v>45</v>
      </c>
      <c r="BS738" s="2">
        <f>VLOOKUP([jobnumber],OvalData[],MATCH(Table2[[#Headers],[Number of Slats]],Table2[#Headers],0),0)</f>
        <v>44.69</v>
      </c>
      <c r="BT738" s="2">
        <f>VLOOKUP([jobnumber],OvalData[],MATCH(Table2[[#Headers],[Wrap]],Table2[#Headers],0),0)</f>
        <v>0</v>
      </c>
      <c r="BU738" s="2">
        <f>VLOOKUP([jobnumber],OvalData[],MATCH(Table2[[#Headers],[Wall Angle Thickness]],Table2[#Headers],0),0)</f>
        <v>0</v>
      </c>
      <c r="BV738" s="2">
        <f>VLOOKUP([jobnumber],OvalData[],MATCH(Table2[[#Headers],[windlocks]],Table2[#Headers],0),0)</f>
        <v>0</v>
      </c>
      <c r="BW738" s="2" t="str">
        <f>VLOOKUP([jobnumber],OvalData[],MATCH(Table2[[#Headers],[bottombartype]],Table2[#Headers],0),0)</f>
        <v>SPECIAL</v>
      </c>
      <c r="BX738" s="2">
        <f>VLOOKUP([jobnumber],OvalData[],MATCH(Table2[[#Headers],[endlockweight]],Table2[#Headers],0),0)</f>
        <v>0.17</v>
      </c>
      <c r="BY738" s="2">
        <f>VLOOKUP([jobnumber],OvalData[],MATCH(Table2[[#Headers],[Endlock Total Weight]],Table2[#Headers],0),0)</f>
        <v>7.5972999999999997</v>
      </c>
      <c r="BZ738" s="2">
        <f>VLOOKUP([jobnumber],OvalData[],MATCH(Table2[[#Headers],[Grille Weight]],Table2[#Headers],0),0)</f>
        <v>0</v>
      </c>
      <c r="CA738" s="2">
        <f>VLOOKUP([jobnumber],OvalData[],MATCH(Table2[[#Headers],[barrelrings]],Table2[#Headers],0),0)</f>
        <v>1</v>
      </c>
    </row>
    <row r="739" spans="2:79">
      <c r="B739" s="2" t="str">
        <f>VLOOKUP([jobnumber],OvalData[],MATCH(Table2[[#Headers],[Hand]],Table2[#Headers],0),0)</f>
        <v>RH</v>
      </c>
      <c r="C739" s="2" t="str">
        <f>VLOOKUP([jobnumber],OvalData[],MATCH(Table2[[#Headers],[Model]],Table2[#Headers],0),0)</f>
        <v>SFMPP</v>
      </c>
      <c r="D739" s="2" t="str">
        <f>VLOOKUP([jobnumber],OvalData[],MATCH(Table2[[#Headers],[width]],Table2[#Headers],0),0)</f>
        <v xml:space="preserve"> 18 ft.- 2"</v>
      </c>
      <c r="E739" s="2" t="str">
        <f>VLOOKUP([jobnumber],OvalData[],MATCH(Table2[[#Headers],[stopheight]],Table2[#Headers],0),0)</f>
        <v xml:space="preserve"> 10 ft.- 0"</v>
      </c>
      <c r="F739" s="2" t="str">
        <f>VLOOKUP([jobnumber],OvalData[],MATCH(Table2[[#Headers],[Between Brackets]],Table2[#Headers],0),0)</f>
        <v xml:space="preserve"> 18 ft.- 7 7/ 8"</v>
      </c>
      <c r="G739" s="2" t="str">
        <f>VLOOKUP([jobnumber],OvalData[],MATCH(Table2[[#Headers],[shell]],Table2[#Headers],0),0)</f>
        <v>6 INCH TUBE</v>
      </c>
      <c r="H739" s="2" t="str">
        <f>VLOOKUP([jobnumber],OvalData[],MATCH(Table2[[#Headers],[pipewidth]],Table2[#Headers],0),0)</f>
        <v xml:space="preserve"> 18 ft.- 1 3/ 8"</v>
      </c>
      <c r="I739" s="2">
        <f>VLOOKUP([jobnumber],OvalData[],MATCH(Table2[[#Headers],[Support Tubes]],Table2[#Headers],0),0)</f>
        <v>0</v>
      </c>
      <c r="J739" s="2">
        <f>VLOOKUP([jobnumber],OvalData[],MATCH(Table2[[#Headers],[Upset]],Table2[#Headers],0),0)</f>
        <v>2</v>
      </c>
      <c r="K739" s="2" t="str">
        <f>VLOOKUP([jobnumber],OvalData[],MATCH(Table2[[#Headers],[Guide Type]],Table2[#Headers],0),0)</f>
        <v>SN2-4 5/8-E</v>
      </c>
      <c r="L739" s="2" t="str">
        <f>VLOOKUP([jobnumber],OvalData[],MATCH(Table2[[#Headers],[Wall Angle]],Table2[#Headers],0),0)</f>
        <v xml:space="preserve"> 11 ft.- 8"</v>
      </c>
      <c r="M739" s="2" t="str">
        <f>VLOOKUP([jobnumber],OvalData[],MATCH(Table2[[#Headers],[Middle Angle]],Table2[#Headers],0),0)</f>
        <v xml:space="preserve"> 10 ft.- 4 1/ 2"</v>
      </c>
      <c r="N739" s="2" t="str">
        <f>VLOOKUP([jobnumber],OvalData[],MATCH(Table2[[#Headers],[Front Angle]],Table2[#Headers],0),0)</f>
        <v xml:space="preserve"> 10 ft.- 3"</v>
      </c>
      <c r="O739" s="2">
        <f>VLOOKUP([jobnumber],OvalData[],MATCH(Table2[[#Headers],[Pipe Center Line]],Table2[#Headers],0),0)</f>
        <v>131</v>
      </c>
      <c r="P739" s="2">
        <f>VLOOKUP([jobnumber],OvalData[],MATCH(Table2[[#Headers],[Heat Expansion Gap]],Table2[#Headers],0),0)</f>
        <v>0</v>
      </c>
      <c r="Q739" s="2">
        <f>VLOOKUP([jobnumber],OvalData[],MATCH(Table2[[#Headers],[Hanging Weight Closed]],Table2[#Headers],0),0)</f>
        <v>795</v>
      </c>
      <c r="R739" s="2">
        <f>VLOOKUP([jobnumber],OvalData[],MATCH(Table2[[#Headers],[Hanging Weight Open]],Table2[#Headers],0),0)</f>
        <v>140</v>
      </c>
      <c r="S739" s="2">
        <f>VLOOKUP([jobnumber],OvalData[],MATCH(Table2[[#Headers],[Initial Lever Arm]],Table2[#Headers],0),0)</f>
        <v>4.25</v>
      </c>
      <c r="T739" s="2">
        <f>VLOOKUP([jobnumber],OvalData[],MATCH(Table2[[#Headers],[Turns to Raise]],Table2[#Headers],0),0)</f>
        <v>3.5859999999999999</v>
      </c>
      <c r="U739" s="2">
        <f>VLOOKUP([jobnumber],OvalData[],MATCH(Table2[[#Headers],[Final Lever Arm]],Table2[#Headers],0),0)</f>
        <v>6.37</v>
      </c>
      <c r="V739" s="2">
        <f>VLOOKUP([jobnumber],OvalData[],MATCH(Table2[[#Headers],[Torque Required Closed]],Table2[#Headers],0),0)</f>
        <v>3377.9</v>
      </c>
      <c r="W739" s="2">
        <f>VLOOKUP([jobnumber],OvalData[],MATCH(Table2[[#Headers],[Torque Required Open]],Table2[#Headers],0),0)</f>
        <v>892</v>
      </c>
      <c r="X739" s="2">
        <f>VLOOKUP([jobnumber],OvalData[],MATCH(Table2[[#Headers],[Pre Turns]],Table2[#Headers],0),0)</f>
        <v>1.3332999999999999</v>
      </c>
      <c r="Y739" s="2">
        <f>VLOOKUP([jobnumber],OvalData[],MATCH(Table2[[#Headers],[Required Torque Per Turn]],Table2[#Headers],0),0)</f>
        <v>688</v>
      </c>
      <c r="Z739" s="2">
        <f>VLOOKUP([jobnumber],OvalData[],MATCH(Table2[[#Headers],[Total Turns]],Table2[#Headers],0),0)</f>
        <v>4.91</v>
      </c>
      <c r="AA739" s="2">
        <f>VLOOKUP([jobnumber],OvalData[],MATCH(Table2[[#Headers],[Grille Vision Section]],Table2[#Headers],0),0)</f>
        <v>0</v>
      </c>
      <c r="AB739" s="2">
        <f>VLOOKUP([jobnumber],OvalData[],MATCH(Table2[[#Headers],[Grille Amount]],Table2[#Headers],0),0)</f>
        <v>0</v>
      </c>
      <c r="AC739" s="2">
        <f>VLOOKUP([jobnumber],OvalData[],MATCH(Table2[[#Headers],[Grille Center]],Table2[#Headers],0),0)</f>
        <v>0</v>
      </c>
      <c r="AD739" s="2">
        <f>VLOOKUP([jobnumber],OvalData[],MATCH(Table2[[#Headers],[Grille Pattern]],Table2[#Headers],0),0)</f>
        <v>0</v>
      </c>
      <c r="AE739" s="2">
        <f>VLOOKUP([jobnumber],OvalData[],MATCH(Table2[[#Headers],[Grille First Tube]],Table2[#Headers],0),0)</f>
        <v>0</v>
      </c>
      <c r="AF739" s="2">
        <f>VLOOKUP([jobnumber],OvalData[],MATCH(Table2[[#Headers],[Grille Standard Tube]],Table2[#Headers],0),0)</f>
        <v>0</v>
      </c>
      <c r="AG739" s="2">
        <f>VLOOKUP([jobnumber],OvalData[],MATCH(Table2[[#Headers],[Grille Total Links]],Table2[#Headers],0),0)</f>
        <v>0</v>
      </c>
      <c r="AH739" s="2">
        <f>VLOOKUP([jobnumber],OvalData[],MATCH(Table2[[#Headers],[Grille Rods]],Table2[#Headers],0),0)</f>
        <v>0</v>
      </c>
      <c r="AI739" s="2">
        <f>VLOOKUP([jobnumber],OvalData[],MATCH(Table2[[#Headers],[Grille Rod Length]],Table2[#Headers],0),0)</f>
        <v>0</v>
      </c>
      <c r="AJ739" s="2">
        <f>VLOOKUP([jobnumber],OvalData[],MATCH(Table2[[#Headers],[slattype]],Table2[#Headers],0),0)</f>
        <v>2</v>
      </c>
      <c r="AK739" s="2">
        <f>VLOOKUP([jobnumber],OvalData[],MATCH(Table2[[#Headers],[slatgage]],Table2[#Headers],0),0)</f>
        <v>18</v>
      </c>
      <c r="AL739" s="2">
        <f>VLOOKUP([jobnumber],OvalData[],MATCH(Table2[[#Headers],[Numer of Top Slats]],Table2[#Headers],0),0)</f>
        <v>0</v>
      </c>
      <c r="AM739" s="2">
        <f>VLOOKUP([jobnumber],OvalData[],MATCH(Table2[[#Headers],[Number of Bottom Slats]],Table2[#Headers],0),0)</f>
        <v>0</v>
      </c>
      <c r="AN739" s="2">
        <f>VLOOKUP([jobnumber],OvalData[],MATCH(Table2[[#Headers],[Solid Bottom Height]],Table2[#Headers],0),0)</f>
        <v>0</v>
      </c>
      <c r="AO739" s="2" t="str">
        <f>VLOOKUP([jobnumber],OvalData[],MATCH(Table2[[#Headers],[slatlength]],Table2[#Headers],0),0)</f>
        <v xml:space="preserve"> 18 ft.- 5 7/ 8"</v>
      </c>
      <c r="AP739" s="2">
        <f>VLOOKUP([jobnumber],OvalData[],MATCH(Table2[[#Headers],[Bottom Slat Length]],Table2[#Headers],0),0)</f>
        <v>0</v>
      </c>
      <c r="AQ739" s="2">
        <f>VLOOKUP([jobnumber],OvalData[],MATCH(Table2[[#Headers],[Number of Perferated Slats]],Table2[#Headers],0),0)</f>
        <v>0</v>
      </c>
      <c r="AR739" s="2">
        <f>VLOOKUP([jobnumber],OvalData[],MATCH(Table2[[#Headers],[First Preferated Slat From End]],Table2[#Headers],0),0)</f>
        <v>0</v>
      </c>
      <c r="AS739" s="2">
        <f>VLOOKUP([jobnumber],OvalData[],MATCH(Table2[[#Headers],[First Preferated Slat From Bottom]],Table2[#Headers],0),0)</f>
        <v>0</v>
      </c>
      <c r="AT739" s="2">
        <f>VLOOKUP([jobnumber],OvalData[],MATCH(Table2[[#Headers],[Total Number of Slats]],Table2[#Headers],0),0)</f>
        <v>51</v>
      </c>
      <c r="AU739" s="2">
        <f>VLOOKUP([jobnumber],OvalData[],MATCH(Table2[[#Headers],[Bottom Bar Slope]],Table2[#Headers],0),0)</f>
        <v>0</v>
      </c>
      <c r="AV739" s="2">
        <f>VLOOKUP([jobnumber],OvalData[],MATCH(Table2[[#Headers],[Bottom Bar Weight]],Table2[#Headers],0),0)</f>
        <v>80.5</v>
      </c>
      <c r="AW739" s="2" t="str">
        <f>VLOOKUP([jobnumber],OvalData[],MATCH(Table2[[#Headers],[Outer Spring Gage]],Table2[#Headers],0),0)</f>
        <v>Null</v>
      </c>
      <c r="AX739" s="2" t="str">
        <f>VLOOKUP([jobnumber],OvalData[],MATCH(Table2[[#Headers],[Outer Spring OD]],Table2[#Headers],0),0)</f>
        <v>Null</v>
      </c>
      <c r="AY739" s="2" t="str">
        <f>VLOOKUP([jobnumber],OvalData[],MATCH(Table2[[#Headers],[Outer Spring Length]],Table2[#Headers],0),0)</f>
        <v>Null</v>
      </c>
      <c r="AZ739" s="2" t="str">
        <f>VLOOKUP([jobnumber],OvalData[],MATCH(Table2[[#Headers],[Outer Spring Stretch]],Table2[#Headers],0),0)</f>
        <v>Null</v>
      </c>
      <c r="BA739" s="2" t="str">
        <f>VLOOKUP([jobnumber],OvalData[],MATCH(Table2[[#Headers],[Outer Spring Torque]],Table2[#Headers],0),0)</f>
        <v>Null</v>
      </c>
      <c r="BB739" s="2" t="str">
        <f>VLOOKUP([jobnumber],OvalData[],MATCH(Table2[[#Headers],[Outer Spring Max Turns]],Table2[#Headers],0),0)</f>
        <v>Null</v>
      </c>
      <c r="BC739" s="2" t="str">
        <f>VLOOKUP([jobnumber],OvalData[],MATCH(Table2[[#Headers],[Outer Spring Weight]],Table2[#Headers],0),0)</f>
        <v>Null</v>
      </c>
      <c r="BD739" s="2" t="str">
        <f>VLOOKUP([jobnumber],OvalData[],MATCH(Table2[[#Headers],[Inner Spring Gage]],Table2[#Headers],0),0)</f>
        <v>Null</v>
      </c>
      <c r="BE739" s="2" t="str">
        <f>VLOOKUP([jobnumber],OvalData[],MATCH(Table2[[#Headers],[Inner Spring OD]],Table2[#Headers],0),0)</f>
        <v>Null</v>
      </c>
      <c r="BF739" s="2" t="str">
        <f>VLOOKUP([jobnumber],OvalData[],MATCH(Table2[[#Headers],[Inner Spring Length]],Table2[#Headers],0),0)</f>
        <v>Null</v>
      </c>
      <c r="BG739" s="2" t="str">
        <f>VLOOKUP([jobnumber],OvalData[],MATCH(Table2[[#Headers],[Inner Spring Stretch]],Table2[#Headers],0),0)</f>
        <v>Null</v>
      </c>
      <c r="BH739" s="2" t="str">
        <f>VLOOKUP([jobnumber],OvalData[],MATCH(Table2[[#Headers],[Inner Spring Torque]],Table2[#Headers],0),0)</f>
        <v>Null</v>
      </c>
      <c r="BI739" s="2" t="str">
        <f>VLOOKUP([jobnumber],OvalData[],MATCH(Table2[[#Headers],[Inner Spring Max Turns]],Table2[#Headers],0),0)</f>
        <v>Null</v>
      </c>
      <c r="BJ739" s="2" t="str">
        <f>VLOOKUP([jobnumber],OvalData[],MATCH(Table2[[#Headers],[Inner Spring Weight]],Table2[#Headers],0),0)</f>
        <v>Null</v>
      </c>
      <c r="BK739" s="2">
        <f>VLOOKUP([jobnumber],OvalData[],MATCH(Table2[[#Headers],[Cycles]],Table2[#Headers],0),0)</f>
        <v>0</v>
      </c>
      <c r="BL739" s="2">
        <f>VLOOKUP([jobnumber],OvalData[],MATCH(Table2[[#Headers],[Total Spring Torque]],Table2[#Headers],0),0)</f>
        <v>0</v>
      </c>
      <c r="BM739" s="2">
        <f>VLOOKUP([jobnumber],OvalData[],MATCH(Table2[[#Headers],[Total Spring Weight]],Table2[#Headers],0),0)</f>
        <v>0</v>
      </c>
      <c r="BN739" s="2">
        <f>VLOOKUP([jobnumber],OvalData[],MATCH(Table2[[#Headers],[Pipe Weight]],Table2[#Headers],0),0)</f>
        <v>688.24239999999998</v>
      </c>
      <c r="BO739" s="2">
        <f>VLOOKUP([jobnumber],OvalData[],MATCH(Table2[[#Headers],[Max Pipe Deflection]],Table2[#Headers],0),0)</f>
        <v>2309</v>
      </c>
      <c r="BP739" s="2">
        <f>VLOOKUP([jobnumber],OvalData[],MATCH(Table2[[#Headers],[Number Non-Insulated Wrap Slats]],Table2[#Headers],0),0)</f>
        <v>0</v>
      </c>
      <c r="BQ739" s="2">
        <f>VLOOKUP([jobnumber],OvalData[],MATCH(Table2[[#Headers],[Number of Insolated Top Slats]],Table2[#Headers],0),0)</f>
        <v>45</v>
      </c>
      <c r="BR739" s="2">
        <f>VLOOKUP([jobnumber],OvalData[],MATCH(Table2[[#Headers],[Insolated Total Slats]],Table2[#Headers],0),0)</f>
        <v>45</v>
      </c>
      <c r="BS739" s="2">
        <f>VLOOKUP([jobnumber],OvalData[],MATCH(Table2[[#Headers],[Number of Slats]],Table2[#Headers],0),0)</f>
        <v>44.69</v>
      </c>
      <c r="BT739" s="2">
        <f>VLOOKUP([jobnumber],OvalData[],MATCH(Table2[[#Headers],[Wrap]],Table2[#Headers],0),0)</f>
        <v>0</v>
      </c>
      <c r="BU739" s="2">
        <f>VLOOKUP([jobnumber],OvalData[],MATCH(Table2[[#Headers],[Wall Angle Thickness]],Table2[#Headers],0),0)</f>
        <v>0</v>
      </c>
      <c r="BV739" s="2">
        <f>VLOOKUP([jobnumber],OvalData[],MATCH(Table2[[#Headers],[windlocks]],Table2[#Headers],0),0)</f>
        <v>0</v>
      </c>
      <c r="BW739" s="2" t="str">
        <f>VLOOKUP([jobnumber],OvalData[],MATCH(Table2[[#Headers],[bottombartype]],Table2[#Headers],0),0)</f>
        <v>SPECIAL</v>
      </c>
      <c r="BX739" s="2">
        <f>VLOOKUP([jobnumber],OvalData[],MATCH(Table2[[#Headers],[endlockweight]],Table2[#Headers],0),0)</f>
        <v>0.17</v>
      </c>
      <c r="BY739" s="2">
        <f>VLOOKUP([jobnumber],OvalData[],MATCH(Table2[[#Headers],[Endlock Total Weight]],Table2[#Headers],0),0)</f>
        <v>7.5972999999999997</v>
      </c>
      <c r="BZ739" s="2">
        <f>VLOOKUP([jobnumber],OvalData[],MATCH(Table2[[#Headers],[Grille Weight]],Table2[#Headers],0),0)</f>
        <v>0</v>
      </c>
      <c r="CA739" s="2">
        <f>VLOOKUP([jobnumber],OvalData[],MATCH(Table2[[#Headers],[barrelrings]],Table2[#Headers],0),0)</f>
        <v>1</v>
      </c>
    </row>
    <row r="740" spans="2:79">
      <c r="B740" s="2" t="str">
        <f>VLOOKUP([jobnumber],OvalData[],MATCH(Table2[[#Headers],[Hand]],Table2[#Headers],0),0)</f>
        <v>RH</v>
      </c>
      <c r="C740" s="2" t="str">
        <f>VLOOKUP([jobnumber],OvalData[],MATCH(Table2[[#Headers],[Model]],Table2[#Headers],0),0)</f>
        <v>SFMPP</v>
      </c>
      <c r="D740" s="2" t="str">
        <f>VLOOKUP([jobnumber],OvalData[],MATCH(Table2[[#Headers],[width]],Table2[#Headers],0),0)</f>
        <v xml:space="preserve"> 18 ft.- 2"</v>
      </c>
      <c r="E740" s="2" t="str">
        <f>VLOOKUP([jobnumber],OvalData[],MATCH(Table2[[#Headers],[stopheight]],Table2[#Headers],0),0)</f>
        <v xml:space="preserve"> 10 ft.- 0"</v>
      </c>
      <c r="F740" s="2" t="str">
        <f>VLOOKUP([jobnumber],OvalData[],MATCH(Table2[[#Headers],[Between Brackets]],Table2[#Headers],0),0)</f>
        <v xml:space="preserve"> 18 ft.- 7 7/ 8"</v>
      </c>
      <c r="G740" s="2" t="str">
        <f>VLOOKUP([jobnumber],OvalData[],MATCH(Table2[[#Headers],[shell]],Table2[#Headers],0),0)</f>
        <v>6 INCH TUBE</v>
      </c>
      <c r="H740" s="2" t="str">
        <f>VLOOKUP([jobnumber],OvalData[],MATCH(Table2[[#Headers],[pipewidth]],Table2[#Headers],0),0)</f>
        <v xml:space="preserve"> 18 ft.- 1 3/ 8"</v>
      </c>
      <c r="I740" s="2">
        <f>VLOOKUP([jobnumber],OvalData[],MATCH(Table2[[#Headers],[Support Tubes]],Table2[#Headers],0),0)</f>
        <v>0</v>
      </c>
      <c r="J740" s="2">
        <f>VLOOKUP([jobnumber],OvalData[],MATCH(Table2[[#Headers],[Upset]],Table2[#Headers],0),0)</f>
        <v>2</v>
      </c>
      <c r="K740" s="2" t="str">
        <f>VLOOKUP([jobnumber],OvalData[],MATCH(Table2[[#Headers],[Guide Type]],Table2[#Headers],0),0)</f>
        <v>SN2-4 5/8-E</v>
      </c>
      <c r="L740" s="2" t="str">
        <f>VLOOKUP([jobnumber],OvalData[],MATCH(Table2[[#Headers],[Wall Angle]],Table2[#Headers],0),0)</f>
        <v xml:space="preserve"> 11 ft.- 8"</v>
      </c>
      <c r="M740" s="2" t="str">
        <f>VLOOKUP([jobnumber],OvalData[],MATCH(Table2[[#Headers],[Middle Angle]],Table2[#Headers],0),0)</f>
        <v xml:space="preserve"> 10 ft.- 4 1/ 2"</v>
      </c>
      <c r="N740" s="2" t="str">
        <f>VLOOKUP([jobnumber],OvalData[],MATCH(Table2[[#Headers],[Front Angle]],Table2[#Headers],0),0)</f>
        <v xml:space="preserve"> 10 ft.- 3"</v>
      </c>
      <c r="O740" s="2">
        <f>VLOOKUP([jobnumber],OvalData[],MATCH(Table2[[#Headers],[Pipe Center Line]],Table2[#Headers],0),0)</f>
        <v>131</v>
      </c>
      <c r="P740" s="2">
        <f>VLOOKUP([jobnumber],OvalData[],MATCH(Table2[[#Headers],[Heat Expansion Gap]],Table2[#Headers],0),0)</f>
        <v>0</v>
      </c>
      <c r="Q740" s="2">
        <f>VLOOKUP([jobnumber],OvalData[],MATCH(Table2[[#Headers],[Hanging Weight Closed]],Table2[#Headers],0),0)</f>
        <v>795</v>
      </c>
      <c r="R740" s="2">
        <f>VLOOKUP([jobnumber],OvalData[],MATCH(Table2[[#Headers],[Hanging Weight Open]],Table2[#Headers],0),0)</f>
        <v>140</v>
      </c>
      <c r="S740" s="2">
        <f>VLOOKUP([jobnumber],OvalData[],MATCH(Table2[[#Headers],[Initial Lever Arm]],Table2[#Headers],0),0)</f>
        <v>4.25</v>
      </c>
      <c r="T740" s="2">
        <f>VLOOKUP([jobnumber],OvalData[],MATCH(Table2[[#Headers],[Turns to Raise]],Table2[#Headers],0),0)</f>
        <v>3.5859999999999999</v>
      </c>
      <c r="U740" s="2">
        <f>VLOOKUP([jobnumber],OvalData[],MATCH(Table2[[#Headers],[Final Lever Arm]],Table2[#Headers],0),0)</f>
        <v>6.37</v>
      </c>
      <c r="V740" s="2">
        <f>VLOOKUP([jobnumber],OvalData[],MATCH(Table2[[#Headers],[Torque Required Closed]],Table2[#Headers],0),0)</f>
        <v>3377.9</v>
      </c>
      <c r="W740" s="2">
        <f>VLOOKUP([jobnumber],OvalData[],MATCH(Table2[[#Headers],[Torque Required Open]],Table2[#Headers],0),0)</f>
        <v>892</v>
      </c>
      <c r="X740" s="2">
        <f>VLOOKUP([jobnumber],OvalData[],MATCH(Table2[[#Headers],[Pre Turns]],Table2[#Headers],0),0)</f>
        <v>1.3332999999999999</v>
      </c>
      <c r="Y740" s="2">
        <f>VLOOKUP([jobnumber],OvalData[],MATCH(Table2[[#Headers],[Required Torque Per Turn]],Table2[#Headers],0),0)</f>
        <v>688</v>
      </c>
      <c r="Z740" s="2">
        <f>VLOOKUP([jobnumber],OvalData[],MATCH(Table2[[#Headers],[Total Turns]],Table2[#Headers],0),0)</f>
        <v>4.91</v>
      </c>
      <c r="AA740" s="2">
        <f>VLOOKUP([jobnumber],OvalData[],MATCH(Table2[[#Headers],[Grille Vision Section]],Table2[#Headers],0),0)</f>
        <v>0</v>
      </c>
      <c r="AB740" s="2">
        <f>VLOOKUP([jobnumber],OvalData[],MATCH(Table2[[#Headers],[Grille Amount]],Table2[#Headers],0),0)</f>
        <v>0</v>
      </c>
      <c r="AC740" s="2">
        <f>VLOOKUP([jobnumber],OvalData[],MATCH(Table2[[#Headers],[Grille Center]],Table2[#Headers],0),0)</f>
        <v>0</v>
      </c>
      <c r="AD740" s="2">
        <f>VLOOKUP([jobnumber],OvalData[],MATCH(Table2[[#Headers],[Grille Pattern]],Table2[#Headers],0),0)</f>
        <v>0</v>
      </c>
      <c r="AE740" s="2">
        <f>VLOOKUP([jobnumber],OvalData[],MATCH(Table2[[#Headers],[Grille First Tube]],Table2[#Headers],0),0)</f>
        <v>0</v>
      </c>
      <c r="AF740" s="2">
        <f>VLOOKUP([jobnumber],OvalData[],MATCH(Table2[[#Headers],[Grille Standard Tube]],Table2[#Headers],0),0)</f>
        <v>0</v>
      </c>
      <c r="AG740" s="2">
        <f>VLOOKUP([jobnumber],OvalData[],MATCH(Table2[[#Headers],[Grille Total Links]],Table2[#Headers],0),0)</f>
        <v>0</v>
      </c>
      <c r="AH740" s="2">
        <f>VLOOKUP([jobnumber],OvalData[],MATCH(Table2[[#Headers],[Grille Rods]],Table2[#Headers],0),0)</f>
        <v>0</v>
      </c>
      <c r="AI740" s="2">
        <f>VLOOKUP([jobnumber],OvalData[],MATCH(Table2[[#Headers],[Grille Rod Length]],Table2[#Headers],0),0)</f>
        <v>0</v>
      </c>
      <c r="AJ740" s="2">
        <f>VLOOKUP([jobnumber],OvalData[],MATCH(Table2[[#Headers],[slattype]],Table2[#Headers],0),0)</f>
        <v>2</v>
      </c>
      <c r="AK740" s="2">
        <f>VLOOKUP([jobnumber],OvalData[],MATCH(Table2[[#Headers],[slatgage]],Table2[#Headers],0),0)</f>
        <v>18</v>
      </c>
      <c r="AL740" s="2">
        <f>VLOOKUP([jobnumber],OvalData[],MATCH(Table2[[#Headers],[Numer of Top Slats]],Table2[#Headers],0),0)</f>
        <v>0</v>
      </c>
      <c r="AM740" s="2">
        <f>VLOOKUP([jobnumber],OvalData[],MATCH(Table2[[#Headers],[Number of Bottom Slats]],Table2[#Headers],0),0)</f>
        <v>0</v>
      </c>
      <c r="AN740" s="2">
        <f>VLOOKUP([jobnumber],OvalData[],MATCH(Table2[[#Headers],[Solid Bottom Height]],Table2[#Headers],0),0)</f>
        <v>0</v>
      </c>
      <c r="AO740" s="2" t="str">
        <f>VLOOKUP([jobnumber],OvalData[],MATCH(Table2[[#Headers],[slatlength]],Table2[#Headers],0),0)</f>
        <v xml:space="preserve"> 18 ft.- 5 7/ 8"</v>
      </c>
      <c r="AP740" s="2">
        <f>VLOOKUP([jobnumber],OvalData[],MATCH(Table2[[#Headers],[Bottom Slat Length]],Table2[#Headers],0),0)</f>
        <v>0</v>
      </c>
      <c r="AQ740" s="2">
        <f>VLOOKUP([jobnumber],OvalData[],MATCH(Table2[[#Headers],[Number of Perferated Slats]],Table2[#Headers],0),0)</f>
        <v>0</v>
      </c>
      <c r="AR740" s="2">
        <f>VLOOKUP([jobnumber],OvalData[],MATCH(Table2[[#Headers],[First Preferated Slat From End]],Table2[#Headers],0),0)</f>
        <v>0</v>
      </c>
      <c r="AS740" s="2">
        <f>VLOOKUP([jobnumber],OvalData[],MATCH(Table2[[#Headers],[First Preferated Slat From Bottom]],Table2[#Headers],0),0)</f>
        <v>0</v>
      </c>
      <c r="AT740" s="2">
        <f>VLOOKUP([jobnumber],OvalData[],MATCH(Table2[[#Headers],[Total Number of Slats]],Table2[#Headers],0),0)</f>
        <v>51</v>
      </c>
      <c r="AU740" s="2">
        <f>VLOOKUP([jobnumber],OvalData[],MATCH(Table2[[#Headers],[Bottom Bar Slope]],Table2[#Headers],0),0)</f>
        <v>0</v>
      </c>
      <c r="AV740" s="2">
        <f>VLOOKUP([jobnumber],OvalData[],MATCH(Table2[[#Headers],[Bottom Bar Weight]],Table2[#Headers],0),0)</f>
        <v>80.5</v>
      </c>
      <c r="AW740" s="2" t="str">
        <f>VLOOKUP([jobnumber],OvalData[],MATCH(Table2[[#Headers],[Outer Spring Gage]],Table2[#Headers],0),0)</f>
        <v>Null</v>
      </c>
      <c r="AX740" s="2" t="str">
        <f>VLOOKUP([jobnumber],OvalData[],MATCH(Table2[[#Headers],[Outer Spring OD]],Table2[#Headers],0),0)</f>
        <v>Null</v>
      </c>
      <c r="AY740" s="2" t="str">
        <f>VLOOKUP([jobnumber],OvalData[],MATCH(Table2[[#Headers],[Outer Spring Length]],Table2[#Headers],0),0)</f>
        <v>Null</v>
      </c>
      <c r="AZ740" s="2" t="str">
        <f>VLOOKUP([jobnumber],OvalData[],MATCH(Table2[[#Headers],[Outer Spring Stretch]],Table2[#Headers],0),0)</f>
        <v>Null</v>
      </c>
      <c r="BA740" s="2" t="str">
        <f>VLOOKUP([jobnumber],OvalData[],MATCH(Table2[[#Headers],[Outer Spring Torque]],Table2[#Headers],0),0)</f>
        <v>Null</v>
      </c>
      <c r="BB740" s="2" t="str">
        <f>VLOOKUP([jobnumber],OvalData[],MATCH(Table2[[#Headers],[Outer Spring Max Turns]],Table2[#Headers],0),0)</f>
        <v>Null</v>
      </c>
      <c r="BC740" s="2" t="str">
        <f>VLOOKUP([jobnumber],OvalData[],MATCH(Table2[[#Headers],[Outer Spring Weight]],Table2[#Headers],0),0)</f>
        <v>Null</v>
      </c>
      <c r="BD740" s="2" t="str">
        <f>VLOOKUP([jobnumber],OvalData[],MATCH(Table2[[#Headers],[Inner Spring Gage]],Table2[#Headers],0),0)</f>
        <v>Null</v>
      </c>
      <c r="BE740" s="2" t="str">
        <f>VLOOKUP([jobnumber],OvalData[],MATCH(Table2[[#Headers],[Inner Spring OD]],Table2[#Headers],0),0)</f>
        <v>Null</v>
      </c>
      <c r="BF740" s="2" t="str">
        <f>VLOOKUP([jobnumber],OvalData[],MATCH(Table2[[#Headers],[Inner Spring Length]],Table2[#Headers],0),0)</f>
        <v>Null</v>
      </c>
      <c r="BG740" s="2" t="str">
        <f>VLOOKUP([jobnumber],OvalData[],MATCH(Table2[[#Headers],[Inner Spring Stretch]],Table2[#Headers],0),0)</f>
        <v>Null</v>
      </c>
      <c r="BH740" s="2" t="str">
        <f>VLOOKUP([jobnumber],OvalData[],MATCH(Table2[[#Headers],[Inner Spring Torque]],Table2[#Headers],0),0)</f>
        <v>Null</v>
      </c>
      <c r="BI740" s="2" t="str">
        <f>VLOOKUP([jobnumber],OvalData[],MATCH(Table2[[#Headers],[Inner Spring Max Turns]],Table2[#Headers],0),0)</f>
        <v>Null</v>
      </c>
      <c r="BJ740" s="2" t="str">
        <f>VLOOKUP([jobnumber],OvalData[],MATCH(Table2[[#Headers],[Inner Spring Weight]],Table2[#Headers],0),0)</f>
        <v>Null</v>
      </c>
      <c r="BK740" s="2">
        <f>VLOOKUP([jobnumber],OvalData[],MATCH(Table2[[#Headers],[Cycles]],Table2[#Headers],0),0)</f>
        <v>0</v>
      </c>
      <c r="BL740" s="2">
        <f>VLOOKUP([jobnumber],OvalData[],MATCH(Table2[[#Headers],[Total Spring Torque]],Table2[#Headers],0),0)</f>
        <v>0</v>
      </c>
      <c r="BM740" s="2">
        <f>VLOOKUP([jobnumber],OvalData[],MATCH(Table2[[#Headers],[Total Spring Weight]],Table2[#Headers],0),0)</f>
        <v>0</v>
      </c>
      <c r="BN740" s="2">
        <f>VLOOKUP([jobnumber],OvalData[],MATCH(Table2[[#Headers],[Pipe Weight]],Table2[#Headers],0),0)</f>
        <v>688.24239999999998</v>
      </c>
      <c r="BO740" s="2">
        <f>VLOOKUP([jobnumber],OvalData[],MATCH(Table2[[#Headers],[Max Pipe Deflection]],Table2[#Headers],0),0)</f>
        <v>2309</v>
      </c>
      <c r="BP740" s="2">
        <f>VLOOKUP([jobnumber],OvalData[],MATCH(Table2[[#Headers],[Number Non-Insulated Wrap Slats]],Table2[#Headers],0),0)</f>
        <v>0</v>
      </c>
      <c r="BQ740" s="2">
        <f>VLOOKUP([jobnumber],OvalData[],MATCH(Table2[[#Headers],[Number of Insolated Top Slats]],Table2[#Headers],0),0)</f>
        <v>45</v>
      </c>
      <c r="BR740" s="2">
        <f>VLOOKUP([jobnumber],OvalData[],MATCH(Table2[[#Headers],[Insolated Total Slats]],Table2[#Headers],0),0)</f>
        <v>45</v>
      </c>
      <c r="BS740" s="2">
        <f>VLOOKUP([jobnumber],OvalData[],MATCH(Table2[[#Headers],[Number of Slats]],Table2[#Headers],0),0)</f>
        <v>44.69</v>
      </c>
      <c r="BT740" s="2">
        <f>VLOOKUP([jobnumber],OvalData[],MATCH(Table2[[#Headers],[Wrap]],Table2[#Headers],0),0)</f>
        <v>0</v>
      </c>
      <c r="BU740" s="2">
        <f>VLOOKUP([jobnumber],OvalData[],MATCH(Table2[[#Headers],[Wall Angle Thickness]],Table2[#Headers],0),0)</f>
        <v>0</v>
      </c>
      <c r="BV740" s="2">
        <f>VLOOKUP([jobnumber],OvalData[],MATCH(Table2[[#Headers],[windlocks]],Table2[#Headers],0),0)</f>
        <v>0</v>
      </c>
      <c r="BW740" s="2" t="str">
        <f>VLOOKUP([jobnumber],OvalData[],MATCH(Table2[[#Headers],[bottombartype]],Table2[#Headers],0),0)</f>
        <v>SPECIAL</v>
      </c>
      <c r="BX740" s="2">
        <f>VLOOKUP([jobnumber],OvalData[],MATCH(Table2[[#Headers],[endlockweight]],Table2[#Headers],0),0)</f>
        <v>0.17</v>
      </c>
      <c r="BY740" s="2">
        <f>VLOOKUP([jobnumber],OvalData[],MATCH(Table2[[#Headers],[Endlock Total Weight]],Table2[#Headers],0),0)</f>
        <v>7.5972999999999997</v>
      </c>
      <c r="BZ740" s="2">
        <f>VLOOKUP([jobnumber],OvalData[],MATCH(Table2[[#Headers],[Grille Weight]],Table2[#Headers],0),0)</f>
        <v>0</v>
      </c>
      <c r="CA740" s="2">
        <f>VLOOKUP([jobnumber],OvalData[],MATCH(Table2[[#Headers],[barrelrings]],Table2[#Headers],0),0)</f>
        <v>1</v>
      </c>
    </row>
    <row r="741" spans="2:79">
      <c r="B741" s="2" t="str">
        <f>VLOOKUP([jobnumber],OvalData[],MATCH(Table2[[#Headers],[Hand]],Table2[#Headers],0),0)</f>
        <v>RH</v>
      </c>
      <c r="C741" s="2" t="str">
        <f>VLOOKUP([jobnumber],OvalData[],MATCH(Table2[[#Headers],[Model]],Table2[#Headers],0),0)</f>
        <v>SFMPP</v>
      </c>
      <c r="D741" s="2" t="str">
        <f>VLOOKUP([jobnumber],OvalData[],MATCH(Table2[[#Headers],[width]],Table2[#Headers],0),0)</f>
        <v xml:space="preserve"> 18 ft.- 2"</v>
      </c>
      <c r="E741" s="2" t="str">
        <f>VLOOKUP([jobnumber],OvalData[],MATCH(Table2[[#Headers],[stopheight]],Table2[#Headers],0),0)</f>
        <v xml:space="preserve"> 10 ft.- 0"</v>
      </c>
      <c r="F741" s="2" t="str">
        <f>VLOOKUP([jobnumber],OvalData[],MATCH(Table2[[#Headers],[Between Brackets]],Table2[#Headers],0),0)</f>
        <v xml:space="preserve"> 18 ft.- 7 7/ 8"</v>
      </c>
      <c r="G741" s="2" t="str">
        <f>VLOOKUP([jobnumber],OvalData[],MATCH(Table2[[#Headers],[shell]],Table2[#Headers],0),0)</f>
        <v>6 INCH TUBE</v>
      </c>
      <c r="H741" s="2" t="str">
        <f>VLOOKUP([jobnumber],OvalData[],MATCH(Table2[[#Headers],[pipewidth]],Table2[#Headers],0),0)</f>
        <v xml:space="preserve"> 18 ft.- 1 3/ 8"</v>
      </c>
      <c r="I741" s="2">
        <f>VLOOKUP([jobnumber],OvalData[],MATCH(Table2[[#Headers],[Support Tubes]],Table2[#Headers],0),0)</f>
        <v>0</v>
      </c>
      <c r="J741" s="2">
        <f>VLOOKUP([jobnumber],OvalData[],MATCH(Table2[[#Headers],[Upset]],Table2[#Headers],0),0)</f>
        <v>2</v>
      </c>
      <c r="K741" s="2" t="str">
        <f>VLOOKUP([jobnumber],OvalData[],MATCH(Table2[[#Headers],[Guide Type]],Table2[#Headers],0),0)</f>
        <v>SN2-4 5/8-E</v>
      </c>
      <c r="L741" s="2" t="str">
        <f>VLOOKUP([jobnumber],OvalData[],MATCH(Table2[[#Headers],[Wall Angle]],Table2[#Headers],0),0)</f>
        <v xml:space="preserve"> 11 ft.- 8"</v>
      </c>
      <c r="M741" s="2" t="str">
        <f>VLOOKUP([jobnumber],OvalData[],MATCH(Table2[[#Headers],[Middle Angle]],Table2[#Headers],0),0)</f>
        <v xml:space="preserve"> 10 ft.- 4 1/ 2"</v>
      </c>
      <c r="N741" s="2" t="str">
        <f>VLOOKUP([jobnumber],OvalData[],MATCH(Table2[[#Headers],[Front Angle]],Table2[#Headers],0),0)</f>
        <v xml:space="preserve"> 10 ft.- 3"</v>
      </c>
      <c r="O741" s="2">
        <f>VLOOKUP([jobnumber],OvalData[],MATCH(Table2[[#Headers],[Pipe Center Line]],Table2[#Headers],0),0)</f>
        <v>131</v>
      </c>
      <c r="P741" s="2">
        <f>VLOOKUP([jobnumber],OvalData[],MATCH(Table2[[#Headers],[Heat Expansion Gap]],Table2[#Headers],0),0)</f>
        <v>0</v>
      </c>
      <c r="Q741" s="2">
        <f>VLOOKUP([jobnumber],OvalData[],MATCH(Table2[[#Headers],[Hanging Weight Closed]],Table2[#Headers],0),0)</f>
        <v>795</v>
      </c>
      <c r="R741" s="2">
        <f>VLOOKUP([jobnumber],OvalData[],MATCH(Table2[[#Headers],[Hanging Weight Open]],Table2[#Headers],0),0)</f>
        <v>140</v>
      </c>
      <c r="S741" s="2">
        <f>VLOOKUP([jobnumber],OvalData[],MATCH(Table2[[#Headers],[Initial Lever Arm]],Table2[#Headers],0),0)</f>
        <v>4.25</v>
      </c>
      <c r="T741" s="2">
        <f>VLOOKUP([jobnumber],OvalData[],MATCH(Table2[[#Headers],[Turns to Raise]],Table2[#Headers],0),0)</f>
        <v>3.5859999999999999</v>
      </c>
      <c r="U741" s="2">
        <f>VLOOKUP([jobnumber],OvalData[],MATCH(Table2[[#Headers],[Final Lever Arm]],Table2[#Headers],0),0)</f>
        <v>6.37</v>
      </c>
      <c r="V741" s="2">
        <f>VLOOKUP([jobnumber],OvalData[],MATCH(Table2[[#Headers],[Torque Required Closed]],Table2[#Headers],0),0)</f>
        <v>3377.9</v>
      </c>
      <c r="W741" s="2">
        <f>VLOOKUP([jobnumber],OvalData[],MATCH(Table2[[#Headers],[Torque Required Open]],Table2[#Headers],0),0)</f>
        <v>892</v>
      </c>
      <c r="X741" s="2">
        <f>VLOOKUP([jobnumber],OvalData[],MATCH(Table2[[#Headers],[Pre Turns]],Table2[#Headers],0),0)</f>
        <v>1.3332999999999999</v>
      </c>
      <c r="Y741" s="2">
        <f>VLOOKUP([jobnumber],OvalData[],MATCH(Table2[[#Headers],[Required Torque Per Turn]],Table2[#Headers],0),0)</f>
        <v>688</v>
      </c>
      <c r="Z741" s="2">
        <f>VLOOKUP([jobnumber],OvalData[],MATCH(Table2[[#Headers],[Total Turns]],Table2[#Headers],0),0)</f>
        <v>4.91</v>
      </c>
      <c r="AA741" s="2">
        <f>VLOOKUP([jobnumber],OvalData[],MATCH(Table2[[#Headers],[Grille Vision Section]],Table2[#Headers],0),0)</f>
        <v>0</v>
      </c>
      <c r="AB741" s="2">
        <f>VLOOKUP([jobnumber],OvalData[],MATCH(Table2[[#Headers],[Grille Amount]],Table2[#Headers],0),0)</f>
        <v>0</v>
      </c>
      <c r="AC741" s="2">
        <f>VLOOKUP([jobnumber],OvalData[],MATCH(Table2[[#Headers],[Grille Center]],Table2[#Headers],0),0)</f>
        <v>0</v>
      </c>
      <c r="AD741" s="2">
        <f>VLOOKUP([jobnumber],OvalData[],MATCH(Table2[[#Headers],[Grille Pattern]],Table2[#Headers],0),0)</f>
        <v>0</v>
      </c>
      <c r="AE741" s="2">
        <f>VLOOKUP([jobnumber],OvalData[],MATCH(Table2[[#Headers],[Grille First Tube]],Table2[#Headers],0),0)</f>
        <v>0</v>
      </c>
      <c r="AF741" s="2">
        <f>VLOOKUP([jobnumber],OvalData[],MATCH(Table2[[#Headers],[Grille Standard Tube]],Table2[#Headers],0),0)</f>
        <v>0</v>
      </c>
      <c r="AG741" s="2">
        <f>VLOOKUP([jobnumber],OvalData[],MATCH(Table2[[#Headers],[Grille Total Links]],Table2[#Headers],0),0)</f>
        <v>0</v>
      </c>
      <c r="AH741" s="2">
        <f>VLOOKUP([jobnumber],OvalData[],MATCH(Table2[[#Headers],[Grille Rods]],Table2[#Headers],0),0)</f>
        <v>0</v>
      </c>
      <c r="AI741" s="2">
        <f>VLOOKUP([jobnumber],OvalData[],MATCH(Table2[[#Headers],[Grille Rod Length]],Table2[#Headers],0),0)</f>
        <v>0</v>
      </c>
      <c r="AJ741" s="2">
        <f>VLOOKUP([jobnumber],OvalData[],MATCH(Table2[[#Headers],[slattype]],Table2[#Headers],0),0)</f>
        <v>2</v>
      </c>
      <c r="AK741" s="2">
        <f>VLOOKUP([jobnumber],OvalData[],MATCH(Table2[[#Headers],[slatgage]],Table2[#Headers],0),0)</f>
        <v>18</v>
      </c>
      <c r="AL741" s="2">
        <f>VLOOKUP([jobnumber],OvalData[],MATCH(Table2[[#Headers],[Numer of Top Slats]],Table2[#Headers],0),0)</f>
        <v>0</v>
      </c>
      <c r="AM741" s="2">
        <f>VLOOKUP([jobnumber],OvalData[],MATCH(Table2[[#Headers],[Number of Bottom Slats]],Table2[#Headers],0),0)</f>
        <v>0</v>
      </c>
      <c r="AN741" s="2">
        <f>VLOOKUP([jobnumber],OvalData[],MATCH(Table2[[#Headers],[Solid Bottom Height]],Table2[#Headers],0),0)</f>
        <v>0</v>
      </c>
      <c r="AO741" s="2" t="str">
        <f>VLOOKUP([jobnumber],OvalData[],MATCH(Table2[[#Headers],[slatlength]],Table2[#Headers],0),0)</f>
        <v xml:space="preserve"> 18 ft.- 5 7/ 8"</v>
      </c>
      <c r="AP741" s="2">
        <f>VLOOKUP([jobnumber],OvalData[],MATCH(Table2[[#Headers],[Bottom Slat Length]],Table2[#Headers],0),0)</f>
        <v>0</v>
      </c>
      <c r="AQ741" s="2">
        <f>VLOOKUP([jobnumber],OvalData[],MATCH(Table2[[#Headers],[Number of Perferated Slats]],Table2[#Headers],0),0)</f>
        <v>0</v>
      </c>
      <c r="AR741" s="2">
        <f>VLOOKUP([jobnumber],OvalData[],MATCH(Table2[[#Headers],[First Preferated Slat From End]],Table2[#Headers],0),0)</f>
        <v>0</v>
      </c>
      <c r="AS741" s="2">
        <f>VLOOKUP([jobnumber],OvalData[],MATCH(Table2[[#Headers],[First Preferated Slat From Bottom]],Table2[#Headers],0),0)</f>
        <v>0</v>
      </c>
      <c r="AT741" s="2">
        <f>VLOOKUP([jobnumber],OvalData[],MATCH(Table2[[#Headers],[Total Number of Slats]],Table2[#Headers],0),0)</f>
        <v>51</v>
      </c>
      <c r="AU741" s="2">
        <f>VLOOKUP([jobnumber],OvalData[],MATCH(Table2[[#Headers],[Bottom Bar Slope]],Table2[#Headers],0),0)</f>
        <v>0</v>
      </c>
      <c r="AV741" s="2">
        <f>VLOOKUP([jobnumber],OvalData[],MATCH(Table2[[#Headers],[Bottom Bar Weight]],Table2[#Headers],0),0)</f>
        <v>80.5</v>
      </c>
      <c r="AW741" s="2" t="str">
        <f>VLOOKUP([jobnumber],OvalData[],MATCH(Table2[[#Headers],[Outer Spring Gage]],Table2[#Headers],0),0)</f>
        <v>Null</v>
      </c>
      <c r="AX741" s="2" t="str">
        <f>VLOOKUP([jobnumber],OvalData[],MATCH(Table2[[#Headers],[Outer Spring OD]],Table2[#Headers],0),0)</f>
        <v>Null</v>
      </c>
      <c r="AY741" s="2" t="str">
        <f>VLOOKUP([jobnumber],OvalData[],MATCH(Table2[[#Headers],[Outer Spring Length]],Table2[#Headers],0),0)</f>
        <v>Null</v>
      </c>
      <c r="AZ741" s="2" t="str">
        <f>VLOOKUP([jobnumber],OvalData[],MATCH(Table2[[#Headers],[Outer Spring Stretch]],Table2[#Headers],0),0)</f>
        <v>Null</v>
      </c>
      <c r="BA741" s="2" t="str">
        <f>VLOOKUP([jobnumber],OvalData[],MATCH(Table2[[#Headers],[Outer Spring Torque]],Table2[#Headers],0),0)</f>
        <v>Null</v>
      </c>
      <c r="BB741" s="2" t="str">
        <f>VLOOKUP([jobnumber],OvalData[],MATCH(Table2[[#Headers],[Outer Spring Max Turns]],Table2[#Headers],0),0)</f>
        <v>Null</v>
      </c>
      <c r="BC741" s="2" t="str">
        <f>VLOOKUP([jobnumber],OvalData[],MATCH(Table2[[#Headers],[Outer Spring Weight]],Table2[#Headers],0),0)</f>
        <v>Null</v>
      </c>
      <c r="BD741" s="2" t="str">
        <f>VLOOKUP([jobnumber],OvalData[],MATCH(Table2[[#Headers],[Inner Spring Gage]],Table2[#Headers],0),0)</f>
        <v>Null</v>
      </c>
      <c r="BE741" s="2" t="str">
        <f>VLOOKUP([jobnumber],OvalData[],MATCH(Table2[[#Headers],[Inner Spring OD]],Table2[#Headers],0),0)</f>
        <v>Null</v>
      </c>
      <c r="BF741" s="2" t="str">
        <f>VLOOKUP([jobnumber],OvalData[],MATCH(Table2[[#Headers],[Inner Spring Length]],Table2[#Headers],0),0)</f>
        <v>Null</v>
      </c>
      <c r="BG741" s="2" t="str">
        <f>VLOOKUP([jobnumber],OvalData[],MATCH(Table2[[#Headers],[Inner Spring Stretch]],Table2[#Headers],0),0)</f>
        <v>Null</v>
      </c>
      <c r="BH741" s="2" t="str">
        <f>VLOOKUP([jobnumber],OvalData[],MATCH(Table2[[#Headers],[Inner Spring Torque]],Table2[#Headers],0),0)</f>
        <v>Null</v>
      </c>
      <c r="BI741" s="2" t="str">
        <f>VLOOKUP([jobnumber],OvalData[],MATCH(Table2[[#Headers],[Inner Spring Max Turns]],Table2[#Headers],0),0)</f>
        <v>Null</v>
      </c>
      <c r="BJ741" s="2" t="str">
        <f>VLOOKUP([jobnumber],OvalData[],MATCH(Table2[[#Headers],[Inner Spring Weight]],Table2[#Headers],0),0)</f>
        <v>Null</v>
      </c>
      <c r="BK741" s="2">
        <f>VLOOKUP([jobnumber],OvalData[],MATCH(Table2[[#Headers],[Cycles]],Table2[#Headers],0),0)</f>
        <v>0</v>
      </c>
      <c r="BL741" s="2">
        <f>VLOOKUP([jobnumber],OvalData[],MATCH(Table2[[#Headers],[Total Spring Torque]],Table2[#Headers],0),0)</f>
        <v>0</v>
      </c>
      <c r="BM741" s="2">
        <f>VLOOKUP([jobnumber],OvalData[],MATCH(Table2[[#Headers],[Total Spring Weight]],Table2[#Headers],0),0)</f>
        <v>0</v>
      </c>
      <c r="BN741" s="2">
        <f>VLOOKUP([jobnumber],OvalData[],MATCH(Table2[[#Headers],[Pipe Weight]],Table2[#Headers],0),0)</f>
        <v>688.24239999999998</v>
      </c>
      <c r="BO741" s="2">
        <f>VLOOKUP([jobnumber],OvalData[],MATCH(Table2[[#Headers],[Max Pipe Deflection]],Table2[#Headers],0),0)</f>
        <v>2309</v>
      </c>
      <c r="BP741" s="2">
        <f>VLOOKUP([jobnumber],OvalData[],MATCH(Table2[[#Headers],[Number Non-Insulated Wrap Slats]],Table2[#Headers],0),0)</f>
        <v>0</v>
      </c>
      <c r="BQ741" s="2">
        <f>VLOOKUP([jobnumber],OvalData[],MATCH(Table2[[#Headers],[Number of Insolated Top Slats]],Table2[#Headers],0),0)</f>
        <v>45</v>
      </c>
      <c r="BR741" s="2">
        <f>VLOOKUP([jobnumber],OvalData[],MATCH(Table2[[#Headers],[Insolated Total Slats]],Table2[#Headers],0),0)</f>
        <v>45</v>
      </c>
      <c r="BS741" s="2">
        <f>VLOOKUP([jobnumber],OvalData[],MATCH(Table2[[#Headers],[Number of Slats]],Table2[#Headers],0),0)</f>
        <v>44.69</v>
      </c>
      <c r="BT741" s="2">
        <f>VLOOKUP([jobnumber],OvalData[],MATCH(Table2[[#Headers],[Wrap]],Table2[#Headers],0),0)</f>
        <v>0</v>
      </c>
      <c r="BU741" s="2">
        <f>VLOOKUP([jobnumber],OvalData[],MATCH(Table2[[#Headers],[Wall Angle Thickness]],Table2[#Headers],0),0)</f>
        <v>0</v>
      </c>
      <c r="BV741" s="2">
        <f>VLOOKUP([jobnumber],OvalData[],MATCH(Table2[[#Headers],[windlocks]],Table2[#Headers],0),0)</f>
        <v>0</v>
      </c>
      <c r="BW741" s="2" t="str">
        <f>VLOOKUP([jobnumber],OvalData[],MATCH(Table2[[#Headers],[bottombartype]],Table2[#Headers],0),0)</f>
        <v>SPECIAL</v>
      </c>
      <c r="BX741" s="2">
        <f>VLOOKUP([jobnumber],OvalData[],MATCH(Table2[[#Headers],[endlockweight]],Table2[#Headers],0),0)</f>
        <v>0.17</v>
      </c>
      <c r="BY741" s="2">
        <f>VLOOKUP([jobnumber],OvalData[],MATCH(Table2[[#Headers],[Endlock Total Weight]],Table2[#Headers],0),0)</f>
        <v>7.5972999999999997</v>
      </c>
      <c r="BZ741" s="2">
        <f>VLOOKUP([jobnumber],OvalData[],MATCH(Table2[[#Headers],[Grille Weight]],Table2[#Headers],0),0)</f>
        <v>0</v>
      </c>
      <c r="CA741" s="2">
        <f>VLOOKUP([jobnumber],OvalData[],MATCH(Table2[[#Headers],[barrelrings]],Table2[#Headers],0),0)</f>
        <v>1</v>
      </c>
    </row>
    <row r="742" spans="2:79">
      <c r="B742" s="2" t="str">
        <f>VLOOKUP([jobnumber],OvalData[],MATCH(Table2[[#Headers],[Hand]],Table2[#Headers],0),0)</f>
        <v>RH</v>
      </c>
      <c r="C742" s="2" t="str">
        <f>VLOOKUP([jobnumber],OvalData[],MATCH(Table2[[#Headers],[Model]],Table2[#Headers],0),0)</f>
        <v>SFMPP</v>
      </c>
      <c r="D742" s="2" t="str">
        <f>VLOOKUP([jobnumber],OvalData[],MATCH(Table2[[#Headers],[width]],Table2[#Headers],0),0)</f>
        <v xml:space="preserve"> 18 ft.- 2"</v>
      </c>
      <c r="E742" s="2" t="str">
        <f>VLOOKUP([jobnumber],OvalData[],MATCH(Table2[[#Headers],[stopheight]],Table2[#Headers],0),0)</f>
        <v xml:space="preserve"> 10 ft.- 0"</v>
      </c>
      <c r="F742" s="2" t="str">
        <f>VLOOKUP([jobnumber],OvalData[],MATCH(Table2[[#Headers],[Between Brackets]],Table2[#Headers],0),0)</f>
        <v xml:space="preserve"> 18 ft.- 7 7/ 8"</v>
      </c>
      <c r="G742" s="2" t="str">
        <f>VLOOKUP([jobnumber],OvalData[],MATCH(Table2[[#Headers],[shell]],Table2[#Headers],0),0)</f>
        <v>6 INCH TUBE</v>
      </c>
      <c r="H742" s="2" t="str">
        <f>VLOOKUP([jobnumber],OvalData[],MATCH(Table2[[#Headers],[pipewidth]],Table2[#Headers],0),0)</f>
        <v xml:space="preserve"> 18 ft.- 1 3/ 8"</v>
      </c>
      <c r="I742" s="2">
        <f>VLOOKUP([jobnumber],OvalData[],MATCH(Table2[[#Headers],[Support Tubes]],Table2[#Headers],0),0)</f>
        <v>0</v>
      </c>
      <c r="J742" s="2">
        <f>VLOOKUP([jobnumber],OvalData[],MATCH(Table2[[#Headers],[Upset]],Table2[#Headers],0),0)</f>
        <v>2</v>
      </c>
      <c r="K742" s="2" t="str">
        <f>VLOOKUP([jobnumber],OvalData[],MATCH(Table2[[#Headers],[Guide Type]],Table2[#Headers],0),0)</f>
        <v>SN2-4 5/8-E</v>
      </c>
      <c r="L742" s="2" t="str">
        <f>VLOOKUP([jobnumber],OvalData[],MATCH(Table2[[#Headers],[Wall Angle]],Table2[#Headers],0),0)</f>
        <v xml:space="preserve"> 11 ft.- 8"</v>
      </c>
      <c r="M742" s="2" t="str">
        <f>VLOOKUP([jobnumber],OvalData[],MATCH(Table2[[#Headers],[Middle Angle]],Table2[#Headers],0),0)</f>
        <v xml:space="preserve"> 10 ft.- 4 1/ 2"</v>
      </c>
      <c r="N742" s="2" t="str">
        <f>VLOOKUP([jobnumber],OvalData[],MATCH(Table2[[#Headers],[Front Angle]],Table2[#Headers],0),0)</f>
        <v xml:space="preserve"> 10 ft.- 3"</v>
      </c>
      <c r="O742" s="2">
        <f>VLOOKUP([jobnumber],OvalData[],MATCH(Table2[[#Headers],[Pipe Center Line]],Table2[#Headers],0),0)</f>
        <v>131</v>
      </c>
      <c r="P742" s="2">
        <f>VLOOKUP([jobnumber],OvalData[],MATCH(Table2[[#Headers],[Heat Expansion Gap]],Table2[#Headers],0),0)</f>
        <v>0</v>
      </c>
      <c r="Q742" s="2">
        <f>VLOOKUP([jobnumber],OvalData[],MATCH(Table2[[#Headers],[Hanging Weight Closed]],Table2[#Headers],0),0)</f>
        <v>795</v>
      </c>
      <c r="R742" s="2">
        <f>VLOOKUP([jobnumber],OvalData[],MATCH(Table2[[#Headers],[Hanging Weight Open]],Table2[#Headers],0),0)</f>
        <v>140</v>
      </c>
      <c r="S742" s="2">
        <f>VLOOKUP([jobnumber],OvalData[],MATCH(Table2[[#Headers],[Initial Lever Arm]],Table2[#Headers],0),0)</f>
        <v>4.25</v>
      </c>
      <c r="T742" s="2">
        <f>VLOOKUP([jobnumber],OvalData[],MATCH(Table2[[#Headers],[Turns to Raise]],Table2[#Headers],0),0)</f>
        <v>3.5859999999999999</v>
      </c>
      <c r="U742" s="2">
        <f>VLOOKUP([jobnumber],OvalData[],MATCH(Table2[[#Headers],[Final Lever Arm]],Table2[#Headers],0),0)</f>
        <v>6.37</v>
      </c>
      <c r="V742" s="2">
        <f>VLOOKUP([jobnumber],OvalData[],MATCH(Table2[[#Headers],[Torque Required Closed]],Table2[#Headers],0),0)</f>
        <v>3377.9</v>
      </c>
      <c r="W742" s="2">
        <f>VLOOKUP([jobnumber],OvalData[],MATCH(Table2[[#Headers],[Torque Required Open]],Table2[#Headers],0),0)</f>
        <v>892</v>
      </c>
      <c r="X742" s="2">
        <f>VLOOKUP([jobnumber],OvalData[],MATCH(Table2[[#Headers],[Pre Turns]],Table2[#Headers],0),0)</f>
        <v>1.3332999999999999</v>
      </c>
      <c r="Y742" s="2">
        <f>VLOOKUP([jobnumber],OvalData[],MATCH(Table2[[#Headers],[Required Torque Per Turn]],Table2[#Headers],0),0)</f>
        <v>688</v>
      </c>
      <c r="Z742" s="2">
        <f>VLOOKUP([jobnumber],OvalData[],MATCH(Table2[[#Headers],[Total Turns]],Table2[#Headers],0),0)</f>
        <v>4.91</v>
      </c>
      <c r="AA742" s="2">
        <f>VLOOKUP([jobnumber],OvalData[],MATCH(Table2[[#Headers],[Grille Vision Section]],Table2[#Headers],0),0)</f>
        <v>0</v>
      </c>
      <c r="AB742" s="2">
        <f>VLOOKUP([jobnumber],OvalData[],MATCH(Table2[[#Headers],[Grille Amount]],Table2[#Headers],0),0)</f>
        <v>0</v>
      </c>
      <c r="AC742" s="2">
        <f>VLOOKUP([jobnumber],OvalData[],MATCH(Table2[[#Headers],[Grille Center]],Table2[#Headers],0),0)</f>
        <v>0</v>
      </c>
      <c r="AD742" s="2">
        <f>VLOOKUP([jobnumber],OvalData[],MATCH(Table2[[#Headers],[Grille Pattern]],Table2[#Headers],0),0)</f>
        <v>0</v>
      </c>
      <c r="AE742" s="2">
        <f>VLOOKUP([jobnumber],OvalData[],MATCH(Table2[[#Headers],[Grille First Tube]],Table2[#Headers],0),0)</f>
        <v>0</v>
      </c>
      <c r="AF742" s="2">
        <f>VLOOKUP([jobnumber],OvalData[],MATCH(Table2[[#Headers],[Grille Standard Tube]],Table2[#Headers],0),0)</f>
        <v>0</v>
      </c>
      <c r="AG742" s="2">
        <f>VLOOKUP([jobnumber],OvalData[],MATCH(Table2[[#Headers],[Grille Total Links]],Table2[#Headers],0),0)</f>
        <v>0</v>
      </c>
      <c r="AH742" s="2">
        <f>VLOOKUP([jobnumber],OvalData[],MATCH(Table2[[#Headers],[Grille Rods]],Table2[#Headers],0),0)</f>
        <v>0</v>
      </c>
      <c r="AI742" s="2">
        <f>VLOOKUP([jobnumber],OvalData[],MATCH(Table2[[#Headers],[Grille Rod Length]],Table2[#Headers],0),0)</f>
        <v>0</v>
      </c>
      <c r="AJ742" s="2">
        <f>VLOOKUP([jobnumber],OvalData[],MATCH(Table2[[#Headers],[slattype]],Table2[#Headers],0),0)</f>
        <v>2</v>
      </c>
      <c r="AK742" s="2">
        <f>VLOOKUP([jobnumber],OvalData[],MATCH(Table2[[#Headers],[slatgage]],Table2[#Headers],0),0)</f>
        <v>18</v>
      </c>
      <c r="AL742" s="2">
        <f>VLOOKUP([jobnumber],OvalData[],MATCH(Table2[[#Headers],[Numer of Top Slats]],Table2[#Headers],0),0)</f>
        <v>0</v>
      </c>
      <c r="AM742" s="2">
        <f>VLOOKUP([jobnumber],OvalData[],MATCH(Table2[[#Headers],[Number of Bottom Slats]],Table2[#Headers],0),0)</f>
        <v>0</v>
      </c>
      <c r="AN742" s="2">
        <f>VLOOKUP([jobnumber],OvalData[],MATCH(Table2[[#Headers],[Solid Bottom Height]],Table2[#Headers],0),0)</f>
        <v>0</v>
      </c>
      <c r="AO742" s="2" t="str">
        <f>VLOOKUP([jobnumber],OvalData[],MATCH(Table2[[#Headers],[slatlength]],Table2[#Headers],0),0)</f>
        <v xml:space="preserve"> 18 ft.- 5 7/ 8"</v>
      </c>
      <c r="AP742" s="2">
        <f>VLOOKUP([jobnumber],OvalData[],MATCH(Table2[[#Headers],[Bottom Slat Length]],Table2[#Headers],0),0)</f>
        <v>0</v>
      </c>
      <c r="AQ742" s="2">
        <f>VLOOKUP([jobnumber],OvalData[],MATCH(Table2[[#Headers],[Number of Perferated Slats]],Table2[#Headers],0),0)</f>
        <v>0</v>
      </c>
      <c r="AR742" s="2">
        <f>VLOOKUP([jobnumber],OvalData[],MATCH(Table2[[#Headers],[First Preferated Slat From End]],Table2[#Headers],0),0)</f>
        <v>0</v>
      </c>
      <c r="AS742" s="2">
        <f>VLOOKUP([jobnumber],OvalData[],MATCH(Table2[[#Headers],[First Preferated Slat From Bottom]],Table2[#Headers],0),0)</f>
        <v>0</v>
      </c>
      <c r="AT742" s="2">
        <f>VLOOKUP([jobnumber],OvalData[],MATCH(Table2[[#Headers],[Total Number of Slats]],Table2[#Headers],0),0)</f>
        <v>51</v>
      </c>
      <c r="AU742" s="2">
        <f>VLOOKUP([jobnumber],OvalData[],MATCH(Table2[[#Headers],[Bottom Bar Slope]],Table2[#Headers],0),0)</f>
        <v>0</v>
      </c>
      <c r="AV742" s="2">
        <f>VLOOKUP([jobnumber],OvalData[],MATCH(Table2[[#Headers],[Bottom Bar Weight]],Table2[#Headers],0),0)</f>
        <v>80.5</v>
      </c>
      <c r="AW742" s="2" t="str">
        <f>VLOOKUP([jobnumber],OvalData[],MATCH(Table2[[#Headers],[Outer Spring Gage]],Table2[#Headers],0),0)</f>
        <v>Null</v>
      </c>
      <c r="AX742" s="2" t="str">
        <f>VLOOKUP([jobnumber],OvalData[],MATCH(Table2[[#Headers],[Outer Spring OD]],Table2[#Headers],0),0)</f>
        <v>Null</v>
      </c>
      <c r="AY742" s="2" t="str">
        <f>VLOOKUP([jobnumber],OvalData[],MATCH(Table2[[#Headers],[Outer Spring Length]],Table2[#Headers],0),0)</f>
        <v>Null</v>
      </c>
      <c r="AZ742" s="2" t="str">
        <f>VLOOKUP([jobnumber],OvalData[],MATCH(Table2[[#Headers],[Outer Spring Stretch]],Table2[#Headers],0),0)</f>
        <v>Null</v>
      </c>
      <c r="BA742" s="2" t="str">
        <f>VLOOKUP([jobnumber],OvalData[],MATCH(Table2[[#Headers],[Outer Spring Torque]],Table2[#Headers],0),0)</f>
        <v>Null</v>
      </c>
      <c r="BB742" s="2" t="str">
        <f>VLOOKUP([jobnumber],OvalData[],MATCH(Table2[[#Headers],[Outer Spring Max Turns]],Table2[#Headers],0),0)</f>
        <v>Null</v>
      </c>
      <c r="BC742" s="2" t="str">
        <f>VLOOKUP([jobnumber],OvalData[],MATCH(Table2[[#Headers],[Outer Spring Weight]],Table2[#Headers],0),0)</f>
        <v>Null</v>
      </c>
      <c r="BD742" s="2" t="str">
        <f>VLOOKUP([jobnumber],OvalData[],MATCH(Table2[[#Headers],[Inner Spring Gage]],Table2[#Headers],0),0)</f>
        <v>Null</v>
      </c>
      <c r="BE742" s="2" t="str">
        <f>VLOOKUP([jobnumber],OvalData[],MATCH(Table2[[#Headers],[Inner Spring OD]],Table2[#Headers],0),0)</f>
        <v>Null</v>
      </c>
      <c r="BF742" s="2" t="str">
        <f>VLOOKUP([jobnumber],OvalData[],MATCH(Table2[[#Headers],[Inner Spring Length]],Table2[#Headers],0),0)</f>
        <v>Null</v>
      </c>
      <c r="BG742" s="2" t="str">
        <f>VLOOKUP([jobnumber],OvalData[],MATCH(Table2[[#Headers],[Inner Spring Stretch]],Table2[#Headers],0),0)</f>
        <v>Null</v>
      </c>
      <c r="BH742" s="2" t="str">
        <f>VLOOKUP([jobnumber],OvalData[],MATCH(Table2[[#Headers],[Inner Spring Torque]],Table2[#Headers],0),0)</f>
        <v>Null</v>
      </c>
      <c r="BI742" s="2" t="str">
        <f>VLOOKUP([jobnumber],OvalData[],MATCH(Table2[[#Headers],[Inner Spring Max Turns]],Table2[#Headers],0),0)</f>
        <v>Null</v>
      </c>
      <c r="BJ742" s="2" t="str">
        <f>VLOOKUP([jobnumber],OvalData[],MATCH(Table2[[#Headers],[Inner Spring Weight]],Table2[#Headers],0),0)</f>
        <v>Null</v>
      </c>
      <c r="BK742" s="2">
        <f>VLOOKUP([jobnumber],OvalData[],MATCH(Table2[[#Headers],[Cycles]],Table2[#Headers],0),0)</f>
        <v>0</v>
      </c>
      <c r="BL742" s="2">
        <f>VLOOKUP([jobnumber],OvalData[],MATCH(Table2[[#Headers],[Total Spring Torque]],Table2[#Headers],0),0)</f>
        <v>0</v>
      </c>
      <c r="BM742" s="2">
        <f>VLOOKUP([jobnumber],OvalData[],MATCH(Table2[[#Headers],[Total Spring Weight]],Table2[#Headers],0),0)</f>
        <v>0</v>
      </c>
      <c r="BN742" s="2">
        <f>VLOOKUP([jobnumber],OvalData[],MATCH(Table2[[#Headers],[Pipe Weight]],Table2[#Headers],0),0)</f>
        <v>688.24239999999998</v>
      </c>
      <c r="BO742" s="2">
        <f>VLOOKUP([jobnumber],OvalData[],MATCH(Table2[[#Headers],[Max Pipe Deflection]],Table2[#Headers],0),0)</f>
        <v>2309</v>
      </c>
      <c r="BP742" s="2">
        <f>VLOOKUP([jobnumber],OvalData[],MATCH(Table2[[#Headers],[Number Non-Insulated Wrap Slats]],Table2[#Headers],0),0)</f>
        <v>0</v>
      </c>
      <c r="BQ742" s="2">
        <f>VLOOKUP([jobnumber],OvalData[],MATCH(Table2[[#Headers],[Number of Insolated Top Slats]],Table2[#Headers],0),0)</f>
        <v>45</v>
      </c>
      <c r="BR742" s="2">
        <f>VLOOKUP([jobnumber],OvalData[],MATCH(Table2[[#Headers],[Insolated Total Slats]],Table2[#Headers],0),0)</f>
        <v>45</v>
      </c>
      <c r="BS742" s="2">
        <f>VLOOKUP([jobnumber],OvalData[],MATCH(Table2[[#Headers],[Number of Slats]],Table2[#Headers],0),0)</f>
        <v>44.69</v>
      </c>
      <c r="BT742" s="2">
        <f>VLOOKUP([jobnumber],OvalData[],MATCH(Table2[[#Headers],[Wrap]],Table2[#Headers],0),0)</f>
        <v>0</v>
      </c>
      <c r="BU742" s="2">
        <f>VLOOKUP([jobnumber],OvalData[],MATCH(Table2[[#Headers],[Wall Angle Thickness]],Table2[#Headers],0),0)</f>
        <v>0</v>
      </c>
      <c r="BV742" s="2">
        <f>VLOOKUP([jobnumber],OvalData[],MATCH(Table2[[#Headers],[windlocks]],Table2[#Headers],0),0)</f>
        <v>0</v>
      </c>
      <c r="BW742" s="2" t="str">
        <f>VLOOKUP([jobnumber],OvalData[],MATCH(Table2[[#Headers],[bottombartype]],Table2[#Headers],0),0)</f>
        <v>SPECIAL</v>
      </c>
      <c r="BX742" s="2">
        <f>VLOOKUP([jobnumber],OvalData[],MATCH(Table2[[#Headers],[endlockweight]],Table2[#Headers],0),0)</f>
        <v>0.17</v>
      </c>
      <c r="BY742" s="2">
        <f>VLOOKUP([jobnumber],OvalData[],MATCH(Table2[[#Headers],[Endlock Total Weight]],Table2[#Headers],0),0)</f>
        <v>7.5972999999999997</v>
      </c>
      <c r="BZ742" s="2">
        <f>VLOOKUP([jobnumber],OvalData[],MATCH(Table2[[#Headers],[Grille Weight]],Table2[#Headers],0),0)</f>
        <v>0</v>
      </c>
      <c r="CA742" s="2">
        <f>VLOOKUP([jobnumber],OvalData[],MATCH(Table2[[#Headers],[barrelrings]],Table2[#Headers],0),0)</f>
        <v>1</v>
      </c>
    </row>
    <row r="743" spans="2:79">
      <c r="B743" s="2" t="str">
        <f>VLOOKUP([jobnumber],OvalData[],MATCH(Table2[[#Headers],[Hand]],Table2[#Headers],0),0)</f>
        <v>RH</v>
      </c>
      <c r="C743" s="2" t="str">
        <f>VLOOKUP([jobnumber],OvalData[],MATCH(Table2[[#Headers],[Model]],Table2[#Headers],0),0)</f>
        <v>SFMPP</v>
      </c>
      <c r="D743" s="2" t="str">
        <f>VLOOKUP([jobnumber],OvalData[],MATCH(Table2[[#Headers],[width]],Table2[#Headers],0),0)</f>
        <v xml:space="preserve"> 18 ft.- 2"</v>
      </c>
      <c r="E743" s="2" t="str">
        <f>VLOOKUP([jobnumber],OvalData[],MATCH(Table2[[#Headers],[stopheight]],Table2[#Headers],0),0)</f>
        <v xml:space="preserve"> 10 ft.- 0"</v>
      </c>
      <c r="F743" s="2" t="str">
        <f>VLOOKUP([jobnumber],OvalData[],MATCH(Table2[[#Headers],[Between Brackets]],Table2[#Headers],0),0)</f>
        <v xml:space="preserve"> 18 ft.- 7 7/ 8"</v>
      </c>
      <c r="G743" s="2" t="str">
        <f>VLOOKUP([jobnumber],OvalData[],MATCH(Table2[[#Headers],[shell]],Table2[#Headers],0),0)</f>
        <v>6 INCH TUBE</v>
      </c>
      <c r="H743" s="2" t="str">
        <f>VLOOKUP([jobnumber],OvalData[],MATCH(Table2[[#Headers],[pipewidth]],Table2[#Headers],0),0)</f>
        <v xml:space="preserve"> 18 ft.- 1 3/ 8"</v>
      </c>
      <c r="I743" s="2">
        <f>VLOOKUP([jobnumber],OvalData[],MATCH(Table2[[#Headers],[Support Tubes]],Table2[#Headers],0),0)</f>
        <v>0</v>
      </c>
      <c r="J743" s="2">
        <f>VLOOKUP([jobnumber],OvalData[],MATCH(Table2[[#Headers],[Upset]],Table2[#Headers],0),0)</f>
        <v>2</v>
      </c>
      <c r="K743" s="2" t="str">
        <f>VLOOKUP([jobnumber],OvalData[],MATCH(Table2[[#Headers],[Guide Type]],Table2[#Headers],0),0)</f>
        <v>SN2-4 5/8-E</v>
      </c>
      <c r="L743" s="2" t="str">
        <f>VLOOKUP([jobnumber],OvalData[],MATCH(Table2[[#Headers],[Wall Angle]],Table2[#Headers],0),0)</f>
        <v xml:space="preserve"> 11 ft.- 8"</v>
      </c>
      <c r="M743" s="2" t="str">
        <f>VLOOKUP([jobnumber],OvalData[],MATCH(Table2[[#Headers],[Middle Angle]],Table2[#Headers],0),0)</f>
        <v xml:space="preserve"> 10 ft.- 4 1/ 2"</v>
      </c>
      <c r="N743" s="2" t="str">
        <f>VLOOKUP([jobnumber],OvalData[],MATCH(Table2[[#Headers],[Front Angle]],Table2[#Headers],0),0)</f>
        <v xml:space="preserve"> 10 ft.- 3"</v>
      </c>
      <c r="O743" s="2">
        <f>VLOOKUP([jobnumber],OvalData[],MATCH(Table2[[#Headers],[Pipe Center Line]],Table2[#Headers],0),0)</f>
        <v>131</v>
      </c>
      <c r="P743" s="2">
        <f>VLOOKUP([jobnumber],OvalData[],MATCH(Table2[[#Headers],[Heat Expansion Gap]],Table2[#Headers],0),0)</f>
        <v>0</v>
      </c>
      <c r="Q743" s="2">
        <f>VLOOKUP([jobnumber],OvalData[],MATCH(Table2[[#Headers],[Hanging Weight Closed]],Table2[#Headers],0),0)</f>
        <v>795</v>
      </c>
      <c r="R743" s="2">
        <f>VLOOKUP([jobnumber],OvalData[],MATCH(Table2[[#Headers],[Hanging Weight Open]],Table2[#Headers],0),0)</f>
        <v>140</v>
      </c>
      <c r="S743" s="2">
        <f>VLOOKUP([jobnumber],OvalData[],MATCH(Table2[[#Headers],[Initial Lever Arm]],Table2[#Headers],0),0)</f>
        <v>4.25</v>
      </c>
      <c r="T743" s="2">
        <f>VLOOKUP([jobnumber],OvalData[],MATCH(Table2[[#Headers],[Turns to Raise]],Table2[#Headers],0),0)</f>
        <v>3.5859999999999999</v>
      </c>
      <c r="U743" s="2">
        <f>VLOOKUP([jobnumber],OvalData[],MATCH(Table2[[#Headers],[Final Lever Arm]],Table2[#Headers],0),0)</f>
        <v>6.37</v>
      </c>
      <c r="V743" s="2">
        <f>VLOOKUP([jobnumber],OvalData[],MATCH(Table2[[#Headers],[Torque Required Closed]],Table2[#Headers],0),0)</f>
        <v>3377.9</v>
      </c>
      <c r="W743" s="2">
        <f>VLOOKUP([jobnumber],OvalData[],MATCH(Table2[[#Headers],[Torque Required Open]],Table2[#Headers],0),0)</f>
        <v>892</v>
      </c>
      <c r="X743" s="2">
        <f>VLOOKUP([jobnumber],OvalData[],MATCH(Table2[[#Headers],[Pre Turns]],Table2[#Headers],0),0)</f>
        <v>1.3332999999999999</v>
      </c>
      <c r="Y743" s="2">
        <f>VLOOKUP([jobnumber],OvalData[],MATCH(Table2[[#Headers],[Required Torque Per Turn]],Table2[#Headers],0),0)</f>
        <v>688</v>
      </c>
      <c r="Z743" s="2">
        <f>VLOOKUP([jobnumber],OvalData[],MATCH(Table2[[#Headers],[Total Turns]],Table2[#Headers],0),0)</f>
        <v>4.91</v>
      </c>
      <c r="AA743" s="2">
        <f>VLOOKUP([jobnumber],OvalData[],MATCH(Table2[[#Headers],[Grille Vision Section]],Table2[#Headers],0),0)</f>
        <v>0</v>
      </c>
      <c r="AB743" s="2">
        <f>VLOOKUP([jobnumber],OvalData[],MATCH(Table2[[#Headers],[Grille Amount]],Table2[#Headers],0),0)</f>
        <v>0</v>
      </c>
      <c r="AC743" s="2">
        <f>VLOOKUP([jobnumber],OvalData[],MATCH(Table2[[#Headers],[Grille Center]],Table2[#Headers],0),0)</f>
        <v>0</v>
      </c>
      <c r="AD743" s="2">
        <f>VLOOKUP([jobnumber],OvalData[],MATCH(Table2[[#Headers],[Grille Pattern]],Table2[#Headers],0),0)</f>
        <v>0</v>
      </c>
      <c r="AE743" s="2">
        <f>VLOOKUP([jobnumber],OvalData[],MATCH(Table2[[#Headers],[Grille First Tube]],Table2[#Headers],0),0)</f>
        <v>0</v>
      </c>
      <c r="AF743" s="2">
        <f>VLOOKUP([jobnumber],OvalData[],MATCH(Table2[[#Headers],[Grille Standard Tube]],Table2[#Headers],0),0)</f>
        <v>0</v>
      </c>
      <c r="AG743" s="2">
        <f>VLOOKUP([jobnumber],OvalData[],MATCH(Table2[[#Headers],[Grille Total Links]],Table2[#Headers],0),0)</f>
        <v>0</v>
      </c>
      <c r="AH743" s="2">
        <f>VLOOKUP([jobnumber],OvalData[],MATCH(Table2[[#Headers],[Grille Rods]],Table2[#Headers],0),0)</f>
        <v>0</v>
      </c>
      <c r="AI743" s="2">
        <f>VLOOKUP([jobnumber],OvalData[],MATCH(Table2[[#Headers],[Grille Rod Length]],Table2[#Headers],0),0)</f>
        <v>0</v>
      </c>
      <c r="AJ743" s="2">
        <f>VLOOKUP([jobnumber],OvalData[],MATCH(Table2[[#Headers],[slattype]],Table2[#Headers],0),0)</f>
        <v>2</v>
      </c>
      <c r="AK743" s="2">
        <f>VLOOKUP([jobnumber],OvalData[],MATCH(Table2[[#Headers],[slatgage]],Table2[#Headers],0),0)</f>
        <v>18</v>
      </c>
      <c r="AL743" s="2">
        <f>VLOOKUP([jobnumber],OvalData[],MATCH(Table2[[#Headers],[Numer of Top Slats]],Table2[#Headers],0),0)</f>
        <v>0</v>
      </c>
      <c r="AM743" s="2">
        <f>VLOOKUP([jobnumber],OvalData[],MATCH(Table2[[#Headers],[Number of Bottom Slats]],Table2[#Headers],0),0)</f>
        <v>0</v>
      </c>
      <c r="AN743" s="2">
        <f>VLOOKUP([jobnumber],OvalData[],MATCH(Table2[[#Headers],[Solid Bottom Height]],Table2[#Headers],0),0)</f>
        <v>0</v>
      </c>
      <c r="AO743" s="2" t="str">
        <f>VLOOKUP([jobnumber],OvalData[],MATCH(Table2[[#Headers],[slatlength]],Table2[#Headers],0),0)</f>
        <v xml:space="preserve"> 18 ft.- 5 7/ 8"</v>
      </c>
      <c r="AP743" s="2">
        <f>VLOOKUP([jobnumber],OvalData[],MATCH(Table2[[#Headers],[Bottom Slat Length]],Table2[#Headers],0),0)</f>
        <v>0</v>
      </c>
      <c r="AQ743" s="2">
        <f>VLOOKUP([jobnumber],OvalData[],MATCH(Table2[[#Headers],[Number of Perferated Slats]],Table2[#Headers],0),0)</f>
        <v>0</v>
      </c>
      <c r="AR743" s="2">
        <f>VLOOKUP([jobnumber],OvalData[],MATCH(Table2[[#Headers],[First Preferated Slat From End]],Table2[#Headers],0),0)</f>
        <v>0</v>
      </c>
      <c r="AS743" s="2">
        <f>VLOOKUP([jobnumber],OvalData[],MATCH(Table2[[#Headers],[First Preferated Slat From Bottom]],Table2[#Headers],0),0)</f>
        <v>0</v>
      </c>
      <c r="AT743" s="2">
        <f>VLOOKUP([jobnumber],OvalData[],MATCH(Table2[[#Headers],[Total Number of Slats]],Table2[#Headers],0),0)</f>
        <v>51</v>
      </c>
      <c r="AU743" s="2">
        <f>VLOOKUP([jobnumber],OvalData[],MATCH(Table2[[#Headers],[Bottom Bar Slope]],Table2[#Headers],0),0)</f>
        <v>0</v>
      </c>
      <c r="AV743" s="2">
        <f>VLOOKUP([jobnumber],OvalData[],MATCH(Table2[[#Headers],[Bottom Bar Weight]],Table2[#Headers],0),0)</f>
        <v>80.5</v>
      </c>
      <c r="AW743" s="2" t="str">
        <f>VLOOKUP([jobnumber],OvalData[],MATCH(Table2[[#Headers],[Outer Spring Gage]],Table2[#Headers],0),0)</f>
        <v>Null</v>
      </c>
      <c r="AX743" s="2" t="str">
        <f>VLOOKUP([jobnumber],OvalData[],MATCH(Table2[[#Headers],[Outer Spring OD]],Table2[#Headers],0),0)</f>
        <v>Null</v>
      </c>
      <c r="AY743" s="2" t="str">
        <f>VLOOKUP([jobnumber],OvalData[],MATCH(Table2[[#Headers],[Outer Spring Length]],Table2[#Headers],0),0)</f>
        <v>Null</v>
      </c>
      <c r="AZ743" s="2" t="str">
        <f>VLOOKUP([jobnumber],OvalData[],MATCH(Table2[[#Headers],[Outer Spring Stretch]],Table2[#Headers],0),0)</f>
        <v>Null</v>
      </c>
      <c r="BA743" s="2" t="str">
        <f>VLOOKUP([jobnumber],OvalData[],MATCH(Table2[[#Headers],[Outer Spring Torque]],Table2[#Headers],0),0)</f>
        <v>Null</v>
      </c>
      <c r="BB743" s="2" t="str">
        <f>VLOOKUP([jobnumber],OvalData[],MATCH(Table2[[#Headers],[Outer Spring Max Turns]],Table2[#Headers],0),0)</f>
        <v>Null</v>
      </c>
      <c r="BC743" s="2" t="str">
        <f>VLOOKUP([jobnumber],OvalData[],MATCH(Table2[[#Headers],[Outer Spring Weight]],Table2[#Headers],0),0)</f>
        <v>Null</v>
      </c>
      <c r="BD743" s="2" t="str">
        <f>VLOOKUP([jobnumber],OvalData[],MATCH(Table2[[#Headers],[Inner Spring Gage]],Table2[#Headers],0),0)</f>
        <v>Null</v>
      </c>
      <c r="BE743" s="2" t="str">
        <f>VLOOKUP([jobnumber],OvalData[],MATCH(Table2[[#Headers],[Inner Spring OD]],Table2[#Headers],0),0)</f>
        <v>Null</v>
      </c>
      <c r="BF743" s="2" t="str">
        <f>VLOOKUP([jobnumber],OvalData[],MATCH(Table2[[#Headers],[Inner Spring Length]],Table2[#Headers],0),0)</f>
        <v>Null</v>
      </c>
      <c r="BG743" s="2" t="str">
        <f>VLOOKUP([jobnumber],OvalData[],MATCH(Table2[[#Headers],[Inner Spring Stretch]],Table2[#Headers],0),0)</f>
        <v>Null</v>
      </c>
      <c r="BH743" s="2" t="str">
        <f>VLOOKUP([jobnumber],OvalData[],MATCH(Table2[[#Headers],[Inner Spring Torque]],Table2[#Headers],0),0)</f>
        <v>Null</v>
      </c>
      <c r="BI743" s="2" t="str">
        <f>VLOOKUP([jobnumber],OvalData[],MATCH(Table2[[#Headers],[Inner Spring Max Turns]],Table2[#Headers],0),0)</f>
        <v>Null</v>
      </c>
      <c r="BJ743" s="2" t="str">
        <f>VLOOKUP([jobnumber],OvalData[],MATCH(Table2[[#Headers],[Inner Spring Weight]],Table2[#Headers],0),0)</f>
        <v>Null</v>
      </c>
      <c r="BK743" s="2">
        <f>VLOOKUP([jobnumber],OvalData[],MATCH(Table2[[#Headers],[Cycles]],Table2[#Headers],0),0)</f>
        <v>0</v>
      </c>
      <c r="BL743" s="2">
        <f>VLOOKUP([jobnumber],OvalData[],MATCH(Table2[[#Headers],[Total Spring Torque]],Table2[#Headers],0),0)</f>
        <v>0</v>
      </c>
      <c r="BM743" s="2">
        <f>VLOOKUP([jobnumber],OvalData[],MATCH(Table2[[#Headers],[Total Spring Weight]],Table2[#Headers],0),0)</f>
        <v>0</v>
      </c>
      <c r="BN743" s="2">
        <f>VLOOKUP([jobnumber],OvalData[],MATCH(Table2[[#Headers],[Pipe Weight]],Table2[#Headers],0),0)</f>
        <v>688.24239999999998</v>
      </c>
      <c r="BO743" s="2">
        <f>VLOOKUP([jobnumber],OvalData[],MATCH(Table2[[#Headers],[Max Pipe Deflection]],Table2[#Headers],0),0)</f>
        <v>2309</v>
      </c>
      <c r="BP743" s="2">
        <f>VLOOKUP([jobnumber],OvalData[],MATCH(Table2[[#Headers],[Number Non-Insulated Wrap Slats]],Table2[#Headers],0),0)</f>
        <v>0</v>
      </c>
      <c r="BQ743" s="2">
        <f>VLOOKUP([jobnumber],OvalData[],MATCH(Table2[[#Headers],[Number of Insolated Top Slats]],Table2[#Headers],0),0)</f>
        <v>45</v>
      </c>
      <c r="BR743" s="2">
        <f>VLOOKUP([jobnumber],OvalData[],MATCH(Table2[[#Headers],[Insolated Total Slats]],Table2[#Headers],0),0)</f>
        <v>45</v>
      </c>
      <c r="BS743" s="2">
        <f>VLOOKUP([jobnumber],OvalData[],MATCH(Table2[[#Headers],[Number of Slats]],Table2[#Headers],0),0)</f>
        <v>44.69</v>
      </c>
      <c r="BT743" s="2">
        <f>VLOOKUP([jobnumber],OvalData[],MATCH(Table2[[#Headers],[Wrap]],Table2[#Headers],0),0)</f>
        <v>0</v>
      </c>
      <c r="BU743" s="2">
        <f>VLOOKUP([jobnumber],OvalData[],MATCH(Table2[[#Headers],[Wall Angle Thickness]],Table2[#Headers],0),0)</f>
        <v>0</v>
      </c>
      <c r="BV743" s="2">
        <f>VLOOKUP([jobnumber],OvalData[],MATCH(Table2[[#Headers],[windlocks]],Table2[#Headers],0),0)</f>
        <v>0</v>
      </c>
      <c r="BW743" s="2" t="str">
        <f>VLOOKUP([jobnumber],OvalData[],MATCH(Table2[[#Headers],[bottombartype]],Table2[#Headers],0),0)</f>
        <v>SPECIAL</v>
      </c>
      <c r="BX743" s="2">
        <f>VLOOKUP([jobnumber],OvalData[],MATCH(Table2[[#Headers],[endlockweight]],Table2[#Headers],0),0)</f>
        <v>0.17</v>
      </c>
      <c r="BY743" s="2">
        <f>VLOOKUP([jobnumber],OvalData[],MATCH(Table2[[#Headers],[Endlock Total Weight]],Table2[#Headers],0),0)</f>
        <v>7.5972999999999997</v>
      </c>
      <c r="BZ743" s="2">
        <f>VLOOKUP([jobnumber],OvalData[],MATCH(Table2[[#Headers],[Grille Weight]],Table2[#Headers],0),0)</f>
        <v>0</v>
      </c>
      <c r="CA743" s="2">
        <f>VLOOKUP([jobnumber],OvalData[],MATCH(Table2[[#Headers],[barrelrings]],Table2[#Headers],0),0)</f>
        <v>1</v>
      </c>
    </row>
    <row r="744" spans="2:79">
      <c r="B744" s="2" t="str">
        <f>VLOOKUP([jobnumber],OvalData[],MATCH(Table2[[#Headers],[Hand]],Table2[#Headers],0),0)</f>
        <v>RH</v>
      </c>
      <c r="C744" s="2" t="str">
        <f>VLOOKUP([jobnumber],OvalData[],MATCH(Table2[[#Headers],[Model]],Table2[#Headers],0),0)</f>
        <v>SFMPP</v>
      </c>
      <c r="D744" s="2" t="str">
        <f>VLOOKUP([jobnumber],OvalData[],MATCH(Table2[[#Headers],[width]],Table2[#Headers],0),0)</f>
        <v xml:space="preserve"> 18 ft.- 2"</v>
      </c>
      <c r="E744" s="2" t="str">
        <f>VLOOKUP([jobnumber],OvalData[],MATCH(Table2[[#Headers],[stopheight]],Table2[#Headers],0),0)</f>
        <v xml:space="preserve"> 10 ft.- 0"</v>
      </c>
      <c r="F744" s="2" t="str">
        <f>VLOOKUP([jobnumber],OvalData[],MATCH(Table2[[#Headers],[Between Brackets]],Table2[#Headers],0),0)</f>
        <v xml:space="preserve"> 18 ft.- 7 7/ 8"</v>
      </c>
      <c r="G744" s="2" t="str">
        <f>VLOOKUP([jobnumber],OvalData[],MATCH(Table2[[#Headers],[shell]],Table2[#Headers],0),0)</f>
        <v>6 INCH TUBE</v>
      </c>
      <c r="H744" s="2" t="str">
        <f>VLOOKUP([jobnumber],OvalData[],MATCH(Table2[[#Headers],[pipewidth]],Table2[#Headers],0),0)</f>
        <v xml:space="preserve"> 18 ft.- 1 3/ 8"</v>
      </c>
      <c r="I744" s="2">
        <f>VLOOKUP([jobnumber],OvalData[],MATCH(Table2[[#Headers],[Support Tubes]],Table2[#Headers],0),0)</f>
        <v>0</v>
      </c>
      <c r="J744" s="2">
        <f>VLOOKUP([jobnumber],OvalData[],MATCH(Table2[[#Headers],[Upset]],Table2[#Headers],0),0)</f>
        <v>2</v>
      </c>
      <c r="K744" s="2" t="str">
        <f>VLOOKUP([jobnumber],OvalData[],MATCH(Table2[[#Headers],[Guide Type]],Table2[#Headers],0),0)</f>
        <v>SN2-4 5/8-E</v>
      </c>
      <c r="L744" s="2" t="str">
        <f>VLOOKUP([jobnumber],OvalData[],MATCH(Table2[[#Headers],[Wall Angle]],Table2[#Headers],0),0)</f>
        <v xml:space="preserve"> 11 ft.- 8"</v>
      </c>
      <c r="M744" s="2" t="str">
        <f>VLOOKUP([jobnumber],OvalData[],MATCH(Table2[[#Headers],[Middle Angle]],Table2[#Headers],0),0)</f>
        <v xml:space="preserve"> 10 ft.- 4 1/ 2"</v>
      </c>
      <c r="N744" s="2" t="str">
        <f>VLOOKUP([jobnumber],OvalData[],MATCH(Table2[[#Headers],[Front Angle]],Table2[#Headers],0),0)</f>
        <v xml:space="preserve"> 10 ft.- 3"</v>
      </c>
      <c r="O744" s="2">
        <f>VLOOKUP([jobnumber],OvalData[],MATCH(Table2[[#Headers],[Pipe Center Line]],Table2[#Headers],0),0)</f>
        <v>131</v>
      </c>
      <c r="P744" s="2">
        <f>VLOOKUP([jobnumber],OvalData[],MATCH(Table2[[#Headers],[Heat Expansion Gap]],Table2[#Headers],0),0)</f>
        <v>0</v>
      </c>
      <c r="Q744" s="2">
        <f>VLOOKUP([jobnumber],OvalData[],MATCH(Table2[[#Headers],[Hanging Weight Closed]],Table2[#Headers],0),0)</f>
        <v>795</v>
      </c>
      <c r="R744" s="2">
        <f>VLOOKUP([jobnumber],OvalData[],MATCH(Table2[[#Headers],[Hanging Weight Open]],Table2[#Headers],0),0)</f>
        <v>140</v>
      </c>
      <c r="S744" s="2">
        <f>VLOOKUP([jobnumber],OvalData[],MATCH(Table2[[#Headers],[Initial Lever Arm]],Table2[#Headers],0),0)</f>
        <v>4.25</v>
      </c>
      <c r="T744" s="2">
        <f>VLOOKUP([jobnumber],OvalData[],MATCH(Table2[[#Headers],[Turns to Raise]],Table2[#Headers],0),0)</f>
        <v>3.5859999999999999</v>
      </c>
      <c r="U744" s="2">
        <f>VLOOKUP([jobnumber],OvalData[],MATCH(Table2[[#Headers],[Final Lever Arm]],Table2[#Headers],0),0)</f>
        <v>6.37</v>
      </c>
      <c r="V744" s="2">
        <f>VLOOKUP([jobnumber],OvalData[],MATCH(Table2[[#Headers],[Torque Required Closed]],Table2[#Headers],0),0)</f>
        <v>3377.9</v>
      </c>
      <c r="W744" s="2">
        <f>VLOOKUP([jobnumber],OvalData[],MATCH(Table2[[#Headers],[Torque Required Open]],Table2[#Headers],0),0)</f>
        <v>892</v>
      </c>
      <c r="X744" s="2">
        <f>VLOOKUP([jobnumber],OvalData[],MATCH(Table2[[#Headers],[Pre Turns]],Table2[#Headers],0),0)</f>
        <v>1.3332999999999999</v>
      </c>
      <c r="Y744" s="2">
        <f>VLOOKUP([jobnumber],OvalData[],MATCH(Table2[[#Headers],[Required Torque Per Turn]],Table2[#Headers],0),0)</f>
        <v>688</v>
      </c>
      <c r="Z744" s="2">
        <f>VLOOKUP([jobnumber],OvalData[],MATCH(Table2[[#Headers],[Total Turns]],Table2[#Headers],0),0)</f>
        <v>4.91</v>
      </c>
      <c r="AA744" s="2">
        <f>VLOOKUP([jobnumber],OvalData[],MATCH(Table2[[#Headers],[Grille Vision Section]],Table2[#Headers],0),0)</f>
        <v>0</v>
      </c>
      <c r="AB744" s="2">
        <f>VLOOKUP([jobnumber],OvalData[],MATCH(Table2[[#Headers],[Grille Amount]],Table2[#Headers],0),0)</f>
        <v>0</v>
      </c>
      <c r="AC744" s="2">
        <f>VLOOKUP([jobnumber],OvalData[],MATCH(Table2[[#Headers],[Grille Center]],Table2[#Headers],0),0)</f>
        <v>0</v>
      </c>
      <c r="AD744" s="2">
        <f>VLOOKUP([jobnumber],OvalData[],MATCH(Table2[[#Headers],[Grille Pattern]],Table2[#Headers],0),0)</f>
        <v>0</v>
      </c>
      <c r="AE744" s="2">
        <f>VLOOKUP([jobnumber],OvalData[],MATCH(Table2[[#Headers],[Grille First Tube]],Table2[#Headers],0),0)</f>
        <v>0</v>
      </c>
      <c r="AF744" s="2">
        <f>VLOOKUP([jobnumber],OvalData[],MATCH(Table2[[#Headers],[Grille Standard Tube]],Table2[#Headers],0),0)</f>
        <v>0</v>
      </c>
      <c r="AG744" s="2">
        <f>VLOOKUP([jobnumber],OvalData[],MATCH(Table2[[#Headers],[Grille Total Links]],Table2[#Headers],0),0)</f>
        <v>0</v>
      </c>
      <c r="AH744" s="2">
        <f>VLOOKUP([jobnumber],OvalData[],MATCH(Table2[[#Headers],[Grille Rods]],Table2[#Headers],0),0)</f>
        <v>0</v>
      </c>
      <c r="AI744" s="2">
        <f>VLOOKUP([jobnumber],OvalData[],MATCH(Table2[[#Headers],[Grille Rod Length]],Table2[#Headers],0),0)</f>
        <v>0</v>
      </c>
      <c r="AJ744" s="2">
        <f>VLOOKUP([jobnumber],OvalData[],MATCH(Table2[[#Headers],[slattype]],Table2[#Headers],0),0)</f>
        <v>2</v>
      </c>
      <c r="AK744" s="2">
        <f>VLOOKUP([jobnumber],OvalData[],MATCH(Table2[[#Headers],[slatgage]],Table2[#Headers],0),0)</f>
        <v>18</v>
      </c>
      <c r="AL744" s="2">
        <f>VLOOKUP([jobnumber],OvalData[],MATCH(Table2[[#Headers],[Numer of Top Slats]],Table2[#Headers],0),0)</f>
        <v>0</v>
      </c>
      <c r="AM744" s="2">
        <f>VLOOKUP([jobnumber],OvalData[],MATCH(Table2[[#Headers],[Number of Bottom Slats]],Table2[#Headers],0),0)</f>
        <v>0</v>
      </c>
      <c r="AN744" s="2">
        <f>VLOOKUP([jobnumber],OvalData[],MATCH(Table2[[#Headers],[Solid Bottom Height]],Table2[#Headers],0),0)</f>
        <v>0</v>
      </c>
      <c r="AO744" s="2" t="str">
        <f>VLOOKUP([jobnumber],OvalData[],MATCH(Table2[[#Headers],[slatlength]],Table2[#Headers],0),0)</f>
        <v xml:space="preserve"> 18 ft.- 5 7/ 8"</v>
      </c>
      <c r="AP744" s="2">
        <f>VLOOKUP([jobnumber],OvalData[],MATCH(Table2[[#Headers],[Bottom Slat Length]],Table2[#Headers],0),0)</f>
        <v>0</v>
      </c>
      <c r="AQ744" s="2">
        <f>VLOOKUP([jobnumber],OvalData[],MATCH(Table2[[#Headers],[Number of Perferated Slats]],Table2[#Headers],0),0)</f>
        <v>0</v>
      </c>
      <c r="AR744" s="2">
        <f>VLOOKUP([jobnumber],OvalData[],MATCH(Table2[[#Headers],[First Preferated Slat From End]],Table2[#Headers],0),0)</f>
        <v>0</v>
      </c>
      <c r="AS744" s="2">
        <f>VLOOKUP([jobnumber],OvalData[],MATCH(Table2[[#Headers],[First Preferated Slat From Bottom]],Table2[#Headers],0),0)</f>
        <v>0</v>
      </c>
      <c r="AT744" s="2">
        <f>VLOOKUP([jobnumber],OvalData[],MATCH(Table2[[#Headers],[Total Number of Slats]],Table2[#Headers],0),0)</f>
        <v>51</v>
      </c>
      <c r="AU744" s="2">
        <f>VLOOKUP([jobnumber],OvalData[],MATCH(Table2[[#Headers],[Bottom Bar Slope]],Table2[#Headers],0),0)</f>
        <v>0</v>
      </c>
      <c r="AV744" s="2">
        <f>VLOOKUP([jobnumber],OvalData[],MATCH(Table2[[#Headers],[Bottom Bar Weight]],Table2[#Headers],0),0)</f>
        <v>80.5</v>
      </c>
      <c r="AW744" s="2" t="str">
        <f>VLOOKUP([jobnumber],OvalData[],MATCH(Table2[[#Headers],[Outer Spring Gage]],Table2[#Headers],0),0)</f>
        <v>Null</v>
      </c>
      <c r="AX744" s="2" t="str">
        <f>VLOOKUP([jobnumber],OvalData[],MATCH(Table2[[#Headers],[Outer Spring OD]],Table2[#Headers],0),0)</f>
        <v>Null</v>
      </c>
      <c r="AY744" s="2" t="str">
        <f>VLOOKUP([jobnumber],OvalData[],MATCH(Table2[[#Headers],[Outer Spring Length]],Table2[#Headers],0),0)</f>
        <v>Null</v>
      </c>
      <c r="AZ744" s="2" t="str">
        <f>VLOOKUP([jobnumber],OvalData[],MATCH(Table2[[#Headers],[Outer Spring Stretch]],Table2[#Headers],0),0)</f>
        <v>Null</v>
      </c>
      <c r="BA744" s="2" t="str">
        <f>VLOOKUP([jobnumber],OvalData[],MATCH(Table2[[#Headers],[Outer Spring Torque]],Table2[#Headers],0),0)</f>
        <v>Null</v>
      </c>
      <c r="BB744" s="2" t="str">
        <f>VLOOKUP([jobnumber],OvalData[],MATCH(Table2[[#Headers],[Outer Spring Max Turns]],Table2[#Headers],0),0)</f>
        <v>Null</v>
      </c>
      <c r="BC744" s="2" t="str">
        <f>VLOOKUP([jobnumber],OvalData[],MATCH(Table2[[#Headers],[Outer Spring Weight]],Table2[#Headers],0),0)</f>
        <v>Null</v>
      </c>
      <c r="BD744" s="2" t="str">
        <f>VLOOKUP([jobnumber],OvalData[],MATCH(Table2[[#Headers],[Inner Spring Gage]],Table2[#Headers],0),0)</f>
        <v>Null</v>
      </c>
      <c r="BE744" s="2" t="str">
        <f>VLOOKUP([jobnumber],OvalData[],MATCH(Table2[[#Headers],[Inner Spring OD]],Table2[#Headers],0),0)</f>
        <v>Null</v>
      </c>
      <c r="BF744" s="2" t="str">
        <f>VLOOKUP([jobnumber],OvalData[],MATCH(Table2[[#Headers],[Inner Spring Length]],Table2[#Headers],0),0)</f>
        <v>Null</v>
      </c>
      <c r="BG744" s="2" t="str">
        <f>VLOOKUP([jobnumber],OvalData[],MATCH(Table2[[#Headers],[Inner Spring Stretch]],Table2[#Headers],0),0)</f>
        <v>Null</v>
      </c>
      <c r="BH744" s="2" t="str">
        <f>VLOOKUP([jobnumber],OvalData[],MATCH(Table2[[#Headers],[Inner Spring Torque]],Table2[#Headers],0),0)</f>
        <v>Null</v>
      </c>
      <c r="BI744" s="2" t="str">
        <f>VLOOKUP([jobnumber],OvalData[],MATCH(Table2[[#Headers],[Inner Spring Max Turns]],Table2[#Headers],0),0)</f>
        <v>Null</v>
      </c>
      <c r="BJ744" s="2" t="str">
        <f>VLOOKUP([jobnumber],OvalData[],MATCH(Table2[[#Headers],[Inner Spring Weight]],Table2[#Headers],0),0)</f>
        <v>Null</v>
      </c>
      <c r="BK744" s="2">
        <f>VLOOKUP([jobnumber],OvalData[],MATCH(Table2[[#Headers],[Cycles]],Table2[#Headers],0),0)</f>
        <v>0</v>
      </c>
      <c r="BL744" s="2">
        <f>VLOOKUP([jobnumber],OvalData[],MATCH(Table2[[#Headers],[Total Spring Torque]],Table2[#Headers],0),0)</f>
        <v>0</v>
      </c>
      <c r="BM744" s="2">
        <f>VLOOKUP([jobnumber],OvalData[],MATCH(Table2[[#Headers],[Total Spring Weight]],Table2[#Headers],0),0)</f>
        <v>0</v>
      </c>
      <c r="BN744" s="2">
        <f>VLOOKUP([jobnumber],OvalData[],MATCH(Table2[[#Headers],[Pipe Weight]],Table2[#Headers],0),0)</f>
        <v>688.24239999999998</v>
      </c>
      <c r="BO744" s="2">
        <f>VLOOKUP([jobnumber],OvalData[],MATCH(Table2[[#Headers],[Max Pipe Deflection]],Table2[#Headers],0),0)</f>
        <v>2309</v>
      </c>
      <c r="BP744" s="2">
        <f>VLOOKUP([jobnumber],OvalData[],MATCH(Table2[[#Headers],[Number Non-Insulated Wrap Slats]],Table2[#Headers],0),0)</f>
        <v>0</v>
      </c>
      <c r="BQ744" s="2">
        <f>VLOOKUP([jobnumber],OvalData[],MATCH(Table2[[#Headers],[Number of Insolated Top Slats]],Table2[#Headers],0),0)</f>
        <v>45</v>
      </c>
      <c r="BR744" s="2">
        <f>VLOOKUP([jobnumber],OvalData[],MATCH(Table2[[#Headers],[Insolated Total Slats]],Table2[#Headers],0),0)</f>
        <v>45</v>
      </c>
      <c r="BS744" s="2">
        <f>VLOOKUP([jobnumber],OvalData[],MATCH(Table2[[#Headers],[Number of Slats]],Table2[#Headers],0),0)</f>
        <v>44.69</v>
      </c>
      <c r="BT744" s="2">
        <f>VLOOKUP([jobnumber],OvalData[],MATCH(Table2[[#Headers],[Wrap]],Table2[#Headers],0),0)</f>
        <v>0</v>
      </c>
      <c r="BU744" s="2">
        <f>VLOOKUP([jobnumber],OvalData[],MATCH(Table2[[#Headers],[Wall Angle Thickness]],Table2[#Headers],0),0)</f>
        <v>0</v>
      </c>
      <c r="BV744" s="2">
        <f>VLOOKUP([jobnumber],OvalData[],MATCH(Table2[[#Headers],[windlocks]],Table2[#Headers],0),0)</f>
        <v>0</v>
      </c>
      <c r="BW744" s="2" t="str">
        <f>VLOOKUP([jobnumber],OvalData[],MATCH(Table2[[#Headers],[bottombartype]],Table2[#Headers],0),0)</f>
        <v>SPECIAL</v>
      </c>
      <c r="BX744" s="2">
        <f>VLOOKUP([jobnumber],OvalData[],MATCH(Table2[[#Headers],[endlockweight]],Table2[#Headers],0),0)</f>
        <v>0.17</v>
      </c>
      <c r="BY744" s="2">
        <f>VLOOKUP([jobnumber],OvalData[],MATCH(Table2[[#Headers],[Endlock Total Weight]],Table2[#Headers],0),0)</f>
        <v>7.5972999999999997</v>
      </c>
      <c r="BZ744" s="2">
        <f>VLOOKUP([jobnumber],OvalData[],MATCH(Table2[[#Headers],[Grille Weight]],Table2[#Headers],0),0)</f>
        <v>0</v>
      </c>
      <c r="CA744" s="2">
        <f>VLOOKUP([jobnumber],OvalData[],MATCH(Table2[[#Headers],[barrelrings]],Table2[#Headers],0),0)</f>
        <v>1</v>
      </c>
    </row>
    <row r="745" spans="2:79">
      <c r="B745" s="2" t="str">
        <f>VLOOKUP([jobnumber],OvalData[],MATCH(Table2[[#Headers],[Hand]],Table2[#Headers],0),0)</f>
        <v>RH</v>
      </c>
      <c r="C745" s="2" t="str">
        <f>VLOOKUP([jobnumber],OvalData[],MATCH(Table2[[#Headers],[Model]],Table2[#Headers],0),0)</f>
        <v>SFMPP</v>
      </c>
      <c r="D745" s="2" t="str">
        <f>VLOOKUP([jobnumber],OvalData[],MATCH(Table2[[#Headers],[width]],Table2[#Headers],0),0)</f>
        <v xml:space="preserve"> 18 ft.- 2"</v>
      </c>
      <c r="E745" s="2" t="str">
        <f>VLOOKUP([jobnumber],OvalData[],MATCH(Table2[[#Headers],[stopheight]],Table2[#Headers],0),0)</f>
        <v xml:space="preserve"> 10 ft.- 0"</v>
      </c>
      <c r="F745" s="2" t="str">
        <f>VLOOKUP([jobnumber],OvalData[],MATCH(Table2[[#Headers],[Between Brackets]],Table2[#Headers],0),0)</f>
        <v xml:space="preserve"> 18 ft.- 7 7/ 8"</v>
      </c>
      <c r="G745" s="2" t="str">
        <f>VLOOKUP([jobnumber],OvalData[],MATCH(Table2[[#Headers],[shell]],Table2[#Headers],0),0)</f>
        <v>6 INCH TUBE</v>
      </c>
      <c r="H745" s="2" t="str">
        <f>VLOOKUP([jobnumber],OvalData[],MATCH(Table2[[#Headers],[pipewidth]],Table2[#Headers],0),0)</f>
        <v xml:space="preserve"> 18 ft.- 1 3/ 8"</v>
      </c>
      <c r="I745" s="2">
        <f>VLOOKUP([jobnumber],OvalData[],MATCH(Table2[[#Headers],[Support Tubes]],Table2[#Headers],0),0)</f>
        <v>0</v>
      </c>
      <c r="J745" s="2">
        <f>VLOOKUP([jobnumber],OvalData[],MATCH(Table2[[#Headers],[Upset]],Table2[#Headers],0),0)</f>
        <v>2</v>
      </c>
      <c r="K745" s="2" t="str">
        <f>VLOOKUP([jobnumber],OvalData[],MATCH(Table2[[#Headers],[Guide Type]],Table2[#Headers],0),0)</f>
        <v>SN2-4 5/8-E</v>
      </c>
      <c r="L745" s="2" t="str">
        <f>VLOOKUP([jobnumber],OvalData[],MATCH(Table2[[#Headers],[Wall Angle]],Table2[#Headers],0),0)</f>
        <v xml:space="preserve"> 11 ft.- 8"</v>
      </c>
      <c r="M745" s="2" t="str">
        <f>VLOOKUP([jobnumber],OvalData[],MATCH(Table2[[#Headers],[Middle Angle]],Table2[#Headers],0),0)</f>
        <v xml:space="preserve"> 10 ft.- 4 1/ 2"</v>
      </c>
      <c r="N745" s="2" t="str">
        <f>VLOOKUP([jobnumber],OvalData[],MATCH(Table2[[#Headers],[Front Angle]],Table2[#Headers],0),0)</f>
        <v xml:space="preserve"> 10 ft.- 3"</v>
      </c>
      <c r="O745" s="2">
        <f>VLOOKUP([jobnumber],OvalData[],MATCH(Table2[[#Headers],[Pipe Center Line]],Table2[#Headers],0),0)</f>
        <v>131</v>
      </c>
      <c r="P745" s="2">
        <f>VLOOKUP([jobnumber],OvalData[],MATCH(Table2[[#Headers],[Heat Expansion Gap]],Table2[#Headers],0),0)</f>
        <v>0</v>
      </c>
      <c r="Q745" s="2">
        <f>VLOOKUP([jobnumber],OvalData[],MATCH(Table2[[#Headers],[Hanging Weight Closed]],Table2[#Headers],0),0)</f>
        <v>795</v>
      </c>
      <c r="R745" s="2">
        <f>VLOOKUP([jobnumber],OvalData[],MATCH(Table2[[#Headers],[Hanging Weight Open]],Table2[#Headers],0),0)</f>
        <v>140</v>
      </c>
      <c r="S745" s="2">
        <f>VLOOKUP([jobnumber],OvalData[],MATCH(Table2[[#Headers],[Initial Lever Arm]],Table2[#Headers],0),0)</f>
        <v>4.25</v>
      </c>
      <c r="T745" s="2">
        <f>VLOOKUP([jobnumber],OvalData[],MATCH(Table2[[#Headers],[Turns to Raise]],Table2[#Headers],0),0)</f>
        <v>3.5859999999999999</v>
      </c>
      <c r="U745" s="2">
        <f>VLOOKUP([jobnumber],OvalData[],MATCH(Table2[[#Headers],[Final Lever Arm]],Table2[#Headers],0),0)</f>
        <v>6.37</v>
      </c>
      <c r="V745" s="2">
        <f>VLOOKUP([jobnumber],OvalData[],MATCH(Table2[[#Headers],[Torque Required Closed]],Table2[#Headers],0),0)</f>
        <v>3377.9</v>
      </c>
      <c r="W745" s="2">
        <f>VLOOKUP([jobnumber],OvalData[],MATCH(Table2[[#Headers],[Torque Required Open]],Table2[#Headers],0),0)</f>
        <v>892</v>
      </c>
      <c r="X745" s="2">
        <f>VLOOKUP([jobnumber],OvalData[],MATCH(Table2[[#Headers],[Pre Turns]],Table2[#Headers],0),0)</f>
        <v>1.3332999999999999</v>
      </c>
      <c r="Y745" s="2">
        <f>VLOOKUP([jobnumber],OvalData[],MATCH(Table2[[#Headers],[Required Torque Per Turn]],Table2[#Headers],0),0)</f>
        <v>688</v>
      </c>
      <c r="Z745" s="2">
        <f>VLOOKUP([jobnumber],OvalData[],MATCH(Table2[[#Headers],[Total Turns]],Table2[#Headers],0),0)</f>
        <v>4.91</v>
      </c>
      <c r="AA745" s="2">
        <f>VLOOKUP([jobnumber],OvalData[],MATCH(Table2[[#Headers],[Grille Vision Section]],Table2[#Headers],0),0)</f>
        <v>0</v>
      </c>
      <c r="AB745" s="2">
        <f>VLOOKUP([jobnumber],OvalData[],MATCH(Table2[[#Headers],[Grille Amount]],Table2[#Headers],0),0)</f>
        <v>0</v>
      </c>
      <c r="AC745" s="2">
        <f>VLOOKUP([jobnumber],OvalData[],MATCH(Table2[[#Headers],[Grille Center]],Table2[#Headers],0),0)</f>
        <v>0</v>
      </c>
      <c r="AD745" s="2">
        <f>VLOOKUP([jobnumber],OvalData[],MATCH(Table2[[#Headers],[Grille Pattern]],Table2[#Headers],0),0)</f>
        <v>0</v>
      </c>
      <c r="AE745" s="2">
        <f>VLOOKUP([jobnumber],OvalData[],MATCH(Table2[[#Headers],[Grille First Tube]],Table2[#Headers],0),0)</f>
        <v>0</v>
      </c>
      <c r="AF745" s="2">
        <f>VLOOKUP([jobnumber],OvalData[],MATCH(Table2[[#Headers],[Grille Standard Tube]],Table2[#Headers],0),0)</f>
        <v>0</v>
      </c>
      <c r="AG745" s="2">
        <f>VLOOKUP([jobnumber],OvalData[],MATCH(Table2[[#Headers],[Grille Total Links]],Table2[#Headers],0),0)</f>
        <v>0</v>
      </c>
      <c r="AH745" s="2">
        <f>VLOOKUP([jobnumber],OvalData[],MATCH(Table2[[#Headers],[Grille Rods]],Table2[#Headers],0),0)</f>
        <v>0</v>
      </c>
      <c r="AI745" s="2">
        <f>VLOOKUP([jobnumber],OvalData[],MATCH(Table2[[#Headers],[Grille Rod Length]],Table2[#Headers],0),0)</f>
        <v>0</v>
      </c>
      <c r="AJ745" s="2">
        <f>VLOOKUP([jobnumber],OvalData[],MATCH(Table2[[#Headers],[slattype]],Table2[#Headers],0),0)</f>
        <v>2</v>
      </c>
      <c r="AK745" s="2">
        <f>VLOOKUP([jobnumber],OvalData[],MATCH(Table2[[#Headers],[slatgage]],Table2[#Headers],0),0)</f>
        <v>18</v>
      </c>
      <c r="AL745" s="2">
        <f>VLOOKUP([jobnumber],OvalData[],MATCH(Table2[[#Headers],[Numer of Top Slats]],Table2[#Headers],0),0)</f>
        <v>0</v>
      </c>
      <c r="AM745" s="2">
        <f>VLOOKUP([jobnumber],OvalData[],MATCH(Table2[[#Headers],[Number of Bottom Slats]],Table2[#Headers],0),0)</f>
        <v>0</v>
      </c>
      <c r="AN745" s="2">
        <f>VLOOKUP([jobnumber],OvalData[],MATCH(Table2[[#Headers],[Solid Bottom Height]],Table2[#Headers],0),0)</f>
        <v>0</v>
      </c>
      <c r="AO745" s="2" t="str">
        <f>VLOOKUP([jobnumber],OvalData[],MATCH(Table2[[#Headers],[slatlength]],Table2[#Headers],0),0)</f>
        <v xml:space="preserve"> 18 ft.- 5 7/ 8"</v>
      </c>
      <c r="AP745" s="2">
        <f>VLOOKUP([jobnumber],OvalData[],MATCH(Table2[[#Headers],[Bottom Slat Length]],Table2[#Headers],0),0)</f>
        <v>0</v>
      </c>
      <c r="AQ745" s="2">
        <f>VLOOKUP([jobnumber],OvalData[],MATCH(Table2[[#Headers],[Number of Perferated Slats]],Table2[#Headers],0),0)</f>
        <v>0</v>
      </c>
      <c r="AR745" s="2">
        <f>VLOOKUP([jobnumber],OvalData[],MATCH(Table2[[#Headers],[First Preferated Slat From End]],Table2[#Headers],0),0)</f>
        <v>0</v>
      </c>
      <c r="AS745" s="2">
        <f>VLOOKUP([jobnumber],OvalData[],MATCH(Table2[[#Headers],[First Preferated Slat From Bottom]],Table2[#Headers],0),0)</f>
        <v>0</v>
      </c>
      <c r="AT745" s="2">
        <f>VLOOKUP([jobnumber],OvalData[],MATCH(Table2[[#Headers],[Total Number of Slats]],Table2[#Headers],0),0)</f>
        <v>51</v>
      </c>
      <c r="AU745" s="2">
        <f>VLOOKUP([jobnumber],OvalData[],MATCH(Table2[[#Headers],[Bottom Bar Slope]],Table2[#Headers],0),0)</f>
        <v>0</v>
      </c>
      <c r="AV745" s="2">
        <f>VLOOKUP([jobnumber],OvalData[],MATCH(Table2[[#Headers],[Bottom Bar Weight]],Table2[#Headers],0),0)</f>
        <v>80.5</v>
      </c>
      <c r="AW745" s="2" t="str">
        <f>VLOOKUP([jobnumber],OvalData[],MATCH(Table2[[#Headers],[Outer Spring Gage]],Table2[#Headers],0),0)</f>
        <v>Null</v>
      </c>
      <c r="AX745" s="2" t="str">
        <f>VLOOKUP([jobnumber],OvalData[],MATCH(Table2[[#Headers],[Outer Spring OD]],Table2[#Headers],0),0)</f>
        <v>Null</v>
      </c>
      <c r="AY745" s="2" t="str">
        <f>VLOOKUP([jobnumber],OvalData[],MATCH(Table2[[#Headers],[Outer Spring Length]],Table2[#Headers],0),0)</f>
        <v>Null</v>
      </c>
      <c r="AZ745" s="2" t="str">
        <f>VLOOKUP([jobnumber],OvalData[],MATCH(Table2[[#Headers],[Outer Spring Stretch]],Table2[#Headers],0),0)</f>
        <v>Null</v>
      </c>
      <c r="BA745" s="2" t="str">
        <f>VLOOKUP([jobnumber],OvalData[],MATCH(Table2[[#Headers],[Outer Spring Torque]],Table2[#Headers],0),0)</f>
        <v>Null</v>
      </c>
      <c r="BB745" s="2" t="str">
        <f>VLOOKUP([jobnumber],OvalData[],MATCH(Table2[[#Headers],[Outer Spring Max Turns]],Table2[#Headers],0),0)</f>
        <v>Null</v>
      </c>
      <c r="BC745" s="2" t="str">
        <f>VLOOKUP([jobnumber],OvalData[],MATCH(Table2[[#Headers],[Outer Spring Weight]],Table2[#Headers],0),0)</f>
        <v>Null</v>
      </c>
      <c r="BD745" s="2" t="str">
        <f>VLOOKUP([jobnumber],OvalData[],MATCH(Table2[[#Headers],[Inner Spring Gage]],Table2[#Headers],0),0)</f>
        <v>Null</v>
      </c>
      <c r="BE745" s="2" t="str">
        <f>VLOOKUP([jobnumber],OvalData[],MATCH(Table2[[#Headers],[Inner Spring OD]],Table2[#Headers],0),0)</f>
        <v>Null</v>
      </c>
      <c r="BF745" s="2" t="str">
        <f>VLOOKUP([jobnumber],OvalData[],MATCH(Table2[[#Headers],[Inner Spring Length]],Table2[#Headers],0),0)</f>
        <v>Null</v>
      </c>
      <c r="BG745" s="2" t="str">
        <f>VLOOKUP([jobnumber],OvalData[],MATCH(Table2[[#Headers],[Inner Spring Stretch]],Table2[#Headers],0),0)</f>
        <v>Null</v>
      </c>
      <c r="BH745" s="2" t="str">
        <f>VLOOKUP([jobnumber],OvalData[],MATCH(Table2[[#Headers],[Inner Spring Torque]],Table2[#Headers],0),0)</f>
        <v>Null</v>
      </c>
      <c r="BI745" s="2" t="str">
        <f>VLOOKUP([jobnumber],OvalData[],MATCH(Table2[[#Headers],[Inner Spring Max Turns]],Table2[#Headers],0),0)</f>
        <v>Null</v>
      </c>
      <c r="BJ745" s="2" t="str">
        <f>VLOOKUP([jobnumber],OvalData[],MATCH(Table2[[#Headers],[Inner Spring Weight]],Table2[#Headers],0),0)</f>
        <v>Null</v>
      </c>
      <c r="BK745" s="2">
        <f>VLOOKUP([jobnumber],OvalData[],MATCH(Table2[[#Headers],[Cycles]],Table2[#Headers],0),0)</f>
        <v>0</v>
      </c>
      <c r="BL745" s="2">
        <f>VLOOKUP([jobnumber],OvalData[],MATCH(Table2[[#Headers],[Total Spring Torque]],Table2[#Headers],0),0)</f>
        <v>0</v>
      </c>
      <c r="BM745" s="2">
        <f>VLOOKUP([jobnumber],OvalData[],MATCH(Table2[[#Headers],[Total Spring Weight]],Table2[#Headers],0),0)</f>
        <v>0</v>
      </c>
      <c r="BN745" s="2">
        <f>VLOOKUP([jobnumber],OvalData[],MATCH(Table2[[#Headers],[Pipe Weight]],Table2[#Headers],0),0)</f>
        <v>688.24239999999998</v>
      </c>
      <c r="BO745" s="2">
        <f>VLOOKUP([jobnumber],OvalData[],MATCH(Table2[[#Headers],[Max Pipe Deflection]],Table2[#Headers],0),0)</f>
        <v>2309</v>
      </c>
      <c r="BP745" s="2">
        <f>VLOOKUP([jobnumber],OvalData[],MATCH(Table2[[#Headers],[Number Non-Insulated Wrap Slats]],Table2[#Headers],0),0)</f>
        <v>0</v>
      </c>
      <c r="BQ745" s="2">
        <f>VLOOKUP([jobnumber],OvalData[],MATCH(Table2[[#Headers],[Number of Insolated Top Slats]],Table2[#Headers],0),0)</f>
        <v>45</v>
      </c>
      <c r="BR745" s="2">
        <f>VLOOKUP([jobnumber],OvalData[],MATCH(Table2[[#Headers],[Insolated Total Slats]],Table2[#Headers],0),0)</f>
        <v>45</v>
      </c>
      <c r="BS745" s="2">
        <f>VLOOKUP([jobnumber],OvalData[],MATCH(Table2[[#Headers],[Number of Slats]],Table2[#Headers],0),0)</f>
        <v>44.69</v>
      </c>
      <c r="BT745" s="2">
        <f>VLOOKUP([jobnumber],OvalData[],MATCH(Table2[[#Headers],[Wrap]],Table2[#Headers],0),0)</f>
        <v>0</v>
      </c>
      <c r="BU745" s="2">
        <f>VLOOKUP([jobnumber],OvalData[],MATCH(Table2[[#Headers],[Wall Angle Thickness]],Table2[#Headers],0),0)</f>
        <v>0</v>
      </c>
      <c r="BV745" s="2">
        <f>VLOOKUP([jobnumber],OvalData[],MATCH(Table2[[#Headers],[windlocks]],Table2[#Headers],0),0)</f>
        <v>0</v>
      </c>
      <c r="BW745" s="2" t="str">
        <f>VLOOKUP([jobnumber],OvalData[],MATCH(Table2[[#Headers],[bottombartype]],Table2[#Headers],0),0)</f>
        <v>SPECIAL</v>
      </c>
      <c r="BX745" s="2">
        <f>VLOOKUP([jobnumber],OvalData[],MATCH(Table2[[#Headers],[endlockweight]],Table2[#Headers],0),0)</f>
        <v>0.17</v>
      </c>
      <c r="BY745" s="2">
        <f>VLOOKUP([jobnumber],OvalData[],MATCH(Table2[[#Headers],[Endlock Total Weight]],Table2[#Headers],0),0)</f>
        <v>7.5972999999999997</v>
      </c>
      <c r="BZ745" s="2">
        <f>VLOOKUP([jobnumber],OvalData[],MATCH(Table2[[#Headers],[Grille Weight]],Table2[#Headers],0),0)</f>
        <v>0</v>
      </c>
      <c r="CA745" s="2">
        <f>VLOOKUP([jobnumber],OvalData[],MATCH(Table2[[#Headers],[barrelrings]],Table2[#Headers],0),0)</f>
        <v>1</v>
      </c>
    </row>
    <row r="746" spans="2:79">
      <c r="B746" s="2" t="str">
        <f>VLOOKUP([jobnumber],OvalData[],MATCH(Table2[[#Headers],[Hand]],Table2[#Headers],0),0)</f>
        <v>RH</v>
      </c>
      <c r="C746" s="2" t="str">
        <f>VLOOKUP([jobnumber],OvalData[],MATCH(Table2[[#Headers],[Model]],Table2[#Headers],0),0)</f>
        <v>SFMPP</v>
      </c>
      <c r="D746" s="2" t="str">
        <f>VLOOKUP([jobnumber],OvalData[],MATCH(Table2[[#Headers],[width]],Table2[#Headers],0),0)</f>
        <v xml:space="preserve"> 18 ft.- 2"</v>
      </c>
      <c r="E746" s="2" t="str">
        <f>VLOOKUP([jobnumber],OvalData[],MATCH(Table2[[#Headers],[stopheight]],Table2[#Headers],0),0)</f>
        <v xml:space="preserve"> 10 ft.- 0"</v>
      </c>
      <c r="F746" s="2" t="str">
        <f>VLOOKUP([jobnumber],OvalData[],MATCH(Table2[[#Headers],[Between Brackets]],Table2[#Headers],0),0)</f>
        <v xml:space="preserve"> 18 ft.- 7 7/ 8"</v>
      </c>
      <c r="G746" s="2" t="str">
        <f>VLOOKUP([jobnumber],OvalData[],MATCH(Table2[[#Headers],[shell]],Table2[#Headers],0),0)</f>
        <v>6 INCH TUBE</v>
      </c>
      <c r="H746" s="2" t="str">
        <f>VLOOKUP([jobnumber],OvalData[],MATCH(Table2[[#Headers],[pipewidth]],Table2[#Headers],0),0)</f>
        <v xml:space="preserve"> 18 ft.- 1 3/ 8"</v>
      </c>
      <c r="I746" s="2">
        <f>VLOOKUP([jobnumber],OvalData[],MATCH(Table2[[#Headers],[Support Tubes]],Table2[#Headers],0),0)</f>
        <v>0</v>
      </c>
      <c r="J746" s="2">
        <f>VLOOKUP([jobnumber],OvalData[],MATCH(Table2[[#Headers],[Upset]],Table2[#Headers],0),0)</f>
        <v>2</v>
      </c>
      <c r="K746" s="2" t="str">
        <f>VLOOKUP([jobnumber],OvalData[],MATCH(Table2[[#Headers],[Guide Type]],Table2[#Headers],0),0)</f>
        <v>SN2-4 5/8-E</v>
      </c>
      <c r="L746" s="2" t="str">
        <f>VLOOKUP([jobnumber],OvalData[],MATCH(Table2[[#Headers],[Wall Angle]],Table2[#Headers],0),0)</f>
        <v xml:space="preserve"> 11 ft.- 8"</v>
      </c>
      <c r="M746" s="2" t="str">
        <f>VLOOKUP([jobnumber],OvalData[],MATCH(Table2[[#Headers],[Middle Angle]],Table2[#Headers],0),0)</f>
        <v xml:space="preserve"> 10 ft.- 4 1/ 2"</v>
      </c>
      <c r="N746" s="2" t="str">
        <f>VLOOKUP([jobnumber],OvalData[],MATCH(Table2[[#Headers],[Front Angle]],Table2[#Headers],0),0)</f>
        <v xml:space="preserve"> 10 ft.- 3"</v>
      </c>
      <c r="O746" s="2">
        <f>VLOOKUP([jobnumber],OvalData[],MATCH(Table2[[#Headers],[Pipe Center Line]],Table2[#Headers],0),0)</f>
        <v>131</v>
      </c>
      <c r="P746" s="2">
        <f>VLOOKUP([jobnumber],OvalData[],MATCH(Table2[[#Headers],[Heat Expansion Gap]],Table2[#Headers],0),0)</f>
        <v>0</v>
      </c>
      <c r="Q746" s="2">
        <f>VLOOKUP([jobnumber],OvalData[],MATCH(Table2[[#Headers],[Hanging Weight Closed]],Table2[#Headers],0),0)</f>
        <v>795</v>
      </c>
      <c r="R746" s="2">
        <f>VLOOKUP([jobnumber],OvalData[],MATCH(Table2[[#Headers],[Hanging Weight Open]],Table2[#Headers],0),0)</f>
        <v>140</v>
      </c>
      <c r="S746" s="2">
        <f>VLOOKUP([jobnumber],OvalData[],MATCH(Table2[[#Headers],[Initial Lever Arm]],Table2[#Headers],0),0)</f>
        <v>4.25</v>
      </c>
      <c r="T746" s="2">
        <f>VLOOKUP([jobnumber],OvalData[],MATCH(Table2[[#Headers],[Turns to Raise]],Table2[#Headers],0),0)</f>
        <v>3.5859999999999999</v>
      </c>
      <c r="U746" s="2">
        <f>VLOOKUP([jobnumber],OvalData[],MATCH(Table2[[#Headers],[Final Lever Arm]],Table2[#Headers],0),0)</f>
        <v>6.37</v>
      </c>
      <c r="V746" s="2">
        <f>VLOOKUP([jobnumber],OvalData[],MATCH(Table2[[#Headers],[Torque Required Closed]],Table2[#Headers],0),0)</f>
        <v>3377.9</v>
      </c>
      <c r="W746" s="2">
        <f>VLOOKUP([jobnumber],OvalData[],MATCH(Table2[[#Headers],[Torque Required Open]],Table2[#Headers],0),0)</f>
        <v>892</v>
      </c>
      <c r="X746" s="2">
        <f>VLOOKUP([jobnumber],OvalData[],MATCH(Table2[[#Headers],[Pre Turns]],Table2[#Headers],0),0)</f>
        <v>1.3332999999999999</v>
      </c>
      <c r="Y746" s="2">
        <f>VLOOKUP([jobnumber],OvalData[],MATCH(Table2[[#Headers],[Required Torque Per Turn]],Table2[#Headers],0),0)</f>
        <v>688</v>
      </c>
      <c r="Z746" s="2">
        <f>VLOOKUP([jobnumber],OvalData[],MATCH(Table2[[#Headers],[Total Turns]],Table2[#Headers],0),0)</f>
        <v>4.91</v>
      </c>
      <c r="AA746" s="2">
        <f>VLOOKUP([jobnumber],OvalData[],MATCH(Table2[[#Headers],[Grille Vision Section]],Table2[#Headers],0),0)</f>
        <v>0</v>
      </c>
      <c r="AB746" s="2">
        <f>VLOOKUP([jobnumber],OvalData[],MATCH(Table2[[#Headers],[Grille Amount]],Table2[#Headers],0),0)</f>
        <v>0</v>
      </c>
      <c r="AC746" s="2">
        <f>VLOOKUP([jobnumber],OvalData[],MATCH(Table2[[#Headers],[Grille Center]],Table2[#Headers],0),0)</f>
        <v>0</v>
      </c>
      <c r="AD746" s="2">
        <f>VLOOKUP([jobnumber],OvalData[],MATCH(Table2[[#Headers],[Grille Pattern]],Table2[#Headers],0),0)</f>
        <v>0</v>
      </c>
      <c r="AE746" s="2">
        <f>VLOOKUP([jobnumber],OvalData[],MATCH(Table2[[#Headers],[Grille First Tube]],Table2[#Headers],0),0)</f>
        <v>0</v>
      </c>
      <c r="AF746" s="2">
        <f>VLOOKUP([jobnumber],OvalData[],MATCH(Table2[[#Headers],[Grille Standard Tube]],Table2[#Headers],0),0)</f>
        <v>0</v>
      </c>
      <c r="AG746" s="2">
        <f>VLOOKUP([jobnumber],OvalData[],MATCH(Table2[[#Headers],[Grille Total Links]],Table2[#Headers],0),0)</f>
        <v>0</v>
      </c>
      <c r="AH746" s="2">
        <f>VLOOKUP([jobnumber],OvalData[],MATCH(Table2[[#Headers],[Grille Rods]],Table2[#Headers],0),0)</f>
        <v>0</v>
      </c>
      <c r="AI746" s="2">
        <f>VLOOKUP([jobnumber],OvalData[],MATCH(Table2[[#Headers],[Grille Rod Length]],Table2[#Headers],0),0)</f>
        <v>0</v>
      </c>
      <c r="AJ746" s="2">
        <f>VLOOKUP([jobnumber],OvalData[],MATCH(Table2[[#Headers],[slattype]],Table2[#Headers],0),0)</f>
        <v>2</v>
      </c>
      <c r="AK746" s="2">
        <f>VLOOKUP([jobnumber],OvalData[],MATCH(Table2[[#Headers],[slatgage]],Table2[#Headers],0),0)</f>
        <v>18</v>
      </c>
      <c r="AL746" s="2">
        <f>VLOOKUP([jobnumber],OvalData[],MATCH(Table2[[#Headers],[Numer of Top Slats]],Table2[#Headers],0),0)</f>
        <v>0</v>
      </c>
      <c r="AM746" s="2">
        <f>VLOOKUP([jobnumber],OvalData[],MATCH(Table2[[#Headers],[Number of Bottom Slats]],Table2[#Headers],0),0)</f>
        <v>0</v>
      </c>
      <c r="AN746" s="2">
        <f>VLOOKUP([jobnumber],OvalData[],MATCH(Table2[[#Headers],[Solid Bottom Height]],Table2[#Headers],0),0)</f>
        <v>0</v>
      </c>
      <c r="AO746" s="2" t="str">
        <f>VLOOKUP([jobnumber],OvalData[],MATCH(Table2[[#Headers],[slatlength]],Table2[#Headers],0),0)</f>
        <v xml:space="preserve"> 18 ft.- 5 7/ 8"</v>
      </c>
      <c r="AP746" s="2">
        <f>VLOOKUP([jobnumber],OvalData[],MATCH(Table2[[#Headers],[Bottom Slat Length]],Table2[#Headers],0),0)</f>
        <v>0</v>
      </c>
      <c r="AQ746" s="2">
        <f>VLOOKUP([jobnumber],OvalData[],MATCH(Table2[[#Headers],[Number of Perferated Slats]],Table2[#Headers],0),0)</f>
        <v>0</v>
      </c>
      <c r="AR746" s="2">
        <f>VLOOKUP([jobnumber],OvalData[],MATCH(Table2[[#Headers],[First Preferated Slat From End]],Table2[#Headers],0),0)</f>
        <v>0</v>
      </c>
      <c r="AS746" s="2">
        <f>VLOOKUP([jobnumber],OvalData[],MATCH(Table2[[#Headers],[First Preferated Slat From Bottom]],Table2[#Headers],0),0)</f>
        <v>0</v>
      </c>
      <c r="AT746" s="2">
        <f>VLOOKUP([jobnumber],OvalData[],MATCH(Table2[[#Headers],[Total Number of Slats]],Table2[#Headers],0),0)</f>
        <v>51</v>
      </c>
      <c r="AU746" s="2">
        <f>VLOOKUP([jobnumber],OvalData[],MATCH(Table2[[#Headers],[Bottom Bar Slope]],Table2[#Headers],0),0)</f>
        <v>0</v>
      </c>
      <c r="AV746" s="2">
        <f>VLOOKUP([jobnumber],OvalData[],MATCH(Table2[[#Headers],[Bottom Bar Weight]],Table2[#Headers],0),0)</f>
        <v>80.5</v>
      </c>
      <c r="AW746" s="2" t="str">
        <f>VLOOKUP([jobnumber],OvalData[],MATCH(Table2[[#Headers],[Outer Spring Gage]],Table2[#Headers],0),0)</f>
        <v>Null</v>
      </c>
      <c r="AX746" s="2" t="str">
        <f>VLOOKUP([jobnumber],OvalData[],MATCH(Table2[[#Headers],[Outer Spring OD]],Table2[#Headers],0),0)</f>
        <v>Null</v>
      </c>
      <c r="AY746" s="2" t="str">
        <f>VLOOKUP([jobnumber],OvalData[],MATCH(Table2[[#Headers],[Outer Spring Length]],Table2[#Headers],0),0)</f>
        <v>Null</v>
      </c>
      <c r="AZ746" s="2" t="str">
        <f>VLOOKUP([jobnumber],OvalData[],MATCH(Table2[[#Headers],[Outer Spring Stretch]],Table2[#Headers],0),0)</f>
        <v>Null</v>
      </c>
      <c r="BA746" s="2" t="str">
        <f>VLOOKUP([jobnumber],OvalData[],MATCH(Table2[[#Headers],[Outer Spring Torque]],Table2[#Headers],0),0)</f>
        <v>Null</v>
      </c>
      <c r="BB746" s="2" t="str">
        <f>VLOOKUP([jobnumber],OvalData[],MATCH(Table2[[#Headers],[Outer Spring Max Turns]],Table2[#Headers],0),0)</f>
        <v>Null</v>
      </c>
      <c r="BC746" s="2" t="str">
        <f>VLOOKUP([jobnumber],OvalData[],MATCH(Table2[[#Headers],[Outer Spring Weight]],Table2[#Headers],0),0)</f>
        <v>Null</v>
      </c>
      <c r="BD746" s="2" t="str">
        <f>VLOOKUP([jobnumber],OvalData[],MATCH(Table2[[#Headers],[Inner Spring Gage]],Table2[#Headers],0),0)</f>
        <v>Null</v>
      </c>
      <c r="BE746" s="2" t="str">
        <f>VLOOKUP([jobnumber],OvalData[],MATCH(Table2[[#Headers],[Inner Spring OD]],Table2[#Headers],0),0)</f>
        <v>Null</v>
      </c>
      <c r="BF746" s="2" t="str">
        <f>VLOOKUP([jobnumber],OvalData[],MATCH(Table2[[#Headers],[Inner Spring Length]],Table2[#Headers],0),0)</f>
        <v>Null</v>
      </c>
      <c r="BG746" s="2" t="str">
        <f>VLOOKUP([jobnumber],OvalData[],MATCH(Table2[[#Headers],[Inner Spring Stretch]],Table2[#Headers],0),0)</f>
        <v>Null</v>
      </c>
      <c r="BH746" s="2" t="str">
        <f>VLOOKUP([jobnumber],OvalData[],MATCH(Table2[[#Headers],[Inner Spring Torque]],Table2[#Headers],0),0)</f>
        <v>Null</v>
      </c>
      <c r="BI746" s="2" t="str">
        <f>VLOOKUP([jobnumber],OvalData[],MATCH(Table2[[#Headers],[Inner Spring Max Turns]],Table2[#Headers],0),0)</f>
        <v>Null</v>
      </c>
      <c r="BJ746" s="2" t="str">
        <f>VLOOKUP([jobnumber],OvalData[],MATCH(Table2[[#Headers],[Inner Spring Weight]],Table2[#Headers],0),0)</f>
        <v>Null</v>
      </c>
      <c r="BK746" s="2">
        <f>VLOOKUP([jobnumber],OvalData[],MATCH(Table2[[#Headers],[Cycles]],Table2[#Headers],0),0)</f>
        <v>0</v>
      </c>
      <c r="BL746" s="2">
        <f>VLOOKUP([jobnumber],OvalData[],MATCH(Table2[[#Headers],[Total Spring Torque]],Table2[#Headers],0),0)</f>
        <v>0</v>
      </c>
      <c r="BM746" s="2">
        <f>VLOOKUP([jobnumber],OvalData[],MATCH(Table2[[#Headers],[Total Spring Weight]],Table2[#Headers],0),0)</f>
        <v>0</v>
      </c>
      <c r="BN746" s="2">
        <f>VLOOKUP([jobnumber],OvalData[],MATCH(Table2[[#Headers],[Pipe Weight]],Table2[#Headers],0),0)</f>
        <v>688.24239999999998</v>
      </c>
      <c r="BO746" s="2">
        <f>VLOOKUP([jobnumber],OvalData[],MATCH(Table2[[#Headers],[Max Pipe Deflection]],Table2[#Headers],0),0)</f>
        <v>2309</v>
      </c>
      <c r="BP746" s="2">
        <f>VLOOKUP([jobnumber],OvalData[],MATCH(Table2[[#Headers],[Number Non-Insulated Wrap Slats]],Table2[#Headers],0),0)</f>
        <v>0</v>
      </c>
      <c r="BQ746" s="2">
        <f>VLOOKUP([jobnumber],OvalData[],MATCH(Table2[[#Headers],[Number of Insolated Top Slats]],Table2[#Headers],0),0)</f>
        <v>45</v>
      </c>
      <c r="BR746" s="2">
        <f>VLOOKUP([jobnumber],OvalData[],MATCH(Table2[[#Headers],[Insolated Total Slats]],Table2[#Headers],0),0)</f>
        <v>45</v>
      </c>
      <c r="BS746" s="2">
        <f>VLOOKUP([jobnumber],OvalData[],MATCH(Table2[[#Headers],[Number of Slats]],Table2[#Headers],0),0)</f>
        <v>44.69</v>
      </c>
      <c r="BT746" s="2">
        <f>VLOOKUP([jobnumber],OvalData[],MATCH(Table2[[#Headers],[Wrap]],Table2[#Headers],0),0)</f>
        <v>0</v>
      </c>
      <c r="BU746" s="2">
        <f>VLOOKUP([jobnumber],OvalData[],MATCH(Table2[[#Headers],[Wall Angle Thickness]],Table2[#Headers],0),0)</f>
        <v>0</v>
      </c>
      <c r="BV746" s="2">
        <f>VLOOKUP([jobnumber],OvalData[],MATCH(Table2[[#Headers],[windlocks]],Table2[#Headers],0),0)</f>
        <v>0</v>
      </c>
      <c r="BW746" s="2" t="str">
        <f>VLOOKUP([jobnumber],OvalData[],MATCH(Table2[[#Headers],[bottombartype]],Table2[#Headers],0),0)</f>
        <v>SPECIAL</v>
      </c>
      <c r="BX746" s="2">
        <f>VLOOKUP([jobnumber],OvalData[],MATCH(Table2[[#Headers],[endlockweight]],Table2[#Headers],0),0)</f>
        <v>0.17</v>
      </c>
      <c r="BY746" s="2">
        <f>VLOOKUP([jobnumber],OvalData[],MATCH(Table2[[#Headers],[Endlock Total Weight]],Table2[#Headers],0),0)</f>
        <v>7.5972999999999997</v>
      </c>
      <c r="BZ746" s="2">
        <f>VLOOKUP([jobnumber],OvalData[],MATCH(Table2[[#Headers],[Grille Weight]],Table2[#Headers],0),0)</f>
        <v>0</v>
      </c>
      <c r="CA746" s="2">
        <f>VLOOKUP([jobnumber],OvalData[],MATCH(Table2[[#Headers],[barrelrings]],Table2[#Headers],0),0)</f>
        <v>1</v>
      </c>
    </row>
    <row r="747" spans="2:79">
      <c r="B747" s="2" t="str">
        <f>VLOOKUP([jobnumber],OvalData[],MATCH(Table2[[#Headers],[Hand]],Table2[#Headers],0),0)</f>
        <v>RH</v>
      </c>
      <c r="C747" s="2" t="str">
        <f>VLOOKUP([jobnumber],OvalData[],MATCH(Table2[[#Headers],[Model]],Table2[#Headers],0),0)</f>
        <v>SFMPP</v>
      </c>
      <c r="D747" s="2" t="str">
        <f>VLOOKUP([jobnumber],OvalData[],MATCH(Table2[[#Headers],[width]],Table2[#Headers],0),0)</f>
        <v xml:space="preserve"> 18 ft.- 2"</v>
      </c>
      <c r="E747" s="2" t="str">
        <f>VLOOKUP([jobnumber],OvalData[],MATCH(Table2[[#Headers],[stopheight]],Table2[#Headers],0),0)</f>
        <v xml:space="preserve"> 10 ft.- 0"</v>
      </c>
      <c r="F747" s="2" t="str">
        <f>VLOOKUP([jobnumber],OvalData[],MATCH(Table2[[#Headers],[Between Brackets]],Table2[#Headers],0),0)</f>
        <v xml:space="preserve"> 18 ft.- 7 7/ 8"</v>
      </c>
      <c r="G747" s="2" t="str">
        <f>VLOOKUP([jobnumber],OvalData[],MATCH(Table2[[#Headers],[shell]],Table2[#Headers],0),0)</f>
        <v>6 INCH TUBE</v>
      </c>
      <c r="H747" s="2" t="str">
        <f>VLOOKUP([jobnumber],OvalData[],MATCH(Table2[[#Headers],[pipewidth]],Table2[#Headers],0),0)</f>
        <v xml:space="preserve"> 18 ft.- 1 3/ 8"</v>
      </c>
      <c r="I747" s="2">
        <f>VLOOKUP([jobnumber],OvalData[],MATCH(Table2[[#Headers],[Support Tubes]],Table2[#Headers],0),0)</f>
        <v>0</v>
      </c>
      <c r="J747" s="2">
        <f>VLOOKUP([jobnumber],OvalData[],MATCH(Table2[[#Headers],[Upset]],Table2[#Headers],0),0)</f>
        <v>2</v>
      </c>
      <c r="K747" s="2" t="str">
        <f>VLOOKUP([jobnumber],OvalData[],MATCH(Table2[[#Headers],[Guide Type]],Table2[#Headers],0),0)</f>
        <v>SN2-4 5/8-E</v>
      </c>
      <c r="L747" s="2" t="str">
        <f>VLOOKUP([jobnumber],OvalData[],MATCH(Table2[[#Headers],[Wall Angle]],Table2[#Headers],0),0)</f>
        <v xml:space="preserve"> 11 ft.- 8"</v>
      </c>
      <c r="M747" s="2" t="str">
        <f>VLOOKUP([jobnumber],OvalData[],MATCH(Table2[[#Headers],[Middle Angle]],Table2[#Headers],0),0)</f>
        <v xml:space="preserve"> 10 ft.- 4 1/ 2"</v>
      </c>
      <c r="N747" s="2" t="str">
        <f>VLOOKUP([jobnumber],OvalData[],MATCH(Table2[[#Headers],[Front Angle]],Table2[#Headers],0),0)</f>
        <v xml:space="preserve"> 10 ft.- 3"</v>
      </c>
      <c r="O747" s="2">
        <f>VLOOKUP([jobnumber],OvalData[],MATCH(Table2[[#Headers],[Pipe Center Line]],Table2[#Headers],0),0)</f>
        <v>131</v>
      </c>
      <c r="P747" s="2">
        <f>VLOOKUP([jobnumber],OvalData[],MATCH(Table2[[#Headers],[Heat Expansion Gap]],Table2[#Headers],0),0)</f>
        <v>0</v>
      </c>
      <c r="Q747" s="2">
        <f>VLOOKUP([jobnumber],OvalData[],MATCH(Table2[[#Headers],[Hanging Weight Closed]],Table2[#Headers],0),0)</f>
        <v>795</v>
      </c>
      <c r="R747" s="2">
        <f>VLOOKUP([jobnumber],OvalData[],MATCH(Table2[[#Headers],[Hanging Weight Open]],Table2[#Headers],0),0)</f>
        <v>140</v>
      </c>
      <c r="S747" s="2">
        <f>VLOOKUP([jobnumber],OvalData[],MATCH(Table2[[#Headers],[Initial Lever Arm]],Table2[#Headers],0),0)</f>
        <v>4.25</v>
      </c>
      <c r="T747" s="2">
        <f>VLOOKUP([jobnumber],OvalData[],MATCH(Table2[[#Headers],[Turns to Raise]],Table2[#Headers],0),0)</f>
        <v>3.5859999999999999</v>
      </c>
      <c r="U747" s="2">
        <f>VLOOKUP([jobnumber],OvalData[],MATCH(Table2[[#Headers],[Final Lever Arm]],Table2[#Headers],0),0)</f>
        <v>6.37</v>
      </c>
      <c r="V747" s="2">
        <f>VLOOKUP([jobnumber],OvalData[],MATCH(Table2[[#Headers],[Torque Required Closed]],Table2[#Headers],0),0)</f>
        <v>3377.9</v>
      </c>
      <c r="W747" s="2">
        <f>VLOOKUP([jobnumber],OvalData[],MATCH(Table2[[#Headers],[Torque Required Open]],Table2[#Headers],0),0)</f>
        <v>892</v>
      </c>
      <c r="X747" s="2">
        <f>VLOOKUP([jobnumber],OvalData[],MATCH(Table2[[#Headers],[Pre Turns]],Table2[#Headers],0),0)</f>
        <v>1.3332999999999999</v>
      </c>
      <c r="Y747" s="2">
        <f>VLOOKUP([jobnumber],OvalData[],MATCH(Table2[[#Headers],[Required Torque Per Turn]],Table2[#Headers],0),0)</f>
        <v>688</v>
      </c>
      <c r="Z747" s="2">
        <f>VLOOKUP([jobnumber],OvalData[],MATCH(Table2[[#Headers],[Total Turns]],Table2[#Headers],0),0)</f>
        <v>4.91</v>
      </c>
      <c r="AA747" s="2">
        <f>VLOOKUP([jobnumber],OvalData[],MATCH(Table2[[#Headers],[Grille Vision Section]],Table2[#Headers],0),0)</f>
        <v>0</v>
      </c>
      <c r="AB747" s="2">
        <f>VLOOKUP([jobnumber],OvalData[],MATCH(Table2[[#Headers],[Grille Amount]],Table2[#Headers],0),0)</f>
        <v>0</v>
      </c>
      <c r="AC747" s="2">
        <f>VLOOKUP([jobnumber],OvalData[],MATCH(Table2[[#Headers],[Grille Center]],Table2[#Headers],0),0)</f>
        <v>0</v>
      </c>
      <c r="AD747" s="2">
        <f>VLOOKUP([jobnumber],OvalData[],MATCH(Table2[[#Headers],[Grille Pattern]],Table2[#Headers],0),0)</f>
        <v>0</v>
      </c>
      <c r="AE747" s="2">
        <f>VLOOKUP([jobnumber],OvalData[],MATCH(Table2[[#Headers],[Grille First Tube]],Table2[#Headers],0),0)</f>
        <v>0</v>
      </c>
      <c r="AF747" s="2">
        <f>VLOOKUP([jobnumber],OvalData[],MATCH(Table2[[#Headers],[Grille Standard Tube]],Table2[#Headers],0),0)</f>
        <v>0</v>
      </c>
      <c r="AG747" s="2">
        <f>VLOOKUP([jobnumber],OvalData[],MATCH(Table2[[#Headers],[Grille Total Links]],Table2[#Headers],0),0)</f>
        <v>0</v>
      </c>
      <c r="AH747" s="2">
        <f>VLOOKUP([jobnumber],OvalData[],MATCH(Table2[[#Headers],[Grille Rods]],Table2[#Headers],0),0)</f>
        <v>0</v>
      </c>
      <c r="AI747" s="2">
        <f>VLOOKUP([jobnumber],OvalData[],MATCH(Table2[[#Headers],[Grille Rod Length]],Table2[#Headers],0),0)</f>
        <v>0</v>
      </c>
      <c r="AJ747" s="2">
        <f>VLOOKUP([jobnumber],OvalData[],MATCH(Table2[[#Headers],[slattype]],Table2[#Headers],0),0)</f>
        <v>2</v>
      </c>
      <c r="AK747" s="2">
        <f>VLOOKUP([jobnumber],OvalData[],MATCH(Table2[[#Headers],[slatgage]],Table2[#Headers],0),0)</f>
        <v>18</v>
      </c>
      <c r="AL747" s="2">
        <f>VLOOKUP([jobnumber],OvalData[],MATCH(Table2[[#Headers],[Numer of Top Slats]],Table2[#Headers],0),0)</f>
        <v>0</v>
      </c>
      <c r="AM747" s="2">
        <f>VLOOKUP([jobnumber],OvalData[],MATCH(Table2[[#Headers],[Number of Bottom Slats]],Table2[#Headers],0),0)</f>
        <v>0</v>
      </c>
      <c r="AN747" s="2">
        <f>VLOOKUP([jobnumber],OvalData[],MATCH(Table2[[#Headers],[Solid Bottom Height]],Table2[#Headers],0),0)</f>
        <v>0</v>
      </c>
      <c r="AO747" s="2" t="str">
        <f>VLOOKUP([jobnumber],OvalData[],MATCH(Table2[[#Headers],[slatlength]],Table2[#Headers],0),0)</f>
        <v xml:space="preserve"> 18 ft.- 5 7/ 8"</v>
      </c>
      <c r="AP747" s="2">
        <f>VLOOKUP([jobnumber],OvalData[],MATCH(Table2[[#Headers],[Bottom Slat Length]],Table2[#Headers],0),0)</f>
        <v>0</v>
      </c>
      <c r="AQ747" s="2">
        <f>VLOOKUP([jobnumber],OvalData[],MATCH(Table2[[#Headers],[Number of Perferated Slats]],Table2[#Headers],0),0)</f>
        <v>0</v>
      </c>
      <c r="AR747" s="2">
        <f>VLOOKUP([jobnumber],OvalData[],MATCH(Table2[[#Headers],[First Preferated Slat From End]],Table2[#Headers],0),0)</f>
        <v>0</v>
      </c>
      <c r="AS747" s="2">
        <f>VLOOKUP([jobnumber],OvalData[],MATCH(Table2[[#Headers],[First Preferated Slat From Bottom]],Table2[#Headers],0),0)</f>
        <v>0</v>
      </c>
      <c r="AT747" s="2">
        <f>VLOOKUP([jobnumber],OvalData[],MATCH(Table2[[#Headers],[Total Number of Slats]],Table2[#Headers],0),0)</f>
        <v>51</v>
      </c>
      <c r="AU747" s="2">
        <f>VLOOKUP([jobnumber],OvalData[],MATCH(Table2[[#Headers],[Bottom Bar Slope]],Table2[#Headers],0),0)</f>
        <v>0</v>
      </c>
      <c r="AV747" s="2">
        <f>VLOOKUP([jobnumber],OvalData[],MATCH(Table2[[#Headers],[Bottom Bar Weight]],Table2[#Headers],0),0)</f>
        <v>80.5</v>
      </c>
      <c r="AW747" s="2" t="str">
        <f>VLOOKUP([jobnumber],OvalData[],MATCH(Table2[[#Headers],[Outer Spring Gage]],Table2[#Headers],0),0)</f>
        <v>Null</v>
      </c>
      <c r="AX747" s="2" t="str">
        <f>VLOOKUP([jobnumber],OvalData[],MATCH(Table2[[#Headers],[Outer Spring OD]],Table2[#Headers],0),0)</f>
        <v>Null</v>
      </c>
      <c r="AY747" s="2" t="str">
        <f>VLOOKUP([jobnumber],OvalData[],MATCH(Table2[[#Headers],[Outer Spring Length]],Table2[#Headers],0),0)</f>
        <v>Null</v>
      </c>
      <c r="AZ747" s="2" t="str">
        <f>VLOOKUP([jobnumber],OvalData[],MATCH(Table2[[#Headers],[Outer Spring Stretch]],Table2[#Headers],0),0)</f>
        <v>Null</v>
      </c>
      <c r="BA747" s="2" t="str">
        <f>VLOOKUP([jobnumber],OvalData[],MATCH(Table2[[#Headers],[Outer Spring Torque]],Table2[#Headers],0),0)</f>
        <v>Null</v>
      </c>
      <c r="BB747" s="2" t="str">
        <f>VLOOKUP([jobnumber],OvalData[],MATCH(Table2[[#Headers],[Outer Spring Max Turns]],Table2[#Headers],0),0)</f>
        <v>Null</v>
      </c>
      <c r="BC747" s="2" t="str">
        <f>VLOOKUP([jobnumber],OvalData[],MATCH(Table2[[#Headers],[Outer Spring Weight]],Table2[#Headers],0),0)</f>
        <v>Null</v>
      </c>
      <c r="BD747" s="2" t="str">
        <f>VLOOKUP([jobnumber],OvalData[],MATCH(Table2[[#Headers],[Inner Spring Gage]],Table2[#Headers],0),0)</f>
        <v>Null</v>
      </c>
      <c r="BE747" s="2" t="str">
        <f>VLOOKUP([jobnumber],OvalData[],MATCH(Table2[[#Headers],[Inner Spring OD]],Table2[#Headers],0),0)</f>
        <v>Null</v>
      </c>
      <c r="BF747" s="2" t="str">
        <f>VLOOKUP([jobnumber],OvalData[],MATCH(Table2[[#Headers],[Inner Spring Length]],Table2[#Headers],0),0)</f>
        <v>Null</v>
      </c>
      <c r="BG747" s="2" t="str">
        <f>VLOOKUP([jobnumber],OvalData[],MATCH(Table2[[#Headers],[Inner Spring Stretch]],Table2[#Headers],0),0)</f>
        <v>Null</v>
      </c>
      <c r="BH747" s="2" t="str">
        <f>VLOOKUP([jobnumber],OvalData[],MATCH(Table2[[#Headers],[Inner Spring Torque]],Table2[#Headers],0),0)</f>
        <v>Null</v>
      </c>
      <c r="BI747" s="2" t="str">
        <f>VLOOKUP([jobnumber],OvalData[],MATCH(Table2[[#Headers],[Inner Spring Max Turns]],Table2[#Headers],0),0)</f>
        <v>Null</v>
      </c>
      <c r="BJ747" s="2" t="str">
        <f>VLOOKUP([jobnumber],OvalData[],MATCH(Table2[[#Headers],[Inner Spring Weight]],Table2[#Headers],0),0)</f>
        <v>Null</v>
      </c>
      <c r="BK747" s="2">
        <f>VLOOKUP([jobnumber],OvalData[],MATCH(Table2[[#Headers],[Cycles]],Table2[#Headers],0),0)</f>
        <v>0</v>
      </c>
      <c r="BL747" s="2">
        <f>VLOOKUP([jobnumber],OvalData[],MATCH(Table2[[#Headers],[Total Spring Torque]],Table2[#Headers],0),0)</f>
        <v>0</v>
      </c>
      <c r="BM747" s="2">
        <f>VLOOKUP([jobnumber],OvalData[],MATCH(Table2[[#Headers],[Total Spring Weight]],Table2[#Headers],0),0)</f>
        <v>0</v>
      </c>
      <c r="BN747" s="2">
        <f>VLOOKUP([jobnumber],OvalData[],MATCH(Table2[[#Headers],[Pipe Weight]],Table2[#Headers],0),0)</f>
        <v>688.24239999999998</v>
      </c>
      <c r="BO747" s="2">
        <f>VLOOKUP([jobnumber],OvalData[],MATCH(Table2[[#Headers],[Max Pipe Deflection]],Table2[#Headers],0),0)</f>
        <v>2309</v>
      </c>
      <c r="BP747" s="2">
        <f>VLOOKUP([jobnumber],OvalData[],MATCH(Table2[[#Headers],[Number Non-Insulated Wrap Slats]],Table2[#Headers],0),0)</f>
        <v>0</v>
      </c>
      <c r="BQ747" s="2">
        <f>VLOOKUP([jobnumber],OvalData[],MATCH(Table2[[#Headers],[Number of Insolated Top Slats]],Table2[#Headers],0),0)</f>
        <v>45</v>
      </c>
      <c r="BR747" s="2">
        <f>VLOOKUP([jobnumber],OvalData[],MATCH(Table2[[#Headers],[Insolated Total Slats]],Table2[#Headers],0),0)</f>
        <v>45</v>
      </c>
      <c r="BS747" s="2">
        <f>VLOOKUP([jobnumber],OvalData[],MATCH(Table2[[#Headers],[Number of Slats]],Table2[#Headers],0),0)</f>
        <v>44.69</v>
      </c>
      <c r="BT747" s="2">
        <f>VLOOKUP([jobnumber],OvalData[],MATCH(Table2[[#Headers],[Wrap]],Table2[#Headers],0),0)</f>
        <v>0</v>
      </c>
      <c r="BU747" s="2">
        <f>VLOOKUP([jobnumber],OvalData[],MATCH(Table2[[#Headers],[Wall Angle Thickness]],Table2[#Headers],0),0)</f>
        <v>0</v>
      </c>
      <c r="BV747" s="2">
        <f>VLOOKUP([jobnumber],OvalData[],MATCH(Table2[[#Headers],[windlocks]],Table2[#Headers],0),0)</f>
        <v>0</v>
      </c>
      <c r="BW747" s="2" t="str">
        <f>VLOOKUP([jobnumber],OvalData[],MATCH(Table2[[#Headers],[bottombartype]],Table2[#Headers],0),0)</f>
        <v>SPECIAL</v>
      </c>
      <c r="BX747" s="2">
        <f>VLOOKUP([jobnumber],OvalData[],MATCH(Table2[[#Headers],[endlockweight]],Table2[#Headers],0),0)</f>
        <v>0.17</v>
      </c>
      <c r="BY747" s="2">
        <f>VLOOKUP([jobnumber],OvalData[],MATCH(Table2[[#Headers],[Endlock Total Weight]],Table2[#Headers],0),0)</f>
        <v>7.5972999999999997</v>
      </c>
      <c r="BZ747" s="2">
        <f>VLOOKUP([jobnumber],OvalData[],MATCH(Table2[[#Headers],[Grille Weight]],Table2[#Headers],0),0)</f>
        <v>0</v>
      </c>
      <c r="CA747" s="2">
        <f>VLOOKUP([jobnumber],OvalData[],MATCH(Table2[[#Headers],[barrelrings]],Table2[#Headers],0),0)</f>
        <v>1</v>
      </c>
    </row>
    <row r="748" spans="2:79">
      <c r="B748" s="2" t="str">
        <f>VLOOKUP([jobnumber],OvalData[],MATCH(Table2[[#Headers],[Hand]],Table2[#Headers],0),0)</f>
        <v>RH</v>
      </c>
      <c r="C748" s="2" t="str">
        <f>VLOOKUP([jobnumber],OvalData[],MATCH(Table2[[#Headers],[Model]],Table2[#Headers],0),0)</f>
        <v>SFMPP</v>
      </c>
      <c r="D748" s="2" t="str">
        <f>VLOOKUP([jobnumber],OvalData[],MATCH(Table2[[#Headers],[width]],Table2[#Headers],0),0)</f>
        <v xml:space="preserve"> 18 ft.- 2"</v>
      </c>
      <c r="E748" s="2" t="str">
        <f>VLOOKUP([jobnumber],OvalData[],MATCH(Table2[[#Headers],[stopheight]],Table2[#Headers],0),0)</f>
        <v xml:space="preserve"> 10 ft.- 0"</v>
      </c>
      <c r="F748" s="2" t="str">
        <f>VLOOKUP([jobnumber],OvalData[],MATCH(Table2[[#Headers],[Between Brackets]],Table2[#Headers],0),0)</f>
        <v xml:space="preserve"> 18 ft.- 7 7/ 8"</v>
      </c>
      <c r="G748" s="2" t="str">
        <f>VLOOKUP([jobnumber],OvalData[],MATCH(Table2[[#Headers],[shell]],Table2[#Headers],0),0)</f>
        <v>6 INCH TUBE</v>
      </c>
      <c r="H748" s="2" t="str">
        <f>VLOOKUP([jobnumber],OvalData[],MATCH(Table2[[#Headers],[pipewidth]],Table2[#Headers],0),0)</f>
        <v xml:space="preserve"> 18 ft.- 1 3/ 8"</v>
      </c>
      <c r="I748" s="2">
        <f>VLOOKUP([jobnumber],OvalData[],MATCH(Table2[[#Headers],[Support Tubes]],Table2[#Headers],0),0)</f>
        <v>0</v>
      </c>
      <c r="J748" s="2">
        <f>VLOOKUP([jobnumber],OvalData[],MATCH(Table2[[#Headers],[Upset]],Table2[#Headers],0),0)</f>
        <v>2</v>
      </c>
      <c r="K748" s="2" t="str">
        <f>VLOOKUP([jobnumber],OvalData[],MATCH(Table2[[#Headers],[Guide Type]],Table2[#Headers],0),0)</f>
        <v>SN2-4 5/8-E</v>
      </c>
      <c r="L748" s="2" t="str">
        <f>VLOOKUP([jobnumber],OvalData[],MATCH(Table2[[#Headers],[Wall Angle]],Table2[#Headers],0),0)</f>
        <v xml:space="preserve"> 11 ft.- 8"</v>
      </c>
      <c r="M748" s="2" t="str">
        <f>VLOOKUP([jobnumber],OvalData[],MATCH(Table2[[#Headers],[Middle Angle]],Table2[#Headers],0),0)</f>
        <v xml:space="preserve"> 10 ft.- 4 1/ 2"</v>
      </c>
      <c r="N748" s="2" t="str">
        <f>VLOOKUP([jobnumber],OvalData[],MATCH(Table2[[#Headers],[Front Angle]],Table2[#Headers],0),0)</f>
        <v xml:space="preserve"> 10 ft.- 3"</v>
      </c>
      <c r="O748" s="2">
        <f>VLOOKUP([jobnumber],OvalData[],MATCH(Table2[[#Headers],[Pipe Center Line]],Table2[#Headers],0),0)</f>
        <v>131</v>
      </c>
      <c r="P748" s="2">
        <f>VLOOKUP([jobnumber],OvalData[],MATCH(Table2[[#Headers],[Heat Expansion Gap]],Table2[#Headers],0),0)</f>
        <v>0</v>
      </c>
      <c r="Q748" s="2">
        <f>VLOOKUP([jobnumber],OvalData[],MATCH(Table2[[#Headers],[Hanging Weight Closed]],Table2[#Headers],0),0)</f>
        <v>795</v>
      </c>
      <c r="R748" s="2">
        <f>VLOOKUP([jobnumber],OvalData[],MATCH(Table2[[#Headers],[Hanging Weight Open]],Table2[#Headers],0),0)</f>
        <v>140</v>
      </c>
      <c r="S748" s="2">
        <f>VLOOKUP([jobnumber],OvalData[],MATCH(Table2[[#Headers],[Initial Lever Arm]],Table2[#Headers],0),0)</f>
        <v>4.25</v>
      </c>
      <c r="T748" s="2">
        <f>VLOOKUP([jobnumber],OvalData[],MATCH(Table2[[#Headers],[Turns to Raise]],Table2[#Headers],0),0)</f>
        <v>3.5859999999999999</v>
      </c>
      <c r="U748" s="2">
        <f>VLOOKUP([jobnumber],OvalData[],MATCH(Table2[[#Headers],[Final Lever Arm]],Table2[#Headers],0),0)</f>
        <v>6.37</v>
      </c>
      <c r="V748" s="2">
        <f>VLOOKUP([jobnumber],OvalData[],MATCH(Table2[[#Headers],[Torque Required Closed]],Table2[#Headers],0),0)</f>
        <v>3377.9</v>
      </c>
      <c r="W748" s="2">
        <f>VLOOKUP([jobnumber],OvalData[],MATCH(Table2[[#Headers],[Torque Required Open]],Table2[#Headers],0),0)</f>
        <v>892</v>
      </c>
      <c r="X748" s="2">
        <f>VLOOKUP([jobnumber],OvalData[],MATCH(Table2[[#Headers],[Pre Turns]],Table2[#Headers],0),0)</f>
        <v>1.3332999999999999</v>
      </c>
      <c r="Y748" s="2">
        <f>VLOOKUP([jobnumber],OvalData[],MATCH(Table2[[#Headers],[Required Torque Per Turn]],Table2[#Headers],0),0)</f>
        <v>688</v>
      </c>
      <c r="Z748" s="2">
        <f>VLOOKUP([jobnumber],OvalData[],MATCH(Table2[[#Headers],[Total Turns]],Table2[#Headers],0),0)</f>
        <v>4.91</v>
      </c>
      <c r="AA748" s="2">
        <f>VLOOKUP([jobnumber],OvalData[],MATCH(Table2[[#Headers],[Grille Vision Section]],Table2[#Headers],0),0)</f>
        <v>0</v>
      </c>
      <c r="AB748" s="2">
        <f>VLOOKUP([jobnumber],OvalData[],MATCH(Table2[[#Headers],[Grille Amount]],Table2[#Headers],0),0)</f>
        <v>0</v>
      </c>
      <c r="AC748" s="2">
        <f>VLOOKUP([jobnumber],OvalData[],MATCH(Table2[[#Headers],[Grille Center]],Table2[#Headers],0),0)</f>
        <v>0</v>
      </c>
      <c r="AD748" s="2">
        <f>VLOOKUP([jobnumber],OvalData[],MATCH(Table2[[#Headers],[Grille Pattern]],Table2[#Headers],0),0)</f>
        <v>0</v>
      </c>
      <c r="AE748" s="2">
        <f>VLOOKUP([jobnumber],OvalData[],MATCH(Table2[[#Headers],[Grille First Tube]],Table2[#Headers],0),0)</f>
        <v>0</v>
      </c>
      <c r="AF748" s="2">
        <f>VLOOKUP([jobnumber],OvalData[],MATCH(Table2[[#Headers],[Grille Standard Tube]],Table2[#Headers],0),0)</f>
        <v>0</v>
      </c>
      <c r="AG748" s="2">
        <f>VLOOKUP([jobnumber],OvalData[],MATCH(Table2[[#Headers],[Grille Total Links]],Table2[#Headers],0),0)</f>
        <v>0</v>
      </c>
      <c r="AH748" s="2">
        <f>VLOOKUP([jobnumber],OvalData[],MATCH(Table2[[#Headers],[Grille Rods]],Table2[#Headers],0),0)</f>
        <v>0</v>
      </c>
      <c r="AI748" s="2">
        <f>VLOOKUP([jobnumber],OvalData[],MATCH(Table2[[#Headers],[Grille Rod Length]],Table2[#Headers],0),0)</f>
        <v>0</v>
      </c>
      <c r="AJ748" s="2">
        <f>VLOOKUP([jobnumber],OvalData[],MATCH(Table2[[#Headers],[slattype]],Table2[#Headers],0),0)</f>
        <v>2</v>
      </c>
      <c r="AK748" s="2">
        <f>VLOOKUP([jobnumber],OvalData[],MATCH(Table2[[#Headers],[slatgage]],Table2[#Headers],0),0)</f>
        <v>18</v>
      </c>
      <c r="AL748" s="2">
        <f>VLOOKUP([jobnumber],OvalData[],MATCH(Table2[[#Headers],[Numer of Top Slats]],Table2[#Headers],0),0)</f>
        <v>0</v>
      </c>
      <c r="AM748" s="2">
        <f>VLOOKUP([jobnumber],OvalData[],MATCH(Table2[[#Headers],[Number of Bottom Slats]],Table2[#Headers],0),0)</f>
        <v>0</v>
      </c>
      <c r="AN748" s="2">
        <f>VLOOKUP([jobnumber],OvalData[],MATCH(Table2[[#Headers],[Solid Bottom Height]],Table2[#Headers],0),0)</f>
        <v>0</v>
      </c>
      <c r="AO748" s="2" t="str">
        <f>VLOOKUP([jobnumber],OvalData[],MATCH(Table2[[#Headers],[slatlength]],Table2[#Headers],0),0)</f>
        <v xml:space="preserve"> 18 ft.- 5 7/ 8"</v>
      </c>
      <c r="AP748" s="2">
        <f>VLOOKUP([jobnumber],OvalData[],MATCH(Table2[[#Headers],[Bottom Slat Length]],Table2[#Headers],0),0)</f>
        <v>0</v>
      </c>
      <c r="AQ748" s="2">
        <f>VLOOKUP([jobnumber],OvalData[],MATCH(Table2[[#Headers],[Number of Perferated Slats]],Table2[#Headers],0),0)</f>
        <v>0</v>
      </c>
      <c r="AR748" s="2">
        <f>VLOOKUP([jobnumber],OvalData[],MATCH(Table2[[#Headers],[First Preferated Slat From End]],Table2[#Headers],0),0)</f>
        <v>0</v>
      </c>
      <c r="AS748" s="2">
        <f>VLOOKUP([jobnumber],OvalData[],MATCH(Table2[[#Headers],[First Preferated Slat From Bottom]],Table2[#Headers],0),0)</f>
        <v>0</v>
      </c>
      <c r="AT748" s="2">
        <f>VLOOKUP([jobnumber],OvalData[],MATCH(Table2[[#Headers],[Total Number of Slats]],Table2[#Headers],0),0)</f>
        <v>51</v>
      </c>
      <c r="AU748" s="2">
        <f>VLOOKUP([jobnumber],OvalData[],MATCH(Table2[[#Headers],[Bottom Bar Slope]],Table2[#Headers],0),0)</f>
        <v>0</v>
      </c>
      <c r="AV748" s="2">
        <f>VLOOKUP([jobnumber],OvalData[],MATCH(Table2[[#Headers],[Bottom Bar Weight]],Table2[#Headers],0),0)</f>
        <v>80.5</v>
      </c>
      <c r="AW748" s="2" t="str">
        <f>VLOOKUP([jobnumber],OvalData[],MATCH(Table2[[#Headers],[Outer Spring Gage]],Table2[#Headers],0),0)</f>
        <v>Null</v>
      </c>
      <c r="AX748" s="2" t="str">
        <f>VLOOKUP([jobnumber],OvalData[],MATCH(Table2[[#Headers],[Outer Spring OD]],Table2[#Headers],0),0)</f>
        <v>Null</v>
      </c>
      <c r="AY748" s="2" t="str">
        <f>VLOOKUP([jobnumber],OvalData[],MATCH(Table2[[#Headers],[Outer Spring Length]],Table2[#Headers],0),0)</f>
        <v>Null</v>
      </c>
      <c r="AZ748" s="2" t="str">
        <f>VLOOKUP([jobnumber],OvalData[],MATCH(Table2[[#Headers],[Outer Spring Stretch]],Table2[#Headers],0),0)</f>
        <v>Null</v>
      </c>
      <c r="BA748" s="2" t="str">
        <f>VLOOKUP([jobnumber],OvalData[],MATCH(Table2[[#Headers],[Outer Spring Torque]],Table2[#Headers],0),0)</f>
        <v>Null</v>
      </c>
      <c r="BB748" s="2" t="str">
        <f>VLOOKUP([jobnumber],OvalData[],MATCH(Table2[[#Headers],[Outer Spring Max Turns]],Table2[#Headers],0),0)</f>
        <v>Null</v>
      </c>
      <c r="BC748" s="2" t="str">
        <f>VLOOKUP([jobnumber],OvalData[],MATCH(Table2[[#Headers],[Outer Spring Weight]],Table2[#Headers],0),0)</f>
        <v>Null</v>
      </c>
      <c r="BD748" s="2" t="str">
        <f>VLOOKUP([jobnumber],OvalData[],MATCH(Table2[[#Headers],[Inner Spring Gage]],Table2[#Headers],0),0)</f>
        <v>Null</v>
      </c>
      <c r="BE748" s="2" t="str">
        <f>VLOOKUP([jobnumber],OvalData[],MATCH(Table2[[#Headers],[Inner Spring OD]],Table2[#Headers],0),0)</f>
        <v>Null</v>
      </c>
      <c r="BF748" s="2" t="str">
        <f>VLOOKUP([jobnumber],OvalData[],MATCH(Table2[[#Headers],[Inner Spring Length]],Table2[#Headers],0),0)</f>
        <v>Null</v>
      </c>
      <c r="BG748" s="2" t="str">
        <f>VLOOKUP([jobnumber],OvalData[],MATCH(Table2[[#Headers],[Inner Spring Stretch]],Table2[#Headers],0),0)</f>
        <v>Null</v>
      </c>
      <c r="BH748" s="2" t="str">
        <f>VLOOKUP([jobnumber],OvalData[],MATCH(Table2[[#Headers],[Inner Spring Torque]],Table2[#Headers],0),0)</f>
        <v>Null</v>
      </c>
      <c r="BI748" s="2" t="str">
        <f>VLOOKUP([jobnumber],OvalData[],MATCH(Table2[[#Headers],[Inner Spring Max Turns]],Table2[#Headers],0),0)</f>
        <v>Null</v>
      </c>
      <c r="BJ748" s="2" t="str">
        <f>VLOOKUP([jobnumber],OvalData[],MATCH(Table2[[#Headers],[Inner Spring Weight]],Table2[#Headers],0),0)</f>
        <v>Null</v>
      </c>
      <c r="BK748" s="2">
        <f>VLOOKUP([jobnumber],OvalData[],MATCH(Table2[[#Headers],[Cycles]],Table2[#Headers],0),0)</f>
        <v>0</v>
      </c>
      <c r="BL748" s="2">
        <f>VLOOKUP([jobnumber],OvalData[],MATCH(Table2[[#Headers],[Total Spring Torque]],Table2[#Headers],0),0)</f>
        <v>0</v>
      </c>
      <c r="BM748" s="2">
        <f>VLOOKUP([jobnumber],OvalData[],MATCH(Table2[[#Headers],[Total Spring Weight]],Table2[#Headers],0),0)</f>
        <v>0</v>
      </c>
      <c r="BN748" s="2">
        <f>VLOOKUP([jobnumber],OvalData[],MATCH(Table2[[#Headers],[Pipe Weight]],Table2[#Headers],0),0)</f>
        <v>688.24239999999998</v>
      </c>
      <c r="BO748" s="2">
        <f>VLOOKUP([jobnumber],OvalData[],MATCH(Table2[[#Headers],[Max Pipe Deflection]],Table2[#Headers],0),0)</f>
        <v>2309</v>
      </c>
      <c r="BP748" s="2">
        <f>VLOOKUP([jobnumber],OvalData[],MATCH(Table2[[#Headers],[Number Non-Insulated Wrap Slats]],Table2[#Headers],0),0)</f>
        <v>0</v>
      </c>
      <c r="BQ748" s="2">
        <f>VLOOKUP([jobnumber],OvalData[],MATCH(Table2[[#Headers],[Number of Insolated Top Slats]],Table2[#Headers],0),0)</f>
        <v>45</v>
      </c>
      <c r="BR748" s="2">
        <f>VLOOKUP([jobnumber],OvalData[],MATCH(Table2[[#Headers],[Insolated Total Slats]],Table2[#Headers],0),0)</f>
        <v>45</v>
      </c>
      <c r="BS748" s="2">
        <f>VLOOKUP([jobnumber],OvalData[],MATCH(Table2[[#Headers],[Number of Slats]],Table2[#Headers],0),0)</f>
        <v>44.69</v>
      </c>
      <c r="BT748" s="2">
        <f>VLOOKUP([jobnumber],OvalData[],MATCH(Table2[[#Headers],[Wrap]],Table2[#Headers],0),0)</f>
        <v>0</v>
      </c>
      <c r="BU748" s="2">
        <f>VLOOKUP([jobnumber],OvalData[],MATCH(Table2[[#Headers],[Wall Angle Thickness]],Table2[#Headers],0),0)</f>
        <v>0</v>
      </c>
      <c r="BV748" s="2">
        <f>VLOOKUP([jobnumber],OvalData[],MATCH(Table2[[#Headers],[windlocks]],Table2[#Headers],0),0)</f>
        <v>0</v>
      </c>
      <c r="BW748" s="2" t="str">
        <f>VLOOKUP([jobnumber],OvalData[],MATCH(Table2[[#Headers],[bottombartype]],Table2[#Headers],0),0)</f>
        <v>SPECIAL</v>
      </c>
      <c r="BX748" s="2">
        <f>VLOOKUP([jobnumber],OvalData[],MATCH(Table2[[#Headers],[endlockweight]],Table2[#Headers],0),0)</f>
        <v>0.17</v>
      </c>
      <c r="BY748" s="2">
        <f>VLOOKUP([jobnumber],OvalData[],MATCH(Table2[[#Headers],[Endlock Total Weight]],Table2[#Headers],0),0)</f>
        <v>7.5972999999999997</v>
      </c>
      <c r="BZ748" s="2">
        <f>VLOOKUP([jobnumber],OvalData[],MATCH(Table2[[#Headers],[Grille Weight]],Table2[#Headers],0),0)</f>
        <v>0</v>
      </c>
      <c r="CA748" s="2">
        <f>VLOOKUP([jobnumber],OvalData[],MATCH(Table2[[#Headers],[barrelrings]],Table2[#Headers],0),0)</f>
        <v>1</v>
      </c>
    </row>
    <row r="749" spans="2:79">
      <c r="B749" s="2" t="str">
        <f>VLOOKUP([jobnumber],OvalData[],MATCH(Table2[[#Headers],[Hand]],Table2[#Headers],0),0)</f>
        <v>RH</v>
      </c>
      <c r="C749" s="2" t="str">
        <f>VLOOKUP([jobnumber],OvalData[],MATCH(Table2[[#Headers],[Model]],Table2[#Headers],0),0)</f>
        <v>SFMPP</v>
      </c>
      <c r="D749" s="2" t="str">
        <f>VLOOKUP([jobnumber],OvalData[],MATCH(Table2[[#Headers],[width]],Table2[#Headers],0),0)</f>
        <v xml:space="preserve"> 18 ft.- 2"</v>
      </c>
      <c r="E749" s="2" t="str">
        <f>VLOOKUP([jobnumber],OvalData[],MATCH(Table2[[#Headers],[stopheight]],Table2[#Headers],0),0)</f>
        <v xml:space="preserve"> 10 ft.- 0"</v>
      </c>
      <c r="F749" s="2" t="str">
        <f>VLOOKUP([jobnumber],OvalData[],MATCH(Table2[[#Headers],[Between Brackets]],Table2[#Headers],0),0)</f>
        <v xml:space="preserve"> 18 ft.- 7 7/ 8"</v>
      </c>
      <c r="G749" s="2" t="str">
        <f>VLOOKUP([jobnumber],OvalData[],MATCH(Table2[[#Headers],[shell]],Table2[#Headers],0),0)</f>
        <v>6 INCH TUBE</v>
      </c>
      <c r="H749" s="2" t="str">
        <f>VLOOKUP([jobnumber],OvalData[],MATCH(Table2[[#Headers],[pipewidth]],Table2[#Headers],0),0)</f>
        <v xml:space="preserve"> 18 ft.- 1 3/ 8"</v>
      </c>
      <c r="I749" s="2">
        <f>VLOOKUP([jobnumber],OvalData[],MATCH(Table2[[#Headers],[Support Tubes]],Table2[#Headers],0),0)</f>
        <v>0</v>
      </c>
      <c r="J749" s="2">
        <f>VLOOKUP([jobnumber],OvalData[],MATCH(Table2[[#Headers],[Upset]],Table2[#Headers],0),0)</f>
        <v>2</v>
      </c>
      <c r="K749" s="2" t="str">
        <f>VLOOKUP([jobnumber],OvalData[],MATCH(Table2[[#Headers],[Guide Type]],Table2[#Headers],0),0)</f>
        <v>SN2-4 5/8-E</v>
      </c>
      <c r="L749" s="2" t="str">
        <f>VLOOKUP([jobnumber],OvalData[],MATCH(Table2[[#Headers],[Wall Angle]],Table2[#Headers],0),0)</f>
        <v xml:space="preserve"> 11 ft.- 8"</v>
      </c>
      <c r="M749" s="2" t="str">
        <f>VLOOKUP([jobnumber],OvalData[],MATCH(Table2[[#Headers],[Middle Angle]],Table2[#Headers],0),0)</f>
        <v xml:space="preserve"> 10 ft.- 4 1/ 2"</v>
      </c>
      <c r="N749" s="2" t="str">
        <f>VLOOKUP([jobnumber],OvalData[],MATCH(Table2[[#Headers],[Front Angle]],Table2[#Headers],0),0)</f>
        <v xml:space="preserve"> 10 ft.- 3"</v>
      </c>
      <c r="O749" s="2">
        <f>VLOOKUP([jobnumber],OvalData[],MATCH(Table2[[#Headers],[Pipe Center Line]],Table2[#Headers],0),0)</f>
        <v>131</v>
      </c>
      <c r="P749" s="2">
        <f>VLOOKUP([jobnumber],OvalData[],MATCH(Table2[[#Headers],[Heat Expansion Gap]],Table2[#Headers],0),0)</f>
        <v>0</v>
      </c>
      <c r="Q749" s="2">
        <f>VLOOKUP([jobnumber],OvalData[],MATCH(Table2[[#Headers],[Hanging Weight Closed]],Table2[#Headers],0),0)</f>
        <v>795</v>
      </c>
      <c r="R749" s="2">
        <f>VLOOKUP([jobnumber],OvalData[],MATCH(Table2[[#Headers],[Hanging Weight Open]],Table2[#Headers],0),0)</f>
        <v>140</v>
      </c>
      <c r="S749" s="2">
        <f>VLOOKUP([jobnumber],OvalData[],MATCH(Table2[[#Headers],[Initial Lever Arm]],Table2[#Headers],0),0)</f>
        <v>4.25</v>
      </c>
      <c r="T749" s="2">
        <f>VLOOKUP([jobnumber],OvalData[],MATCH(Table2[[#Headers],[Turns to Raise]],Table2[#Headers],0),0)</f>
        <v>3.5859999999999999</v>
      </c>
      <c r="U749" s="2">
        <f>VLOOKUP([jobnumber],OvalData[],MATCH(Table2[[#Headers],[Final Lever Arm]],Table2[#Headers],0),0)</f>
        <v>6.37</v>
      </c>
      <c r="V749" s="2">
        <f>VLOOKUP([jobnumber],OvalData[],MATCH(Table2[[#Headers],[Torque Required Closed]],Table2[#Headers],0),0)</f>
        <v>3377.9</v>
      </c>
      <c r="W749" s="2">
        <f>VLOOKUP([jobnumber],OvalData[],MATCH(Table2[[#Headers],[Torque Required Open]],Table2[#Headers],0),0)</f>
        <v>892</v>
      </c>
      <c r="X749" s="2">
        <f>VLOOKUP([jobnumber],OvalData[],MATCH(Table2[[#Headers],[Pre Turns]],Table2[#Headers],0),0)</f>
        <v>1.3332999999999999</v>
      </c>
      <c r="Y749" s="2">
        <f>VLOOKUP([jobnumber],OvalData[],MATCH(Table2[[#Headers],[Required Torque Per Turn]],Table2[#Headers],0),0)</f>
        <v>688</v>
      </c>
      <c r="Z749" s="2">
        <f>VLOOKUP([jobnumber],OvalData[],MATCH(Table2[[#Headers],[Total Turns]],Table2[#Headers],0),0)</f>
        <v>4.91</v>
      </c>
      <c r="AA749" s="2">
        <f>VLOOKUP([jobnumber],OvalData[],MATCH(Table2[[#Headers],[Grille Vision Section]],Table2[#Headers],0),0)</f>
        <v>0</v>
      </c>
      <c r="AB749" s="2">
        <f>VLOOKUP([jobnumber],OvalData[],MATCH(Table2[[#Headers],[Grille Amount]],Table2[#Headers],0),0)</f>
        <v>0</v>
      </c>
      <c r="AC749" s="2">
        <f>VLOOKUP([jobnumber],OvalData[],MATCH(Table2[[#Headers],[Grille Center]],Table2[#Headers],0),0)</f>
        <v>0</v>
      </c>
      <c r="AD749" s="2">
        <f>VLOOKUP([jobnumber],OvalData[],MATCH(Table2[[#Headers],[Grille Pattern]],Table2[#Headers],0),0)</f>
        <v>0</v>
      </c>
      <c r="AE749" s="2">
        <f>VLOOKUP([jobnumber],OvalData[],MATCH(Table2[[#Headers],[Grille First Tube]],Table2[#Headers],0),0)</f>
        <v>0</v>
      </c>
      <c r="AF749" s="2">
        <f>VLOOKUP([jobnumber],OvalData[],MATCH(Table2[[#Headers],[Grille Standard Tube]],Table2[#Headers],0),0)</f>
        <v>0</v>
      </c>
      <c r="AG749" s="2">
        <f>VLOOKUP([jobnumber],OvalData[],MATCH(Table2[[#Headers],[Grille Total Links]],Table2[#Headers],0),0)</f>
        <v>0</v>
      </c>
      <c r="AH749" s="2">
        <f>VLOOKUP([jobnumber],OvalData[],MATCH(Table2[[#Headers],[Grille Rods]],Table2[#Headers],0),0)</f>
        <v>0</v>
      </c>
      <c r="AI749" s="2">
        <f>VLOOKUP([jobnumber],OvalData[],MATCH(Table2[[#Headers],[Grille Rod Length]],Table2[#Headers],0),0)</f>
        <v>0</v>
      </c>
      <c r="AJ749" s="2">
        <f>VLOOKUP([jobnumber],OvalData[],MATCH(Table2[[#Headers],[slattype]],Table2[#Headers],0),0)</f>
        <v>2</v>
      </c>
      <c r="AK749" s="2">
        <f>VLOOKUP([jobnumber],OvalData[],MATCH(Table2[[#Headers],[slatgage]],Table2[#Headers],0),0)</f>
        <v>18</v>
      </c>
      <c r="AL749" s="2">
        <f>VLOOKUP([jobnumber],OvalData[],MATCH(Table2[[#Headers],[Numer of Top Slats]],Table2[#Headers],0),0)</f>
        <v>0</v>
      </c>
      <c r="AM749" s="2">
        <f>VLOOKUP([jobnumber],OvalData[],MATCH(Table2[[#Headers],[Number of Bottom Slats]],Table2[#Headers],0),0)</f>
        <v>0</v>
      </c>
      <c r="AN749" s="2">
        <f>VLOOKUP([jobnumber],OvalData[],MATCH(Table2[[#Headers],[Solid Bottom Height]],Table2[#Headers],0),0)</f>
        <v>0</v>
      </c>
      <c r="AO749" s="2" t="str">
        <f>VLOOKUP([jobnumber],OvalData[],MATCH(Table2[[#Headers],[slatlength]],Table2[#Headers],0),0)</f>
        <v xml:space="preserve"> 18 ft.- 5 7/ 8"</v>
      </c>
      <c r="AP749" s="2">
        <f>VLOOKUP([jobnumber],OvalData[],MATCH(Table2[[#Headers],[Bottom Slat Length]],Table2[#Headers],0),0)</f>
        <v>0</v>
      </c>
      <c r="AQ749" s="2">
        <f>VLOOKUP([jobnumber],OvalData[],MATCH(Table2[[#Headers],[Number of Perferated Slats]],Table2[#Headers],0),0)</f>
        <v>0</v>
      </c>
      <c r="AR749" s="2">
        <f>VLOOKUP([jobnumber],OvalData[],MATCH(Table2[[#Headers],[First Preferated Slat From End]],Table2[#Headers],0),0)</f>
        <v>0</v>
      </c>
      <c r="AS749" s="2">
        <f>VLOOKUP([jobnumber],OvalData[],MATCH(Table2[[#Headers],[First Preferated Slat From Bottom]],Table2[#Headers],0),0)</f>
        <v>0</v>
      </c>
      <c r="AT749" s="2">
        <f>VLOOKUP([jobnumber],OvalData[],MATCH(Table2[[#Headers],[Total Number of Slats]],Table2[#Headers],0),0)</f>
        <v>51</v>
      </c>
      <c r="AU749" s="2">
        <f>VLOOKUP([jobnumber],OvalData[],MATCH(Table2[[#Headers],[Bottom Bar Slope]],Table2[#Headers],0),0)</f>
        <v>0</v>
      </c>
      <c r="AV749" s="2">
        <f>VLOOKUP([jobnumber],OvalData[],MATCH(Table2[[#Headers],[Bottom Bar Weight]],Table2[#Headers],0),0)</f>
        <v>80.5</v>
      </c>
      <c r="AW749" s="2" t="str">
        <f>VLOOKUP([jobnumber],OvalData[],MATCH(Table2[[#Headers],[Outer Spring Gage]],Table2[#Headers],0),0)</f>
        <v>Null</v>
      </c>
      <c r="AX749" s="2" t="str">
        <f>VLOOKUP([jobnumber],OvalData[],MATCH(Table2[[#Headers],[Outer Spring OD]],Table2[#Headers],0),0)</f>
        <v>Null</v>
      </c>
      <c r="AY749" s="2" t="str">
        <f>VLOOKUP([jobnumber],OvalData[],MATCH(Table2[[#Headers],[Outer Spring Length]],Table2[#Headers],0),0)</f>
        <v>Null</v>
      </c>
      <c r="AZ749" s="2" t="str">
        <f>VLOOKUP([jobnumber],OvalData[],MATCH(Table2[[#Headers],[Outer Spring Stretch]],Table2[#Headers],0),0)</f>
        <v>Null</v>
      </c>
      <c r="BA749" s="2" t="str">
        <f>VLOOKUP([jobnumber],OvalData[],MATCH(Table2[[#Headers],[Outer Spring Torque]],Table2[#Headers],0),0)</f>
        <v>Null</v>
      </c>
      <c r="BB749" s="2" t="str">
        <f>VLOOKUP([jobnumber],OvalData[],MATCH(Table2[[#Headers],[Outer Spring Max Turns]],Table2[#Headers],0),0)</f>
        <v>Null</v>
      </c>
      <c r="BC749" s="2" t="str">
        <f>VLOOKUP([jobnumber],OvalData[],MATCH(Table2[[#Headers],[Outer Spring Weight]],Table2[#Headers],0),0)</f>
        <v>Null</v>
      </c>
      <c r="BD749" s="2" t="str">
        <f>VLOOKUP([jobnumber],OvalData[],MATCH(Table2[[#Headers],[Inner Spring Gage]],Table2[#Headers],0),0)</f>
        <v>Null</v>
      </c>
      <c r="BE749" s="2" t="str">
        <f>VLOOKUP([jobnumber],OvalData[],MATCH(Table2[[#Headers],[Inner Spring OD]],Table2[#Headers],0),0)</f>
        <v>Null</v>
      </c>
      <c r="BF749" s="2" t="str">
        <f>VLOOKUP([jobnumber],OvalData[],MATCH(Table2[[#Headers],[Inner Spring Length]],Table2[#Headers],0),0)</f>
        <v>Null</v>
      </c>
      <c r="BG749" s="2" t="str">
        <f>VLOOKUP([jobnumber],OvalData[],MATCH(Table2[[#Headers],[Inner Spring Stretch]],Table2[#Headers],0),0)</f>
        <v>Null</v>
      </c>
      <c r="BH749" s="2" t="str">
        <f>VLOOKUP([jobnumber],OvalData[],MATCH(Table2[[#Headers],[Inner Spring Torque]],Table2[#Headers],0),0)</f>
        <v>Null</v>
      </c>
      <c r="BI749" s="2" t="str">
        <f>VLOOKUP([jobnumber],OvalData[],MATCH(Table2[[#Headers],[Inner Spring Max Turns]],Table2[#Headers],0),0)</f>
        <v>Null</v>
      </c>
      <c r="BJ749" s="2" t="str">
        <f>VLOOKUP([jobnumber],OvalData[],MATCH(Table2[[#Headers],[Inner Spring Weight]],Table2[#Headers],0),0)</f>
        <v>Null</v>
      </c>
      <c r="BK749" s="2">
        <f>VLOOKUP([jobnumber],OvalData[],MATCH(Table2[[#Headers],[Cycles]],Table2[#Headers],0),0)</f>
        <v>0</v>
      </c>
      <c r="BL749" s="2">
        <f>VLOOKUP([jobnumber],OvalData[],MATCH(Table2[[#Headers],[Total Spring Torque]],Table2[#Headers],0),0)</f>
        <v>0</v>
      </c>
      <c r="BM749" s="2">
        <f>VLOOKUP([jobnumber],OvalData[],MATCH(Table2[[#Headers],[Total Spring Weight]],Table2[#Headers],0),0)</f>
        <v>0</v>
      </c>
      <c r="BN749" s="2">
        <f>VLOOKUP([jobnumber],OvalData[],MATCH(Table2[[#Headers],[Pipe Weight]],Table2[#Headers],0),0)</f>
        <v>688.24239999999998</v>
      </c>
      <c r="BO749" s="2">
        <f>VLOOKUP([jobnumber],OvalData[],MATCH(Table2[[#Headers],[Max Pipe Deflection]],Table2[#Headers],0),0)</f>
        <v>2309</v>
      </c>
      <c r="BP749" s="2">
        <f>VLOOKUP([jobnumber],OvalData[],MATCH(Table2[[#Headers],[Number Non-Insulated Wrap Slats]],Table2[#Headers],0),0)</f>
        <v>0</v>
      </c>
      <c r="BQ749" s="2">
        <f>VLOOKUP([jobnumber],OvalData[],MATCH(Table2[[#Headers],[Number of Insolated Top Slats]],Table2[#Headers],0),0)</f>
        <v>45</v>
      </c>
      <c r="BR749" s="2">
        <f>VLOOKUP([jobnumber],OvalData[],MATCH(Table2[[#Headers],[Insolated Total Slats]],Table2[#Headers],0),0)</f>
        <v>45</v>
      </c>
      <c r="BS749" s="2">
        <f>VLOOKUP([jobnumber],OvalData[],MATCH(Table2[[#Headers],[Number of Slats]],Table2[#Headers],0),0)</f>
        <v>44.69</v>
      </c>
      <c r="BT749" s="2">
        <f>VLOOKUP([jobnumber],OvalData[],MATCH(Table2[[#Headers],[Wrap]],Table2[#Headers],0),0)</f>
        <v>0</v>
      </c>
      <c r="BU749" s="2">
        <f>VLOOKUP([jobnumber],OvalData[],MATCH(Table2[[#Headers],[Wall Angle Thickness]],Table2[#Headers],0),0)</f>
        <v>0</v>
      </c>
      <c r="BV749" s="2">
        <f>VLOOKUP([jobnumber],OvalData[],MATCH(Table2[[#Headers],[windlocks]],Table2[#Headers],0),0)</f>
        <v>0</v>
      </c>
      <c r="BW749" s="2" t="str">
        <f>VLOOKUP([jobnumber],OvalData[],MATCH(Table2[[#Headers],[bottombartype]],Table2[#Headers],0),0)</f>
        <v>SPECIAL</v>
      </c>
      <c r="BX749" s="2">
        <f>VLOOKUP([jobnumber],OvalData[],MATCH(Table2[[#Headers],[endlockweight]],Table2[#Headers],0),0)</f>
        <v>0.17</v>
      </c>
      <c r="BY749" s="2">
        <f>VLOOKUP([jobnumber],OvalData[],MATCH(Table2[[#Headers],[Endlock Total Weight]],Table2[#Headers],0),0)</f>
        <v>7.5972999999999997</v>
      </c>
      <c r="BZ749" s="2">
        <f>VLOOKUP([jobnumber],OvalData[],MATCH(Table2[[#Headers],[Grille Weight]],Table2[#Headers],0),0)</f>
        <v>0</v>
      </c>
      <c r="CA749" s="2">
        <f>VLOOKUP([jobnumber],OvalData[],MATCH(Table2[[#Headers],[barrelrings]],Table2[#Headers],0),0)</f>
        <v>1</v>
      </c>
    </row>
    <row r="750" spans="2:79">
      <c r="B750" s="2" t="str">
        <f>VLOOKUP([jobnumber],OvalData[],MATCH(Table2[[#Headers],[Hand]],Table2[#Headers],0),0)</f>
        <v>RH</v>
      </c>
      <c r="C750" s="2" t="str">
        <f>VLOOKUP([jobnumber],OvalData[],MATCH(Table2[[#Headers],[Model]],Table2[#Headers],0),0)</f>
        <v>SFMPP</v>
      </c>
      <c r="D750" s="2" t="str">
        <f>VLOOKUP([jobnumber],OvalData[],MATCH(Table2[[#Headers],[width]],Table2[#Headers],0),0)</f>
        <v xml:space="preserve"> 18 ft.- 2"</v>
      </c>
      <c r="E750" s="2" t="str">
        <f>VLOOKUP([jobnumber],OvalData[],MATCH(Table2[[#Headers],[stopheight]],Table2[#Headers],0),0)</f>
        <v xml:space="preserve"> 10 ft.- 0"</v>
      </c>
      <c r="F750" s="2" t="str">
        <f>VLOOKUP([jobnumber],OvalData[],MATCH(Table2[[#Headers],[Between Brackets]],Table2[#Headers],0),0)</f>
        <v xml:space="preserve"> 18 ft.- 7 7/ 8"</v>
      </c>
      <c r="G750" s="2" t="str">
        <f>VLOOKUP([jobnumber],OvalData[],MATCH(Table2[[#Headers],[shell]],Table2[#Headers],0),0)</f>
        <v>6 INCH TUBE</v>
      </c>
      <c r="H750" s="2" t="str">
        <f>VLOOKUP([jobnumber],OvalData[],MATCH(Table2[[#Headers],[pipewidth]],Table2[#Headers],0),0)</f>
        <v xml:space="preserve"> 18 ft.- 1 3/ 8"</v>
      </c>
      <c r="I750" s="2">
        <f>VLOOKUP([jobnumber],OvalData[],MATCH(Table2[[#Headers],[Support Tubes]],Table2[#Headers],0),0)</f>
        <v>0</v>
      </c>
      <c r="J750" s="2">
        <f>VLOOKUP([jobnumber],OvalData[],MATCH(Table2[[#Headers],[Upset]],Table2[#Headers],0),0)</f>
        <v>2</v>
      </c>
      <c r="K750" s="2" t="str">
        <f>VLOOKUP([jobnumber],OvalData[],MATCH(Table2[[#Headers],[Guide Type]],Table2[#Headers],0),0)</f>
        <v>SN2-4 5/8-E</v>
      </c>
      <c r="L750" s="2" t="str">
        <f>VLOOKUP([jobnumber],OvalData[],MATCH(Table2[[#Headers],[Wall Angle]],Table2[#Headers],0),0)</f>
        <v xml:space="preserve"> 11 ft.- 8"</v>
      </c>
      <c r="M750" s="2" t="str">
        <f>VLOOKUP([jobnumber],OvalData[],MATCH(Table2[[#Headers],[Middle Angle]],Table2[#Headers],0),0)</f>
        <v xml:space="preserve"> 10 ft.- 4 1/ 2"</v>
      </c>
      <c r="N750" s="2" t="str">
        <f>VLOOKUP([jobnumber],OvalData[],MATCH(Table2[[#Headers],[Front Angle]],Table2[#Headers],0),0)</f>
        <v xml:space="preserve"> 10 ft.- 3"</v>
      </c>
      <c r="O750" s="2">
        <f>VLOOKUP([jobnumber],OvalData[],MATCH(Table2[[#Headers],[Pipe Center Line]],Table2[#Headers],0),0)</f>
        <v>131</v>
      </c>
      <c r="P750" s="2">
        <f>VLOOKUP([jobnumber],OvalData[],MATCH(Table2[[#Headers],[Heat Expansion Gap]],Table2[#Headers],0),0)</f>
        <v>0</v>
      </c>
      <c r="Q750" s="2">
        <f>VLOOKUP([jobnumber],OvalData[],MATCH(Table2[[#Headers],[Hanging Weight Closed]],Table2[#Headers],0),0)</f>
        <v>795</v>
      </c>
      <c r="R750" s="2">
        <f>VLOOKUP([jobnumber],OvalData[],MATCH(Table2[[#Headers],[Hanging Weight Open]],Table2[#Headers],0),0)</f>
        <v>140</v>
      </c>
      <c r="S750" s="2">
        <f>VLOOKUP([jobnumber],OvalData[],MATCH(Table2[[#Headers],[Initial Lever Arm]],Table2[#Headers],0),0)</f>
        <v>4.25</v>
      </c>
      <c r="T750" s="2">
        <f>VLOOKUP([jobnumber],OvalData[],MATCH(Table2[[#Headers],[Turns to Raise]],Table2[#Headers],0),0)</f>
        <v>3.5859999999999999</v>
      </c>
      <c r="U750" s="2">
        <f>VLOOKUP([jobnumber],OvalData[],MATCH(Table2[[#Headers],[Final Lever Arm]],Table2[#Headers],0),0)</f>
        <v>6.37</v>
      </c>
      <c r="V750" s="2">
        <f>VLOOKUP([jobnumber],OvalData[],MATCH(Table2[[#Headers],[Torque Required Closed]],Table2[#Headers],0),0)</f>
        <v>3377.9</v>
      </c>
      <c r="W750" s="2">
        <f>VLOOKUP([jobnumber],OvalData[],MATCH(Table2[[#Headers],[Torque Required Open]],Table2[#Headers],0),0)</f>
        <v>892</v>
      </c>
      <c r="X750" s="2">
        <f>VLOOKUP([jobnumber],OvalData[],MATCH(Table2[[#Headers],[Pre Turns]],Table2[#Headers],0),0)</f>
        <v>1.3332999999999999</v>
      </c>
      <c r="Y750" s="2">
        <f>VLOOKUP([jobnumber],OvalData[],MATCH(Table2[[#Headers],[Required Torque Per Turn]],Table2[#Headers],0),0)</f>
        <v>688</v>
      </c>
      <c r="Z750" s="2">
        <f>VLOOKUP([jobnumber],OvalData[],MATCH(Table2[[#Headers],[Total Turns]],Table2[#Headers],0),0)</f>
        <v>4.91</v>
      </c>
      <c r="AA750" s="2">
        <f>VLOOKUP([jobnumber],OvalData[],MATCH(Table2[[#Headers],[Grille Vision Section]],Table2[#Headers],0),0)</f>
        <v>0</v>
      </c>
      <c r="AB750" s="2">
        <f>VLOOKUP([jobnumber],OvalData[],MATCH(Table2[[#Headers],[Grille Amount]],Table2[#Headers],0),0)</f>
        <v>0</v>
      </c>
      <c r="AC750" s="2">
        <f>VLOOKUP([jobnumber],OvalData[],MATCH(Table2[[#Headers],[Grille Center]],Table2[#Headers],0),0)</f>
        <v>0</v>
      </c>
      <c r="AD750" s="2">
        <f>VLOOKUP([jobnumber],OvalData[],MATCH(Table2[[#Headers],[Grille Pattern]],Table2[#Headers],0),0)</f>
        <v>0</v>
      </c>
      <c r="AE750" s="2">
        <f>VLOOKUP([jobnumber],OvalData[],MATCH(Table2[[#Headers],[Grille First Tube]],Table2[#Headers],0),0)</f>
        <v>0</v>
      </c>
      <c r="AF750" s="2">
        <f>VLOOKUP([jobnumber],OvalData[],MATCH(Table2[[#Headers],[Grille Standard Tube]],Table2[#Headers],0),0)</f>
        <v>0</v>
      </c>
      <c r="AG750" s="2">
        <f>VLOOKUP([jobnumber],OvalData[],MATCH(Table2[[#Headers],[Grille Total Links]],Table2[#Headers],0),0)</f>
        <v>0</v>
      </c>
      <c r="AH750" s="2">
        <f>VLOOKUP([jobnumber],OvalData[],MATCH(Table2[[#Headers],[Grille Rods]],Table2[#Headers],0),0)</f>
        <v>0</v>
      </c>
      <c r="AI750" s="2">
        <f>VLOOKUP([jobnumber],OvalData[],MATCH(Table2[[#Headers],[Grille Rod Length]],Table2[#Headers],0),0)</f>
        <v>0</v>
      </c>
      <c r="AJ750" s="2">
        <f>VLOOKUP([jobnumber],OvalData[],MATCH(Table2[[#Headers],[slattype]],Table2[#Headers],0),0)</f>
        <v>2</v>
      </c>
      <c r="AK750" s="2">
        <f>VLOOKUP([jobnumber],OvalData[],MATCH(Table2[[#Headers],[slatgage]],Table2[#Headers],0),0)</f>
        <v>18</v>
      </c>
      <c r="AL750" s="2">
        <f>VLOOKUP([jobnumber],OvalData[],MATCH(Table2[[#Headers],[Numer of Top Slats]],Table2[#Headers],0),0)</f>
        <v>0</v>
      </c>
      <c r="AM750" s="2">
        <f>VLOOKUP([jobnumber],OvalData[],MATCH(Table2[[#Headers],[Number of Bottom Slats]],Table2[#Headers],0),0)</f>
        <v>0</v>
      </c>
      <c r="AN750" s="2">
        <f>VLOOKUP([jobnumber],OvalData[],MATCH(Table2[[#Headers],[Solid Bottom Height]],Table2[#Headers],0),0)</f>
        <v>0</v>
      </c>
      <c r="AO750" s="2" t="str">
        <f>VLOOKUP([jobnumber],OvalData[],MATCH(Table2[[#Headers],[slatlength]],Table2[#Headers],0),0)</f>
        <v xml:space="preserve"> 18 ft.- 5 7/ 8"</v>
      </c>
      <c r="AP750" s="2">
        <f>VLOOKUP([jobnumber],OvalData[],MATCH(Table2[[#Headers],[Bottom Slat Length]],Table2[#Headers],0),0)</f>
        <v>0</v>
      </c>
      <c r="AQ750" s="2">
        <f>VLOOKUP([jobnumber],OvalData[],MATCH(Table2[[#Headers],[Number of Perferated Slats]],Table2[#Headers],0),0)</f>
        <v>0</v>
      </c>
      <c r="AR750" s="2">
        <f>VLOOKUP([jobnumber],OvalData[],MATCH(Table2[[#Headers],[First Preferated Slat From End]],Table2[#Headers],0),0)</f>
        <v>0</v>
      </c>
      <c r="AS750" s="2">
        <f>VLOOKUP([jobnumber],OvalData[],MATCH(Table2[[#Headers],[First Preferated Slat From Bottom]],Table2[#Headers],0),0)</f>
        <v>0</v>
      </c>
      <c r="AT750" s="2">
        <f>VLOOKUP([jobnumber],OvalData[],MATCH(Table2[[#Headers],[Total Number of Slats]],Table2[#Headers],0),0)</f>
        <v>51</v>
      </c>
      <c r="AU750" s="2">
        <f>VLOOKUP([jobnumber],OvalData[],MATCH(Table2[[#Headers],[Bottom Bar Slope]],Table2[#Headers],0),0)</f>
        <v>0</v>
      </c>
      <c r="AV750" s="2">
        <f>VLOOKUP([jobnumber],OvalData[],MATCH(Table2[[#Headers],[Bottom Bar Weight]],Table2[#Headers],0),0)</f>
        <v>80.5</v>
      </c>
      <c r="AW750" s="2" t="str">
        <f>VLOOKUP([jobnumber],OvalData[],MATCH(Table2[[#Headers],[Outer Spring Gage]],Table2[#Headers],0),0)</f>
        <v>Null</v>
      </c>
      <c r="AX750" s="2" t="str">
        <f>VLOOKUP([jobnumber],OvalData[],MATCH(Table2[[#Headers],[Outer Spring OD]],Table2[#Headers],0),0)</f>
        <v>Null</v>
      </c>
      <c r="AY750" s="2" t="str">
        <f>VLOOKUP([jobnumber],OvalData[],MATCH(Table2[[#Headers],[Outer Spring Length]],Table2[#Headers],0),0)</f>
        <v>Null</v>
      </c>
      <c r="AZ750" s="2" t="str">
        <f>VLOOKUP([jobnumber],OvalData[],MATCH(Table2[[#Headers],[Outer Spring Stretch]],Table2[#Headers],0),0)</f>
        <v>Null</v>
      </c>
      <c r="BA750" s="2" t="str">
        <f>VLOOKUP([jobnumber],OvalData[],MATCH(Table2[[#Headers],[Outer Spring Torque]],Table2[#Headers],0),0)</f>
        <v>Null</v>
      </c>
      <c r="BB750" s="2" t="str">
        <f>VLOOKUP([jobnumber],OvalData[],MATCH(Table2[[#Headers],[Outer Spring Max Turns]],Table2[#Headers],0),0)</f>
        <v>Null</v>
      </c>
      <c r="BC750" s="2" t="str">
        <f>VLOOKUP([jobnumber],OvalData[],MATCH(Table2[[#Headers],[Outer Spring Weight]],Table2[#Headers],0),0)</f>
        <v>Null</v>
      </c>
      <c r="BD750" s="2" t="str">
        <f>VLOOKUP([jobnumber],OvalData[],MATCH(Table2[[#Headers],[Inner Spring Gage]],Table2[#Headers],0),0)</f>
        <v>Null</v>
      </c>
      <c r="BE750" s="2" t="str">
        <f>VLOOKUP([jobnumber],OvalData[],MATCH(Table2[[#Headers],[Inner Spring OD]],Table2[#Headers],0),0)</f>
        <v>Null</v>
      </c>
      <c r="BF750" s="2" t="str">
        <f>VLOOKUP([jobnumber],OvalData[],MATCH(Table2[[#Headers],[Inner Spring Length]],Table2[#Headers],0),0)</f>
        <v>Null</v>
      </c>
      <c r="BG750" s="2" t="str">
        <f>VLOOKUP([jobnumber],OvalData[],MATCH(Table2[[#Headers],[Inner Spring Stretch]],Table2[#Headers],0),0)</f>
        <v>Null</v>
      </c>
      <c r="BH750" s="2" t="str">
        <f>VLOOKUP([jobnumber],OvalData[],MATCH(Table2[[#Headers],[Inner Spring Torque]],Table2[#Headers],0),0)</f>
        <v>Null</v>
      </c>
      <c r="BI750" s="2" t="str">
        <f>VLOOKUP([jobnumber],OvalData[],MATCH(Table2[[#Headers],[Inner Spring Max Turns]],Table2[#Headers],0),0)</f>
        <v>Null</v>
      </c>
      <c r="BJ750" s="2" t="str">
        <f>VLOOKUP([jobnumber],OvalData[],MATCH(Table2[[#Headers],[Inner Spring Weight]],Table2[#Headers],0),0)</f>
        <v>Null</v>
      </c>
      <c r="BK750" s="2">
        <f>VLOOKUP([jobnumber],OvalData[],MATCH(Table2[[#Headers],[Cycles]],Table2[#Headers],0),0)</f>
        <v>0</v>
      </c>
      <c r="BL750" s="2">
        <f>VLOOKUP([jobnumber],OvalData[],MATCH(Table2[[#Headers],[Total Spring Torque]],Table2[#Headers],0),0)</f>
        <v>0</v>
      </c>
      <c r="BM750" s="2">
        <f>VLOOKUP([jobnumber],OvalData[],MATCH(Table2[[#Headers],[Total Spring Weight]],Table2[#Headers],0),0)</f>
        <v>0</v>
      </c>
      <c r="BN750" s="2">
        <f>VLOOKUP([jobnumber],OvalData[],MATCH(Table2[[#Headers],[Pipe Weight]],Table2[#Headers],0),0)</f>
        <v>688.24239999999998</v>
      </c>
      <c r="BO750" s="2">
        <f>VLOOKUP([jobnumber],OvalData[],MATCH(Table2[[#Headers],[Max Pipe Deflection]],Table2[#Headers],0),0)</f>
        <v>2309</v>
      </c>
      <c r="BP750" s="2">
        <f>VLOOKUP([jobnumber],OvalData[],MATCH(Table2[[#Headers],[Number Non-Insulated Wrap Slats]],Table2[#Headers],0),0)</f>
        <v>0</v>
      </c>
      <c r="BQ750" s="2">
        <f>VLOOKUP([jobnumber],OvalData[],MATCH(Table2[[#Headers],[Number of Insolated Top Slats]],Table2[#Headers],0),0)</f>
        <v>45</v>
      </c>
      <c r="BR750" s="2">
        <f>VLOOKUP([jobnumber],OvalData[],MATCH(Table2[[#Headers],[Insolated Total Slats]],Table2[#Headers],0),0)</f>
        <v>45</v>
      </c>
      <c r="BS750" s="2">
        <f>VLOOKUP([jobnumber],OvalData[],MATCH(Table2[[#Headers],[Number of Slats]],Table2[#Headers],0),0)</f>
        <v>44.69</v>
      </c>
      <c r="BT750" s="2">
        <f>VLOOKUP([jobnumber],OvalData[],MATCH(Table2[[#Headers],[Wrap]],Table2[#Headers],0),0)</f>
        <v>0</v>
      </c>
      <c r="BU750" s="2">
        <f>VLOOKUP([jobnumber],OvalData[],MATCH(Table2[[#Headers],[Wall Angle Thickness]],Table2[#Headers],0),0)</f>
        <v>0</v>
      </c>
      <c r="BV750" s="2">
        <f>VLOOKUP([jobnumber],OvalData[],MATCH(Table2[[#Headers],[windlocks]],Table2[#Headers],0),0)</f>
        <v>0</v>
      </c>
      <c r="BW750" s="2" t="str">
        <f>VLOOKUP([jobnumber],OvalData[],MATCH(Table2[[#Headers],[bottombartype]],Table2[#Headers],0),0)</f>
        <v>SPECIAL</v>
      </c>
      <c r="BX750" s="2">
        <f>VLOOKUP([jobnumber],OvalData[],MATCH(Table2[[#Headers],[endlockweight]],Table2[#Headers],0),0)</f>
        <v>0.17</v>
      </c>
      <c r="BY750" s="2">
        <f>VLOOKUP([jobnumber],OvalData[],MATCH(Table2[[#Headers],[Endlock Total Weight]],Table2[#Headers],0),0)</f>
        <v>7.5972999999999997</v>
      </c>
      <c r="BZ750" s="2">
        <f>VLOOKUP([jobnumber],OvalData[],MATCH(Table2[[#Headers],[Grille Weight]],Table2[#Headers],0),0)</f>
        <v>0</v>
      </c>
      <c r="CA750" s="2">
        <f>VLOOKUP([jobnumber],OvalData[],MATCH(Table2[[#Headers],[barrelrings]],Table2[#Headers],0),0)</f>
        <v>1</v>
      </c>
    </row>
    <row r="751" spans="2:79">
      <c r="B751" s="2" t="str">
        <f>VLOOKUP([jobnumber],OvalData[],MATCH(Table2[[#Headers],[Hand]],Table2[#Headers],0),0)</f>
        <v>RH</v>
      </c>
      <c r="C751" s="2" t="str">
        <f>VLOOKUP([jobnumber],OvalData[],MATCH(Table2[[#Headers],[Model]],Table2[#Headers],0),0)</f>
        <v>SFMPP</v>
      </c>
      <c r="D751" s="2" t="str">
        <f>VLOOKUP([jobnumber],OvalData[],MATCH(Table2[[#Headers],[width]],Table2[#Headers],0),0)</f>
        <v xml:space="preserve"> 18 ft.- 2"</v>
      </c>
      <c r="E751" s="2" t="str">
        <f>VLOOKUP([jobnumber],OvalData[],MATCH(Table2[[#Headers],[stopheight]],Table2[#Headers],0),0)</f>
        <v xml:space="preserve"> 10 ft.- 0"</v>
      </c>
      <c r="F751" s="2" t="str">
        <f>VLOOKUP([jobnumber],OvalData[],MATCH(Table2[[#Headers],[Between Brackets]],Table2[#Headers],0),0)</f>
        <v xml:space="preserve"> 18 ft.- 7 7/ 8"</v>
      </c>
      <c r="G751" s="2" t="str">
        <f>VLOOKUP([jobnumber],OvalData[],MATCH(Table2[[#Headers],[shell]],Table2[#Headers],0),0)</f>
        <v>6 INCH TUBE</v>
      </c>
      <c r="H751" s="2" t="str">
        <f>VLOOKUP([jobnumber],OvalData[],MATCH(Table2[[#Headers],[pipewidth]],Table2[#Headers],0),0)</f>
        <v xml:space="preserve"> 18 ft.- 1 3/ 8"</v>
      </c>
      <c r="I751" s="2">
        <f>VLOOKUP([jobnumber],OvalData[],MATCH(Table2[[#Headers],[Support Tubes]],Table2[#Headers],0),0)</f>
        <v>0</v>
      </c>
      <c r="J751" s="2">
        <f>VLOOKUP([jobnumber],OvalData[],MATCH(Table2[[#Headers],[Upset]],Table2[#Headers],0),0)</f>
        <v>2</v>
      </c>
      <c r="K751" s="2" t="str">
        <f>VLOOKUP([jobnumber],OvalData[],MATCH(Table2[[#Headers],[Guide Type]],Table2[#Headers],0),0)</f>
        <v>SN2-4 5/8-E</v>
      </c>
      <c r="L751" s="2" t="str">
        <f>VLOOKUP([jobnumber],OvalData[],MATCH(Table2[[#Headers],[Wall Angle]],Table2[#Headers],0),0)</f>
        <v xml:space="preserve"> 11 ft.- 8"</v>
      </c>
      <c r="M751" s="2" t="str">
        <f>VLOOKUP([jobnumber],OvalData[],MATCH(Table2[[#Headers],[Middle Angle]],Table2[#Headers],0),0)</f>
        <v xml:space="preserve"> 10 ft.- 4 1/ 2"</v>
      </c>
      <c r="N751" s="2" t="str">
        <f>VLOOKUP([jobnumber],OvalData[],MATCH(Table2[[#Headers],[Front Angle]],Table2[#Headers],0),0)</f>
        <v xml:space="preserve"> 10 ft.- 3"</v>
      </c>
      <c r="O751" s="2">
        <f>VLOOKUP([jobnumber],OvalData[],MATCH(Table2[[#Headers],[Pipe Center Line]],Table2[#Headers],0),0)</f>
        <v>131</v>
      </c>
      <c r="P751" s="2">
        <f>VLOOKUP([jobnumber],OvalData[],MATCH(Table2[[#Headers],[Heat Expansion Gap]],Table2[#Headers],0),0)</f>
        <v>0</v>
      </c>
      <c r="Q751" s="2">
        <f>VLOOKUP([jobnumber],OvalData[],MATCH(Table2[[#Headers],[Hanging Weight Closed]],Table2[#Headers],0),0)</f>
        <v>795</v>
      </c>
      <c r="R751" s="2">
        <f>VLOOKUP([jobnumber],OvalData[],MATCH(Table2[[#Headers],[Hanging Weight Open]],Table2[#Headers],0),0)</f>
        <v>140</v>
      </c>
      <c r="S751" s="2">
        <f>VLOOKUP([jobnumber],OvalData[],MATCH(Table2[[#Headers],[Initial Lever Arm]],Table2[#Headers],0),0)</f>
        <v>4.25</v>
      </c>
      <c r="T751" s="2">
        <f>VLOOKUP([jobnumber],OvalData[],MATCH(Table2[[#Headers],[Turns to Raise]],Table2[#Headers],0),0)</f>
        <v>3.5859999999999999</v>
      </c>
      <c r="U751" s="2">
        <f>VLOOKUP([jobnumber],OvalData[],MATCH(Table2[[#Headers],[Final Lever Arm]],Table2[#Headers],0),0)</f>
        <v>6.37</v>
      </c>
      <c r="V751" s="2">
        <f>VLOOKUP([jobnumber],OvalData[],MATCH(Table2[[#Headers],[Torque Required Closed]],Table2[#Headers],0),0)</f>
        <v>3377.9</v>
      </c>
      <c r="W751" s="2">
        <f>VLOOKUP([jobnumber],OvalData[],MATCH(Table2[[#Headers],[Torque Required Open]],Table2[#Headers],0),0)</f>
        <v>892</v>
      </c>
      <c r="X751" s="2">
        <f>VLOOKUP([jobnumber],OvalData[],MATCH(Table2[[#Headers],[Pre Turns]],Table2[#Headers],0),0)</f>
        <v>1.3332999999999999</v>
      </c>
      <c r="Y751" s="2">
        <f>VLOOKUP([jobnumber],OvalData[],MATCH(Table2[[#Headers],[Required Torque Per Turn]],Table2[#Headers],0),0)</f>
        <v>688</v>
      </c>
      <c r="Z751" s="2">
        <f>VLOOKUP([jobnumber],OvalData[],MATCH(Table2[[#Headers],[Total Turns]],Table2[#Headers],0),0)</f>
        <v>4.91</v>
      </c>
      <c r="AA751" s="2">
        <f>VLOOKUP([jobnumber],OvalData[],MATCH(Table2[[#Headers],[Grille Vision Section]],Table2[#Headers],0),0)</f>
        <v>0</v>
      </c>
      <c r="AB751" s="2">
        <f>VLOOKUP([jobnumber],OvalData[],MATCH(Table2[[#Headers],[Grille Amount]],Table2[#Headers],0),0)</f>
        <v>0</v>
      </c>
      <c r="AC751" s="2">
        <f>VLOOKUP([jobnumber],OvalData[],MATCH(Table2[[#Headers],[Grille Center]],Table2[#Headers],0),0)</f>
        <v>0</v>
      </c>
      <c r="AD751" s="2">
        <f>VLOOKUP([jobnumber],OvalData[],MATCH(Table2[[#Headers],[Grille Pattern]],Table2[#Headers],0),0)</f>
        <v>0</v>
      </c>
      <c r="AE751" s="2">
        <f>VLOOKUP([jobnumber],OvalData[],MATCH(Table2[[#Headers],[Grille First Tube]],Table2[#Headers],0),0)</f>
        <v>0</v>
      </c>
      <c r="AF751" s="2">
        <f>VLOOKUP([jobnumber],OvalData[],MATCH(Table2[[#Headers],[Grille Standard Tube]],Table2[#Headers],0),0)</f>
        <v>0</v>
      </c>
      <c r="AG751" s="2">
        <f>VLOOKUP([jobnumber],OvalData[],MATCH(Table2[[#Headers],[Grille Total Links]],Table2[#Headers],0),0)</f>
        <v>0</v>
      </c>
      <c r="AH751" s="2">
        <f>VLOOKUP([jobnumber],OvalData[],MATCH(Table2[[#Headers],[Grille Rods]],Table2[#Headers],0),0)</f>
        <v>0</v>
      </c>
      <c r="AI751" s="2">
        <f>VLOOKUP([jobnumber],OvalData[],MATCH(Table2[[#Headers],[Grille Rod Length]],Table2[#Headers],0),0)</f>
        <v>0</v>
      </c>
      <c r="AJ751" s="2">
        <f>VLOOKUP([jobnumber],OvalData[],MATCH(Table2[[#Headers],[slattype]],Table2[#Headers],0),0)</f>
        <v>2</v>
      </c>
      <c r="AK751" s="2">
        <f>VLOOKUP([jobnumber],OvalData[],MATCH(Table2[[#Headers],[slatgage]],Table2[#Headers],0),0)</f>
        <v>18</v>
      </c>
      <c r="AL751" s="2">
        <f>VLOOKUP([jobnumber],OvalData[],MATCH(Table2[[#Headers],[Numer of Top Slats]],Table2[#Headers],0),0)</f>
        <v>0</v>
      </c>
      <c r="AM751" s="2">
        <f>VLOOKUP([jobnumber],OvalData[],MATCH(Table2[[#Headers],[Number of Bottom Slats]],Table2[#Headers],0),0)</f>
        <v>0</v>
      </c>
      <c r="AN751" s="2">
        <f>VLOOKUP([jobnumber],OvalData[],MATCH(Table2[[#Headers],[Solid Bottom Height]],Table2[#Headers],0),0)</f>
        <v>0</v>
      </c>
      <c r="AO751" s="2" t="str">
        <f>VLOOKUP([jobnumber],OvalData[],MATCH(Table2[[#Headers],[slatlength]],Table2[#Headers],0),0)</f>
        <v xml:space="preserve"> 18 ft.- 5 7/ 8"</v>
      </c>
      <c r="AP751" s="2">
        <f>VLOOKUP([jobnumber],OvalData[],MATCH(Table2[[#Headers],[Bottom Slat Length]],Table2[#Headers],0),0)</f>
        <v>0</v>
      </c>
      <c r="AQ751" s="2">
        <f>VLOOKUP([jobnumber],OvalData[],MATCH(Table2[[#Headers],[Number of Perferated Slats]],Table2[#Headers],0),0)</f>
        <v>0</v>
      </c>
      <c r="AR751" s="2">
        <f>VLOOKUP([jobnumber],OvalData[],MATCH(Table2[[#Headers],[First Preferated Slat From End]],Table2[#Headers],0),0)</f>
        <v>0</v>
      </c>
      <c r="AS751" s="2">
        <f>VLOOKUP([jobnumber],OvalData[],MATCH(Table2[[#Headers],[First Preferated Slat From Bottom]],Table2[#Headers],0),0)</f>
        <v>0</v>
      </c>
      <c r="AT751" s="2">
        <f>VLOOKUP([jobnumber],OvalData[],MATCH(Table2[[#Headers],[Total Number of Slats]],Table2[#Headers],0),0)</f>
        <v>51</v>
      </c>
      <c r="AU751" s="2">
        <f>VLOOKUP([jobnumber],OvalData[],MATCH(Table2[[#Headers],[Bottom Bar Slope]],Table2[#Headers],0),0)</f>
        <v>0</v>
      </c>
      <c r="AV751" s="2">
        <f>VLOOKUP([jobnumber],OvalData[],MATCH(Table2[[#Headers],[Bottom Bar Weight]],Table2[#Headers],0),0)</f>
        <v>80.5</v>
      </c>
      <c r="AW751" s="2" t="str">
        <f>VLOOKUP([jobnumber],OvalData[],MATCH(Table2[[#Headers],[Outer Spring Gage]],Table2[#Headers],0),0)</f>
        <v>Null</v>
      </c>
      <c r="AX751" s="2" t="str">
        <f>VLOOKUP([jobnumber],OvalData[],MATCH(Table2[[#Headers],[Outer Spring OD]],Table2[#Headers],0),0)</f>
        <v>Null</v>
      </c>
      <c r="AY751" s="2" t="str">
        <f>VLOOKUP([jobnumber],OvalData[],MATCH(Table2[[#Headers],[Outer Spring Length]],Table2[#Headers],0),0)</f>
        <v>Null</v>
      </c>
      <c r="AZ751" s="2" t="str">
        <f>VLOOKUP([jobnumber],OvalData[],MATCH(Table2[[#Headers],[Outer Spring Stretch]],Table2[#Headers],0),0)</f>
        <v>Null</v>
      </c>
      <c r="BA751" s="2" t="str">
        <f>VLOOKUP([jobnumber],OvalData[],MATCH(Table2[[#Headers],[Outer Spring Torque]],Table2[#Headers],0),0)</f>
        <v>Null</v>
      </c>
      <c r="BB751" s="2" t="str">
        <f>VLOOKUP([jobnumber],OvalData[],MATCH(Table2[[#Headers],[Outer Spring Max Turns]],Table2[#Headers],0),0)</f>
        <v>Null</v>
      </c>
      <c r="BC751" s="2" t="str">
        <f>VLOOKUP([jobnumber],OvalData[],MATCH(Table2[[#Headers],[Outer Spring Weight]],Table2[#Headers],0),0)</f>
        <v>Null</v>
      </c>
      <c r="BD751" s="2" t="str">
        <f>VLOOKUP([jobnumber],OvalData[],MATCH(Table2[[#Headers],[Inner Spring Gage]],Table2[#Headers],0),0)</f>
        <v>Null</v>
      </c>
      <c r="BE751" s="2" t="str">
        <f>VLOOKUP([jobnumber],OvalData[],MATCH(Table2[[#Headers],[Inner Spring OD]],Table2[#Headers],0),0)</f>
        <v>Null</v>
      </c>
      <c r="BF751" s="2" t="str">
        <f>VLOOKUP([jobnumber],OvalData[],MATCH(Table2[[#Headers],[Inner Spring Length]],Table2[#Headers],0),0)</f>
        <v>Null</v>
      </c>
      <c r="BG751" s="2" t="str">
        <f>VLOOKUP([jobnumber],OvalData[],MATCH(Table2[[#Headers],[Inner Spring Stretch]],Table2[#Headers],0),0)</f>
        <v>Null</v>
      </c>
      <c r="BH751" s="2" t="str">
        <f>VLOOKUP([jobnumber],OvalData[],MATCH(Table2[[#Headers],[Inner Spring Torque]],Table2[#Headers],0),0)</f>
        <v>Null</v>
      </c>
      <c r="BI751" s="2" t="str">
        <f>VLOOKUP([jobnumber],OvalData[],MATCH(Table2[[#Headers],[Inner Spring Max Turns]],Table2[#Headers],0),0)</f>
        <v>Null</v>
      </c>
      <c r="BJ751" s="2" t="str">
        <f>VLOOKUP([jobnumber],OvalData[],MATCH(Table2[[#Headers],[Inner Spring Weight]],Table2[#Headers],0),0)</f>
        <v>Null</v>
      </c>
      <c r="BK751" s="2">
        <f>VLOOKUP([jobnumber],OvalData[],MATCH(Table2[[#Headers],[Cycles]],Table2[#Headers],0),0)</f>
        <v>0</v>
      </c>
      <c r="BL751" s="2">
        <f>VLOOKUP([jobnumber],OvalData[],MATCH(Table2[[#Headers],[Total Spring Torque]],Table2[#Headers],0),0)</f>
        <v>0</v>
      </c>
      <c r="BM751" s="2">
        <f>VLOOKUP([jobnumber],OvalData[],MATCH(Table2[[#Headers],[Total Spring Weight]],Table2[#Headers],0),0)</f>
        <v>0</v>
      </c>
      <c r="BN751" s="2">
        <f>VLOOKUP([jobnumber],OvalData[],MATCH(Table2[[#Headers],[Pipe Weight]],Table2[#Headers],0),0)</f>
        <v>688.24239999999998</v>
      </c>
      <c r="BO751" s="2">
        <f>VLOOKUP([jobnumber],OvalData[],MATCH(Table2[[#Headers],[Max Pipe Deflection]],Table2[#Headers],0),0)</f>
        <v>2309</v>
      </c>
      <c r="BP751" s="2">
        <f>VLOOKUP([jobnumber],OvalData[],MATCH(Table2[[#Headers],[Number Non-Insulated Wrap Slats]],Table2[#Headers],0),0)</f>
        <v>0</v>
      </c>
      <c r="BQ751" s="2">
        <f>VLOOKUP([jobnumber],OvalData[],MATCH(Table2[[#Headers],[Number of Insolated Top Slats]],Table2[#Headers],0),0)</f>
        <v>45</v>
      </c>
      <c r="BR751" s="2">
        <f>VLOOKUP([jobnumber],OvalData[],MATCH(Table2[[#Headers],[Insolated Total Slats]],Table2[#Headers],0),0)</f>
        <v>45</v>
      </c>
      <c r="BS751" s="2">
        <f>VLOOKUP([jobnumber],OvalData[],MATCH(Table2[[#Headers],[Number of Slats]],Table2[#Headers],0),0)</f>
        <v>44.69</v>
      </c>
      <c r="BT751" s="2">
        <f>VLOOKUP([jobnumber],OvalData[],MATCH(Table2[[#Headers],[Wrap]],Table2[#Headers],0),0)</f>
        <v>0</v>
      </c>
      <c r="BU751" s="2">
        <f>VLOOKUP([jobnumber],OvalData[],MATCH(Table2[[#Headers],[Wall Angle Thickness]],Table2[#Headers],0),0)</f>
        <v>0</v>
      </c>
      <c r="BV751" s="2">
        <f>VLOOKUP([jobnumber],OvalData[],MATCH(Table2[[#Headers],[windlocks]],Table2[#Headers],0),0)</f>
        <v>0</v>
      </c>
      <c r="BW751" s="2" t="str">
        <f>VLOOKUP([jobnumber],OvalData[],MATCH(Table2[[#Headers],[bottombartype]],Table2[#Headers],0),0)</f>
        <v>SPECIAL</v>
      </c>
      <c r="BX751" s="2">
        <f>VLOOKUP([jobnumber],OvalData[],MATCH(Table2[[#Headers],[endlockweight]],Table2[#Headers],0),0)</f>
        <v>0.17</v>
      </c>
      <c r="BY751" s="2">
        <f>VLOOKUP([jobnumber],OvalData[],MATCH(Table2[[#Headers],[Endlock Total Weight]],Table2[#Headers],0),0)</f>
        <v>7.5972999999999997</v>
      </c>
      <c r="BZ751" s="2">
        <f>VLOOKUP([jobnumber],OvalData[],MATCH(Table2[[#Headers],[Grille Weight]],Table2[#Headers],0),0)</f>
        <v>0</v>
      </c>
      <c r="CA751" s="2">
        <f>VLOOKUP([jobnumber],OvalData[],MATCH(Table2[[#Headers],[barrelrings]],Table2[#Headers],0),0)</f>
        <v>1</v>
      </c>
    </row>
    <row r="752" spans="2:79">
      <c r="B752" s="2" t="str">
        <f>VLOOKUP([jobnumber],OvalData[],MATCH(Table2[[#Headers],[Hand]],Table2[#Headers],0),0)</f>
        <v>RH</v>
      </c>
      <c r="C752" s="2" t="str">
        <f>VLOOKUP([jobnumber],OvalData[],MATCH(Table2[[#Headers],[Model]],Table2[#Headers],0),0)</f>
        <v>SFMPP</v>
      </c>
      <c r="D752" s="2" t="str">
        <f>VLOOKUP([jobnumber],OvalData[],MATCH(Table2[[#Headers],[width]],Table2[#Headers],0),0)</f>
        <v xml:space="preserve"> 18 ft.- 2"</v>
      </c>
      <c r="E752" s="2" t="str">
        <f>VLOOKUP([jobnumber],OvalData[],MATCH(Table2[[#Headers],[stopheight]],Table2[#Headers],0),0)</f>
        <v xml:space="preserve"> 10 ft.- 0"</v>
      </c>
      <c r="F752" s="2" t="str">
        <f>VLOOKUP([jobnumber],OvalData[],MATCH(Table2[[#Headers],[Between Brackets]],Table2[#Headers],0),0)</f>
        <v xml:space="preserve"> 18 ft.- 7 7/ 8"</v>
      </c>
      <c r="G752" s="2" t="str">
        <f>VLOOKUP([jobnumber],OvalData[],MATCH(Table2[[#Headers],[shell]],Table2[#Headers],0),0)</f>
        <v>6 INCH TUBE</v>
      </c>
      <c r="H752" s="2" t="str">
        <f>VLOOKUP([jobnumber],OvalData[],MATCH(Table2[[#Headers],[pipewidth]],Table2[#Headers],0),0)</f>
        <v xml:space="preserve"> 18 ft.- 1 3/ 8"</v>
      </c>
      <c r="I752" s="2">
        <f>VLOOKUP([jobnumber],OvalData[],MATCH(Table2[[#Headers],[Support Tubes]],Table2[#Headers],0),0)</f>
        <v>0</v>
      </c>
      <c r="J752" s="2">
        <f>VLOOKUP([jobnumber],OvalData[],MATCH(Table2[[#Headers],[Upset]],Table2[#Headers],0),0)</f>
        <v>2</v>
      </c>
      <c r="K752" s="2" t="str">
        <f>VLOOKUP([jobnumber],OvalData[],MATCH(Table2[[#Headers],[Guide Type]],Table2[#Headers],0),0)</f>
        <v>SN2-4 5/8-E</v>
      </c>
      <c r="L752" s="2" t="str">
        <f>VLOOKUP([jobnumber],OvalData[],MATCH(Table2[[#Headers],[Wall Angle]],Table2[#Headers],0),0)</f>
        <v xml:space="preserve"> 11 ft.- 8"</v>
      </c>
      <c r="M752" s="2" t="str">
        <f>VLOOKUP([jobnumber],OvalData[],MATCH(Table2[[#Headers],[Middle Angle]],Table2[#Headers],0),0)</f>
        <v xml:space="preserve"> 10 ft.- 4 1/ 2"</v>
      </c>
      <c r="N752" s="2" t="str">
        <f>VLOOKUP([jobnumber],OvalData[],MATCH(Table2[[#Headers],[Front Angle]],Table2[#Headers],0),0)</f>
        <v xml:space="preserve"> 10 ft.- 3"</v>
      </c>
      <c r="O752" s="2">
        <f>VLOOKUP([jobnumber],OvalData[],MATCH(Table2[[#Headers],[Pipe Center Line]],Table2[#Headers],0),0)</f>
        <v>131</v>
      </c>
      <c r="P752" s="2">
        <f>VLOOKUP([jobnumber],OvalData[],MATCH(Table2[[#Headers],[Heat Expansion Gap]],Table2[#Headers],0),0)</f>
        <v>0</v>
      </c>
      <c r="Q752" s="2">
        <f>VLOOKUP([jobnumber],OvalData[],MATCH(Table2[[#Headers],[Hanging Weight Closed]],Table2[#Headers],0),0)</f>
        <v>795</v>
      </c>
      <c r="R752" s="2">
        <f>VLOOKUP([jobnumber],OvalData[],MATCH(Table2[[#Headers],[Hanging Weight Open]],Table2[#Headers],0),0)</f>
        <v>140</v>
      </c>
      <c r="S752" s="2">
        <f>VLOOKUP([jobnumber],OvalData[],MATCH(Table2[[#Headers],[Initial Lever Arm]],Table2[#Headers],0),0)</f>
        <v>4.25</v>
      </c>
      <c r="T752" s="2">
        <f>VLOOKUP([jobnumber],OvalData[],MATCH(Table2[[#Headers],[Turns to Raise]],Table2[#Headers],0),0)</f>
        <v>3.5859999999999999</v>
      </c>
      <c r="U752" s="2">
        <f>VLOOKUP([jobnumber],OvalData[],MATCH(Table2[[#Headers],[Final Lever Arm]],Table2[#Headers],0),0)</f>
        <v>6.37</v>
      </c>
      <c r="V752" s="2">
        <f>VLOOKUP([jobnumber],OvalData[],MATCH(Table2[[#Headers],[Torque Required Closed]],Table2[#Headers],0),0)</f>
        <v>3377.9</v>
      </c>
      <c r="W752" s="2">
        <f>VLOOKUP([jobnumber],OvalData[],MATCH(Table2[[#Headers],[Torque Required Open]],Table2[#Headers],0),0)</f>
        <v>892</v>
      </c>
      <c r="X752" s="2">
        <f>VLOOKUP([jobnumber],OvalData[],MATCH(Table2[[#Headers],[Pre Turns]],Table2[#Headers],0),0)</f>
        <v>1.3332999999999999</v>
      </c>
      <c r="Y752" s="2">
        <f>VLOOKUP([jobnumber],OvalData[],MATCH(Table2[[#Headers],[Required Torque Per Turn]],Table2[#Headers],0),0)</f>
        <v>688</v>
      </c>
      <c r="Z752" s="2">
        <f>VLOOKUP([jobnumber],OvalData[],MATCH(Table2[[#Headers],[Total Turns]],Table2[#Headers],0),0)</f>
        <v>4.91</v>
      </c>
      <c r="AA752" s="2">
        <f>VLOOKUP([jobnumber],OvalData[],MATCH(Table2[[#Headers],[Grille Vision Section]],Table2[#Headers],0),0)</f>
        <v>0</v>
      </c>
      <c r="AB752" s="2">
        <f>VLOOKUP([jobnumber],OvalData[],MATCH(Table2[[#Headers],[Grille Amount]],Table2[#Headers],0),0)</f>
        <v>0</v>
      </c>
      <c r="AC752" s="2">
        <f>VLOOKUP([jobnumber],OvalData[],MATCH(Table2[[#Headers],[Grille Center]],Table2[#Headers],0),0)</f>
        <v>0</v>
      </c>
      <c r="AD752" s="2">
        <f>VLOOKUP([jobnumber],OvalData[],MATCH(Table2[[#Headers],[Grille Pattern]],Table2[#Headers],0),0)</f>
        <v>0</v>
      </c>
      <c r="AE752" s="2">
        <f>VLOOKUP([jobnumber],OvalData[],MATCH(Table2[[#Headers],[Grille First Tube]],Table2[#Headers],0),0)</f>
        <v>0</v>
      </c>
      <c r="AF752" s="2">
        <f>VLOOKUP([jobnumber],OvalData[],MATCH(Table2[[#Headers],[Grille Standard Tube]],Table2[#Headers],0),0)</f>
        <v>0</v>
      </c>
      <c r="AG752" s="2">
        <f>VLOOKUP([jobnumber],OvalData[],MATCH(Table2[[#Headers],[Grille Total Links]],Table2[#Headers],0),0)</f>
        <v>0</v>
      </c>
      <c r="AH752" s="2">
        <f>VLOOKUP([jobnumber],OvalData[],MATCH(Table2[[#Headers],[Grille Rods]],Table2[#Headers],0),0)</f>
        <v>0</v>
      </c>
      <c r="AI752" s="2">
        <f>VLOOKUP([jobnumber],OvalData[],MATCH(Table2[[#Headers],[Grille Rod Length]],Table2[#Headers],0),0)</f>
        <v>0</v>
      </c>
      <c r="AJ752" s="2">
        <f>VLOOKUP([jobnumber],OvalData[],MATCH(Table2[[#Headers],[slattype]],Table2[#Headers],0),0)</f>
        <v>2</v>
      </c>
      <c r="AK752" s="2">
        <f>VLOOKUP([jobnumber],OvalData[],MATCH(Table2[[#Headers],[slatgage]],Table2[#Headers],0),0)</f>
        <v>18</v>
      </c>
      <c r="AL752" s="2">
        <f>VLOOKUP([jobnumber],OvalData[],MATCH(Table2[[#Headers],[Numer of Top Slats]],Table2[#Headers],0),0)</f>
        <v>0</v>
      </c>
      <c r="AM752" s="2">
        <f>VLOOKUP([jobnumber],OvalData[],MATCH(Table2[[#Headers],[Number of Bottom Slats]],Table2[#Headers],0),0)</f>
        <v>0</v>
      </c>
      <c r="AN752" s="2">
        <f>VLOOKUP([jobnumber],OvalData[],MATCH(Table2[[#Headers],[Solid Bottom Height]],Table2[#Headers],0),0)</f>
        <v>0</v>
      </c>
      <c r="AO752" s="2" t="str">
        <f>VLOOKUP([jobnumber],OvalData[],MATCH(Table2[[#Headers],[slatlength]],Table2[#Headers],0),0)</f>
        <v xml:space="preserve"> 18 ft.- 5 7/ 8"</v>
      </c>
      <c r="AP752" s="2">
        <f>VLOOKUP([jobnumber],OvalData[],MATCH(Table2[[#Headers],[Bottom Slat Length]],Table2[#Headers],0),0)</f>
        <v>0</v>
      </c>
      <c r="AQ752" s="2">
        <f>VLOOKUP([jobnumber],OvalData[],MATCH(Table2[[#Headers],[Number of Perferated Slats]],Table2[#Headers],0),0)</f>
        <v>0</v>
      </c>
      <c r="AR752" s="2">
        <f>VLOOKUP([jobnumber],OvalData[],MATCH(Table2[[#Headers],[First Preferated Slat From End]],Table2[#Headers],0),0)</f>
        <v>0</v>
      </c>
      <c r="AS752" s="2">
        <f>VLOOKUP([jobnumber],OvalData[],MATCH(Table2[[#Headers],[First Preferated Slat From Bottom]],Table2[#Headers],0),0)</f>
        <v>0</v>
      </c>
      <c r="AT752" s="2">
        <f>VLOOKUP([jobnumber],OvalData[],MATCH(Table2[[#Headers],[Total Number of Slats]],Table2[#Headers],0),0)</f>
        <v>51</v>
      </c>
      <c r="AU752" s="2">
        <f>VLOOKUP([jobnumber],OvalData[],MATCH(Table2[[#Headers],[Bottom Bar Slope]],Table2[#Headers],0),0)</f>
        <v>0</v>
      </c>
      <c r="AV752" s="2">
        <f>VLOOKUP([jobnumber],OvalData[],MATCH(Table2[[#Headers],[Bottom Bar Weight]],Table2[#Headers],0),0)</f>
        <v>80.5</v>
      </c>
      <c r="AW752" s="2" t="str">
        <f>VLOOKUP([jobnumber],OvalData[],MATCH(Table2[[#Headers],[Outer Spring Gage]],Table2[#Headers],0),0)</f>
        <v>Null</v>
      </c>
      <c r="AX752" s="2" t="str">
        <f>VLOOKUP([jobnumber],OvalData[],MATCH(Table2[[#Headers],[Outer Spring OD]],Table2[#Headers],0),0)</f>
        <v>Null</v>
      </c>
      <c r="AY752" s="2" t="str">
        <f>VLOOKUP([jobnumber],OvalData[],MATCH(Table2[[#Headers],[Outer Spring Length]],Table2[#Headers],0),0)</f>
        <v>Null</v>
      </c>
      <c r="AZ752" s="2" t="str">
        <f>VLOOKUP([jobnumber],OvalData[],MATCH(Table2[[#Headers],[Outer Spring Stretch]],Table2[#Headers],0),0)</f>
        <v>Null</v>
      </c>
      <c r="BA752" s="2" t="str">
        <f>VLOOKUP([jobnumber],OvalData[],MATCH(Table2[[#Headers],[Outer Spring Torque]],Table2[#Headers],0),0)</f>
        <v>Null</v>
      </c>
      <c r="BB752" s="2" t="str">
        <f>VLOOKUP([jobnumber],OvalData[],MATCH(Table2[[#Headers],[Outer Spring Max Turns]],Table2[#Headers],0),0)</f>
        <v>Null</v>
      </c>
      <c r="BC752" s="2" t="str">
        <f>VLOOKUP([jobnumber],OvalData[],MATCH(Table2[[#Headers],[Outer Spring Weight]],Table2[#Headers],0),0)</f>
        <v>Null</v>
      </c>
      <c r="BD752" s="2" t="str">
        <f>VLOOKUP([jobnumber],OvalData[],MATCH(Table2[[#Headers],[Inner Spring Gage]],Table2[#Headers],0),0)</f>
        <v>Null</v>
      </c>
      <c r="BE752" s="2" t="str">
        <f>VLOOKUP([jobnumber],OvalData[],MATCH(Table2[[#Headers],[Inner Spring OD]],Table2[#Headers],0),0)</f>
        <v>Null</v>
      </c>
      <c r="BF752" s="2" t="str">
        <f>VLOOKUP([jobnumber],OvalData[],MATCH(Table2[[#Headers],[Inner Spring Length]],Table2[#Headers],0),0)</f>
        <v>Null</v>
      </c>
      <c r="BG752" s="2" t="str">
        <f>VLOOKUP([jobnumber],OvalData[],MATCH(Table2[[#Headers],[Inner Spring Stretch]],Table2[#Headers],0),0)</f>
        <v>Null</v>
      </c>
      <c r="BH752" s="2" t="str">
        <f>VLOOKUP([jobnumber],OvalData[],MATCH(Table2[[#Headers],[Inner Spring Torque]],Table2[#Headers],0),0)</f>
        <v>Null</v>
      </c>
      <c r="BI752" s="2" t="str">
        <f>VLOOKUP([jobnumber],OvalData[],MATCH(Table2[[#Headers],[Inner Spring Max Turns]],Table2[#Headers],0),0)</f>
        <v>Null</v>
      </c>
      <c r="BJ752" s="2" t="str">
        <f>VLOOKUP([jobnumber],OvalData[],MATCH(Table2[[#Headers],[Inner Spring Weight]],Table2[#Headers],0),0)</f>
        <v>Null</v>
      </c>
      <c r="BK752" s="2">
        <f>VLOOKUP([jobnumber],OvalData[],MATCH(Table2[[#Headers],[Cycles]],Table2[#Headers],0),0)</f>
        <v>0</v>
      </c>
      <c r="BL752" s="2">
        <f>VLOOKUP([jobnumber],OvalData[],MATCH(Table2[[#Headers],[Total Spring Torque]],Table2[#Headers],0),0)</f>
        <v>0</v>
      </c>
      <c r="BM752" s="2">
        <f>VLOOKUP([jobnumber],OvalData[],MATCH(Table2[[#Headers],[Total Spring Weight]],Table2[#Headers],0),0)</f>
        <v>0</v>
      </c>
      <c r="BN752" s="2">
        <f>VLOOKUP([jobnumber],OvalData[],MATCH(Table2[[#Headers],[Pipe Weight]],Table2[#Headers],0),0)</f>
        <v>688.24239999999998</v>
      </c>
      <c r="BO752" s="2">
        <f>VLOOKUP([jobnumber],OvalData[],MATCH(Table2[[#Headers],[Max Pipe Deflection]],Table2[#Headers],0),0)</f>
        <v>2309</v>
      </c>
      <c r="BP752" s="2">
        <f>VLOOKUP([jobnumber],OvalData[],MATCH(Table2[[#Headers],[Number Non-Insulated Wrap Slats]],Table2[#Headers],0),0)</f>
        <v>0</v>
      </c>
      <c r="BQ752" s="2">
        <f>VLOOKUP([jobnumber],OvalData[],MATCH(Table2[[#Headers],[Number of Insolated Top Slats]],Table2[#Headers],0),0)</f>
        <v>45</v>
      </c>
      <c r="BR752" s="2">
        <f>VLOOKUP([jobnumber],OvalData[],MATCH(Table2[[#Headers],[Insolated Total Slats]],Table2[#Headers],0),0)</f>
        <v>45</v>
      </c>
      <c r="BS752" s="2">
        <f>VLOOKUP([jobnumber],OvalData[],MATCH(Table2[[#Headers],[Number of Slats]],Table2[#Headers],0),0)</f>
        <v>44.69</v>
      </c>
      <c r="BT752" s="2">
        <f>VLOOKUP([jobnumber],OvalData[],MATCH(Table2[[#Headers],[Wrap]],Table2[#Headers],0),0)</f>
        <v>0</v>
      </c>
      <c r="BU752" s="2">
        <f>VLOOKUP([jobnumber],OvalData[],MATCH(Table2[[#Headers],[Wall Angle Thickness]],Table2[#Headers],0),0)</f>
        <v>0</v>
      </c>
      <c r="BV752" s="2">
        <f>VLOOKUP([jobnumber],OvalData[],MATCH(Table2[[#Headers],[windlocks]],Table2[#Headers],0),0)</f>
        <v>0</v>
      </c>
      <c r="BW752" s="2" t="str">
        <f>VLOOKUP([jobnumber],OvalData[],MATCH(Table2[[#Headers],[bottombartype]],Table2[#Headers],0),0)</f>
        <v>SPECIAL</v>
      </c>
      <c r="BX752" s="2">
        <f>VLOOKUP([jobnumber],OvalData[],MATCH(Table2[[#Headers],[endlockweight]],Table2[#Headers],0),0)</f>
        <v>0.17</v>
      </c>
      <c r="BY752" s="2">
        <f>VLOOKUP([jobnumber],OvalData[],MATCH(Table2[[#Headers],[Endlock Total Weight]],Table2[#Headers],0),0)</f>
        <v>7.5972999999999997</v>
      </c>
      <c r="BZ752" s="2">
        <f>VLOOKUP([jobnumber],OvalData[],MATCH(Table2[[#Headers],[Grille Weight]],Table2[#Headers],0),0)</f>
        <v>0</v>
      </c>
      <c r="CA752" s="2">
        <f>VLOOKUP([jobnumber],OvalData[],MATCH(Table2[[#Headers],[barrelrings]],Table2[#Headers],0),0)</f>
        <v>1</v>
      </c>
    </row>
    <row r="753" spans="2:79">
      <c r="B753" s="2" t="str">
        <f>VLOOKUP([jobnumber],OvalData[],MATCH(Table2[[#Headers],[Hand]],Table2[#Headers],0),0)</f>
        <v>RH</v>
      </c>
      <c r="C753" s="2" t="str">
        <f>VLOOKUP([jobnumber],OvalData[],MATCH(Table2[[#Headers],[Model]],Table2[#Headers],0),0)</f>
        <v>SFMPP</v>
      </c>
      <c r="D753" s="2" t="str">
        <f>VLOOKUP([jobnumber],OvalData[],MATCH(Table2[[#Headers],[width]],Table2[#Headers],0),0)</f>
        <v xml:space="preserve"> 18 ft.- 2"</v>
      </c>
      <c r="E753" s="2" t="str">
        <f>VLOOKUP([jobnumber],OvalData[],MATCH(Table2[[#Headers],[stopheight]],Table2[#Headers],0),0)</f>
        <v xml:space="preserve"> 10 ft.- 0"</v>
      </c>
      <c r="F753" s="2" t="str">
        <f>VLOOKUP([jobnumber],OvalData[],MATCH(Table2[[#Headers],[Between Brackets]],Table2[#Headers],0),0)</f>
        <v xml:space="preserve"> 18 ft.- 7 7/ 8"</v>
      </c>
      <c r="G753" s="2" t="str">
        <f>VLOOKUP([jobnumber],OvalData[],MATCH(Table2[[#Headers],[shell]],Table2[#Headers],0),0)</f>
        <v>6 INCH TUBE</v>
      </c>
      <c r="H753" s="2" t="str">
        <f>VLOOKUP([jobnumber],OvalData[],MATCH(Table2[[#Headers],[pipewidth]],Table2[#Headers],0),0)</f>
        <v xml:space="preserve"> 18 ft.- 1 3/ 8"</v>
      </c>
      <c r="I753" s="2">
        <f>VLOOKUP([jobnumber],OvalData[],MATCH(Table2[[#Headers],[Support Tubes]],Table2[#Headers],0),0)</f>
        <v>0</v>
      </c>
      <c r="J753" s="2">
        <f>VLOOKUP([jobnumber],OvalData[],MATCH(Table2[[#Headers],[Upset]],Table2[#Headers],0),0)</f>
        <v>2</v>
      </c>
      <c r="K753" s="2" t="str">
        <f>VLOOKUP([jobnumber],OvalData[],MATCH(Table2[[#Headers],[Guide Type]],Table2[#Headers],0),0)</f>
        <v>SN2-4 5/8-E</v>
      </c>
      <c r="L753" s="2" t="str">
        <f>VLOOKUP([jobnumber],OvalData[],MATCH(Table2[[#Headers],[Wall Angle]],Table2[#Headers],0),0)</f>
        <v xml:space="preserve"> 11 ft.- 8"</v>
      </c>
      <c r="M753" s="2" t="str">
        <f>VLOOKUP([jobnumber],OvalData[],MATCH(Table2[[#Headers],[Middle Angle]],Table2[#Headers],0),0)</f>
        <v xml:space="preserve"> 10 ft.- 4 1/ 2"</v>
      </c>
      <c r="N753" s="2" t="str">
        <f>VLOOKUP([jobnumber],OvalData[],MATCH(Table2[[#Headers],[Front Angle]],Table2[#Headers],0),0)</f>
        <v xml:space="preserve"> 10 ft.- 3"</v>
      </c>
      <c r="O753" s="2">
        <f>VLOOKUP([jobnumber],OvalData[],MATCH(Table2[[#Headers],[Pipe Center Line]],Table2[#Headers],0),0)</f>
        <v>131</v>
      </c>
      <c r="P753" s="2">
        <f>VLOOKUP([jobnumber],OvalData[],MATCH(Table2[[#Headers],[Heat Expansion Gap]],Table2[#Headers],0),0)</f>
        <v>0</v>
      </c>
      <c r="Q753" s="2">
        <f>VLOOKUP([jobnumber],OvalData[],MATCH(Table2[[#Headers],[Hanging Weight Closed]],Table2[#Headers],0),0)</f>
        <v>795</v>
      </c>
      <c r="R753" s="2">
        <f>VLOOKUP([jobnumber],OvalData[],MATCH(Table2[[#Headers],[Hanging Weight Open]],Table2[#Headers],0),0)</f>
        <v>140</v>
      </c>
      <c r="S753" s="2">
        <f>VLOOKUP([jobnumber],OvalData[],MATCH(Table2[[#Headers],[Initial Lever Arm]],Table2[#Headers],0),0)</f>
        <v>4.25</v>
      </c>
      <c r="T753" s="2">
        <f>VLOOKUP([jobnumber],OvalData[],MATCH(Table2[[#Headers],[Turns to Raise]],Table2[#Headers],0),0)</f>
        <v>3.5859999999999999</v>
      </c>
      <c r="U753" s="2">
        <f>VLOOKUP([jobnumber],OvalData[],MATCH(Table2[[#Headers],[Final Lever Arm]],Table2[#Headers],0),0)</f>
        <v>6.37</v>
      </c>
      <c r="V753" s="2">
        <f>VLOOKUP([jobnumber],OvalData[],MATCH(Table2[[#Headers],[Torque Required Closed]],Table2[#Headers],0),0)</f>
        <v>3377.9</v>
      </c>
      <c r="W753" s="2">
        <f>VLOOKUP([jobnumber],OvalData[],MATCH(Table2[[#Headers],[Torque Required Open]],Table2[#Headers],0),0)</f>
        <v>892</v>
      </c>
      <c r="X753" s="2">
        <f>VLOOKUP([jobnumber],OvalData[],MATCH(Table2[[#Headers],[Pre Turns]],Table2[#Headers],0),0)</f>
        <v>1.3332999999999999</v>
      </c>
      <c r="Y753" s="2">
        <f>VLOOKUP([jobnumber],OvalData[],MATCH(Table2[[#Headers],[Required Torque Per Turn]],Table2[#Headers],0),0)</f>
        <v>688</v>
      </c>
      <c r="Z753" s="2">
        <f>VLOOKUP([jobnumber],OvalData[],MATCH(Table2[[#Headers],[Total Turns]],Table2[#Headers],0),0)</f>
        <v>4.91</v>
      </c>
      <c r="AA753" s="2">
        <f>VLOOKUP([jobnumber],OvalData[],MATCH(Table2[[#Headers],[Grille Vision Section]],Table2[#Headers],0),0)</f>
        <v>0</v>
      </c>
      <c r="AB753" s="2">
        <f>VLOOKUP([jobnumber],OvalData[],MATCH(Table2[[#Headers],[Grille Amount]],Table2[#Headers],0),0)</f>
        <v>0</v>
      </c>
      <c r="AC753" s="2">
        <f>VLOOKUP([jobnumber],OvalData[],MATCH(Table2[[#Headers],[Grille Center]],Table2[#Headers],0),0)</f>
        <v>0</v>
      </c>
      <c r="AD753" s="2">
        <f>VLOOKUP([jobnumber],OvalData[],MATCH(Table2[[#Headers],[Grille Pattern]],Table2[#Headers],0),0)</f>
        <v>0</v>
      </c>
      <c r="AE753" s="2">
        <f>VLOOKUP([jobnumber],OvalData[],MATCH(Table2[[#Headers],[Grille First Tube]],Table2[#Headers],0),0)</f>
        <v>0</v>
      </c>
      <c r="AF753" s="2">
        <f>VLOOKUP([jobnumber],OvalData[],MATCH(Table2[[#Headers],[Grille Standard Tube]],Table2[#Headers],0),0)</f>
        <v>0</v>
      </c>
      <c r="AG753" s="2">
        <f>VLOOKUP([jobnumber],OvalData[],MATCH(Table2[[#Headers],[Grille Total Links]],Table2[#Headers],0),0)</f>
        <v>0</v>
      </c>
      <c r="AH753" s="2">
        <f>VLOOKUP([jobnumber],OvalData[],MATCH(Table2[[#Headers],[Grille Rods]],Table2[#Headers],0),0)</f>
        <v>0</v>
      </c>
      <c r="AI753" s="2">
        <f>VLOOKUP([jobnumber],OvalData[],MATCH(Table2[[#Headers],[Grille Rod Length]],Table2[#Headers],0),0)</f>
        <v>0</v>
      </c>
      <c r="AJ753" s="2">
        <f>VLOOKUP([jobnumber],OvalData[],MATCH(Table2[[#Headers],[slattype]],Table2[#Headers],0),0)</f>
        <v>2</v>
      </c>
      <c r="AK753" s="2">
        <f>VLOOKUP([jobnumber],OvalData[],MATCH(Table2[[#Headers],[slatgage]],Table2[#Headers],0),0)</f>
        <v>18</v>
      </c>
      <c r="AL753" s="2">
        <f>VLOOKUP([jobnumber],OvalData[],MATCH(Table2[[#Headers],[Numer of Top Slats]],Table2[#Headers],0),0)</f>
        <v>0</v>
      </c>
      <c r="AM753" s="2">
        <f>VLOOKUP([jobnumber],OvalData[],MATCH(Table2[[#Headers],[Number of Bottom Slats]],Table2[#Headers],0),0)</f>
        <v>0</v>
      </c>
      <c r="AN753" s="2">
        <f>VLOOKUP([jobnumber],OvalData[],MATCH(Table2[[#Headers],[Solid Bottom Height]],Table2[#Headers],0),0)</f>
        <v>0</v>
      </c>
      <c r="AO753" s="2" t="str">
        <f>VLOOKUP([jobnumber],OvalData[],MATCH(Table2[[#Headers],[slatlength]],Table2[#Headers],0),0)</f>
        <v xml:space="preserve"> 18 ft.- 5 7/ 8"</v>
      </c>
      <c r="AP753" s="2">
        <f>VLOOKUP([jobnumber],OvalData[],MATCH(Table2[[#Headers],[Bottom Slat Length]],Table2[#Headers],0),0)</f>
        <v>0</v>
      </c>
      <c r="AQ753" s="2">
        <f>VLOOKUP([jobnumber],OvalData[],MATCH(Table2[[#Headers],[Number of Perferated Slats]],Table2[#Headers],0),0)</f>
        <v>0</v>
      </c>
      <c r="AR753" s="2">
        <f>VLOOKUP([jobnumber],OvalData[],MATCH(Table2[[#Headers],[First Preferated Slat From End]],Table2[#Headers],0),0)</f>
        <v>0</v>
      </c>
      <c r="AS753" s="2">
        <f>VLOOKUP([jobnumber],OvalData[],MATCH(Table2[[#Headers],[First Preferated Slat From Bottom]],Table2[#Headers],0),0)</f>
        <v>0</v>
      </c>
      <c r="AT753" s="2">
        <f>VLOOKUP([jobnumber],OvalData[],MATCH(Table2[[#Headers],[Total Number of Slats]],Table2[#Headers],0),0)</f>
        <v>51</v>
      </c>
      <c r="AU753" s="2">
        <f>VLOOKUP([jobnumber],OvalData[],MATCH(Table2[[#Headers],[Bottom Bar Slope]],Table2[#Headers],0),0)</f>
        <v>0</v>
      </c>
      <c r="AV753" s="2">
        <f>VLOOKUP([jobnumber],OvalData[],MATCH(Table2[[#Headers],[Bottom Bar Weight]],Table2[#Headers],0),0)</f>
        <v>80.5</v>
      </c>
      <c r="AW753" s="2" t="str">
        <f>VLOOKUP([jobnumber],OvalData[],MATCH(Table2[[#Headers],[Outer Spring Gage]],Table2[#Headers],0),0)</f>
        <v>Null</v>
      </c>
      <c r="AX753" s="2" t="str">
        <f>VLOOKUP([jobnumber],OvalData[],MATCH(Table2[[#Headers],[Outer Spring OD]],Table2[#Headers],0),0)</f>
        <v>Null</v>
      </c>
      <c r="AY753" s="2" t="str">
        <f>VLOOKUP([jobnumber],OvalData[],MATCH(Table2[[#Headers],[Outer Spring Length]],Table2[#Headers],0),0)</f>
        <v>Null</v>
      </c>
      <c r="AZ753" s="2" t="str">
        <f>VLOOKUP([jobnumber],OvalData[],MATCH(Table2[[#Headers],[Outer Spring Stretch]],Table2[#Headers],0),0)</f>
        <v>Null</v>
      </c>
      <c r="BA753" s="2" t="str">
        <f>VLOOKUP([jobnumber],OvalData[],MATCH(Table2[[#Headers],[Outer Spring Torque]],Table2[#Headers],0),0)</f>
        <v>Null</v>
      </c>
      <c r="BB753" s="2" t="str">
        <f>VLOOKUP([jobnumber],OvalData[],MATCH(Table2[[#Headers],[Outer Spring Max Turns]],Table2[#Headers],0),0)</f>
        <v>Null</v>
      </c>
      <c r="BC753" s="2" t="str">
        <f>VLOOKUP([jobnumber],OvalData[],MATCH(Table2[[#Headers],[Outer Spring Weight]],Table2[#Headers],0),0)</f>
        <v>Null</v>
      </c>
      <c r="BD753" s="2" t="str">
        <f>VLOOKUP([jobnumber],OvalData[],MATCH(Table2[[#Headers],[Inner Spring Gage]],Table2[#Headers],0),0)</f>
        <v>Null</v>
      </c>
      <c r="BE753" s="2" t="str">
        <f>VLOOKUP([jobnumber],OvalData[],MATCH(Table2[[#Headers],[Inner Spring OD]],Table2[#Headers],0),0)</f>
        <v>Null</v>
      </c>
      <c r="BF753" s="2" t="str">
        <f>VLOOKUP([jobnumber],OvalData[],MATCH(Table2[[#Headers],[Inner Spring Length]],Table2[#Headers],0),0)</f>
        <v>Null</v>
      </c>
      <c r="BG753" s="2" t="str">
        <f>VLOOKUP([jobnumber],OvalData[],MATCH(Table2[[#Headers],[Inner Spring Stretch]],Table2[#Headers],0),0)</f>
        <v>Null</v>
      </c>
      <c r="BH753" s="2" t="str">
        <f>VLOOKUP([jobnumber],OvalData[],MATCH(Table2[[#Headers],[Inner Spring Torque]],Table2[#Headers],0),0)</f>
        <v>Null</v>
      </c>
      <c r="BI753" s="2" t="str">
        <f>VLOOKUP([jobnumber],OvalData[],MATCH(Table2[[#Headers],[Inner Spring Max Turns]],Table2[#Headers],0),0)</f>
        <v>Null</v>
      </c>
      <c r="BJ753" s="2" t="str">
        <f>VLOOKUP([jobnumber],OvalData[],MATCH(Table2[[#Headers],[Inner Spring Weight]],Table2[#Headers],0),0)</f>
        <v>Null</v>
      </c>
      <c r="BK753" s="2">
        <f>VLOOKUP([jobnumber],OvalData[],MATCH(Table2[[#Headers],[Cycles]],Table2[#Headers],0),0)</f>
        <v>0</v>
      </c>
      <c r="BL753" s="2">
        <f>VLOOKUP([jobnumber],OvalData[],MATCH(Table2[[#Headers],[Total Spring Torque]],Table2[#Headers],0),0)</f>
        <v>0</v>
      </c>
      <c r="BM753" s="2">
        <f>VLOOKUP([jobnumber],OvalData[],MATCH(Table2[[#Headers],[Total Spring Weight]],Table2[#Headers],0),0)</f>
        <v>0</v>
      </c>
      <c r="BN753" s="2">
        <f>VLOOKUP([jobnumber],OvalData[],MATCH(Table2[[#Headers],[Pipe Weight]],Table2[#Headers],0),0)</f>
        <v>688.24239999999998</v>
      </c>
      <c r="BO753" s="2">
        <f>VLOOKUP([jobnumber],OvalData[],MATCH(Table2[[#Headers],[Max Pipe Deflection]],Table2[#Headers],0),0)</f>
        <v>2309</v>
      </c>
      <c r="BP753" s="2">
        <f>VLOOKUP([jobnumber],OvalData[],MATCH(Table2[[#Headers],[Number Non-Insulated Wrap Slats]],Table2[#Headers],0),0)</f>
        <v>0</v>
      </c>
      <c r="BQ753" s="2">
        <f>VLOOKUP([jobnumber],OvalData[],MATCH(Table2[[#Headers],[Number of Insolated Top Slats]],Table2[#Headers],0),0)</f>
        <v>45</v>
      </c>
      <c r="BR753" s="2">
        <f>VLOOKUP([jobnumber],OvalData[],MATCH(Table2[[#Headers],[Insolated Total Slats]],Table2[#Headers],0),0)</f>
        <v>45</v>
      </c>
      <c r="BS753" s="2">
        <f>VLOOKUP([jobnumber],OvalData[],MATCH(Table2[[#Headers],[Number of Slats]],Table2[#Headers],0),0)</f>
        <v>44.69</v>
      </c>
      <c r="BT753" s="2">
        <f>VLOOKUP([jobnumber],OvalData[],MATCH(Table2[[#Headers],[Wrap]],Table2[#Headers],0),0)</f>
        <v>0</v>
      </c>
      <c r="BU753" s="2">
        <f>VLOOKUP([jobnumber],OvalData[],MATCH(Table2[[#Headers],[Wall Angle Thickness]],Table2[#Headers],0),0)</f>
        <v>0</v>
      </c>
      <c r="BV753" s="2">
        <f>VLOOKUP([jobnumber],OvalData[],MATCH(Table2[[#Headers],[windlocks]],Table2[#Headers],0),0)</f>
        <v>0</v>
      </c>
      <c r="BW753" s="2" t="str">
        <f>VLOOKUP([jobnumber],OvalData[],MATCH(Table2[[#Headers],[bottombartype]],Table2[#Headers],0),0)</f>
        <v>SPECIAL</v>
      </c>
      <c r="BX753" s="2">
        <f>VLOOKUP([jobnumber],OvalData[],MATCH(Table2[[#Headers],[endlockweight]],Table2[#Headers],0),0)</f>
        <v>0.17</v>
      </c>
      <c r="BY753" s="2">
        <f>VLOOKUP([jobnumber],OvalData[],MATCH(Table2[[#Headers],[Endlock Total Weight]],Table2[#Headers],0),0)</f>
        <v>7.5972999999999997</v>
      </c>
      <c r="BZ753" s="2">
        <f>VLOOKUP([jobnumber],OvalData[],MATCH(Table2[[#Headers],[Grille Weight]],Table2[#Headers],0),0)</f>
        <v>0</v>
      </c>
      <c r="CA753" s="2">
        <f>VLOOKUP([jobnumber],OvalData[],MATCH(Table2[[#Headers],[barrelrings]],Table2[#Headers],0),0)</f>
        <v>1</v>
      </c>
    </row>
    <row r="754" spans="2:79">
      <c r="B754" s="2" t="str">
        <f>VLOOKUP([jobnumber],OvalData[],MATCH(Table2[[#Headers],[Hand]],Table2[#Headers],0),0)</f>
        <v>RH</v>
      </c>
      <c r="C754" s="2" t="str">
        <f>VLOOKUP([jobnumber],OvalData[],MATCH(Table2[[#Headers],[Model]],Table2[#Headers],0),0)</f>
        <v>SFMPP</v>
      </c>
      <c r="D754" s="2" t="str">
        <f>VLOOKUP([jobnumber],OvalData[],MATCH(Table2[[#Headers],[width]],Table2[#Headers],0),0)</f>
        <v xml:space="preserve"> 18 ft.- 2"</v>
      </c>
      <c r="E754" s="2" t="str">
        <f>VLOOKUP([jobnumber],OvalData[],MATCH(Table2[[#Headers],[stopheight]],Table2[#Headers],0),0)</f>
        <v xml:space="preserve"> 10 ft.- 0"</v>
      </c>
      <c r="F754" s="2" t="str">
        <f>VLOOKUP([jobnumber],OvalData[],MATCH(Table2[[#Headers],[Between Brackets]],Table2[#Headers],0),0)</f>
        <v xml:space="preserve"> 18 ft.- 7 7/ 8"</v>
      </c>
      <c r="G754" s="2" t="str">
        <f>VLOOKUP([jobnumber],OvalData[],MATCH(Table2[[#Headers],[shell]],Table2[#Headers],0),0)</f>
        <v>6 INCH TUBE</v>
      </c>
      <c r="H754" s="2" t="str">
        <f>VLOOKUP([jobnumber],OvalData[],MATCH(Table2[[#Headers],[pipewidth]],Table2[#Headers],0),0)</f>
        <v xml:space="preserve"> 18 ft.- 1 3/ 8"</v>
      </c>
      <c r="I754" s="2">
        <f>VLOOKUP([jobnumber],OvalData[],MATCH(Table2[[#Headers],[Support Tubes]],Table2[#Headers],0),0)</f>
        <v>0</v>
      </c>
      <c r="J754" s="2">
        <f>VLOOKUP([jobnumber],OvalData[],MATCH(Table2[[#Headers],[Upset]],Table2[#Headers],0),0)</f>
        <v>2</v>
      </c>
      <c r="K754" s="2" t="str">
        <f>VLOOKUP([jobnumber],OvalData[],MATCH(Table2[[#Headers],[Guide Type]],Table2[#Headers],0),0)</f>
        <v>SN2-4 5/8-E</v>
      </c>
      <c r="L754" s="2" t="str">
        <f>VLOOKUP([jobnumber],OvalData[],MATCH(Table2[[#Headers],[Wall Angle]],Table2[#Headers],0),0)</f>
        <v xml:space="preserve"> 11 ft.- 8"</v>
      </c>
      <c r="M754" s="2" t="str">
        <f>VLOOKUP([jobnumber],OvalData[],MATCH(Table2[[#Headers],[Middle Angle]],Table2[#Headers],0),0)</f>
        <v xml:space="preserve"> 10 ft.- 4 1/ 2"</v>
      </c>
      <c r="N754" s="2" t="str">
        <f>VLOOKUP([jobnumber],OvalData[],MATCH(Table2[[#Headers],[Front Angle]],Table2[#Headers],0),0)</f>
        <v xml:space="preserve"> 10 ft.- 3"</v>
      </c>
      <c r="O754" s="2">
        <f>VLOOKUP([jobnumber],OvalData[],MATCH(Table2[[#Headers],[Pipe Center Line]],Table2[#Headers],0),0)</f>
        <v>131</v>
      </c>
      <c r="P754" s="2">
        <f>VLOOKUP([jobnumber],OvalData[],MATCH(Table2[[#Headers],[Heat Expansion Gap]],Table2[#Headers],0),0)</f>
        <v>0</v>
      </c>
      <c r="Q754" s="2">
        <f>VLOOKUP([jobnumber],OvalData[],MATCH(Table2[[#Headers],[Hanging Weight Closed]],Table2[#Headers],0),0)</f>
        <v>795</v>
      </c>
      <c r="R754" s="2">
        <f>VLOOKUP([jobnumber],OvalData[],MATCH(Table2[[#Headers],[Hanging Weight Open]],Table2[#Headers],0),0)</f>
        <v>140</v>
      </c>
      <c r="S754" s="2">
        <f>VLOOKUP([jobnumber],OvalData[],MATCH(Table2[[#Headers],[Initial Lever Arm]],Table2[#Headers],0),0)</f>
        <v>4.25</v>
      </c>
      <c r="T754" s="2">
        <f>VLOOKUP([jobnumber],OvalData[],MATCH(Table2[[#Headers],[Turns to Raise]],Table2[#Headers],0),0)</f>
        <v>3.5859999999999999</v>
      </c>
      <c r="U754" s="2">
        <f>VLOOKUP([jobnumber],OvalData[],MATCH(Table2[[#Headers],[Final Lever Arm]],Table2[#Headers],0),0)</f>
        <v>6.37</v>
      </c>
      <c r="V754" s="2">
        <f>VLOOKUP([jobnumber],OvalData[],MATCH(Table2[[#Headers],[Torque Required Closed]],Table2[#Headers],0),0)</f>
        <v>3377.9</v>
      </c>
      <c r="W754" s="2">
        <f>VLOOKUP([jobnumber],OvalData[],MATCH(Table2[[#Headers],[Torque Required Open]],Table2[#Headers],0),0)</f>
        <v>892</v>
      </c>
      <c r="X754" s="2">
        <f>VLOOKUP([jobnumber],OvalData[],MATCH(Table2[[#Headers],[Pre Turns]],Table2[#Headers],0),0)</f>
        <v>1.3332999999999999</v>
      </c>
      <c r="Y754" s="2">
        <f>VLOOKUP([jobnumber],OvalData[],MATCH(Table2[[#Headers],[Required Torque Per Turn]],Table2[#Headers],0),0)</f>
        <v>688</v>
      </c>
      <c r="Z754" s="2">
        <f>VLOOKUP([jobnumber],OvalData[],MATCH(Table2[[#Headers],[Total Turns]],Table2[#Headers],0),0)</f>
        <v>4.91</v>
      </c>
      <c r="AA754" s="2">
        <f>VLOOKUP([jobnumber],OvalData[],MATCH(Table2[[#Headers],[Grille Vision Section]],Table2[#Headers],0),0)</f>
        <v>0</v>
      </c>
      <c r="AB754" s="2">
        <f>VLOOKUP([jobnumber],OvalData[],MATCH(Table2[[#Headers],[Grille Amount]],Table2[#Headers],0),0)</f>
        <v>0</v>
      </c>
      <c r="AC754" s="2">
        <f>VLOOKUP([jobnumber],OvalData[],MATCH(Table2[[#Headers],[Grille Center]],Table2[#Headers],0),0)</f>
        <v>0</v>
      </c>
      <c r="AD754" s="2">
        <f>VLOOKUP([jobnumber],OvalData[],MATCH(Table2[[#Headers],[Grille Pattern]],Table2[#Headers],0),0)</f>
        <v>0</v>
      </c>
      <c r="AE754" s="2">
        <f>VLOOKUP([jobnumber],OvalData[],MATCH(Table2[[#Headers],[Grille First Tube]],Table2[#Headers],0),0)</f>
        <v>0</v>
      </c>
      <c r="AF754" s="2">
        <f>VLOOKUP([jobnumber],OvalData[],MATCH(Table2[[#Headers],[Grille Standard Tube]],Table2[#Headers],0),0)</f>
        <v>0</v>
      </c>
      <c r="AG754" s="2">
        <f>VLOOKUP([jobnumber],OvalData[],MATCH(Table2[[#Headers],[Grille Total Links]],Table2[#Headers],0),0)</f>
        <v>0</v>
      </c>
      <c r="AH754" s="2">
        <f>VLOOKUP([jobnumber],OvalData[],MATCH(Table2[[#Headers],[Grille Rods]],Table2[#Headers],0),0)</f>
        <v>0</v>
      </c>
      <c r="AI754" s="2">
        <f>VLOOKUP([jobnumber],OvalData[],MATCH(Table2[[#Headers],[Grille Rod Length]],Table2[#Headers],0),0)</f>
        <v>0</v>
      </c>
      <c r="AJ754" s="2">
        <f>VLOOKUP([jobnumber],OvalData[],MATCH(Table2[[#Headers],[slattype]],Table2[#Headers],0),0)</f>
        <v>2</v>
      </c>
      <c r="AK754" s="2">
        <f>VLOOKUP([jobnumber],OvalData[],MATCH(Table2[[#Headers],[slatgage]],Table2[#Headers],0),0)</f>
        <v>18</v>
      </c>
      <c r="AL754" s="2">
        <f>VLOOKUP([jobnumber],OvalData[],MATCH(Table2[[#Headers],[Numer of Top Slats]],Table2[#Headers],0),0)</f>
        <v>0</v>
      </c>
      <c r="AM754" s="2">
        <f>VLOOKUP([jobnumber],OvalData[],MATCH(Table2[[#Headers],[Number of Bottom Slats]],Table2[#Headers],0),0)</f>
        <v>0</v>
      </c>
      <c r="AN754" s="2">
        <f>VLOOKUP([jobnumber],OvalData[],MATCH(Table2[[#Headers],[Solid Bottom Height]],Table2[#Headers],0),0)</f>
        <v>0</v>
      </c>
      <c r="AO754" s="2" t="str">
        <f>VLOOKUP([jobnumber],OvalData[],MATCH(Table2[[#Headers],[slatlength]],Table2[#Headers],0),0)</f>
        <v xml:space="preserve"> 18 ft.- 5 7/ 8"</v>
      </c>
      <c r="AP754" s="2">
        <f>VLOOKUP([jobnumber],OvalData[],MATCH(Table2[[#Headers],[Bottom Slat Length]],Table2[#Headers],0),0)</f>
        <v>0</v>
      </c>
      <c r="AQ754" s="2">
        <f>VLOOKUP([jobnumber],OvalData[],MATCH(Table2[[#Headers],[Number of Perferated Slats]],Table2[#Headers],0),0)</f>
        <v>0</v>
      </c>
      <c r="AR754" s="2">
        <f>VLOOKUP([jobnumber],OvalData[],MATCH(Table2[[#Headers],[First Preferated Slat From End]],Table2[#Headers],0),0)</f>
        <v>0</v>
      </c>
      <c r="AS754" s="2">
        <f>VLOOKUP([jobnumber],OvalData[],MATCH(Table2[[#Headers],[First Preferated Slat From Bottom]],Table2[#Headers],0),0)</f>
        <v>0</v>
      </c>
      <c r="AT754" s="2">
        <f>VLOOKUP([jobnumber],OvalData[],MATCH(Table2[[#Headers],[Total Number of Slats]],Table2[#Headers],0),0)</f>
        <v>51</v>
      </c>
      <c r="AU754" s="2">
        <f>VLOOKUP([jobnumber],OvalData[],MATCH(Table2[[#Headers],[Bottom Bar Slope]],Table2[#Headers],0),0)</f>
        <v>0</v>
      </c>
      <c r="AV754" s="2">
        <f>VLOOKUP([jobnumber],OvalData[],MATCH(Table2[[#Headers],[Bottom Bar Weight]],Table2[#Headers],0),0)</f>
        <v>80.5</v>
      </c>
      <c r="AW754" s="2" t="str">
        <f>VLOOKUP([jobnumber],OvalData[],MATCH(Table2[[#Headers],[Outer Spring Gage]],Table2[#Headers],0),0)</f>
        <v>Null</v>
      </c>
      <c r="AX754" s="2" t="str">
        <f>VLOOKUP([jobnumber],OvalData[],MATCH(Table2[[#Headers],[Outer Spring OD]],Table2[#Headers],0),0)</f>
        <v>Null</v>
      </c>
      <c r="AY754" s="2" t="str">
        <f>VLOOKUP([jobnumber],OvalData[],MATCH(Table2[[#Headers],[Outer Spring Length]],Table2[#Headers],0),0)</f>
        <v>Null</v>
      </c>
      <c r="AZ754" s="2" t="str">
        <f>VLOOKUP([jobnumber],OvalData[],MATCH(Table2[[#Headers],[Outer Spring Stretch]],Table2[#Headers],0),0)</f>
        <v>Null</v>
      </c>
      <c r="BA754" s="2" t="str">
        <f>VLOOKUP([jobnumber],OvalData[],MATCH(Table2[[#Headers],[Outer Spring Torque]],Table2[#Headers],0),0)</f>
        <v>Null</v>
      </c>
      <c r="BB754" s="2" t="str">
        <f>VLOOKUP([jobnumber],OvalData[],MATCH(Table2[[#Headers],[Outer Spring Max Turns]],Table2[#Headers],0),0)</f>
        <v>Null</v>
      </c>
      <c r="BC754" s="2" t="str">
        <f>VLOOKUP([jobnumber],OvalData[],MATCH(Table2[[#Headers],[Outer Spring Weight]],Table2[#Headers],0),0)</f>
        <v>Null</v>
      </c>
      <c r="BD754" s="2" t="str">
        <f>VLOOKUP([jobnumber],OvalData[],MATCH(Table2[[#Headers],[Inner Spring Gage]],Table2[#Headers],0),0)</f>
        <v>Null</v>
      </c>
      <c r="BE754" s="2" t="str">
        <f>VLOOKUP([jobnumber],OvalData[],MATCH(Table2[[#Headers],[Inner Spring OD]],Table2[#Headers],0),0)</f>
        <v>Null</v>
      </c>
      <c r="BF754" s="2" t="str">
        <f>VLOOKUP([jobnumber],OvalData[],MATCH(Table2[[#Headers],[Inner Spring Length]],Table2[#Headers],0),0)</f>
        <v>Null</v>
      </c>
      <c r="BG754" s="2" t="str">
        <f>VLOOKUP([jobnumber],OvalData[],MATCH(Table2[[#Headers],[Inner Spring Stretch]],Table2[#Headers],0),0)</f>
        <v>Null</v>
      </c>
      <c r="BH754" s="2" t="str">
        <f>VLOOKUP([jobnumber],OvalData[],MATCH(Table2[[#Headers],[Inner Spring Torque]],Table2[#Headers],0),0)</f>
        <v>Null</v>
      </c>
      <c r="BI754" s="2" t="str">
        <f>VLOOKUP([jobnumber],OvalData[],MATCH(Table2[[#Headers],[Inner Spring Max Turns]],Table2[#Headers],0),0)</f>
        <v>Null</v>
      </c>
      <c r="BJ754" s="2" t="str">
        <f>VLOOKUP([jobnumber],OvalData[],MATCH(Table2[[#Headers],[Inner Spring Weight]],Table2[#Headers],0),0)</f>
        <v>Null</v>
      </c>
      <c r="BK754" s="2">
        <f>VLOOKUP([jobnumber],OvalData[],MATCH(Table2[[#Headers],[Cycles]],Table2[#Headers],0),0)</f>
        <v>0</v>
      </c>
      <c r="BL754" s="2">
        <f>VLOOKUP([jobnumber],OvalData[],MATCH(Table2[[#Headers],[Total Spring Torque]],Table2[#Headers],0),0)</f>
        <v>0</v>
      </c>
      <c r="BM754" s="2">
        <f>VLOOKUP([jobnumber],OvalData[],MATCH(Table2[[#Headers],[Total Spring Weight]],Table2[#Headers],0),0)</f>
        <v>0</v>
      </c>
      <c r="BN754" s="2">
        <f>VLOOKUP([jobnumber],OvalData[],MATCH(Table2[[#Headers],[Pipe Weight]],Table2[#Headers],0),0)</f>
        <v>688.24239999999998</v>
      </c>
      <c r="BO754" s="2">
        <f>VLOOKUP([jobnumber],OvalData[],MATCH(Table2[[#Headers],[Max Pipe Deflection]],Table2[#Headers],0),0)</f>
        <v>2309</v>
      </c>
      <c r="BP754" s="2">
        <f>VLOOKUP([jobnumber],OvalData[],MATCH(Table2[[#Headers],[Number Non-Insulated Wrap Slats]],Table2[#Headers],0),0)</f>
        <v>0</v>
      </c>
      <c r="BQ754" s="2">
        <f>VLOOKUP([jobnumber],OvalData[],MATCH(Table2[[#Headers],[Number of Insolated Top Slats]],Table2[#Headers],0),0)</f>
        <v>45</v>
      </c>
      <c r="BR754" s="2">
        <f>VLOOKUP([jobnumber],OvalData[],MATCH(Table2[[#Headers],[Insolated Total Slats]],Table2[#Headers],0),0)</f>
        <v>45</v>
      </c>
      <c r="BS754" s="2">
        <f>VLOOKUP([jobnumber],OvalData[],MATCH(Table2[[#Headers],[Number of Slats]],Table2[#Headers],0),0)</f>
        <v>44.69</v>
      </c>
      <c r="BT754" s="2">
        <f>VLOOKUP([jobnumber],OvalData[],MATCH(Table2[[#Headers],[Wrap]],Table2[#Headers],0),0)</f>
        <v>0</v>
      </c>
      <c r="BU754" s="2">
        <f>VLOOKUP([jobnumber],OvalData[],MATCH(Table2[[#Headers],[Wall Angle Thickness]],Table2[#Headers],0),0)</f>
        <v>0</v>
      </c>
      <c r="BV754" s="2">
        <f>VLOOKUP([jobnumber],OvalData[],MATCH(Table2[[#Headers],[windlocks]],Table2[#Headers],0),0)</f>
        <v>0</v>
      </c>
      <c r="BW754" s="2" t="str">
        <f>VLOOKUP([jobnumber],OvalData[],MATCH(Table2[[#Headers],[bottombartype]],Table2[#Headers],0),0)</f>
        <v>SPECIAL</v>
      </c>
      <c r="BX754" s="2">
        <f>VLOOKUP([jobnumber],OvalData[],MATCH(Table2[[#Headers],[endlockweight]],Table2[#Headers],0),0)</f>
        <v>0.17</v>
      </c>
      <c r="BY754" s="2">
        <f>VLOOKUP([jobnumber],OvalData[],MATCH(Table2[[#Headers],[Endlock Total Weight]],Table2[#Headers],0),0)</f>
        <v>7.5972999999999997</v>
      </c>
      <c r="BZ754" s="2">
        <f>VLOOKUP([jobnumber],OvalData[],MATCH(Table2[[#Headers],[Grille Weight]],Table2[#Headers],0),0)</f>
        <v>0</v>
      </c>
      <c r="CA754" s="2">
        <f>VLOOKUP([jobnumber],OvalData[],MATCH(Table2[[#Headers],[barrelrings]],Table2[#Headers],0),0)</f>
        <v>1</v>
      </c>
    </row>
    <row r="755" spans="2:79">
      <c r="B755" s="2" t="str">
        <f>VLOOKUP([jobnumber],OvalData[],MATCH(Table2[[#Headers],[Hand]],Table2[#Headers],0),0)</f>
        <v>RH</v>
      </c>
      <c r="C755" s="2" t="str">
        <f>VLOOKUP([jobnumber],OvalData[],MATCH(Table2[[#Headers],[Model]],Table2[#Headers],0),0)</f>
        <v>SFMPP</v>
      </c>
      <c r="D755" s="2" t="str">
        <f>VLOOKUP([jobnumber],OvalData[],MATCH(Table2[[#Headers],[width]],Table2[#Headers],0),0)</f>
        <v xml:space="preserve"> 18 ft.- 2"</v>
      </c>
      <c r="E755" s="2" t="str">
        <f>VLOOKUP([jobnumber],OvalData[],MATCH(Table2[[#Headers],[stopheight]],Table2[#Headers],0),0)</f>
        <v xml:space="preserve"> 10 ft.- 0"</v>
      </c>
      <c r="F755" s="2" t="str">
        <f>VLOOKUP([jobnumber],OvalData[],MATCH(Table2[[#Headers],[Between Brackets]],Table2[#Headers],0),0)</f>
        <v xml:space="preserve"> 18 ft.- 7 7/ 8"</v>
      </c>
      <c r="G755" s="2" t="str">
        <f>VLOOKUP([jobnumber],OvalData[],MATCH(Table2[[#Headers],[shell]],Table2[#Headers],0),0)</f>
        <v>6 INCH TUBE</v>
      </c>
      <c r="H755" s="2" t="str">
        <f>VLOOKUP([jobnumber],OvalData[],MATCH(Table2[[#Headers],[pipewidth]],Table2[#Headers],0),0)</f>
        <v xml:space="preserve"> 18 ft.- 1 3/ 8"</v>
      </c>
      <c r="I755" s="2">
        <f>VLOOKUP([jobnumber],OvalData[],MATCH(Table2[[#Headers],[Support Tubes]],Table2[#Headers],0),0)</f>
        <v>0</v>
      </c>
      <c r="J755" s="2">
        <f>VLOOKUP([jobnumber],OvalData[],MATCH(Table2[[#Headers],[Upset]],Table2[#Headers],0),0)</f>
        <v>2</v>
      </c>
      <c r="K755" s="2" t="str">
        <f>VLOOKUP([jobnumber],OvalData[],MATCH(Table2[[#Headers],[Guide Type]],Table2[#Headers],0),0)</f>
        <v>SN2-4 5/8-E</v>
      </c>
      <c r="L755" s="2" t="str">
        <f>VLOOKUP([jobnumber],OvalData[],MATCH(Table2[[#Headers],[Wall Angle]],Table2[#Headers],0),0)</f>
        <v xml:space="preserve"> 11 ft.- 8"</v>
      </c>
      <c r="M755" s="2" t="str">
        <f>VLOOKUP([jobnumber],OvalData[],MATCH(Table2[[#Headers],[Middle Angle]],Table2[#Headers],0),0)</f>
        <v xml:space="preserve"> 10 ft.- 4 1/ 2"</v>
      </c>
      <c r="N755" s="2" t="str">
        <f>VLOOKUP([jobnumber],OvalData[],MATCH(Table2[[#Headers],[Front Angle]],Table2[#Headers],0),0)</f>
        <v xml:space="preserve"> 10 ft.- 3"</v>
      </c>
      <c r="O755" s="2">
        <f>VLOOKUP([jobnumber],OvalData[],MATCH(Table2[[#Headers],[Pipe Center Line]],Table2[#Headers],0),0)</f>
        <v>131</v>
      </c>
      <c r="P755" s="2">
        <f>VLOOKUP([jobnumber],OvalData[],MATCH(Table2[[#Headers],[Heat Expansion Gap]],Table2[#Headers],0),0)</f>
        <v>0</v>
      </c>
      <c r="Q755" s="2">
        <f>VLOOKUP([jobnumber],OvalData[],MATCH(Table2[[#Headers],[Hanging Weight Closed]],Table2[#Headers],0),0)</f>
        <v>795</v>
      </c>
      <c r="R755" s="2">
        <f>VLOOKUP([jobnumber],OvalData[],MATCH(Table2[[#Headers],[Hanging Weight Open]],Table2[#Headers],0),0)</f>
        <v>140</v>
      </c>
      <c r="S755" s="2">
        <f>VLOOKUP([jobnumber],OvalData[],MATCH(Table2[[#Headers],[Initial Lever Arm]],Table2[#Headers],0),0)</f>
        <v>4.25</v>
      </c>
      <c r="T755" s="2">
        <f>VLOOKUP([jobnumber],OvalData[],MATCH(Table2[[#Headers],[Turns to Raise]],Table2[#Headers],0),0)</f>
        <v>3.5859999999999999</v>
      </c>
      <c r="U755" s="2">
        <f>VLOOKUP([jobnumber],OvalData[],MATCH(Table2[[#Headers],[Final Lever Arm]],Table2[#Headers],0),0)</f>
        <v>6.37</v>
      </c>
      <c r="V755" s="2">
        <f>VLOOKUP([jobnumber],OvalData[],MATCH(Table2[[#Headers],[Torque Required Closed]],Table2[#Headers],0),0)</f>
        <v>3377.9</v>
      </c>
      <c r="W755" s="2">
        <f>VLOOKUP([jobnumber],OvalData[],MATCH(Table2[[#Headers],[Torque Required Open]],Table2[#Headers],0),0)</f>
        <v>892</v>
      </c>
      <c r="X755" s="2">
        <f>VLOOKUP([jobnumber],OvalData[],MATCH(Table2[[#Headers],[Pre Turns]],Table2[#Headers],0),0)</f>
        <v>1.3332999999999999</v>
      </c>
      <c r="Y755" s="2">
        <f>VLOOKUP([jobnumber],OvalData[],MATCH(Table2[[#Headers],[Required Torque Per Turn]],Table2[#Headers],0),0)</f>
        <v>688</v>
      </c>
      <c r="Z755" s="2">
        <f>VLOOKUP([jobnumber],OvalData[],MATCH(Table2[[#Headers],[Total Turns]],Table2[#Headers],0),0)</f>
        <v>4.91</v>
      </c>
      <c r="AA755" s="2">
        <f>VLOOKUP([jobnumber],OvalData[],MATCH(Table2[[#Headers],[Grille Vision Section]],Table2[#Headers],0),0)</f>
        <v>0</v>
      </c>
      <c r="AB755" s="2">
        <f>VLOOKUP([jobnumber],OvalData[],MATCH(Table2[[#Headers],[Grille Amount]],Table2[#Headers],0),0)</f>
        <v>0</v>
      </c>
      <c r="AC755" s="2">
        <f>VLOOKUP([jobnumber],OvalData[],MATCH(Table2[[#Headers],[Grille Center]],Table2[#Headers],0),0)</f>
        <v>0</v>
      </c>
      <c r="AD755" s="2">
        <f>VLOOKUP([jobnumber],OvalData[],MATCH(Table2[[#Headers],[Grille Pattern]],Table2[#Headers],0),0)</f>
        <v>0</v>
      </c>
      <c r="AE755" s="2">
        <f>VLOOKUP([jobnumber],OvalData[],MATCH(Table2[[#Headers],[Grille First Tube]],Table2[#Headers],0),0)</f>
        <v>0</v>
      </c>
      <c r="AF755" s="2">
        <f>VLOOKUP([jobnumber],OvalData[],MATCH(Table2[[#Headers],[Grille Standard Tube]],Table2[#Headers],0),0)</f>
        <v>0</v>
      </c>
      <c r="AG755" s="2">
        <f>VLOOKUP([jobnumber],OvalData[],MATCH(Table2[[#Headers],[Grille Total Links]],Table2[#Headers],0),0)</f>
        <v>0</v>
      </c>
      <c r="AH755" s="2">
        <f>VLOOKUP([jobnumber],OvalData[],MATCH(Table2[[#Headers],[Grille Rods]],Table2[#Headers],0),0)</f>
        <v>0</v>
      </c>
      <c r="AI755" s="2">
        <f>VLOOKUP([jobnumber],OvalData[],MATCH(Table2[[#Headers],[Grille Rod Length]],Table2[#Headers],0),0)</f>
        <v>0</v>
      </c>
      <c r="AJ755" s="2">
        <f>VLOOKUP([jobnumber],OvalData[],MATCH(Table2[[#Headers],[slattype]],Table2[#Headers],0),0)</f>
        <v>2</v>
      </c>
      <c r="AK755" s="2">
        <f>VLOOKUP([jobnumber],OvalData[],MATCH(Table2[[#Headers],[slatgage]],Table2[#Headers],0),0)</f>
        <v>18</v>
      </c>
      <c r="AL755" s="2">
        <f>VLOOKUP([jobnumber],OvalData[],MATCH(Table2[[#Headers],[Numer of Top Slats]],Table2[#Headers],0),0)</f>
        <v>0</v>
      </c>
      <c r="AM755" s="2">
        <f>VLOOKUP([jobnumber],OvalData[],MATCH(Table2[[#Headers],[Number of Bottom Slats]],Table2[#Headers],0),0)</f>
        <v>0</v>
      </c>
      <c r="AN755" s="2">
        <f>VLOOKUP([jobnumber],OvalData[],MATCH(Table2[[#Headers],[Solid Bottom Height]],Table2[#Headers],0),0)</f>
        <v>0</v>
      </c>
      <c r="AO755" s="2" t="str">
        <f>VLOOKUP([jobnumber],OvalData[],MATCH(Table2[[#Headers],[slatlength]],Table2[#Headers],0),0)</f>
        <v xml:space="preserve"> 18 ft.- 5 7/ 8"</v>
      </c>
      <c r="AP755" s="2">
        <f>VLOOKUP([jobnumber],OvalData[],MATCH(Table2[[#Headers],[Bottom Slat Length]],Table2[#Headers],0),0)</f>
        <v>0</v>
      </c>
      <c r="AQ755" s="2">
        <f>VLOOKUP([jobnumber],OvalData[],MATCH(Table2[[#Headers],[Number of Perferated Slats]],Table2[#Headers],0),0)</f>
        <v>0</v>
      </c>
      <c r="AR755" s="2">
        <f>VLOOKUP([jobnumber],OvalData[],MATCH(Table2[[#Headers],[First Preferated Slat From End]],Table2[#Headers],0),0)</f>
        <v>0</v>
      </c>
      <c r="AS755" s="2">
        <f>VLOOKUP([jobnumber],OvalData[],MATCH(Table2[[#Headers],[First Preferated Slat From Bottom]],Table2[#Headers],0),0)</f>
        <v>0</v>
      </c>
      <c r="AT755" s="2">
        <f>VLOOKUP([jobnumber],OvalData[],MATCH(Table2[[#Headers],[Total Number of Slats]],Table2[#Headers],0),0)</f>
        <v>51</v>
      </c>
      <c r="AU755" s="2">
        <f>VLOOKUP([jobnumber],OvalData[],MATCH(Table2[[#Headers],[Bottom Bar Slope]],Table2[#Headers],0),0)</f>
        <v>0</v>
      </c>
      <c r="AV755" s="2">
        <f>VLOOKUP([jobnumber],OvalData[],MATCH(Table2[[#Headers],[Bottom Bar Weight]],Table2[#Headers],0),0)</f>
        <v>80.5</v>
      </c>
      <c r="AW755" s="2" t="str">
        <f>VLOOKUP([jobnumber],OvalData[],MATCH(Table2[[#Headers],[Outer Spring Gage]],Table2[#Headers],0),0)</f>
        <v>Null</v>
      </c>
      <c r="AX755" s="2" t="str">
        <f>VLOOKUP([jobnumber],OvalData[],MATCH(Table2[[#Headers],[Outer Spring OD]],Table2[#Headers],0),0)</f>
        <v>Null</v>
      </c>
      <c r="AY755" s="2" t="str">
        <f>VLOOKUP([jobnumber],OvalData[],MATCH(Table2[[#Headers],[Outer Spring Length]],Table2[#Headers],0),0)</f>
        <v>Null</v>
      </c>
      <c r="AZ755" s="2" t="str">
        <f>VLOOKUP([jobnumber],OvalData[],MATCH(Table2[[#Headers],[Outer Spring Stretch]],Table2[#Headers],0),0)</f>
        <v>Null</v>
      </c>
      <c r="BA755" s="2" t="str">
        <f>VLOOKUP([jobnumber],OvalData[],MATCH(Table2[[#Headers],[Outer Spring Torque]],Table2[#Headers],0),0)</f>
        <v>Null</v>
      </c>
      <c r="BB755" s="2" t="str">
        <f>VLOOKUP([jobnumber],OvalData[],MATCH(Table2[[#Headers],[Outer Spring Max Turns]],Table2[#Headers],0),0)</f>
        <v>Null</v>
      </c>
      <c r="BC755" s="2" t="str">
        <f>VLOOKUP([jobnumber],OvalData[],MATCH(Table2[[#Headers],[Outer Spring Weight]],Table2[#Headers],0),0)</f>
        <v>Null</v>
      </c>
      <c r="BD755" s="2" t="str">
        <f>VLOOKUP([jobnumber],OvalData[],MATCH(Table2[[#Headers],[Inner Spring Gage]],Table2[#Headers],0),0)</f>
        <v>Null</v>
      </c>
      <c r="BE755" s="2" t="str">
        <f>VLOOKUP([jobnumber],OvalData[],MATCH(Table2[[#Headers],[Inner Spring OD]],Table2[#Headers],0),0)</f>
        <v>Null</v>
      </c>
      <c r="BF755" s="2" t="str">
        <f>VLOOKUP([jobnumber],OvalData[],MATCH(Table2[[#Headers],[Inner Spring Length]],Table2[#Headers],0),0)</f>
        <v>Null</v>
      </c>
      <c r="BG755" s="2" t="str">
        <f>VLOOKUP([jobnumber],OvalData[],MATCH(Table2[[#Headers],[Inner Spring Stretch]],Table2[#Headers],0),0)</f>
        <v>Null</v>
      </c>
      <c r="BH755" s="2" t="str">
        <f>VLOOKUP([jobnumber],OvalData[],MATCH(Table2[[#Headers],[Inner Spring Torque]],Table2[#Headers],0),0)</f>
        <v>Null</v>
      </c>
      <c r="BI755" s="2" t="str">
        <f>VLOOKUP([jobnumber],OvalData[],MATCH(Table2[[#Headers],[Inner Spring Max Turns]],Table2[#Headers],0),0)</f>
        <v>Null</v>
      </c>
      <c r="BJ755" s="2" t="str">
        <f>VLOOKUP([jobnumber],OvalData[],MATCH(Table2[[#Headers],[Inner Spring Weight]],Table2[#Headers],0),0)</f>
        <v>Null</v>
      </c>
      <c r="BK755" s="2">
        <f>VLOOKUP([jobnumber],OvalData[],MATCH(Table2[[#Headers],[Cycles]],Table2[#Headers],0),0)</f>
        <v>0</v>
      </c>
      <c r="BL755" s="2">
        <f>VLOOKUP([jobnumber],OvalData[],MATCH(Table2[[#Headers],[Total Spring Torque]],Table2[#Headers],0),0)</f>
        <v>0</v>
      </c>
      <c r="BM755" s="2">
        <f>VLOOKUP([jobnumber],OvalData[],MATCH(Table2[[#Headers],[Total Spring Weight]],Table2[#Headers],0),0)</f>
        <v>0</v>
      </c>
      <c r="BN755" s="2">
        <f>VLOOKUP([jobnumber],OvalData[],MATCH(Table2[[#Headers],[Pipe Weight]],Table2[#Headers],0),0)</f>
        <v>688.24239999999998</v>
      </c>
      <c r="BO755" s="2">
        <f>VLOOKUP([jobnumber],OvalData[],MATCH(Table2[[#Headers],[Max Pipe Deflection]],Table2[#Headers],0),0)</f>
        <v>2309</v>
      </c>
      <c r="BP755" s="2">
        <f>VLOOKUP([jobnumber],OvalData[],MATCH(Table2[[#Headers],[Number Non-Insulated Wrap Slats]],Table2[#Headers],0),0)</f>
        <v>0</v>
      </c>
      <c r="BQ755" s="2">
        <f>VLOOKUP([jobnumber],OvalData[],MATCH(Table2[[#Headers],[Number of Insolated Top Slats]],Table2[#Headers],0),0)</f>
        <v>45</v>
      </c>
      <c r="BR755" s="2">
        <f>VLOOKUP([jobnumber],OvalData[],MATCH(Table2[[#Headers],[Insolated Total Slats]],Table2[#Headers],0),0)</f>
        <v>45</v>
      </c>
      <c r="BS755" s="2">
        <f>VLOOKUP([jobnumber],OvalData[],MATCH(Table2[[#Headers],[Number of Slats]],Table2[#Headers],0),0)</f>
        <v>44.69</v>
      </c>
      <c r="BT755" s="2">
        <f>VLOOKUP([jobnumber],OvalData[],MATCH(Table2[[#Headers],[Wrap]],Table2[#Headers],0),0)</f>
        <v>0</v>
      </c>
      <c r="BU755" s="2">
        <f>VLOOKUP([jobnumber],OvalData[],MATCH(Table2[[#Headers],[Wall Angle Thickness]],Table2[#Headers],0),0)</f>
        <v>0</v>
      </c>
      <c r="BV755" s="2">
        <f>VLOOKUP([jobnumber],OvalData[],MATCH(Table2[[#Headers],[windlocks]],Table2[#Headers],0),0)</f>
        <v>0</v>
      </c>
      <c r="BW755" s="2" t="str">
        <f>VLOOKUP([jobnumber],OvalData[],MATCH(Table2[[#Headers],[bottombartype]],Table2[#Headers],0),0)</f>
        <v>SPECIAL</v>
      </c>
      <c r="BX755" s="2">
        <f>VLOOKUP([jobnumber],OvalData[],MATCH(Table2[[#Headers],[endlockweight]],Table2[#Headers],0),0)</f>
        <v>0.17</v>
      </c>
      <c r="BY755" s="2">
        <f>VLOOKUP([jobnumber],OvalData[],MATCH(Table2[[#Headers],[Endlock Total Weight]],Table2[#Headers],0),0)</f>
        <v>7.5972999999999997</v>
      </c>
      <c r="BZ755" s="2">
        <f>VLOOKUP([jobnumber],OvalData[],MATCH(Table2[[#Headers],[Grille Weight]],Table2[#Headers],0),0)</f>
        <v>0</v>
      </c>
      <c r="CA755" s="2">
        <f>VLOOKUP([jobnumber],OvalData[],MATCH(Table2[[#Headers],[barrelrings]],Table2[#Headers],0),0)</f>
        <v>1</v>
      </c>
    </row>
    <row r="756" spans="2:79">
      <c r="B756" s="2" t="str">
        <f>VLOOKUP([jobnumber],OvalData[],MATCH(Table2[[#Headers],[Hand]],Table2[#Headers],0),0)</f>
        <v>RH</v>
      </c>
      <c r="C756" s="2" t="str">
        <f>VLOOKUP([jobnumber],OvalData[],MATCH(Table2[[#Headers],[Model]],Table2[#Headers],0),0)</f>
        <v>SFMPP</v>
      </c>
      <c r="D756" s="2" t="str">
        <f>VLOOKUP([jobnumber],OvalData[],MATCH(Table2[[#Headers],[width]],Table2[#Headers],0),0)</f>
        <v xml:space="preserve"> 18 ft.- 2"</v>
      </c>
      <c r="E756" s="2" t="str">
        <f>VLOOKUP([jobnumber],OvalData[],MATCH(Table2[[#Headers],[stopheight]],Table2[#Headers],0),0)</f>
        <v xml:space="preserve"> 10 ft.- 0"</v>
      </c>
      <c r="F756" s="2" t="str">
        <f>VLOOKUP([jobnumber],OvalData[],MATCH(Table2[[#Headers],[Between Brackets]],Table2[#Headers],0),0)</f>
        <v xml:space="preserve"> 18 ft.- 7 7/ 8"</v>
      </c>
      <c r="G756" s="2" t="str">
        <f>VLOOKUP([jobnumber],OvalData[],MATCH(Table2[[#Headers],[shell]],Table2[#Headers],0),0)</f>
        <v>6 INCH TUBE</v>
      </c>
      <c r="H756" s="2" t="str">
        <f>VLOOKUP([jobnumber],OvalData[],MATCH(Table2[[#Headers],[pipewidth]],Table2[#Headers],0),0)</f>
        <v xml:space="preserve"> 18 ft.- 1 3/ 8"</v>
      </c>
      <c r="I756" s="2">
        <f>VLOOKUP([jobnumber],OvalData[],MATCH(Table2[[#Headers],[Support Tubes]],Table2[#Headers],0),0)</f>
        <v>0</v>
      </c>
      <c r="J756" s="2">
        <f>VLOOKUP([jobnumber],OvalData[],MATCH(Table2[[#Headers],[Upset]],Table2[#Headers],0),0)</f>
        <v>2</v>
      </c>
      <c r="K756" s="2" t="str">
        <f>VLOOKUP([jobnumber],OvalData[],MATCH(Table2[[#Headers],[Guide Type]],Table2[#Headers],0),0)</f>
        <v>SN2-4 5/8-E</v>
      </c>
      <c r="L756" s="2" t="str">
        <f>VLOOKUP([jobnumber],OvalData[],MATCH(Table2[[#Headers],[Wall Angle]],Table2[#Headers],0),0)</f>
        <v xml:space="preserve"> 11 ft.- 8"</v>
      </c>
      <c r="M756" s="2" t="str">
        <f>VLOOKUP([jobnumber],OvalData[],MATCH(Table2[[#Headers],[Middle Angle]],Table2[#Headers],0),0)</f>
        <v xml:space="preserve"> 10 ft.- 4 1/ 2"</v>
      </c>
      <c r="N756" s="2" t="str">
        <f>VLOOKUP([jobnumber],OvalData[],MATCH(Table2[[#Headers],[Front Angle]],Table2[#Headers],0),0)</f>
        <v xml:space="preserve"> 10 ft.- 3"</v>
      </c>
      <c r="O756" s="2">
        <f>VLOOKUP([jobnumber],OvalData[],MATCH(Table2[[#Headers],[Pipe Center Line]],Table2[#Headers],0),0)</f>
        <v>131</v>
      </c>
      <c r="P756" s="2">
        <f>VLOOKUP([jobnumber],OvalData[],MATCH(Table2[[#Headers],[Heat Expansion Gap]],Table2[#Headers],0),0)</f>
        <v>0</v>
      </c>
      <c r="Q756" s="2">
        <f>VLOOKUP([jobnumber],OvalData[],MATCH(Table2[[#Headers],[Hanging Weight Closed]],Table2[#Headers],0),0)</f>
        <v>795</v>
      </c>
      <c r="R756" s="2">
        <f>VLOOKUP([jobnumber],OvalData[],MATCH(Table2[[#Headers],[Hanging Weight Open]],Table2[#Headers],0),0)</f>
        <v>140</v>
      </c>
      <c r="S756" s="2">
        <f>VLOOKUP([jobnumber],OvalData[],MATCH(Table2[[#Headers],[Initial Lever Arm]],Table2[#Headers],0),0)</f>
        <v>4.25</v>
      </c>
      <c r="T756" s="2">
        <f>VLOOKUP([jobnumber],OvalData[],MATCH(Table2[[#Headers],[Turns to Raise]],Table2[#Headers],0),0)</f>
        <v>3.5859999999999999</v>
      </c>
      <c r="U756" s="2">
        <f>VLOOKUP([jobnumber],OvalData[],MATCH(Table2[[#Headers],[Final Lever Arm]],Table2[#Headers],0),0)</f>
        <v>6.37</v>
      </c>
      <c r="V756" s="2">
        <f>VLOOKUP([jobnumber],OvalData[],MATCH(Table2[[#Headers],[Torque Required Closed]],Table2[#Headers],0),0)</f>
        <v>3377.9</v>
      </c>
      <c r="W756" s="2">
        <f>VLOOKUP([jobnumber],OvalData[],MATCH(Table2[[#Headers],[Torque Required Open]],Table2[#Headers],0),0)</f>
        <v>892</v>
      </c>
      <c r="X756" s="2">
        <f>VLOOKUP([jobnumber],OvalData[],MATCH(Table2[[#Headers],[Pre Turns]],Table2[#Headers],0),0)</f>
        <v>1.3332999999999999</v>
      </c>
      <c r="Y756" s="2">
        <f>VLOOKUP([jobnumber],OvalData[],MATCH(Table2[[#Headers],[Required Torque Per Turn]],Table2[#Headers],0),0)</f>
        <v>688</v>
      </c>
      <c r="Z756" s="2">
        <f>VLOOKUP([jobnumber],OvalData[],MATCH(Table2[[#Headers],[Total Turns]],Table2[#Headers],0),0)</f>
        <v>4.91</v>
      </c>
      <c r="AA756" s="2">
        <f>VLOOKUP([jobnumber],OvalData[],MATCH(Table2[[#Headers],[Grille Vision Section]],Table2[#Headers],0),0)</f>
        <v>0</v>
      </c>
      <c r="AB756" s="2">
        <f>VLOOKUP([jobnumber],OvalData[],MATCH(Table2[[#Headers],[Grille Amount]],Table2[#Headers],0),0)</f>
        <v>0</v>
      </c>
      <c r="AC756" s="2">
        <f>VLOOKUP([jobnumber],OvalData[],MATCH(Table2[[#Headers],[Grille Center]],Table2[#Headers],0),0)</f>
        <v>0</v>
      </c>
      <c r="AD756" s="2">
        <f>VLOOKUP([jobnumber],OvalData[],MATCH(Table2[[#Headers],[Grille Pattern]],Table2[#Headers],0),0)</f>
        <v>0</v>
      </c>
      <c r="AE756" s="2">
        <f>VLOOKUP([jobnumber],OvalData[],MATCH(Table2[[#Headers],[Grille First Tube]],Table2[#Headers],0),0)</f>
        <v>0</v>
      </c>
      <c r="AF756" s="2">
        <f>VLOOKUP([jobnumber],OvalData[],MATCH(Table2[[#Headers],[Grille Standard Tube]],Table2[#Headers],0),0)</f>
        <v>0</v>
      </c>
      <c r="AG756" s="2">
        <f>VLOOKUP([jobnumber],OvalData[],MATCH(Table2[[#Headers],[Grille Total Links]],Table2[#Headers],0),0)</f>
        <v>0</v>
      </c>
      <c r="AH756" s="2">
        <f>VLOOKUP([jobnumber],OvalData[],MATCH(Table2[[#Headers],[Grille Rods]],Table2[#Headers],0),0)</f>
        <v>0</v>
      </c>
      <c r="AI756" s="2">
        <f>VLOOKUP([jobnumber],OvalData[],MATCH(Table2[[#Headers],[Grille Rod Length]],Table2[#Headers],0),0)</f>
        <v>0</v>
      </c>
      <c r="AJ756" s="2">
        <f>VLOOKUP([jobnumber],OvalData[],MATCH(Table2[[#Headers],[slattype]],Table2[#Headers],0),0)</f>
        <v>2</v>
      </c>
      <c r="AK756" s="2">
        <f>VLOOKUP([jobnumber],OvalData[],MATCH(Table2[[#Headers],[slatgage]],Table2[#Headers],0),0)</f>
        <v>18</v>
      </c>
      <c r="AL756" s="2">
        <f>VLOOKUP([jobnumber],OvalData[],MATCH(Table2[[#Headers],[Numer of Top Slats]],Table2[#Headers],0),0)</f>
        <v>0</v>
      </c>
      <c r="AM756" s="2">
        <f>VLOOKUP([jobnumber],OvalData[],MATCH(Table2[[#Headers],[Number of Bottom Slats]],Table2[#Headers],0),0)</f>
        <v>0</v>
      </c>
      <c r="AN756" s="2">
        <f>VLOOKUP([jobnumber],OvalData[],MATCH(Table2[[#Headers],[Solid Bottom Height]],Table2[#Headers],0),0)</f>
        <v>0</v>
      </c>
      <c r="AO756" s="2" t="str">
        <f>VLOOKUP([jobnumber],OvalData[],MATCH(Table2[[#Headers],[slatlength]],Table2[#Headers],0),0)</f>
        <v xml:space="preserve"> 18 ft.- 5 7/ 8"</v>
      </c>
      <c r="AP756" s="2">
        <f>VLOOKUP([jobnumber],OvalData[],MATCH(Table2[[#Headers],[Bottom Slat Length]],Table2[#Headers],0),0)</f>
        <v>0</v>
      </c>
      <c r="AQ756" s="2">
        <f>VLOOKUP([jobnumber],OvalData[],MATCH(Table2[[#Headers],[Number of Perferated Slats]],Table2[#Headers],0),0)</f>
        <v>0</v>
      </c>
      <c r="AR756" s="2">
        <f>VLOOKUP([jobnumber],OvalData[],MATCH(Table2[[#Headers],[First Preferated Slat From End]],Table2[#Headers],0),0)</f>
        <v>0</v>
      </c>
      <c r="AS756" s="2">
        <f>VLOOKUP([jobnumber],OvalData[],MATCH(Table2[[#Headers],[First Preferated Slat From Bottom]],Table2[#Headers],0),0)</f>
        <v>0</v>
      </c>
      <c r="AT756" s="2">
        <f>VLOOKUP([jobnumber],OvalData[],MATCH(Table2[[#Headers],[Total Number of Slats]],Table2[#Headers],0),0)</f>
        <v>51</v>
      </c>
      <c r="AU756" s="2">
        <f>VLOOKUP([jobnumber],OvalData[],MATCH(Table2[[#Headers],[Bottom Bar Slope]],Table2[#Headers],0),0)</f>
        <v>0</v>
      </c>
      <c r="AV756" s="2">
        <f>VLOOKUP([jobnumber],OvalData[],MATCH(Table2[[#Headers],[Bottom Bar Weight]],Table2[#Headers],0),0)</f>
        <v>80.5</v>
      </c>
      <c r="AW756" s="2" t="str">
        <f>VLOOKUP([jobnumber],OvalData[],MATCH(Table2[[#Headers],[Outer Spring Gage]],Table2[#Headers],0),0)</f>
        <v>Null</v>
      </c>
      <c r="AX756" s="2" t="str">
        <f>VLOOKUP([jobnumber],OvalData[],MATCH(Table2[[#Headers],[Outer Spring OD]],Table2[#Headers],0),0)</f>
        <v>Null</v>
      </c>
      <c r="AY756" s="2" t="str">
        <f>VLOOKUP([jobnumber],OvalData[],MATCH(Table2[[#Headers],[Outer Spring Length]],Table2[#Headers],0),0)</f>
        <v>Null</v>
      </c>
      <c r="AZ756" s="2" t="str">
        <f>VLOOKUP([jobnumber],OvalData[],MATCH(Table2[[#Headers],[Outer Spring Stretch]],Table2[#Headers],0),0)</f>
        <v>Null</v>
      </c>
      <c r="BA756" s="2" t="str">
        <f>VLOOKUP([jobnumber],OvalData[],MATCH(Table2[[#Headers],[Outer Spring Torque]],Table2[#Headers],0),0)</f>
        <v>Null</v>
      </c>
      <c r="BB756" s="2" t="str">
        <f>VLOOKUP([jobnumber],OvalData[],MATCH(Table2[[#Headers],[Outer Spring Max Turns]],Table2[#Headers],0),0)</f>
        <v>Null</v>
      </c>
      <c r="BC756" s="2" t="str">
        <f>VLOOKUP([jobnumber],OvalData[],MATCH(Table2[[#Headers],[Outer Spring Weight]],Table2[#Headers],0),0)</f>
        <v>Null</v>
      </c>
      <c r="BD756" s="2" t="str">
        <f>VLOOKUP([jobnumber],OvalData[],MATCH(Table2[[#Headers],[Inner Spring Gage]],Table2[#Headers],0),0)</f>
        <v>Null</v>
      </c>
      <c r="BE756" s="2" t="str">
        <f>VLOOKUP([jobnumber],OvalData[],MATCH(Table2[[#Headers],[Inner Spring OD]],Table2[#Headers],0),0)</f>
        <v>Null</v>
      </c>
      <c r="BF756" s="2" t="str">
        <f>VLOOKUP([jobnumber],OvalData[],MATCH(Table2[[#Headers],[Inner Spring Length]],Table2[#Headers],0),0)</f>
        <v>Null</v>
      </c>
      <c r="BG756" s="2" t="str">
        <f>VLOOKUP([jobnumber],OvalData[],MATCH(Table2[[#Headers],[Inner Spring Stretch]],Table2[#Headers],0),0)</f>
        <v>Null</v>
      </c>
      <c r="BH756" s="2" t="str">
        <f>VLOOKUP([jobnumber],OvalData[],MATCH(Table2[[#Headers],[Inner Spring Torque]],Table2[#Headers],0),0)</f>
        <v>Null</v>
      </c>
      <c r="BI756" s="2" t="str">
        <f>VLOOKUP([jobnumber],OvalData[],MATCH(Table2[[#Headers],[Inner Spring Max Turns]],Table2[#Headers],0),0)</f>
        <v>Null</v>
      </c>
      <c r="BJ756" s="2" t="str">
        <f>VLOOKUP([jobnumber],OvalData[],MATCH(Table2[[#Headers],[Inner Spring Weight]],Table2[#Headers],0),0)</f>
        <v>Null</v>
      </c>
      <c r="BK756" s="2">
        <f>VLOOKUP([jobnumber],OvalData[],MATCH(Table2[[#Headers],[Cycles]],Table2[#Headers],0),0)</f>
        <v>0</v>
      </c>
      <c r="BL756" s="2">
        <f>VLOOKUP([jobnumber],OvalData[],MATCH(Table2[[#Headers],[Total Spring Torque]],Table2[#Headers],0),0)</f>
        <v>0</v>
      </c>
      <c r="BM756" s="2">
        <f>VLOOKUP([jobnumber],OvalData[],MATCH(Table2[[#Headers],[Total Spring Weight]],Table2[#Headers],0),0)</f>
        <v>0</v>
      </c>
      <c r="BN756" s="2">
        <f>VLOOKUP([jobnumber],OvalData[],MATCH(Table2[[#Headers],[Pipe Weight]],Table2[#Headers],0),0)</f>
        <v>688.24239999999998</v>
      </c>
      <c r="BO756" s="2">
        <f>VLOOKUP([jobnumber],OvalData[],MATCH(Table2[[#Headers],[Max Pipe Deflection]],Table2[#Headers],0),0)</f>
        <v>2309</v>
      </c>
      <c r="BP756" s="2">
        <f>VLOOKUP([jobnumber],OvalData[],MATCH(Table2[[#Headers],[Number Non-Insulated Wrap Slats]],Table2[#Headers],0),0)</f>
        <v>0</v>
      </c>
      <c r="BQ756" s="2">
        <f>VLOOKUP([jobnumber],OvalData[],MATCH(Table2[[#Headers],[Number of Insolated Top Slats]],Table2[#Headers],0),0)</f>
        <v>45</v>
      </c>
      <c r="BR756" s="2">
        <f>VLOOKUP([jobnumber],OvalData[],MATCH(Table2[[#Headers],[Insolated Total Slats]],Table2[#Headers],0),0)</f>
        <v>45</v>
      </c>
      <c r="BS756" s="2">
        <f>VLOOKUP([jobnumber],OvalData[],MATCH(Table2[[#Headers],[Number of Slats]],Table2[#Headers],0),0)</f>
        <v>44.69</v>
      </c>
      <c r="BT756" s="2">
        <f>VLOOKUP([jobnumber],OvalData[],MATCH(Table2[[#Headers],[Wrap]],Table2[#Headers],0),0)</f>
        <v>0</v>
      </c>
      <c r="BU756" s="2">
        <f>VLOOKUP([jobnumber],OvalData[],MATCH(Table2[[#Headers],[Wall Angle Thickness]],Table2[#Headers],0),0)</f>
        <v>0</v>
      </c>
      <c r="BV756" s="2">
        <f>VLOOKUP([jobnumber],OvalData[],MATCH(Table2[[#Headers],[windlocks]],Table2[#Headers],0),0)</f>
        <v>0</v>
      </c>
      <c r="BW756" s="2" t="str">
        <f>VLOOKUP([jobnumber],OvalData[],MATCH(Table2[[#Headers],[bottombartype]],Table2[#Headers],0),0)</f>
        <v>SPECIAL</v>
      </c>
      <c r="BX756" s="2">
        <f>VLOOKUP([jobnumber],OvalData[],MATCH(Table2[[#Headers],[endlockweight]],Table2[#Headers],0),0)</f>
        <v>0.17</v>
      </c>
      <c r="BY756" s="2">
        <f>VLOOKUP([jobnumber],OvalData[],MATCH(Table2[[#Headers],[Endlock Total Weight]],Table2[#Headers],0),0)</f>
        <v>7.5972999999999997</v>
      </c>
      <c r="BZ756" s="2">
        <f>VLOOKUP([jobnumber],OvalData[],MATCH(Table2[[#Headers],[Grille Weight]],Table2[#Headers],0),0)</f>
        <v>0</v>
      </c>
      <c r="CA756" s="2">
        <f>VLOOKUP([jobnumber],OvalData[],MATCH(Table2[[#Headers],[barrelrings]],Table2[#Headers],0),0)</f>
        <v>1</v>
      </c>
    </row>
    <row r="757" spans="2:79">
      <c r="B757" s="2" t="str">
        <f>VLOOKUP([jobnumber],OvalData[],MATCH(Table2[[#Headers],[Hand]],Table2[#Headers],0),0)</f>
        <v>RH</v>
      </c>
      <c r="C757" s="2" t="str">
        <f>VLOOKUP([jobnumber],OvalData[],MATCH(Table2[[#Headers],[Model]],Table2[#Headers],0),0)</f>
        <v>SFMPP</v>
      </c>
      <c r="D757" s="2" t="str">
        <f>VLOOKUP([jobnumber],OvalData[],MATCH(Table2[[#Headers],[width]],Table2[#Headers],0),0)</f>
        <v xml:space="preserve"> 18 ft.- 2"</v>
      </c>
      <c r="E757" s="2" t="str">
        <f>VLOOKUP([jobnumber],OvalData[],MATCH(Table2[[#Headers],[stopheight]],Table2[#Headers],0),0)</f>
        <v xml:space="preserve"> 10 ft.- 0"</v>
      </c>
      <c r="F757" s="2" t="str">
        <f>VLOOKUP([jobnumber],OvalData[],MATCH(Table2[[#Headers],[Between Brackets]],Table2[#Headers],0),0)</f>
        <v xml:space="preserve"> 18 ft.- 7 7/ 8"</v>
      </c>
      <c r="G757" s="2" t="str">
        <f>VLOOKUP([jobnumber],OvalData[],MATCH(Table2[[#Headers],[shell]],Table2[#Headers],0),0)</f>
        <v>6 INCH TUBE</v>
      </c>
      <c r="H757" s="2" t="str">
        <f>VLOOKUP([jobnumber],OvalData[],MATCH(Table2[[#Headers],[pipewidth]],Table2[#Headers],0),0)</f>
        <v xml:space="preserve"> 18 ft.- 1 3/ 8"</v>
      </c>
      <c r="I757" s="2">
        <f>VLOOKUP([jobnumber],OvalData[],MATCH(Table2[[#Headers],[Support Tubes]],Table2[#Headers],0),0)</f>
        <v>0</v>
      </c>
      <c r="J757" s="2">
        <f>VLOOKUP([jobnumber],OvalData[],MATCH(Table2[[#Headers],[Upset]],Table2[#Headers],0),0)</f>
        <v>2</v>
      </c>
      <c r="K757" s="2" t="str">
        <f>VLOOKUP([jobnumber],OvalData[],MATCH(Table2[[#Headers],[Guide Type]],Table2[#Headers],0),0)</f>
        <v>SN2-4 5/8-E</v>
      </c>
      <c r="L757" s="2" t="str">
        <f>VLOOKUP([jobnumber],OvalData[],MATCH(Table2[[#Headers],[Wall Angle]],Table2[#Headers],0),0)</f>
        <v xml:space="preserve"> 11 ft.- 8"</v>
      </c>
      <c r="M757" s="2" t="str">
        <f>VLOOKUP([jobnumber],OvalData[],MATCH(Table2[[#Headers],[Middle Angle]],Table2[#Headers],0),0)</f>
        <v xml:space="preserve"> 10 ft.- 4 1/ 2"</v>
      </c>
      <c r="N757" s="2" t="str">
        <f>VLOOKUP([jobnumber],OvalData[],MATCH(Table2[[#Headers],[Front Angle]],Table2[#Headers],0),0)</f>
        <v xml:space="preserve"> 10 ft.- 3"</v>
      </c>
      <c r="O757" s="2">
        <f>VLOOKUP([jobnumber],OvalData[],MATCH(Table2[[#Headers],[Pipe Center Line]],Table2[#Headers],0),0)</f>
        <v>131</v>
      </c>
      <c r="P757" s="2">
        <f>VLOOKUP([jobnumber],OvalData[],MATCH(Table2[[#Headers],[Heat Expansion Gap]],Table2[#Headers],0),0)</f>
        <v>0</v>
      </c>
      <c r="Q757" s="2">
        <f>VLOOKUP([jobnumber],OvalData[],MATCH(Table2[[#Headers],[Hanging Weight Closed]],Table2[#Headers],0),0)</f>
        <v>795</v>
      </c>
      <c r="R757" s="2">
        <f>VLOOKUP([jobnumber],OvalData[],MATCH(Table2[[#Headers],[Hanging Weight Open]],Table2[#Headers],0),0)</f>
        <v>140</v>
      </c>
      <c r="S757" s="2">
        <f>VLOOKUP([jobnumber],OvalData[],MATCH(Table2[[#Headers],[Initial Lever Arm]],Table2[#Headers],0),0)</f>
        <v>4.25</v>
      </c>
      <c r="T757" s="2">
        <f>VLOOKUP([jobnumber],OvalData[],MATCH(Table2[[#Headers],[Turns to Raise]],Table2[#Headers],0),0)</f>
        <v>3.5859999999999999</v>
      </c>
      <c r="U757" s="2">
        <f>VLOOKUP([jobnumber],OvalData[],MATCH(Table2[[#Headers],[Final Lever Arm]],Table2[#Headers],0),0)</f>
        <v>6.37</v>
      </c>
      <c r="V757" s="2">
        <f>VLOOKUP([jobnumber],OvalData[],MATCH(Table2[[#Headers],[Torque Required Closed]],Table2[#Headers],0),0)</f>
        <v>3377.9</v>
      </c>
      <c r="W757" s="2">
        <f>VLOOKUP([jobnumber],OvalData[],MATCH(Table2[[#Headers],[Torque Required Open]],Table2[#Headers],0),0)</f>
        <v>892</v>
      </c>
      <c r="X757" s="2">
        <f>VLOOKUP([jobnumber],OvalData[],MATCH(Table2[[#Headers],[Pre Turns]],Table2[#Headers],0),0)</f>
        <v>1.3332999999999999</v>
      </c>
      <c r="Y757" s="2">
        <f>VLOOKUP([jobnumber],OvalData[],MATCH(Table2[[#Headers],[Required Torque Per Turn]],Table2[#Headers],0),0)</f>
        <v>688</v>
      </c>
      <c r="Z757" s="2">
        <f>VLOOKUP([jobnumber],OvalData[],MATCH(Table2[[#Headers],[Total Turns]],Table2[#Headers],0),0)</f>
        <v>4.91</v>
      </c>
      <c r="AA757" s="2">
        <f>VLOOKUP([jobnumber],OvalData[],MATCH(Table2[[#Headers],[Grille Vision Section]],Table2[#Headers],0),0)</f>
        <v>0</v>
      </c>
      <c r="AB757" s="2">
        <f>VLOOKUP([jobnumber],OvalData[],MATCH(Table2[[#Headers],[Grille Amount]],Table2[#Headers],0),0)</f>
        <v>0</v>
      </c>
      <c r="AC757" s="2">
        <f>VLOOKUP([jobnumber],OvalData[],MATCH(Table2[[#Headers],[Grille Center]],Table2[#Headers],0),0)</f>
        <v>0</v>
      </c>
      <c r="AD757" s="2">
        <f>VLOOKUP([jobnumber],OvalData[],MATCH(Table2[[#Headers],[Grille Pattern]],Table2[#Headers],0),0)</f>
        <v>0</v>
      </c>
      <c r="AE757" s="2">
        <f>VLOOKUP([jobnumber],OvalData[],MATCH(Table2[[#Headers],[Grille First Tube]],Table2[#Headers],0),0)</f>
        <v>0</v>
      </c>
      <c r="AF757" s="2">
        <f>VLOOKUP([jobnumber],OvalData[],MATCH(Table2[[#Headers],[Grille Standard Tube]],Table2[#Headers],0),0)</f>
        <v>0</v>
      </c>
      <c r="AG757" s="2">
        <f>VLOOKUP([jobnumber],OvalData[],MATCH(Table2[[#Headers],[Grille Total Links]],Table2[#Headers],0),0)</f>
        <v>0</v>
      </c>
      <c r="AH757" s="2">
        <f>VLOOKUP([jobnumber],OvalData[],MATCH(Table2[[#Headers],[Grille Rods]],Table2[#Headers],0),0)</f>
        <v>0</v>
      </c>
      <c r="AI757" s="2">
        <f>VLOOKUP([jobnumber],OvalData[],MATCH(Table2[[#Headers],[Grille Rod Length]],Table2[#Headers],0),0)</f>
        <v>0</v>
      </c>
      <c r="AJ757" s="2">
        <f>VLOOKUP([jobnumber],OvalData[],MATCH(Table2[[#Headers],[slattype]],Table2[#Headers],0),0)</f>
        <v>2</v>
      </c>
      <c r="AK757" s="2">
        <f>VLOOKUP([jobnumber],OvalData[],MATCH(Table2[[#Headers],[slatgage]],Table2[#Headers],0),0)</f>
        <v>18</v>
      </c>
      <c r="AL757" s="2">
        <f>VLOOKUP([jobnumber],OvalData[],MATCH(Table2[[#Headers],[Numer of Top Slats]],Table2[#Headers],0),0)</f>
        <v>0</v>
      </c>
      <c r="AM757" s="2">
        <f>VLOOKUP([jobnumber],OvalData[],MATCH(Table2[[#Headers],[Number of Bottom Slats]],Table2[#Headers],0),0)</f>
        <v>0</v>
      </c>
      <c r="AN757" s="2">
        <f>VLOOKUP([jobnumber],OvalData[],MATCH(Table2[[#Headers],[Solid Bottom Height]],Table2[#Headers],0),0)</f>
        <v>0</v>
      </c>
      <c r="AO757" s="2" t="str">
        <f>VLOOKUP([jobnumber],OvalData[],MATCH(Table2[[#Headers],[slatlength]],Table2[#Headers],0),0)</f>
        <v xml:space="preserve"> 18 ft.- 5 7/ 8"</v>
      </c>
      <c r="AP757" s="2">
        <f>VLOOKUP([jobnumber],OvalData[],MATCH(Table2[[#Headers],[Bottom Slat Length]],Table2[#Headers],0),0)</f>
        <v>0</v>
      </c>
      <c r="AQ757" s="2">
        <f>VLOOKUP([jobnumber],OvalData[],MATCH(Table2[[#Headers],[Number of Perferated Slats]],Table2[#Headers],0),0)</f>
        <v>0</v>
      </c>
      <c r="AR757" s="2">
        <f>VLOOKUP([jobnumber],OvalData[],MATCH(Table2[[#Headers],[First Preferated Slat From End]],Table2[#Headers],0),0)</f>
        <v>0</v>
      </c>
      <c r="AS757" s="2">
        <f>VLOOKUP([jobnumber],OvalData[],MATCH(Table2[[#Headers],[First Preferated Slat From Bottom]],Table2[#Headers],0),0)</f>
        <v>0</v>
      </c>
      <c r="AT757" s="2">
        <f>VLOOKUP([jobnumber],OvalData[],MATCH(Table2[[#Headers],[Total Number of Slats]],Table2[#Headers],0),0)</f>
        <v>51</v>
      </c>
      <c r="AU757" s="2">
        <f>VLOOKUP([jobnumber],OvalData[],MATCH(Table2[[#Headers],[Bottom Bar Slope]],Table2[#Headers],0),0)</f>
        <v>0</v>
      </c>
      <c r="AV757" s="2">
        <f>VLOOKUP([jobnumber],OvalData[],MATCH(Table2[[#Headers],[Bottom Bar Weight]],Table2[#Headers],0),0)</f>
        <v>80.5</v>
      </c>
      <c r="AW757" s="2" t="str">
        <f>VLOOKUP([jobnumber],OvalData[],MATCH(Table2[[#Headers],[Outer Spring Gage]],Table2[#Headers],0),0)</f>
        <v>Null</v>
      </c>
      <c r="AX757" s="2" t="str">
        <f>VLOOKUP([jobnumber],OvalData[],MATCH(Table2[[#Headers],[Outer Spring OD]],Table2[#Headers],0),0)</f>
        <v>Null</v>
      </c>
      <c r="AY757" s="2" t="str">
        <f>VLOOKUP([jobnumber],OvalData[],MATCH(Table2[[#Headers],[Outer Spring Length]],Table2[#Headers],0),0)</f>
        <v>Null</v>
      </c>
      <c r="AZ757" s="2" t="str">
        <f>VLOOKUP([jobnumber],OvalData[],MATCH(Table2[[#Headers],[Outer Spring Stretch]],Table2[#Headers],0),0)</f>
        <v>Null</v>
      </c>
      <c r="BA757" s="2" t="str">
        <f>VLOOKUP([jobnumber],OvalData[],MATCH(Table2[[#Headers],[Outer Spring Torque]],Table2[#Headers],0),0)</f>
        <v>Null</v>
      </c>
      <c r="BB757" s="2" t="str">
        <f>VLOOKUP([jobnumber],OvalData[],MATCH(Table2[[#Headers],[Outer Spring Max Turns]],Table2[#Headers],0),0)</f>
        <v>Null</v>
      </c>
      <c r="BC757" s="2" t="str">
        <f>VLOOKUP([jobnumber],OvalData[],MATCH(Table2[[#Headers],[Outer Spring Weight]],Table2[#Headers],0),0)</f>
        <v>Null</v>
      </c>
      <c r="BD757" s="2" t="str">
        <f>VLOOKUP([jobnumber],OvalData[],MATCH(Table2[[#Headers],[Inner Spring Gage]],Table2[#Headers],0),0)</f>
        <v>Null</v>
      </c>
      <c r="BE757" s="2" t="str">
        <f>VLOOKUP([jobnumber],OvalData[],MATCH(Table2[[#Headers],[Inner Spring OD]],Table2[#Headers],0),0)</f>
        <v>Null</v>
      </c>
      <c r="BF757" s="2" t="str">
        <f>VLOOKUP([jobnumber],OvalData[],MATCH(Table2[[#Headers],[Inner Spring Length]],Table2[#Headers],0),0)</f>
        <v>Null</v>
      </c>
      <c r="BG757" s="2" t="str">
        <f>VLOOKUP([jobnumber],OvalData[],MATCH(Table2[[#Headers],[Inner Spring Stretch]],Table2[#Headers],0),0)</f>
        <v>Null</v>
      </c>
      <c r="BH757" s="2" t="str">
        <f>VLOOKUP([jobnumber],OvalData[],MATCH(Table2[[#Headers],[Inner Spring Torque]],Table2[#Headers],0),0)</f>
        <v>Null</v>
      </c>
      <c r="BI757" s="2" t="str">
        <f>VLOOKUP([jobnumber],OvalData[],MATCH(Table2[[#Headers],[Inner Spring Max Turns]],Table2[#Headers],0),0)</f>
        <v>Null</v>
      </c>
      <c r="BJ757" s="2" t="str">
        <f>VLOOKUP([jobnumber],OvalData[],MATCH(Table2[[#Headers],[Inner Spring Weight]],Table2[#Headers],0),0)</f>
        <v>Null</v>
      </c>
      <c r="BK757" s="2">
        <f>VLOOKUP([jobnumber],OvalData[],MATCH(Table2[[#Headers],[Cycles]],Table2[#Headers],0),0)</f>
        <v>0</v>
      </c>
      <c r="BL757" s="2">
        <f>VLOOKUP([jobnumber],OvalData[],MATCH(Table2[[#Headers],[Total Spring Torque]],Table2[#Headers],0),0)</f>
        <v>0</v>
      </c>
      <c r="BM757" s="2">
        <f>VLOOKUP([jobnumber],OvalData[],MATCH(Table2[[#Headers],[Total Spring Weight]],Table2[#Headers],0),0)</f>
        <v>0</v>
      </c>
      <c r="BN757" s="2">
        <f>VLOOKUP([jobnumber],OvalData[],MATCH(Table2[[#Headers],[Pipe Weight]],Table2[#Headers],0),0)</f>
        <v>688.24239999999998</v>
      </c>
      <c r="BO757" s="2">
        <f>VLOOKUP([jobnumber],OvalData[],MATCH(Table2[[#Headers],[Max Pipe Deflection]],Table2[#Headers],0),0)</f>
        <v>2309</v>
      </c>
      <c r="BP757" s="2">
        <f>VLOOKUP([jobnumber],OvalData[],MATCH(Table2[[#Headers],[Number Non-Insulated Wrap Slats]],Table2[#Headers],0),0)</f>
        <v>0</v>
      </c>
      <c r="BQ757" s="2">
        <f>VLOOKUP([jobnumber],OvalData[],MATCH(Table2[[#Headers],[Number of Insolated Top Slats]],Table2[#Headers],0),0)</f>
        <v>45</v>
      </c>
      <c r="BR757" s="2">
        <f>VLOOKUP([jobnumber],OvalData[],MATCH(Table2[[#Headers],[Insolated Total Slats]],Table2[#Headers],0),0)</f>
        <v>45</v>
      </c>
      <c r="BS757" s="2">
        <f>VLOOKUP([jobnumber],OvalData[],MATCH(Table2[[#Headers],[Number of Slats]],Table2[#Headers],0),0)</f>
        <v>44.69</v>
      </c>
      <c r="BT757" s="2">
        <f>VLOOKUP([jobnumber],OvalData[],MATCH(Table2[[#Headers],[Wrap]],Table2[#Headers],0),0)</f>
        <v>0</v>
      </c>
      <c r="BU757" s="2">
        <f>VLOOKUP([jobnumber],OvalData[],MATCH(Table2[[#Headers],[Wall Angle Thickness]],Table2[#Headers],0),0)</f>
        <v>0</v>
      </c>
      <c r="BV757" s="2">
        <f>VLOOKUP([jobnumber],OvalData[],MATCH(Table2[[#Headers],[windlocks]],Table2[#Headers],0),0)</f>
        <v>0</v>
      </c>
      <c r="BW757" s="2" t="str">
        <f>VLOOKUP([jobnumber],OvalData[],MATCH(Table2[[#Headers],[bottombartype]],Table2[#Headers],0),0)</f>
        <v>SPECIAL</v>
      </c>
      <c r="BX757" s="2">
        <f>VLOOKUP([jobnumber],OvalData[],MATCH(Table2[[#Headers],[endlockweight]],Table2[#Headers],0),0)</f>
        <v>0.17</v>
      </c>
      <c r="BY757" s="2">
        <f>VLOOKUP([jobnumber],OvalData[],MATCH(Table2[[#Headers],[Endlock Total Weight]],Table2[#Headers],0),0)</f>
        <v>7.5972999999999997</v>
      </c>
      <c r="BZ757" s="2">
        <f>VLOOKUP([jobnumber],OvalData[],MATCH(Table2[[#Headers],[Grille Weight]],Table2[#Headers],0),0)</f>
        <v>0</v>
      </c>
      <c r="CA757" s="2">
        <f>VLOOKUP([jobnumber],OvalData[],MATCH(Table2[[#Headers],[barrelrings]],Table2[#Headers],0),0)</f>
        <v>1</v>
      </c>
    </row>
    <row r="758" spans="2:79">
      <c r="B758" s="2" t="str">
        <f>VLOOKUP([jobnumber],OvalData[],MATCH(Table2[[#Headers],[Hand]],Table2[#Headers],0),0)</f>
        <v>RH</v>
      </c>
      <c r="C758" s="2" t="str">
        <f>VLOOKUP([jobnumber],OvalData[],MATCH(Table2[[#Headers],[Model]],Table2[#Headers],0),0)</f>
        <v>SFMPP</v>
      </c>
      <c r="D758" s="2" t="str">
        <f>VLOOKUP([jobnumber],OvalData[],MATCH(Table2[[#Headers],[width]],Table2[#Headers],0),0)</f>
        <v xml:space="preserve"> 18 ft.- 2"</v>
      </c>
      <c r="E758" s="2" t="str">
        <f>VLOOKUP([jobnumber],OvalData[],MATCH(Table2[[#Headers],[stopheight]],Table2[#Headers],0),0)</f>
        <v xml:space="preserve"> 10 ft.- 0"</v>
      </c>
      <c r="F758" s="2" t="str">
        <f>VLOOKUP([jobnumber],OvalData[],MATCH(Table2[[#Headers],[Between Brackets]],Table2[#Headers],0),0)</f>
        <v xml:space="preserve"> 18 ft.- 7 7/ 8"</v>
      </c>
      <c r="G758" s="2" t="str">
        <f>VLOOKUP([jobnumber],OvalData[],MATCH(Table2[[#Headers],[shell]],Table2[#Headers],0),0)</f>
        <v>6 INCH TUBE</v>
      </c>
      <c r="H758" s="2" t="str">
        <f>VLOOKUP([jobnumber],OvalData[],MATCH(Table2[[#Headers],[pipewidth]],Table2[#Headers],0),0)</f>
        <v xml:space="preserve"> 18 ft.- 1 3/ 8"</v>
      </c>
      <c r="I758" s="2">
        <f>VLOOKUP([jobnumber],OvalData[],MATCH(Table2[[#Headers],[Support Tubes]],Table2[#Headers],0),0)</f>
        <v>0</v>
      </c>
      <c r="J758" s="2">
        <f>VLOOKUP([jobnumber],OvalData[],MATCH(Table2[[#Headers],[Upset]],Table2[#Headers],0),0)</f>
        <v>2</v>
      </c>
      <c r="K758" s="2" t="str">
        <f>VLOOKUP([jobnumber],OvalData[],MATCH(Table2[[#Headers],[Guide Type]],Table2[#Headers],0),0)</f>
        <v>SN2-4 5/8-E</v>
      </c>
      <c r="L758" s="2" t="str">
        <f>VLOOKUP([jobnumber],OvalData[],MATCH(Table2[[#Headers],[Wall Angle]],Table2[#Headers],0),0)</f>
        <v xml:space="preserve"> 11 ft.- 8"</v>
      </c>
      <c r="M758" s="2" t="str">
        <f>VLOOKUP([jobnumber],OvalData[],MATCH(Table2[[#Headers],[Middle Angle]],Table2[#Headers],0),0)</f>
        <v xml:space="preserve"> 10 ft.- 4 1/ 2"</v>
      </c>
      <c r="N758" s="2" t="str">
        <f>VLOOKUP([jobnumber],OvalData[],MATCH(Table2[[#Headers],[Front Angle]],Table2[#Headers],0),0)</f>
        <v xml:space="preserve"> 10 ft.- 3"</v>
      </c>
      <c r="O758" s="2">
        <f>VLOOKUP([jobnumber],OvalData[],MATCH(Table2[[#Headers],[Pipe Center Line]],Table2[#Headers],0),0)</f>
        <v>131</v>
      </c>
      <c r="P758" s="2">
        <f>VLOOKUP([jobnumber],OvalData[],MATCH(Table2[[#Headers],[Heat Expansion Gap]],Table2[#Headers],0),0)</f>
        <v>0</v>
      </c>
      <c r="Q758" s="2">
        <f>VLOOKUP([jobnumber],OvalData[],MATCH(Table2[[#Headers],[Hanging Weight Closed]],Table2[#Headers],0),0)</f>
        <v>795</v>
      </c>
      <c r="R758" s="2">
        <f>VLOOKUP([jobnumber],OvalData[],MATCH(Table2[[#Headers],[Hanging Weight Open]],Table2[#Headers],0),0)</f>
        <v>140</v>
      </c>
      <c r="S758" s="2">
        <f>VLOOKUP([jobnumber],OvalData[],MATCH(Table2[[#Headers],[Initial Lever Arm]],Table2[#Headers],0),0)</f>
        <v>4.25</v>
      </c>
      <c r="T758" s="2">
        <f>VLOOKUP([jobnumber],OvalData[],MATCH(Table2[[#Headers],[Turns to Raise]],Table2[#Headers],0),0)</f>
        <v>3.5859999999999999</v>
      </c>
      <c r="U758" s="2">
        <f>VLOOKUP([jobnumber],OvalData[],MATCH(Table2[[#Headers],[Final Lever Arm]],Table2[#Headers],0),0)</f>
        <v>6.37</v>
      </c>
      <c r="V758" s="2">
        <f>VLOOKUP([jobnumber],OvalData[],MATCH(Table2[[#Headers],[Torque Required Closed]],Table2[#Headers],0),0)</f>
        <v>3377.9</v>
      </c>
      <c r="W758" s="2">
        <f>VLOOKUP([jobnumber],OvalData[],MATCH(Table2[[#Headers],[Torque Required Open]],Table2[#Headers],0),0)</f>
        <v>892</v>
      </c>
      <c r="X758" s="2">
        <f>VLOOKUP([jobnumber],OvalData[],MATCH(Table2[[#Headers],[Pre Turns]],Table2[#Headers],0),0)</f>
        <v>1.3332999999999999</v>
      </c>
      <c r="Y758" s="2">
        <f>VLOOKUP([jobnumber],OvalData[],MATCH(Table2[[#Headers],[Required Torque Per Turn]],Table2[#Headers],0),0)</f>
        <v>688</v>
      </c>
      <c r="Z758" s="2">
        <f>VLOOKUP([jobnumber],OvalData[],MATCH(Table2[[#Headers],[Total Turns]],Table2[#Headers],0),0)</f>
        <v>4.91</v>
      </c>
      <c r="AA758" s="2">
        <f>VLOOKUP([jobnumber],OvalData[],MATCH(Table2[[#Headers],[Grille Vision Section]],Table2[#Headers],0),0)</f>
        <v>0</v>
      </c>
      <c r="AB758" s="2">
        <f>VLOOKUP([jobnumber],OvalData[],MATCH(Table2[[#Headers],[Grille Amount]],Table2[#Headers],0),0)</f>
        <v>0</v>
      </c>
      <c r="AC758" s="2">
        <f>VLOOKUP([jobnumber],OvalData[],MATCH(Table2[[#Headers],[Grille Center]],Table2[#Headers],0),0)</f>
        <v>0</v>
      </c>
      <c r="AD758" s="2">
        <f>VLOOKUP([jobnumber],OvalData[],MATCH(Table2[[#Headers],[Grille Pattern]],Table2[#Headers],0),0)</f>
        <v>0</v>
      </c>
      <c r="AE758" s="2">
        <f>VLOOKUP([jobnumber],OvalData[],MATCH(Table2[[#Headers],[Grille First Tube]],Table2[#Headers],0),0)</f>
        <v>0</v>
      </c>
      <c r="AF758" s="2">
        <f>VLOOKUP([jobnumber],OvalData[],MATCH(Table2[[#Headers],[Grille Standard Tube]],Table2[#Headers],0),0)</f>
        <v>0</v>
      </c>
      <c r="AG758" s="2">
        <f>VLOOKUP([jobnumber],OvalData[],MATCH(Table2[[#Headers],[Grille Total Links]],Table2[#Headers],0),0)</f>
        <v>0</v>
      </c>
      <c r="AH758" s="2">
        <f>VLOOKUP([jobnumber],OvalData[],MATCH(Table2[[#Headers],[Grille Rods]],Table2[#Headers],0),0)</f>
        <v>0</v>
      </c>
      <c r="AI758" s="2">
        <f>VLOOKUP([jobnumber],OvalData[],MATCH(Table2[[#Headers],[Grille Rod Length]],Table2[#Headers],0),0)</f>
        <v>0</v>
      </c>
      <c r="AJ758" s="2">
        <f>VLOOKUP([jobnumber],OvalData[],MATCH(Table2[[#Headers],[slattype]],Table2[#Headers],0),0)</f>
        <v>2</v>
      </c>
      <c r="AK758" s="2">
        <f>VLOOKUP([jobnumber],OvalData[],MATCH(Table2[[#Headers],[slatgage]],Table2[#Headers],0),0)</f>
        <v>18</v>
      </c>
      <c r="AL758" s="2">
        <f>VLOOKUP([jobnumber],OvalData[],MATCH(Table2[[#Headers],[Numer of Top Slats]],Table2[#Headers],0),0)</f>
        <v>0</v>
      </c>
      <c r="AM758" s="2">
        <f>VLOOKUP([jobnumber],OvalData[],MATCH(Table2[[#Headers],[Number of Bottom Slats]],Table2[#Headers],0),0)</f>
        <v>0</v>
      </c>
      <c r="AN758" s="2">
        <f>VLOOKUP([jobnumber],OvalData[],MATCH(Table2[[#Headers],[Solid Bottom Height]],Table2[#Headers],0),0)</f>
        <v>0</v>
      </c>
      <c r="AO758" s="2" t="str">
        <f>VLOOKUP([jobnumber],OvalData[],MATCH(Table2[[#Headers],[slatlength]],Table2[#Headers],0),0)</f>
        <v xml:space="preserve"> 18 ft.- 5 7/ 8"</v>
      </c>
      <c r="AP758" s="2">
        <f>VLOOKUP([jobnumber],OvalData[],MATCH(Table2[[#Headers],[Bottom Slat Length]],Table2[#Headers],0),0)</f>
        <v>0</v>
      </c>
      <c r="AQ758" s="2">
        <f>VLOOKUP([jobnumber],OvalData[],MATCH(Table2[[#Headers],[Number of Perferated Slats]],Table2[#Headers],0),0)</f>
        <v>0</v>
      </c>
      <c r="AR758" s="2">
        <f>VLOOKUP([jobnumber],OvalData[],MATCH(Table2[[#Headers],[First Preferated Slat From End]],Table2[#Headers],0),0)</f>
        <v>0</v>
      </c>
      <c r="AS758" s="2">
        <f>VLOOKUP([jobnumber],OvalData[],MATCH(Table2[[#Headers],[First Preferated Slat From Bottom]],Table2[#Headers],0),0)</f>
        <v>0</v>
      </c>
      <c r="AT758" s="2">
        <f>VLOOKUP([jobnumber],OvalData[],MATCH(Table2[[#Headers],[Total Number of Slats]],Table2[#Headers],0),0)</f>
        <v>51</v>
      </c>
      <c r="AU758" s="2">
        <f>VLOOKUP([jobnumber],OvalData[],MATCH(Table2[[#Headers],[Bottom Bar Slope]],Table2[#Headers],0),0)</f>
        <v>0</v>
      </c>
      <c r="AV758" s="2">
        <f>VLOOKUP([jobnumber],OvalData[],MATCH(Table2[[#Headers],[Bottom Bar Weight]],Table2[#Headers],0),0)</f>
        <v>80.5</v>
      </c>
      <c r="AW758" s="2" t="str">
        <f>VLOOKUP([jobnumber],OvalData[],MATCH(Table2[[#Headers],[Outer Spring Gage]],Table2[#Headers],0),0)</f>
        <v>Null</v>
      </c>
      <c r="AX758" s="2" t="str">
        <f>VLOOKUP([jobnumber],OvalData[],MATCH(Table2[[#Headers],[Outer Spring OD]],Table2[#Headers],0),0)</f>
        <v>Null</v>
      </c>
      <c r="AY758" s="2" t="str">
        <f>VLOOKUP([jobnumber],OvalData[],MATCH(Table2[[#Headers],[Outer Spring Length]],Table2[#Headers],0),0)</f>
        <v>Null</v>
      </c>
      <c r="AZ758" s="2" t="str">
        <f>VLOOKUP([jobnumber],OvalData[],MATCH(Table2[[#Headers],[Outer Spring Stretch]],Table2[#Headers],0),0)</f>
        <v>Null</v>
      </c>
      <c r="BA758" s="2" t="str">
        <f>VLOOKUP([jobnumber],OvalData[],MATCH(Table2[[#Headers],[Outer Spring Torque]],Table2[#Headers],0),0)</f>
        <v>Null</v>
      </c>
      <c r="BB758" s="2" t="str">
        <f>VLOOKUP([jobnumber],OvalData[],MATCH(Table2[[#Headers],[Outer Spring Max Turns]],Table2[#Headers],0),0)</f>
        <v>Null</v>
      </c>
      <c r="BC758" s="2" t="str">
        <f>VLOOKUP([jobnumber],OvalData[],MATCH(Table2[[#Headers],[Outer Spring Weight]],Table2[#Headers],0),0)</f>
        <v>Null</v>
      </c>
      <c r="BD758" s="2" t="str">
        <f>VLOOKUP([jobnumber],OvalData[],MATCH(Table2[[#Headers],[Inner Spring Gage]],Table2[#Headers],0),0)</f>
        <v>Null</v>
      </c>
      <c r="BE758" s="2" t="str">
        <f>VLOOKUP([jobnumber],OvalData[],MATCH(Table2[[#Headers],[Inner Spring OD]],Table2[#Headers],0),0)</f>
        <v>Null</v>
      </c>
      <c r="BF758" s="2" t="str">
        <f>VLOOKUP([jobnumber],OvalData[],MATCH(Table2[[#Headers],[Inner Spring Length]],Table2[#Headers],0),0)</f>
        <v>Null</v>
      </c>
      <c r="BG758" s="2" t="str">
        <f>VLOOKUP([jobnumber],OvalData[],MATCH(Table2[[#Headers],[Inner Spring Stretch]],Table2[#Headers],0),0)</f>
        <v>Null</v>
      </c>
      <c r="BH758" s="2" t="str">
        <f>VLOOKUP([jobnumber],OvalData[],MATCH(Table2[[#Headers],[Inner Spring Torque]],Table2[#Headers],0),0)</f>
        <v>Null</v>
      </c>
      <c r="BI758" s="2" t="str">
        <f>VLOOKUP([jobnumber],OvalData[],MATCH(Table2[[#Headers],[Inner Spring Max Turns]],Table2[#Headers],0),0)</f>
        <v>Null</v>
      </c>
      <c r="BJ758" s="2" t="str">
        <f>VLOOKUP([jobnumber],OvalData[],MATCH(Table2[[#Headers],[Inner Spring Weight]],Table2[#Headers],0),0)</f>
        <v>Null</v>
      </c>
      <c r="BK758" s="2">
        <f>VLOOKUP([jobnumber],OvalData[],MATCH(Table2[[#Headers],[Cycles]],Table2[#Headers],0),0)</f>
        <v>0</v>
      </c>
      <c r="BL758" s="2">
        <f>VLOOKUP([jobnumber],OvalData[],MATCH(Table2[[#Headers],[Total Spring Torque]],Table2[#Headers],0),0)</f>
        <v>0</v>
      </c>
      <c r="BM758" s="2">
        <f>VLOOKUP([jobnumber],OvalData[],MATCH(Table2[[#Headers],[Total Spring Weight]],Table2[#Headers],0),0)</f>
        <v>0</v>
      </c>
      <c r="BN758" s="2">
        <f>VLOOKUP([jobnumber],OvalData[],MATCH(Table2[[#Headers],[Pipe Weight]],Table2[#Headers],0),0)</f>
        <v>688.24239999999998</v>
      </c>
      <c r="BO758" s="2">
        <f>VLOOKUP([jobnumber],OvalData[],MATCH(Table2[[#Headers],[Max Pipe Deflection]],Table2[#Headers],0),0)</f>
        <v>2309</v>
      </c>
      <c r="BP758" s="2">
        <f>VLOOKUP([jobnumber],OvalData[],MATCH(Table2[[#Headers],[Number Non-Insulated Wrap Slats]],Table2[#Headers],0),0)</f>
        <v>0</v>
      </c>
      <c r="BQ758" s="2">
        <f>VLOOKUP([jobnumber],OvalData[],MATCH(Table2[[#Headers],[Number of Insolated Top Slats]],Table2[#Headers],0),0)</f>
        <v>45</v>
      </c>
      <c r="BR758" s="2">
        <f>VLOOKUP([jobnumber],OvalData[],MATCH(Table2[[#Headers],[Insolated Total Slats]],Table2[#Headers],0),0)</f>
        <v>45</v>
      </c>
      <c r="BS758" s="2">
        <f>VLOOKUP([jobnumber],OvalData[],MATCH(Table2[[#Headers],[Number of Slats]],Table2[#Headers],0),0)</f>
        <v>44.69</v>
      </c>
      <c r="BT758" s="2">
        <f>VLOOKUP([jobnumber],OvalData[],MATCH(Table2[[#Headers],[Wrap]],Table2[#Headers],0),0)</f>
        <v>0</v>
      </c>
      <c r="BU758" s="2">
        <f>VLOOKUP([jobnumber],OvalData[],MATCH(Table2[[#Headers],[Wall Angle Thickness]],Table2[#Headers],0),0)</f>
        <v>0</v>
      </c>
      <c r="BV758" s="2">
        <f>VLOOKUP([jobnumber],OvalData[],MATCH(Table2[[#Headers],[windlocks]],Table2[#Headers],0),0)</f>
        <v>0</v>
      </c>
      <c r="BW758" s="2" t="str">
        <f>VLOOKUP([jobnumber],OvalData[],MATCH(Table2[[#Headers],[bottombartype]],Table2[#Headers],0),0)</f>
        <v>SPECIAL</v>
      </c>
      <c r="BX758" s="2">
        <f>VLOOKUP([jobnumber],OvalData[],MATCH(Table2[[#Headers],[endlockweight]],Table2[#Headers],0),0)</f>
        <v>0.17</v>
      </c>
      <c r="BY758" s="2">
        <f>VLOOKUP([jobnumber],OvalData[],MATCH(Table2[[#Headers],[Endlock Total Weight]],Table2[#Headers],0),0)</f>
        <v>7.5972999999999997</v>
      </c>
      <c r="BZ758" s="2">
        <f>VLOOKUP([jobnumber],OvalData[],MATCH(Table2[[#Headers],[Grille Weight]],Table2[#Headers],0),0)</f>
        <v>0</v>
      </c>
      <c r="CA758" s="2">
        <f>VLOOKUP([jobnumber],OvalData[],MATCH(Table2[[#Headers],[barrelrings]],Table2[#Headers],0),0)</f>
        <v>1</v>
      </c>
    </row>
    <row r="759" spans="2:79">
      <c r="B759" s="2" t="str">
        <f>VLOOKUP([jobnumber],OvalData[],MATCH(Table2[[#Headers],[Hand]],Table2[#Headers],0),0)</f>
        <v>RH</v>
      </c>
      <c r="C759" s="2" t="str">
        <f>VLOOKUP([jobnumber],OvalData[],MATCH(Table2[[#Headers],[Model]],Table2[#Headers],0),0)</f>
        <v>SFMPP</v>
      </c>
      <c r="D759" s="2" t="str">
        <f>VLOOKUP([jobnumber],OvalData[],MATCH(Table2[[#Headers],[width]],Table2[#Headers],0),0)</f>
        <v xml:space="preserve"> 18 ft.- 2"</v>
      </c>
      <c r="E759" s="2" t="str">
        <f>VLOOKUP([jobnumber],OvalData[],MATCH(Table2[[#Headers],[stopheight]],Table2[#Headers],0),0)</f>
        <v xml:space="preserve"> 10 ft.- 0"</v>
      </c>
      <c r="F759" s="2" t="str">
        <f>VLOOKUP([jobnumber],OvalData[],MATCH(Table2[[#Headers],[Between Brackets]],Table2[#Headers],0),0)</f>
        <v xml:space="preserve"> 18 ft.- 7 7/ 8"</v>
      </c>
      <c r="G759" s="2" t="str">
        <f>VLOOKUP([jobnumber],OvalData[],MATCH(Table2[[#Headers],[shell]],Table2[#Headers],0),0)</f>
        <v>6 INCH TUBE</v>
      </c>
      <c r="H759" s="2" t="str">
        <f>VLOOKUP([jobnumber],OvalData[],MATCH(Table2[[#Headers],[pipewidth]],Table2[#Headers],0),0)</f>
        <v xml:space="preserve"> 18 ft.- 1 3/ 8"</v>
      </c>
      <c r="I759" s="2">
        <f>VLOOKUP([jobnumber],OvalData[],MATCH(Table2[[#Headers],[Support Tubes]],Table2[#Headers],0),0)</f>
        <v>0</v>
      </c>
      <c r="J759" s="2">
        <f>VLOOKUP([jobnumber],OvalData[],MATCH(Table2[[#Headers],[Upset]],Table2[#Headers],0),0)</f>
        <v>2</v>
      </c>
      <c r="K759" s="2" t="str">
        <f>VLOOKUP([jobnumber],OvalData[],MATCH(Table2[[#Headers],[Guide Type]],Table2[#Headers],0),0)</f>
        <v>SN2-4 5/8-E</v>
      </c>
      <c r="L759" s="2" t="str">
        <f>VLOOKUP([jobnumber],OvalData[],MATCH(Table2[[#Headers],[Wall Angle]],Table2[#Headers],0),0)</f>
        <v xml:space="preserve"> 11 ft.- 8"</v>
      </c>
      <c r="M759" s="2" t="str">
        <f>VLOOKUP([jobnumber],OvalData[],MATCH(Table2[[#Headers],[Middle Angle]],Table2[#Headers],0),0)</f>
        <v xml:space="preserve"> 10 ft.- 4 1/ 2"</v>
      </c>
      <c r="N759" s="2" t="str">
        <f>VLOOKUP([jobnumber],OvalData[],MATCH(Table2[[#Headers],[Front Angle]],Table2[#Headers],0),0)</f>
        <v xml:space="preserve"> 10 ft.- 3"</v>
      </c>
      <c r="O759" s="2">
        <f>VLOOKUP([jobnumber],OvalData[],MATCH(Table2[[#Headers],[Pipe Center Line]],Table2[#Headers],0),0)</f>
        <v>131</v>
      </c>
      <c r="P759" s="2">
        <f>VLOOKUP([jobnumber],OvalData[],MATCH(Table2[[#Headers],[Heat Expansion Gap]],Table2[#Headers],0),0)</f>
        <v>0</v>
      </c>
      <c r="Q759" s="2">
        <f>VLOOKUP([jobnumber],OvalData[],MATCH(Table2[[#Headers],[Hanging Weight Closed]],Table2[#Headers],0),0)</f>
        <v>795</v>
      </c>
      <c r="R759" s="2">
        <f>VLOOKUP([jobnumber],OvalData[],MATCH(Table2[[#Headers],[Hanging Weight Open]],Table2[#Headers],0),0)</f>
        <v>140</v>
      </c>
      <c r="S759" s="2">
        <f>VLOOKUP([jobnumber],OvalData[],MATCH(Table2[[#Headers],[Initial Lever Arm]],Table2[#Headers],0),0)</f>
        <v>4.25</v>
      </c>
      <c r="T759" s="2">
        <f>VLOOKUP([jobnumber],OvalData[],MATCH(Table2[[#Headers],[Turns to Raise]],Table2[#Headers],0),0)</f>
        <v>3.5859999999999999</v>
      </c>
      <c r="U759" s="2">
        <f>VLOOKUP([jobnumber],OvalData[],MATCH(Table2[[#Headers],[Final Lever Arm]],Table2[#Headers],0),0)</f>
        <v>6.37</v>
      </c>
      <c r="V759" s="2">
        <f>VLOOKUP([jobnumber],OvalData[],MATCH(Table2[[#Headers],[Torque Required Closed]],Table2[#Headers],0),0)</f>
        <v>3377.9</v>
      </c>
      <c r="W759" s="2">
        <f>VLOOKUP([jobnumber],OvalData[],MATCH(Table2[[#Headers],[Torque Required Open]],Table2[#Headers],0),0)</f>
        <v>892</v>
      </c>
      <c r="X759" s="2">
        <f>VLOOKUP([jobnumber],OvalData[],MATCH(Table2[[#Headers],[Pre Turns]],Table2[#Headers],0),0)</f>
        <v>1.3332999999999999</v>
      </c>
      <c r="Y759" s="2">
        <f>VLOOKUP([jobnumber],OvalData[],MATCH(Table2[[#Headers],[Required Torque Per Turn]],Table2[#Headers],0),0)</f>
        <v>688</v>
      </c>
      <c r="Z759" s="2">
        <f>VLOOKUP([jobnumber],OvalData[],MATCH(Table2[[#Headers],[Total Turns]],Table2[#Headers],0),0)</f>
        <v>4.91</v>
      </c>
      <c r="AA759" s="2">
        <f>VLOOKUP([jobnumber],OvalData[],MATCH(Table2[[#Headers],[Grille Vision Section]],Table2[#Headers],0),0)</f>
        <v>0</v>
      </c>
      <c r="AB759" s="2">
        <f>VLOOKUP([jobnumber],OvalData[],MATCH(Table2[[#Headers],[Grille Amount]],Table2[#Headers],0),0)</f>
        <v>0</v>
      </c>
      <c r="AC759" s="2">
        <f>VLOOKUP([jobnumber],OvalData[],MATCH(Table2[[#Headers],[Grille Center]],Table2[#Headers],0),0)</f>
        <v>0</v>
      </c>
      <c r="AD759" s="2">
        <f>VLOOKUP([jobnumber],OvalData[],MATCH(Table2[[#Headers],[Grille Pattern]],Table2[#Headers],0),0)</f>
        <v>0</v>
      </c>
      <c r="AE759" s="2">
        <f>VLOOKUP([jobnumber],OvalData[],MATCH(Table2[[#Headers],[Grille First Tube]],Table2[#Headers],0),0)</f>
        <v>0</v>
      </c>
      <c r="AF759" s="2">
        <f>VLOOKUP([jobnumber],OvalData[],MATCH(Table2[[#Headers],[Grille Standard Tube]],Table2[#Headers],0),0)</f>
        <v>0</v>
      </c>
      <c r="AG759" s="2">
        <f>VLOOKUP([jobnumber],OvalData[],MATCH(Table2[[#Headers],[Grille Total Links]],Table2[#Headers],0),0)</f>
        <v>0</v>
      </c>
      <c r="AH759" s="2">
        <f>VLOOKUP([jobnumber],OvalData[],MATCH(Table2[[#Headers],[Grille Rods]],Table2[#Headers],0),0)</f>
        <v>0</v>
      </c>
      <c r="AI759" s="2">
        <f>VLOOKUP([jobnumber],OvalData[],MATCH(Table2[[#Headers],[Grille Rod Length]],Table2[#Headers],0),0)</f>
        <v>0</v>
      </c>
      <c r="AJ759" s="2">
        <f>VLOOKUP([jobnumber],OvalData[],MATCH(Table2[[#Headers],[slattype]],Table2[#Headers],0),0)</f>
        <v>2</v>
      </c>
      <c r="AK759" s="2">
        <f>VLOOKUP([jobnumber],OvalData[],MATCH(Table2[[#Headers],[slatgage]],Table2[#Headers],0),0)</f>
        <v>18</v>
      </c>
      <c r="AL759" s="2">
        <f>VLOOKUP([jobnumber],OvalData[],MATCH(Table2[[#Headers],[Numer of Top Slats]],Table2[#Headers],0),0)</f>
        <v>0</v>
      </c>
      <c r="AM759" s="2">
        <f>VLOOKUP([jobnumber],OvalData[],MATCH(Table2[[#Headers],[Number of Bottom Slats]],Table2[#Headers],0),0)</f>
        <v>0</v>
      </c>
      <c r="AN759" s="2">
        <f>VLOOKUP([jobnumber],OvalData[],MATCH(Table2[[#Headers],[Solid Bottom Height]],Table2[#Headers],0),0)</f>
        <v>0</v>
      </c>
      <c r="AO759" s="2" t="str">
        <f>VLOOKUP([jobnumber],OvalData[],MATCH(Table2[[#Headers],[slatlength]],Table2[#Headers],0),0)</f>
        <v xml:space="preserve"> 18 ft.- 5 7/ 8"</v>
      </c>
      <c r="AP759" s="2">
        <f>VLOOKUP([jobnumber],OvalData[],MATCH(Table2[[#Headers],[Bottom Slat Length]],Table2[#Headers],0),0)</f>
        <v>0</v>
      </c>
      <c r="AQ759" s="2">
        <f>VLOOKUP([jobnumber],OvalData[],MATCH(Table2[[#Headers],[Number of Perferated Slats]],Table2[#Headers],0),0)</f>
        <v>0</v>
      </c>
      <c r="AR759" s="2">
        <f>VLOOKUP([jobnumber],OvalData[],MATCH(Table2[[#Headers],[First Preferated Slat From End]],Table2[#Headers],0),0)</f>
        <v>0</v>
      </c>
      <c r="AS759" s="2">
        <f>VLOOKUP([jobnumber],OvalData[],MATCH(Table2[[#Headers],[First Preferated Slat From Bottom]],Table2[#Headers],0),0)</f>
        <v>0</v>
      </c>
      <c r="AT759" s="2">
        <f>VLOOKUP([jobnumber],OvalData[],MATCH(Table2[[#Headers],[Total Number of Slats]],Table2[#Headers],0),0)</f>
        <v>51</v>
      </c>
      <c r="AU759" s="2">
        <f>VLOOKUP([jobnumber],OvalData[],MATCH(Table2[[#Headers],[Bottom Bar Slope]],Table2[#Headers],0),0)</f>
        <v>0</v>
      </c>
      <c r="AV759" s="2">
        <f>VLOOKUP([jobnumber],OvalData[],MATCH(Table2[[#Headers],[Bottom Bar Weight]],Table2[#Headers],0),0)</f>
        <v>80.5</v>
      </c>
      <c r="AW759" s="2" t="str">
        <f>VLOOKUP([jobnumber],OvalData[],MATCH(Table2[[#Headers],[Outer Spring Gage]],Table2[#Headers],0),0)</f>
        <v>Null</v>
      </c>
      <c r="AX759" s="2" t="str">
        <f>VLOOKUP([jobnumber],OvalData[],MATCH(Table2[[#Headers],[Outer Spring OD]],Table2[#Headers],0),0)</f>
        <v>Null</v>
      </c>
      <c r="AY759" s="2" t="str">
        <f>VLOOKUP([jobnumber],OvalData[],MATCH(Table2[[#Headers],[Outer Spring Length]],Table2[#Headers],0),0)</f>
        <v>Null</v>
      </c>
      <c r="AZ759" s="2" t="str">
        <f>VLOOKUP([jobnumber],OvalData[],MATCH(Table2[[#Headers],[Outer Spring Stretch]],Table2[#Headers],0),0)</f>
        <v>Null</v>
      </c>
      <c r="BA759" s="2" t="str">
        <f>VLOOKUP([jobnumber],OvalData[],MATCH(Table2[[#Headers],[Outer Spring Torque]],Table2[#Headers],0),0)</f>
        <v>Null</v>
      </c>
      <c r="BB759" s="2" t="str">
        <f>VLOOKUP([jobnumber],OvalData[],MATCH(Table2[[#Headers],[Outer Spring Max Turns]],Table2[#Headers],0),0)</f>
        <v>Null</v>
      </c>
      <c r="BC759" s="2" t="str">
        <f>VLOOKUP([jobnumber],OvalData[],MATCH(Table2[[#Headers],[Outer Spring Weight]],Table2[#Headers],0),0)</f>
        <v>Null</v>
      </c>
      <c r="BD759" s="2" t="str">
        <f>VLOOKUP([jobnumber],OvalData[],MATCH(Table2[[#Headers],[Inner Spring Gage]],Table2[#Headers],0),0)</f>
        <v>Null</v>
      </c>
      <c r="BE759" s="2" t="str">
        <f>VLOOKUP([jobnumber],OvalData[],MATCH(Table2[[#Headers],[Inner Spring OD]],Table2[#Headers],0),0)</f>
        <v>Null</v>
      </c>
      <c r="BF759" s="2" t="str">
        <f>VLOOKUP([jobnumber],OvalData[],MATCH(Table2[[#Headers],[Inner Spring Length]],Table2[#Headers],0),0)</f>
        <v>Null</v>
      </c>
      <c r="BG759" s="2" t="str">
        <f>VLOOKUP([jobnumber],OvalData[],MATCH(Table2[[#Headers],[Inner Spring Stretch]],Table2[#Headers],0),0)</f>
        <v>Null</v>
      </c>
      <c r="BH759" s="2" t="str">
        <f>VLOOKUP([jobnumber],OvalData[],MATCH(Table2[[#Headers],[Inner Spring Torque]],Table2[#Headers],0),0)</f>
        <v>Null</v>
      </c>
      <c r="BI759" s="2" t="str">
        <f>VLOOKUP([jobnumber],OvalData[],MATCH(Table2[[#Headers],[Inner Spring Max Turns]],Table2[#Headers],0),0)</f>
        <v>Null</v>
      </c>
      <c r="BJ759" s="2" t="str">
        <f>VLOOKUP([jobnumber],OvalData[],MATCH(Table2[[#Headers],[Inner Spring Weight]],Table2[#Headers],0),0)</f>
        <v>Null</v>
      </c>
      <c r="BK759" s="2">
        <f>VLOOKUP([jobnumber],OvalData[],MATCH(Table2[[#Headers],[Cycles]],Table2[#Headers],0),0)</f>
        <v>0</v>
      </c>
      <c r="BL759" s="2">
        <f>VLOOKUP([jobnumber],OvalData[],MATCH(Table2[[#Headers],[Total Spring Torque]],Table2[#Headers],0),0)</f>
        <v>0</v>
      </c>
      <c r="BM759" s="2">
        <f>VLOOKUP([jobnumber],OvalData[],MATCH(Table2[[#Headers],[Total Spring Weight]],Table2[#Headers],0),0)</f>
        <v>0</v>
      </c>
      <c r="BN759" s="2">
        <f>VLOOKUP([jobnumber],OvalData[],MATCH(Table2[[#Headers],[Pipe Weight]],Table2[#Headers],0),0)</f>
        <v>688.24239999999998</v>
      </c>
      <c r="BO759" s="2">
        <f>VLOOKUP([jobnumber],OvalData[],MATCH(Table2[[#Headers],[Max Pipe Deflection]],Table2[#Headers],0),0)</f>
        <v>2309</v>
      </c>
      <c r="BP759" s="2">
        <f>VLOOKUP([jobnumber],OvalData[],MATCH(Table2[[#Headers],[Number Non-Insulated Wrap Slats]],Table2[#Headers],0),0)</f>
        <v>0</v>
      </c>
      <c r="BQ759" s="2">
        <f>VLOOKUP([jobnumber],OvalData[],MATCH(Table2[[#Headers],[Number of Insolated Top Slats]],Table2[#Headers],0),0)</f>
        <v>45</v>
      </c>
      <c r="BR759" s="2">
        <f>VLOOKUP([jobnumber],OvalData[],MATCH(Table2[[#Headers],[Insolated Total Slats]],Table2[#Headers],0),0)</f>
        <v>45</v>
      </c>
      <c r="BS759" s="2">
        <f>VLOOKUP([jobnumber],OvalData[],MATCH(Table2[[#Headers],[Number of Slats]],Table2[#Headers],0),0)</f>
        <v>44.69</v>
      </c>
      <c r="BT759" s="2">
        <f>VLOOKUP([jobnumber],OvalData[],MATCH(Table2[[#Headers],[Wrap]],Table2[#Headers],0),0)</f>
        <v>0</v>
      </c>
      <c r="BU759" s="2">
        <f>VLOOKUP([jobnumber],OvalData[],MATCH(Table2[[#Headers],[Wall Angle Thickness]],Table2[#Headers],0),0)</f>
        <v>0</v>
      </c>
      <c r="BV759" s="2">
        <f>VLOOKUP([jobnumber],OvalData[],MATCH(Table2[[#Headers],[windlocks]],Table2[#Headers],0),0)</f>
        <v>0</v>
      </c>
      <c r="BW759" s="2" t="str">
        <f>VLOOKUP([jobnumber],OvalData[],MATCH(Table2[[#Headers],[bottombartype]],Table2[#Headers],0),0)</f>
        <v>SPECIAL</v>
      </c>
      <c r="BX759" s="2">
        <f>VLOOKUP([jobnumber],OvalData[],MATCH(Table2[[#Headers],[endlockweight]],Table2[#Headers],0),0)</f>
        <v>0.17</v>
      </c>
      <c r="BY759" s="2">
        <f>VLOOKUP([jobnumber],OvalData[],MATCH(Table2[[#Headers],[Endlock Total Weight]],Table2[#Headers],0),0)</f>
        <v>7.5972999999999997</v>
      </c>
      <c r="BZ759" s="2">
        <f>VLOOKUP([jobnumber],OvalData[],MATCH(Table2[[#Headers],[Grille Weight]],Table2[#Headers],0),0)</f>
        <v>0</v>
      </c>
      <c r="CA759" s="2">
        <f>VLOOKUP([jobnumber],OvalData[],MATCH(Table2[[#Headers],[barrelrings]],Table2[#Headers],0),0)</f>
        <v>1</v>
      </c>
    </row>
    <row r="760" spans="2:79">
      <c r="B760" s="2" t="str">
        <f>VLOOKUP([jobnumber],OvalData[],MATCH(Table2[[#Headers],[Hand]],Table2[#Headers],0),0)</f>
        <v>RH</v>
      </c>
      <c r="C760" s="2" t="str">
        <f>VLOOKUP([jobnumber],OvalData[],MATCH(Table2[[#Headers],[Model]],Table2[#Headers],0),0)</f>
        <v>SFMPP</v>
      </c>
      <c r="D760" s="2" t="str">
        <f>VLOOKUP([jobnumber],OvalData[],MATCH(Table2[[#Headers],[width]],Table2[#Headers],0),0)</f>
        <v xml:space="preserve"> 18 ft.- 2"</v>
      </c>
      <c r="E760" s="2" t="str">
        <f>VLOOKUP([jobnumber],OvalData[],MATCH(Table2[[#Headers],[stopheight]],Table2[#Headers],0),0)</f>
        <v xml:space="preserve"> 10 ft.- 0"</v>
      </c>
      <c r="F760" s="2" t="str">
        <f>VLOOKUP([jobnumber],OvalData[],MATCH(Table2[[#Headers],[Between Brackets]],Table2[#Headers],0),0)</f>
        <v xml:space="preserve"> 18 ft.- 7 7/ 8"</v>
      </c>
      <c r="G760" s="2" t="str">
        <f>VLOOKUP([jobnumber],OvalData[],MATCH(Table2[[#Headers],[shell]],Table2[#Headers],0),0)</f>
        <v>6 INCH TUBE</v>
      </c>
      <c r="H760" s="2" t="str">
        <f>VLOOKUP([jobnumber],OvalData[],MATCH(Table2[[#Headers],[pipewidth]],Table2[#Headers],0),0)</f>
        <v xml:space="preserve"> 18 ft.- 1 3/ 8"</v>
      </c>
      <c r="I760" s="2">
        <f>VLOOKUP([jobnumber],OvalData[],MATCH(Table2[[#Headers],[Support Tubes]],Table2[#Headers],0),0)</f>
        <v>0</v>
      </c>
      <c r="J760" s="2">
        <f>VLOOKUP([jobnumber],OvalData[],MATCH(Table2[[#Headers],[Upset]],Table2[#Headers],0),0)</f>
        <v>2</v>
      </c>
      <c r="K760" s="2" t="str">
        <f>VLOOKUP([jobnumber],OvalData[],MATCH(Table2[[#Headers],[Guide Type]],Table2[#Headers],0),0)</f>
        <v>SN2-4 5/8-E</v>
      </c>
      <c r="L760" s="2" t="str">
        <f>VLOOKUP([jobnumber],OvalData[],MATCH(Table2[[#Headers],[Wall Angle]],Table2[#Headers],0),0)</f>
        <v xml:space="preserve"> 11 ft.- 8"</v>
      </c>
      <c r="M760" s="2" t="str">
        <f>VLOOKUP([jobnumber],OvalData[],MATCH(Table2[[#Headers],[Middle Angle]],Table2[#Headers],0),0)</f>
        <v xml:space="preserve"> 10 ft.- 4 1/ 2"</v>
      </c>
      <c r="N760" s="2" t="str">
        <f>VLOOKUP([jobnumber],OvalData[],MATCH(Table2[[#Headers],[Front Angle]],Table2[#Headers],0),0)</f>
        <v xml:space="preserve"> 10 ft.- 3"</v>
      </c>
      <c r="O760" s="2">
        <f>VLOOKUP([jobnumber],OvalData[],MATCH(Table2[[#Headers],[Pipe Center Line]],Table2[#Headers],0),0)</f>
        <v>131</v>
      </c>
      <c r="P760" s="2">
        <f>VLOOKUP([jobnumber],OvalData[],MATCH(Table2[[#Headers],[Heat Expansion Gap]],Table2[#Headers],0),0)</f>
        <v>0</v>
      </c>
      <c r="Q760" s="2">
        <f>VLOOKUP([jobnumber],OvalData[],MATCH(Table2[[#Headers],[Hanging Weight Closed]],Table2[#Headers],0),0)</f>
        <v>795</v>
      </c>
      <c r="R760" s="2">
        <f>VLOOKUP([jobnumber],OvalData[],MATCH(Table2[[#Headers],[Hanging Weight Open]],Table2[#Headers],0),0)</f>
        <v>140</v>
      </c>
      <c r="S760" s="2">
        <f>VLOOKUP([jobnumber],OvalData[],MATCH(Table2[[#Headers],[Initial Lever Arm]],Table2[#Headers],0),0)</f>
        <v>4.25</v>
      </c>
      <c r="T760" s="2">
        <f>VLOOKUP([jobnumber],OvalData[],MATCH(Table2[[#Headers],[Turns to Raise]],Table2[#Headers],0),0)</f>
        <v>3.5859999999999999</v>
      </c>
      <c r="U760" s="2">
        <f>VLOOKUP([jobnumber],OvalData[],MATCH(Table2[[#Headers],[Final Lever Arm]],Table2[#Headers],0),0)</f>
        <v>6.37</v>
      </c>
      <c r="V760" s="2">
        <f>VLOOKUP([jobnumber],OvalData[],MATCH(Table2[[#Headers],[Torque Required Closed]],Table2[#Headers],0),0)</f>
        <v>3377.9</v>
      </c>
      <c r="W760" s="2">
        <f>VLOOKUP([jobnumber],OvalData[],MATCH(Table2[[#Headers],[Torque Required Open]],Table2[#Headers],0),0)</f>
        <v>892</v>
      </c>
      <c r="X760" s="2">
        <f>VLOOKUP([jobnumber],OvalData[],MATCH(Table2[[#Headers],[Pre Turns]],Table2[#Headers],0),0)</f>
        <v>1.3332999999999999</v>
      </c>
      <c r="Y760" s="2">
        <f>VLOOKUP([jobnumber],OvalData[],MATCH(Table2[[#Headers],[Required Torque Per Turn]],Table2[#Headers],0),0)</f>
        <v>688</v>
      </c>
      <c r="Z760" s="2">
        <f>VLOOKUP([jobnumber],OvalData[],MATCH(Table2[[#Headers],[Total Turns]],Table2[#Headers],0),0)</f>
        <v>4.91</v>
      </c>
      <c r="AA760" s="2">
        <f>VLOOKUP([jobnumber],OvalData[],MATCH(Table2[[#Headers],[Grille Vision Section]],Table2[#Headers],0),0)</f>
        <v>0</v>
      </c>
      <c r="AB760" s="2">
        <f>VLOOKUP([jobnumber],OvalData[],MATCH(Table2[[#Headers],[Grille Amount]],Table2[#Headers],0),0)</f>
        <v>0</v>
      </c>
      <c r="AC760" s="2">
        <f>VLOOKUP([jobnumber],OvalData[],MATCH(Table2[[#Headers],[Grille Center]],Table2[#Headers],0),0)</f>
        <v>0</v>
      </c>
      <c r="AD760" s="2">
        <f>VLOOKUP([jobnumber],OvalData[],MATCH(Table2[[#Headers],[Grille Pattern]],Table2[#Headers],0),0)</f>
        <v>0</v>
      </c>
      <c r="AE760" s="2">
        <f>VLOOKUP([jobnumber],OvalData[],MATCH(Table2[[#Headers],[Grille First Tube]],Table2[#Headers],0),0)</f>
        <v>0</v>
      </c>
      <c r="AF760" s="2">
        <f>VLOOKUP([jobnumber],OvalData[],MATCH(Table2[[#Headers],[Grille Standard Tube]],Table2[#Headers],0),0)</f>
        <v>0</v>
      </c>
      <c r="AG760" s="2">
        <f>VLOOKUP([jobnumber],OvalData[],MATCH(Table2[[#Headers],[Grille Total Links]],Table2[#Headers],0),0)</f>
        <v>0</v>
      </c>
      <c r="AH760" s="2">
        <f>VLOOKUP([jobnumber],OvalData[],MATCH(Table2[[#Headers],[Grille Rods]],Table2[#Headers],0),0)</f>
        <v>0</v>
      </c>
      <c r="AI760" s="2">
        <f>VLOOKUP([jobnumber],OvalData[],MATCH(Table2[[#Headers],[Grille Rod Length]],Table2[#Headers],0),0)</f>
        <v>0</v>
      </c>
      <c r="AJ760" s="2">
        <f>VLOOKUP([jobnumber],OvalData[],MATCH(Table2[[#Headers],[slattype]],Table2[#Headers],0),0)</f>
        <v>2</v>
      </c>
      <c r="AK760" s="2">
        <f>VLOOKUP([jobnumber],OvalData[],MATCH(Table2[[#Headers],[slatgage]],Table2[#Headers],0),0)</f>
        <v>18</v>
      </c>
      <c r="AL760" s="2">
        <f>VLOOKUP([jobnumber],OvalData[],MATCH(Table2[[#Headers],[Numer of Top Slats]],Table2[#Headers],0),0)</f>
        <v>0</v>
      </c>
      <c r="AM760" s="2">
        <f>VLOOKUP([jobnumber],OvalData[],MATCH(Table2[[#Headers],[Number of Bottom Slats]],Table2[#Headers],0),0)</f>
        <v>0</v>
      </c>
      <c r="AN760" s="2">
        <f>VLOOKUP([jobnumber],OvalData[],MATCH(Table2[[#Headers],[Solid Bottom Height]],Table2[#Headers],0),0)</f>
        <v>0</v>
      </c>
      <c r="AO760" s="2" t="str">
        <f>VLOOKUP([jobnumber],OvalData[],MATCH(Table2[[#Headers],[slatlength]],Table2[#Headers],0),0)</f>
        <v xml:space="preserve"> 18 ft.- 5 7/ 8"</v>
      </c>
      <c r="AP760" s="2">
        <f>VLOOKUP([jobnumber],OvalData[],MATCH(Table2[[#Headers],[Bottom Slat Length]],Table2[#Headers],0),0)</f>
        <v>0</v>
      </c>
      <c r="AQ760" s="2">
        <f>VLOOKUP([jobnumber],OvalData[],MATCH(Table2[[#Headers],[Number of Perferated Slats]],Table2[#Headers],0),0)</f>
        <v>0</v>
      </c>
      <c r="AR760" s="2">
        <f>VLOOKUP([jobnumber],OvalData[],MATCH(Table2[[#Headers],[First Preferated Slat From End]],Table2[#Headers],0),0)</f>
        <v>0</v>
      </c>
      <c r="AS760" s="2">
        <f>VLOOKUP([jobnumber],OvalData[],MATCH(Table2[[#Headers],[First Preferated Slat From Bottom]],Table2[#Headers],0),0)</f>
        <v>0</v>
      </c>
      <c r="AT760" s="2">
        <f>VLOOKUP([jobnumber],OvalData[],MATCH(Table2[[#Headers],[Total Number of Slats]],Table2[#Headers],0),0)</f>
        <v>51</v>
      </c>
      <c r="AU760" s="2">
        <f>VLOOKUP([jobnumber],OvalData[],MATCH(Table2[[#Headers],[Bottom Bar Slope]],Table2[#Headers],0),0)</f>
        <v>0</v>
      </c>
      <c r="AV760" s="2">
        <f>VLOOKUP([jobnumber],OvalData[],MATCH(Table2[[#Headers],[Bottom Bar Weight]],Table2[#Headers],0),0)</f>
        <v>80.5</v>
      </c>
      <c r="AW760" s="2" t="str">
        <f>VLOOKUP([jobnumber],OvalData[],MATCH(Table2[[#Headers],[Outer Spring Gage]],Table2[#Headers],0),0)</f>
        <v>Null</v>
      </c>
      <c r="AX760" s="2" t="str">
        <f>VLOOKUP([jobnumber],OvalData[],MATCH(Table2[[#Headers],[Outer Spring OD]],Table2[#Headers],0),0)</f>
        <v>Null</v>
      </c>
      <c r="AY760" s="2" t="str">
        <f>VLOOKUP([jobnumber],OvalData[],MATCH(Table2[[#Headers],[Outer Spring Length]],Table2[#Headers],0),0)</f>
        <v>Null</v>
      </c>
      <c r="AZ760" s="2" t="str">
        <f>VLOOKUP([jobnumber],OvalData[],MATCH(Table2[[#Headers],[Outer Spring Stretch]],Table2[#Headers],0),0)</f>
        <v>Null</v>
      </c>
      <c r="BA760" s="2" t="str">
        <f>VLOOKUP([jobnumber],OvalData[],MATCH(Table2[[#Headers],[Outer Spring Torque]],Table2[#Headers],0),0)</f>
        <v>Null</v>
      </c>
      <c r="BB760" s="2" t="str">
        <f>VLOOKUP([jobnumber],OvalData[],MATCH(Table2[[#Headers],[Outer Spring Max Turns]],Table2[#Headers],0),0)</f>
        <v>Null</v>
      </c>
      <c r="BC760" s="2" t="str">
        <f>VLOOKUP([jobnumber],OvalData[],MATCH(Table2[[#Headers],[Outer Spring Weight]],Table2[#Headers],0),0)</f>
        <v>Null</v>
      </c>
      <c r="BD760" s="2" t="str">
        <f>VLOOKUP([jobnumber],OvalData[],MATCH(Table2[[#Headers],[Inner Spring Gage]],Table2[#Headers],0),0)</f>
        <v>Null</v>
      </c>
      <c r="BE760" s="2" t="str">
        <f>VLOOKUP([jobnumber],OvalData[],MATCH(Table2[[#Headers],[Inner Spring OD]],Table2[#Headers],0),0)</f>
        <v>Null</v>
      </c>
      <c r="BF760" s="2" t="str">
        <f>VLOOKUP([jobnumber],OvalData[],MATCH(Table2[[#Headers],[Inner Spring Length]],Table2[#Headers],0),0)</f>
        <v>Null</v>
      </c>
      <c r="BG760" s="2" t="str">
        <f>VLOOKUP([jobnumber],OvalData[],MATCH(Table2[[#Headers],[Inner Spring Stretch]],Table2[#Headers],0),0)</f>
        <v>Null</v>
      </c>
      <c r="BH760" s="2" t="str">
        <f>VLOOKUP([jobnumber],OvalData[],MATCH(Table2[[#Headers],[Inner Spring Torque]],Table2[#Headers],0),0)</f>
        <v>Null</v>
      </c>
      <c r="BI760" s="2" t="str">
        <f>VLOOKUP([jobnumber],OvalData[],MATCH(Table2[[#Headers],[Inner Spring Max Turns]],Table2[#Headers],0),0)</f>
        <v>Null</v>
      </c>
      <c r="BJ760" s="2" t="str">
        <f>VLOOKUP([jobnumber],OvalData[],MATCH(Table2[[#Headers],[Inner Spring Weight]],Table2[#Headers],0),0)</f>
        <v>Null</v>
      </c>
      <c r="BK760" s="2">
        <f>VLOOKUP([jobnumber],OvalData[],MATCH(Table2[[#Headers],[Cycles]],Table2[#Headers],0),0)</f>
        <v>0</v>
      </c>
      <c r="BL760" s="2">
        <f>VLOOKUP([jobnumber],OvalData[],MATCH(Table2[[#Headers],[Total Spring Torque]],Table2[#Headers],0),0)</f>
        <v>0</v>
      </c>
      <c r="BM760" s="2">
        <f>VLOOKUP([jobnumber],OvalData[],MATCH(Table2[[#Headers],[Total Spring Weight]],Table2[#Headers],0),0)</f>
        <v>0</v>
      </c>
      <c r="BN760" s="2">
        <f>VLOOKUP([jobnumber],OvalData[],MATCH(Table2[[#Headers],[Pipe Weight]],Table2[#Headers],0),0)</f>
        <v>688.24239999999998</v>
      </c>
      <c r="BO760" s="2">
        <f>VLOOKUP([jobnumber],OvalData[],MATCH(Table2[[#Headers],[Max Pipe Deflection]],Table2[#Headers],0),0)</f>
        <v>2309</v>
      </c>
      <c r="BP760" s="2">
        <f>VLOOKUP([jobnumber],OvalData[],MATCH(Table2[[#Headers],[Number Non-Insulated Wrap Slats]],Table2[#Headers],0),0)</f>
        <v>0</v>
      </c>
      <c r="BQ760" s="2">
        <f>VLOOKUP([jobnumber],OvalData[],MATCH(Table2[[#Headers],[Number of Insolated Top Slats]],Table2[#Headers],0),0)</f>
        <v>45</v>
      </c>
      <c r="BR760" s="2">
        <f>VLOOKUP([jobnumber],OvalData[],MATCH(Table2[[#Headers],[Insolated Total Slats]],Table2[#Headers],0),0)</f>
        <v>45</v>
      </c>
      <c r="BS760" s="2">
        <f>VLOOKUP([jobnumber],OvalData[],MATCH(Table2[[#Headers],[Number of Slats]],Table2[#Headers],0),0)</f>
        <v>44.69</v>
      </c>
      <c r="BT760" s="2">
        <f>VLOOKUP([jobnumber],OvalData[],MATCH(Table2[[#Headers],[Wrap]],Table2[#Headers],0),0)</f>
        <v>0</v>
      </c>
      <c r="BU760" s="2">
        <f>VLOOKUP([jobnumber],OvalData[],MATCH(Table2[[#Headers],[Wall Angle Thickness]],Table2[#Headers],0),0)</f>
        <v>0</v>
      </c>
      <c r="BV760" s="2">
        <f>VLOOKUP([jobnumber],OvalData[],MATCH(Table2[[#Headers],[windlocks]],Table2[#Headers],0),0)</f>
        <v>0</v>
      </c>
      <c r="BW760" s="2" t="str">
        <f>VLOOKUP([jobnumber],OvalData[],MATCH(Table2[[#Headers],[bottombartype]],Table2[#Headers],0),0)</f>
        <v>SPECIAL</v>
      </c>
      <c r="BX760" s="2">
        <f>VLOOKUP([jobnumber],OvalData[],MATCH(Table2[[#Headers],[endlockweight]],Table2[#Headers],0),0)</f>
        <v>0.17</v>
      </c>
      <c r="BY760" s="2">
        <f>VLOOKUP([jobnumber],OvalData[],MATCH(Table2[[#Headers],[Endlock Total Weight]],Table2[#Headers],0),0)</f>
        <v>7.5972999999999997</v>
      </c>
      <c r="BZ760" s="2">
        <f>VLOOKUP([jobnumber],OvalData[],MATCH(Table2[[#Headers],[Grille Weight]],Table2[#Headers],0),0)</f>
        <v>0</v>
      </c>
      <c r="CA760" s="2">
        <f>VLOOKUP([jobnumber],OvalData[],MATCH(Table2[[#Headers],[barrelrings]],Table2[#Headers],0),0)</f>
        <v>1</v>
      </c>
    </row>
    <row r="761" spans="2:79">
      <c r="B761" s="2" t="str">
        <f>VLOOKUP([jobnumber],OvalData[],MATCH(Table2[[#Headers],[Hand]],Table2[#Headers],0),0)</f>
        <v>RH</v>
      </c>
      <c r="C761" s="2" t="str">
        <f>VLOOKUP([jobnumber],OvalData[],MATCH(Table2[[#Headers],[Model]],Table2[#Headers],0),0)</f>
        <v>SFMPP</v>
      </c>
      <c r="D761" s="2" t="str">
        <f>VLOOKUP([jobnumber],OvalData[],MATCH(Table2[[#Headers],[width]],Table2[#Headers],0),0)</f>
        <v xml:space="preserve"> 18 ft.- 2"</v>
      </c>
      <c r="E761" s="2" t="str">
        <f>VLOOKUP([jobnumber],OvalData[],MATCH(Table2[[#Headers],[stopheight]],Table2[#Headers],0),0)</f>
        <v xml:space="preserve"> 10 ft.- 0"</v>
      </c>
      <c r="F761" s="2" t="str">
        <f>VLOOKUP([jobnumber],OvalData[],MATCH(Table2[[#Headers],[Between Brackets]],Table2[#Headers],0),0)</f>
        <v xml:space="preserve"> 18 ft.- 7 7/ 8"</v>
      </c>
      <c r="G761" s="2" t="str">
        <f>VLOOKUP([jobnumber],OvalData[],MATCH(Table2[[#Headers],[shell]],Table2[#Headers],0),0)</f>
        <v>6 INCH TUBE</v>
      </c>
      <c r="H761" s="2" t="str">
        <f>VLOOKUP([jobnumber],OvalData[],MATCH(Table2[[#Headers],[pipewidth]],Table2[#Headers],0),0)</f>
        <v xml:space="preserve"> 18 ft.- 1 3/ 8"</v>
      </c>
      <c r="I761" s="2">
        <f>VLOOKUP([jobnumber],OvalData[],MATCH(Table2[[#Headers],[Support Tubes]],Table2[#Headers],0),0)</f>
        <v>0</v>
      </c>
      <c r="J761" s="2">
        <f>VLOOKUP([jobnumber],OvalData[],MATCH(Table2[[#Headers],[Upset]],Table2[#Headers],0),0)</f>
        <v>2</v>
      </c>
      <c r="K761" s="2" t="str">
        <f>VLOOKUP([jobnumber],OvalData[],MATCH(Table2[[#Headers],[Guide Type]],Table2[#Headers],0),0)</f>
        <v>SN2-4 5/8-E</v>
      </c>
      <c r="L761" s="2" t="str">
        <f>VLOOKUP([jobnumber],OvalData[],MATCH(Table2[[#Headers],[Wall Angle]],Table2[#Headers],0),0)</f>
        <v xml:space="preserve"> 11 ft.- 8"</v>
      </c>
      <c r="M761" s="2" t="str">
        <f>VLOOKUP([jobnumber],OvalData[],MATCH(Table2[[#Headers],[Middle Angle]],Table2[#Headers],0),0)</f>
        <v xml:space="preserve"> 10 ft.- 4 1/ 2"</v>
      </c>
      <c r="N761" s="2" t="str">
        <f>VLOOKUP([jobnumber],OvalData[],MATCH(Table2[[#Headers],[Front Angle]],Table2[#Headers],0),0)</f>
        <v xml:space="preserve"> 10 ft.- 3"</v>
      </c>
      <c r="O761" s="2">
        <f>VLOOKUP([jobnumber],OvalData[],MATCH(Table2[[#Headers],[Pipe Center Line]],Table2[#Headers],0),0)</f>
        <v>131</v>
      </c>
      <c r="P761" s="2">
        <f>VLOOKUP([jobnumber],OvalData[],MATCH(Table2[[#Headers],[Heat Expansion Gap]],Table2[#Headers],0),0)</f>
        <v>0</v>
      </c>
      <c r="Q761" s="2">
        <f>VLOOKUP([jobnumber],OvalData[],MATCH(Table2[[#Headers],[Hanging Weight Closed]],Table2[#Headers],0),0)</f>
        <v>795</v>
      </c>
      <c r="R761" s="2">
        <f>VLOOKUP([jobnumber],OvalData[],MATCH(Table2[[#Headers],[Hanging Weight Open]],Table2[#Headers],0),0)</f>
        <v>140</v>
      </c>
      <c r="S761" s="2">
        <f>VLOOKUP([jobnumber],OvalData[],MATCH(Table2[[#Headers],[Initial Lever Arm]],Table2[#Headers],0),0)</f>
        <v>4.25</v>
      </c>
      <c r="T761" s="2">
        <f>VLOOKUP([jobnumber],OvalData[],MATCH(Table2[[#Headers],[Turns to Raise]],Table2[#Headers],0),0)</f>
        <v>3.5859999999999999</v>
      </c>
      <c r="U761" s="2">
        <f>VLOOKUP([jobnumber],OvalData[],MATCH(Table2[[#Headers],[Final Lever Arm]],Table2[#Headers],0),0)</f>
        <v>6.37</v>
      </c>
      <c r="V761" s="2">
        <f>VLOOKUP([jobnumber],OvalData[],MATCH(Table2[[#Headers],[Torque Required Closed]],Table2[#Headers],0),0)</f>
        <v>3377.9</v>
      </c>
      <c r="W761" s="2">
        <f>VLOOKUP([jobnumber],OvalData[],MATCH(Table2[[#Headers],[Torque Required Open]],Table2[#Headers],0),0)</f>
        <v>892</v>
      </c>
      <c r="X761" s="2">
        <f>VLOOKUP([jobnumber],OvalData[],MATCH(Table2[[#Headers],[Pre Turns]],Table2[#Headers],0),0)</f>
        <v>1.3332999999999999</v>
      </c>
      <c r="Y761" s="2">
        <f>VLOOKUP([jobnumber],OvalData[],MATCH(Table2[[#Headers],[Required Torque Per Turn]],Table2[#Headers],0),0)</f>
        <v>688</v>
      </c>
      <c r="Z761" s="2">
        <f>VLOOKUP([jobnumber],OvalData[],MATCH(Table2[[#Headers],[Total Turns]],Table2[#Headers],0),0)</f>
        <v>4.91</v>
      </c>
      <c r="AA761" s="2">
        <f>VLOOKUP([jobnumber],OvalData[],MATCH(Table2[[#Headers],[Grille Vision Section]],Table2[#Headers],0),0)</f>
        <v>0</v>
      </c>
      <c r="AB761" s="2">
        <f>VLOOKUP([jobnumber],OvalData[],MATCH(Table2[[#Headers],[Grille Amount]],Table2[#Headers],0),0)</f>
        <v>0</v>
      </c>
      <c r="AC761" s="2">
        <f>VLOOKUP([jobnumber],OvalData[],MATCH(Table2[[#Headers],[Grille Center]],Table2[#Headers],0),0)</f>
        <v>0</v>
      </c>
      <c r="AD761" s="2">
        <f>VLOOKUP([jobnumber],OvalData[],MATCH(Table2[[#Headers],[Grille Pattern]],Table2[#Headers],0),0)</f>
        <v>0</v>
      </c>
      <c r="AE761" s="2">
        <f>VLOOKUP([jobnumber],OvalData[],MATCH(Table2[[#Headers],[Grille First Tube]],Table2[#Headers],0),0)</f>
        <v>0</v>
      </c>
      <c r="AF761" s="2">
        <f>VLOOKUP([jobnumber],OvalData[],MATCH(Table2[[#Headers],[Grille Standard Tube]],Table2[#Headers],0),0)</f>
        <v>0</v>
      </c>
      <c r="AG761" s="2">
        <f>VLOOKUP([jobnumber],OvalData[],MATCH(Table2[[#Headers],[Grille Total Links]],Table2[#Headers],0),0)</f>
        <v>0</v>
      </c>
      <c r="AH761" s="2">
        <f>VLOOKUP([jobnumber],OvalData[],MATCH(Table2[[#Headers],[Grille Rods]],Table2[#Headers],0),0)</f>
        <v>0</v>
      </c>
      <c r="AI761" s="2">
        <f>VLOOKUP([jobnumber],OvalData[],MATCH(Table2[[#Headers],[Grille Rod Length]],Table2[#Headers],0),0)</f>
        <v>0</v>
      </c>
      <c r="AJ761" s="2">
        <f>VLOOKUP([jobnumber],OvalData[],MATCH(Table2[[#Headers],[slattype]],Table2[#Headers],0),0)</f>
        <v>2</v>
      </c>
      <c r="AK761" s="2">
        <f>VLOOKUP([jobnumber],OvalData[],MATCH(Table2[[#Headers],[slatgage]],Table2[#Headers],0),0)</f>
        <v>18</v>
      </c>
      <c r="AL761" s="2">
        <f>VLOOKUP([jobnumber],OvalData[],MATCH(Table2[[#Headers],[Numer of Top Slats]],Table2[#Headers],0),0)</f>
        <v>0</v>
      </c>
      <c r="AM761" s="2">
        <f>VLOOKUP([jobnumber],OvalData[],MATCH(Table2[[#Headers],[Number of Bottom Slats]],Table2[#Headers],0),0)</f>
        <v>0</v>
      </c>
      <c r="AN761" s="2">
        <f>VLOOKUP([jobnumber],OvalData[],MATCH(Table2[[#Headers],[Solid Bottom Height]],Table2[#Headers],0),0)</f>
        <v>0</v>
      </c>
      <c r="AO761" s="2" t="str">
        <f>VLOOKUP([jobnumber],OvalData[],MATCH(Table2[[#Headers],[slatlength]],Table2[#Headers],0),0)</f>
        <v xml:space="preserve"> 18 ft.- 5 7/ 8"</v>
      </c>
      <c r="AP761" s="2">
        <f>VLOOKUP([jobnumber],OvalData[],MATCH(Table2[[#Headers],[Bottom Slat Length]],Table2[#Headers],0),0)</f>
        <v>0</v>
      </c>
      <c r="AQ761" s="2">
        <f>VLOOKUP([jobnumber],OvalData[],MATCH(Table2[[#Headers],[Number of Perferated Slats]],Table2[#Headers],0),0)</f>
        <v>0</v>
      </c>
      <c r="AR761" s="2">
        <f>VLOOKUP([jobnumber],OvalData[],MATCH(Table2[[#Headers],[First Preferated Slat From End]],Table2[#Headers],0),0)</f>
        <v>0</v>
      </c>
      <c r="AS761" s="2">
        <f>VLOOKUP([jobnumber],OvalData[],MATCH(Table2[[#Headers],[First Preferated Slat From Bottom]],Table2[#Headers],0),0)</f>
        <v>0</v>
      </c>
      <c r="AT761" s="2">
        <f>VLOOKUP([jobnumber],OvalData[],MATCH(Table2[[#Headers],[Total Number of Slats]],Table2[#Headers],0),0)</f>
        <v>51</v>
      </c>
      <c r="AU761" s="2">
        <f>VLOOKUP([jobnumber],OvalData[],MATCH(Table2[[#Headers],[Bottom Bar Slope]],Table2[#Headers],0),0)</f>
        <v>0</v>
      </c>
      <c r="AV761" s="2">
        <f>VLOOKUP([jobnumber],OvalData[],MATCH(Table2[[#Headers],[Bottom Bar Weight]],Table2[#Headers],0),0)</f>
        <v>80.5</v>
      </c>
      <c r="AW761" s="2" t="str">
        <f>VLOOKUP([jobnumber],OvalData[],MATCH(Table2[[#Headers],[Outer Spring Gage]],Table2[#Headers],0),0)</f>
        <v>Null</v>
      </c>
      <c r="AX761" s="2" t="str">
        <f>VLOOKUP([jobnumber],OvalData[],MATCH(Table2[[#Headers],[Outer Spring OD]],Table2[#Headers],0),0)</f>
        <v>Null</v>
      </c>
      <c r="AY761" s="2" t="str">
        <f>VLOOKUP([jobnumber],OvalData[],MATCH(Table2[[#Headers],[Outer Spring Length]],Table2[#Headers],0),0)</f>
        <v>Null</v>
      </c>
      <c r="AZ761" s="2" t="str">
        <f>VLOOKUP([jobnumber],OvalData[],MATCH(Table2[[#Headers],[Outer Spring Stretch]],Table2[#Headers],0),0)</f>
        <v>Null</v>
      </c>
      <c r="BA761" s="2" t="str">
        <f>VLOOKUP([jobnumber],OvalData[],MATCH(Table2[[#Headers],[Outer Spring Torque]],Table2[#Headers],0),0)</f>
        <v>Null</v>
      </c>
      <c r="BB761" s="2" t="str">
        <f>VLOOKUP([jobnumber],OvalData[],MATCH(Table2[[#Headers],[Outer Spring Max Turns]],Table2[#Headers],0),0)</f>
        <v>Null</v>
      </c>
      <c r="BC761" s="2" t="str">
        <f>VLOOKUP([jobnumber],OvalData[],MATCH(Table2[[#Headers],[Outer Spring Weight]],Table2[#Headers],0),0)</f>
        <v>Null</v>
      </c>
      <c r="BD761" s="2" t="str">
        <f>VLOOKUP([jobnumber],OvalData[],MATCH(Table2[[#Headers],[Inner Spring Gage]],Table2[#Headers],0),0)</f>
        <v>Null</v>
      </c>
      <c r="BE761" s="2" t="str">
        <f>VLOOKUP([jobnumber],OvalData[],MATCH(Table2[[#Headers],[Inner Spring OD]],Table2[#Headers],0),0)</f>
        <v>Null</v>
      </c>
      <c r="BF761" s="2" t="str">
        <f>VLOOKUP([jobnumber],OvalData[],MATCH(Table2[[#Headers],[Inner Spring Length]],Table2[#Headers],0),0)</f>
        <v>Null</v>
      </c>
      <c r="BG761" s="2" t="str">
        <f>VLOOKUP([jobnumber],OvalData[],MATCH(Table2[[#Headers],[Inner Spring Stretch]],Table2[#Headers],0),0)</f>
        <v>Null</v>
      </c>
      <c r="BH761" s="2" t="str">
        <f>VLOOKUP([jobnumber],OvalData[],MATCH(Table2[[#Headers],[Inner Spring Torque]],Table2[#Headers],0),0)</f>
        <v>Null</v>
      </c>
      <c r="BI761" s="2" t="str">
        <f>VLOOKUP([jobnumber],OvalData[],MATCH(Table2[[#Headers],[Inner Spring Max Turns]],Table2[#Headers],0),0)</f>
        <v>Null</v>
      </c>
      <c r="BJ761" s="2" t="str">
        <f>VLOOKUP([jobnumber],OvalData[],MATCH(Table2[[#Headers],[Inner Spring Weight]],Table2[#Headers],0),0)</f>
        <v>Null</v>
      </c>
      <c r="BK761" s="2">
        <f>VLOOKUP([jobnumber],OvalData[],MATCH(Table2[[#Headers],[Cycles]],Table2[#Headers],0),0)</f>
        <v>0</v>
      </c>
      <c r="BL761" s="2">
        <f>VLOOKUP([jobnumber],OvalData[],MATCH(Table2[[#Headers],[Total Spring Torque]],Table2[#Headers],0),0)</f>
        <v>0</v>
      </c>
      <c r="BM761" s="2">
        <f>VLOOKUP([jobnumber],OvalData[],MATCH(Table2[[#Headers],[Total Spring Weight]],Table2[#Headers],0),0)</f>
        <v>0</v>
      </c>
      <c r="BN761" s="2">
        <f>VLOOKUP([jobnumber],OvalData[],MATCH(Table2[[#Headers],[Pipe Weight]],Table2[#Headers],0),0)</f>
        <v>688.24239999999998</v>
      </c>
      <c r="BO761" s="2">
        <f>VLOOKUP([jobnumber],OvalData[],MATCH(Table2[[#Headers],[Max Pipe Deflection]],Table2[#Headers],0),0)</f>
        <v>2309</v>
      </c>
      <c r="BP761" s="2">
        <f>VLOOKUP([jobnumber],OvalData[],MATCH(Table2[[#Headers],[Number Non-Insulated Wrap Slats]],Table2[#Headers],0),0)</f>
        <v>0</v>
      </c>
      <c r="BQ761" s="2">
        <f>VLOOKUP([jobnumber],OvalData[],MATCH(Table2[[#Headers],[Number of Insolated Top Slats]],Table2[#Headers],0),0)</f>
        <v>45</v>
      </c>
      <c r="BR761" s="2">
        <f>VLOOKUP([jobnumber],OvalData[],MATCH(Table2[[#Headers],[Insolated Total Slats]],Table2[#Headers],0),0)</f>
        <v>45</v>
      </c>
      <c r="BS761" s="2">
        <f>VLOOKUP([jobnumber],OvalData[],MATCH(Table2[[#Headers],[Number of Slats]],Table2[#Headers],0),0)</f>
        <v>44.69</v>
      </c>
      <c r="BT761" s="2">
        <f>VLOOKUP([jobnumber],OvalData[],MATCH(Table2[[#Headers],[Wrap]],Table2[#Headers],0),0)</f>
        <v>0</v>
      </c>
      <c r="BU761" s="2">
        <f>VLOOKUP([jobnumber],OvalData[],MATCH(Table2[[#Headers],[Wall Angle Thickness]],Table2[#Headers],0),0)</f>
        <v>0</v>
      </c>
      <c r="BV761" s="2">
        <f>VLOOKUP([jobnumber],OvalData[],MATCH(Table2[[#Headers],[windlocks]],Table2[#Headers],0),0)</f>
        <v>0</v>
      </c>
      <c r="BW761" s="2" t="str">
        <f>VLOOKUP([jobnumber],OvalData[],MATCH(Table2[[#Headers],[bottombartype]],Table2[#Headers],0),0)</f>
        <v>SPECIAL</v>
      </c>
      <c r="BX761" s="2">
        <f>VLOOKUP([jobnumber],OvalData[],MATCH(Table2[[#Headers],[endlockweight]],Table2[#Headers],0),0)</f>
        <v>0.17</v>
      </c>
      <c r="BY761" s="2">
        <f>VLOOKUP([jobnumber],OvalData[],MATCH(Table2[[#Headers],[Endlock Total Weight]],Table2[#Headers],0),0)</f>
        <v>7.5972999999999997</v>
      </c>
      <c r="BZ761" s="2">
        <f>VLOOKUP([jobnumber],OvalData[],MATCH(Table2[[#Headers],[Grille Weight]],Table2[#Headers],0),0)</f>
        <v>0</v>
      </c>
      <c r="CA761" s="2">
        <f>VLOOKUP([jobnumber],OvalData[],MATCH(Table2[[#Headers],[barrelrings]],Table2[#Headers],0),0)</f>
        <v>1</v>
      </c>
    </row>
    <row r="762" spans="2:79">
      <c r="B762" s="2" t="str">
        <f>VLOOKUP([jobnumber],OvalData[],MATCH(Table2[[#Headers],[Hand]],Table2[#Headers],0),0)</f>
        <v>RH</v>
      </c>
      <c r="C762" s="2" t="str">
        <f>VLOOKUP([jobnumber],OvalData[],MATCH(Table2[[#Headers],[Model]],Table2[#Headers],0),0)</f>
        <v>SFMPP</v>
      </c>
      <c r="D762" s="2" t="str">
        <f>VLOOKUP([jobnumber],OvalData[],MATCH(Table2[[#Headers],[width]],Table2[#Headers],0),0)</f>
        <v xml:space="preserve"> 18 ft.- 2"</v>
      </c>
      <c r="E762" s="2" t="str">
        <f>VLOOKUP([jobnumber],OvalData[],MATCH(Table2[[#Headers],[stopheight]],Table2[#Headers],0),0)</f>
        <v xml:space="preserve"> 10 ft.- 0"</v>
      </c>
      <c r="F762" s="2" t="str">
        <f>VLOOKUP([jobnumber],OvalData[],MATCH(Table2[[#Headers],[Between Brackets]],Table2[#Headers],0),0)</f>
        <v xml:space="preserve"> 18 ft.- 7 7/ 8"</v>
      </c>
      <c r="G762" s="2" t="str">
        <f>VLOOKUP([jobnumber],OvalData[],MATCH(Table2[[#Headers],[shell]],Table2[#Headers],0),0)</f>
        <v>6 INCH TUBE</v>
      </c>
      <c r="H762" s="2" t="str">
        <f>VLOOKUP([jobnumber],OvalData[],MATCH(Table2[[#Headers],[pipewidth]],Table2[#Headers],0),0)</f>
        <v xml:space="preserve"> 18 ft.- 1 3/ 8"</v>
      </c>
      <c r="I762" s="2">
        <f>VLOOKUP([jobnumber],OvalData[],MATCH(Table2[[#Headers],[Support Tubes]],Table2[#Headers],0),0)</f>
        <v>0</v>
      </c>
      <c r="J762" s="2">
        <f>VLOOKUP([jobnumber],OvalData[],MATCH(Table2[[#Headers],[Upset]],Table2[#Headers],0),0)</f>
        <v>2</v>
      </c>
      <c r="K762" s="2" t="str">
        <f>VLOOKUP([jobnumber],OvalData[],MATCH(Table2[[#Headers],[Guide Type]],Table2[#Headers],0),0)</f>
        <v>SN2-4 5/8-E</v>
      </c>
      <c r="L762" s="2" t="str">
        <f>VLOOKUP([jobnumber],OvalData[],MATCH(Table2[[#Headers],[Wall Angle]],Table2[#Headers],0),0)</f>
        <v xml:space="preserve"> 11 ft.- 8"</v>
      </c>
      <c r="M762" s="2" t="str">
        <f>VLOOKUP([jobnumber],OvalData[],MATCH(Table2[[#Headers],[Middle Angle]],Table2[#Headers],0),0)</f>
        <v xml:space="preserve"> 10 ft.- 4 1/ 2"</v>
      </c>
      <c r="N762" s="2" t="str">
        <f>VLOOKUP([jobnumber],OvalData[],MATCH(Table2[[#Headers],[Front Angle]],Table2[#Headers],0),0)</f>
        <v xml:space="preserve"> 10 ft.- 3"</v>
      </c>
      <c r="O762" s="2">
        <f>VLOOKUP([jobnumber],OvalData[],MATCH(Table2[[#Headers],[Pipe Center Line]],Table2[#Headers],0),0)</f>
        <v>131</v>
      </c>
      <c r="P762" s="2">
        <f>VLOOKUP([jobnumber],OvalData[],MATCH(Table2[[#Headers],[Heat Expansion Gap]],Table2[#Headers],0),0)</f>
        <v>0</v>
      </c>
      <c r="Q762" s="2">
        <f>VLOOKUP([jobnumber],OvalData[],MATCH(Table2[[#Headers],[Hanging Weight Closed]],Table2[#Headers],0),0)</f>
        <v>795</v>
      </c>
      <c r="R762" s="2">
        <f>VLOOKUP([jobnumber],OvalData[],MATCH(Table2[[#Headers],[Hanging Weight Open]],Table2[#Headers],0),0)</f>
        <v>140</v>
      </c>
      <c r="S762" s="2">
        <f>VLOOKUP([jobnumber],OvalData[],MATCH(Table2[[#Headers],[Initial Lever Arm]],Table2[#Headers],0),0)</f>
        <v>4.25</v>
      </c>
      <c r="T762" s="2">
        <f>VLOOKUP([jobnumber],OvalData[],MATCH(Table2[[#Headers],[Turns to Raise]],Table2[#Headers],0),0)</f>
        <v>3.5859999999999999</v>
      </c>
      <c r="U762" s="2">
        <f>VLOOKUP([jobnumber],OvalData[],MATCH(Table2[[#Headers],[Final Lever Arm]],Table2[#Headers],0),0)</f>
        <v>6.37</v>
      </c>
      <c r="V762" s="2">
        <f>VLOOKUP([jobnumber],OvalData[],MATCH(Table2[[#Headers],[Torque Required Closed]],Table2[#Headers],0),0)</f>
        <v>3377.9</v>
      </c>
      <c r="W762" s="2">
        <f>VLOOKUP([jobnumber],OvalData[],MATCH(Table2[[#Headers],[Torque Required Open]],Table2[#Headers],0),0)</f>
        <v>892</v>
      </c>
      <c r="X762" s="2">
        <f>VLOOKUP([jobnumber],OvalData[],MATCH(Table2[[#Headers],[Pre Turns]],Table2[#Headers],0),0)</f>
        <v>1.3332999999999999</v>
      </c>
      <c r="Y762" s="2">
        <f>VLOOKUP([jobnumber],OvalData[],MATCH(Table2[[#Headers],[Required Torque Per Turn]],Table2[#Headers],0),0)</f>
        <v>688</v>
      </c>
      <c r="Z762" s="2">
        <f>VLOOKUP([jobnumber],OvalData[],MATCH(Table2[[#Headers],[Total Turns]],Table2[#Headers],0),0)</f>
        <v>4.91</v>
      </c>
      <c r="AA762" s="2">
        <f>VLOOKUP([jobnumber],OvalData[],MATCH(Table2[[#Headers],[Grille Vision Section]],Table2[#Headers],0),0)</f>
        <v>0</v>
      </c>
      <c r="AB762" s="2">
        <f>VLOOKUP([jobnumber],OvalData[],MATCH(Table2[[#Headers],[Grille Amount]],Table2[#Headers],0),0)</f>
        <v>0</v>
      </c>
      <c r="AC762" s="2">
        <f>VLOOKUP([jobnumber],OvalData[],MATCH(Table2[[#Headers],[Grille Center]],Table2[#Headers],0),0)</f>
        <v>0</v>
      </c>
      <c r="AD762" s="2">
        <f>VLOOKUP([jobnumber],OvalData[],MATCH(Table2[[#Headers],[Grille Pattern]],Table2[#Headers],0),0)</f>
        <v>0</v>
      </c>
      <c r="AE762" s="2">
        <f>VLOOKUP([jobnumber],OvalData[],MATCH(Table2[[#Headers],[Grille First Tube]],Table2[#Headers],0),0)</f>
        <v>0</v>
      </c>
      <c r="AF762" s="2">
        <f>VLOOKUP([jobnumber],OvalData[],MATCH(Table2[[#Headers],[Grille Standard Tube]],Table2[#Headers],0),0)</f>
        <v>0</v>
      </c>
      <c r="AG762" s="2">
        <f>VLOOKUP([jobnumber],OvalData[],MATCH(Table2[[#Headers],[Grille Total Links]],Table2[#Headers],0),0)</f>
        <v>0</v>
      </c>
      <c r="AH762" s="2">
        <f>VLOOKUP([jobnumber],OvalData[],MATCH(Table2[[#Headers],[Grille Rods]],Table2[#Headers],0),0)</f>
        <v>0</v>
      </c>
      <c r="AI762" s="2">
        <f>VLOOKUP([jobnumber],OvalData[],MATCH(Table2[[#Headers],[Grille Rod Length]],Table2[#Headers],0),0)</f>
        <v>0</v>
      </c>
      <c r="AJ762" s="2">
        <f>VLOOKUP([jobnumber],OvalData[],MATCH(Table2[[#Headers],[slattype]],Table2[#Headers],0),0)</f>
        <v>2</v>
      </c>
      <c r="AK762" s="2">
        <f>VLOOKUP([jobnumber],OvalData[],MATCH(Table2[[#Headers],[slatgage]],Table2[#Headers],0),0)</f>
        <v>18</v>
      </c>
      <c r="AL762" s="2">
        <f>VLOOKUP([jobnumber],OvalData[],MATCH(Table2[[#Headers],[Numer of Top Slats]],Table2[#Headers],0),0)</f>
        <v>0</v>
      </c>
      <c r="AM762" s="2">
        <f>VLOOKUP([jobnumber],OvalData[],MATCH(Table2[[#Headers],[Number of Bottom Slats]],Table2[#Headers],0),0)</f>
        <v>0</v>
      </c>
      <c r="AN762" s="2">
        <f>VLOOKUP([jobnumber],OvalData[],MATCH(Table2[[#Headers],[Solid Bottom Height]],Table2[#Headers],0),0)</f>
        <v>0</v>
      </c>
      <c r="AO762" s="2" t="str">
        <f>VLOOKUP([jobnumber],OvalData[],MATCH(Table2[[#Headers],[slatlength]],Table2[#Headers],0),0)</f>
        <v xml:space="preserve"> 18 ft.- 5 7/ 8"</v>
      </c>
      <c r="AP762" s="2">
        <f>VLOOKUP([jobnumber],OvalData[],MATCH(Table2[[#Headers],[Bottom Slat Length]],Table2[#Headers],0),0)</f>
        <v>0</v>
      </c>
      <c r="AQ762" s="2">
        <f>VLOOKUP([jobnumber],OvalData[],MATCH(Table2[[#Headers],[Number of Perferated Slats]],Table2[#Headers],0),0)</f>
        <v>0</v>
      </c>
      <c r="AR762" s="2">
        <f>VLOOKUP([jobnumber],OvalData[],MATCH(Table2[[#Headers],[First Preferated Slat From End]],Table2[#Headers],0),0)</f>
        <v>0</v>
      </c>
      <c r="AS762" s="2">
        <f>VLOOKUP([jobnumber],OvalData[],MATCH(Table2[[#Headers],[First Preferated Slat From Bottom]],Table2[#Headers],0),0)</f>
        <v>0</v>
      </c>
      <c r="AT762" s="2">
        <f>VLOOKUP([jobnumber],OvalData[],MATCH(Table2[[#Headers],[Total Number of Slats]],Table2[#Headers],0),0)</f>
        <v>51</v>
      </c>
      <c r="AU762" s="2">
        <f>VLOOKUP([jobnumber],OvalData[],MATCH(Table2[[#Headers],[Bottom Bar Slope]],Table2[#Headers],0),0)</f>
        <v>0</v>
      </c>
      <c r="AV762" s="2">
        <f>VLOOKUP([jobnumber],OvalData[],MATCH(Table2[[#Headers],[Bottom Bar Weight]],Table2[#Headers],0),0)</f>
        <v>80.5</v>
      </c>
      <c r="AW762" s="2" t="str">
        <f>VLOOKUP([jobnumber],OvalData[],MATCH(Table2[[#Headers],[Outer Spring Gage]],Table2[#Headers],0),0)</f>
        <v>Null</v>
      </c>
      <c r="AX762" s="2" t="str">
        <f>VLOOKUP([jobnumber],OvalData[],MATCH(Table2[[#Headers],[Outer Spring OD]],Table2[#Headers],0),0)</f>
        <v>Null</v>
      </c>
      <c r="AY762" s="2" t="str">
        <f>VLOOKUP([jobnumber],OvalData[],MATCH(Table2[[#Headers],[Outer Spring Length]],Table2[#Headers],0),0)</f>
        <v>Null</v>
      </c>
      <c r="AZ762" s="2" t="str">
        <f>VLOOKUP([jobnumber],OvalData[],MATCH(Table2[[#Headers],[Outer Spring Stretch]],Table2[#Headers],0),0)</f>
        <v>Null</v>
      </c>
      <c r="BA762" s="2" t="str">
        <f>VLOOKUP([jobnumber],OvalData[],MATCH(Table2[[#Headers],[Outer Spring Torque]],Table2[#Headers],0),0)</f>
        <v>Null</v>
      </c>
      <c r="BB762" s="2" t="str">
        <f>VLOOKUP([jobnumber],OvalData[],MATCH(Table2[[#Headers],[Outer Spring Max Turns]],Table2[#Headers],0),0)</f>
        <v>Null</v>
      </c>
      <c r="BC762" s="2" t="str">
        <f>VLOOKUP([jobnumber],OvalData[],MATCH(Table2[[#Headers],[Outer Spring Weight]],Table2[#Headers],0),0)</f>
        <v>Null</v>
      </c>
      <c r="BD762" s="2" t="str">
        <f>VLOOKUP([jobnumber],OvalData[],MATCH(Table2[[#Headers],[Inner Spring Gage]],Table2[#Headers],0),0)</f>
        <v>Null</v>
      </c>
      <c r="BE762" s="2" t="str">
        <f>VLOOKUP([jobnumber],OvalData[],MATCH(Table2[[#Headers],[Inner Spring OD]],Table2[#Headers],0),0)</f>
        <v>Null</v>
      </c>
      <c r="BF762" s="2" t="str">
        <f>VLOOKUP([jobnumber],OvalData[],MATCH(Table2[[#Headers],[Inner Spring Length]],Table2[#Headers],0),0)</f>
        <v>Null</v>
      </c>
      <c r="BG762" s="2" t="str">
        <f>VLOOKUP([jobnumber],OvalData[],MATCH(Table2[[#Headers],[Inner Spring Stretch]],Table2[#Headers],0),0)</f>
        <v>Null</v>
      </c>
      <c r="BH762" s="2" t="str">
        <f>VLOOKUP([jobnumber],OvalData[],MATCH(Table2[[#Headers],[Inner Spring Torque]],Table2[#Headers],0),0)</f>
        <v>Null</v>
      </c>
      <c r="BI762" s="2" t="str">
        <f>VLOOKUP([jobnumber],OvalData[],MATCH(Table2[[#Headers],[Inner Spring Max Turns]],Table2[#Headers],0),0)</f>
        <v>Null</v>
      </c>
      <c r="BJ762" s="2" t="str">
        <f>VLOOKUP([jobnumber],OvalData[],MATCH(Table2[[#Headers],[Inner Spring Weight]],Table2[#Headers],0),0)</f>
        <v>Null</v>
      </c>
      <c r="BK762" s="2">
        <f>VLOOKUP([jobnumber],OvalData[],MATCH(Table2[[#Headers],[Cycles]],Table2[#Headers],0),0)</f>
        <v>0</v>
      </c>
      <c r="BL762" s="2">
        <f>VLOOKUP([jobnumber],OvalData[],MATCH(Table2[[#Headers],[Total Spring Torque]],Table2[#Headers],0),0)</f>
        <v>0</v>
      </c>
      <c r="BM762" s="2">
        <f>VLOOKUP([jobnumber],OvalData[],MATCH(Table2[[#Headers],[Total Spring Weight]],Table2[#Headers],0),0)</f>
        <v>0</v>
      </c>
      <c r="BN762" s="2">
        <f>VLOOKUP([jobnumber],OvalData[],MATCH(Table2[[#Headers],[Pipe Weight]],Table2[#Headers],0),0)</f>
        <v>688.24239999999998</v>
      </c>
      <c r="BO762" s="2">
        <f>VLOOKUP([jobnumber],OvalData[],MATCH(Table2[[#Headers],[Max Pipe Deflection]],Table2[#Headers],0),0)</f>
        <v>2309</v>
      </c>
      <c r="BP762" s="2">
        <f>VLOOKUP([jobnumber],OvalData[],MATCH(Table2[[#Headers],[Number Non-Insulated Wrap Slats]],Table2[#Headers],0),0)</f>
        <v>0</v>
      </c>
      <c r="BQ762" s="2">
        <f>VLOOKUP([jobnumber],OvalData[],MATCH(Table2[[#Headers],[Number of Insolated Top Slats]],Table2[#Headers],0),0)</f>
        <v>45</v>
      </c>
      <c r="BR762" s="2">
        <f>VLOOKUP([jobnumber],OvalData[],MATCH(Table2[[#Headers],[Insolated Total Slats]],Table2[#Headers],0),0)</f>
        <v>45</v>
      </c>
      <c r="BS762" s="2">
        <f>VLOOKUP([jobnumber],OvalData[],MATCH(Table2[[#Headers],[Number of Slats]],Table2[#Headers],0),0)</f>
        <v>44.69</v>
      </c>
      <c r="BT762" s="2">
        <f>VLOOKUP([jobnumber],OvalData[],MATCH(Table2[[#Headers],[Wrap]],Table2[#Headers],0),0)</f>
        <v>0</v>
      </c>
      <c r="BU762" s="2">
        <f>VLOOKUP([jobnumber],OvalData[],MATCH(Table2[[#Headers],[Wall Angle Thickness]],Table2[#Headers],0),0)</f>
        <v>0</v>
      </c>
      <c r="BV762" s="2">
        <f>VLOOKUP([jobnumber],OvalData[],MATCH(Table2[[#Headers],[windlocks]],Table2[#Headers],0),0)</f>
        <v>0</v>
      </c>
      <c r="BW762" s="2" t="str">
        <f>VLOOKUP([jobnumber],OvalData[],MATCH(Table2[[#Headers],[bottombartype]],Table2[#Headers],0),0)</f>
        <v>SPECIAL</v>
      </c>
      <c r="BX762" s="2">
        <f>VLOOKUP([jobnumber],OvalData[],MATCH(Table2[[#Headers],[endlockweight]],Table2[#Headers],0),0)</f>
        <v>0.17</v>
      </c>
      <c r="BY762" s="2">
        <f>VLOOKUP([jobnumber],OvalData[],MATCH(Table2[[#Headers],[Endlock Total Weight]],Table2[#Headers],0),0)</f>
        <v>7.5972999999999997</v>
      </c>
      <c r="BZ762" s="2">
        <f>VLOOKUP([jobnumber],OvalData[],MATCH(Table2[[#Headers],[Grille Weight]],Table2[#Headers],0),0)</f>
        <v>0</v>
      </c>
      <c r="CA762" s="2">
        <f>VLOOKUP([jobnumber],OvalData[],MATCH(Table2[[#Headers],[barrelrings]],Table2[#Headers],0),0)</f>
        <v>1</v>
      </c>
    </row>
    <row r="763" spans="2:79">
      <c r="B763" s="2" t="str">
        <f>VLOOKUP([jobnumber],OvalData[],MATCH(Table2[[#Headers],[Hand]],Table2[#Headers],0),0)</f>
        <v>RH</v>
      </c>
      <c r="C763" s="2" t="str">
        <f>VLOOKUP([jobnumber],OvalData[],MATCH(Table2[[#Headers],[Model]],Table2[#Headers],0),0)</f>
        <v>SFMPP</v>
      </c>
      <c r="D763" s="2" t="str">
        <f>VLOOKUP([jobnumber],OvalData[],MATCH(Table2[[#Headers],[width]],Table2[#Headers],0),0)</f>
        <v xml:space="preserve"> 18 ft.- 2"</v>
      </c>
      <c r="E763" s="2" t="str">
        <f>VLOOKUP([jobnumber],OvalData[],MATCH(Table2[[#Headers],[stopheight]],Table2[#Headers],0),0)</f>
        <v xml:space="preserve"> 10 ft.- 0"</v>
      </c>
      <c r="F763" s="2" t="str">
        <f>VLOOKUP([jobnumber],OvalData[],MATCH(Table2[[#Headers],[Between Brackets]],Table2[#Headers],0),0)</f>
        <v xml:space="preserve"> 18 ft.- 7 7/ 8"</v>
      </c>
      <c r="G763" s="2" t="str">
        <f>VLOOKUP([jobnumber],OvalData[],MATCH(Table2[[#Headers],[shell]],Table2[#Headers],0),0)</f>
        <v>6 INCH TUBE</v>
      </c>
      <c r="H763" s="2" t="str">
        <f>VLOOKUP([jobnumber],OvalData[],MATCH(Table2[[#Headers],[pipewidth]],Table2[#Headers],0),0)</f>
        <v xml:space="preserve"> 18 ft.- 1 3/ 8"</v>
      </c>
      <c r="I763" s="2">
        <f>VLOOKUP([jobnumber],OvalData[],MATCH(Table2[[#Headers],[Support Tubes]],Table2[#Headers],0),0)</f>
        <v>0</v>
      </c>
      <c r="J763" s="2">
        <f>VLOOKUP([jobnumber],OvalData[],MATCH(Table2[[#Headers],[Upset]],Table2[#Headers],0),0)</f>
        <v>2</v>
      </c>
      <c r="K763" s="2" t="str">
        <f>VLOOKUP([jobnumber],OvalData[],MATCH(Table2[[#Headers],[Guide Type]],Table2[#Headers],0),0)</f>
        <v>SN2-4 5/8-E</v>
      </c>
      <c r="L763" s="2" t="str">
        <f>VLOOKUP([jobnumber],OvalData[],MATCH(Table2[[#Headers],[Wall Angle]],Table2[#Headers],0),0)</f>
        <v xml:space="preserve"> 11 ft.- 8"</v>
      </c>
      <c r="M763" s="2" t="str">
        <f>VLOOKUP([jobnumber],OvalData[],MATCH(Table2[[#Headers],[Middle Angle]],Table2[#Headers],0),0)</f>
        <v xml:space="preserve"> 10 ft.- 4 1/ 2"</v>
      </c>
      <c r="N763" s="2" t="str">
        <f>VLOOKUP([jobnumber],OvalData[],MATCH(Table2[[#Headers],[Front Angle]],Table2[#Headers],0),0)</f>
        <v xml:space="preserve"> 10 ft.- 3"</v>
      </c>
      <c r="O763" s="2">
        <f>VLOOKUP([jobnumber],OvalData[],MATCH(Table2[[#Headers],[Pipe Center Line]],Table2[#Headers],0),0)</f>
        <v>131</v>
      </c>
      <c r="P763" s="2">
        <f>VLOOKUP([jobnumber],OvalData[],MATCH(Table2[[#Headers],[Heat Expansion Gap]],Table2[#Headers],0),0)</f>
        <v>0</v>
      </c>
      <c r="Q763" s="2">
        <f>VLOOKUP([jobnumber],OvalData[],MATCH(Table2[[#Headers],[Hanging Weight Closed]],Table2[#Headers],0),0)</f>
        <v>795</v>
      </c>
      <c r="R763" s="2">
        <f>VLOOKUP([jobnumber],OvalData[],MATCH(Table2[[#Headers],[Hanging Weight Open]],Table2[#Headers],0),0)</f>
        <v>140</v>
      </c>
      <c r="S763" s="2">
        <f>VLOOKUP([jobnumber],OvalData[],MATCH(Table2[[#Headers],[Initial Lever Arm]],Table2[#Headers],0),0)</f>
        <v>4.25</v>
      </c>
      <c r="T763" s="2">
        <f>VLOOKUP([jobnumber],OvalData[],MATCH(Table2[[#Headers],[Turns to Raise]],Table2[#Headers],0),0)</f>
        <v>3.5859999999999999</v>
      </c>
      <c r="U763" s="2">
        <f>VLOOKUP([jobnumber],OvalData[],MATCH(Table2[[#Headers],[Final Lever Arm]],Table2[#Headers],0),0)</f>
        <v>6.37</v>
      </c>
      <c r="V763" s="2">
        <f>VLOOKUP([jobnumber],OvalData[],MATCH(Table2[[#Headers],[Torque Required Closed]],Table2[#Headers],0),0)</f>
        <v>3377.9</v>
      </c>
      <c r="W763" s="2">
        <f>VLOOKUP([jobnumber],OvalData[],MATCH(Table2[[#Headers],[Torque Required Open]],Table2[#Headers],0),0)</f>
        <v>892</v>
      </c>
      <c r="X763" s="2">
        <f>VLOOKUP([jobnumber],OvalData[],MATCH(Table2[[#Headers],[Pre Turns]],Table2[#Headers],0),0)</f>
        <v>1.3332999999999999</v>
      </c>
      <c r="Y763" s="2">
        <f>VLOOKUP([jobnumber],OvalData[],MATCH(Table2[[#Headers],[Required Torque Per Turn]],Table2[#Headers],0),0)</f>
        <v>688</v>
      </c>
      <c r="Z763" s="2">
        <f>VLOOKUP([jobnumber],OvalData[],MATCH(Table2[[#Headers],[Total Turns]],Table2[#Headers],0),0)</f>
        <v>4.91</v>
      </c>
      <c r="AA763" s="2">
        <f>VLOOKUP([jobnumber],OvalData[],MATCH(Table2[[#Headers],[Grille Vision Section]],Table2[#Headers],0),0)</f>
        <v>0</v>
      </c>
      <c r="AB763" s="2">
        <f>VLOOKUP([jobnumber],OvalData[],MATCH(Table2[[#Headers],[Grille Amount]],Table2[#Headers],0),0)</f>
        <v>0</v>
      </c>
      <c r="AC763" s="2">
        <f>VLOOKUP([jobnumber],OvalData[],MATCH(Table2[[#Headers],[Grille Center]],Table2[#Headers],0),0)</f>
        <v>0</v>
      </c>
      <c r="AD763" s="2">
        <f>VLOOKUP([jobnumber],OvalData[],MATCH(Table2[[#Headers],[Grille Pattern]],Table2[#Headers],0),0)</f>
        <v>0</v>
      </c>
      <c r="AE763" s="2">
        <f>VLOOKUP([jobnumber],OvalData[],MATCH(Table2[[#Headers],[Grille First Tube]],Table2[#Headers],0),0)</f>
        <v>0</v>
      </c>
      <c r="AF763" s="2">
        <f>VLOOKUP([jobnumber],OvalData[],MATCH(Table2[[#Headers],[Grille Standard Tube]],Table2[#Headers],0),0)</f>
        <v>0</v>
      </c>
      <c r="AG763" s="2">
        <f>VLOOKUP([jobnumber],OvalData[],MATCH(Table2[[#Headers],[Grille Total Links]],Table2[#Headers],0),0)</f>
        <v>0</v>
      </c>
      <c r="AH763" s="2">
        <f>VLOOKUP([jobnumber],OvalData[],MATCH(Table2[[#Headers],[Grille Rods]],Table2[#Headers],0),0)</f>
        <v>0</v>
      </c>
      <c r="AI763" s="2">
        <f>VLOOKUP([jobnumber],OvalData[],MATCH(Table2[[#Headers],[Grille Rod Length]],Table2[#Headers],0),0)</f>
        <v>0</v>
      </c>
      <c r="AJ763" s="2">
        <f>VLOOKUP([jobnumber],OvalData[],MATCH(Table2[[#Headers],[slattype]],Table2[#Headers],0),0)</f>
        <v>2</v>
      </c>
      <c r="AK763" s="2">
        <f>VLOOKUP([jobnumber],OvalData[],MATCH(Table2[[#Headers],[slatgage]],Table2[#Headers],0),0)</f>
        <v>18</v>
      </c>
      <c r="AL763" s="2">
        <f>VLOOKUP([jobnumber],OvalData[],MATCH(Table2[[#Headers],[Numer of Top Slats]],Table2[#Headers],0),0)</f>
        <v>0</v>
      </c>
      <c r="AM763" s="2">
        <f>VLOOKUP([jobnumber],OvalData[],MATCH(Table2[[#Headers],[Number of Bottom Slats]],Table2[#Headers],0),0)</f>
        <v>0</v>
      </c>
      <c r="AN763" s="2">
        <f>VLOOKUP([jobnumber],OvalData[],MATCH(Table2[[#Headers],[Solid Bottom Height]],Table2[#Headers],0),0)</f>
        <v>0</v>
      </c>
      <c r="AO763" s="2" t="str">
        <f>VLOOKUP([jobnumber],OvalData[],MATCH(Table2[[#Headers],[slatlength]],Table2[#Headers],0),0)</f>
        <v xml:space="preserve"> 18 ft.- 5 7/ 8"</v>
      </c>
      <c r="AP763" s="2">
        <f>VLOOKUP([jobnumber],OvalData[],MATCH(Table2[[#Headers],[Bottom Slat Length]],Table2[#Headers],0),0)</f>
        <v>0</v>
      </c>
      <c r="AQ763" s="2">
        <f>VLOOKUP([jobnumber],OvalData[],MATCH(Table2[[#Headers],[Number of Perferated Slats]],Table2[#Headers],0),0)</f>
        <v>0</v>
      </c>
      <c r="AR763" s="2">
        <f>VLOOKUP([jobnumber],OvalData[],MATCH(Table2[[#Headers],[First Preferated Slat From End]],Table2[#Headers],0),0)</f>
        <v>0</v>
      </c>
      <c r="AS763" s="2">
        <f>VLOOKUP([jobnumber],OvalData[],MATCH(Table2[[#Headers],[First Preferated Slat From Bottom]],Table2[#Headers],0),0)</f>
        <v>0</v>
      </c>
      <c r="AT763" s="2">
        <f>VLOOKUP([jobnumber],OvalData[],MATCH(Table2[[#Headers],[Total Number of Slats]],Table2[#Headers],0),0)</f>
        <v>51</v>
      </c>
      <c r="AU763" s="2">
        <f>VLOOKUP([jobnumber],OvalData[],MATCH(Table2[[#Headers],[Bottom Bar Slope]],Table2[#Headers],0),0)</f>
        <v>0</v>
      </c>
      <c r="AV763" s="2">
        <f>VLOOKUP([jobnumber],OvalData[],MATCH(Table2[[#Headers],[Bottom Bar Weight]],Table2[#Headers],0),0)</f>
        <v>80.5</v>
      </c>
      <c r="AW763" s="2" t="str">
        <f>VLOOKUP([jobnumber],OvalData[],MATCH(Table2[[#Headers],[Outer Spring Gage]],Table2[#Headers],0),0)</f>
        <v>Null</v>
      </c>
      <c r="AX763" s="2" t="str">
        <f>VLOOKUP([jobnumber],OvalData[],MATCH(Table2[[#Headers],[Outer Spring OD]],Table2[#Headers],0),0)</f>
        <v>Null</v>
      </c>
      <c r="AY763" s="2" t="str">
        <f>VLOOKUP([jobnumber],OvalData[],MATCH(Table2[[#Headers],[Outer Spring Length]],Table2[#Headers],0),0)</f>
        <v>Null</v>
      </c>
      <c r="AZ763" s="2" t="str">
        <f>VLOOKUP([jobnumber],OvalData[],MATCH(Table2[[#Headers],[Outer Spring Stretch]],Table2[#Headers],0),0)</f>
        <v>Null</v>
      </c>
      <c r="BA763" s="2" t="str">
        <f>VLOOKUP([jobnumber],OvalData[],MATCH(Table2[[#Headers],[Outer Spring Torque]],Table2[#Headers],0),0)</f>
        <v>Null</v>
      </c>
      <c r="BB763" s="2" t="str">
        <f>VLOOKUP([jobnumber],OvalData[],MATCH(Table2[[#Headers],[Outer Spring Max Turns]],Table2[#Headers],0),0)</f>
        <v>Null</v>
      </c>
      <c r="BC763" s="2" t="str">
        <f>VLOOKUP([jobnumber],OvalData[],MATCH(Table2[[#Headers],[Outer Spring Weight]],Table2[#Headers],0),0)</f>
        <v>Null</v>
      </c>
      <c r="BD763" s="2" t="str">
        <f>VLOOKUP([jobnumber],OvalData[],MATCH(Table2[[#Headers],[Inner Spring Gage]],Table2[#Headers],0),0)</f>
        <v>Null</v>
      </c>
      <c r="BE763" s="2" t="str">
        <f>VLOOKUP([jobnumber],OvalData[],MATCH(Table2[[#Headers],[Inner Spring OD]],Table2[#Headers],0),0)</f>
        <v>Null</v>
      </c>
      <c r="BF763" s="2" t="str">
        <f>VLOOKUP([jobnumber],OvalData[],MATCH(Table2[[#Headers],[Inner Spring Length]],Table2[#Headers],0),0)</f>
        <v>Null</v>
      </c>
      <c r="BG763" s="2" t="str">
        <f>VLOOKUP([jobnumber],OvalData[],MATCH(Table2[[#Headers],[Inner Spring Stretch]],Table2[#Headers],0),0)</f>
        <v>Null</v>
      </c>
      <c r="BH763" s="2" t="str">
        <f>VLOOKUP([jobnumber],OvalData[],MATCH(Table2[[#Headers],[Inner Spring Torque]],Table2[#Headers],0),0)</f>
        <v>Null</v>
      </c>
      <c r="BI763" s="2" t="str">
        <f>VLOOKUP([jobnumber],OvalData[],MATCH(Table2[[#Headers],[Inner Spring Max Turns]],Table2[#Headers],0),0)</f>
        <v>Null</v>
      </c>
      <c r="BJ763" s="2" t="str">
        <f>VLOOKUP([jobnumber],OvalData[],MATCH(Table2[[#Headers],[Inner Spring Weight]],Table2[#Headers],0),0)</f>
        <v>Null</v>
      </c>
      <c r="BK763" s="2">
        <f>VLOOKUP([jobnumber],OvalData[],MATCH(Table2[[#Headers],[Cycles]],Table2[#Headers],0),0)</f>
        <v>0</v>
      </c>
      <c r="BL763" s="2">
        <f>VLOOKUP([jobnumber],OvalData[],MATCH(Table2[[#Headers],[Total Spring Torque]],Table2[#Headers],0),0)</f>
        <v>0</v>
      </c>
      <c r="BM763" s="2">
        <f>VLOOKUP([jobnumber],OvalData[],MATCH(Table2[[#Headers],[Total Spring Weight]],Table2[#Headers],0),0)</f>
        <v>0</v>
      </c>
      <c r="BN763" s="2">
        <f>VLOOKUP([jobnumber],OvalData[],MATCH(Table2[[#Headers],[Pipe Weight]],Table2[#Headers],0),0)</f>
        <v>688.24239999999998</v>
      </c>
      <c r="BO763" s="2">
        <f>VLOOKUP([jobnumber],OvalData[],MATCH(Table2[[#Headers],[Max Pipe Deflection]],Table2[#Headers],0),0)</f>
        <v>2309</v>
      </c>
      <c r="BP763" s="2">
        <f>VLOOKUP([jobnumber],OvalData[],MATCH(Table2[[#Headers],[Number Non-Insulated Wrap Slats]],Table2[#Headers],0),0)</f>
        <v>0</v>
      </c>
      <c r="BQ763" s="2">
        <f>VLOOKUP([jobnumber],OvalData[],MATCH(Table2[[#Headers],[Number of Insolated Top Slats]],Table2[#Headers],0),0)</f>
        <v>45</v>
      </c>
      <c r="BR763" s="2">
        <f>VLOOKUP([jobnumber],OvalData[],MATCH(Table2[[#Headers],[Insolated Total Slats]],Table2[#Headers],0),0)</f>
        <v>45</v>
      </c>
      <c r="BS763" s="2">
        <f>VLOOKUP([jobnumber],OvalData[],MATCH(Table2[[#Headers],[Number of Slats]],Table2[#Headers],0),0)</f>
        <v>44.69</v>
      </c>
      <c r="BT763" s="2">
        <f>VLOOKUP([jobnumber],OvalData[],MATCH(Table2[[#Headers],[Wrap]],Table2[#Headers],0),0)</f>
        <v>0</v>
      </c>
      <c r="BU763" s="2">
        <f>VLOOKUP([jobnumber],OvalData[],MATCH(Table2[[#Headers],[Wall Angle Thickness]],Table2[#Headers],0),0)</f>
        <v>0</v>
      </c>
      <c r="BV763" s="2">
        <f>VLOOKUP([jobnumber],OvalData[],MATCH(Table2[[#Headers],[windlocks]],Table2[#Headers],0),0)</f>
        <v>0</v>
      </c>
      <c r="BW763" s="2" t="str">
        <f>VLOOKUP([jobnumber],OvalData[],MATCH(Table2[[#Headers],[bottombartype]],Table2[#Headers],0),0)</f>
        <v>SPECIAL</v>
      </c>
      <c r="BX763" s="2">
        <f>VLOOKUP([jobnumber],OvalData[],MATCH(Table2[[#Headers],[endlockweight]],Table2[#Headers],0),0)</f>
        <v>0.17</v>
      </c>
      <c r="BY763" s="2">
        <f>VLOOKUP([jobnumber],OvalData[],MATCH(Table2[[#Headers],[Endlock Total Weight]],Table2[#Headers],0),0)</f>
        <v>7.5972999999999997</v>
      </c>
      <c r="BZ763" s="2">
        <f>VLOOKUP([jobnumber],OvalData[],MATCH(Table2[[#Headers],[Grille Weight]],Table2[#Headers],0),0)</f>
        <v>0</v>
      </c>
      <c r="CA763" s="2">
        <f>VLOOKUP([jobnumber],OvalData[],MATCH(Table2[[#Headers],[barrelrings]],Table2[#Headers],0),0)</f>
        <v>1</v>
      </c>
    </row>
    <row r="764" spans="2:79">
      <c r="B764" s="2" t="str">
        <f>VLOOKUP([jobnumber],OvalData[],MATCH(Table2[[#Headers],[Hand]],Table2[#Headers],0),0)</f>
        <v>RH</v>
      </c>
      <c r="C764" s="2" t="str">
        <f>VLOOKUP([jobnumber],OvalData[],MATCH(Table2[[#Headers],[Model]],Table2[#Headers],0),0)</f>
        <v>SFMPP</v>
      </c>
      <c r="D764" s="2" t="str">
        <f>VLOOKUP([jobnumber],OvalData[],MATCH(Table2[[#Headers],[width]],Table2[#Headers],0),0)</f>
        <v xml:space="preserve"> 18 ft.- 2"</v>
      </c>
      <c r="E764" s="2" t="str">
        <f>VLOOKUP([jobnumber],OvalData[],MATCH(Table2[[#Headers],[stopheight]],Table2[#Headers],0),0)</f>
        <v xml:space="preserve"> 10 ft.- 0"</v>
      </c>
      <c r="F764" s="2" t="str">
        <f>VLOOKUP([jobnumber],OvalData[],MATCH(Table2[[#Headers],[Between Brackets]],Table2[#Headers],0),0)</f>
        <v xml:space="preserve"> 18 ft.- 7 7/ 8"</v>
      </c>
      <c r="G764" s="2" t="str">
        <f>VLOOKUP([jobnumber],OvalData[],MATCH(Table2[[#Headers],[shell]],Table2[#Headers],0),0)</f>
        <v>6 INCH TUBE</v>
      </c>
      <c r="H764" s="2" t="str">
        <f>VLOOKUP([jobnumber],OvalData[],MATCH(Table2[[#Headers],[pipewidth]],Table2[#Headers],0),0)</f>
        <v xml:space="preserve"> 18 ft.- 1 3/ 8"</v>
      </c>
      <c r="I764" s="2">
        <f>VLOOKUP([jobnumber],OvalData[],MATCH(Table2[[#Headers],[Support Tubes]],Table2[#Headers],0),0)</f>
        <v>0</v>
      </c>
      <c r="J764" s="2">
        <f>VLOOKUP([jobnumber],OvalData[],MATCH(Table2[[#Headers],[Upset]],Table2[#Headers],0),0)</f>
        <v>2</v>
      </c>
      <c r="K764" s="2" t="str">
        <f>VLOOKUP([jobnumber],OvalData[],MATCH(Table2[[#Headers],[Guide Type]],Table2[#Headers],0),0)</f>
        <v>SN2-4 5/8-E</v>
      </c>
      <c r="L764" s="2" t="str">
        <f>VLOOKUP([jobnumber],OvalData[],MATCH(Table2[[#Headers],[Wall Angle]],Table2[#Headers],0),0)</f>
        <v xml:space="preserve"> 11 ft.- 8"</v>
      </c>
      <c r="M764" s="2" t="str">
        <f>VLOOKUP([jobnumber],OvalData[],MATCH(Table2[[#Headers],[Middle Angle]],Table2[#Headers],0),0)</f>
        <v xml:space="preserve"> 10 ft.- 4 1/ 2"</v>
      </c>
      <c r="N764" s="2" t="str">
        <f>VLOOKUP([jobnumber],OvalData[],MATCH(Table2[[#Headers],[Front Angle]],Table2[#Headers],0),0)</f>
        <v xml:space="preserve"> 10 ft.- 3"</v>
      </c>
      <c r="O764" s="2">
        <f>VLOOKUP([jobnumber],OvalData[],MATCH(Table2[[#Headers],[Pipe Center Line]],Table2[#Headers],0),0)</f>
        <v>131</v>
      </c>
      <c r="P764" s="2">
        <f>VLOOKUP([jobnumber],OvalData[],MATCH(Table2[[#Headers],[Heat Expansion Gap]],Table2[#Headers],0),0)</f>
        <v>0</v>
      </c>
      <c r="Q764" s="2">
        <f>VLOOKUP([jobnumber],OvalData[],MATCH(Table2[[#Headers],[Hanging Weight Closed]],Table2[#Headers],0),0)</f>
        <v>795</v>
      </c>
      <c r="R764" s="2">
        <f>VLOOKUP([jobnumber],OvalData[],MATCH(Table2[[#Headers],[Hanging Weight Open]],Table2[#Headers],0),0)</f>
        <v>140</v>
      </c>
      <c r="S764" s="2">
        <f>VLOOKUP([jobnumber],OvalData[],MATCH(Table2[[#Headers],[Initial Lever Arm]],Table2[#Headers],0),0)</f>
        <v>4.25</v>
      </c>
      <c r="T764" s="2">
        <f>VLOOKUP([jobnumber],OvalData[],MATCH(Table2[[#Headers],[Turns to Raise]],Table2[#Headers],0),0)</f>
        <v>3.5859999999999999</v>
      </c>
      <c r="U764" s="2">
        <f>VLOOKUP([jobnumber],OvalData[],MATCH(Table2[[#Headers],[Final Lever Arm]],Table2[#Headers],0),0)</f>
        <v>6.37</v>
      </c>
      <c r="V764" s="2">
        <f>VLOOKUP([jobnumber],OvalData[],MATCH(Table2[[#Headers],[Torque Required Closed]],Table2[#Headers],0),0)</f>
        <v>3377.9</v>
      </c>
      <c r="W764" s="2">
        <f>VLOOKUP([jobnumber],OvalData[],MATCH(Table2[[#Headers],[Torque Required Open]],Table2[#Headers],0),0)</f>
        <v>892</v>
      </c>
      <c r="X764" s="2">
        <f>VLOOKUP([jobnumber],OvalData[],MATCH(Table2[[#Headers],[Pre Turns]],Table2[#Headers],0),0)</f>
        <v>1.3332999999999999</v>
      </c>
      <c r="Y764" s="2">
        <f>VLOOKUP([jobnumber],OvalData[],MATCH(Table2[[#Headers],[Required Torque Per Turn]],Table2[#Headers],0),0)</f>
        <v>688</v>
      </c>
      <c r="Z764" s="2">
        <f>VLOOKUP([jobnumber],OvalData[],MATCH(Table2[[#Headers],[Total Turns]],Table2[#Headers],0),0)</f>
        <v>4.91</v>
      </c>
      <c r="AA764" s="2">
        <f>VLOOKUP([jobnumber],OvalData[],MATCH(Table2[[#Headers],[Grille Vision Section]],Table2[#Headers],0),0)</f>
        <v>0</v>
      </c>
      <c r="AB764" s="2">
        <f>VLOOKUP([jobnumber],OvalData[],MATCH(Table2[[#Headers],[Grille Amount]],Table2[#Headers],0),0)</f>
        <v>0</v>
      </c>
      <c r="AC764" s="2">
        <f>VLOOKUP([jobnumber],OvalData[],MATCH(Table2[[#Headers],[Grille Center]],Table2[#Headers],0),0)</f>
        <v>0</v>
      </c>
      <c r="AD764" s="2">
        <f>VLOOKUP([jobnumber],OvalData[],MATCH(Table2[[#Headers],[Grille Pattern]],Table2[#Headers],0),0)</f>
        <v>0</v>
      </c>
      <c r="AE764" s="2">
        <f>VLOOKUP([jobnumber],OvalData[],MATCH(Table2[[#Headers],[Grille First Tube]],Table2[#Headers],0),0)</f>
        <v>0</v>
      </c>
      <c r="AF764" s="2">
        <f>VLOOKUP([jobnumber],OvalData[],MATCH(Table2[[#Headers],[Grille Standard Tube]],Table2[#Headers],0),0)</f>
        <v>0</v>
      </c>
      <c r="AG764" s="2">
        <f>VLOOKUP([jobnumber],OvalData[],MATCH(Table2[[#Headers],[Grille Total Links]],Table2[#Headers],0),0)</f>
        <v>0</v>
      </c>
      <c r="AH764" s="2">
        <f>VLOOKUP([jobnumber],OvalData[],MATCH(Table2[[#Headers],[Grille Rods]],Table2[#Headers],0),0)</f>
        <v>0</v>
      </c>
      <c r="AI764" s="2">
        <f>VLOOKUP([jobnumber],OvalData[],MATCH(Table2[[#Headers],[Grille Rod Length]],Table2[#Headers],0),0)</f>
        <v>0</v>
      </c>
      <c r="AJ764" s="2">
        <f>VLOOKUP([jobnumber],OvalData[],MATCH(Table2[[#Headers],[slattype]],Table2[#Headers],0),0)</f>
        <v>2</v>
      </c>
      <c r="AK764" s="2">
        <f>VLOOKUP([jobnumber],OvalData[],MATCH(Table2[[#Headers],[slatgage]],Table2[#Headers],0),0)</f>
        <v>18</v>
      </c>
      <c r="AL764" s="2">
        <f>VLOOKUP([jobnumber],OvalData[],MATCH(Table2[[#Headers],[Numer of Top Slats]],Table2[#Headers],0),0)</f>
        <v>0</v>
      </c>
      <c r="AM764" s="2">
        <f>VLOOKUP([jobnumber],OvalData[],MATCH(Table2[[#Headers],[Number of Bottom Slats]],Table2[#Headers],0),0)</f>
        <v>0</v>
      </c>
      <c r="AN764" s="2">
        <f>VLOOKUP([jobnumber],OvalData[],MATCH(Table2[[#Headers],[Solid Bottom Height]],Table2[#Headers],0),0)</f>
        <v>0</v>
      </c>
      <c r="AO764" s="2" t="str">
        <f>VLOOKUP([jobnumber],OvalData[],MATCH(Table2[[#Headers],[slatlength]],Table2[#Headers],0),0)</f>
        <v xml:space="preserve"> 18 ft.- 5 7/ 8"</v>
      </c>
      <c r="AP764" s="2">
        <f>VLOOKUP([jobnumber],OvalData[],MATCH(Table2[[#Headers],[Bottom Slat Length]],Table2[#Headers],0),0)</f>
        <v>0</v>
      </c>
      <c r="AQ764" s="2">
        <f>VLOOKUP([jobnumber],OvalData[],MATCH(Table2[[#Headers],[Number of Perferated Slats]],Table2[#Headers],0),0)</f>
        <v>0</v>
      </c>
      <c r="AR764" s="2">
        <f>VLOOKUP([jobnumber],OvalData[],MATCH(Table2[[#Headers],[First Preferated Slat From End]],Table2[#Headers],0),0)</f>
        <v>0</v>
      </c>
      <c r="AS764" s="2">
        <f>VLOOKUP([jobnumber],OvalData[],MATCH(Table2[[#Headers],[First Preferated Slat From Bottom]],Table2[#Headers],0),0)</f>
        <v>0</v>
      </c>
      <c r="AT764" s="2">
        <f>VLOOKUP([jobnumber],OvalData[],MATCH(Table2[[#Headers],[Total Number of Slats]],Table2[#Headers],0),0)</f>
        <v>51</v>
      </c>
      <c r="AU764" s="2">
        <f>VLOOKUP([jobnumber],OvalData[],MATCH(Table2[[#Headers],[Bottom Bar Slope]],Table2[#Headers],0),0)</f>
        <v>0</v>
      </c>
      <c r="AV764" s="2">
        <f>VLOOKUP([jobnumber],OvalData[],MATCH(Table2[[#Headers],[Bottom Bar Weight]],Table2[#Headers],0),0)</f>
        <v>80.5</v>
      </c>
      <c r="AW764" s="2" t="str">
        <f>VLOOKUP([jobnumber],OvalData[],MATCH(Table2[[#Headers],[Outer Spring Gage]],Table2[#Headers],0),0)</f>
        <v>Null</v>
      </c>
      <c r="AX764" s="2" t="str">
        <f>VLOOKUP([jobnumber],OvalData[],MATCH(Table2[[#Headers],[Outer Spring OD]],Table2[#Headers],0),0)</f>
        <v>Null</v>
      </c>
      <c r="AY764" s="2" t="str">
        <f>VLOOKUP([jobnumber],OvalData[],MATCH(Table2[[#Headers],[Outer Spring Length]],Table2[#Headers],0),0)</f>
        <v>Null</v>
      </c>
      <c r="AZ764" s="2" t="str">
        <f>VLOOKUP([jobnumber],OvalData[],MATCH(Table2[[#Headers],[Outer Spring Stretch]],Table2[#Headers],0),0)</f>
        <v>Null</v>
      </c>
      <c r="BA764" s="2" t="str">
        <f>VLOOKUP([jobnumber],OvalData[],MATCH(Table2[[#Headers],[Outer Spring Torque]],Table2[#Headers],0),0)</f>
        <v>Null</v>
      </c>
      <c r="BB764" s="2" t="str">
        <f>VLOOKUP([jobnumber],OvalData[],MATCH(Table2[[#Headers],[Outer Spring Max Turns]],Table2[#Headers],0),0)</f>
        <v>Null</v>
      </c>
      <c r="BC764" s="2" t="str">
        <f>VLOOKUP([jobnumber],OvalData[],MATCH(Table2[[#Headers],[Outer Spring Weight]],Table2[#Headers],0),0)</f>
        <v>Null</v>
      </c>
      <c r="BD764" s="2" t="str">
        <f>VLOOKUP([jobnumber],OvalData[],MATCH(Table2[[#Headers],[Inner Spring Gage]],Table2[#Headers],0),0)</f>
        <v>Null</v>
      </c>
      <c r="BE764" s="2" t="str">
        <f>VLOOKUP([jobnumber],OvalData[],MATCH(Table2[[#Headers],[Inner Spring OD]],Table2[#Headers],0),0)</f>
        <v>Null</v>
      </c>
      <c r="BF764" s="2" t="str">
        <f>VLOOKUP([jobnumber],OvalData[],MATCH(Table2[[#Headers],[Inner Spring Length]],Table2[#Headers],0),0)</f>
        <v>Null</v>
      </c>
      <c r="BG764" s="2" t="str">
        <f>VLOOKUP([jobnumber],OvalData[],MATCH(Table2[[#Headers],[Inner Spring Stretch]],Table2[#Headers],0),0)</f>
        <v>Null</v>
      </c>
      <c r="BH764" s="2" t="str">
        <f>VLOOKUP([jobnumber],OvalData[],MATCH(Table2[[#Headers],[Inner Spring Torque]],Table2[#Headers],0),0)</f>
        <v>Null</v>
      </c>
      <c r="BI764" s="2" t="str">
        <f>VLOOKUP([jobnumber],OvalData[],MATCH(Table2[[#Headers],[Inner Spring Max Turns]],Table2[#Headers],0),0)</f>
        <v>Null</v>
      </c>
      <c r="BJ764" s="2" t="str">
        <f>VLOOKUP([jobnumber],OvalData[],MATCH(Table2[[#Headers],[Inner Spring Weight]],Table2[#Headers],0),0)</f>
        <v>Null</v>
      </c>
      <c r="BK764" s="2">
        <f>VLOOKUP([jobnumber],OvalData[],MATCH(Table2[[#Headers],[Cycles]],Table2[#Headers],0),0)</f>
        <v>0</v>
      </c>
      <c r="BL764" s="2">
        <f>VLOOKUP([jobnumber],OvalData[],MATCH(Table2[[#Headers],[Total Spring Torque]],Table2[#Headers],0),0)</f>
        <v>0</v>
      </c>
      <c r="BM764" s="2">
        <f>VLOOKUP([jobnumber],OvalData[],MATCH(Table2[[#Headers],[Total Spring Weight]],Table2[#Headers],0),0)</f>
        <v>0</v>
      </c>
      <c r="BN764" s="2">
        <f>VLOOKUP([jobnumber],OvalData[],MATCH(Table2[[#Headers],[Pipe Weight]],Table2[#Headers],0),0)</f>
        <v>688.24239999999998</v>
      </c>
      <c r="BO764" s="2">
        <f>VLOOKUP([jobnumber],OvalData[],MATCH(Table2[[#Headers],[Max Pipe Deflection]],Table2[#Headers],0),0)</f>
        <v>2309</v>
      </c>
      <c r="BP764" s="2">
        <f>VLOOKUP([jobnumber],OvalData[],MATCH(Table2[[#Headers],[Number Non-Insulated Wrap Slats]],Table2[#Headers],0),0)</f>
        <v>0</v>
      </c>
      <c r="BQ764" s="2">
        <f>VLOOKUP([jobnumber],OvalData[],MATCH(Table2[[#Headers],[Number of Insolated Top Slats]],Table2[#Headers],0),0)</f>
        <v>45</v>
      </c>
      <c r="BR764" s="2">
        <f>VLOOKUP([jobnumber],OvalData[],MATCH(Table2[[#Headers],[Insolated Total Slats]],Table2[#Headers],0),0)</f>
        <v>45</v>
      </c>
      <c r="BS764" s="2">
        <f>VLOOKUP([jobnumber],OvalData[],MATCH(Table2[[#Headers],[Number of Slats]],Table2[#Headers],0),0)</f>
        <v>44.69</v>
      </c>
      <c r="BT764" s="2">
        <f>VLOOKUP([jobnumber],OvalData[],MATCH(Table2[[#Headers],[Wrap]],Table2[#Headers],0),0)</f>
        <v>0</v>
      </c>
      <c r="BU764" s="2">
        <f>VLOOKUP([jobnumber],OvalData[],MATCH(Table2[[#Headers],[Wall Angle Thickness]],Table2[#Headers],0),0)</f>
        <v>0</v>
      </c>
      <c r="BV764" s="2">
        <f>VLOOKUP([jobnumber],OvalData[],MATCH(Table2[[#Headers],[windlocks]],Table2[#Headers],0),0)</f>
        <v>0</v>
      </c>
      <c r="BW764" s="2" t="str">
        <f>VLOOKUP([jobnumber],OvalData[],MATCH(Table2[[#Headers],[bottombartype]],Table2[#Headers],0),0)</f>
        <v>SPECIAL</v>
      </c>
      <c r="BX764" s="2">
        <f>VLOOKUP([jobnumber],OvalData[],MATCH(Table2[[#Headers],[endlockweight]],Table2[#Headers],0),0)</f>
        <v>0.17</v>
      </c>
      <c r="BY764" s="2">
        <f>VLOOKUP([jobnumber],OvalData[],MATCH(Table2[[#Headers],[Endlock Total Weight]],Table2[#Headers],0),0)</f>
        <v>7.5972999999999997</v>
      </c>
      <c r="BZ764" s="2">
        <f>VLOOKUP([jobnumber],OvalData[],MATCH(Table2[[#Headers],[Grille Weight]],Table2[#Headers],0),0)</f>
        <v>0</v>
      </c>
      <c r="CA764" s="2">
        <f>VLOOKUP([jobnumber],OvalData[],MATCH(Table2[[#Headers],[barrelrings]],Table2[#Headers],0),0)</f>
        <v>1</v>
      </c>
    </row>
    <row r="765" spans="2:79">
      <c r="B765" s="2" t="str">
        <f>VLOOKUP([jobnumber],OvalData[],MATCH(Table2[[#Headers],[Hand]],Table2[#Headers],0),0)</f>
        <v>RH</v>
      </c>
      <c r="C765" s="2" t="str">
        <f>VLOOKUP([jobnumber],OvalData[],MATCH(Table2[[#Headers],[Model]],Table2[#Headers],0),0)</f>
        <v>SFMPP</v>
      </c>
      <c r="D765" s="2" t="str">
        <f>VLOOKUP([jobnumber],OvalData[],MATCH(Table2[[#Headers],[width]],Table2[#Headers],0),0)</f>
        <v xml:space="preserve"> 18 ft.- 2"</v>
      </c>
      <c r="E765" s="2" t="str">
        <f>VLOOKUP([jobnumber],OvalData[],MATCH(Table2[[#Headers],[stopheight]],Table2[#Headers],0),0)</f>
        <v xml:space="preserve"> 10 ft.- 0"</v>
      </c>
      <c r="F765" s="2" t="str">
        <f>VLOOKUP([jobnumber],OvalData[],MATCH(Table2[[#Headers],[Between Brackets]],Table2[#Headers],0),0)</f>
        <v xml:space="preserve"> 18 ft.- 7 7/ 8"</v>
      </c>
      <c r="G765" s="2" t="str">
        <f>VLOOKUP([jobnumber],OvalData[],MATCH(Table2[[#Headers],[shell]],Table2[#Headers],0),0)</f>
        <v>6 INCH TUBE</v>
      </c>
      <c r="H765" s="2" t="str">
        <f>VLOOKUP([jobnumber],OvalData[],MATCH(Table2[[#Headers],[pipewidth]],Table2[#Headers],0),0)</f>
        <v xml:space="preserve"> 18 ft.- 1 3/ 8"</v>
      </c>
      <c r="I765" s="2">
        <f>VLOOKUP([jobnumber],OvalData[],MATCH(Table2[[#Headers],[Support Tubes]],Table2[#Headers],0),0)</f>
        <v>0</v>
      </c>
      <c r="J765" s="2">
        <f>VLOOKUP([jobnumber],OvalData[],MATCH(Table2[[#Headers],[Upset]],Table2[#Headers],0),0)</f>
        <v>2</v>
      </c>
      <c r="K765" s="2" t="str">
        <f>VLOOKUP([jobnumber],OvalData[],MATCH(Table2[[#Headers],[Guide Type]],Table2[#Headers],0),0)</f>
        <v>SN2-4 5/8-E</v>
      </c>
      <c r="L765" s="2" t="str">
        <f>VLOOKUP([jobnumber],OvalData[],MATCH(Table2[[#Headers],[Wall Angle]],Table2[#Headers],0),0)</f>
        <v xml:space="preserve"> 11 ft.- 8"</v>
      </c>
      <c r="M765" s="2" t="str">
        <f>VLOOKUP([jobnumber],OvalData[],MATCH(Table2[[#Headers],[Middle Angle]],Table2[#Headers],0),0)</f>
        <v xml:space="preserve"> 10 ft.- 4 1/ 2"</v>
      </c>
      <c r="N765" s="2" t="str">
        <f>VLOOKUP([jobnumber],OvalData[],MATCH(Table2[[#Headers],[Front Angle]],Table2[#Headers],0),0)</f>
        <v xml:space="preserve"> 10 ft.- 3"</v>
      </c>
      <c r="O765" s="2">
        <f>VLOOKUP([jobnumber],OvalData[],MATCH(Table2[[#Headers],[Pipe Center Line]],Table2[#Headers],0),0)</f>
        <v>131</v>
      </c>
      <c r="P765" s="2">
        <f>VLOOKUP([jobnumber],OvalData[],MATCH(Table2[[#Headers],[Heat Expansion Gap]],Table2[#Headers],0),0)</f>
        <v>0</v>
      </c>
      <c r="Q765" s="2">
        <f>VLOOKUP([jobnumber],OvalData[],MATCH(Table2[[#Headers],[Hanging Weight Closed]],Table2[#Headers],0),0)</f>
        <v>795</v>
      </c>
      <c r="R765" s="2">
        <f>VLOOKUP([jobnumber],OvalData[],MATCH(Table2[[#Headers],[Hanging Weight Open]],Table2[#Headers],0),0)</f>
        <v>140</v>
      </c>
      <c r="S765" s="2">
        <f>VLOOKUP([jobnumber],OvalData[],MATCH(Table2[[#Headers],[Initial Lever Arm]],Table2[#Headers],0),0)</f>
        <v>4.25</v>
      </c>
      <c r="T765" s="2">
        <f>VLOOKUP([jobnumber],OvalData[],MATCH(Table2[[#Headers],[Turns to Raise]],Table2[#Headers],0),0)</f>
        <v>3.5859999999999999</v>
      </c>
      <c r="U765" s="2">
        <f>VLOOKUP([jobnumber],OvalData[],MATCH(Table2[[#Headers],[Final Lever Arm]],Table2[#Headers],0),0)</f>
        <v>6.37</v>
      </c>
      <c r="V765" s="2">
        <f>VLOOKUP([jobnumber],OvalData[],MATCH(Table2[[#Headers],[Torque Required Closed]],Table2[#Headers],0),0)</f>
        <v>3377.9</v>
      </c>
      <c r="W765" s="2">
        <f>VLOOKUP([jobnumber],OvalData[],MATCH(Table2[[#Headers],[Torque Required Open]],Table2[#Headers],0),0)</f>
        <v>892</v>
      </c>
      <c r="X765" s="2">
        <f>VLOOKUP([jobnumber],OvalData[],MATCH(Table2[[#Headers],[Pre Turns]],Table2[#Headers],0),0)</f>
        <v>1.3332999999999999</v>
      </c>
      <c r="Y765" s="2">
        <f>VLOOKUP([jobnumber],OvalData[],MATCH(Table2[[#Headers],[Required Torque Per Turn]],Table2[#Headers],0),0)</f>
        <v>688</v>
      </c>
      <c r="Z765" s="2">
        <f>VLOOKUP([jobnumber],OvalData[],MATCH(Table2[[#Headers],[Total Turns]],Table2[#Headers],0),0)</f>
        <v>4.91</v>
      </c>
      <c r="AA765" s="2">
        <f>VLOOKUP([jobnumber],OvalData[],MATCH(Table2[[#Headers],[Grille Vision Section]],Table2[#Headers],0),0)</f>
        <v>0</v>
      </c>
      <c r="AB765" s="2">
        <f>VLOOKUP([jobnumber],OvalData[],MATCH(Table2[[#Headers],[Grille Amount]],Table2[#Headers],0),0)</f>
        <v>0</v>
      </c>
      <c r="AC765" s="2">
        <f>VLOOKUP([jobnumber],OvalData[],MATCH(Table2[[#Headers],[Grille Center]],Table2[#Headers],0),0)</f>
        <v>0</v>
      </c>
      <c r="AD765" s="2">
        <f>VLOOKUP([jobnumber],OvalData[],MATCH(Table2[[#Headers],[Grille Pattern]],Table2[#Headers],0),0)</f>
        <v>0</v>
      </c>
      <c r="AE765" s="2">
        <f>VLOOKUP([jobnumber],OvalData[],MATCH(Table2[[#Headers],[Grille First Tube]],Table2[#Headers],0),0)</f>
        <v>0</v>
      </c>
      <c r="AF765" s="2">
        <f>VLOOKUP([jobnumber],OvalData[],MATCH(Table2[[#Headers],[Grille Standard Tube]],Table2[#Headers],0),0)</f>
        <v>0</v>
      </c>
      <c r="AG765" s="2">
        <f>VLOOKUP([jobnumber],OvalData[],MATCH(Table2[[#Headers],[Grille Total Links]],Table2[#Headers],0),0)</f>
        <v>0</v>
      </c>
      <c r="AH765" s="2">
        <f>VLOOKUP([jobnumber],OvalData[],MATCH(Table2[[#Headers],[Grille Rods]],Table2[#Headers],0),0)</f>
        <v>0</v>
      </c>
      <c r="AI765" s="2">
        <f>VLOOKUP([jobnumber],OvalData[],MATCH(Table2[[#Headers],[Grille Rod Length]],Table2[#Headers],0),0)</f>
        <v>0</v>
      </c>
      <c r="AJ765" s="2">
        <f>VLOOKUP([jobnumber],OvalData[],MATCH(Table2[[#Headers],[slattype]],Table2[#Headers],0),0)</f>
        <v>2</v>
      </c>
      <c r="AK765" s="2">
        <f>VLOOKUP([jobnumber],OvalData[],MATCH(Table2[[#Headers],[slatgage]],Table2[#Headers],0),0)</f>
        <v>18</v>
      </c>
      <c r="AL765" s="2">
        <f>VLOOKUP([jobnumber],OvalData[],MATCH(Table2[[#Headers],[Numer of Top Slats]],Table2[#Headers],0),0)</f>
        <v>0</v>
      </c>
      <c r="AM765" s="2">
        <f>VLOOKUP([jobnumber],OvalData[],MATCH(Table2[[#Headers],[Number of Bottom Slats]],Table2[#Headers],0),0)</f>
        <v>0</v>
      </c>
      <c r="AN765" s="2">
        <f>VLOOKUP([jobnumber],OvalData[],MATCH(Table2[[#Headers],[Solid Bottom Height]],Table2[#Headers],0),0)</f>
        <v>0</v>
      </c>
      <c r="AO765" s="2" t="str">
        <f>VLOOKUP([jobnumber],OvalData[],MATCH(Table2[[#Headers],[slatlength]],Table2[#Headers],0),0)</f>
        <v xml:space="preserve"> 18 ft.- 5 7/ 8"</v>
      </c>
      <c r="AP765" s="2">
        <f>VLOOKUP([jobnumber],OvalData[],MATCH(Table2[[#Headers],[Bottom Slat Length]],Table2[#Headers],0),0)</f>
        <v>0</v>
      </c>
      <c r="AQ765" s="2">
        <f>VLOOKUP([jobnumber],OvalData[],MATCH(Table2[[#Headers],[Number of Perferated Slats]],Table2[#Headers],0),0)</f>
        <v>0</v>
      </c>
      <c r="AR765" s="2">
        <f>VLOOKUP([jobnumber],OvalData[],MATCH(Table2[[#Headers],[First Preferated Slat From End]],Table2[#Headers],0),0)</f>
        <v>0</v>
      </c>
      <c r="AS765" s="2">
        <f>VLOOKUP([jobnumber],OvalData[],MATCH(Table2[[#Headers],[First Preferated Slat From Bottom]],Table2[#Headers],0),0)</f>
        <v>0</v>
      </c>
      <c r="AT765" s="2">
        <f>VLOOKUP([jobnumber],OvalData[],MATCH(Table2[[#Headers],[Total Number of Slats]],Table2[#Headers],0),0)</f>
        <v>51</v>
      </c>
      <c r="AU765" s="2">
        <f>VLOOKUP([jobnumber],OvalData[],MATCH(Table2[[#Headers],[Bottom Bar Slope]],Table2[#Headers],0),0)</f>
        <v>0</v>
      </c>
      <c r="AV765" s="2">
        <f>VLOOKUP([jobnumber],OvalData[],MATCH(Table2[[#Headers],[Bottom Bar Weight]],Table2[#Headers],0),0)</f>
        <v>80.5</v>
      </c>
      <c r="AW765" s="2" t="str">
        <f>VLOOKUP([jobnumber],OvalData[],MATCH(Table2[[#Headers],[Outer Spring Gage]],Table2[#Headers],0),0)</f>
        <v>Null</v>
      </c>
      <c r="AX765" s="2" t="str">
        <f>VLOOKUP([jobnumber],OvalData[],MATCH(Table2[[#Headers],[Outer Spring OD]],Table2[#Headers],0),0)</f>
        <v>Null</v>
      </c>
      <c r="AY765" s="2" t="str">
        <f>VLOOKUP([jobnumber],OvalData[],MATCH(Table2[[#Headers],[Outer Spring Length]],Table2[#Headers],0),0)</f>
        <v>Null</v>
      </c>
      <c r="AZ765" s="2" t="str">
        <f>VLOOKUP([jobnumber],OvalData[],MATCH(Table2[[#Headers],[Outer Spring Stretch]],Table2[#Headers],0),0)</f>
        <v>Null</v>
      </c>
      <c r="BA765" s="2" t="str">
        <f>VLOOKUP([jobnumber],OvalData[],MATCH(Table2[[#Headers],[Outer Spring Torque]],Table2[#Headers],0),0)</f>
        <v>Null</v>
      </c>
      <c r="BB765" s="2" t="str">
        <f>VLOOKUP([jobnumber],OvalData[],MATCH(Table2[[#Headers],[Outer Spring Max Turns]],Table2[#Headers],0),0)</f>
        <v>Null</v>
      </c>
      <c r="BC765" s="2" t="str">
        <f>VLOOKUP([jobnumber],OvalData[],MATCH(Table2[[#Headers],[Outer Spring Weight]],Table2[#Headers],0),0)</f>
        <v>Null</v>
      </c>
      <c r="BD765" s="2" t="str">
        <f>VLOOKUP([jobnumber],OvalData[],MATCH(Table2[[#Headers],[Inner Spring Gage]],Table2[#Headers],0),0)</f>
        <v>Null</v>
      </c>
      <c r="BE765" s="2" t="str">
        <f>VLOOKUP([jobnumber],OvalData[],MATCH(Table2[[#Headers],[Inner Spring OD]],Table2[#Headers],0),0)</f>
        <v>Null</v>
      </c>
      <c r="BF765" s="2" t="str">
        <f>VLOOKUP([jobnumber],OvalData[],MATCH(Table2[[#Headers],[Inner Spring Length]],Table2[#Headers],0),0)</f>
        <v>Null</v>
      </c>
      <c r="BG765" s="2" t="str">
        <f>VLOOKUP([jobnumber],OvalData[],MATCH(Table2[[#Headers],[Inner Spring Stretch]],Table2[#Headers],0),0)</f>
        <v>Null</v>
      </c>
      <c r="BH765" s="2" t="str">
        <f>VLOOKUP([jobnumber],OvalData[],MATCH(Table2[[#Headers],[Inner Spring Torque]],Table2[#Headers],0),0)</f>
        <v>Null</v>
      </c>
      <c r="BI765" s="2" t="str">
        <f>VLOOKUP([jobnumber],OvalData[],MATCH(Table2[[#Headers],[Inner Spring Max Turns]],Table2[#Headers],0),0)</f>
        <v>Null</v>
      </c>
      <c r="BJ765" s="2" t="str">
        <f>VLOOKUP([jobnumber],OvalData[],MATCH(Table2[[#Headers],[Inner Spring Weight]],Table2[#Headers],0),0)</f>
        <v>Null</v>
      </c>
      <c r="BK765" s="2">
        <f>VLOOKUP([jobnumber],OvalData[],MATCH(Table2[[#Headers],[Cycles]],Table2[#Headers],0),0)</f>
        <v>0</v>
      </c>
      <c r="BL765" s="2">
        <f>VLOOKUP([jobnumber],OvalData[],MATCH(Table2[[#Headers],[Total Spring Torque]],Table2[#Headers],0),0)</f>
        <v>0</v>
      </c>
      <c r="BM765" s="2">
        <f>VLOOKUP([jobnumber],OvalData[],MATCH(Table2[[#Headers],[Total Spring Weight]],Table2[#Headers],0),0)</f>
        <v>0</v>
      </c>
      <c r="BN765" s="2">
        <f>VLOOKUP([jobnumber],OvalData[],MATCH(Table2[[#Headers],[Pipe Weight]],Table2[#Headers],0),0)</f>
        <v>688.24239999999998</v>
      </c>
      <c r="BO765" s="2">
        <f>VLOOKUP([jobnumber],OvalData[],MATCH(Table2[[#Headers],[Max Pipe Deflection]],Table2[#Headers],0),0)</f>
        <v>2309</v>
      </c>
      <c r="BP765" s="2">
        <f>VLOOKUP([jobnumber],OvalData[],MATCH(Table2[[#Headers],[Number Non-Insulated Wrap Slats]],Table2[#Headers],0),0)</f>
        <v>0</v>
      </c>
      <c r="BQ765" s="2">
        <f>VLOOKUP([jobnumber],OvalData[],MATCH(Table2[[#Headers],[Number of Insolated Top Slats]],Table2[#Headers],0),0)</f>
        <v>45</v>
      </c>
      <c r="BR765" s="2">
        <f>VLOOKUP([jobnumber],OvalData[],MATCH(Table2[[#Headers],[Insolated Total Slats]],Table2[#Headers],0),0)</f>
        <v>45</v>
      </c>
      <c r="BS765" s="2">
        <f>VLOOKUP([jobnumber],OvalData[],MATCH(Table2[[#Headers],[Number of Slats]],Table2[#Headers],0),0)</f>
        <v>44.69</v>
      </c>
      <c r="BT765" s="2">
        <f>VLOOKUP([jobnumber],OvalData[],MATCH(Table2[[#Headers],[Wrap]],Table2[#Headers],0),0)</f>
        <v>0</v>
      </c>
      <c r="BU765" s="2">
        <f>VLOOKUP([jobnumber],OvalData[],MATCH(Table2[[#Headers],[Wall Angle Thickness]],Table2[#Headers],0),0)</f>
        <v>0</v>
      </c>
      <c r="BV765" s="2">
        <f>VLOOKUP([jobnumber],OvalData[],MATCH(Table2[[#Headers],[windlocks]],Table2[#Headers],0),0)</f>
        <v>0</v>
      </c>
      <c r="BW765" s="2" t="str">
        <f>VLOOKUP([jobnumber],OvalData[],MATCH(Table2[[#Headers],[bottombartype]],Table2[#Headers],0),0)</f>
        <v>SPECIAL</v>
      </c>
      <c r="BX765" s="2">
        <f>VLOOKUP([jobnumber],OvalData[],MATCH(Table2[[#Headers],[endlockweight]],Table2[#Headers],0),0)</f>
        <v>0.17</v>
      </c>
      <c r="BY765" s="2">
        <f>VLOOKUP([jobnumber],OvalData[],MATCH(Table2[[#Headers],[Endlock Total Weight]],Table2[#Headers],0),0)</f>
        <v>7.5972999999999997</v>
      </c>
      <c r="BZ765" s="2">
        <f>VLOOKUP([jobnumber],OvalData[],MATCH(Table2[[#Headers],[Grille Weight]],Table2[#Headers],0),0)</f>
        <v>0</v>
      </c>
      <c r="CA765" s="2">
        <f>VLOOKUP([jobnumber],OvalData[],MATCH(Table2[[#Headers],[barrelrings]],Table2[#Headers],0),0)</f>
        <v>1</v>
      </c>
    </row>
    <row r="766" spans="2:79">
      <c r="B766" s="2" t="str">
        <f>VLOOKUP([jobnumber],OvalData[],MATCH(Table2[[#Headers],[Hand]],Table2[#Headers],0),0)</f>
        <v>RH</v>
      </c>
      <c r="C766" s="2" t="str">
        <f>VLOOKUP([jobnumber],OvalData[],MATCH(Table2[[#Headers],[Model]],Table2[#Headers],0),0)</f>
        <v>SFMPP</v>
      </c>
      <c r="D766" s="2" t="str">
        <f>VLOOKUP([jobnumber],OvalData[],MATCH(Table2[[#Headers],[width]],Table2[#Headers],0),0)</f>
        <v xml:space="preserve"> 18 ft.- 2"</v>
      </c>
      <c r="E766" s="2" t="str">
        <f>VLOOKUP([jobnumber],OvalData[],MATCH(Table2[[#Headers],[stopheight]],Table2[#Headers],0),0)</f>
        <v xml:space="preserve"> 10 ft.- 0"</v>
      </c>
      <c r="F766" s="2" t="str">
        <f>VLOOKUP([jobnumber],OvalData[],MATCH(Table2[[#Headers],[Between Brackets]],Table2[#Headers],0),0)</f>
        <v xml:space="preserve"> 18 ft.- 7 7/ 8"</v>
      </c>
      <c r="G766" s="2" t="str">
        <f>VLOOKUP([jobnumber],OvalData[],MATCH(Table2[[#Headers],[shell]],Table2[#Headers],0),0)</f>
        <v>6 INCH TUBE</v>
      </c>
      <c r="H766" s="2" t="str">
        <f>VLOOKUP([jobnumber],OvalData[],MATCH(Table2[[#Headers],[pipewidth]],Table2[#Headers],0),0)</f>
        <v xml:space="preserve"> 18 ft.- 1 3/ 8"</v>
      </c>
      <c r="I766" s="2">
        <f>VLOOKUP([jobnumber],OvalData[],MATCH(Table2[[#Headers],[Support Tubes]],Table2[#Headers],0),0)</f>
        <v>0</v>
      </c>
      <c r="J766" s="2">
        <f>VLOOKUP([jobnumber],OvalData[],MATCH(Table2[[#Headers],[Upset]],Table2[#Headers],0),0)</f>
        <v>2</v>
      </c>
      <c r="K766" s="2" t="str">
        <f>VLOOKUP([jobnumber],OvalData[],MATCH(Table2[[#Headers],[Guide Type]],Table2[#Headers],0),0)</f>
        <v>SN2-4 5/8-E</v>
      </c>
      <c r="L766" s="2" t="str">
        <f>VLOOKUP([jobnumber],OvalData[],MATCH(Table2[[#Headers],[Wall Angle]],Table2[#Headers],0),0)</f>
        <v xml:space="preserve"> 11 ft.- 8"</v>
      </c>
      <c r="M766" s="2" t="str">
        <f>VLOOKUP([jobnumber],OvalData[],MATCH(Table2[[#Headers],[Middle Angle]],Table2[#Headers],0),0)</f>
        <v xml:space="preserve"> 10 ft.- 4 1/ 2"</v>
      </c>
      <c r="N766" s="2" t="str">
        <f>VLOOKUP([jobnumber],OvalData[],MATCH(Table2[[#Headers],[Front Angle]],Table2[#Headers],0),0)</f>
        <v xml:space="preserve"> 10 ft.- 3"</v>
      </c>
      <c r="O766" s="2">
        <f>VLOOKUP([jobnumber],OvalData[],MATCH(Table2[[#Headers],[Pipe Center Line]],Table2[#Headers],0),0)</f>
        <v>131</v>
      </c>
      <c r="P766" s="2">
        <f>VLOOKUP([jobnumber],OvalData[],MATCH(Table2[[#Headers],[Heat Expansion Gap]],Table2[#Headers],0),0)</f>
        <v>0</v>
      </c>
      <c r="Q766" s="2">
        <f>VLOOKUP([jobnumber],OvalData[],MATCH(Table2[[#Headers],[Hanging Weight Closed]],Table2[#Headers],0),0)</f>
        <v>795</v>
      </c>
      <c r="R766" s="2">
        <f>VLOOKUP([jobnumber],OvalData[],MATCH(Table2[[#Headers],[Hanging Weight Open]],Table2[#Headers],0),0)</f>
        <v>140</v>
      </c>
      <c r="S766" s="2">
        <f>VLOOKUP([jobnumber],OvalData[],MATCH(Table2[[#Headers],[Initial Lever Arm]],Table2[#Headers],0),0)</f>
        <v>4.25</v>
      </c>
      <c r="T766" s="2">
        <f>VLOOKUP([jobnumber],OvalData[],MATCH(Table2[[#Headers],[Turns to Raise]],Table2[#Headers],0),0)</f>
        <v>3.5859999999999999</v>
      </c>
      <c r="U766" s="2">
        <f>VLOOKUP([jobnumber],OvalData[],MATCH(Table2[[#Headers],[Final Lever Arm]],Table2[#Headers],0),0)</f>
        <v>6.37</v>
      </c>
      <c r="V766" s="2">
        <f>VLOOKUP([jobnumber],OvalData[],MATCH(Table2[[#Headers],[Torque Required Closed]],Table2[#Headers],0),0)</f>
        <v>3377.9</v>
      </c>
      <c r="W766" s="2">
        <f>VLOOKUP([jobnumber],OvalData[],MATCH(Table2[[#Headers],[Torque Required Open]],Table2[#Headers],0),0)</f>
        <v>892</v>
      </c>
      <c r="X766" s="2">
        <f>VLOOKUP([jobnumber],OvalData[],MATCH(Table2[[#Headers],[Pre Turns]],Table2[#Headers],0),0)</f>
        <v>1.3332999999999999</v>
      </c>
      <c r="Y766" s="2">
        <f>VLOOKUP([jobnumber],OvalData[],MATCH(Table2[[#Headers],[Required Torque Per Turn]],Table2[#Headers],0),0)</f>
        <v>688</v>
      </c>
      <c r="Z766" s="2">
        <f>VLOOKUP([jobnumber],OvalData[],MATCH(Table2[[#Headers],[Total Turns]],Table2[#Headers],0),0)</f>
        <v>4.91</v>
      </c>
      <c r="AA766" s="2">
        <f>VLOOKUP([jobnumber],OvalData[],MATCH(Table2[[#Headers],[Grille Vision Section]],Table2[#Headers],0),0)</f>
        <v>0</v>
      </c>
      <c r="AB766" s="2">
        <f>VLOOKUP([jobnumber],OvalData[],MATCH(Table2[[#Headers],[Grille Amount]],Table2[#Headers],0),0)</f>
        <v>0</v>
      </c>
      <c r="AC766" s="2">
        <f>VLOOKUP([jobnumber],OvalData[],MATCH(Table2[[#Headers],[Grille Center]],Table2[#Headers],0),0)</f>
        <v>0</v>
      </c>
      <c r="AD766" s="2">
        <f>VLOOKUP([jobnumber],OvalData[],MATCH(Table2[[#Headers],[Grille Pattern]],Table2[#Headers],0),0)</f>
        <v>0</v>
      </c>
      <c r="AE766" s="2">
        <f>VLOOKUP([jobnumber],OvalData[],MATCH(Table2[[#Headers],[Grille First Tube]],Table2[#Headers],0),0)</f>
        <v>0</v>
      </c>
      <c r="AF766" s="2">
        <f>VLOOKUP([jobnumber],OvalData[],MATCH(Table2[[#Headers],[Grille Standard Tube]],Table2[#Headers],0),0)</f>
        <v>0</v>
      </c>
      <c r="AG766" s="2">
        <f>VLOOKUP([jobnumber],OvalData[],MATCH(Table2[[#Headers],[Grille Total Links]],Table2[#Headers],0),0)</f>
        <v>0</v>
      </c>
      <c r="AH766" s="2">
        <f>VLOOKUP([jobnumber],OvalData[],MATCH(Table2[[#Headers],[Grille Rods]],Table2[#Headers],0),0)</f>
        <v>0</v>
      </c>
      <c r="AI766" s="2">
        <f>VLOOKUP([jobnumber],OvalData[],MATCH(Table2[[#Headers],[Grille Rod Length]],Table2[#Headers],0),0)</f>
        <v>0</v>
      </c>
      <c r="AJ766" s="2">
        <f>VLOOKUP([jobnumber],OvalData[],MATCH(Table2[[#Headers],[slattype]],Table2[#Headers],0),0)</f>
        <v>2</v>
      </c>
      <c r="AK766" s="2">
        <f>VLOOKUP([jobnumber],OvalData[],MATCH(Table2[[#Headers],[slatgage]],Table2[#Headers],0),0)</f>
        <v>18</v>
      </c>
      <c r="AL766" s="2">
        <f>VLOOKUP([jobnumber],OvalData[],MATCH(Table2[[#Headers],[Numer of Top Slats]],Table2[#Headers],0),0)</f>
        <v>0</v>
      </c>
      <c r="AM766" s="2">
        <f>VLOOKUP([jobnumber],OvalData[],MATCH(Table2[[#Headers],[Number of Bottom Slats]],Table2[#Headers],0),0)</f>
        <v>0</v>
      </c>
      <c r="AN766" s="2">
        <f>VLOOKUP([jobnumber],OvalData[],MATCH(Table2[[#Headers],[Solid Bottom Height]],Table2[#Headers],0),0)</f>
        <v>0</v>
      </c>
      <c r="AO766" s="2" t="str">
        <f>VLOOKUP([jobnumber],OvalData[],MATCH(Table2[[#Headers],[slatlength]],Table2[#Headers],0),0)</f>
        <v xml:space="preserve"> 18 ft.- 5 7/ 8"</v>
      </c>
      <c r="AP766" s="2">
        <f>VLOOKUP([jobnumber],OvalData[],MATCH(Table2[[#Headers],[Bottom Slat Length]],Table2[#Headers],0),0)</f>
        <v>0</v>
      </c>
      <c r="AQ766" s="2">
        <f>VLOOKUP([jobnumber],OvalData[],MATCH(Table2[[#Headers],[Number of Perferated Slats]],Table2[#Headers],0),0)</f>
        <v>0</v>
      </c>
      <c r="AR766" s="2">
        <f>VLOOKUP([jobnumber],OvalData[],MATCH(Table2[[#Headers],[First Preferated Slat From End]],Table2[#Headers],0),0)</f>
        <v>0</v>
      </c>
      <c r="AS766" s="2">
        <f>VLOOKUP([jobnumber],OvalData[],MATCH(Table2[[#Headers],[First Preferated Slat From Bottom]],Table2[#Headers],0),0)</f>
        <v>0</v>
      </c>
      <c r="AT766" s="2">
        <f>VLOOKUP([jobnumber],OvalData[],MATCH(Table2[[#Headers],[Total Number of Slats]],Table2[#Headers],0),0)</f>
        <v>51</v>
      </c>
      <c r="AU766" s="2">
        <f>VLOOKUP([jobnumber],OvalData[],MATCH(Table2[[#Headers],[Bottom Bar Slope]],Table2[#Headers],0),0)</f>
        <v>0</v>
      </c>
      <c r="AV766" s="2">
        <f>VLOOKUP([jobnumber],OvalData[],MATCH(Table2[[#Headers],[Bottom Bar Weight]],Table2[#Headers],0),0)</f>
        <v>80.5</v>
      </c>
      <c r="AW766" s="2" t="str">
        <f>VLOOKUP([jobnumber],OvalData[],MATCH(Table2[[#Headers],[Outer Spring Gage]],Table2[#Headers],0),0)</f>
        <v>Null</v>
      </c>
      <c r="AX766" s="2" t="str">
        <f>VLOOKUP([jobnumber],OvalData[],MATCH(Table2[[#Headers],[Outer Spring OD]],Table2[#Headers],0),0)</f>
        <v>Null</v>
      </c>
      <c r="AY766" s="2" t="str">
        <f>VLOOKUP([jobnumber],OvalData[],MATCH(Table2[[#Headers],[Outer Spring Length]],Table2[#Headers],0),0)</f>
        <v>Null</v>
      </c>
      <c r="AZ766" s="2" t="str">
        <f>VLOOKUP([jobnumber],OvalData[],MATCH(Table2[[#Headers],[Outer Spring Stretch]],Table2[#Headers],0),0)</f>
        <v>Null</v>
      </c>
      <c r="BA766" s="2" t="str">
        <f>VLOOKUP([jobnumber],OvalData[],MATCH(Table2[[#Headers],[Outer Spring Torque]],Table2[#Headers],0),0)</f>
        <v>Null</v>
      </c>
      <c r="BB766" s="2" t="str">
        <f>VLOOKUP([jobnumber],OvalData[],MATCH(Table2[[#Headers],[Outer Spring Max Turns]],Table2[#Headers],0),0)</f>
        <v>Null</v>
      </c>
      <c r="BC766" s="2" t="str">
        <f>VLOOKUP([jobnumber],OvalData[],MATCH(Table2[[#Headers],[Outer Spring Weight]],Table2[#Headers],0),0)</f>
        <v>Null</v>
      </c>
      <c r="BD766" s="2" t="str">
        <f>VLOOKUP([jobnumber],OvalData[],MATCH(Table2[[#Headers],[Inner Spring Gage]],Table2[#Headers],0),0)</f>
        <v>Null</v>
      </c>
      <c r="BE766" s="2" t="str">
        <f>VLOOKUP([jobnumber],OvalData[],MATCH(Table2[[#Headers],[Inner Spring OD]],Table2[#Headers],0),0)</f>
        <v>Null</v>
      </c>
      <c r="BF766" s="2" t="str">
        <f>VLOOKUP([jobnumber],OvalData[],MATCH(Table2[[#Headers],[Inner Spring Length]],Table2[#Headers],0),0)</f>
        <v>Null</v>
      </c>
      <c r="BG766" s="2" t="str">
        <f>VLOOKUP([jobnumber],OvalData[],MATCH(Table2[[#Headers],[Inner Spring Stretch]],Table2[#Headers],0),0)</f>
        <v>Null</v>
      </c>
      <c r="BH766" s="2" t="str">
        <f>VLOOKUP([jobnumber],OvalData[],MATCH(Table2[[#Headers],[Inner Spring Torque]],Table2[#Headers],0),0)</f>
        <v>Null</v>
      </c>
      <c r="BI766" s="2" t="str">
        <f>VLOOKUP([jobnumber],OvalData[],MATCH(Table2[[#Headers],[Inner Spring Max Turns]],Table2[#Headers],0),0)</f>
        <v>Null</v>
      </c>
      <c r="BJ766" s="2" t="str">
        <f>VLOOKUP([jobnumber],OvalData[],MATCH(Table2[[#Headers],[Inner Spring Weight]],Table2[#Headers],0),0)</f>
        <v>Null</v>
      </c>
      <c r="BK766" s="2">
        <f>VLOOKUP([jobnumber],OvalData[],MATCH(Table2[[#Headers],[Cycles]],Table2[#Headers],0),0)</f>
        <v>0</v>
      </c>
      <c r="BL766" s="2">
        <f>VLOOKUP([jobnumber],OvalData[],MATCH(Table2[[#Headers],[Total Spring Torque]],Table2[#Headers],0),0)</f>
        <v>0</v>
      </c>
      <c r="BM766" s="2">
        <f>VLOOKUP([jobnumber],OvalData[],MATCH(Table2[[#Headers],[Total Spring Weight]],Table2[#Headers],0),0)</f>
        <v>0</v>
      </c>
      <c r="BN766" s="2">
        <f>VLOOKUP([jobnumber],OvalData[],MATCH(Table2[[#Headers],[Pipe Weight]],Table2[#Headers],0),0)</f>
        <v>688.24239999999998</v>
      </c>
      <c r="BO766" s="2">
        <f>VLOOKUP([jobnumber],OvalData[],MATCH(Table2[[#Headers],[Max Pipe Deflection]],Table2[#Headers],0),0)</f>
        <v>2309</v>
      </c>
      <c r="BP766" s="2">
        <f>VLOOKUP([jobnumber],OvalData[],MATCH(Table2[[#Headers],[Number Non-Insulated Wrap Slats]],Table2[#Headers],0),0)</f>
        <v>0</v>
      </c>
      <c r="BQ766" s="2">
        <f>VLOOKUP([jobnumber],OvalData[],MATCH(Table2[[#Headers],[Number of Insolated Top Slats]],Table2[#Headers],0),0)</f>
        <v>45</v>
      </c>
      <c r="BR766" s="2">
        <f>VLOOKUP([jobnumber],OvalData[],MATCH(Table2[[#Headers],[Insolated Total Slats]],Table2[#Headers],0),0)</f>
        <v>45</v>
      </c>
      <c r="BS766" s="2">
        <f>VLOOKUP([jobnumber],OvalData[],MATCH(Table2[[#Headers],[Number of Slats]],Table2[#Headers],0),0)</f>
        <v>44.69</v>
      </c>
      <c r="BT766" s="2">
        <f>VLOOKUP([jobnumber],OvalData[],MATCH(Table2[[#Headers],[Wrap]],Table2[#Headers],0),0)</f>
        <v>0</v>
      </c>
      <c r="BU766" s="2">
        <f>VLOOKUP([jobnumber],OvalData[],MATCH(Table2[[#Headers],[Wall Angle Thickness]],Table2[#Headers],0),0)</f>
        <v>0</v>
      </c>
      <c r="BV766" s="2">
        <f>VLOOKUP([jobnumber],OvalData[],MATCH(Table2[[#Headers],[windlocks]],Table2[#Headers],0),0)</f>
        <v>0</v>
      </c>
      <c r="BW766" s="2" t="str">
        <f>VLOOKUP([jobnumber],OvalData[],MATCH(Table2[[#Headers],[bottombartype]],Table2[#Headers],0),0)</f>
        <v>SPECIAL</v>
      </c>
      <c r="BX766" s="2">
        <f>VLOOKUP([jobnumber],OvalData[],MATCH(Table2[[#Headers],[endlockweight]],Table2[#Headers],0),0)</f>
        <v>0.17</v>
      </c>
      <c r="BY766" s="2">
        <f>VLOOKUP([jobnumber],OvalData[],MATCH(Table2[[#Headers],[Endlock Total Weight]],Table2[#Headers],0),0)</f>
        <v>7.5972999999999997</v>
      </c>
      <c r="BZ766" s="2">
        <f>VLOOKUP([jobnumber],OvalData[],MATCH(Table2[[#Headers],[Grille Weight]],Table2[#Headers],0),0)</f>
        <v>0</v>
      </c>
      <c r="CA766" s="2">
        <f>VLOOKUP([jobnumber],OvalData[],MATCH(Table2[[#Headers],[barrelrings]],Table2[#Headers],0),0)</f>
        <v>1</v>
      </c>
    </row>
    <row r="767" spans="2:79">
      <c r="B767" s="2" t="str">
        <f>VLOOKUP([jobnumber],OvalData[],MATCH(Table2[[#Headers],[Hand]],Table2[#Headers],0),0)</f>
        <v>RH</v>
      </c>
      <c r="C767" s="2" t="str">
        <f>VLOOKUP([jobnumber],OvalData[],MATCH(Table2[[#Headers],[Model]],Table2[#Headers],0),0)</f>
        <v>SFMPP</v>
      </c>
      <c r="D767" s="2" t="str">
        <f>VLOOKUP([jobnumber],OvalData[],MATCH(Table2[[#Headers],[width]],Table2[#Headers],0),0)</f>
        <v xml:space="preserve"> 18 ft.- 2"</v>
      </c>
      <c r="E767" s="2" t="str">
        <f>VLOOKUP([jobnumber],OvalData[],MATCH(Table2[[#Headers],[stopheight]],Table2[#Headers],0),0)</f>
        <v xml:space="preserve"> 10 ft.- 0"</v>
      </c>
      <c r="F767" s="2" t="str">
        <f>VLOOKUP([jobnumber],OvalData[],MATCH(Table2[[#Headers],[Between Brackets]],Table2[#Headers],0),0)</f>
        <v xml:space="preserve"> 18 ft.- 7 7/ 8"</v>
      </c>
      <c r="G767" s="2" t="str">
        <f>VLOOKUP([jobnumber],OvalData[],MATCH(Table2[[#Headers],[shell]],Table2[#Headers],0),0)</f>
        <v>6 INCH TUBE</v>
      </c>
      <c r="H767" s="2" t="str">
        <f>VLOOKUP([jobnumber],OvalData[],MATCH(Table2[[#Headers],[pipewidth]],Table2[#Headers],0),0)</f>
        <v xml:space="preserve"> 18 ft.- 1 3/ 8"</v>
      </c>
      <c r="I767" s="2">
        <f>VLOOKUP([jobnumber],OvalData[],MATCH(Table2[[#Headers],[Support Tubes]],Table2[#Headers],0),0)</f>
        <v>0</v>
      </c>
      <c r="J767" s="2">
        <f>VLOOKUP([jobnumber],OvalData[],MATCH(Table2[[#Headers],[Upset]],Table2[#Headers],0),0)</f>
        <v>2</v>
      </c>
      <c r="K767" s="2" t="str">
        <f>VLOOKUP([jobnumber],OvalData[],MATCH(Table2[[#Headers],[Guide Type]],Table2[#Headers],0),0)</f>
        <v>SN2-4 5/8-E</v>
      </c>
      <c r="L767" s="2" t="str">
        <f>VLOOKUP([jobnumber],OvalData[],MATCH(Table2[[#Headers],[Wall Angle]],Table2[#Headers],0),0)</f>
        <v xml:space="preserve"> 11 ft.- 8"</v>
      </c>
      <c r="M767" s="2" t="str">
        <f>VLOOKUP([jobnumber],OvalData[],MATCH(Table2[[#Headers],[Middle Angle]],Table2[#Headers],0),0)</f>
        <v xml:space="preserve"> 10 ft.- 4 1/ 2"</v>
      </c>
      <c r="N767" s="2" t="str">
        <f>VLOOKUP([jobnumber],OvalData[],MATCH(Table2[[#Headers],[Front Angle]],Table2[#Headers],0),0)</f>
        <v xml:space="preserve"> 10 ft.- 3"</v>
      </c>
      <c r="O767" s="2">
        <f>VLOOKUP([jobnumber],OvalData[],MATCH(Table2[[#Headers],[Pipe Center Line]],Table2[#Headers],0),0)</f>
        <v>131</v>
      </c>
      <c r="P767" s="2">
        <f>VLOOKUP([jobnumber],OvalData[],MATCH(Table2[[#Headers],[Heat Expansion Gap]],Table2[#Headers],0),0)</f>
        <v>0</v>
      </c>
      <c r="Q767" s="2">
        <f>VLOOKUP([jobnumber],OvalData[],MATCH(Table2[[#Headers],[Hanging Weight Closed]],Table2[#Headers],0),0)</f>
        <v>795</v>
      </c>
      <c r="R767" s="2">
        <f>VLOOKUP([jobnumber],OvalData[],MATCH(Table2[[#Headers],[Hanging Weight Open]],Table2[#Headers],0),0)</f>
        <v>140</v>
      </c>
      <c r="S767" s="2">
        <f>VLOOKUP([jobnumber],OvalData[],MATCH(Table2[[#Headers],[Initial Lever Arm]],Table2[#Headers],0),0)</f>
        <v>4.25</v>
      </c>
      <c r="T767" s="2">
        <f>VLOOKUP([jobnumber],OvalData[],MATCH(Table2[[#Headers],[Turns to Raise]],Table2[#Headers],0),0)</f>
        <v>3.5859999999999999</v>
      </c>
      <c r="U767" s="2">
        <f>VLOOKUP([jobnumber],OvalData[],MATCH(Table2[[#Headers],[Final Lever Arm]],Table2[#Headers],0),0)</f>
        <v>6.37</v>
      </c>
      <c r="V767" s="2">
        <f>VLOOKUP([jobnumber],OvalData[],MATCH(Table2[[#Headers],[Torque Required Closed]],Table2[#Headers],0),0)</f>
        <v>3377.9</v>
      </c>
      <c r="W767" s="2">
        <f>VLOOKUP([jobnumber],OvalData[],MATCH(Table2[[#Headers],[Torque Required Open]],Table2[#Headers],0),0)</f>
        <v>892</v>
      </c>
      <c r="X767" s="2">
        <f>VLOOKUP([jobnumber],OvalData[],MATCH(Table2[[#Headers],[Pre Turns]],Table2[#Headers],0),0)</f>
        <v>1.3332999999999999</v>
      </c>
      <c r="Y767" s="2">
        <f>VLOOKUP([jobnumber],OvalData[],MATCH(Table2[[#Headers],[Required Torque Per Turn]],Table2[#Headers],0),0)</f>
        <v>688</v>
      </c>
      <c r="Z767" s="2">
        <f>VLOOKUP([jobnumber],OvalData[],MATCH(Table2[[#Headers],[Total Turns]],Table2[#Headers],0),0)</f>
        <v>4.91</v>
      </c>
      <c r="AA767" s="2">
        <f>VLOOKUP([jobnumber],OvalData[],MATCH(Table2[[#Headers],[Grille Vision Section]],Table2[#Headers],0),0)</f>
        <v>0</v>
      </c>
      <c r="AB767" s="2">
        <f>VLOOKUP([jobnumber],OvalData[],MATCH(Table2[[#Headers],[Grille Amount]],Table2[#Headers],0),0)</f>
        <v>0</v>
      </c>
      <c r="AC767" s="2">
        <f>VLOOKUP([jobnumber],OvalData[],MATCH(Table2[[#Headers],[Grille Center]],Table2[#Headers],0),0)</f>
        <v>0</v>
      </c>
      <c r="AD767" s="2">
        <f>VLOOKUP([jobnumber],OvalData[],MATCH(Table2[[#Headers],[Grille Pattern]],Table2[#Headers],0),0)</f>
        <v>0</v>
      </c>
      <c r="AE767" s="2">
        <f>VLOOKUP([jobnumber],OvalData[],MATCH(Table2[[#Headers],[Grille First Tube]],Table2[#Headers],0),0)</f>
        <v>0</v>
      </c>
      <c r="AF767" s="2">
        <f>VLOOKUP([jobnumber],OvalData[],MATCH(Table2[[#Headers],[Grille Standard Tube]],Table2[#Headers],0),0)</f>
        <v>0</v>
      </c>
      <c r="AG767" s="2">
        <f>VLOOKUP([jobnumber],OvalData[],MATCH(Table2[[#Headers],[Grille Total Links]],Table2[#Headers],0),0)</f>
        <v>0</v>
      </c>
      <c r="AH767" s="2">
        <f>VLOOKUP([jobnumber],OvalData[],MATCH(Table2[[#Headers],[Grille Rods]],Table2[#Headers],0),0)</f>
        <v>0</v>
      </c>
      <c r="AI767" s="2">
        <f>VLOOKUP([jobnumber],OvalData[],MATCH(Table2[[#Headers],[Grille Rod Length]],Table2[#Headers],0),0)</f>
        <v>0</v>
      </c>
      <c r="AJ767" s="2">
        <f>VLOOKUP([jobnumber],OvalData[],MATCH(Table2[[#Headers],[slattype]],Table2[#Headers],0),0)</f>
        <v>2</v>
      </c>
      <c r="AK767" s="2">
        <f>VLOOKUP([jobnumber],OvalData[],MATCH(Table2[[#Headers],[slatgage]],Table2[#Headers],0),0)</f>
        <v>18</v>
      </c>
      <c r="AL767" s="2">
        <f>VLOOKUP([jobnumber],OvalData[],MATCH(Table2[[#Headers],[Numer of Top Slats]],Table2[#Headers],0),0)</f>
        <v>0</v>
      </c>
      <c r="AM767" s="2">
        <f>VLOOKUP([jobnumber],OvalData[],MATCH(Table2[[#Headers],[Number of Bottom Slats]],Table2[#Headers],0),0)</f>
        <v>0</v>
      </c>
      <c r="AN767" s="2">
        <f>VLOOKUP([jobnumber],OvalData[],MATCH(Table2[[#Headers],[Solid Bottom Height]],Table2[#Headers],0),0)</f>
        <v>0</v>
      </c>
      <c r="AO767" s="2" t="str">
        <f>VLOOKUP([jobnumber],OvalData[],MATCH(Table2[[#Headers],[slatlength]],Table2[#Headers],0),0)</f>
        <v xml:space="preserve"> 18 ft.- 5 7/ 8"</v>
      </c>
      <c r="AP767" s="2">
        <f>VLOOKUP([jobnumber],OvalData[],MATCH(Table2[[#Headers],[Bottom Slat Length]],Table2[#Headers],0),0)</f>
        <v>0</v>
      </c>
      <c r="AQ767" s="2">
        <f>VLOOKUP([jobnumber],OvalData[],MATCH(Table2[[#Headers],[Number of Perferated Slats]],Table2[#Headers],0),0)</f>
        <v>0</v>
      </c>
      <c r="AR767" s="2">
        <f>VLOOKUP([jobnumber],OvalData[],MATCH(Table2[[#Headers],[First Preferated Slat From End]],Table2[#Headers],0),0)</f>
        <v>0</v>
      </c>
      <c r="AS767" s="2">
        <f>VLOOKUP([jobnumber],OvalData[],MATCH(Table2[[#Headers],[First Preferated Slat From Bottom]],Table2[#Headers],0),0)</f>
        <v>0</v>
      </c>
      <c r="AT767" s="2">
        <f>VLOOKUP([jobnumber],OvalData[],MATCH(Table2[[#Headers],[Total Number of Slats]],Table2[#Headers],0),0)</f>
        <v>51</v>
      </c>
      <c r="AU767" s="2">
        <f>VLOOKUP([jobnumber],OvalData[],MATCH(Table2[[#Headers],[Bottom Bar Slope]],Table2[#Headers],0),0)</f>
        <v>0</v>
      </c>
      <c r="AV767" s="2">
        <f>VLOOKUP([jobnumber],OvalData[],MATCH(Table2[[#Headers],[Bottom Bar Weight]],Table2[#Headers],0),0)</f>
        <v>80.5</v>
      </c>
      <c r="AW767" s="2" t="str">
        <f>VLOOKUP([jobnumber],OvalData[],MATCH(Table2[[#Headers],[Outer Spring Gage]],Table2[#Headers],0),0)</f>
        <v>Null</v>
      </c>
      <c r="AX767" s="2" t="str">
        <f>VLOOKUP([jobnumber],OvalData[],MATCH(Table2[[#Headers],[Outer Spring OD]],Table2[#Headers],0),0)</f>
        <v>Null</v>
      </c>
      <c r="AY767" s="2" t="str">
        <f>VLOOKUP([jobnumber],OvalData[],MATCH(Table2[[#Headers],[Outer Spring Length]],Table2[#Headers],0),0)</f>
        <v>Null</v>
      </c>
      <c r="AZ767" s="2" t="str">
        <f>VLOOKUP([jobnumber],OvalData[],MATCH(Table2[[#Headers],[Outer Spring Stretch]],Table2[#Headers],0),0)</f>
        <v>Null</v>
      </c>
      <c r="BA767" s="2" t="str">
        <f>VLOOKUP([jobnumber],OvalData[],MATCH(Table2[[#Headers],[Outer Spring Torque]],Table2[#Headers],0),0)</f>
        <v>Null</v>
      </c>
      <c r="BB767" s="2" t="str">
        <f>VLOOKUP([jobnumber],OvalData[],MATCH(Table2[[#Headers],[Outer Spring Max Turns]],Table2[#Headers],0),0)</f>
        <v>Null</v>
      </c>
      <c r="BC767" s="2" t="str">
        <f>VLOOKUP([jobnumber],OvalData[],MATCH(Table2[[#Headers],[Outer Spring Weight]],Table2[#Headers],0),0)</f>
        <v>Null</v>
      </c>
      <c r="BD767" s="2" t="str">
        <f>VLOOKUP([jobnumber],OvalData[],MATCH(Table2[[#Headers],[Inner Spring Gage]],Table2[#Headers],0),0)</f>
        <v>Null</v>
      </c>
      <c r="BE767" s="2" t="str">
        <f>VLOOKUP([jobnumber],OvalData[],MATCH(Table2[[#Headers],[Inner Spring OD]],Table2[#Headers],0),0)</f>
        <v>Null</v>
      </c>
      <c r="BF767" s="2" t="str">
        <f>VLOOKUP([jobnumber],OvalData[],MATCH(Table2[[#Headers],[Inner Spring Length]],Table2[#Headers],0),0)</f>
        <v>Null</v>
      </c>
      <c r="BG767" s="2" t="str">
        <f>VLOOKUP([jobnumber],OvalData[],MATCH(Table2[[#Headers],[Inner Spring Stretch]],Table2[#Headers],0),0)</f>
        <v>Null</v>
      </c>
      <c r="BH767" s="2" t="str">
        <f>VLOOKUP([jobnumber],OvalData[],MATCH(Table2[[#Headers],[Inner Spring Torque]],Table2[#Headers],0),0)</f>
        <v>Null</v>
      </c>
      <c r="BI767" s="2" t="str">
        <f>VLOOKUP([jobnumber],OvalData[],MATCH(Table2[[#Headers],[Inner Spring Max Turns]],Table2[#Headers],0),0)</f>
        <v>Null</v>
      </c>
      <c r="BJ767" s="2" t="str">
        <f>VLOOKUP([jobnumber],OvalData[],MATCH(Table2[[#Headers],[Inner Spring Weight]],Table2[#Headers],0),0)</f>
        <v>Null</v>
      </c>
      <c r="BK767" s="2">
        <f>VLOOKUP([jobnumber],OvalData[],MATCH(Table2[[#Headers],[Cycles]],Table2[#Headers],0),0)</f>
        <v>0</v>
      </c>
      <c r="BL767" s="2">
        <f>VLOOKUP([jobnumber],OvalData[],MATCH(Table2[[#Headers],[Total Spring Torque]],Table2[#Headers],0),0)</f>
        <v>0</v>
      </c>
      <c r="BM767" s="2">
        <f>VLOOKUP([jobnumber],OvalData[],MATCH(Table2[[#Headers],[Total Spring Weight]],Table2[#Headers],0),0)</f>
        <v>0</v>
      </c>
      <c r="BN767" s="2">
        <f>VLOOKUP([jobnumber],OvalData[],MATCH(Table2[[#Headers],[Pipe Weight]],Table2[#Headers],0),0)</f>
        <v>688.24239999999998</v>
      </c>
      <c r="BO767" s="2">
        <f>VLOOKUP([jobnumber],OvalData[],MATCH(Table2[[#Headers],[Max Pipe Deflection]],Table2[#Headers],0),0)</f>
        <v>2309</v>
      </c>
      <c r="BP767" s="2">
        <f>VLOOKUP([jobnumber],OvalData[],MATCH(Table2[[#Headers],[Number Non-Insulated Wrap Slats]],Table2[#Headers],0),0)</f>
        <v>0</v>
      </c>
      <c r="BQ767" s="2">
        <f>VLOOKUP([jobnumber],OvalData[],MATCH(Table2[[#Headers],[Number of Insolated Top Slats]],Table2[#Headers],0),0)</f>
        <v>45</v>
      </c>
      <c r="BR767" s="2">
        <f>VLOOKUP([jobnumber],OvalData[],MATCH(Table2[[#Headers],[Insolated Total Slats]],Table2[#Headers],0),0)</f>
        <v>45</v>
      </c>
      <c r="BS767" s="2">
        <f>VLOOKUP([jobnumber],OvalData[],MATCH(Table2[[#Headers],[Number of Slats]],Table2[#Headers],0),0)</f>
        <v>44.69</v>
      </c>
      <c r="BT767" s="2">
        <f>VLOOKUP([jobnumber],OvalData[],MATCH(Table2[[#Headers],[Wrap]],Table2[#Headers],0),0)</f>
        <v>0</v>
      </c>
      <c r="BU767" s="2">
        <f>VLOOKUP([jobnumber],OvalData[],MATCH(Table2[[#Headers],[Wall Angle Thickness]],Table2[#Headers],0),0)</f>
        <v>0</v>
      </c>
      <c r="BV767" s="2">
        <f>VLOOKUP([jobnumber],OvalData[],MATCH(Table2[[#Headers],[windlocks]],Table2[#Headers],0),0)</f>
        <v>0</v>
      </c>
      <c r="BW767" s="2" t="str">
        <f>VLOOKUP([jobnumber],OvalData[],MATCH(Table2[[#Headers],[bottombartype]],Table2[#Headers],0),0)</f>
        <v>SPECIAL</v>
      </c>
      <c r="BX767" s="2">
        <f>VLOOKUP([jobnumber],OvalData[],MATCH(Table2[[#Headers],[endlockweight]],Table2[#Headers],0),0)</f>
        <v>0.17</v>
      </c>
      <c r="BY767" s="2">
        <f>VLOOKUP([jobnumber],OvalData[],MATCH(Table2[[#Headers],[Endlock Total Weight]],Table2[#Headers],0),0)</f>
        <v>7.5972999999999997</v>
      </c>
      <c r="BZ767" s="2">
        <f>VLOOKUP([jobnumber],OvalData[],MATCH(Table2[[#Headers],[Grille Weight]],Table2[#Headers],0),0)</f>
        <v>0</v>
      </c>
      <c r="CA767" s="2">
        <f>VLOOKUP([jobnumber],OvalData[],MATCH(Table2[[#Headers],[barrelrings]],Table2[#Headers],0),0)</f>
        <v>1</v>
      </c>
    </row>
    <row r="768" spans="2:79">
      <c r="B768" s="2" t="str">
        <f>VLOOKUP([jobnumber],OvalData[],MATCH(Table2[[#Headers],[Hand]],Table2[#Headers],0),0)</f>
        <v>RH</v>
      </c>
      <c r="C768" s="2" t="str">
        <f>VLOOKUP([jobnumber],OvalData[],MATCH(Table2[[#Headers],[Model]],Table2[#Headers],0),0)</f>
        <v>SFMPP</v>
      </c>
      <c r="D768" s="2" t="str">
        <f>VLOOKUP([jobnumber],OvalData[],MATCH(Table2[[#Headers],[width]],Table2[#Headers],0),0)</f>
        <v xml:space="preserve"> 18 ft.- 2"</v>
      </c>
      <c r="E768" s="2" t="str">
        <f>VLOOKUP([jobnumber],OvalData[],MATCH(Table2[[#Headers],[stopheight]],Table2[#Headers],0),0)</f>
        <v xml:space="preserve"> 10 ft.- 0"</v>
      </c>
      <c r="F768" s="2" t="str">
        <f>VLOOKUP([jobnumber],OvalData[],MATCH(Table2[[#Headers],[Between Brackets]],Table2[#Headers],0),0)</f>
        <v xml:space="preserve"> 18 ft.- 7 7/ 8"</v>
      </c>
      <c r="G768" s="2" t="str">
        <f>VLOOKUP([jobnumber],OvalData[],MATCH(Table2[[#Headers],[shell]],Table2[#Headers],0),0)</f>
        <v>6 INCH TUBE</v>
      </c>
      <c r="H768" s="2" t="str">
        <f>VLOOKUP([jobnumber],OvalData[],MATCH(Table2[[#Headers],[pipewidth]],Table2[#Headers],0),0)</f>
        <v xml:space="preserve"> 18 ft.- 1 3/ 8"</v>
      </c>
      <c r="I768" s="2">
        <f>VLOOKUP([jobnumber],OvalData[],MATCH(Table2[[#Headers],[Support Tubes]],Table2[#Headers],0),0)</f>
        <v>0</v>
      </c>
      <c r="J768" s="2">
        <f>VLOOKUP([jobnumber],OvalData[],MATCH(Table2[[#Headers],[Upset]],Table2[#Headers],0),0)</f>
        <v>2</v>
      </c>
      <c r="K768" s="2" t="str">
        <f>VLOOKUP([jobnumber],OvalData[],MATCH(Table2[[#Headers],[Guide Type]],Table2[#Headers],0),0)</f>
        <v>SN2-4 5/8-E</v>
      </c>
      <c r="L768" s="2" t="str">
        <f>VLOOKUP([jobnumber],OvalData[],MATCH(Table2[[#Headers],[Wall Angle]],Table2[#Headers],0),0)</f>
        <v xml:space="preserve"> 11 ft.- 8"</v>
      </c>
      <c r="M768" s="2" t="str">
        <f>VLOOKUP([jobnumber],OvalData[],MATCH(Table2[[#Headers],[Middle Angle]],Table2[#Headers],0),0)</f>
        <v xml:space="preserve"> 10 ft.- 4 1/ 2"</v>
      </c>
      <c r="N768" s="2" t="str">
        <f>VLOOKUP([jobnumber],OvalData[],MATCH(Table2[[#Headers],[Front Angle]],Table2[#Headers],0),0)</f>
        <v xml:space="preserve"> 10 ft.- 3"</v>
      </c>
      <c r="O768" s="2">
        <f>VLOOKUP([jobnumber],OvalData[],MATCH(Table2[[#Headers],[Pipe Center Line]],Table2[#Headers],0),0)</f>
        <v>131</v>
      </c>
      <c r="P768" s="2">
        <f>VLOOKUP([jobnumber],OvalData[],MATCH(Table2[[#Headers],[Heat Expansion Gap]],Table2[#Headers],0),0)</f>
        <v>0</v>
      </c>
      <c r="Q768" s="2">
        <f>VLOOKUP([jobnumber],OvalData[],MATCH(Table2[[#Headers],[Hanging Weight Closed]],Table2[#Headers],0),0)</f>
        <v>795</v>
      </c>
      <c r="R768" s="2">
        <f>VLOOKUP([jobnumber],OvalData[],MATCH(Table2[[#Headers],[Hanging Weight Open]],Table2[#Headers],0),0)</f>
        <v>140</v>
      </c>
      <c r="S768" s="2">
        <f>VLOOKUP([jobnumber],OvalData[],MATCH(Table2[[#Headers],[Initial Lever Arm]],Table2[#Headers],0),0)</f>
        <v>4.25</v>
      </c>
      <c r="T768" s="2">
        <f>VLOOKUP([jobnumber],OvalData[],MATCH(Table2[[#Headers],[Turns to Raise]],Table2[#Headers],0),0)</f>
        <v>3.5859999999999999</v>
      </c>
      <c r="U768" s="2">
        <f>VLOOKUP([jobnumber],OvalData[],MATCH(Table2[[#Headers],[Final Lever Arm]],Table2[#Headers],0),0)</f>
        <v>6.37</v>
      </c>
      <c r="V768" s="2">
        <f>VLOOKUP([jobnumber],OvalData[],MATCH(Table2[[#Headers],[Torque Required Closed]],Table2[#Headers],0),0)</f>
        <v>3377.9</v>
      </c>
      <c r="W768" s="2">
        <f>VLOOKUP([jobnumber],OvalData[],MATCH(Table2[[#Headers],[Torque Required Open]],Table2[#Headers],0),0)</f>
        <v>892</v>
      </c>
      <c r="X768" s="2">
        <f>VLOOKUP([jobnumber],OvalData[],MATCH(Table2[[#Headers],[Pre Turns]],Table2[#Headers],0),0)</f>
        <v>1.3332999999999999</v>
      </c>
      <c r="Y768" s="2">
        <f>VLOOKUP([jobnumber],OvalData[],MATCH(Table2[[#Headers],[Required Torque Per Turn]],Table2[#Headers],0),0)</f>
        <v>688</v>
      </c>
      <c r="Z768" s="2">
        <f>VLOOKUP([jobnumber],OvalData[],MATCH(Table2[[#Headers],[Total Turns]],Table2[#Headers],0),0)</f>
        <v>4.91</v>
      </c>
      <c r="AA768" s="2">
        <f>VLOOKUP([jobnumber],OvalData[],MATCH(Table2[[#Headers],[Grille Vision Section]],Table2[#Headers],0),0)</f>
        <v>0</v>
      </c>
      <c r="AB768" s="2">
        <f>VLOOKUP([jobnumber],OvalData[],MATCH(Table2[[#Headers],[Grille Amount]],Table2[#Headers],0),0)</f>
        <v>0</v>
      </c>
      <c r="AC768" s="2">
        <f>VLOOKUP([jobnumber],OvalData[],MATCH(Table2[[#Headers],[Grille Center]],Table2[#Headers],0),0)</f>
        <v>0</v>
      </c>
      <c r="AD768" s="2">
        <f>VLOOKUP([jobnumber],OvalData[],MATCH(Table2[[#Headers],[Grille Pattern]],Table2[#Headers],0),0)</f>
        <v>0</v>
      </c>
      <c r="AE768" s="2">
        <f>VLOOKUP([jobnumber],OvalData[],MATCH(Table2[[#Headers],[Grille First Tube]],Table2[#Headers],0),0)</f>
        <v>0</v>
      </c>
      <c r="AF768" s="2">
        <f>VLOOKUP([jobnumber],OvalData[],MATCH(Table2[[#Headers],[Grille Standard Tube]],Table2[#Headers],0),0)</f>
        <v>0</v>
      </c>
      <c r="AG768" s="2">
        <f>VLOOKUP([jobnumber],OvalData[],MATCH(Table2[[#Headers],[Grille Total Links]],Table2[#Headers],0),0)</f>
        <v>0</v>
      </c>
      <c r="AH768" s="2">
        <f>VLOOKUP([jobnumber],OvalData[],MATCH(Table2[[#Headers],[Grille Rods]],Table2[#Headers],0),0)</f>
        <v>0</v>
      </c>
      <c r="AI768" s="2">
        <f>VLOOKUP([jobnumber],OvalData[],MATCH(Table2[[#Headers],[Grille Rod Length]],Table2[#Headers],0),0)</f>
        <v>0</v>
      </c>
      <c r="AJ768" s="2">
        <f>VLOOKUP([jobnumber],OvalData[],MATCH(Table2[[#Headers],[slattype]],Table2[#Headers],0),0)</f>
        <v>2</v>
      </c>
      <c r="AK768" s="2">
        <f>VLOOKUP([jobnumber],OvalData[],MATCH(Table2[[#Headers],[slatgage]],Table2[#Headers],0),0)</f>
        <v>18</v>
      </c>
      <c r="AL768" s="2">
        <f>VLOOKUP([jobnumber],OvalData[],MATCH(Table2[[#Headers],[Numer of Top Slats]],Table2[#Headers],0),0)</f>
        <v>0</v>
      </c>
      <c r="AM768" s="2">
        <f>VLOOKUP([jobnumber],OvalData[],MATCH(Table2[[#Headers],[Number of Bottom Slats]],Table2[#Headers],0),0)</f>
        <v>0</v>
      </c>
      <c r="AN768" s="2">
        <f>VLOOKUP([jobnumber],OvalData[],MATCH(Table2[[#Headers],[Solid Bottom Height]],Table2[#Headers],0),0)</f>
        <v>0</v>
      </c>
      <c r="AO768" s="2" t="str">
        <f>VLOOKUP([jobnumber],OvalData[],MATCH(Table2[[#Headers],[slatlength]],Table2[#Headers],0),0)</f>
        <v xml:space="preserve"> 18 ft.- 5 7/ 8"</v>
      </c>
      <c r="AP768" s="2">
        <f>VLOOKUP([jobnumber],OvalData[],MATCH(Table2[[#Headers],[Bottom Slat Length]],Table2[#Headers],0),0)</f>
        <v>0</v>
      </c>
      <c r="AQ768" s="2">
        <f>VLOOKUP([jobnumber],OvalData[],MATCH(Table2[[#Headers],[Number of Perferated Slats]],Table2[#Headers],0),0)</f>
        <v>0</v>
      </c>
      <c r="AR768" s="2">
        <f>VLOOKUP([jobnumber],OvalData[],MATCH(Table2[[#Headers],[First Preferated Slat From End]],Table2[#Headers],0),0)</f>
        <v>0</v>
      </c>
      <c r="AS768" s="2">
        <f>VLOOKUP([jobnumber],OvalData[],MATCH(Table2[[#Headers],[First Preferated Slat From Bottom]],Table2[#Headers],0),0)</f>
        <v>0</v>
      </c>
      <c r="AT768" s="2">
        <f>VLOOKUP([jobnumber],OvalData[],MATCH(Table2[[#Headers],[Total Number of Slats]],Table2[#Headers],0),0)</f>
        <v>51</v>
      </c>
      <c r="AU768" s="2">
        <f>VLOOKUP([jobnumber],OvalData[],MATCH(Table2[[#Headers],[Bottom Bar Slope]],Table2[#Headers],0),0)</f>
        <v>0</v>
      </c>
      <c r="AV768" s="2">
        <f>VLOOKUP([jobnumber],OvalData[],MATCH(Table2[[#Headers],[Bottom Bar Weight]],Table2[#Headers],0),0)</f>
        <v>80.5</v>
      </c>
      <c r="AW768" s="2" t="str">
        <f>VLOOKUP([jobnumber],OvalData[],MATCH(Table2[[#Headers],[Outer Spring Gage]],Table2[#Headers],0),0)</f>
        <v>Null</v>
      </c>
      <c r="AX768" s="2" t="str">
        <f>VLOOKUP([jobnumber],OvalData[],MATCH(Table2[[#Headers],[Outer Spring OD]],Table2[#Headers],0),0)</f>
        <v>Null</v>
      </c>
      <c r="AY768" s="2" t="str">
        <f>VLOOKUP([jobnumber],OvalData[],MATCH(Table2[[#Headers],[Outer Spring Length]],Table2[#Headers],0),0)</f>
        <v>Null</v>
      </c>
      <c r="AZ768" s="2" t="str">
        <f>VLOOKUP([jobnumber],OvalData[],MATCH(Table2[[#Headers],[Outer Spring Stretch]],Table2[#Headers],0),0)</f>
        <v>Null</v>
      </c>
      <c r="BA768" s="2" t="str">
        <f>VLOOKUP([jobnumber],OvalData[],MATCH(Table2[[#Headers],[Outer Spring Torque]],Table2[#Headers],0),0)</f>
        <v>Null</v>
      </c>
      <c r="BB768" s="2" t="str">
        <f>VLOOKUP([jobnumber],OvalData[],MATCH(Table2[[#Headers],[Outer Spring Max Turns]],Table2[#Headers],0),0)</f>
        <v>Null</v>
      </c>
      <c r="BC768" s="2" t="str">
        <f>VLOOKUP([jobnumber],OvalData[],MATCH(Table2[[#Headers],[Outer Spring Weight]],Table2[#Headers],0),0)</f>
        <v>Null</v>
      </c>
      <c r="BD768" s="2" t="str">
        <f>VLOOKUP([jobnumber],OvalData[],MATCH(Table2[[#Headers],[Inner Spring Gage]],Table2[#Headers],0),0)</f>
        <v>Null</v>
      </c>
      <c r="BE768" s="2" t="str">
        <f>VLOOKUP([jobnumber],OvalData[],MATCH(Table2[[#Headers],[Inner Spring OD]],Table2[#Headers],0),0)</f>
        <v>Null</v>
      </c>
      <c r="BF768" s="2" t="str">
        <f>VLOOKUP([jobnumber],OvalData[],MATCH(Table2[[#Headers],[Inner Spring Length]],Table2[#Headers],0),0)</f>
        <v>Null</v>
      </c>
      <c r="BG768" s="2" t="str">
        <f>VLOOKUP([jobnumber],OvalData[],MATCH(Table2[[#Headers],[Inner Spring Stretch]],Table2[#Headers],0),0)</f>
        <v>Null</v>
      </c>
      <c r="BH768" s="2" t="str">
        <f>VLOOKUP([jobnumber],OvalData[],MATCH(Table2[[#Headers],[Inner Spring Torque]],Table2[#Headers],0),0)</f>
        <v>Null</v>
      </c>
      <c r="BI768" s="2" t="str">
        <f>VLOOKUP([jobnumber],OvalData[],MATCH(Table2[[#Headers],[Inner Spring Max Turns]],Table2[#Headers],0),0)</f>
        <v>Null</v>
      </c>
      <c r="BJ768" s="2" t="str">
        <f>VLOOKUP([jobnumber],OvalData[],MATCH(Table2[[#Headers],[Inner Spring Weight]],Table2[#Headers],0),0)</f>
        <v>Null</v>
      </c>
      <c r="BK768" s="2">
        <f>VLOOKUP([jobnumber],OvalData[],MATCH(Table2[[#Headers],[Cycles]],Table2[#Headers],0),0)</f>
        <v>0</v>
      </c>
      <c r="BL768" s="2">
        <f>VLOOKUP([jobnumber],OvalData[],MATCH(Table2[[#Headers],[Total Spring Torque]],Table2[#Headers],0),0)</f>
        <v>0</v>
      </c>
      <c r="BM768" s="2">
        <f>VLOOKUP([jobnumber],OvalData[],MATCH(Table2[[#Headers],[Total Spring Weight]],Table2[#Headers],0),0)</f>
        <v>0</v>
      </c>
      <c r="BN768" s="2">
        <f>VLOOKUP([jobnumber],OvalData[],MATCH(Table2[[#Headers],[Pipe Weight]],Table2[#Headers],0),0)</f>
        <v>688.24239999999998</v>
      </c>
      <c r="BO768" s="2">
        <f>VLOOKUP([jobnumber],OvalData[],MATCH(Table2[[#Headers],[Max Pipe Deflection]],Table2[#Headers],0),0)</f>
        <v>2309</v>
      </c>
      <c r="BP768" s="2">
        <f>VLOOKUP([jobnumber],OvalData[],MATCH(Table2[[#Headers],[Number Non-Insulated Wrap Slats]],Table2[#Headers],0),0)</f>
        <v>0</v>
      </c>
      <c r="BQ768" s="2">
        <f>VLOOKUP([jobnumber],OvalData[],MATCH(Table2[[#Headers],[Number of Insolated Top Slats]],Table2[#Headers],0),0)</f>
        <v>45</v>
      </c>
      <c r="BR768" s="2">
        <f>VLOOKUP([jobnumber],OvalData[],MATCH(Table2[[#Headers],[Insolated Total Slats]],Table2[#Headers],0),0)</f>
        <v>45</v>
      </c>
      <c r="BS768" s="2">
        <f>VLOOKUP([jobnumber],OvalData[],MATCH(Table2[[#Headers],[Number of Slats]],Table2[#Headers],0),0)</f>
        <v>44.69</v>
      </c>
      <c r="BT768" s="2">
        <f>VLOOKUP([jobnumber],OvalData[],MATCH(Table2[[#Headers],[Wrap]],Table2[#Headers],0),0)</f>
        <v>0</v>
      </c>
      <c r="BU768" s="2">
        <f>VLOOKUP([jobnumber],OvalData[],MATCH(Table2[[#Headers],[Wall Angle Thickness]],Table2[#Headers],0),0)</f>
        <v>0</v>
      </c>
      <c r="BV768" s="2">
        <f>VLOOKUP([jobnumber],OvalData[],MATCH(Table2[[#Headers],[windlocks]],Table2[#Headers],0),0)</f>
        <v>0</v>
      </c>
      <c r="BW768" s="2" t="str">
        <f>VLOOKUP([jobnumber],OvalData[],MATCH(Table2[[#Headers],[bottombartype]],Table2[#Headers],0),0)</f>
        <v>SPECIAL</v>
      </c>
      <c r="BX768" s="2">
        <f>VLOOKUP([jobnumber],OvalData[],MATCH(Table2[[#Headers],[endlockweight]],Table2[#Headers],0),0)</f>
        <v>0.17</v>
      </c>
      <c r="BY768" s="2">
        <f>VLOOKUP([jobnumber],OvalData[],MATCH(Table2[[#Headers],[Endlock Total Weight]],Table2[#Headers],0),0)</f>
        <v>7.5972999999999997</v>
      </c>
      <c r="BZ768" s="2">
        <f>VLOOKUP([jobnumber],OvalData[],MATCH(Table2[[#Headers],[Grille Weight]],Table2[#Headers],0),0)</f>
        <v>0</v>
      </c>
      <c r="CA768" s="2">
        <f>VLOOKUP([jobnumber],OvalData[],MATCH(Table2[[#Headers],[barrelrings]],Table2[#Headers],0),0)</f>
        <v>1</v>
      </c>
    </row>
    <row r="769" spans="2:79">
      <c r="B769" s="2" t="str">
        <f>VLOOKUP([jobnumber],OvalData[],MATCH(Table2[[#Headers],[Hand]],Table2[#Headers],0),0)</f>
        <v>RH</v>
      </c>
      <c r="C769" s="2" t="str">
        <f>VLOOKUP([jobnumber],OvalData[],MATCH(Table2[[#Headers],[Model]],Table2[#Headers],0),0)</f>
        <v>SFMPP</v>
      </c>
      <c r="D769" s="2" t="str">
        <f>VLOOKUP([jobnumber],OvalData[],MATCH(Table2[[#Headers],[width]],Table2[#Headers],0),0)</f>
        <v xml:space="preserve"> 18 ft.- 2"</v>
      </c>
      <c r="E769" s="2" t="str">
        <f>VLOOKUP([jobnumber],OvalData[],MATCH(Table2[[#Headers],[stopheight]],Table2[#Headers],0),0)</f>
        <v xml:space="preserve"> 10 ft.- 0"</v>
      </c>
      <c r="F769" s="2" t="str">
        <f>VLOOKUP([jobnumber],OvalData[],MATCH(Table2[[#Headers],[Between Brackets]],Table2[#Headers],0),0)</f>
        <v xml:space="preserve"> 18 ft.- 7 7/ 8"</v>
      </c>
      <c r="G769" s="2" t="str">
        <f>VLOOKUP([jobnumber],OvalData[],MATCH(Table2[[#Headers],[shell]],Table2[#Headers],0),0)</f>
        <v>6 INCH TUBE</v>
      </c>
      <c r="H769" s="2" t="str">
        <f>VLOOKUP([jobnumber],OvalData[],MATCH(Table2[[#Headers],[pipewidth]],Table2[#Headers],0),0)</f>
        <v xml:space="preserve"> 18 ft.- 1 3/ 8"</v>
      </c>
      <c r="I769" s="2">
        <f>VLOOKUP([jobnumber],OvalData[],MATCH(Table2[[#Headers],[Support Tubes]],Table2[#Headers],0),0)</f>
        <v>0</v>
      </c>
      <c r="J769" s="2">
        <f>VLOOKUP([jobnumber],OvalData[],MATCH(Table2[[#Headers],[Upset]],Table2[#Headers],0),0)</f>
        <v>2</v>
      </c>
      <c r="K769" s="2" t="str">
        <f>VLOOKUP([jobnumber],OvalData[],MATCH(Table2[[#Headers],[Guide Type]],Table2[#Headers],0),0)</f>
        <v>SN2-4 5/8-E</v>
      </c>
      <c r="L769" s="2" t="str">
        <f>VLOOKUP([jobnumber],OvalData[],MATCH(Table2[[#Headers],[Wall Angle]],Table2[#Headers],0),0)</f>
        <v xml:space="preserve"> 11 ft.- 8"</v>
      </c>
      <c r="M769" s="2" t="str">
        <f>VLOOKUP([jobnumber],OvalData[],MATCH(Table2[[#Headers],[Middle Angle]],Table2[#Headers],0),0)</f>
        <v xml:space="preserve"> 10 ft.- 4 1/ 2"</v>
      </c>
      <c r="N769" s="2" t="str">
        <f>VLOOKUP([jobnumber],OvalData[],MATCH(Table2[[#Headers],[Front Angle]],Table2[#Headers],0),0)</f>
        <v xml:space="preserve"> 10 ft.- 3"</v>
      </c>
      <c r="O769" s="2">
        <f>VLOOKUP([jobnumber],OvalData[],MATCH(Table2[[#Headers],[Pipe Center Line]],Table2[#Headers],0),0)</f>
        <v>131</v>
      </c>
      <c r="P769" s="2">
        <f>VLOOKUP([jobnumber],OvalData[],MATCH(Table2[[#Headers],[Heat Expansion Gap]],Table2[#Headers],0),0)</f>
        <v>0</v>
      </c>
      <c r="Q769" s="2">
        <f>VLOOKUP([jobnumber],OvalData[],MATCH(Table2[[#Headers],[Hanging Weight Closed]],Table2[#Headers],0),0)</f>
        <v>795</v>
      </c>
      <c r="R769" s="2">
        <f>VLOOKUP([jobnumber],OvalData[],MATCH(Table2[[#Headers],[Hanging Weight Open]],Table2[#Headers],0),0)</f>
        <v>140</v>
      </c>
      <c r="S769" s="2">
        <f>VLOOKUP([jobnumber],OvalData[],MATCH(Table2[[#Headers],[Initial Lever Arm]],Table2[#Headers],0),0)</f>
        <v>4.25</v>
      </c>
      <c r="T769" s="2">
        <f>VLOOKUP([jobnumber],OvalData[],MATCH(Table2[[#Headers],[Turns to Raise]],Table2[#Headers],0),0)</f>
        <v>3.5859999999999999</v>
      </c>
      <c r="U769" s="2">
        <f>VLOOKUP([jobnumber],OvalData[],MATCH(Table2[[#Headers],[Final Lever Arm]],Table2[#Headers],0),0)</f>
        <v>6.37</v>
      </c>
      <c r="V769" s="2">
        <f>VLOOKUP([jobnumber],OvalData[],MATCH(Table2[[#Headers],[Torque Required Closed]],Table2[#Headers],0),0)</f>
        <v>3377.9</v>
      </c>
      <c r="W769" s="2">
        <f>VLOOKUP([jobnumber],OvalData[],MATCH(Table2[[#Headers],[Torque Required Open]],Table2[#Headers],0),0)</f>
        <v>892</v>
      </c>
      <c r="X769" s="2">
        <f>VLOOKUP([jobnumber],OvalData[],MATCH(Table2[[#Headers],[Pre Turns]],Table2[#Headers],0),0)</f>
        <v>1.3332999999999999</v>
      </c>
      <c r="Y769" s="2">
        <f>VLOOKUP([jobnumber],OvalData[],MATCH(Table2[[#Headers],[Required Torque Per Turn]],Table2[#Headers],0),0)</f>
        <v>688</v>
      </c>
      <c r="Z769" s="2">
        <f>VLOOKUP([jobnumber],OvalData[],MATCH(Table2[[#Headers],[Total Turns]],Table2[#Headers],0),0)</f>
        <v>4.91</v>
      </c>
      <c r="AA769" s="2">
        <f>VLOOKUP([jobnumber],OvalData[],MATCH(Table2[[#Headers],[Grille Vision Section]],Table2[#Headers],0),0)</f>
        <v>0</v>
      </c>
      <c r="AB769" s="2">
        <f>VLOOKUP([jobnumber],OvalData[],MATCH(Table2[[#Headers],[Grille Amount]],Table2[#Headers],0),0)</f>
        <v>0</v>
      </c>
      <c r="AC769" s="2">
        <f>VLOOKUP([jobnumber],OvalData[],MATCH(Table2[[#Headers],[Grille Center]],Table2[#Headers],0),0)</f>
        <v>0</v>
      </c>
      <c r="AD769" s="2">
        <f>VLOOKUP([jobnumber],OvalData[],MATCH(Table2[[#Headers],[Grille Pattern]],Table2[#Headers],0),0)</f>
        <v>0</v>
      </c>
      <c r="AE769" s="2">
        <f>VLOOKUP([jobnumber],OvalData[],MATCH(Table2[[#Headers],[Grille First Tube]],Table2[#Headers],0),0)</f>
        <v>0</v>
      </c>
      <c r="AF769" s="2">
        <f>VLOOKUP([jobnumber],OvalData[],MATCH(Table2[[#Headers],[Grille Standard Tube]],Table2[#Headers],0),0)</f>
        <v>0</v>
      </c>
      <c r="AG769" s="2">
        <f>VLOOKUP([jobnumber],OvalData[],MATCH(Table2[[#Headers],[Grille Total Links]],Table2[#Headers],0),0)</f>
        <v>0</v>
      </c>
      <c r="AH769" s="2">
        <f>VLOOKUP([jobnumber],OvalData[],MATCH(Table2[[#Headers],[Grille Rods]],Table2[#Headers],0),0)</f>
        <v>0</v>
      </c>
      <c r="AI769" s="2">
        <f>VLOOKUP([jobnumber],OvalData[],MATCH(Table2[[#Headers],[Grille Rod Length]],Table2[#Headers],0),0)</f>
        <v>0</v>
      </c>
      <c r="AJ769" s="2">
        <f>VLOOKUP([jobnumber],OvalData[],MATCH(Table2[[#Headers],[slattype]],Table2[#Headers],0),0)</f>
        <v>2</v>
      </c>
      <c r="AK769" s="2">
        <f>VLOOKUP([jobnumber],OvalData[],MATCH(Table2[[#Headers],[slatgage]],Table2[#Headers],0),0)</f>
        <v>18</v>
      </c>
      <c r="AL769" s="2">
        <f>VLOOKUP([jobnumber],OvalData[],MATCH(Table2[[#Headers],[Numer of Top Slats]],Table2[#Headers],0),0)</f>
        <v>0</v>
      </c>
      <c r="AM769" s="2">
        <f>VLOOKUP([jobnumber],OvalData[],MATCH(Table2[[#Headers],[Number of Bottom Slats]],Table2[#Headers],0),0)</f>
        <v>0</v>
      </c>
      <c r="AN769" s="2">
        <f>VLOOKUP([jobnumber],OvalData[],MATCH(Table2[[#Headers],[Solid Bottom Height]],Table2[#Headers],0),0)</f>
        <v>0</v>
      </c>
      <c r="AO769" s="2" t="str">
        <f>VLOOKUP([jobnumber],OvalData[],MATCH(Table2[[#Headers],[slatlength]],Table2[#Headers],0),0)</f>
        <v xml:space="preserve"> 18 ft.- 5 7/ 8"</v>
      </c>
      <c r="AP769" s="2">
        <f>VLOOKUP([jobnumber],OvalData[],MATCH(Table2[[#Headers],[Bottom Slat Length]],Table2[#Headers],0),0)</f>
        <v>0</v>
      </c>
      <c r="AQ769" s="2">
        <f>VLOOKUP([jobnumber],OvalData[],MATCH(Table2[[#Headers],[Number of Perferated Slats]],Table2[#Headers],0),0)</f>
        <v>0</v>
      </c>
      <c r="AR769" s="2">
        <f>VLOOKUP([jobnumber],OvalData[],MATCH(Table2[[#Headers],[First Preferated Slat From End]],Table2[#Headers],0),0)</f>
        <v>0</v>
      </c>
      <c r="AS769" s="2">
        <f>VLOOKUP([jobnumber],OvalData[],MATCH(Table2[[#Headers],[First Preferated Slat From Bottom]],Table2[#Headers],0),0)</f>
        <v>0</v>
      </c>
      <c r="AT769" s="2">
        <f>VLOOKUP([jobnumber],OvalData[],MATCH(Table2[[#Headers],[Total Number of Slats]],Table2[#Headers],0),0)</f>
        <v>51</v>
      </c>
      <c r="AU769" s="2">
        <f>VLOOKUP([jobnumber],OvalData[],MATCH(Table2[[#Headers],[Bottom Bar Slope]],Table2[#Headers],0),0)</f>
        <v>0</v>
      </c>
      <c r="AV769" s="2">
        <f>VLOOKUP([jobnumber],OvalData[],MATCH(Table2[[#Headers],[Bottom Bar Weight]],Table2[#Headers],0),0)</f>
        <v>80.5</v>
      </c>
      <c r="AW769" s="2" t="str">
        <f>VLOOKUP([jobnumber],OvalData[],MATCH(Table2[[#Headers],[Outer Spring Gage]],Table2[#Headers],0),0)</f>
        <v>Null</v>
      </c>
      <c r="AX769" s="2" t="str">
        <f>VLOOKUP([jobnumber],OvalData[],MATCH(Table2[[#Headers],[Outer Spring OD]],Table2[#Headers],0),0)</f>
        <v>Null</v>
      </c>
      <c r="AY769" s="2" t="str">
        <f>VLOOKUP([jobnumber],OvalData[],MATCH(Table2[[#Headers],[Outer Spring Length]],Table2[#Headers],0),0)</f>
        <v>Null</v>
      </c>
      <c r="AZ769" s="2" t="str">
        <f>VLOOKUP([jobnumber],OvalData[],MATCH(Table2[[#Headers],[Outer Spring Stretch]],Table2[#Headers],0),0)</f>
        <v>Null</v>
      </c>
      <c r="BA769" s="2" t="str">
        <f>VLOOKUP([jobnumber],OvalData[],MATCH(Table2[[#Headers],[Outer Spring Torque]],Table2[#Headers],0),0)</f>
        <v>Null</v>
      </c>
      <c r="BB769" s="2" t="str">
        <f>VLOOKUP([jobnumber],OvalData[],MATCH(Table2[[#Headers],[Outer Spring Max Turns]],Table2[#Headers],0),0)</f>
        <v>Null</v>
      </c>
      <c r="BC769" s="2" t="str">
        <f>VLOOKUP([jobnumber],OvalData[],MATCH(Table2[[#Headers],[Outer Spring Weight]],Table2[#Headers],0),0)</f>
        <v>Null</v>
      </c>
      <c r="BD769" s="2" t="str">
        <f>VLOOKUP([jobnumber],OvalData[],MATCH(Table2[[#Headers],[Inner Spring Gage]],Table2[#Headers],0),0)</f>
        <v>Null</v>
      </c>
      <c r="BE769" s="2" t="str">
        <f>VLOOKUP([jobnumber],OvalData[],MATCH(Table2[[#Headers],[Inner Spring OD]],Table2[#Headers],0),0)</f>
        <v>Null</v>
      </c>
      <c r="BF769" s="2" t="str">
        <f>VLOOKUP([jobnumber],OvalData[],MATCH(Table2[[#Headers],[Inner Spring Length]],Table2[#Headers],0),0)</f>
        <v>Null</v>
      </c>
      <c r="BG769" s="2" t="str">
        <f>VLOOKUP([jobnumber],OvalData[],MATCH(Table2[[#Headers],[Inner Spring Stretch]],Table2[#Headers],0),0)</f>
        <v>Null</v>
      </c>
      <c r="BH769" s="2" t="str">
        <f>VLOOKUP([jobnumber],OvalData[],MATCH(Table2[[#Headers],[Inner Spring Torque]],Table2[#Headers],0),0)</f>
        <v>Null</v>
      </c>
      <c r="BI769" s="2" t="str">
        <f>VLOOKUP([jobnumber],OvalData[],MATCH(Table2[[#Headers],[Inner Spring Max Turns]],Table2[#Headers],0),0)</f>
        <v>Null</v>
      </c>
      <c r="BJ769" s="2" t="str">
        <f>VLOOKUP([jobnumber],OvalData[],MATCH(Table2[[#Headers],[Inner Spring Weight]],Table2[#Headers],0),0)</f>
        <v>Null</v>
      </c>
      <c r="BK769" s="2">
        <f>VLOOKUP([jobnumber],OvalData[],MATCH(Table2[[#Headers],[Cycles]],Table2[#Headers],0),0)</f>
        <v>0</v>
      </c>
      <c r="BL769" s="2">
        <f>VLOOKUP([jobnumber],OvalData[],MATCH(Table2[[#Headers],[Total Spring Torque]],Table2[#Headers],0),0)</f>
        <v>0</v>
      </c>
      <c r="BM769" s="2">
        <f>VLOOKUP([jobnumber],OvalData[],MATCH(Table2[[#Headers],[Total Spring Weight]],Table2[#Headers],0),0)</f>
        <v>0</v>
      </c>
      <c r="BN769" s="2">
        <f>VLOOKUP([jobnumber],OvalData[],MATCH(Table2[[#Headers],[Pipe Weight]],Table2[#Headers],0),0)</f>
        <v>688.24239999999998</v>
      </c>
      <c r="BO769" s="2">
        <f>VLOOKUP([jobnumber],OvalData[],MATCH(Table2[[#Headers],[Max Pipe Deflection]],Table2[#Headers],0),0)</f>
        <v>2309</v>
      </c>
      <c r="BP769" s="2">
        <f>VLOOKUP([jobnumber],OvalData[],MATCH(Table2[[#Headers],[Number Non-Insulated Wrap Slats]],Table2[#Headers],0),0)</f>
        <v>0</v>
      </c>
      <c r="BQ769" s="2">
        <f>VLOOKUP([jobnumber],OvalData[],MATCH(Table2[[#Headers],[Number of Insolated Top Slats]],Table2[#Headers],0),0)</f>
        <v>45</v>
      </c>
      <c r="BR769" s="2">
        <f>VLOOKUP([jobnumber],OvalData[],MATCH(Table2[[#Headers],[Insolated Total Slats]],Table2[#Headers],0),0)</f>
        <v>45</v>
      </c>
      <c r="BS769" s="2">
        <f>VLOOKUP([jobnumber],OvalData[],MATCH(Table2[[#Headers],[Number of Slats]],Table2[#Headers],0),0)</f>
        <v>44.69</v>
      </c>
      <c r="BT769" s="2">
        <f>VLOOKUP([jobnumber],OvalData[],MATCH(Table2[[#Headers],[Wrap]],Table2[#Headers],0),0)</f>
        <v>0</v>
      </c>
      <c r="BU769" s="2">
        <f>VLOOKUP([jobnumber],OvalData[],MATCH(Table2[[#Headers],[Wall Angle Thickness]],Table2[#Headers],0),0)</f>
        <v>0</v>
      </c>
      <c r="BV769" s="2">
        <f>VLOOKUP([jobnumber],OvalData[],MATCH(Table2[[#Headers],[windlocks]],Table2[#Headers],0),0)</f>
        <v>0</v>
      </c>
      <c r="BW769" s="2" t="str">
        <f>VLOOKUP([jobnumber],OvalData[],MATCH(Table2[[#Headers],[bottombartype]],Table2[#Headers],0),0)</f>
        <v>SPECIAL</v>
      </c>
      <c r="BX769" s="2">
        <f>VLOOKUP([jobnumber],OvalData[],MATCH(Table2[[#Headers],[endlockweight]],Table2[#Headers],0),0)</f>
        <v>0.17</v>
      </c>
      <c r="BY769" s="2">
        <f>VLOOKUP([jobnumber],OvalData[],MATCH(Table2[[#Headers],[Endlock Total Weight]],Table2[#Headers],0),0)</f>
        <v>7.5972999999999997</v>
      </c>
      <c r="BZ769" s="2">
        <f>VLOOKUP([jobnumber],OvalData[],MATCH(Table2[[#Headers],[Grille Weight]],Table2[#Headers],0),0)</f>
        <v>0</v>
      </c>
      <c r="CA769" s="2">
        <f>VLOOKUP([jobnumber],OvalData[],MATCH(Table2[[#Headers],[barrelrings]],Table2[#Headers],0),0)</f>
        <v>1</v>
      </c>
    </row>
    <row r="770" spans="2:79">
      <c r="B770" s="2" t="str">
        <f>VLOOKUP([jobnumber],OvalData[],MATCH(Table2[[#Headers],[Hand]],Table2[#Headers],0),0)</f>
        <v>RH</v>
      </c>
      <c r="C770" s="2" t="str">
        <f>VLOOKUP([jobnumber],OvalData[],MATCH(Table2[[#Headers],[Model]],Table2[#Headers],0),0)</f>
        <v>SFMPP</v>
      </c>
      <c r="D770" s="2" t="str">
        <f>VLOOKUP([jobnumber],OvalData[],MATCH(Table2[[#Headers],[width]],Table2[#Headers],0),0)</f>
        <v xml:space="preserve"> 18 ft.- 2"</v>
      </c>
      <c r="E770" s="2" t="str">
        <f>VLOOKUP([jobnumber],OvalData[],MATCH(Table2[[#Headers],[stopheight]],Table2[#Headers],0),0)</f>
        <v xml:space="preserve"> 10 ft.- 0"</v>
      </c>
      <c r="F770" s="2" t="str">
        <f>VLOOKUP([jobnumber],OvalData[],MATCH(Table2[[#Headers],[Between Brackets]],Table2[#Headers],0),0)</f>
        <v xml:space="preserve"> 18 ft.- 7 7/ 8"</v>
      </c>
      <c r="G770" s="2" t="str">
        <f>VLOOKUP([jobnumber],OvalData[],MATCH(Table2[[#Headers],[shell]],Table2[#Headers],0),0)</f>
        <v>6 INCH TUBE</v>
      </c>
      <c r="H770" s="2" t="str">
        <f>VLOOKUP([jobnumber],OvalData[],MATCH(Table2[[#Headers],[pipewidth]],Table2[#Headers],0),0)</f>
        <v xml:space="preserve"> 18 ft.- 1 3/ 8"</v>
      </c>
      <c r="I770" s="2">
        <f>VLOOKUP([jobnumber],OvalData[],MATCH(Table2[[#Headers],[Support Tubes]],Table2[#Headers],0),0)</f>
        <v>0</v>
      </c>
      <c r="J770" s="2">
        <f>VLOOKUP([jobnumber],OvalData[],MATCH(Table2[[#Headers],[Upset]],Table2[#Headers],0),0)</f>
        <v>2</v>
      </c>
      <c r="K770" s="2" t="str">
        <f>VLOOKUP([jobnumber],OvalData[],MATCH(Table2[[#Headers],[Guide Type]],Table2[#Headers],0),0)</f>
        <v>SN2-4 5/8-E</v>
      </c>
      <c r="L770" s="2" t="str">
        <f>VLOOKUP([jobnumber],OvalData[],MATCH(Table2[[#Headers],[Wall Angle]],Table2[#Headers],0),0)</f>
        <v xml:space="preserve"> 11 ft.- 8"</v>
      </c>
      <c r="M770" s="2" t="str">
        <f>VLOOKUP([jobnumber],OvalData[],MATCH(Table2[[#Headers],[Middle Angle]],Table2[#Headers],0),0)</f>
        <v xml:space="preserve"> 10 ft.- 4 1/ 2"</v>
      </c>
      <c r="N770" s="2" t="str">
        <f>VLOOKUP([jobnumber],OvalData[],MATCH(Table2[[#Headers],[Front Angle]],Table2[#Headers],0),0)</f>
        <v xml:space="preserve"> 10 ft.- 3"</v>
      </c>
      <c r="O770" s="2">
        <f>VLOOKUP([jobnumber],OvalData[],MATCH(Table2[[#Headers],[Pipe Center Line]],Table2[#Headers],0),0)</f>
        <v>131</v>
      </c>
      <c r="P770" s="2">
        <f>VLOOKUP([jobnumber],OvalData[],MATCH(Table2[[#Headers],[Heat Expansion Gap]],Table2[#Headers],0),0)</f>
        <v>0</v>
      </c>
      <c r="Q770" s="2">
        <f>VLOOKUP([jobnumber],OvalData[],MATCH(Table2[[#Headers],[Hanging Weight Closed]],Table2[#Headers],0),0)</f>
        <v>795</v>
      </c>
      <c r="R770" s="2">
        <f>VLOOKUP([jobnumber],OvalData[],MATCH(Table2[[#Headers],[Hanging Weight Open]],Table2[#Headers],0),0)</f>
        <v>140</v>
      </c>
      <c r="S770" s="2">
        <f>VLOOKUP([jobnumber],OvalData[],MATCH(Table2[[#Headers],[Initial Lever Arm]],Table2[#Headers],0),0)</f>
        <v>4.25</v>
      </c>
      <c r="T770" s="2">
        <f>VLOOKUP([jobnumber],OvalData[],MATCH(Table2[[#Headers],[Turns to Raise]],Table2[#Headers],0),0)</f>
        <v>3.5859999999999999</v>
      </c>
      <c r="U770" s="2">
        <f>VLOOKUP([jobnumber],OvalData[],MATCH(Table2[[#Headers],[Final Lever Arm]],Table2[#Headers],0),0)</f>
        <v>6.37</v>
      </c>
      <c r="V770" s="2">
        <f>VLOOKUP([jobnumber],OvalData[],MATCH(Table2[[#Headers],[Torque Required Closed]],Table2[#Headers],0),0)</f>
        <v>3377.9</v>
      </c>
      <c r="W770" s="2">
        <f>VLOOKUP([jobnumber],OvalData[],MATCH(Table2[[#Headers],[Torque Required Open]],Table2[#Headers],0),0)</f>
        <v>892</v>
      </c>
      <c r="X770" s="2">
        <f>VLOOKUP([jobnumber],OvalData[],MATCH(Table2[[#Headers],[Pre Turns]],Table2[#Headers],0),0)</f>
        <v>1.3332999999999999</v>
      </c>
      <c r="Y770" s="2">
        <f>VLOOKUP([jobnumber],OvalData[],MATCH(Table2[[#Headers],[Required Torque Per Turn]],Table2[#Headers],0),0)</f>
        <v>688</v>
      </c>
      <c r="Z770" s="2">
        <f>VLOOKUP([jobnumber],OvalData[],MATCH(Table2[[#Headers],[Total Turns]],Table2[#Headers],0),0)</f>
        <v>4.91</v>
      </c>
      <c r="AA770" s="2">
        <f>VLOOKUP([jobnumber],OvalData[],MATCH(Table2[[#Headers],[Grille Vision Section]],Table2[#Headers],0),0)</f>
        <v>0</v>
      </c>
      <c r="AB770" s="2">
        <f>VLOOKUP([jobnumber],OvalData[],MATCH(Table2[[#Headers],[Grille Amount]],Table2[#Headers],0),0)</f>
        <v>0</v>
      </c>
      <c r="AC770" s="2">
        <f>VLOOKUP([jobnumber],OvalData[],MATCH(Table2[[#Headers],[Grille Center]],Table2[#Headers],0),0)</f>
        <v>0</v>
      </c>
      <c r="AD770" s="2">
        <f>VLOOKUP([jobnumber],OvalData[],MATCH(Table2[[#Headers],[Grille Pattern]],Table2[#Headers],0),0)</f>
        <v>0</v>
      </c>
      <c r="AE770" s="2">
        <f>VLOOKUP([jobnumber],OvalData[],MATCH(Table2[[#Headers],[Grille First Tube]],Table2[#Headers],0),0)</f>
        <v>0</v>
      </c>
      <c r="AF770" s="2">
        <f>VLOOKUP([jobnumber],OvalData[],MATCH(Table2[[#Headers],[Grille Standard Tube]],Table2[#Headers],0),0)</f>
        <v>0</v>
      </c>
      <c r="AG770" s="2">
        <f>VLOOKUP([jobnumber],OvalData[],MATCH(Table2[[#Headers],[Grille Total Links]],Table2[#Headers],0),0)</f>
        <v>0</v>
      </c>
      <c r="AH770" s="2">
        <f>VLOOKUP([jobnumber],OvalData[],MATCH(Table2[[#Headers],[Grille Rods]],Table2[#Headers],0),0)</f>
        <v>0</v>
      </c>
      <c r="AI770" s="2">
        <f>VLOOKUP([jobnumber],OvalData[],MATCH(Table2[[#Headers],[Grille Rod Length]],Table2[#Headers],0),0)</f>
        <v>0</v>
      </c>
      <c r="AJ770" s="2">
        <f>VLOOKUP([jobnumber],OvalData[],MATCH(Table2[[#Headers],[slattype]],Table2[#Headers],0),0)</f>
        <v>2</v>
      </c>
      <c r="AK770" s="2">
        <f>VLOOKUP([jobnumber],OvalData[],MATCH(Table2[[#Headers],[slatgage]],Table2[#Headers],0),0)</f>
        <v>18</v>
      </c>
      <c r="AL770" s="2">
        <f>VLOOKUP([jobnumber],OvalData[],MATCH(Table2[[#Headers],[Numer of Top Slats]],Table2[#Headers],0),0)</f>
        <v>0</v>
      </c>
      <c r="AM770" s="2">
        <f>VLOOKUP([jobnumber],OvalData[],MATCH(Table2[[#Headers],[Number of Bottom Slats]],Table2[#Headers],0),0)</f>
        <v>0</v>
      </c>
      <c r="AN770" s="2">
        <f>VLOOKUP([jobnumber],OvalData[],MATCH(Table2[[#Headers],[Solid Bottom Height]],Table2[#Headers],0),0)</f>
        <v>0</v>
      </c>
      <c r="AO770" s="2" t="str">
        <f>VLOOKUP([jobnumber],OvalData[],MATCH(Table2[[#Headers],[slatlength]],Table2[#Headers],0),0)</f>
        <v xml:space="preserve"> 18 ft.- 5 7/ 8"</v>
      </c>
      <c r="AP770" s="2">
        <f>VLOOKUP([jobnumber],OvalData[],MATCH(Table2[[#Headers],[Bottom Slat Length]],Table2[#Headers],0),0)</f>
        <v>0</v>
      </c>
      <c r="AQ770" s="2">
        <f>VLOOKUP([jobnumber],OvalData[],MATCH(Table2[[#Headers],[Number of Perferated Slats]],Table2[#Headers],0),0)</f>
        <v>0</v>
      </c>
      <c r="AR770" s="2">
        <f>VLOOKUP([jobnumber],OvalData[],MATCH(Table2[[#Headers],[First Preferated Slat From End]],Table2[#Headers],0),0)</f>
        <v>0</v>
      </c>
      <c r="AS770" s="2">
        <f>VLOOKUP([jobnumber],OvalData[],MATCH(Table2[[#Headers],[First Preferated Slat From Bottom]],Table2[#Headers],0),0)</f>
        <v>0</v>
      </c>
      <c r="AT770" s="2">
        <f>VLOOKUP([jobnumber],OvalData[],MATCH(Table2[[#Headers],[Total Number of Slats]],Table2[#Headers],0),0)</f>
        <v>51</v>
      </c>
      <c r="AU770" s="2">
        <f>VLOOKUP([jobnumber],OvalData[],MATCH(Table2[[#Headers],[Bottom Bar Slope]],Table2[#Headers],0),0)</f>
        <v>0</v>
      </c>
      <c r="AV770" s="2">
        <f>VLOOKUP([jobnumber],OvalData[],MATCH(Table2[[#Headers],[Bottom Bar Weight]],Table2[#Headers],0),0)</f>
        <v>80.5</v>
      </c>
      <c r="AW770" s="2" t="str">
        <f>VLOOKUP([jobnumber],OvalData[],MATCH(Table2[[#Headers],[Outer Spring Gage]],Table2[#Headers],0),0)</f>
        <v>Null</v>
      </c>
      <c r="AX770" s="2" t="str">
        <f>VLOOKUP([jobnumber],OvalData[],MATCH(Table2[[#Headers],[Outer Spring OD]],Table2[#Headers],0),0)</f>
        <v>Null</v>
      </c>
      <c r="AY770" s="2" t="str">
        <f>VLOOKUP([jobnumber],OvalData[],MATCH(Table2[[#Headers],[Outer Spring Length]],Table2[#Headers],0),0)</f>
        <v>Null</v>
      </c>
      <c r="AZ770" s="2" t="str">
        <f>VLOOKUP([jobnumber],OvalData[],MATCH(Table2[[#Headers],[Outer Spring Stretch]],Table2[#Headers],0),0)</f>
        <v>Null</v>
      </c>
      <c r="BA770" s="2" t="str">
        <f>VLOOKUP([jobnumber],OvalData[],MATCH(Table2[[#Headers],[Outer Spring Torque]],Table2[#Headers],0),0)</f>
        <v>Null</v>
      </c>
      <c r="BB770" s="2" t="str">
        <f>VLOOKUP([jobnumber],OvalData[],MATCH(Table2[[#Headers],[Outer Spring Max Turns]],Table2[#Headers],0),0)</f>
        <v>Null</v>
      </c>
      <c r="BC770" s="2" t="str">
        <f>VLOOKUP([jobnumber],OvalData[],MATCH(Table2[[#Headers],[Outer Spring Weight]],Table2[#Headers],0),0)</f>
        <v>Null</v>
      </c>
      <c r="BD770" s="2" t="str">
        <f>VLOOKUP([jobnumber],OvalData[],MATCH(Table2[[#Headers],[Inner Spring Gage]],Table2[#Headers],0),0)</f>
        <v>Null</v>
      </c>
      <c r="BE770" s="2" t="str">
        <f>VLOOKUP([jobnumber],OvalData[],MATCH(Table2[[#Headers],[Inner Spring OD]],Table2[#Headers],0),0)</f>
        <v>Null</v>
      </c>
      <c r="BF770" s="2" t="str">
        <f>VLOOKUP([jobnumber],OvalData[],MATCH(Table2[[#Headers],[Inner Spring Length]],Table2[#Headers],0),0)</f>
        <v>Null</v>
      </c>
      <c r="BG770" s="2" t="str">
        <f>VLOOKUP([jobnumber],OvalData[],MATCH(Table2[[#Headers],[Inner Spring Stretch]],Table2[#Headers],0),0)</f>
        <v>Null</v>
      </c>
      <c r="BH770" s="2" t="str">
        <f>VLOOKUP([jobnumber],OvalData[],MATCH(Table2[[#Headers],[Inner Spring Torque]],Table2[#Headers],0),0)</f>
        <v>Null</v>
      </c>
      <c r="BI770" s="2" t="str">
        <f>VLOOKUP([jobnumber],OvalData[],MATCH(Table2[[#Headers],[Inner Spring Max Turns]],Table2[#Headers],0),0)</f>
        <v>Null</v>
      </c>
      <c r="BJ770" s="2" t="str">
        <f>VLOOKUP([jobnumber],OvalData[],MATCH(Table2[[#Headers],[Inner Spring Weight]],Table2[#Headers],0),0)</f>
        <v>Null</v>
      </c>
      <c r="BK770" s="2">
        <f>VLOOKUP([jobnumber],OvalData[],MATCH(Table2[[#Headers],[Cycles]],Table2[#Headers],0),0)</f>
        <v>0</v>
      </c>
      <c r="BL770" s="2">
        <f>VLOOKUP([jobnumber],OvalData[],MATCH(Table2[[#Headers],[Total Spring Torque]],Table2[#Headers],0),0)</f>
        <v>0</v>
      </c>
      <c r="BM770" s="2">
        <f>VLOOKUP([jobnumber],OvalData[],MATCH(Table2[[#Headers],[Total Spring Weight]],Table2[#Headers],0),0)</f>
        <v>0</v>
      </c>
      <c r="BN770" s="2">
        <f>VLOOKUP([jobnumber],OvalData[],MATCH(Table2[[#Headers],[Pipe Weight]],Table2[#Headers],0),0)</f>
        <v>688.24239999999998</v>
      </c>
      <c r="BO770" s="2">
        <f>VLOOKUP([jobnumber],OvalData[],MATCH(Table2[[#Headers],[Max Pipe Deflection]],Table2[#Headers],0),0)</f>
        <v>2309</v>
      </c>
      <c r="BP770" s="2">
        <f>VLOOKUP([jobnumber],OvalData[],MATCH(Table2[[#Headers],[Number Non-Insulated Wrap Slats]],Table2[#Headers],0),0)</f>
        <v>0</v>
      </c>
      <c r="BQ770" s="2">
        <f>VLOOKUP([jobnumber],OvalData[],MATCH(Table2[[#Headers],[Number of Insolated Top Slats]],Table2[#Headers],0),0)</f>
        <v>45</v>
      </c>
      <c r="BR770" s="2">
        <f>VLOOKUP([jobnumber],OvalData[],MATCH(Table2[[#Headers],[Insolated Total Slats]],Table2[#Headers],0),0)</f>
        <v>45</v>
      </c>
      <c r="BS770" s="2">
        <f>VLOOKUP([jobnumber],OvalData[],MATCH(Table2[[#Headers],[Number of Slats]],Table2[#Headers],0),0)</f>
        <v>44.69</v>
      </c>
      <c r="BT770" s="2">
        <f>VLOOKUP([jobnumber],OvalData[],MATCH(Table2[[#Headers],[Wrap]],Table2[#Headers],0),0)</f>
        <v>0</v>
      </c>
      <c r="BU770" s="2">
        <f>VLOOKUP([jobnumber],OvalData[],MATCH(Table2[[#Headers],[Wall Angle Thickness]],Table2[#Headers],0),0)</f>
        <v>0</v>
      </c>
      <c r="BV770" s="2">
        <f>VLOOKUP([jobnumber],OvalData[],MATCH(Table2[[#Headers],[windlocks]],Table2[#Headers],0),0)</f>
        <v>0</v>
      </c>
      <c r="BW770" s="2" t="str">
        <f>VLOOKUP([jobnumber],OvalData[],MATCH(Table2[[#Headers],[bottombartype]],Table2[#Headers],0),0)</f>
        <v>SPECIAL</v>
      </c>
      <c r="BX770" s="2">
        <f>VLOOKUP([jobnumber],OvalData[],MATCH(Table2[[#Headers],[endlockweight]],Table2[#Headers],0),0)</f>
        <v>0.17</v>
      </c>
      <c r="BY770" s="2">
        <f>VLOOKUP([jobnumber],OvalData[],MATCH(Table2[[#Headers],[Endlock Total Weight]],Table2[#Headers],0),0)</f>
        <v>7.5972999999999997</v>
      </c>
      <c r="BZ770" s="2">
        <f>VLOOKUP([jobnumber],OvalData[],MATCH(Table2[[#Headers],[Grille Weight]],Table2[#Headers],0),0)</f>
        <v>0</v>
      </c>
      <c r="CA770" s="2">
        <f>VLOOKUP([jobnumber],OvalData[],MATCH(Table2[[#Headers],[barrelrings]],Table2[#Headers],0),0)</f>
        <v>1</v>
      </c>
    </row>
    <row r="771" spans="2:79">
      <c r="B771" s="2" t="str">
        <f>VLOOKUP([jobnumber],OvalData[],MATCH(Table2[[#Headers],[Hand]],Table2[#Headers],0),0)</f>
        <v>RH</v>
      </c>
      <c r="C771" s="2" t="str">
        <f>VLOOKUP([jobnumber],OvalData[],MATCH(Table2[[#Headers],[Model]],Table2[#Headers],0),0)</f>
        <v>SFMPP</v>
      </c>
      <c r="D771" s="2" t="str">
        <f>VLOOKUP([jobnumber],OvalData[],MATCH(Table2[[#Headers],[width]],Table2[#Headers],0),0)</f>
        <v xml:space="preserve"> 18 ft.- 2"</v>
      </c>
      <c r="E771" s="2" t="str">
        <f>VLOOKUP([jobnumber],OvalData[],MATCH(Table2[[#Headers],[stopheight]],Table2[#Headers],0),0)</f>
        <v xml:space="preserve"> 10 ft.- 0"</v>
      </c>
      <c r="F771" s="2" t="str">
        <f>VLOOKUP([jobnumber],OvalData[],MATCH(Table2[[#Headers],[Between Brackets]],Table2[#Headers],0),0)</f>
        <v xml:space="preserve"> 18 ft.- 7 7/ 8"</v>
      </c>
      <c r="G771" s="2" t="str">
        <f>VLOOKUP([jobnumber],OvalData[],MATCH(Table2[[#Headers],[shell]],Table2[#Headers],0),0)</f>
        <v>6 INCH TUBE</v>
      </c>
      <c r="H771" s="2" t="str">
        <f>VLOOKUP([jobnumber],OvalData[],MATCH(Table2[[#Headers],[pipewidth]],Table2[#Headers],0),0)</f>
        <v xml:space="preserve"> 18 ft.- 1 3/ 8"</v>
      </c>
      <c r="I771" s="2">
        <f>VLOOKUP([jobnumber],OvalData[],MATCH(Table2[[#Headers],[Support Tubes]],Table2[#Headers],0),0)</f>
        <v>0</v>
      </c>
      <c r="J771" s="2">
        <f>VLOOKUP([jobnumber],OvalData[],MATCH(Table2[[#Headers],[Upset]],Table2[#Headers],0),0)</f>
        <v>2</v>
      </c>
      <c r="K771" s="2" t="str">
        <f>VLOOKUP([jobnumber],OvalData[],MATCH(Table2[[#Headers],[Guide Type]],Table2[#Headers],0),0)</f>
        <v>SN2-4 5/8-E</v>
      </c>
      <c r="L771" s="2" t="str">
        <f>VLOOKUP([jobnumber],OvalData[],MATCH(Table2[[#Headers],[Wall Angle]],Table2[#Headers],0),0)</f>
        <v xml:space="preserve"> 11 ft.- 8"</v>
      </c>
      <c r="M771" s="2" t="str">
        <f>VLOOKUP([jobnumber],OvalData[],MATCH(Table2[[#Headers],[Middle Angle]],Table2[#Headers],0),0)</f>
        <v xml:space="preserve"> 10 ft.- 4 1/ 2"</v>
      </c>
      <c r="N771" s="2" t="str">
        <f>VLOOKUP([jobnumber],OvalData[],MATCH(Table2[[#Headers],[Front Angle]],Table2[#Headers],0),0)</f>
        <v xml:space="preserve"> 10 ft.- 3"</v>
      </c>
      <c r="O771" s="2">
        <f>VLOOKUP([jobnumber],OvalData[],MATCH(Table2[[#Headers],[Pipe Center Line]],Table2[#Headers],0),0)</f>
        <v>131</v>
      </c>
      <c r="P771" s="2">
        <f>VLOOKUP([jobnumber],OvalData[],MATCH(Table2[[#Headers],[Heat Expansion Gap]],Table2[#Headers],0),0)</f>
        <v>0</v>
      </c>
      <c r="Q771" s="2">
        <f>VLOOKUP([jobnumber],OvalData[],MATCH(Table2[[#Headers],[Hanging Weight Closed]],Table2[#Headers],0),0)</f>
        <v>795</v>
      </c>
      <c r="R771" s="2">
        <f>VLOOKUP([jobnumber],OvalData[],MATCH(Table2[[#Headers],[Hanging Weight Open]],Table2[#Headers],0),0)</f>
        <v>140</v>
      </c>
      <c r="S771" s="2">
        <f>VLOOKUP([jobnumber],OvalData[],MATCH(Table2[[#Headers],[Initial Lever Arm]],Table2[#Headers],0),0)</f>
        <v>4.25</v>
      </c>
      <c r="T771" s="2">
        <f>VLOOKUP([jobnumber],OvalData[],MATCH(Table2[[#Headers],[Turns to Raise]],Table2[#Headers],0),0)</f>
        <v>3.5859999999999999</v>
      </c>
      <c r="U771" s="2">
        <f>VLOOKUP([jobnumber],OvalData[],MATCH(Table2[[#Headers],[Final Lever Arm]],Table2[#Headers],0),0)</f>
        <v>6.37</v>
      </c>
      <c r="V771" s="2">
        <f>VLOOKUP([jobnumber],OvalData[],MATCH(Table2[[#Headers],[Torque Required Closed]],Table2[#Headers],0),0)</f>
        <v>3377.9</v>
      </c>
      <c r="W771" s="2">
        <f>VLOOKUP([jobnumber],OvalData[],MATCH(Table2[[#Headers],[Torque Required Open]],Table2[#Headers],0),0)</f>
        <v>892</v>
      </c>
      <c r="X771" s="2">
        <f>VLOOKUP([jobnumber],OvalData[],MATCH(Table2[[#Headers],[Pre Turns]],Table2[#Headers],0),0)</f>
        <v>1.3332999999999999</v>
      </c>
      <c r="Y771" s="2">
        <f>VLOOKUP([jobnumber],OvalData[],MATCH(Table2[[#Headers],[Required Torque Per Turn]],Table2[#Headers],0),0)</f>
        <v>688</v>
      </c>
      <c r="Z771" s="2">
        <f>VLOOKUP([jobnumber],OvalData[],MATCH(Table2[[#Headers],[Total Turns]],Table2[#Headers],0),0)</f>
        <v>4.91</v>
      </c>
      <c r="AA771" s="2">
        <f>VLOOKUP([jobnumber],OvalData[],MATCH(Table2[[#Headers],[Grille Vision Section]],Table2[#Headers],0),0)</f>
        <v>0</v>
      </c>
      <c r="AB771" s="2">
        <f>VLOOKUP([jobnumber],OvalData[],MATCH(Table2[[#Headers],[Grille Amount]],Table2[#Headers],0),0)</f>
        <v>0</v>
      </c>
      <c r="AC771" s="2">
        <f>VLOOKUP([jobnumber],OvalData[],MATCH(Table2[[#Headers],[Grille Center]],Table2[#Headers],0),0)</f>
        <v>0</v>
      </c>
      <c r="AD771" s="2">
        <f>VLOOKUP([jobnumber],OvalData[],MATCH(Table2[[#Headers],[Grille Pattern]],Table2[#Headers],0),0)</f>
        <v>0</v>
      </c>
      <c r="AE771" s="2">
        <f>VLOOKUP([jobnumber],OvalData[],MATCH(Table2[[#Headers],[Grille First Tube]],Table2[#Headers],0),0)</f>
        <v>0</v>
      </c>
      <c r="AF771" s="2">
        <f>VLOOKUP([jobnumber],OvalData[],MATCH(Table2[[#Headers],[Grille Standard Tube]],Table2[#Headers],0),0)</f>
        <v>0</v>
      </c>
      <c r="AG771" s="2">
        <f>VLOOKUP([jobnumber],OvalData[],MATCH(Table2[[#Headers],[Grille Total Links]],Table2[#Headers],0),0)</f>
        <v>0</v>
      </c>
      <c r="AH771" s="2">
        <f>VLOOKUP([jobnumber],OvalData[],MATCH(Table2[[#Headers],[Grille Rods]],Table2[#Headers],0),0)</f>
        <v>0</v>
      </c>
      <c r="AI771" s="2">
        <f>VLOOKUP([jobnumber],OvalData[],MATCH(Table2[[#Headers],[Grille Rod Length]],Table2[#Headers],0),0)</f>
        <v>0</v>
      </c>
      <c r="AJ771" s="2">
        <f>VLOOKUP([jobnumber],OvalData[],MATCH(Table2[[#Headers],[slattype]],Table2[#Headers],0),0)</f>
        <v>2</v>
      </c>
      <c r="AK771" s="2">
        <f>VLOOKUP([jobnumber],OvalData[],MATCH(Table2[[#Headers],[slatgage]],Table2[#Headers],0),0)</f>
        <v>18</v>
      </c>
      <c r="AL771" s="2">
        <f>VLOOKUP([jobnumber],OvalData[],MATCH(Table2[[#Headers],[Numer of Top Slats]],Table2[#Headers],0),0)</f>
        <v>0</v>
      </c>
      <c r="AM771" s="2">
        <f>VLOOKUP([jobnumber],OvalData[],MATCH(Table2[[#Headers],[Number of Bottom Slats]],Table2[#Headers],0),0)</f>
        <v>0</v>
      </c>
      <c r="AN771" s="2">
        <f>VLOOKUP([jobnumber],OvalData[],MATCH(Table2[[#Headers],[Solid Bottom Height]],Table2[#Headers],0),0)</f>
        <v>0</v>
      </c>
      <c r="AO771" s="2" t="str">
        <f>VLOOKUP([jobnumber],OvalData[],MATCH(Table2[[#Headers],[slatlength]],Table2[#Headers],0),0)</f>
        <v xml:space="preserve"> 18 ft.- 5 7/ 8"</v>
      </c>
      <c r="AP771" s="2">
        <f>VLOOKUP([jobnumber],OvalData[],MATCH(Table2[[#Headers],[Bottom Slat Length]],Table2[#Headers],0),0)</f>
        <v>0</v>
      </c>
      <c r="AQ771" s="2">
        <f>VLOOKUP([jobnumber],OvalData[],MATCH(Table2[[#Headers],[Number of Perferated Slats]],Table2[#Headers],0),0)</f>
        <v>0</v>
      </c>
      <c r="AR771" s="2">
        <f>VLOOKUP([jobnumber],OvalData[],MATCH(Table2[[#Headers],[First Preferated Slat From End]],Table2[#Headers],0),0)</f>
        <v>0</v>
      </c>
      <c r="AS771" s="2">
        <f>VLOOKUP([jobnumber],OvalData[],MATCH(Table2[[#Headers],[First Preferated Slat From Bottom]],Table2[#Headers],0),0)</f>
        <v>0</v>
      </c>
      <c r="AT771" s="2">
        <f>VLOOKUP([jobnumber],OvalData[],MATCH(Table2[[#Headers],[Total Number of Slats]],Table2[#Headers],0),0)</f>
        <v>51</v>
      </c>
      <c r="AU771" s="2">
        <f>VLOOKUP([jobnumber],OvalData[],MATCH(Table2[[#Headers],[Bottom Bar Slope]],Table2[#Headers],0),0)</f>
        <v>0</v>
      </c>
      <c r="AV771" s="2">
        <f>VLOOKUP([jobnumber],OvalData[],MATCH(Table2[[#Headers],[Bottom Bar Weight]],Table2[#Headers],0),0)</f>
        <v>80.5</v>
      </c>
      <c r="AW771" s="2" t="str">
        <f>VLOOKUP([jobnumber],OvalData[],MATCH(Table2[[#Headers],[Outer Spring Gage]],Table2[#Headers],0),0)</f>
        <v>Null</v>
      </c>
      <c r="AX771" s="2" t="str">
        <f>VLOOKUP([jobnumber],OvalData[],MATCH(Table2[[#Headers],[Outer Spring OD]],Table2[#Headers],0),0)</f>
        <v>Null</v>
      </c>
      <c r="AY771" s="2" t="str">
        <f>VLOOKUP([jobnumber],OvalData[],MATCH(Table2[[#Headers],[Outer Spring Length]],Table2[#Headers],0),0)</f>
        <v>Null</v>
      </c>
      <c r="AZ771" s="2" t="str">
        <f>VLOOKUP([jobnumber],OvalData[],MATCH(Table2[[#Headers],[Outer Spring Stretch]],Table2[#Headers],0),0)</f>
        <v>Null</v>
      </c>
      <c r="BA771" s="2" t="str">
        <f>VLOOKUP([jobnumber],OvalData[],MATCH(Table2[[#Headers],[Outer Spring Torque]],Table2[#Headers],0),0)</f>
        <v>Null</v>
      </c>
      <c r="BB771" s="2" t="str">
        <f>VLOOKUP([jobnumber],OvalData[],MATCH(Table2[[#Headers],[Outer Spring Max Turns]],Table2[#Headers],0),0)</f>
        <v>Null</v>
      </c>
      <c r="BC771" s="2" t="str">
        <f>VLOOKUP([jobnumber],OvalData[],MATCH(Table2[[#Headers],[Outer Spring Weight]],Table2[#Headers],0),0)</f>
        <v>Null</v>
      </c>
      <c r="BD771" s="2" t="str">
        <f>VLOOKUP([jobnumber],OvalData[],MATCH(Table2[[#Headers],[Inner Spring Gage]],Table2[#Headers],0),0)</f>
        <v>Null</v>
      </c>
      <c r="BE771" s="2" t="str">
        <f>VLOOKUP([jobnumber],OvalData[],MATCH(Table2[[#Headers],[Inner Spring OD]],Table2[#Headers],0),0)</f>
        <v>Null</v>
      </c>
      <c r="BF771" s="2" t="str">
        <f>VLOOKUP([jobnumber],OvalData[],MATCH(Table2[[#Headers],[Inner Spring Length]],Table2[#Headers],0),0)</f>
        <v>Null</v>
      </c>
      <c r="BG771" s="2" t="str">
        <f>VLOOKUP([jobnumber],OvalData[],MATCH(Table2[[#Headers],[Inner Spring Stretch]],Table2[#Headers],0),0)</f>
        <v>Null</v>
      </c>
      <c r="BH771" s="2" t="str">
        <f>VLOOKUP([jobnumber],OvalData[],MATCH(Table2[[#Headers],[Inner Spring Torque]],Table2[#Headers],0),0)</f>
        <v>Null</v>
      </c>
      <c r="BI771" s="2" t="str">
        <f>VLOOKUP([jobnumber],OvalData[],MATCH(Table2[[#Headers],[Inner Spring Max Turns]],Table2[#Headers],0),0)</f>
        <v>Null</v>
      </c>
      <c r="BJ771" s="2" t="str">
        <f>VLOOKUP([jobnumber],OvalData[],MATCH(Table2[[#Headers],[Inner Spring Weight]],Table2[#Headers],0),0)</f>
        <v>Null</v>
      </c>
      <c r="BK771" s="2">
        <f>VLOOKUP([jobnumber],OvalData[],MATCH(Table2[[#Headers],[Cycles]],Table2[#Headers],0),0)</f>
        <v>0</v>
      </c>
      <c r="BL771" s="2">
        <f>VLOOKUP([jobnumber],OvalData[],MATCH(Table2[[#Headers],[Total Spring Torque]],Table2[#Headers],0),0)</f>
        <v>0</v>
      </c>
      <c r="BM771" s="2">
        <f>VLOOKUP([jobnumber],OvalData[],MATCH(Table2[[#Headers],[Total Spring Weight]],Table2[#Headers],0),0)</f>
        <v>0</v>
      </c>
      <c r="BN771" s="2">
        <f>VLOOKUP([jobnumber],OvalData[],MATCH(Table2[[#Headers],[Pipe Weight]],Table2[#Headers],0),0)</f>
        <v>688.24239999999998</v>
      </c>
      <c r="BO771" s="2">
        <f>VLOOKUP([jobnumber],OvalData[],MATCH(Table2[[#Headers],[Max Pipe Deflection]],Table2[#Headers],0),0)</f>
        <v>2309</v>
      </c>
      <c r="BP771" s="2">
        <f>VLOOKUP([jobnumber],OvalData[],MATCH(Table2[[#Headers],[Number Non-Insulated Wrap Slats]],Table2[#Headers],0),0)</f>
        <v>0</v>
      </c>
      <c r="BQ771" s="2">
        <f>VLOOKUP([jobnumber],OvalData[],MATCH(Table2[[#Headers],[Number of Insolated Top Slats]],Table2[#Headers],0),0)</f>
        <v>45</v>
      </c>
      <c r="BR771" s="2">
        <f>VLOOKUP([jobnumber],OvalData[],MATCH(Table2[[#Headers],[Insolated Total Slats]],Table2[#Headers],0),0)</f>
        <v>45</v>
      </c>
      <c r="BS771" s="2">
        <f>VLOOKUP([jobnumber],OvalData[],MATCH(Table2[[#Headers],[Number of Slats]],Table2[#Headers],0),0)</f>
        <v>44.69</v>
      </c>
      <c r="BT771" s="2">
        <f>VLOOKUP([jobnumber],OvalData[],MATCH(Table2[[#Headers],[Wrap]],Table2[#Headers],0),0)</f>
        <v>0</v>
      </c>
      <c r="BU771" s="2">
        <f>VLOOKUP([jobnumber],OvalData[],MATCH(Table2[[#Headers],[Wall Angle Thickness]],Table2[#Headers],0),0)</f>
        <v>0</v>
      </c>
      <c r="BV771" s="2">
        <f>VLOOKUP([jobnumber],OvalData[],MATCH(Table2[[#Headers],[windlocks]],Table2[#Headers],0),0)</f>
        <v>0</v>
      </c>
      <c r="BW771" s="2" t="str">
        <f>VLOOKUP([jobnumber],OvalData[],MATCH(Table2[[#Headers],[bottombartype]],Table2[#Headers],0),0)</f>
        <v>SPECIAL</v>
      </c>
      <c r="BX771" s="2">
        <f>VLOOKUP([jobnumber],OvalData[],MATCH(Table2[[#Headers],[endlockweight]],Table2[#Headers],0),0)</f>
        <v>0.17</v>
      </c>
      <c r="BY771" s="2">
        <f>VLOOKUP([jobnumber],OvalData[],MATCH(Table2[[#Headers],[Endlock Total Weight]],Table2[#Headers],0),0)</f>
        <v>7.5972999999999997</v>
      </c>
      <c r="BZ771" s="2">
        <f>VLOOKUP([jobnumber],OvalData[],MATCH(Table2[[#Headers],[Grille Weight]],Table2[#Headers],0),0)</f>
        <v>0</v>
      </c>
      <c r="CA771" s="2">
        <f>VLOOKUP([jobnumber],OvalData[],MATCH(Table2[[#Headers],[barrelrings]],Table2[#Headers],0),0)</f>
        <v>1</v>
      </c>
    </row>
    <row r="772" spans="2:79">
      <c r="B772" s="2" t="str">
        <f>VLOOKUP([jobnumber],OvalData[],MATCH(Table2[[#Headers],[Hand]],Table2[#Headers],0),0)</f>
        <v>RH</v>
      </c>
      <c r="C772" s="2" t="str">
        <f>VLOOKUP([jobnumber],OvalData[],MATCH(Table2[[#Headers],[Model]],Table2[#Headers],0),0)</f>
        <v>SFMPP</v>
      </c>
      <c r="D772" s="2" t="str">
        <f>VLOOKUP([jobnumber],OvalData[],MATCH(Table2[[#Headers],[width]],Table2[#Headers],0),0)</f>
        <v xml:space="preserve"> 18 ft.- 2"</v>
      </c>
      <c r="E772" s="2" t="str">
        <f>VLOOKUP([jobnumber],OvalData[],MATCH(Table2[[#Headers],[stopheight]],Table2[#Headers],0),0)</f>
        <v xml:space="preserve"> 10 ft.- 0"</v>
      </c>
      <c r="F772" s="2" t="str">
        <f>VLOOKUP([jobnumber],OvalData[],MATCH(Table2[[#Headers],[Between Brackets]],Table2[#Headers],0),0)</f>
        <v xml:space="preserve"> 18 ft.- 7 7/ 8"</v>
      </c>
      <c r="G772" s="2" t="str">
        <f>VLOOKUP([jobnumber],OvalData[],MATCH(Table2[[#Headers],[shell]],Table2[#Headers],0),0)</f>
        <v>6 INCH TUBE</v>
      </c>
      <c r="H772" s="2" t="str">
        <f>VLOOKUP([jobnumber],OvalData[],MATCH(Table2[[#Headers],[pipewidth]],Table2[#Headers],0),0)</f>
        <v xml:space="preserve"> 18 ft.- 1 3/ 8"</v>
      </c>
      <c r="I772" s="2">
        <f>VLOOKUP([jobnumber],OvalData[],MATCH(Table2[[#Headers],[Support Tubes]],Table2[#Headers],0),0)</f>
        <v>0</v>
      </c>
      <c r="J772" s="2">
        <f>VLOOKUP([jobnumber],OvalData[],MATCH(Table2[[#Headers],[Upset]],Table2[#Headers],0),0)</f>
        <v>2</v>
      </c>
      <c r="K772" s="2" t="str">
        <f>VLOOKUP([jobnumber],OvalData[],MATCH(Table2[[#Headers],[Guide Type]],Table2[#Headers],0),0)</f>
        <v>SN2-4 5/8-E</v>
      </c>
      <c r="L772" s="2" t="str">
        <f>VLOOKUP([jobnumber],OvalData[],MATCH(Table2[[#Headers],[Wall Angle]],Table2[#Headers],0),0)</f>
        <v xml:space="preserve"> 11 ft.- 8"</v>
      </c>
      <c r="M772" s="2" t="str">
        <f>VLOOKUP([jobnumber],OvalData[],MATCH(Table2[[#Headers],[Middle Angle]],Table2[#Headers],0),0)</f>
        <v xml:space="preserve"> 10 ft.- 4 1/ 2"</v>
      </c>
      <c r="N772" s="2" t="str">
        <f>VLOOKUP([jobnumber],OvalData[],MATCH(Table2[[#Headers],[Front Angle]],Table2[#Headers],0),0)</f>
        <v xml:space="preserve"> 10 ft.- 3"</v>
      </c>
      <c r="O772" s="2">
        <f>VLOOKUP([jobnumber],OvalData[],MATCH(Table2[[#Headers],[Pipe Center Line]],Table2[#Headers],0),0)</f>
        <v>131</v>
      </c>
      <c r="P772" s="2">
        <f>VLOOKUP([jobnumber],OvalData[],MATCH(Table2[[#Headers],[Heat Expansion Gap]],Table2[#Headers],0),0)</f>
        <v>0</v>
      </c>
      <c r="Q772" s="2">
        <f>VLOOKUP([jobnumber],OvalData[],MATCH(Table2[[#Headers],[Hanging Weight Closed]],Table2[#Headers],0),0)</f>
        <v>795</v>
      </c>
      <c r="R772" s="2">
        <f>VLOOKUP([jobnumber],OvalData[],MATCH(Table2[[#Headers],[Hanging Weight Open]],Table2[#Headers],0),0)</f>
        <v>140</v>
      </c>
      <c r="S772" s="2">
        <f>VLOOKUP([jobnumber],OvalData[],MATCH(Table2[[#Headers],[Initial Lever Arm]],Table2[#Headers],0),0)</f>
        <v>4.25</v>
      </c>
      <c r="T772" s="2">
        <f>VLOOKUP([jobnumber],OvalData[],MATCH(Table2[[#Headers],[Turns to Raise]],Table2[#Headers],0),0)</f>
        <v>3.5859999999999999</v>
      </c>
      <c r="U772" s="2">
        <f>VLOOKUP([jobnumber],OvalData[],MATCH(Table2[[#Headers],[Final Lever Arm]],Table2[#Headers],0),0)</f>
        <v>6.37</v>
      </c>
      <c r="V772" s="2">
        <f>VLOOKUP([jobnumber],OvalData[],MATCH(Table2[[#Headers],[Torque Required Closed]],Table2[#Headers],0),0)</f>
        <v>3377.9</v>
      </c>
      <c r="W772" s="2">
        <f>VLOOKUP([jobnumber],OvalData[],MATCH(Table2[[#Headers],[Torque Required Open]],Table2[#Headers],0),0)</f>
        <v>892</v>
      </c>
      <c r="X772" s="2">
        <f>VLOOKUP([jobnumber],OvalData[],MATCH(Table2[[#Headers],[Pre Turns]],Table2[#Headers],0),0)</f>
        <v>1.3332999999999999</v>
      </c>
      <c r="Y772" s="2">
        <f>VLOOKUP([jobnumber],OvalData[],MATCH(Table2[[#Headers],[Required Torque Per Turn]],Table2[#Headers],0),0)</f>
        <v>688</v>
      </c>
      <c r="Z772" s="2">
        <f>VLOOKUP([jobnumber],OvalData[],MATCH(Table2[[#Headers],[Total Turns]],Table2[#Headers],0),0)</f>
        <v>4.91</v>
      </c>
      <c r="AA772" s="2">
        <f>VLOOKUP([jobnumber],OvalData[],MATCH(Table2[[#Headers],[Grille Vision Section]],Table2[#Headers],0),0)</f>
        <v>0</v>
      </c>
      <c r="AB772" s="2">
        <f>VLOOKUP([jobnumber],OvalData[],MATCH(Table2[[#Headers],[Grille Amount]],Table2[#Headers],0),0)</f>
        <v>0</v>
      </c>
      <c r="AC772" s="2">
        <f>VLOOKUP([jobnumber],OvalData[],MATCH(Table2[[#Headers],[Grille Center]],Table2[#Headers],0),0)</f>
        <v>0</v>
      </c>
      <c r="AD772" s="2">
        <f>VLOOKUP([jobnumber],OvalData[],MATCH(Table2[[#Headers],[Grille Pattern]],Table2[#Headers],0),0)</f>
        <v>0</v>
      </c>
      <c r="AE772" s="2">
        <f>VLOOKUP([jobnumber],OvalData[],MATCH(Table2[[#Headers],[Grille First Tube]],Table2[#Headers],0),0)</f>
        <v>0</v>
      </c>
      <c r="AF772" s="2">
        <f>VLOOKUP([jobnumber],OvalData[],MATCH(Table2[[#Headers],[Grille Standard Tube]],Table2[#Headers],0),0)</f>
        <v>0</v>
      </c>
      <c r="AG772" s="2">
        <f>VLOOKUP([jobnumber],OvalData[],MATCH(Table2[[#Headers],[Grille Total Links]],Table2[#Headers],0),0)</f>
        <v>0</v>
      </c>
      <c r="AH772" s="2">
        <f>VLOOKUP([jobnumber],OvalData[],MATCH(Table2[[#Headers],[Grille Rods]],Table2[#Headers],0),0)</f>
        <v>0</v>
      </c>
      <c r="AI772" s="2">
        <f>VLOOKUP([jobnumber],OvalData[],MATCH(Table2[[#Headers],[Grille Rod Length]],Table2[#Headers],0),0)</f>
        <v>0</v>
      </c>
      <c r="AJ772" s="2">
        <f>VLOOKUP([jobnumber],OvalData[],MATCH(Table2[[#Headers],[slattype]],Table2[#Headers],0),0)</f>
        <v>2</v>
      </c>
      <c r="AK772" s="2">
        <f>VLOOKUP([jobnumber],OvalData[],MATCH(Table2[[#Headers],[slatgage]],Table2[#Headers],0),0)</f>
        <v>18</v>
      </c>
      <c r="AL772" s="2">
        <f>VLOOKUP([jobnumber],OvalData[],MATCH(Table2[[#Headers],[Numer of Top Slats]],Table2[#Headers],0),0)</f>
        <v>0</v>
      </c>
      <c r="AM772" s="2">
        <f>VLOOKUP([jobnumber],OvalData[],MATCH(Table2[[#Headers],[Number of Bottom Slats]],Table2[#Headers],0),0)</f>
        <v>0</v>
      </c>
      <c r="AN772" s="2">
        <f>VLOOKUP([jobnumber],OvalData[],MATCH(Table2[[#Headers],[Solid Bottom Height]],Table2[#Headers],0),0)</f>
        <v>0</v>
      </c>
      <c r="AO772" s="2" t="str">
        <f>VLOOKUP([jobnumber],OvalData[],MATCH(Table2[[#Headers],[slatlength]],Table2[#Headers],0),0)</f>
        <v xml:space="preserve"> 18 ft.- 5 7/ 8"</v>
      </c>
      <c r="AP772" s="2">
        <f>VLOOKUP([jobnumber],OvalData[],MATCH(Table2[[#Headers],[Bottom Slat Length]],Table2[#Headers],0),0)</f>
        <v>0</v>
      </c>
      <c r="AQ772" s="2">
        <f>VLOOKUP([jobnumber],OvalData[],MATCH(Table2[[#Headers],[Number of Perferated Slats]],Table2[#Headers],0),0)</f>
        <v>0</v>
      </c>
      <c r="AR772" s="2">
        <f>VLOOKUP([jobnumber],OvalData[],MATCH(Table2[[#Headers],[First Preferated Slat From End]],Table2[#Headers],0),0)</f>
        <v>0</v>
      </c>
      <c r="AS772" s="2">
        <f>VLOOKUP([jobnumber],OvalData[],MATCH(Table2[[#Headers],[First Preferated Slat From Bottom]],Table2[#Headers],0),0)</f>
        <v>0</v>
      </c>
      <c r="AT772" s="2">
        <f>VLOOKUP([jobnumber],OvalData[],MATCH(Table2[[#Headers],[Total Number of Slats]],Table2[#Headers],0),0)</f>
        <v>51</v>
      </c>
      <c r="AU772" s="2">
        <f>VLOOKUP([jobnumber],OvalData[],MATCH(Table2[[#Headers],[Bottom Bar Slope]],Table2[#Headers],0),0)</f>
        <v>0</v>
      </c>
      <c r="AV772" s="2">
        <f>VLOOKUP([jobnumber],OvalData[],MATCH(Table2[[#Headers],[Bottom Bar Weight]],Table2[#Headers],0),0)</f>
        <v>80.5</v>
      </c>
      <c r="AW772" s="2" t="str">
        <f>VLOOKUP([jobnumber],OvalData[],MATCH(Table2[[#Headers],[Outer Spring Gage]],Table2[#Headers],0),0)</f>
        <v>Null</v>
      </c>
      <c r="AX772" s="2" t="str">
        <f>VLOOKUP([jobnumber],OvalData[],MATCH(Table2[[#Headers],[Outer Spring OD]],Table2[#Headers],0),0)</f>
        <v>Null</v>
      </c>
      <c r="AY772" s="2" t="str">
        <f>VLOOKUP([jobnumber],OvalData[],MATCH(Table2[[#Headers],[Outer Spring Length]],Table2[#Headers],0),0)</f>
        <v>Null</v>
      </c>
      <c r="AZ772" s="2" t="str">
        <f>VLOOKUP([jobnumber],OvalData[],MATCH(Table2[[#Headers],[Outer Spring Stretch]],Table2[#Headers],0),0)</f>
        <v>Null</v>
      </c>
      <c r="BA772" s="2" t="str">
        <f>VLOOKUP([jobnumber],OvalData[],MATCH(Table2[[#Headers],[Outer Spring Torque]],Table2[#Headers],0),0)</f>
        <v>Null</v>
      </c>
      <c r="BB772" s="2" t="str">
        <f>VLOOKUP([jobnumber],OvalData[],MATCH(Table2[[#Headers],[Outer Spring Max Turns]],Table2[#Headers],0),0)</f>
        <v>Null</v>
      </c>
      <c r="BC772" s="2" t="str">
        <f>VLOOKUP([jobnumber],OvalData[],MATCH(Table2[[#Headers],[Outer Spring Weight]],Table2[#Headers],0),0)</f>
        <v>Null</v>
      </c>
      <c r="BD772" s="2" t="str">
        <f>VLOOKUP([jobnumber],OvalData[],MATCH(Table2[[#Headers],[Inner Spring Gage]],Table2[#Headers],0),0)</f>
        <v>Null</v>
      </c>
      <c r="BE772" s="2" t="str">
        <f>VLOOKUP([jobnumber],OvalData[],MATCH(Table2[[#Headers],[Inner Spring OD]],Table2[#Headers],0),0)</f>
        <v>Null</v>
      </c>
      <c r="BF772" s="2" t="str">
        <f>VLOOKUP([jobnumber],OvalData[],MATCH(Table2[[#Headers],[Inner Spring Length]],Table2[#Headers],0),0)</f>
        <v>Null</v>
      </c>
      <c r="BG772" s="2" t="str">
        <f>VLOOKUP([jobnumber],OvalData[],MATCH(Table2[[#Headers],[Inner Spring Stretch]],Table2[#Headers],0),0)</f>
        <v>Null</v>
      </c>
      <c r="BH772" s="2" t="str">
        <f>VLOOKUP([jobnumber],OvalData[],MATCH(Table2[[#Headers],[Inner Spring Torque]],Table2[#Headers],0),0)</f>
        <v>Null</v>
      </c>
      <c r="BI772" s="2" t="str">
        <f>VLOOKUP([jobnumber],OvalData[],MATCH(Table2[[#Headers],[Inner Spring Max Turns]],Table2[#Headers],0),0)</f>
        <v>Null</v>
      </c>
      <c r="BJ772" s="2" t="str">
        <f>VLOOKUP([jobnumber],OvalData[],MATCH(Table2[[#Headers],[Inner Spring Weight]],Table2[#Headers],0),0)</f>
        <v>Null</v>
      </c>
      <c r="BK772" s="2">
        <f>VLOOKUP([jobnumber],OvalData[],MATCH(Table2[[#Headers],[Cycles]],Table2[#Headers],0),0)</f>
        <v>0</v>
      </c>
      <c r="BL772" s="2">
        <f>VLOOKUP([jobnumber],OvalData[],MATCH(Table2[[#Headers],[Total Spring Torque]],Table2[#Headers],0),0)</f>
        <v>0</v>
      </c>
      <c r="BM772" s="2">
        <f>VLOOKUP([jobnumber],OvalData[],MATCH(Table2[[#Headers],[Total Spring Weight]],Table2[#Headers],0),0)</f>
        <v>0</v>
      </c>
      <c r="BN772" s="2">
        <f>VLOOKUP([jobnumber],OvalData[],MATCH(Table2[[#Headers],[Pipe Weight]],Table2[#Headers],0),0)</f>
        <v>688.24239999999998</v>
      </c>
      <c r="BO772" s="2">
        <f>VLOOKUP([jobnumber],OvalData[],MATCH(Table2[[#Headers],[Max Pipe Deflection]],Table2[#Headers],0),0)</f>
        <v>2309</v>
      </c>
      <c r="BP772" s="2">
        <f>VLOOKUP([jobnumber],OvalData[],MATCH(Table2[[#Headers],[Number Non-Insulated Wrap Slats]],Table2[#Headers],0),0)</f>
        <v>0</v>
      </c>
      <c r="BQ772" s="2">
        <f>VLOOKUP([jobnumber],OvalData[],MATCH(Table2[[#Headers],[Number of Insolated Top Slats]],Table2[#Headers],0),0)</f>
        <v>45</v>
      </c>
      <c r="BR772" s="2">
        <f>VLOOKUP([jobnumber],OvalData[],MATCH(Table2[[#Headers],[Insolated Total Slats]],Table2[#Headers],0),0)</f>
        <v>45</v>
      </c>
      <c r="BS772" s="2">
        <f>VLOOKUP([jobnumber],OvalData[],MATCH(Table2[[#Headers],[Number of Slats]],Table2[#Headers],0),0)</f>
        <v>44.69</v>
      </c>
      <c r="BT772" s="2">
        <f>VLOOKUP([jobnumber],OvalData[],MATCH(Table2[[#Headers],[Wrap]],Table2[#Headers],0),0)</f>
        <v>0</v>
      </c>
      <c r="BU772" s="2">
        <f>VLOOKUP([jobnumber],OvalData[],MATCH(Table2[[#Headers],[Wall Angle Thickness]],Table2[#Headers],0),0)</f>
        <v>0</v>
      </c>
      <c r="BV772" s="2">
        <f>VLOOKUP([jobnumber],OvalData[],MATCH(Table2[[#Headers],[windlocks]],Table2[#Headers],0),0)</f>
        <v>0</v>
      </c>
      <c r="BW772" s="2" t="str">
        <f>VLOOKUP([jobnumber],OvalData[],MATCH(Table2[[#Headers],[bottombartype]],Table2[#Headers],0),0)</f>
        <v>SPECIAL</v>
      </c>
      <c r="BX772" s="2">
        <f>VLOOKUP([jobnumber],OvalData[],MATCH(Table2[[#Headers],[endlockweight]],Table2[#Headers],0),0)</f>
        <v>0.17</v>
      </c>
      <c r="BY772" s="2">
        <f>VLOOKUP([jobnumber],OvalData[],MATCH(Table2[[#Headers],[Endlock Total Weight]],Table2[#Headers],0),0)</f>
        <v>7.5972999999999997</v>
      </c>
      <c r="BZ772" s="2">
        <f>VLOOKUP([jobnumber],OvalData[],MATCH(Table2[[#Headers],[Grille Weight]],Table2[#Headers],0),0)</f>
        <v>0</v>
      </c>
      <c r="CA772" s="2">
        <f>VLOOKUP([jobnumber],OvalData[],MATCH(Table2[[#Headers],[barrelrings]],Table2[#Headers],0),0)</f>
        <v>1</v>
      </c>
    </row>
    <row r="773" spans="2:79">
      <c r="B773" s="2" t="str">
        <f>VLOOKUP([jobnumber],OvalData[],MATCH(Table2[[#Headers],[Hand]],Table2[#Headers],0),0)</f>
        <v>RH</v>
      </c>
      <c r="C773" s="2" t="str">
        <f>VLOOKUP([jobnumber],OvalData[],MATCH(Table2[[#Headers],[Model]],Table2[#Headers],0),0)</f>
        <v>SFMPP</v>
      </c>
      <c r="D773" s="2" t="str">
        <f>VLOOKUP([jobnumber],OvalData[],MATCH(Table2[[#Headers],[width]],Table2[#Headers],0),0)</f>
        <v xml:space="preserve"> 18 ft.- 2"</v>
      </c>
      <c r="E773" s="2" t="str">
        <f>VLOOKUP([jobnumber],OvalData[],MATCH(Table2[[#Headers],[stopheight]],Table2[#Headers],0),0)</f>
        <v xml:space="preserve"> 10 ft.- 0"</v>
      </c>
      <c r="F773" s="2" t="str">
        <f>VLOOKUP([jobnumber],OvalData[],MATCH(Table2[[#Headers],[Between Brackets]],Table2[#Headers],0),0)</f>
        <v xml:space="preserve"> 18 ft.- 7 7/ 8"</v>
      </c>
      <c r="G773" s="2" t="str">
        <f>VLOOKUP([jobnumber],OvalData[],MATCH(Table2[[#Headers],[shell]],Table2[#Headers],0),0)</f>
        <v>6 INCH TUBE</v>
      </c>
      <c r="H773" s="2" t="str">
        <f>VLOOKUP([jobnumber],OvalData[],MATCH(Table2[[#Headers],[pipewidth]],Table2[#Headers],0),0)</f>
        <v xml:space="preserve"> 18 ft.- 1 3/ 8"</v>
      </c>
      <c r="I773" s="2">
        <f>VLOOKUP([jobnumber],OvalData[],MATCH(Table2[[#Headers],[Support Tubes]],Table2[#Headers],0),0)</f>
        <v>0</v>
      </c>
      <c r="J773" s="2">
        <f>VLOOKUP([jobnumber],OvalData[],MATCH(Table2[[#Headers],[Upset]],Table2[#Headers],0),0)</f>
        <v>2</v>
      </c>
      <c r="K773" s="2" t="str">
        <f>VLOOKUP([jobnumber],OvalData[],MATCH(Table2[[#Headers],[Guide Type]],Table2[#Headers],0),0)</f>
        <v>SN2-4 5/8-E</v>
      </c>
      <c r="L773" s="2" t="str">
        <f>VLOOKUP([jobnumber],OvalData[],MATCH(Table2[[#Headers],[Wall Angle]],Table2[#Headers],0),0)</f>
        <v xml:space="preserve"> 11 ft.- 8"</v>
      </c>
      <c r="M773" s="2" t="str">
        <f>VLOOKUP([jobnumber],OvalData[],MATCH(Table2[[#Headers],[Middle Angle]],Table2[#Headers],0),0)</f>
        <v xml:space="preserve"> 10 ft.- 4 1/ 2"</v>
      </c>
      <c r="N773" s="2" t="str">
        <f>VLOOKUP([jobnumber],OvalData[],MATCH(Table2[[#Headers],[Front Angle]],Table2[#Headers],0),0)</f>
        <v xml:space="preserve"> 10 ft.- 3"</v>
      </c>
      <c r="O773" s="2">
        <f>VLOOKUP([jobnumber],OvalData[],MATCH(Table2[[#Headers],[Pipe Center Line]],Table2[#Headers],0),0)</f>
        <v>131</v>
      </c>
      <c r="P773" s="2">
        <f>VLOOKUP([jobnumber],OvalData[],MATCH(Table2[[#Headers],[Heat Expansion Gap]],Table2[#Headers],0),0)</f>
        <v>0</v>
      </c>
      <c r="Q773" s="2">
        <f>VLOOKUP([jobnumber],OvalData[],MATCH(Table2[[#Headers],[Hanging Weight Closed]],Table2[#Headers],0),0)</f>
        <v>795</v>
      </c>
      <c r="R773" s="2">
        <f>VLOOKUP([jobnumber],OvalData[],MATCH(Table2[[#Headers],[Hanging Weight Open]],Table2[#Headers],0),0)</f>
        <v>140</v>
      </c>
      <c r="S773" s="2">
        <f>VLOOKUP([jobnumber],OvalData[],MATCH(Table2[[#Headers],[Initial Lever Arm]],Table2[#Headers],0),0)</f>
        <v>4.25</v>
      </c>
      <c r="T773" s="2">
        <f>VLOOKUP([jobnumber],OvalData[],MATCH(Table2[[#Headers],[Turns to Raise]],Table2[#Headers],0),0)</f>
        <v>3.5859999999999999</v>
      </c>
      <c r="U773" s="2">
        <f>VLOOKUP([jobnumber],OvalData[],MATCH(Table2[[#Headers],[Final Lever Arm]],Table2[#Headers],0),0)</f>
        <v>6.37</v>
      </c>
      <c r="V773" s="2">
        <f>VLOOKUP([jobnumber],OvalData[],MATCH(Table2[[#Headers],[Torque Required Closed]],Table2[#Headers],0),0)</f>
        <v>3377.9</v>
      </c>
      <c r="W773" s="2">
        <f>VLOOKUP([jobnumber],OvalData[],MATCH(Table2[[#Headers],[Torque Required Open]],Table2[#Headers],0),0)</f>
        <v>892</v>
      </c>
      <c r="X773" s="2">
        <f>VLOOKUP([jobnumber],OvalData[],MATCH(Table2[[#Headers],[Pre Turns]],Table2[#Headers],0),0)</f>
        <v>1.3332999999999999</v>
      </c>
      <c r="Y773" s="2">
        <f>VLOOKUP([jobnumber],OvalData[],MATCH(Table2[[#Headers],[Required Torque Per Turn]],Table2[#Headers],0),0)</f>
        <v>688</v>
      </c>
      <c r="Z773" s="2">
        <f>VLOOKUP([jobnumber],OvalData[],MATCH(Table2[[#Headers],[Total Turns]],Table2[#Headers],0),0)</f>
        <v>4.91</v>
      </c>
      <c r="AA773" s="2">
        <f>VLOOKUP([jobnumber],OvalData[],MATCH(Table2[[#Headers],[Grille Vision Section]],Table2[#Headers],0),0)</f>
        <v>0</v>
      </c>
      <c r="AB773" s="2">
        <f>VLOOKUP([jobnumber],OvalData[],MATCH(Table2[[#Headers],[Grille Amount]],Table2[#Headers],0),0)</f>
        <v>0</v>
      </c>
      <c r="AC773" s="2">
        <f>VLOOKUP([jobnumber],OvalData[],MATCH(Table2[[#Headers],[Grille Center]],Table2[#Headers],0),0)</f>
        <v>0</v>
      </c>
      <c r="AD773" s="2">
        <f>VLOOKUP([jobnumber],OvalData[],MATCH(Table2[[#Headers],[Grille Pattern]],Table2[#Headers],0),0)</f>
        <v>0</v>
      </c>
      <c r="AE773" s="2">
        <f>VLOOKUP([jobnumber],OvalData[],MATCH(Table2[[#Headers],[Grille First Tube]],Table2[#Headers],0),0)</f>
        <v>0</v>
      </c>
      <c r="AF773" s="2">
        <f>VLOOKUP([jobnumber],OvalData[],MATCH(Table2[[#Headers],[Grille Standard Tube]],Table2[#Headers],0),0)</f>
        <v>0</v>
      </c>
      <c r="AG773" s="2">
        <f>VLOOKUP([jobnumber],OvalData[],MATCH(Table2[[#Headers],[Grille Total Links]],Table2[#Headers],0),0)</f>
        <v>0</v>
      </c>
      <c r="AH773" s="2">
        <f>VLOOKUP([jobnumber],OvalData[],MATCH(Table2[[#Headers],[Grille Rods]],Table2[#Headers],0),0)</f>
        <v>0</v>
      </c>
      <c r="AI773" s="2">
        <f>VLOOKUP([jobnumber],OvalData[],MATCH(Table2[[#Headers],[Grille Rod Length]],Table2[#Headers],0),0)</f>
        <v>0</v>
      </c>
      <c r="AJ773" s="2">
        <f>VLOOKUP([jobnumber],OvalData[],MATCH(Table2[[#Headers],[slattype]],Table2[#Headers],0),0)</f>
        <v>2</v>
      </c>
      <c r="AK773" s="2">
        <f>VLOOKUP([jobnumber],OvalData[],MATCH(Table2[[#Headers],[slatgage]],Table2[#Headers],0),0)</f>
        <v>18</v>
      </c>
      <c r="AL773" s="2">
        <f>VLOOKUP([jobnumber],OvalData[],MATCH(Table2[[#Headers],[Numer of Top Slats]],Table2[#Headers],0),0)</f>
        <v>0</v>
      </c>
      <c r="AM773" s="2">
        <f>VLOOKUP([jobnumber],OvalData[],MATCH(Table2[[#Headers],[Number of Bottom Slats]],Table2[#Headers],0),0)</f>
        <v>0</v>
      </c>
      <c r="AN773" s="2">
        <f>VLOOKUP([jobnumber],OvalData[],MATCH(Table2[[#Headers],[Solid Bottom Height]],Table2[#Headers],0),0)</f>
        <v>0</v>
      </c>
      <c r="AO773" s="2" t="str">
        <f>VLOOKUP([jobnumber],OvalData[],MATCH(Table2[[#Headers],[slatlength]],Table2[#Headers],0),0)</f>
        <v xml:space="preserve"> 18 ft.- 5 7/ 8"</v>
      </c>
      <c r="AP773" s="2">
        <f>VLOOKUP([jobnumber],OvalData[],MATCH(Table2[[#Headers],[Bottom Slat Length]],Table2[#Headers],0),0)</f>
        <v>0</v>
      </c>
      <c r="AQ773" s="2">
        <f>VLOOKUP([jobnumber],OvalData[],MATCH(Table2[[#Headers],[Number of Perferated Slats]],Table2[#Headers],0),0)</f>
        <v>0</v>
      </c>
      <c r="AR773" s="2">
        <f>VLOOKUP([jobnumber],OvalData[],MATCH(Table2[[#Headers],[First Preferated Slat From End]],Table2[#Headers],0),0)</f>
        <v>0</v>
      </c>
      <c r="AS773" s="2">
        <f>VLOOKUP([jobnumber],OvalData[],MATCH(Table2[[#Headers],[First Preferated Slat From Bottom]],Table2[#Headers],0),0)</f>
        <v>0</v>
      </c>
      <c r="AT773" s="2">
        <f>VLOOKUP([jobnumber],OvalData[],MATCH(Table2[[#Headers],[Total Number of Slats]],Table2[#Headers],0),0)</f>
        <v>51</v>
      </c>
      <c r="AU773" s="2">
        <f>VLOOKUP([jobnumber],OvalData[],MATCH(Table2[[#Headers],[Bottom Bar Slope]],Table2[#Headers],0),0)</f>
        <v>0</v>
      </c>
      <c r="AV773" s="2">
        <f>VLOOKUP([jobnumber],OvalData[],MATCH(Table2[[#Headers],[Bottom Bar Weight]],Table2[#Headers],0),0)</f>
        <v>80.5</v>
      </c>
      <c r="AW773" s="2" t="str">
        <f>VLOOKUP([jobnumber],OvalData[],MATCH(Table2[[#Headers],[Outer Spring Gage]],Table2[#Headers],0),0)</f>
        <v>Null</v>
      </c>
      <c r="AX773" s="2" t="str">
        <f>VLOOKUP([jobnumber],OvalData[],MATCH(Table2[[#Headers],[Outer Spring OD]],Table2[#Headers],0),0)</f>
        <v>Null</v>
      </c>
      <c r="AY773" s="2" t="str">
        <f>VLOOKUP([jobnumber],OvalData[],MATCH(Table2[[#Headers],[Outer Spring Length]],Table2[#Headers],0),0)</f>
        <v>Null</v>
      </c>
      <c r="AZ773" s="2" t="str">
        <f>VLOOKUP([jobnumber],OvalData[],MATCH(Table2[[#Headers],[Outer Spring Stretch]],Table2[#Headers],0),0)</f>
        <v>Null</v>
      </c>
      <c r="BA773" s="2" t="str">
        <f>VLOOKUP([jobnumber],OvalData[],MATCH(Table2[[#Headers],[Outer Spring Torque]],Table2[#Headers],0),0)</f>
        <v>Null</v>
      </c>
      <c r="BB773" s="2" t="str">
        <f>VLOOKUP([jobnumber],OvalData[],MATCH(Table2[[#Headers],[Outer Spring Max Turns]],Table2[#Headers],0),0)</f>
        <v>Null</v>
      </c>
      <c r="BC773" s="2" t="str">
        <f>VLOOKUP([jobnumber],OvalData[],MATCH(Table2[[#Headers],[Outer Spring Weight]],Table2[#Headers],0),0)</f>
        <v>Null</v>
      </c>
      <c r="BD773" s="2" t="str">
        <f>VLOOKUP([jobnumber],OvalData[],MATCH(Table2[[#Headers],[Inner Spring Gage]],Table2[#Headers],0),0)</f>
        <v>Null</v>
      </c>
      <c r="BE773" s="2" t="str">
        <f>VLOOKUP([jobnumber],OvalData[],MATCH(Table2[[#Headers],[Inner Spring OD]],Table2[#Headers],0),0)</f>
        <v>Null</v>
      </c>
      <c r="BF773" s="2" t="str">
        <f>VLOOKUP([jobnumber],OvalData[],MATCH(Table2[[#Headers],[Inner Spring Length]],Table2[#Headers],0),0)</f>
        <v>Null</v>
      </c>
      <c r="BG773" s="2" t="str">
        <f>VLOOKUP([jobnumber],OvalData[],MATCH(Table2[[#Headers],[Inner Spring Stretch]],Table2[#Headers],0),0)</f>
        <v>Null</v>
      </c>
      <c r="BH773" s="2" t="str">
        <f>VLOOKUP([jobnumber],OvalData[],MATCH(Table2[[#Headers],[Inner Spring Torque]],Table2[#Headers],0),0)</f>
        <v>Null</v>
      </c>
      <c r="BI773" s="2" t="str">
        <f>VLOOKUP([jobnumber],OvalData[],MATCH(Table2[[#Headers],[Inner Spring Max Turns]],Table2[#Headers],0),0)</f>
        <v>Null</v>
      </c>
      <c r="BJ773" s="2" t="str">
        <f>VLOOKUP([jobnumber],OvalData[],MATCH(Table2[[#Headers],[Inner Spring Weight]],Table2[#Headers],0),0)</f>
        <v>Null</v>
      </c>
      <c r="BK773" s="2">
        <f>VLOOKUP([jobnumber],OvalData[],MATCH(Table2[[#Headers],[Cycles]],Table2[#Headers],0),0)</f>
        <v>0</v>
      </c>
      <c r="BL773" s="2">
        <f>VLOOKUP([jobnumber],OvalData[],MATCH(Table2[[#Headers],[Total Spring Torque]],Table2[#Headers],0),0)</f>
        <v>0</v>
      </c>
      <c r="BM773" s="2">
        <f>VLOOKUP([jobnumber],OvalData[],MATCH(Table2[[#Headers],[Total Spring Weight]],Table2[#Headers],0),0)</f>
        <v>0</v>
      </c>
      <c r="BN773" s="2">
        <f>VLOOKUP([jobnumber],OvalData[],MATCH(Table2[[#Headers],[Pipe Weight]],Table2[#Headers],0),0)</f>
        <v>688.24239999999998</v>
      </c>
      <c r="BO773" s="2">
        <f>VLOOKUP([jobnumber],OvalData[],MATCH(Table2[[#Headers],[Max Pipe Deflection]],Table2[#Headers],0),0)</f>
        <v>2309</v>
      </c>
      <c r="BP773" s="2">
        <f>VLOOKUP([jobnumber],OvalData[],MATCH(Table2[[#Headers],[Number Non-Insulated Wrap Slats]],Table2[#Headers],0),0)</f>
        <v>0</v>
      </c>
      <c r="BQ773" s="2">
        <f>VLOOKUP([jobnumber],OvalData[],MATCH(Table2[[#Headers],[Number of Insolated Top Slats]],Table2[#Headers],0),0)</f>
        <v>45</v>
      </c>
      <c r="BR773" s="2">
        <f>VLOOKUP([jobnumber],OvalData[],MATCH(Table2[[#Headers],[Insolated Total Slats]],Table2[#Headers],0),0)</f>
        <v>45</v>
      </c>
      <c r="BS773" s="2">
        <f>VLOOKUP([jobnumber],OvalData[],MATCH(Table2[[#Headers],[Number of Slats]],Table2[#Headers],0),0)</f>
        <v>44.69</v>
      </c>
      <c r="BT773" s="2">
        <f>VLOOKUP([jobnumber],OvalData[],MATCH(Table2[[#Headers],[Wrap]],Table2[#Headers],0),0)</f>
        <v>0</v>
      </c>
      <c r="BU773" s="2">
        <f>VLOOKUP([jobnumber],OvalData[],MATCH(Table2[[#Headers],[Wall Angle Thickness]],Table2[#Headers],0),0)</f>
        <v>0</v>
      </c>
      <c r="BV773" s="2">
        <f>VLOOKUP([jobnumber],OvalData[],MATCH(Table2[[#Headers],[windlocks]],Table2[#Headers],0),0)</f>
        <v>0</v>
      </c>
      <c r="BW773" s="2" t="str">
        <f>VLOOKUP([jobnumber],OvalData[],MATCH(Table2[[#Headers],[bottombartype]],Table2[#Headers],0),0)</f>
        <v>SPECIAL</v>
      </c>
      <c r="BX773" s="2">
        <f>VLOOKUP([jobnumber],OvalData[],MATCH(Table2[[#Headers],[endlockweight]],Table2[#Headers],0),0)</f>
        <v>0.17</v>
      </c>
      <c r="BY773" s="2">
        <f>VLOOKUP([jobnumber],OvalData[],MATCH(Table2[[#Headers],[Endlock Total Weight]],Table2[#Headers],0),0)</f>
        <v>7.5972999999999997</v>
      </c>
      <c r="BZ773" s="2">
        <f>VLOOKUP([jobnumber],OvalData[],MATCH(Table2[[#Headers],[Grille Weight]],Table2[#Headers],0),0)</f>
        <v>0</v>
      </c>
      <c r="CA773" s="2">
        <f>VLOOKUP([jobnumber],OvalData[],MATCH(Table2[[#Headers],[barrelrings]],Table2[#Headers],0),0)</f>
        <v>1</v>
      </c>
    </row>
    <row r="774" spans="2:79">
      <c r="B774" s="2" t="str">
        <f>VLOOKUP([jobnumber],OvalData[],MATCH(Table2[[#Headers],[Hand]],Table2[#Headers],0),0)</f>
        <v>RH</v>
      </c>
      <c r="C774" s="2" t="str">
        <f>VLOOKUP([jobnumber],OvalData[],MATCH(Table2[[#Headers],[Model]],Table2[#Headers],0),0)</f>
        <v>SFMPP</v>
      </c>
      <c r="D774" s="2" t="str">
        <f>VLOOKUP([jobnumber],OvalData[],MATCH(Table2[[#Headers],[width]],Table2[#Headers],0),0)</f>
        <v xml:space="preserve"> 18 ft.- 2"</v>
      </c>
      <c r="E774" s="2" t="str">
        <f>VLOOKUP([jobnumber],OvalData[],MATCH(Table2[[#Headers],[stopheight]],Table2[#Headers],0),0)</f>
        <v xml:space="preserve"> 10 ft.- 0"</v>
      </c>
      <c r="F774" s="2" t="str">
        <f>VLOOKUP([jobnumber],OvalData[],MATCH(Table2[[#Headers],[Between Brackets]],Table2[#Headers],0),0)</f>
        <v xml:space="preserve"> 18 ft.- 7 7/ 8"</v>
      </c>
      <c r="G774" s="2" t="str">
        <f>VLOOKUP([jobnumber],OvalData[],MATCH(Table2[[#Headers],[shell]],Table2[#Headers],0),0)</f>
        <v>6 INCH TUBE</v>
      </c>
      <c r="H774" s="2" t="str">
        <f>VLOOKUP([jobnumber],OvalData[],MATCH(Table2[[#Headers],[pipewidth]],Table2[#Headers],0),0)</f>
        <v xml:space="preserve"> 18 ft.- 1 3/ 8"</v>
      </c>
      <c r="I774" s="2">
        <f>VLOOKUP([jobnumber],OvalData[],MATCH(Table2[[#Headers],[Support Tubes]],Table2[#Headers],0),0)</f>
        <v>0</v>
      </c>
      <c r="J774" s="2">
        <f>VLOOKUP([jobnumber],OvalData[],MATCH(Table2[[#Headers],[Upset]],Table2[#Headers],0),0)</f>
        <v>2</v>
      </c>
      <c r="K774" s="2" t="str">
        <f>VLOOKUP([jobnumber],OvalData[],MATCH(Table2[[#Headers],[Guide Type]],Table2[#Headers],0),0)</f>
        <v>SN2-4 5/8-E</v>
      </c>
      <c r="L774" s="2" t="str">
        <f>VLOOKUP([jobnumber],OvalData[],MATCH(Table2[[#Headers],[Wall Angle]],Table2[#Headers],0),0)</f>
        <v xml:space="preserve"> 11 ft.- 8"</v>
      </c>
      <c r="M774" s="2" t="str">
        <f>VLOOKUP([jobnumber],OvalData[],MATCH(Table2[[#Headers],[Middle Angle]],Table2[#Headers],0),0)</f>
        <v xml:space="preserve"> 10 ft.- 4 1/ 2"</v>
      </c>
      <c r="N774" s="2" t="str">
        <f>VLOOKUP([jobnumber],OvalData[],MATCH(Table2[[#Headers],[Front Angle]],Table2[#Headers],0),0)</f>
        <v xml:space="preserve"> 10 ft.- 3"</v>
      </c>
      <c r="O774" s="2">
        <f>VLOOKUP([jobnumber],OvalData[],MATCH(Table2[[#Headers],[Pipe Center Line]],Table2[#Headers],0),0)</f>
        <v>131</v>
      </c>
      <c r="P774" s="2">
        <f>VLOOKUP([jobnumber],OvalData[],MATCH(Table2[[#Headers],[Heat Expansion Gap]],Table2[#Headers],0),0)</f>
        <v>0</v>
      </c>
      <c r="Q774" s="2">
        <f>VLOOKUP([jobnumber],OvalData[],MATCH(Table2[[#Headers],[Hanging Weight Closed]],Table2[#Headers],0),0)</f>
        <v>795</v>
      </c>
      <c r="R774" s="2">
        <f>VLOOKUP([jobnumber],OvalData[],MATCH(Table2[[#Headers],[Hanging Weight Open]],Table2[#Headers],0),0)</f>
        <v>140</v>
      </c>
      <c r="S774" s="2">
        <f>VLOOKUP([jobnumber],OvalData[],MATCH(Table2[[#Headers],[Initial Lever Arm]],Table2[#Headers],0),0)</f>
        <v>4.25</v>
      </c>
      <c r="T774" s="2">
        <f>VLOOKUP([jobnumber],OvalData[],MATCH(Table2[[#Headers],[Turns to Raise]],Table2[#Headers],0),0)</f>
        <v>3.5859999999999999</v>
      </c>
      <c r="U774" s="2">
        <f>VLOOKUP([jobnumber],OvalData[],MATCH(Table2[[#Headers],[Final Lever Arm]],Table2[#Headers],0),0)</f>
        <v>6.37</v>
      </c>
      <c r="V774" s="2">
        <f>VLOOKUP([jobnumber],OvalData[],MATCH(Table2[[#Headers],[Torque Required Closed]],Table2[#Headers],0),0)</f>
        <v>3377.9</v>
      </c>
      <c r="W774" s="2">
        <f>VLOOKUP([jobnumber],OvalData[],MATCH(Table2[[#Headers],[Torque Required Open]],Table2[#Headers],0),0)</f>
        <v>892</v>
      </c>
      <c r="X774" s="2">
        <f>VLOOKUP([jobnumber],OvalData[],MATCH(Table2[[#Headers],[Pre Turns]],Table2[#Headers],0),0)</f>
        <v>1.3332999999999999</v>
      </c>
      <c r="Y774" s="2">
        <f>VLOOKUP([jobnumber],OvalData[],MATCH(Table2[[#Headers],[Required Torque Per Turn]],Table2[#Headers],0),0)</f>
        <v>688</v>
      </c>
      <c r="Z774" s="2">
        <f>VLOOKUP([jobnumber],OvalData[],MATCH(Table2[[#Headers],[Total Turns]],Table2[#Headers],0),0)</f>
        <v>4.91</v>
      </c>
      <c r="AA774" s="2">
        <f>VLOOKUP([jobnumber],OvalData[],MATCH(Table2[[#Headers],[Grille Vision Section]],Table2[#Headers],0),0)</f>
        <v>0</v>
      </c>
      <c r="AB774" s="2">
        <f>VLOOKUP([jobnumber],OvalData[],MATCH(Table2[[#Headers],[Grille Amount]],Table2[#Headers],0),0)</f>
        <v>0</v>
      </c>
      <c r="AC774" s="2">
        <f>VLOOKUP([jobnumber],OvalData[],MATCH(Table2[[#Headers],[Grille Center]],Table2[#Headers],0),0)</f>
        <v>0</v>
      </c>
      <c r="AD774" s="2">
        <f>VLOOKUP([jobnumber],OvalData[],MATCH(Table2[[#Headers],[Grille Pattern]],Table2[#Headers],0),0)</f>
        <v>0</v>
      </c>
      <c r="AE774" s="2">
        <f>VLOOKUP([jobnumber],OvalData[],MATCH(Table2[[#Headers],[Grille First Tube]],Table2[#Headers],0),0)</f>
        <v>0</v>
      </c>
      <c r="AF774" s="2">
        <f>VLOOKUP([jobnumber],OvalData[],MATCH(Table2[[#Headers],[Grille Standard Tube]],Table2[#Headers],0),0)</f>
        <v>0</v>
      </c>
      <c r="AG774" s="2">
        <f>VLOOKUP([jobnumber],OvalData[],MATCH(Table2[[#Headers],[Grille Total Links]],Table2[#Headers],0),0)</f>
        <v>0</v>
      </c>
      <c r="AH774" s="2">
        <f>VLOOKUP([jobnumber],OvalData[],MATCH(Table2[[#Headers],[Grille Rods]],Table2[#Headers],0),0)</f>
        <v>0</v>
      </c>
      <c r="AI774" s="2">
        <f>VLOOKUP([jobnumber],OvalData[],MATCH(Table2[[#Headers],[Grille Rod Length]],Table2[#Headers],0),0)</f>
        <v>0</v>
      </c>
      <c r="AJ774" s="2">
        <f>VLOOKUP([jobnumber],OvalData[],MATCH(Table2[[#Headers],[slattype]],Table2[#Headers],0),0)</f>
        <v>2</v>
      </c>
      <c r="AK774" s="2">
        <f>VLOOKUP([jobnumber],OvalData[],MATCH(Table2[[#Headers],[slatgage]],Table2[#Headers],0),0)</f>
        <v>18</v>
      </c>
      <c r="AL774" s="2">
        <f>VLOOKUP([jobnumber],OvalData[],MATCH(Table2[[#Headers],[Numer of Top Slats]],Table2[#Headers],0),0)</f>
        <v>0</v>
      </c>
      <c r="AM774" s="2">
        <f>VLOOKUP([jobnumber],OvalData[],MATCH(Table2[[#Headers],[Number of Bottom Slats]],Table2[#Headers],0),0)</f>
        <v>0</v>
      </c>
      <c r="AN774" s="2">
        <f>VLOOKUP([jobnumber],OvalData[],MATCH(Table2[[#Headers],[Solid Bottom Height]],Table2[#Headers],0),0)</f>
        <v>0</v>
      </c>
      <c r="AO774" s="2" t="str">
        <f>VLOOKUP([jobnumber],OvalData[],MATCH(Table2[[#Headers],[slatlength]],Table2[#Headers],0),0)</f>
        <v xml:space="preserve"> 18 ft.- 5 7/ 8"</v>
      </c>
      <c r="AP774" s="2">
        <f>VLOOKUP([jobnumber],OvalData[],MATCH(Table2[[#Headers],[Bottom Slat Length]],Table2[#Headers],0),0)</f>
        <v>0</v>
      </c>
      <c r="AQ774" s="2">
        <f>VLOOKUP([jobnumber],OvalData[],MATCH(Table2[[#Headers],[Number of Perferated Slats]],Table2[#Headers],0),0)</f>
        <v>0</v>
      </c>
      <c r="AR774" s="2">
        <f>VLOOKUP([jobnumber],OvalData[],MATCH(Table2[[#Headers],[First Preferated Slat From End]],Table2[#Headers],0),0)</f>
        <v>0</v>
      </c>
      <c r="AS774" s="2">
        <f>VLOOKUP([jobnumber],OvalData[],MATCH(Table2[[#Headers],[First Preferated Slat From Bottom]],Table2[#Headers],0),0)</f>
        <v>0</v>
      </c>
      <c r="AT774" s="2">
        <f>VLOOKUP([jobnumber],OvalData[],MATCH(Table2[[#Headers],[Total Number of Slats]],Table2[#Headers],0),0)</f>
        <v>51</v>
      </c>
      <c r="AU774" s="2">
        <f>VLOOKUP([jobnumber],OvalData[],MATCH(Table2[[#Headers],[Bottom Bar Slope]],Table2[#Headers],0),0)</f>
        <v>0</v>
      </c>
      <c r="AV774" s="2">
        <f>VLOOKUP([jobnumber],OvalData[],MATCH(Table2[[#Headers],[Bottom Bar Weight]],Table2[#Headers],0),0)</f>
        <v>80.5</v>
      </c>
      <c r="AW774" s="2" t="str">
        <f>VLOOKUP([jobnumber],OvalData[],MATCH(Table2[[#Headers],[Outer Spring Gage]],Table2[#Headers],0),0)</f>
        <v>Null</v>
      </c>
      <c r="AX774" s="2" t="str">
        <f>VLOOKUP([jobnumber],OvalData[],MATCH(Table2[[#Headers],[Outer Spring OD]],Table2[#Headers],0),0)</f>
        <v>Null</v>
      </c>
      <c r="AY774" s="2" t="str">
        <f>VLOOKUP([jobnumber],OvalData[],MATCH(Table2[[#Headers],[Outer Spring Length]],Table2[#Headers],0),0)</f>
        <v>Null</v>
      </c>
      <c r="AZ774" s="2" t="str">
        <f>VLOOKUP([jobnumber],OvalData[],MATCH(Table2[[#Headers],[Outer Spring Stretch]],Table2[#Headers],0),0)</f>
        <v>Null</v>
      </c>
      <c r="BA774" s="2" t="str">
        <f>VLOOKUP([jobnumber],OvalData[],MATCH(Table2[[#Headers],[Outer Spring Torque]],Table2[#Headers],0),0)</f>
        <v>Null</v>
      </c>
      <c r="BB774" s="2" t="str">
        <f>VLOOKUP([jobnumber],OvalData[],MATCH(Table2[[#Headers],[Outer Spring Max Turns]],Table2[#Headers],0),0)</f>
        <v>Null</v>
      </c>
      <c r="BC774" s="2" t="str">
        <f>VLOOKUP([jobnumber],OvalData[],MATCH(Table2[[#Headers],[Outer Spring Weight]],Table2[#Headers],0),0)</f>
        <v>Null</v>
      </c>
      <c r="BD774" s="2" t="str">
        <f>VLOOKUP([jobnumber],OvalData[],MATCH(Table2[[#Headers],[Inner Spring Gage]],Table2[#Headers],0),0)</f>
        <v>Null</v>
      </c>
      <c r="BE774" s="2" t="str">
        <f>VLOOKUP([jobnumber],OvalData[],MATCH(Table2[[#Headers],[Inner Spring OD]],Table2[#Headers],0),0)</f>
        <v>Null</v>
      </c>
      <c r="BF774" s="2" t="str">
        <f>VLOOKUP([jobnumber],OvalData[],MATCH(Table2[[#Headers],[Inner Spring Length]],Table2[#Headers],0),0)</f>
        <v>Null</v>
      </c>
      <c r="BG774" s="2" t="str">
        <f>VLOOKUP([jobnumber],OvalData[],MATCH(Table2[[#Headers],[Inner Spring Stretch]],Table2[#Headers],0),0)</f>
        <v>Null</v>
      </c>
      <c r="BH774" s="2" t="str">
        <f>VLOOKUP([jobnumber],OvalData[],MATCH(Table2[[#Headers],[Inner Spring Torque]],Table2[#Headers],0),0)</f>
        <v>Null</v>
      </c>
      <c r="BI774" s="2" t="str">
        <f>VLOOKUP([jobnumber],OvalData[],MATCH(Table2[[#Headers],[Inner Spring Max Turns]],Table2[#Headers],0),0)</f>
        <v>Null</v>
      </c>
      <c r="BJ774" s="2" t="str">
        <f>VLOOKUP([jobnumber],OvalData[],MATCH(Table2[[#Headers],[Inner Spring Weight]],Table2[#Headers],0),0)</f>
        <v>Null</v>
      </c>
      <c r="BK774" s="2">
        <f>VLOOKUP([jobnumber],OvalData[],MATCH(Table2[[#Headers],[Cycles]],Table2[#Headers],0),0)</f>
        <v>0</v>
      </c>
      <c r="BL774" s="2">
        <f>VLOOKUP([jobnumber],OvalData[],MATCH(Table2[[#Headers],[Total Spring Torque]],Table2[#Headers],0),0)</f>
        <v>0</v>
      </c>
      <c r="BM774" s="2">
        <f>VLOOKUP([jobnumber],OvalData[],MATCH(Table2[[#Headers],[Total Spring Weight]],Table2[#Headers],0),0)</f>
        <v>0</v>
      </c>
      <c r="BN774" s="2">
        <f>VLOOKUP([jobnumber],OvalData[],MATCH(Table2[[#Headers],[Pipe Weight]],Table2[#Headers],0),0)</f>
        <v>688.24239999999998</v>
      </c>
      <c r="BO774" s="2">
        <f>VLOOKUP([jobnumber],OvalData[],MATCH(Table2[[#Headers],[Max Pipe Deflection]],Table2[#Headers],0),0)</f>
        <v>2309</v>
      </c>
      <c r="BP774" s="2">
        <f>VLOOKUP([jobnumber],OvalData[],MATCH(Table2[[#Headers],[Number Non-Insulated Wrap Slats]],Table2[#Headers],0),0)</f>
        <v>0</v>
      </c>
      <c r="BQ774" s="2">
        <f>VLOOKUP([jobnumber],OvalData[],MATCH(Table2[[#Headers],[Number of Insolated Top Slats]],Table2[#Headers],0),0)</f>
        <v>45</v>
      </c>
      <c r="BR774" s="2">
        <f>VLOOKUP([jobnumber],OvalData[],MATCH(Table2[[#Headers],[Insolated Total Slats]],Table2[#Headers],0),0)</f>
        <v>45</v>
      </c>
      <c r="BS774" s="2">
        <f>VLOOKUP([jobnumber],OvalData[],MATCH(Table2[[#Headers],[Number of Slats]],Table2[#Headers],0),0)</f>
        <v>44.69</v>
      </c>
      <c r="BT774" s="2">
        <f>VLOOKUP([jobnumber],OvalData[],MATCH(Table2[[#Headers],[Wrap]],Table2[#Headers],0),0)</f>
        <v>0</v>
      </c>
      <c r="BU774" s="2">
        <f>VLOOKUP([jobnumber],OvalData[],MATCH(Table2[[#Headers],[Wall Angle Thickness]],Table2[#Headers],0),0)</f>
        <v>0</v>
      </c>
      <c r="BV774" s="2">
        <f>VLOOKUP([jobnumber],OvalData[],MATCH(Table2[[#Headers],[windlocks]],Table2[#Headers],0),0)</f>
        <v>0</v>
      </c>
      <c r="BW774" s="2" t="str">
        <f>VLOOKUP([jobnumber],OvalData[],MATCH(Table2[[#Headers],[bottombartype]],Table2[#Headers],0),0)</f>
        <v>SPECIAL</v>
      </c>
      <c r="BX774" s="2">
        <f>VLOOKUP([jobnumber],OvalData[],MATCH(Table2[[#Headers],[endlockweight]],Table2[#Headers],0),0)</f>
        <v>0.17</v>
      </c>
      <c r="BY774" s="2">
        <f>VLOOKUP([jobnumber],OvalData[],MATCH(Table2[[#Headers],[Endlock Total Weight]],Table2[#Headers],0),0)</f>
        <v>7.5972999999999997</v>
      </c>
      <c r="BZ774" s="2">
        <f>VLOOKUP([jobnumber],OvalData[],MATCH(Table2[[#Headers],[Grille Weight]],Table2[#Headers],0),0)</f>
        <v>0</v>
      </c>
      <c r="CA774" s="2">
        <f>VLOOKUP([jobnumber],OvalData[],MATCH(Table2[[#Headers],[barrelrings]],Table2[#Headers],0),0)</f>
        <v>1</v>
      </c>
    </row>
    <row r="775" spans="2:79">
      <c r="B775" s="2" t="str">
        <f>VLOOKUP([jobnumber],OvalData[],MATCH(Table2[[#Headers],[Hand]],Table2[#Headers],0),0)</f>
        <v>RH</v>
      </c>
      <c r="C775" s="2" t="str">
        <f>VLOOKUP([jobnumber],OvalData[],MATCH(Table2[[#Headers],[Model]],Table2[#Headers],0),0)</f>
        <v>SFMPP</v>
      </c>
      <c r="D775" s="2" t="str">
        <f>VLOOKUP([jobnumber],OvalData[],MATCH(Table2[[#Headers],[width]],Table2[#Headers],0),0)</f>
        <v xml:space="preserve"> 18 ft.- 2"</v>
      </c>
      <c r="E775" s="2" t="str">
        <f>VLOOKUP([jobnumber],OvalData[],MATCH(Table2[[#Headers],[stopheight]],Table2[#Headers],0),0)</f>
        <v xml:space="preserve"> 10 ft.- 0"</v>
      </c>
      <c r="F775" s="2" t="str">
        <f>VLOOKUP([jobnumber],OvalData[],MATCH(Table2[[#Headers],[Between Brackets]],Table2[#Headers],0),0)</f>
        <v xml:space="preserve"> 18 ft.- 7 7/ 8"</v>
      </c>
      <c r="G775" s="2" t="str">
        <f>VLOOKUP([jobnumber],OvalData[],MATCH(Table2[[#Headers],[shell]],Table2[#Headers],0),0)</f>
        <v>6 INCH TUBE</v>
      </c>
      <c r="H775" s="2" t="str">
        <f>VLOOKUP([jobnumber],OvalData[],MATCH(Table2[[#Headers],[pipewidth]],Table2[#Headers],0),0)</f>
        <v xml:space="preserve"> 18 ft.- 1 3/ 8"</v>
      </c>
      <c r="I775" s="2">
        <f>VLOOKUP([jobnumber],OvalData[],MATCH(Table2[[#Headers],[Support Tubes]],Table2[#Headers],0),0)</f>
        <v>0</v>
      </c>
      <c r="J775" s="2">
        <f>VLOOKUP([jobnumber],OvalData[],MATCH(Table2[[#Headers],[Upset]],Table2[#Headers],0),0)</f>
        <v>2</v>
      </c>
      <c r="K775" s="2" t="str">
        <f>VLOOKUP([jobnumber],OvalData[],MATCH(Table2[[#Headers],[Guide Type]],Table2[#Headers],0),0)</f>
        <v>SN2-4 5/8-E</v>
      </c>
      <c r="L775" s="2" t="str">
        <f>VLOOKUP([jobnumber],OvalData[],MATCH(Table2[[#Headers],[Wall Angle]],Table2[#Headers],0),0)</f>
        <v xml:space="preserve"> 11 ft.- 8"</v>
      </c>
      <c r="M775" s="2" t="str">
        <f>VLOOKUP([jobnumber],OvalData[],MATCH(Table2[[#Headers],[Middle Angle]],Table2[#Headers],0),0)</f>
        <v xml:space="preserve"> 10 ft.- 4 1/ 2"</v>
      </c>
      <c r="N775" s="2" t="str">
        <f>VLOOKUP([jobnumber],OvalData[],MATCH(Table2[[#Headers],[Front Angle]],Table2[#Headers],0),0)</f>
        <v xml:space="preserve"> 10 ft.- 3"</v>
      </c>
      <c r="O775" s="2">
        <f>VLOOKUP([jobnumber],OvalData[],MATCH(Table2[[#Headers],[Pipe Center Line]],Table2[#Headers],0),0)</f>
        <v>131</v>
      </c>
      <c r="P775" s="2">
        <f>VLOOKUP([jobnumber],OvalData[],MATCH(Table2[[#Headers],[Heat Expansion Gap]],Table2[#Headers],0),0)</f>
        <v>0</v>
      </c>
      <c r="Q775" s="2">
        <f>VLOOKUP([jobnumber],OvalData[],MATCH(Table2[[#Headers],[Hanging Weight Closed]],Table2[#Headers],0),0)</f>
        <v>795</v>
      </c>
      <c r="R775" s="2">
        <f>VLOOKUP([jobnumber],OvalData[],MATCH(Table2[[#Headers],[Hanging Weight Open]],Table2[#Headers],0),0)</f>
        <v>140</v>
      </c>
      <c r="S775" s="2">
        <f>VLOOKUP([jobnumber],OvalData[],MATCH(Table2[[#Headers],[Initial Lever Arm]],Table2[#Headers],0),0)</f>
        <v>4.25</v>
      </c>
      <c r="T775" s="2">
        <f>VLOOKUP([jobnumber],OvalData[],MATCH(Table2[[#Headers],[Turns to Raise]],Table2[#Headers],0),0)</f>
        <v>3.5859999999999999</v>
      </c>
      <c r="U775" s="2">
        <f>VLOOKUP([jobnumber],OvalData[],MATCH(Table2[[#Headers],[Final Lever Arm]],Table2[#Headers],0),0)</f>
        <v>6.37</v>
      </c>
      <c r="V775" s="2">
        <f>VLOOKUP([jobnumber],OvalData[],MATCH(Table2[[#Headers],[Torque Required Closed]],Table2[#Headers],0),0)</f>
        <v>3377.9</v>
      </c>
      <c r="W775" s="2">
        <f>VLOOKUP([jobnumber],OvalData[],MATCH(Table2[[#Headers],[Torque Required Open]],Table2[#Headers],0),0)</f>
        <v>892</v>
      </c>
      <c r="X775" s="2">
        <f>VLOOKUP([jobnumber],OvalData[],MATCH(Table2[[#Headers],[Pre Turns]],Table2[#Headers],0),0)</f>
        <v>1.3332999999999999</v>
      </c>
      <c r="Y775" s="2">
        <f>VLOOKUP([jobnumber],OvalData[],MATCH(Table2[[#Headers],[Required Torque Per Turn]],Table2[#Headers],0),0)</f>
        <v>688</v>
      </c>
      <c r="Z775" s="2">
        <f>VLOOKUP([jobnumber],OvalData[],MATCH(Table2[[#Headers],[Total Turns]],Table2[#Headers],0),0)</f>
        <v>4.91</v>
      </c>
      <c r="AA775" s="2">
        <f>VLOOKUP([jobnumber],OvalData[],MATCH(Table2[[#Headers],[Grille Vision Section]],Table2[#Headers],0),0)</f>
        <v>0</v>
      </c>
      <c r="AB775" s="2">
        <f>VLOOKUP([jobnumber],OvalData[],MATCH(Table2[[#Headers],[Grille Amount]],Table2[#Headers],0),0)</f>
        <v>0</v>
      </c>
      <c r="AC775" s="2">
        <f>VLOOKUP([jobnumber],OvalData[],MATCH(Table2[[#Headers],[Grille Center]],Table2[#Headers],0),0)</f>
        <v>0</v>
      </c>
      <c r="AD775" s="2">
        <f>VLOOKUP([jobnumber],OvalData[],MATCH(Table2[[#Headers],[Grille Pattern]],Table2[#Headers],0),0)</f>
        <v>0</v>
      </c>
      <c r="AE775" s="2">
        <f>VLOOKUP([jobnumber],OvalData[],MATCH(Table2[[#Headers],[Grille First Tube]],Table2[#Headers],0),0)</f>
        <v>0</v>
      </c>
      <c r="AF775" s="2">
        <f>VLOOKUP([jobnumber],OvalData[],MATCH(Table2[[#Headers],[Grille Standard Tube]],Table2[#Headers],0),0)</f>
        <v>0</v>
      </c>
      <c r="AG775" s="2">
        <f>VLOOKUP([jobnumber],OvalData[],MATCH(Table2[[#Headers],[Grille Total Links]],Table2[#Headers],0),0)</f>
        <v>0</v>
      </c>
      <c r="AH775" s="2">
        <f>VLOOKUP([jobnumber],OvalData[],MATCH(Table2[[#Headers],[Grille Rods]],Table2[#Headers],0),0)</f>
        <v>0</v>
      </c>
      <c r="AI775" s="2">
        <f>VLOOKUP([jobnumber],OvalData[],MATCH(Table2[[#Headers],[Grille Rod Length]],Table2[#Headers],0),0)</f>
        <v>0</v>
      </c>
      <c r="AJ775" s="2">
        <f>VLOOKUP([jobnumber],OvalData[],MATCH(Table2[[#Headers],[slattype]],Table2[#Headers],0),0)</f>
        <v>2</v>
      </c>
      <c r="AK775" s="2">
        <f>VLOOKUP([jobnumber],OvalData[],MATCH(Table2[[#Headers],[slatgage]],Table2[#Headers],0),0)</f>
        <v>18</v>
      </c>
      <c r="AL775" s="2">
        <f>VLOOKUP([jobnumber],OvalData[],MATCH(Table2[[#Headers],[Numer of Top Slats]],Table2[#Headers],0),0)</f>
        <v>0</v>
      </c>
      <c r="AM775" s="2">
        <f>VLOOKUP([jobnumber],OvalData[],MATCH(Table2[[#Headers],[Number of Bottom Slats]],Table2[#Headers],0),0)</f>
        <v>0</v>
      </c>
      <c r="AN775" s="2">
        <f>VLOOKUP([jobnumber],OvalData[],MATCH(Table2[[#Headers],[Solid Bottom Height]],Table2[#Headers],0),0)</f>
        <v>0</v>
      </c>
      <c r="AO775" s="2" t="str">
        <f>VLOOKUP([jobnumber],OvalData[],MATCH(Table2[[#Headers],[slatlength]],Table2[#Headers],0),0)</f>
        <v xml:space="preserve"> 18 ft.- 5 7/ 8"</v>
      </c>
      <c r="AP775" s="2">
        <f>VLOOKUP([jobnumber],OvalData[],MATCH(Table2[[#Headers],[Bottom Slat Length]],Table2[#Headers],0),0)</f>
        <v>0</v>
      </c>
      <c r="AQ775" s="2">
        <f>VLOOKUP([jobnumber],OvalData[],MATCH(Table2[[#Headers],[Number of Perferated Slats]],Table2[#Headers],0),0)</f>
        <v>0</v>
      </c>
      <c r="AR775" s="2">
        <f>VLOOKUP([jobnumber],OvalData[],MATCH(Table2[[#Headers],[First Preferated Slat From End]],Table2[#Headers],0),0)</f>
        <v>0</v>
      </c>
      <c r="AS775" s="2">
        <f>VLOOKUP([jobnumber],OvalData[],MATCH(Table2[[#Headers],[First Preferated Slat From Bottom]],Table2[#Headers],0),0)</f>
        <v>0</v>
      </c>
      <c r="AT775" s="2">
        <f>VLOOKUP([jobnumber],OvalData[],MATCH(Table2[[#Headers],[Total Number of Slats]],Table2[#Headers],0),0)</f>
        <v>51</v>
      </c>
      <c r="AU775" s="2">
        <f>VLOOKUP([jobnumber],OvalData[],MATCH(Table2[[#Headers],[Bottom Bar Slope]],Table2[#Headers],0),0)</f>
        <v>0</v>
      </c>
      <c r="AV775" s="2">
        <f>VLOOKUP([jobnumber],OvalData[],MATCH(Table2[[#Headers],[Bottom Bar Weight]],Table2[#Headers],0),0)</f>
        <v>80.5</v>
      </c>
      <c r="AW775" s="2" t="str">
        <f>VLOOKUP([jobnumber],OvalData[],MATCH(Table2[[#Headers],[Outer Spring Gage]],Table2[#Headers],0),0)</f>
        <v>Null</v>
      </c>
      <c r="AX775" s="2" t="str">
        <f>VLOOKUP([jobnumber],OvalData[],MATCH(Table2[[#Headers],[Outer Spring OD]],Table2[#Headers],0),0)</f>
        <v>Null</v>
      </c>
      <c r="AY775" s="2" t="str">
        <f>VLOOKUP([jobnumber],OvalData[],MATCH(Table2[[#Headers],[Outer Spring Length]],Table2[#Headers],0),0)</f>
        <v>Null</v>
      </c>
      <c r="AZ775" s="2" t="str">
        <f>VLOOKUP([jobnumber],OvalData[],MATCH(Table2[[#Headers],[Outer Spring Stretch]],Table2[#Headers],0),0)</f>
        <v>Null</v>
      </c>
      <c r="BA775" s="2" t="str">
        <f>VLOOKUP([jobnumber],OvalData[],MATCH(Table2[[#Headers],[Outer Spring Torque]],Table2[#Headers],0),0)</f>
        <v>Null</v>
      </c>
      <c r="BB775" s="2" t="str">
        <f>VLOOKUP([jobnumber],OvalData[],MATCH(Table2[[#Headers],[Outer Spring Max Turns]],Table2[#Headers],0),0)</f>
        <v>Null</v>
      </c>
      <c r="BC775" s="2" t="str">
        <f>VLOOKUP([jobnumber],OvalData[],MATCH(Table2[[#Headers],[Outer Spring Weight]],Table2[#Headers],0),0)</f>
        <v>Null</v>
      </c>
      <c r="BD775" s="2" t="str">
        <f>VLOOKUP([jobnumber],OvalData[],MATCH(Table2[[#Headers],[Inner Spring Gage]],Table2[#Headers],0),0)</f>
        <v>Null</v>
      </c>
      <c r="BE775" s="2" t="str">
        <f>VLOOKUP([jobnumber],OvalData[],MATCH(Table2[[#Headers],[Inner Spring OD]],Table2[#Headers],0),0)</f>
        <v>Null</v>
      </c>
      <c r="BF775" s="2" t="str">
        <f>VLOOKUP([jobnumber],OvalData[],MATCH(Table2[[#Headers],[Inner Spring Length]],Table2[#Headers],0),0)</f>
        <v>Null</v>
      </c>
      <c r="BG775" s="2" t="str">
        <f>VLOOKUP([jobnumber],OvalData[],MATCH(Table2[[#Headers],[Inner Spring Stretch]],Table2[#Headers],0),0)</f>
        <v>Null</v>
      </c>
      <c r="BH775" s="2" t="str">
        <f>VLOOKUP([jobnumber],OvalData[],MATCH(Table2[[#Headers],[Inner Spring Torque]],Table2[#Headers],0),0)</f>
        <v>Null</v>
      </c>
      <c r="BI775" s="2" t="str">
        <f>VLOOKUP([jobnumber],OvalData[],MATCH(Table2[[#Headers],[Inner Spring Max Turns]],Table2[#Headers],0),0)</f>
        <v>Null</v>
      </c>
      <c r="BJ775" s="2" t="str">
        <f>VLOOKUP([jobnumber],OvalData[],MATCH(Table2[[#Headers],[Inner Spring Weight]],Table2[#Headers],0),0)</f>
        <v>Null</v>
      </c>
      <c r="BK775" s="2">
        <f>VLOOKUP([jobnumber],OvalData[],MATCH(Table2[[#Headers],[Cycles]],Table2[#Headers],0),0)</f>
        <v>0</v>
      </c>
      <c r="BL775" s="2">
        <f>VLOOKUP([jobnumber],OvalData[],MATCH(Table2[[#Headers],[Total Spring Torque]],Table2[#Headers],0),0)</f>
        <v>0</v>
      </c>
      <c r="BM775" s="2">
        <f>VLOOKUP([jobnumber],OvalData[],MATCH(Table2[[#Headers],[Total Spring Weight]],Table2[#Headers],0),0)</f>
        <v>0</v>
      </c>
      <c r="BN775" s="2">
        <f>VLOOKUP([jobnumber],OvalData[],MATCH(Table2[[#Headers],[Pipe Weight]],Table2[#Headers],0),0)</f>
        <v>688.24239999999998</v>
      </c>
      <c r="BO775" s="2">
        <f>VLOOKUP([jobnumber],OvalData[],MATCH(Table2[[#Headers],[Max Pipe Deflection]],Table2[#Headers],0),0)</f>
        <v>2309</v>
      </c>
      <c r="BP775" s="2">
        <f>VLOOKUP([jobnumber],OvalData[],MATCH(Table2[[#Headers],[Number Non-Insulated Wrap Slats]],Table2[#Headers],0),0)</f>
        <v>0</v>
      </c>
      <c r="BQ775" s="2">
        <f>VLOOKUP([jobnumber],OvalData[],MATCH(Table2[[#Headers],[Number of Insolated Top Slats]],Table2[#Headers],0),0)</f>
        <v>45</v>
      </c>
      <c r="BR775" s="2">
        <f>VLOOKUP([jobnumber],OvalData[],MATCH(Table2[[#Headers],[Insolated Total Slats]],Table2[#Headers],0),0)</f>
        <v>45</v>
      </c>
      <c r="BS775" s="2">
        <f>VLOOKUP([jobnumber],OvalData[],MATCH(Table2[[#Headers],[Number of Slats]],Table2[#Headers],0),0)</f>
        <v>44.69</v>
      </c>
      <c r="BT775" s="2">
        <f>VLOOKUP([jobnumber],OvalData[],MATCH(Table2[[#Headers],[Wrap]],Table2[#Headers],0),0)</f>
        <v>0</v>
      </c>
      <c r="BU775" s="2">
        <f>VLOOKUP([jobnumber],OvalData[],MATCH(Table2[[#Headers],[Wall Angle Thickness]],Table2[#Headers],0),0)</f>
        <v>0</v>
      </c>
      <c r="BV775" s="2">
        <f>VLOOKUP([jobnumber],OvalData[],MATCH(Table2[[#Headers],[windlocks]],Table2[#Headers],0),0)</f>
        <v>0</v>
      </c>
      <c r="BW775" s="2" t="str">
        <f>VLOOKUP([jobnumber],OvalData[],MATCH(Table2[[#Headers],[bottombartype]],Table2[#Headers],0),0)</f>
        <v>SPECIAL</v>
      </c>
      <c r="BX775" s="2">
        <f>VLOOKUP([jobnumber],OvalData[],MATCH(Table2[[#Headers],[endlockweight]],Table2[#Headers],0),0)</f>
        <v>0.17</v>
      </c>
      <c r="BY775" s="2">
        <f>VLOOKUP([jobnumber],OvalData[],MATCH(Table2[[#Headers],[Endlock Total Weight]],Table2[#Headers],0),0)</f>
        <v>7.5972999999999997</v>
      </c>
      <c r="BZ775" s="2">
        <f>VLOOKUP([jobnumber],OvalData[],MATCH(Table2[[#Headers],[Grille Weight]],Table2[#Headers],0),0)</f>
        <v>0</v>
      </c>
      <c r="CA775" s="2">
        <f>VLOOKUP([jobnumber],OvalData[],MATCH(Table2[[#Headers],[barrelrings]],Table2[#Headers],0),0)</f>
        <v>1</v>
      </c>
    </row>
    <row r="776" spans="2:79">
      <c r="B776" s="2" t="str">
        <f>VLOOKUP([jobnumber],OvalData[],MATCH(Table2[[#Headers],[Hand]],Table2[#Headers],0),0)</f>
        <v>RH</v>
      </c>
      <c r="C776" s="2" t="str">
        <f>VLOOKUP([jobnumber],OvalData[],MATCH(Table2[[#Headers],[Model]],Table2[#Headers],0),0)</f>
        <v>SFMPP</v>
      </c>
      <c r="D776" s="2" t="str">
        <f>VLOOKUP([jobnumber],OvalData[],MATCH(Table2[[#Headers],[width]],Table2[#Headers],0),0)</f>
        <v xml:space="preserve"> 18 ft.- 2"</v>
      </c>
      <c r="E776" s="2" t="str">
        <f>VLOOKUP([jobnumber],OvalData[],MATCH(Table2[[#Headers],[stopheight]],Table2[#Headers],0),0)</f>
        <v xml:space="preserve"> 10 ft.- 0"</v>
      </c>
      <c r="F776" s="2" t="str">
        <f>VLOOKUP([jobnumber],OvalData[],MATCH(Table2[[#Headers],[Between Brackets]],Table2[#Headers],0),0)</f>
        <v xml:space="preserve"> 18 ft.- 7 7/ 8"</v>
      </c>
      <c r="G776" s="2" t="str">
        <f>VLOOKUP([jobnumber],OvalData[],MATCH(Table2[[#Headers],[shell]],Table2[#Headers],0),0)</f>
        <v>6 INCH TUBE</v>
      </c>
      <c r="H776" s="2" t="str">
        <f>VLOOKUP([jobnumber],OvalData[],MATCH(Table2[[#Headers],[pipewidth]],Table2[#Headers],0),0)</f>
        <v xml:space="preserve"> 18 ft.- 1 3/ 8"</v>
      </c>
      <c r="I776" s="2">
        <f>VLOOKUP([jobnumber],OvalData[],MATCH(Table2[[#Headers],[Support Tubes]],Table2[#Headers],0),0)</f>
        <v>0</v>
      </c>
      <c r="J776" s="2">
        <f>VLOOKUP([jobnumber],OvalData[],MATCH(Table2[[#Headers],[Upset]],Table2[#Headers],0),0)</f>
        <v>2</v>
      </c>
      <c r="K776" s="2" t="str">
        <f>VLOOKUP([jobnumber],OvalData[],MATCH(Table2[[#Headers],[Guide Type]],Table2[#Headers],0),0)</f>
        <v>SN2-4 5/8-E</v>
      </c>
      <c r="L776" s="2" t="str">
        <f>VLOOKUP([jobnumber],OvalData[],MATCH(Table2[[#Headers],[Wall Angle]],Table2[#Headers],0),0)</f>
        <v xml:space="preserve"> 11 ft.- 8"</v>
      </c>
      <c r="M776" s="2" t="str">
        <f>VLOOKUP([jobnumber],OvalData[],MATCH(Table2[[#Headers],[Middle Angle]],Table2[#Headers],0),0)</f>
        <v xml:space="preserve"> 10 ft.- 4 1/ 2"</v>
      </c>
      <c r="N776" s="2" t="str">
        <f>VLOOKUP([jobnumber],OvalData[],MATCH(Table2[[#Headers],[Front Angle]],Table2[#Headers],0),0)</f>
        <v xml:space="preserve"> 10 ft.- 3"</v>
      </c>
      <c r="O776" s="2">
        <f>VLOOKUP([jobnumber],OvalData[],MATCH(Table2[[#Headers],[Pipe Center Line]],Table2[#Headers],0),0)</f>
        <v>131</v>
      </c>
      <c r="P776" s="2">
        <f>VLOOKUP([jobnumber],OvalData[],MATCH(Table2[[#Headers],[Heat Expansion Gap]],Table2[#Headers],0),0)</f>
        <v>0</v>
      </c>
      <c r="Q776" s="2">
        <f>VLOOKUP([jobnumber],OvalData[],MATCH(Table2[[#Headers],[Hanging Weight Closed]],Table2[#Headers],0),0)</f>
        <v>795</v>
      </c>
      <c r="R776" s="2">
        <f>VLOOKUP([jobnumber],OvalData[],MATCH(Table2[[#Headers],[Hanging Weight Open]],Table2[#Headers],0),0)</f>
        <v>140</v>
      </c>
      <c r="S776" s="2">
        <f>VLOOKUP([jobnumber],OvalData[],MATCH(Table2[[#Headers],[Initial Lever Arm]],Table2[#Headers],0),0)</f>
        <v>4.25</v>
      </c>
      <c r="T776" s="2">
        <f>VLOOKUP([jobnumber],OvalData[],MATCH(Table2[[#Headers],[Turns to Raise]],Table2[#Headers],0),0)</f>
        <v>3.5859999999999999</v>
      </c>
      <c r="U776" s="2">
        <f>VLOOKUP([jobnumber],OvalData[],MATCH(Table2[[#Headers],[Final Lever Arm]],Table2[#Headers],0),0)</f>
        <v>6.37</v>
      </c>
      <c r="V776" s="2">
        <f>VLOOKUP([jobnumber],OvalData[],MATCH(Table2[[#Headers],[Torque Required Closed]],Table2[#Headers],0),0)</f>
        <v>3377.9</v>
      </c>
      <c r="W776" s="2">
        <f>VLOOKUP([jobnumber],OvalData[],MATCH(Table2[[#Headers],[Torque Required Open]],Table2[#Headers],0),0)</f>
        <v>892</v>
      </c>
      <c r="X776" s="2">
        <f>VLOOKUP([jobnumber],OvalData[],MATCH(Table2[[#Headers],[Pre Turns]],Table2[#Headers],0),0)</f>
        <v>1.3332999999999999</v>
      </c>
      <c r="Y776" s="2">
        <f>VLOOKUP([jobnumber],OvalData[],MATCH(Table2[[#Headers],[Required Torque Per Turn]],Table2[#Headers],0),0)</f>
        <v>688</v>
      </c>
      <c r="Z776" s="2">
        <f>VLOOKUP([jobnumber],OvalData[],MATCH(Table2[[#Headers],[Total Turns]],Table2[#Headers],0),0)</f>
        <v>4.91</v>
      </c>
      <c r="AA776" s="2">
        <f>VLOOKUP([jobnumber],OvalData[],MATCH(Table2[[#Headers],[Grille Vision Section]],Table2[#Headers],0),0)</f>
        <v>0</v>
      </c>
      <c r="AB776" s="2">
        <f>VLOOKUP([jobnumber],OvalData[],MATCH(Table2[[#Headers],[Grille Amount]],Table2[#Headers],0),0)</f>
        <v>0</v>
      </c>
      <c r="AC776" s="2">
        <f>VLOOKUP([jobnumber],OvalData[],MATCH(Table2[[#Headers],[Grille Center]],Table2[#Headers],0),0)</f>
        <v>0</v>
      </c>
      <c r="AD776" s="2">
        <f>VLOOKUP([jobnumber],OvalData[],MATCH(Table2[[#Headers],[Grille Pattern]],Table2[#Headers],0),0)</f>
        <v>0</v>
      </c>
      <c r="AE776" s="2">
        <f>VLOOKUP([jobnumber],OvalData[],MATCH(Table2[[#Headers],[Grille First Tube]],Table2[#Headers],0),0)</f>
        <v>0</v>
      </c>
      <c r="AF776" s="2">
        <f>VLOOKUP([jobnumber],OvalData[],MATCH(Table2[[#Headers],[Grille Standard Tube]],Table2[#Headers],0),0)</f>
        <v>0</v>
      </c>
      <c r="AG776" s="2">
        <f>VLOOKUP([jobnumber],OvalData[],MATCH(Table2[[#Headers],[Grille Total Links]],Table2[#Headers],0),0)</f>
        <v>0</v>
      </c>
      <c r="AH776" s="2">
        <f>VLOOKUP([jobnumber],OvalData[],MATCH(Table2[[#Headers],[Grille Rods]],Table2[#Headers],0),0)</f>
        <v>0</v>
      </c>
      <c r="AI776" s="2">
        <f>VLOOKUP([jobnumber],OvalData[],MATCH(Table2[[#Headers],[Grille Rod Length]],Table2[#Headers],0),0)</f>
        <v>0</v>
      </c>
      <c r="AJ776" s="2">
        <f>VLOOKUP([jobnumber],OvalData[],MATCH(Table2[[#Headers],[slattype]],Table2[#Headers],0),0)</f>
        <v>2</v>
      </c>
      <c r="AK776" s="2">
        <f>VLOOKUP([jobnumber],OvalData[],MATCH(Table2[[#Headers],[slatgage]],Table2[#Headers],0),0)</f>
        <v>18</v>
      </c>
      <c r="AL776" s="2">
        <f>VLOOKUP([jobnumber],OvalData[],MATCH(Table2[[#Headers],[Numer of Top Slats]],Table2[#Headers],0),0)</f>
        <v>0</v>
      </c>
      <c r="AM776" s="2">
        <f>VLOOKUP([jobnumber],OvalData[],MATCH(Table2[[#Headers],[Number of Bottom Slats]],Table2[#Headers],0),0)</f>
        <v>0</v>
      </c>
      <c r="AN776" s="2">
        <f>VLOOKUP([jobnumber],OvalData[],MATCH(Table2[[#Headers],[Solid Bottom Height]],Table2[#Headers],0),0)</f>
        <v>0</v>
      </c>
      <c r="AO776" s="2" t="str">
        <f>VLOOKUP([jobnumber],OvalData[],MATCH(Table2[[#Headers],[slatlength]],Table2[#Headers],0),0)</f>
        <v xml:space="preserve"> 18 ft.- 5 7/ 8"</v>
      </c>
      <c r="AP776" s="2">
        <f>VLOOKUP([jobnumber],OvalData[],MATCH(Table2[[#Headers],[Bottom Slat Length]],Table2[#Headers],0),0)</f>
        <v>0</v>
      </c>
      <c r="AQ776" s="2">
        <f>VLOOKUP([jobnumber],OvalData[],MATCH(Table2[[#Headers],[Number of Perferated Slats]],Table2[#Headers],0),0)</f>
        <v>0</v>
      </c>
      <c r="AR776" s="2">
        <f>VLOOKUP([jobnumber],OvalData[],MATCH(Table2[[#Headers],[First Preferated Slat From End]],Table2[#Headers],0),0)</f>
        <v>0</v>
      </c>
      <c r="AS776" s="2">
        <f>VLOOKUP([jobnumber],OvalData[],MATCH(Table2[[#Headers],[First Preferated Slat From Bottom]],Table2[#Headers],0),0)</f>
        <v>0</v>
      </c>
      <c r="AT776" s="2">
        <f>VLOOKUP([jobnumber],OvalData[],MATCH(Table2[[#Headers],[Total Number of Slats]],Table2[#Headers],0),0)</f>
        <v>51</v>
      </c>
      <c r="AU776" s="2">
        <f>VLOOKUP([jobnumber],OvalData[],MATCH(Table2[[#Headers],[Bottom Bar Slope]],Table2[#Headers],0),0)</f>
        <v>0</v>
      </c>
      <c r="AV776" s="2">
        <f>VLOOKUP([jobnumber],OvalData[],MATCH(Table2[[#Headers],[Bottom Bar Weight]],Table2[#Headers],0),0)</f>
        <v>80.5</v>
      </c>
      <c r="AW776" s="2" t="str">
        <f>VLOOKUP([jobnumber],OvalData[],MATCH(Table2[[#Headers],[Outer Spring Gage]],Table2[#Headers],0),0)</f>
        <v>Null</v>
      </c>
      <c r="AX776" s="2" t="str">
        <f>VLOOKUP([jobnumber],OvalData[],MATCH(Table2[[#Headers],[Outer Spring OD]],Table2[#Headers],0),0)</f>
        <v>Null</v>
      </c>
      <c r="AY776" s="2" t="str">
        <f>VLOOKUP([jobnumber],OvalData[],MATCH(Table2[[#Headers],[Outer Spring Length]],Table2[#Headers],0),0)</f>
        <v>Null</v>
      </c>
      <c r="AZ776" s="2" t="str">
        <f>VLOOKUP([jobnumber],OvalData[],MATCH(Table2[[#Headers],[Outer Spring Stretch]],Table2[#Headers],0),0)</f>
        <v>Null</v>
      </c>
      <c r="BA776" s="2" t="str">
        <f>VLOOKUP([jobnumber],OvalData[],MATCH(Table2[[#Headers],[Outer Spring Torque]],Table2[#Headers],0),0)</f>
        <v>Null</v>
      </c>
      <c r="BB776" s="2" t="str">
        <f>VLOOKUP([jobnumber],OvalData[],MATCH(Table2[[#Headers],[Outer Spring Max Turns]],Table2[#Headers],0),0)</f>
        <v>Null</v>
      </c>
      <c r="BC776" s="2" t="str">
        <f>VLOOKUP([jobnumber],OvalData[],MATCH(Table2[[#Headers],[Outer Spring Weight]],Table2[#Headers],0),0)</f>
        <v>Null</v>
      </c>
      <c r="BD776" s="2" t="str">
        <f>VLOOKUP([jobnumber],OvalData[],MATCH(Table2[[#Headers],[Inner Spring Gage]],Table2[#Headers],0),0)</f>
        <v>Null</v>
      </c>
      <c r="BE776" s="2" t="str">
        <f>VLOOKUP([jobnumber],OvalData[],MATCH(Table2[[#Headers],[Inner Spring OD]],Table2[#Headers],0),0)</f>
        <v>Null</v>
      </c>
      <c r="BF776" s="2" t="str">
        <f>VLOOKUP([jobnumber],OvalData[],MATCH(Table2[[#Headers],[Inner Spring Length]],Table2[#Headers],0),0)</f>
        <v>Null</v>
      </c>
      <c r="BG776" s="2" t="str">
        <f>VLOOKUP([jobnumber],OvalData[],MATCH(Table2[[#Headers],[Inner Spring Stretch]],Table2[#Headers],0),0)</f>
        <v>Null</v>
      </c>
      <c r="BH776" s="2" t="str">
        <f>VLOOKUP([jobnumber],OvalData[],MATCH(Table2[[#Headers],[Inner Spring Torque]],Table2[#Headers],0),0)</f>
        <v>Null</v>
      </c>
      <c r="BI776" s="2" t="str">
        <f>VLOOKUP([jobnumber],OvalData[],MATCH(Table2[[#Headers],[Inner Spring Max Turns]],Table2[#Headers],0),0)</f>
        <v>Null</v>
      </c>
      <c r="BJ776" s="2" t="str">
        <f>VLOOKUP([jobnumber],OvalData[],MATCH(Table2[[#Headers],[Inner Spring Weight]],Table2[#Headers],0),0)</f>
        <v>Null</v>
      </c>
      <c r="BK776" s="2">
        <f>VLOOKUP([jobnumber],OvalData[],MATCH(Table2[[#Headers],[Cycles]],Table2[#Headers],0),0)</f>
        <v>0</v>
      </c>
      <c r="BL776" s="2">
        <f>VLOOKUP([jobnumber],OvalData[],MATCH(Table2[[#Headers],[Total Spring Torque]],Table2[#Headers],0),0)</f>
        <v>0</v>
      </c>
      <c r="BM776" s="2">
        <f>VLOOKUP([jobnumber],OvalData[],MATCH(Table2[[#Headers],[Total Spring Weight]],Table2[#Headers],0),0)</f>
        <v>0</v>
      </c>
      <c r="BN776" s="2">
        <f>VLOOKUP([jobnumber],OvalData[],MATCH(Table2[[#Headers],[Pipe Weight]],Table2[#Headers],0),0)</f>
        <v>688.24239999999998</v>
      </c>
      <c r="BO776" s="2">
        <f>VLOOKUP([jobnumber],OvalData[],MATCH(Table2[[#Headers],[Max Pipe Deflection]],Table2[#Headers],0),0)</f>
        <v>2309</v>
      </c>
      <c r="BP776" s="2">
        <f>VLOOKUP([jobnumber],OvalData[],MATCH(Table2[[#Headers],[Number Non-Insulated Wrap Slats]],Table2[#Headers],0),0)</f>
        <v>0</v>
      </c>
      <c r="BQ776" s="2">
        <f>VLOOKUP([jobnumber],OvalData[],MATCH(Table2[[#Headers],[Number of Insolated Top Slats]],Table2[#Headers],0),0)</f>
        <v>45</v>
      </c>
      <c r="BR776" s="2">
        <f>VLOOKUP([jobnumber],OvalData[],MATCH(Table2[[#Headers],[Insolated Total Slats]],Table2[#Headers],0),0)</f>
        <v>45</v>
      </c>
      <c r="BS776" s="2">
        <f>VLOOKUP([jobnumber],OvalData[],MATCH(Table2[[#Headers],[Number of Slats]],Table2[#Headers],0),0)</f>
        <v>44.69</v>
      </c>
      <c r="BT776" s="2">
        <f>VLOOKUP([jobnumber],OvalData[],MATCH(Table2[[#Headers],[Wrap]],Table2[#Headers],0),0)</f>
        <v>0</v>
      </c>
      <c r="BU776" s="2">
        <f>VLOOKUP([jobnumber],OvalData[],MATCH(Table2[[#Headers],[Wall Angle Thickness]],Table2[#Headers],0),0)</f>
        <v>0</v>
      </c>
      <c r="BV776" s="2">
        <f>VLOOKUP([jobnumber],OvalData[],MATCH(Table2[[#Headers],[windlocks]],Table2[#Headers],0),0)</f>
        <v>0</v>
      </c>
      <c r="BW776" s="2" t="str">
        <f>VLOOKUP([jobnumber],OvalData[],MATCH(Table2[[#Headers],[bottombartype]],Table2[#Headers],0),0)</f>
        <v>SPECIAL</v>
      </c>
      <c r="BX776" s="2">
        <f>VLOOKUP([jobnumber],OvalData[],MATCH(Table2[[#Headers],[endlockweight]],Table2[#Headers],0),0)</f>
        <v>0.17</v>
      </c>
      <c r="BY776" s="2">
        <f>VLOOKUP([jobnumber],OvalData[],MATCH(Table2[[#Headers],[Endlock Total Weight]],Table2[#Headers],0),0)</f>
        <v>7.5972999999999997</v>
      </c>
      <c r="BZ776" s="2">
        <f>VLOOKUP([jobnumber],OvalData[],MATCH(Table2[[#Headers],[Grille Weight]],Table2[#Headers],0),0)</f>
        <v>0</v>
      </c>
      <c r="CA776" s="2">
        <f>VLOOKUP([jobnumber],OvalData[],MATCH(Table2[[#Headers],[barrelrings]],Table2[#Headers],0),0)</f>
        <v>1</v>
      </c>
    </row>
    <row r="777" spans="2:79">
      <c r="B777" s="2" t="str">
        <f>VLOOKUP([jobnumber],OvalData[],MATCH(Table2[[#Headers],[Hand]],Table2[#Headers],0),0)</f>
        <v>RH</v>
      </c>
      <c r="C777" s="2" t="str">
        <f>VLOOKUP([jobnumber],OvalData[],MATCH(Table2[[#Headers],[Model]],Table2[#Headers],0),0)</f>
        <v>SFMPP</v>
      </c>
      <c r="D777" s="2" t="str">
        <f>VLOOKUP([jobnumber],OvalData[],MATCH(Table2[[#Headers],[width]],Table2[#Headers],0),0)</f>
        <v xml:space="preserve"> 18 ft.- 2"</v>
      </c>
      <c r="E777" s="2" t="str">
        <f>VLOOKUP([jobnumber],OvalData[],MATCH(Table2[[#Headers],[stopheight]],Table2[#Headers],0),0)</f>
        <v xml:space="preserve"> 10 ft.- 0"</v>
      </c>
      <c r="F777" s="2" t="str">
        <f>VLOOKUP([jobnumber],OvalData[],MATCH(Table2[[#Headers],[Between Brackets]],Table2[#Headers],0),0)</f>
        <v xml:space="preserve"> 18 ft.- 7 7/ 8"</v>
      </c>
      <c r="G777" s="2" t="str">
        <f>VLOOKUP([jobnumber],OvalData[],MATCH(Table2[[#Headers],[shell]],Table2[#Headers],0),0)</f>
        <v>6 INCH TUBE</v>
      </c>
      <c r="H777" s="2" t="str">
        <f>VLOOKUP([jobnumber],OvalData[],MATCH(Table2[[#Headers],[pipewidth]],Table2[#Headers],0),0)</f>
        <v xml:space="preserve"> 18 ft.- 1 3/ 8"</v>
      </c>
      <c r="I777" s="2">
        <f>VLOOKUP([jobnumber],OvalData[],MATCH(Table2[[#Headers],[Support Tubes]],Table2[#Headers],0),0)</f>
        <v>0</v>
      </c>
      <c r="J777" s="2">
        <f>VLOOKUP([jobnumber],OvalData[],MATCH(Table2[[#Headers],[Upset]],Table2[#Headers],0),0)</f>
        <v>2</v>
      </c>
      <c r="K777" s="2" t="str">
        <f>VLOOKUP([jobnumber],OvalData[],MATCH(Table2[[#Headers],[Guide Type]],Table2[#Headers],0),0)</f>
        <v>SN2-4 5/8-E</v>
      </c>
      <c r="L777" s="2" t="str">
        <f>VLOOKUP([jobnumber],OvalData[],MATCH(Table2[[#Headers],[Wall Angle]],Table2[#Headers],0),0)</f>
        <v xml:space="preserve"> 11 ft.- 8"</v>
      </c>
      <c r="M777" s="2" t="str">
        <f>VLOOKUP([jobnumber],OvalData[],MATCH(Table2[[#Headers],[Middle Angle]],Table2[#Headers],0),0)</f>
        <v xml:space="preserve"> 10 ft.- 4 1/ 2"</v>
      </c>
      <c r="N777" s="2" t="str">
        <f>VLOOKUP([jobnumber],OvalData[],MATCH(Table2[[#Headers],[Front Angle]],Table2[#Headers],0),0)</f>
        <v xml:space="preserve"> 10 ft.- 3"</v>
      </c>
      <c r="O777" s="2">
        <f>VLOOKUP([jobnumber],OvalData[],MATCH(Table2[[#Headers],[Pipe Center Line]],Table2[#Headers],0),0)</f>
        <v>131</v>
      </c>
      <c r="P777" s="2">
        <f>VLOOKUP([jobnumber],OvalData[],MATCH(Table2[[#Headers],[Heat Expansion Gap]],Table2[#Headers],0),0)</f>
        <v>0</v>
      </c>
      <c r="Q777" s="2">
        <f>VLOOKUP([jobnumber],OvalData[],MATCH(Table2[[#Headers],[Hanging Weight Closed]],Table2[#Headers],0),0)</f>
        <v>795</v>
      </c>
      <c r="R777" s="2">
        <f>VLOOKUP([jobnumber],OvalData[],MATCH(Table2[[#Headers],[Hanging Weight Open]],Table2[#Headers],0),0)</f>
        <v>140</v>
      </c>
      <c r="S777" s="2">
        <f>VLOOKUP([jobnumber],OvalData[],MATCH(Table2[[#Headers],[Initial Lever Arm]],Table2[#Headers],0),0)</f>
        <v>4.25</v>
      </c>
      <c r="T777" s="2">
        <f>VLOOKUP([jobnumber],OvalData[],MATCH(Table2[[#Headers],[Turns to Raise]],Table2[#Headers],0),0)</f>
        <v>3.5859999999999999</v>
      </c>
      <c r="U777" s="2">
        <f>VLOOKUP([jobnumber],OvalData[],MATCH(Table2[[#Headers],[Final Lever Arm]],Table2[#Headers],0),0)</f>
        <v>6.37</v>
      </c>
      <c r="V777" s="2">
        <f>VLOOKUP([jobnumber],OvalData[],MATCH(Table2[[#Headers],[Torque Required Closed]],Table2[#Headers],0),0)</f>
        <v>3377.9</v>
      </c>
      <c r="W777" s="2">
        <f>VLOOKUP([jobnumber],OvalData[],MATCH(Table2[[#Headers],[Torque Required Open]],Table2[#Headers],0),0)</f>
        <v>892</v>
      </c>
      <c r="X777" s="2">
        <f>VLOOKUP([jobnumber],OvalData[],MATCH(Table2[[#Headers],[Pre Turns]],Table2[#Headers],0),0)</f>
        <v>1.3332999999999999</v>
      </c>
      <c r="Y777" s="2">
        <f>VLOOKUP([jobnumber],OvalData[],MATCH(Table2[[#Headers],[Required Torque Per Turn]],Table2[#Headers],0),0)</f>
        <v>688</v>
      </c>
      <c r="Z777" s="2">
        <f>VLOOKUP([jobnumber],OvalData[],MATCH(Table2[[#Headers],[Total Turns]],Table2[#Headers],0),0)</f>
        <v>4.91</v>
      </c>
      <c r="AA777" s="2">
        <f>VLOOKUP([jobnumber],OvalData[],MATCH(Table2[[#Headers],[Grille Vision Section]],Table2[#Headers],0),0)</f>
        <v>0</v>
      </c>
      <c r="AB777" s="2">
        <f>VLOOKUP([jobnumber],OvalData[],MATCH(Table2[[#Headers],[Grille Amount]],Table2[#Headers],0),0)</f>
        <v>0</v>
      </c>
      <c r="AC777" s="2">
        <f>VLOOKUP([jobnumber],OvalData[],MATCH(Table2[[#Headers],[Grille Center]],Table2[#Headers],0),0)</f>
        <v>0</v>
      </c>
      <c r="AD777" s="2">
        <f>VLOOKUP([jobnumber],OvalData[],MATCH(Table2[[#Headers],[Grille Pattern]],Table2[#Headers],0),0)</f>
        <v>0</v>
      </c>
      <c r="AE777" s="2">
        <f>VLOOKUP([jobnumber],OvalData[],MATCH(Table2[[#Headers],[Grille First Tube]],Table2[#Headers],0),0)</f>
        <v>0</v>
      </c>
      <c r="AF777" s="2">
        <f>VLOOKUP([jobnumber],OvalData[],MATCH(Table2[[#Headers],[Grille Standard Tube]],Table2[#Headers],0),0)</f>
        <v>0</v>
      </c>
      <c r="AG777" s="2">
        <f>VLOOKUP([jobnumber],OvalData[],MATCH(Table2[[#Headers],[Grille Total Links]],Table2[#Headers],0),0)</f>
        <v>0</v>
      </c>
      <c r="AH777" s="2">
        <f>VLOOKUP([jobnumber],OvalData[],MATCH(Table2[[#Headers],[Grille Rods]],Table2[#Headers],0),0)</f>
        <v>0</v>
      </c>
      <c r="AI777" s="2">
        <f>VLOOKUP([jobnumber],OvalData[],MATCH(Table2[[#Headers],[Grille Rod Length]],Table2[#Headers],0),0)</f>
        <v>0</v>
      </c>
      <c r="AJ777" s="2">
        <f>VLOOKUP([jobnumber],OvalData[],MATCH(Table2[[#Headers],[slattype]],Table2[#Headers],0),0)</f>
        <v>2</v>
      </c>
      <c r="AK777" s="2">
        <f>VLOOKUP([jobnumber],OvalData[],MATCH(Table2[[#Headers],[slatgage]],Table2[#Headers],0),0)</f>
        <v>18</v>
      </c>
      <c r="AL777" s="2">
        <f>VLOOKUP([jobnumber],OvalData[],MATCH(Table2[[#Headers],[Numer of Top Slats]],Table2[#Headers],0),0)</f>
        <v>0</v>
      </c>
      <c r="AM777" s="2">
        <f>VLOOKUP([jobnumber],OvalData[],MATCH(Table2[[#Headers],[Number of Bottom Slats]],Table2[#Headers],0),0)</f>
        <v>0</v>
      </c>
      <c r="AN777" s="2">
        <f>VLOOKUP([jobnumber],OvalData[],MATCH(Table2[[#Headers],[Solid Bottom Height]],Table2[#Headers],0),0)</f>
        <v>0</v>
      </c>
      <c r="AO777" s="2" t="str">
        <f>VLOOKUP([jobnumber],OvalData[],MATCH(Table2[[#Headers],[slatlength]],Table2[#Headers],0),0)</f>
        <v xml:space="preserve"> 18 ft.- 5 7/ 8"</v>
      </c>
      <c r="AP777" s="2">
        <f>VLOOKUP([jobnumber],OvalData[],MATCH(Table2[[#Headers],[Bottom Slat Length]],Table2[#Headers],0),0)</f>
        <v>0</v>
      </c>
      <c r="AQ777" s="2">
        <f>VLOOKUP([jobnumber],OvalData[],MATCH(Table2[[#Headers],[Number of Perferated Slats]],Table2[#Headers],0),0)</f>
        <v>0</v>
      </c>
      <c r="AR777" s="2">
        <f>VLOOKUP([jobnumber],OvalData[],MATCH(Table2[[#Headers],[First Preferated Slat From End]],Table2[#Headers],0),0)</f>
        <v>0</v>
      </c>
      <c r="AS777" s="2">
        <f>VLOOKUP([jobnumber],OvalData[],MATCH(Table2[[#Headers],[First Preferated Slat From Bottom]],Table2[#Headers],0),0)</f>
        <v>0</v>
      </c>
      <c r="AT777" s="2">
        <f>VLOOKUP([jobnumber],OvalData[],MATCH(Table2[[#Headers],[Total Number of Slats]],Table2[#Headers],0),0)</f>
        <v>51</v>
      </c>
      <c r="AU777" s="2">
        <f>VLOOKUP([jobnumber],OvalData[],MATCH(Table2[[#Headers],[Bottom Bar Slope]],Table2[#Headers],0),0)</f>
        <v>0</v>
      </c>
      <c r="AV777" s="2">
        <f>VLOOKUP([jobnumber],OvalData[],MATCH(Table2[[#Headers],[Bottom Bar Weight]],Table2[#Headers],0),0)</f>
        <v>80.5</v>
      </c>
      <c r="AW777" s="2" t="str">
        <f>VLOOKUP([jobnumber],OvalData[],MATCH(Table2[[#Headers],[Outer Spring Gage]],Table2[#Headers],0),0)</f>
        <v>Null</v>
      </c>
      <c r="AX777" s="2" t="str">
        <f>VLOOKUP([jobnumber],OvalData[],MATCH(Table2[[#Headers],[Outer Spring OD]],Table2[#Headers],0),0)</f>
        <v>Null</v>
      </c>
      <c r="AY777" s="2" t="str">
        <f>VLOOKUP([jobnumber],OvalData[],MATCH(Table2[[#Headers],[Outer Spring Length]],Table2[#Headers],0),0)</f>
        <v>Null</v>
      </c>
      <c r="AZ777" s="2" t="str">
        <f>VLOOKUP([jobnumber],OvalData[],MATCH(Table2[[#Headers],[Outer Spring Stretch]],Table2[#Headers],0),0)</f>
        <v>Null</v>
      </c>
      <c r="BA777" s="2" t="str">
        <f>VLOOKUP([jobnumber],OvalData[],MATCH(Table2[[#Headers],[Outer Spring Torque]],Table2[#Headers],0),0)</f>
        <v>Null</v>
      </c>
      <c r="BB777" s="2" t="str">
        <f>VLOOKUP([jobnumber],OvalData[],MATCH(Table2[[#Headers],[Outer Spring Max Turns]],Table2[#Headers],0),0)</f>
        <v>Null</v>
      </c>
      <c r="BC777" s="2" t="str">
        <f>VLOOKUP([jobnumber],OvalData[],MATCH(Table2[[#Headers],[Outer Spring Weight]],Table2[#Headers],0),0)</f>
        <v>Null</v>
      </c>
      <c r="BD777" s="2" t="str">
        <f>VLOOKUP([jobnumber],OvalData[],MATCH(Table2[[#Headers],[Inner Spring Gage]],Table2[#Headers],0),0)</f>
        <v>Null</v>
      </c>
      <c r="BE777" s="2" t="str">
        <f>VLOOKUP([jobnumber],OvalData[],MATCH(Table2[[#Headers],[Inner Spring OD]],Table2[#Headers],0),0)</f>
        <v>Null</v>
      </c>
      <c r="BF777" s="2" t="str">
        <f>VLOOKUP([jobnumber],OvalData[],MATCH(Table2[[#Headers],[Inner Spring Length]],Table2[#Headers],0),0)</f>
        <v>Null</v>
      </c>
      <c r="BG777" s="2" t="str">
        <f>VLOOKUP([jobnumber],OvalData[],MATCH(Table2[[#Headers],[Inner Spring Stretch]],Table2[#Headers],0),0)</f>
        <v>Null</v>
      </c>
      <c r="BH777" s="2" t="str">
        <f>VLOOKUP([jobnumber],OvalData[],MATCH(Table2[[#Headers],[Inner Spring Torque]],Table2[#Headers],0),0)</f>
        <v>Null</v>
      </c>
      <c r="BI777" s="2" t="str">
        <f>VLOOKUP([jobnumber],OvalData[],MATCH(Table2[[#Headers],[Inner Spring Max Turns]],Table2[#Headers],0),0)</f>
        <v>Null</v>
      </c>
      <c r="BJ777" s="2" t="str">
        <f>VLOOKUP([jobnumber],OvalData[],MATCH(Table2[[#Headers],[Inner Spring Weight]],Table2[#Headers],0),0)</f>
        <v>Null</v>
      </c>
      <c r="BK777" s="2">
        <f>VLOOKUP([jobnumber],OvalData[],MATCH(Table2[[#Headers],[Cycles]],Table2[#Headers],0),0)</f>
        <v>0</v>
      </c>
      <c r="BL777" s="2">
        <f>VLOOKUP([jobnumber],OvalData[],MATCH(Table2[[#Headers],[Total Spring Torque]],Table2[#Headers],0),0)</f>
        <v>0</v>
      </c>
      <c r="BM777" s="2">
        <f>VLOOKUP([jobnumber],OvalData[],MATCH(Table2[[#Headers],[Total Spring Weight]],Table2[#Headers],0),0)</f>
        <v>0</v>
      </c>
      <c r="BN777" s="2">
        <f>VLOOKUP([jobnumber],OvalData[],MATCH(Table2[[#Headers],[Pipe Weight]],Table2[#Headers],0),0)</f>
        <v>688.24239999999998</v>
      </c>
      <c r="BO777" s="2">
        <f>VLOOKUP([jobnumber],OvalData[],MATCH(Table2[[#Headers],[Max Pipe Deflection]],Table2[#Headers],0),0)</f>
        <v>2309</v>
      </c>
      <c r="BP777" s="2">
        <f>VLOOKUP([jobnumber],OvalData[],MATCH(Table2[[#Headers],[Number Non-Insulated Wrap Slats]],Table2[#Headers],0),0)</f>
        <v>0</v>
      </c>
      <c r="BQ777" s="2">
        <f>VLOOKUP([jobnumber],OvalData[],MATCH(Table2[[#Headers],[Number of Insolated Top Slats]],Table2[#Headers],0),0)</f>
        <v>45</v>
      </c>
      <c r="BR777" s="2">
        <f>VLOOKUP([jobnumber],OvalData[],MATCH(Table2[[#Headers],[Insolated Total Slats]],Table2[#Headers],0),0)</f>
        <v>45</v>
      </c>
      <c r="BS777" s="2">
        <f>VLOOKUP([jobnumber],OvalData[],MATCH(Table2[[#Headers],[Number of Slats]],Table2[#Headers],0),0)</f>
        <v>44.69</v>
      </c>
      <c r="BT777" s="2">
        <f>VLOOKUP([jobnumber],OvalData[],MATCH(Table2[[#Headers],[Wrap]],Table2[#Headers],0),0)</f>
        <v>0</v>
      </c>
      <c r="BU777" s="2">
        <f>VLOOKUP([jobnumber],OvalData[],MATCH(Table2[[#Headers],[Wall Angle Thickness]],Table2[#Headers],0),0)</f>
        <v>0</v>
      </c>
      <c r="BV777" s="2">
        <f>VLOOKUP([jobnumber],OvalData[],MATCH(Table2[[#Headers],[windlocks]],Table2[#Headers],0),0)</f>
        <v>0</v>
      </c>
      <c r="BW777" s="2" t="str">
        <f>VLOOKUP([jobnumber],OvalData[],MATCH(Table2[[#Headers],[bottombartype]],Table2[#Headers],0),0)</f>
        <v>SPECIAL</v>
      </c>
      <c r="BX777" s="2">
        <f>VLOOKUP([jobnumber],OvalData[],MATCH(Table2[[#Headers],[endlockweight]],Table2[#Headers],0),0)</f>
        <v>0.17</v>
      </c>
      <c r="BY777" s="2">
        <f>VLOOKUP([jobnumber],OvalData[],MATCH(Table2[[#Headers],[Endlock Total Weight]],Table2[#Headers],0),0)</f>
        <v>7.5972999999999997</v>
      </c>
      <c r="BZ777" s="2">
        <f>VLOOKUP([jobnumber],OvalData[],MATCH(Table2[[#Headers],[Grille Weight]],Table2[#Headers],0),0)</f>
        <v>0</v>
      </c>
      <c r="CA777" s="2">
        <f>VLOOKUP([jobnumber],OvalData[],MATCH(Table2[[#Headers],[barrelrings]],Table2[#Headers],0),0)</f>
        <v>1</v>
      </c>
    </row>
    <row r="778" spans="2:79">
      <c r="B778" s="2" t="str">
        <f>VLOOKUP([jobnumber],OvalData[],MATCH(Table2[[#Headers],[Hand]],Table2[#Headers],0),0)</f>
        <v>RH</v>
      </c>
      <c r="C778" s="2" t="str">
        <f>VLOOKUP([jobnumber],OvalData[],MATCH(Table2[[#Headers],[Model]],Table2[#Headers],0),0)</f>
        <v>SFMPP</v>
      </c>
      <c r="D778" s="2" t="str">
        <f>VLOOKUP([jobnumber],OvalData[],MATCH(Table2[[#Headers],[width]],Table2[#Headers],0),0)</f>
        <v xml:space="preserve"> 18 ft.- 2"</v>
      </c>
      <c r="E778" s="2" t="str">
        <f>VLOOKUP([jobnumber],OvalData[],MATCH(Table2[[#Headers],[stopheight]],Table2[#Headers],0),0)</f>
        <v xml:space="preserve"> 10 ft.- 0"</v>
      </c>
      <c r="F778" s="2" t="str">
        <f>VLOOKUP([jobnumber],OvalData[],MATCH(Table2[[#Headers],[Between Brackets]],Table2[#Headers],0),0)</f>
        <v xml:space="preserve"> 18 ft.- 7 7/ 8"</v>
      </c>
      <c r="G778" s="2" t="str">
        <f>VLOOKUP([jobnumber],OvalData[],MATCH(Table2[[#Headers],[shell]],Table2[#Headers],0),0)</f>
        <v>6 INCH TUBE</v>
      </c>
      <c r="H778" s="2" t="str">
        <f>VLOOKUP([jobnumber],OvalData[],MATCH(Table2[[#Headers],[pipewidth]],Table2[#Headers],0),0)</f>
        <v xml:space="preserve"> 18 ft.- 1 3/ 8"</v>
      </c>
      <c r="I778" s="2">
        <f>VLOOKUP([jobnumber],OvalData[],MATCH(Table2[[#Headers],[Support Tubes]],Table2[#Headers],0),0)</f>
        <v>0</v>
      </c>
      <c r="J778" s="2">
        <f>VLOOKUP([jobnumber],OvalData[],MATCH(Table2[[#Headers],[Upset]],Table2[#Headers],0),0)</f>
        <v>2</v>
      </c>
      <c r="K778" s="2" t="str">
        <f>VLOOKUP([jobnumber],OvalData[],MATCH(Table2[[#Headers],[Guide Type]],Table2[#Headers],0),0)</f>
        <v>SN2-4 5/8-E</v>
      </c>
      <c r="L778" s="2" t="str">
        <f>VLOOKUP([jobnumber],OvalData[],MATCH(Table2[[#Headers],[Wall Angle]],Table2[#Headers],0),0)</f>
        <v xml:space="preserve"> 11 ft.- 8"</v>
      </c>
      <c r="M778" s="2" t="str">
        <f>VLOOKUP([jobnumber],OvalData[],MATCH(Table2[[#Headers],[Middle Angle]],Table2[#Headers],0),0)</f>
        <v xml:space="preserve"> 10 ft.- 4 1/ 2"</v>
      </c>
      <c r="N778" s="2" t="str">
        <f>VLOOKUP([jobnumber],OvalData[],MATCH(Table2[[#Headers],[Front Angle]],Table2[#Headers],0),0)</f>
        <v xml:space="preserve"> 10 ft.- 3"</v>
      </c>
      <c r="O778" s="2">
        <f>VLOOKUP([jobnumber],OvalData[],MATCH(Table2[[#Headers],[Pipe Center Line]],Table2[#Headers],0),0)</f>
        <v>131</v>
      </c>
      <c r="P778" s="2">
        <f>VLOOKUP([jobnumber],OvalData[],MATCH(Table2[[#Headers],[Heat Expansion Gap]],Table2[#Headers],0),0)</f>
        <v>0</v>
      </c>
      <c r="Q778" s="2">
        <f>VLOOKUP([jobnumber],OvalData[],MATCH(Table2[[#Headers],[Hanging Weight Closed]],Table2[#Headers],0),0)</f>
        <v>795</v>
      </c>
      <c r="R778" s="2">
        <f>VLOOKUP([jobnumber],OvalData[],MATCH(Table2[[#Headers],[Hanging Weight Open]],Table2[#Headers],0),0)</f>
        <v>140</v>
      </c>
      <c r="S778" s="2">
        <f>VLOOKUP([jobnumber],OvalData[],MATCH(Table2[[#Headers],[Initial Lever Arm]],Table2[#Headers],0),0)</f>
        <v>4.25</v>
      </c>
      <c r="T778" s="2">
        <f>VLOOKUP([jobnumber],OvalData[],MATCH(Table2[[#Headers],[Turns to Raise]],Table2[#Headers],0),0)</f>
        <v>3.5859999999999999</v>
      </c>
      <c r="U778" s="2">
        <f>VLOOKUP([jobnumber],OvalData[],MATCH(Table2[[#Headers],[Final Lever Arm]],Table2[#Headers],0),0)</f>
        <v>6.37</v>
      </c>
      <c r="V778" s="2">
        <f>VLOOKUP([jobnumber],OvalData[],MATCH(Table2[[#Headers],[Torque Required Closed]],Table2[#Headers],0),0)</f>
        <v>3377.9</v>
      </c>
      <c r="W778" s="2">
        <f>VLOOKUP([jobnumber],OvalData[],MATCH(Table2[[#Headers],[Torque Required Open]],Table2[#Headers],0),0)</f>
        <v>892</v>
      </c>
      <c r="X778" s="2">
        <f>VLOOKUP([jobnumber],OvalData[],MATCH(Table2[[#Headers],[Pre Turns]],Table2[#Headers],0),0)</f>
        <v>1.3332999999999999</v>
      </c>
      <c r="Y778" s="2">
        <f>VLOOKUP([jobnumber],OvalData[],MATCH(Table2[[#Headers],[Required Torque Per Turn]],Table2[#Headers],0),0)</f>
        <v>688</v>
      </c>
      <c r="Z778" s="2">
        <f>VLOOKUP([jobnumber],OvalData[],MATCH(Table2[[#Headers],[Total Turns]],Table2[#Headers],0),0)</f>
        <v>4.91</v>
      </c>
      <c r="AA778" s="2">
        <f>VLOOKUP([jobnumber],OvalData[],MATCH(Table2[[#Headers],[Grille Vision Section]],Table2[#Headers],0),0)</f>
        <v>0</v>
      </c>
      <c r="AB778" s="2">
        <f>VLOOKUP([jobnumber],OvalData[],MATCH(Table2[[#Headers],[Grille Amount]],Table2[#Headers],0),0)</f>
        <v>0</v>
      </c>
      <c r="AC778" s="2">
        <f>VLOOKUP([jobnumber],OvalData[],MATCH(Table2[[#Headers],[Grille Center]],Table2[#Headers],0),0)</f>
        <v>0</v>
      </c>
      <c r="AD778" s="2">
        <f>VLOOKUP([jobnumber],OvalData[],MATCH(Table2[[#Headers],[Grille Pattern]],Table2[#Headers],0),0)</f>
        <v>0</v>
      </c>
      <c r="AE778" s="2">
        <f>VLOOKUP([jobnumber],OvalData[],MATCH(Table2[[#Headers],[Grille First Tube]],Table2[#Headers],0),0)</f>
        <v>0</v>
      </c>
      <c r="AF778" s="2">
        <f>VLOOKUP([jobnumber],OvalData[],MATCH(Table2[[#Headers],[Grille Standard Tube]],Table2[#Headers],0),0)</f>
        <v>0</v>
      </c>
      <c r="AG778" s="2">
        <f>VLOOKUP([jobnumber],OvalData[],MATCH(Table2[[#Headers],[Grille Total Links]],Table2[#Headers],0),0)</f>
        <v>0</v>
      </c>
      <c r="AH778" s="2">
        <f>VLOOKUP([jobnumber],OvalData[],MATCH(Table2[[#Headers],[Grille Rods]],Table2[#Headers],0),0)</f>
        <v>0</v>
      </c>
      <c r="AI778" s="2">
        <f>VLOOKUP([jobnumber],OvalData[],MATCH(Table2[[#Headers],[Grille Rod Length]],Table2[#Headers],0),0)</f>
        <v>0</v>
      </c>
      <c r="AJ778" s="2">
        <f>VLOOKUP([jobnumber],OvalData[],MATCH(Table2[[#Headers],[slattype]],Table2[#Headers],0),0)</f>
        <v>2</v>
      </c>
      <c r="AK778" s="2">
        <f>VLOOKUP([jobnumber],OvalData[],MATCH(Table2[[#Headers],[slatgage]],Table2[#Headers],0),0)</f>
        <v>18</v>
      </c>
      <c r="AL778" s="2">
        <f>VLOOKUP([jobnumber],OvalData[],MATCH(Table2[[#Headers],[Numer of Top Slats]],Table2[#Headers],0),0)</f>
        <v>0</v>
      </c>
      <c r="AM778" s="2">
        <f>VLOOKUP([jobnumber],OvalData[],MATCH(Table2[[#Headers],[Number of Bottom Slats]],Table2[#Headers],0),0)</f>
        <v>0</v>
      </c>
      <c r="AN778" s="2">
        <f>VLOOKUP([jobnumber],OvalData[],MATCH(Table2[[#Headers],[Solid Bottom Height]],Table2[#Headers],0),0)</f>
        <v>0</v>
      </c>
      <c r="AO778" s="2" t="str">
        <f>VLOOKUP([jobnumber],OvalData[],MATCH(Table2[[#Headers],[slatlength]],Table2[#Headers],0),0)</f>
        <v xml:space="preserve"> 18 ft.- 5 7/ 8"</v>
      </c>
      <c r="AP778" s="2">
        <f>VLOOKUP([jobnumber],OvalData[],MATCH(Table2[[#Headers],[Bottom Slat Length]],Table2[#Headers],0),0)</f>
        <v>0</v>
      </c>
      <c r="AQ778" s="2">
        <f>VLOOKUP([jobnumber],OvalData[],MATCH(Table2[[#Headers],[Number of Perferated Slats]],Table2[#Headers],0),0)</f>
        <v>0</v>
      </c>
      <c r="AR778" s="2">
        <f>VLOOKUP([jobnumber],OvalData[],MATCH(Table2[[#Headers],[First Preferated Slat From End]],Table2[#Headers],0),0)</f>
        <v>0</v>
      </c>
      <c r="AS778" s="2">
        <f>VLOOKUP([jobnumber],OvalData[],MATCH(Table2[[#Headers],[First Preferated Slat From Bottom]],Table2[#Headers],0),0)</f>
        <v>0</v>
      </c>
      <c r="AT778" s="2">
        <f>VLOOKUP([jobnumber],OvalData[],MATCH(Table2[[#Headers],[Total Number of Slats]],Table2[#Headers],0),0)</f>
        <v>51</v>
      </c>
      <c r="AU778" s="2">
        <f>VLOOKUP([jobnumber],OvalData[],MATCH(Table2[[#Headers],[Bottom Bar Slope]],Table2[#Headers],0),0)</f>
        <v>0</v>
      </c>
      <c r="AV778" s="2">
        <f>VLOOKUP([jobnumber],OvalData[],MATCH(Table2[[#Headers],[Bottom Bar Weight]],Table2[#Headers],0),0)</f>
        <v>80.5</v>
      </c>
      <c r="AW778" s="2" t="str">
        <f>VLOOKUP([jobnumber],OvalData[],MATCH(Table2[[#Headers],[Outer Spring Gage]],Table2[#Headers],0),0)</f>
        <v>Null</v>
      </c>
      <c r="AX778" s="2" t="str">
        <f>VLOOKUP([jobnumber],OvalData[],MATCH(Table2[[#Headers],[Outer Spring OD]],Table2[#Headers],0),0)</f>
        <v>Null</v>
      </c>
      <c r="AY778" s="2" t="str">
        <f>VLOOKUP([jobnumber],OvalData[],MATCH(Table2[[#Headers],[Outer Spring Length]],Table2[#Headers],0),0)</f>
        <v>Null</v>
      </c>
      <c r="AZ778" s="2" t="str">
        <f>VLOOKUP([jobnumber],OvalData[],MATCH(Table2[[#Headers],[Outer Spring Stretch]],Table2[#Headers],0),0)</f>
        <v>Null</v>
      </c>
      <c r="BA778" s="2" t="str">
        <f>VLOOKUP([jobnumber],OvalData[],MATCH(Table2[[#Headers],[Outer Spring Torque]],Table2[#Headers],0),0)</f>
        <v>Null</v>
      </c>
      <c r="BB778" s="2" t="str">
        <f>VLOOKUP([jobnumber],OvalData[],MATCH(Table2[[#Headers],[Outer Spring Max Turns]],Table2[#Headers],0),0)</f>
        <v>Null</v>
      </c>
      <c r="BC778" s="2" t="str">
        <f>VLOOKUP([jobnumber],OvalData[],MATCH(Table2[[#Headers],[Outer Spring Weight]],Table2[#Headers],0),0)</f>
        <v>Null</v>
      </c>
      <c r="BD778" s="2" t="str">
        <f>VLOOKUP([jobnumber],OvalData[],MATCH(Table2[[#Headers],[Inner Spring Gage]],Table2[#Headers],0),0)</f>
        <v>Null</v>
      </c>
      <c r="BE778" s="2" t="str">
        <f>VLOOKUP([jobnumber],OvalData[],MATCH(Table2[[#Headers],[Inner Spring OD]],Table2[#Headers],0),0)</f>
        <v>Null</v>
      </c>
      <c r="BF778" s="2" t="str">
        <f>VLOOKUP([jobnumber],OvalData[],MATCH(Table2[[#Headers],[Inner Spring Length]],Table2[#Headers],0),0)</f>
        <v>Null</v>
      </c>
      <c r="BG778" s="2" t="str">
        <f>VLOOKUP([jobnumber],OvalData[],MATCH(Table2[[#Headers],[Inner Spring Stretch]],Table2[#Headers],0),0)</f>
        <v>Null</v>
      </c>
      <c r="BH778" s="2" t="str">
        <f>VLOOKUP([jobnumber],OvalData[],MATCH(Table2[[#Headers],[Inner Spring Torque]],Table2[#Headers],0),0)</f>
        <v>Null</v>
      </c>
      <c r="BI778" s="2" t="str">
        <f>VLOOKUP([jobnumber],OvalData[],MATCH(Table2[[#Headers],[Inner Spring Max Turns]],Table2[#Headers],0),0)</f>
        <v>Null</v>
      </c>
      <c r="BJ778" s="2" t="str">
        <f>VLOOKUP([jobnumber],OvalData[],MATCH(Table2[[#Headers],[Inner Spring Weight]],Table2[#Headers],0),0)</f>
        <v>Null</v>
      </c>
      <c r="BK778" s="2">
        <f>VLOOKUP([jobnumber],OvalData[],MATCH(Table2[[#Headers],[Cycles]],Table2[#Headers],0),0)</f>
        <v>0</v>
      </c>
      <c r="BL778" s="2">
        <f>VLOOKUP([jobnumber],OvalData[],MATCH(Table2[[#Headers],[Total Spring Torque]],Table2[#Headers],0),0)</f>
        <v>0</v>
      </c>
      <c r="BM778" s="2">
        <f>VLOOKUP([jobnumber],OvalData[],MATCH(Table2[[#Headers],[Total Spring Weight]],Table2[#Headers],0),0)</f>
        <v>0</v>
      </c>
      <c r="BN778" s="2">
        <f>VLOOKUP([jobnumber],OvalData[],MATCH(Table2[[#Headers],[Pipe Weight]],Table2[#Headers],0),0)</f>
        <v>688.24239999999998</v>
      </c>
      <c r="BO778" s="2">
        <f>VLOOKUP([jobnumber],OvalData[],MATCH(Table2[[#Headers],[Max Pipe Deflection]],Table2[#Headers],0),0)</f>
        <v>2309</v>
      </c>
      <c r="BP778" s="2">
        <f>VLOOKUP([jobnumber],OvalData[],MATCH(Table2[[#Headers],[Number Non-Insulated Wrap Slats]],Table2[#Headers],0),0)</f>
        <v>0</v>
      </c>
      <c r="BQ778" s="2">
        <f>VLOOKUP([jobnumber],OvalData[],MATCH(Table2[[#Headers],[Number of Insolated Top Slats]],Table2[#Headers],0),0)</f>
        <v>45</v>
      </c>
      <c r="BR778" s="2">
        <f>VLOOKUP([jobnumber],OvalData[],MATCH(Table2[[#Headers],[Insolated Total Slats]],Table2[#Headers],0),0)</f>
        <v>45</v>
      </c>
      <c r="BS778" s="2">
        <f>VLOOKUP([jobnumber],OvalData[],MATCH(Table2[[#Headers],[Number of Slats]],Table2[#Headers],0),0)</f>
        <v>44.69</v>
      </c>
      <c r="BT778" s="2">
        <f>VLOOKUP([jobnumber],OvalData[],MATCH(Table2[[#Headers],[Wrap]],Table2[#Headers],0),0)</f>
        <v>0</v>
      </c>
      <c r="BU778" s="2">
        <f>VLOOKUP([jobnumber],OvalData[],MATCH(Table2[[#Headers],[Wall Angle Thickness]],Table2[#Headers],0),0)</f>
        <v>0</v>
      </c>
      <c r="BV778" s="2">
        <f>VLOOKUP([jobnumber],OvalData[],MATCH(Table2[[#Headers],[windlocks]],Table2[#Headers],0),0)</f>
        <v>0</v>
      </c>
      <c r="BW778" s="2" t="str">
        <f>VLOOKUP([jobnumber],OvalData[],MATCH(Table2[[#Headers],[bottombartype]],Table2[#Headers],0),0)</f>
        <v>SPECIAL</v>
      </c>
      <c r="BX778" s="2">
        <f>VLOOKUP([jobnumber],OvalData[],MATCH(Table2[[#Headers],[endlockweight]],Table2[#Headers],0),0)</f>
        <v>0.17</v>
      </c>
      <c r="BY778" s="2">
        <f>VLOOKUP([jobnumber],OvalData[],MATCH(Table2[[#Headers],[Endlock Total Weight]],Table2[#Headers],0),0)</f>
        <v>7.5972999999999997</v>
      </c>
      <c r="BZ778" s="2">
        <f>VLOOKUP([jobnumber],OvalData[],MATCH(Table2[[#Headers],[Grille Weight]],Table2[#Headers],0),0)</f>
        <v>0</v>
      </c>
      <c r="CA778" s="2">
        <f>VLOOKUP([jobnumber],OvalData[],MATCH(Table2[[#Headers],[barrelrings]],Table2[#Headers],0),0)</f>
        <v>1</v>
      </c>
    </row>
    <row r="779" spans="2:79">
      <c r="B779" s="2" t="str">
        <f>VLOOKUP([jobnumber],OvalData[],MATCH(Table2[[#Headers],[Hand]],Table2[#Headers],0),0)</f>
        <v>RH</v>
      </c>
      <c r="C779" s="2" t="str">
        <f>VLOOKUP([jobnumber],OvalData[],MATCH(Table2[[#Headers],[Model]],Table2[#Headers],0),0)</f>
        <v>SFMPP</v>
      </c>
      <c r="D779" s="2" t="str">
        <f>VLOOKUP([jobnumber],OvalData[],MATCH(Table2[[#Headers],[width]],Table2[#Headers],0),0)</f>
        <v xml:space="preserve"> 18 ft.- 2"</v>
      </c>
      <c r="E779" s="2" t="str">
        <f>VLOOKUP([jobnumber],OvalData[],MATCH(Table2[[#Headers],[stopheight]],Table2[#Headers],0),0)</f>
        <v xml:space="preserve"> 10 ft.- 0"</v>
      </c>
      <c r="F779" s="2" t="str">
        <f>VLOOKUP([jobnumber],OvalData[],MATCH(Table2[[#Headers],[Between Brackets]],Table2[#Headers],0),0)</f>
        <v xml:space="preserve"> 18 ft.- 7 7/ 8"</v>
      </c>
      <c r="G779" s="2" t="str">
        <f>VLOOKUP([jobnumber],OvalData[],MATCH(Table2[[#Headers],[shell]],Table2[#Headers],0),0)</f>
        <v>6 INCH TUBE</v>
      </c>
      <c r="H779" s="2" t="str">
        <f>VLOOKUP([jobnumber],OvalData[],MATCH(Table2[[#Headers],[pipewidth]],Table2[#Headers],0),0)</f>
        <v xml:space="preserve"> 18 ft.- 1 3/ 8"</v>
      </c>
      <c r="I779" s="2">
        <f>VLOOKUP([jobnumber],OvalData[],MATCH(Table2[[#Headers],[Support Tubes]],Table2[#Headers],0),0)</f>
        <v>0</v>
      </c>
      <c r="J779" s="2">
        <f>VLOOKUP([jobnumber],OvalData[],MATCH(Table2[[#Headers],[Upset]],Table2[#Headers],0),0)</f>
        <v>2</v>
      </c>
      <c r="K779" s="2" t="str">
        <f>VLOOKUP([jobnumber],OvalData[],MATCH(Table2[[#Headers],[Guide Type]],Table2[#Headers],0),0)</f>
        <v>SN2-4 5/8-E</v>
      </c>
      <c r="L779" s="2" t="str">
        <f>VLOOKUP([jobnumber],OvalData[],MATCH(Table2[[#Headers],[Wall Angle]],Table2[#Headers],0),0)</f>
        <v xml:space="preserve"> 11 ft.- 8"</v>
      </c>
      <c r="M779" s="2" t="str">
        <f>VLOOKUP([jobnumber],OvalData[],MATCH(Table2[[#Headers],[Middle Angle]],Table2[#Headers],0),0)</f>
        <v xml:space="preserve"> 10 ft.- 4 1/ 2"</v>
      </c>
      <c r="N779" s="2" t="str">
        <f>VLOOKUP([jobnumber],OvalData[],MATCH(Table2[[#Headers],[Front Angle]],Table2[#Headers],0),0)</f>
        <v xml:space="preserve"> 10 ft.- 3"</v>
      </c>
      <c r="O779" s="2">
        <f>VLOOKUP([jobnumber],OvalData[],MATCH(Table2[[#Headers],[Pipe Center Line]],Table2[#Headers],0),0)</f>
        <v>131</v>
      </c>
      <c r="P779" s="2">
        <f>VLOOKUP([jobnumber],OvalData[],MATCH(Table2[[#Headers],[Heat Expansion Gap]],Table2[#Headers],0),0)</f>
        <v>0</v>
      </c>
      <c r="Q779" s="2">
        <f>VLOOKUP([jobnumber],OvalData[],MATCH(Table2[[#Headers],[Hanging Weight Closed]],Table2[#Headers],0),0)</f>
        <v>795</v>
      </c>
      <c r="R779" s="2">
        <f>VLOOKUP([jobnumber],OvalData[],MATCH(Table2[[#Headers],[Hanging Weight Open]],Table2[#Headers],0),0)</f>
        <v>140</v>
      </c>
      <c r="S779" s="2">
        <f>VLOOKUP([jobnumber],OvalData[],MATCH(Table2[[#Headers],[Initial Lever Arm]],Table2[#Headers],0),0)</f>
        <v>4.25</v>
      </c>
      <c r="T779" s="2">
        <f>VLOOKUP([jobnumber],OvalData[],MATCH(Table2[[#Headers],[Turns to Raise]],Table2[#Headers],0),0)</f>
        <v>3.5859999999999999</v>
      </c>
      <c r="U779" s="2">
        <f>VLOOKUP([jobnumber],OvalData[],MATCH(Table2[[#Headers],[Final Lever Arm]],Table2[#Headers],0),0)</f>
        <v>6.37</v>
      </c>
      <c r="V779" s="2">
        <f>VLOOKUP([jobnumber],OvalData[],MATCH(Table2[[#Headers],[Torque Required Closed]],Table2[#Headers],0),0)</f>
        <v>3377.9</v>
      </c>
      <c r="W779" s="2">
        <f>VLOOKUP([jobnumber],OvalData[],MATCH(Table2[[#Headers],[Torque Required Open]],Table2[#Headers],0),0)</f>
        <v>892</v>
      </c>
      <c r="X779" s="2">
        <f>VLOOKUP([jobnumber],OvalData[],MATCH(Table2[[#Headers],[Pre Turns]],Table2[#Headers],0),0)</f>
        <v>1.3332999999999999</v>
      </c>
      <c r="Y779" s="2">
        <f>VLOOKUP([jobnumber],OvalData[],MATCH(Table2[[#Headers],[Required Torque Per Turn]],Table2[#Headers],0),0)</f>
        <v>688</v>
      </c>
      <c r="Z779" s="2">
        <f>VLOOKUP([jobnumber],OvalData[],MATCH(Table2[[#Headers],[Total Turns]],Table2[#Headers],0),0)</f>
        <v>4.91</v>
      </c>
      <c r="AA779" s="2">
        <f>VLOOKUP([jobnumber],OvalData[],MATCH(Table2[[#Headers],[Grille Vision Section]],Table2[#Headers],0),0)</f>
        <v>0</v>
      </c>
      <c r="AB779" s="2">
        <f>VLOOKUP([jobnumber],OvalData[],MATCH(Table2[[#Headers],[Grille Amount]],Table2[#Headers],0),0)</f>
        <v>0</v>
      </c>
      <c r="AC779" s="2">
        <f>VLOOKUP([jobnumber],OvalData[],MATCH(Table2[[#Headers],[Grille Center]],Table2[#Headers],0),0)</f>
        <v>0</v>
      </c>
      <c r="AD779" s="2">
        <f>VLOOKUP([jobnumber],OvalData[],MATCH(Table2[[#Headers],[Grille Pattern]],Table2[#Headers],0),0)</f>
        <v>0</v>
      </c>
      <c r="AE779" s="2">
        <f>VLOOKUP([jobnumber],OvalData[],MATCH(Table2[[#Headers],[Grille First Tube]],Table2[#Headers],0),0)</f>
        <v>0</v>
      </c>
      <c r="AF779" s="2">
        <f>VLOOKUP([jobnumber],OvalData[],MATCH(Table2[[#Headers],[Grille Standard Tube]],Table2[#Headers],0),0)</f>
        <v>0</v>
      </c>
      <c r="AG779" s="2">
        <f>VLOOKUP([jobnumber],OvalData[],MATCH(Table2[[#Headers],[Grille Total Links]],Table2[#Headers],0),0)</f>
        <v>0</v>
      </c>
      <c r="AH779" s="2">
        <f>VLOOKUP([jobnumber],OvalData[],MATCH(Table2[[#Headers],[Grille Rods]],Table2[#Headers],0),0)</f>
        <v>0</v>
      </c>
      <c r="AI779" s="2">
        <f>VLOOKUP([jobnumber],OvalData[],MATCH(Table2[[#Headers],[Grille Rod Length]],Table2[#Headers],0),0)</f>
        <v>0</v>
      </c>
      <c r="AJ779" s="2">
        <f>VLOOKUP([jobnumber],OvalData[],MATCH(Table2[[#Headers],[slattype]],Table2[#Headers],0),0)</f>
        <v>2</v>
      </c>
      <c r="AK779" s="2">
        <f>VLOOKUP([jobnumber],OvalData[],MATCH(Table2[[#Headers],[slatgage]],Table2[#Headers],0),0)</f>
        <v>18</v>
      </c>
      <c r="AL779" s="2">
        <f>VLOOKUP([jobnumber],OvalData[],MATCH(Table2[[#Headers],[Numer of Top Slats]],Table2[#Headers],0),0)</f>
        <v>0</v>
      </c>
      <c r="AM779" s="2">
        <f>VLOOKUP([jobnumber],OvalData[],MATCH(Table2[[#Headers],[Number of Bottom Slats]],Table2[#Headers],0),0)</f>
        <v>0</v>
      </c>
      <c r="AN779" s="2">
        <f>VLOOKUP([jobnumber],OvalData[],MATCH(Table2[[#Headers],[Solid Bottom Height]],Table2[#Headers],0),0)</f>
        <v>0</v>
      </c>
      <c r="AO779" s="2" t="str">
        <f>VLOOKUP([jobnumber],OvalData[],MATCH(Table2[[#Headers],[slatlength]],Table2[#Headers],0),0)</f>
        <v xml:space="preserve"> 18 ft.- 5 7/ 8"</v>
      </c>
      <c r="AP779" s="2">
        <f>VLOOKUP([jobnumber],OvalData[],MATCH(Table2[[#Headers],[Bottom Slat Length]],Table2[#Headers],0),0)</f>
        <v>0</v>
      </c>
      <c r="AQ779" s="2">
        <f>VLOOKUP([jobnumber],OvalData[],MATCH(Table2[[#Headers],[Number of Perferated Slats]],Table2[#Headers],0),0)</f>
        <v>0</v>
      </c>
      <c r="AR779" s="2">
        <f>VLOOKUP([jobnumber],OvalData[],MATCH(Table2[[#Headers],[First Preferated Slat From End]],Table2[#Headers],0),0)</f>
        <v>0</v>
      </c>
      <c r="AS779" s="2">
        <f>VLOOKUP([jobnumber],OvalData[],MATCH(Table2[[#Headers],[First Preferated Slat From Bottom]],Table2[#Headers],0),0)</f>
        <v>0</v>
      </c>
      <c r="AT779" s="2">
        <f>VLOOKUP([jobnumber],OvalData[],MATCH(Table2[[#Headers],[Total Number of Slats]],Table2[#Headers],0),0)</f>
        <v>51</v>
      </c>
      <c r="AU779" s="2">
        <f>VLOOKUP([jobnumber],OvalData[],MATCH(Table2[[#Headers],[Bottom Bar Slope]],Table2[#Headers],0),0)</f>
        <v>0</v>
      </c>
      <c r="AV779" s="2">
        <f>VLOOKUP([jobnumber],OvalData[],MATCH(Table2[[#Headers],[Bottom Bar Weight]],Table2[#Headers],0),0)</f>
        <v>80.5</v>
      </c>
      <c r="AW779" s="2" t="str">
        <f>VLOOKUP([jobnumber],OvalData[],MATCH(Table2[[#Headers],[Outer Spring Gage]],Table2[#Headers],0),0)</f>
        <v>Null</v>
      </c>
      <c r="AX779" s="2" t="str">
        <f>VLOOKUP([jobnumber],OvalData[],MATCH(Table2[[#Headers],[Outer Spring OD]],Table2[#Headers],0),0)</f>
        <v>Null</v>
      </c>
      <c r="AY779" s="2" t="str">
        <f>VLOOKUP([jobnumber],OvalData[],MATCH(Table2[[#Headers],[Outer Spring Length]],Table2[#Headers],0),0)</f>
        <v>Null</v>
      </c>
      <c r="AZ779" s="2" t="str">
        <f>VLOOKUP([jobnumber],OvalData[],MATCH(Table2[[#Headers],[Outer Spring Stretch]],Table2[#Headers],0),0)</f>
        <v>Null</v>
      </c>
      <c r="BA779" s="2" t="str">
        <f>VLOOKUP([jobnumber],OvalData[],MATCH(Table2[[#Headers],[Outer Spring Torque]],Table2[#Headers],0),0)</f>
        <v>Null</v>
      </c>
      <c r="BB779" s="2" t="str">
        <f>VLOOKUP([jobnumber],OvalData[],MATCH(Table2[[#Headers],[Outer Spring Max Turns]],Table2[#Headers],0),0)</f>
        <v>Null</v>
      </c>
      <c r="BC779" s="2" t="str">
        <f>VLOOKUP([jobnumber],OvalData[],MATCH(Table2[[#Headers],[Outer Spring Weight]],Table2[#Headers],0),0)</f>
        <v>Null</v>
      </c>
      <c r="BD779" s="2" t="str">
        <f>VLOOKUP([jobnumber],OvalData[],MATCH(Table2[[#Headers],[Inner Spring Gage]],Table2[#Headers],0),0)</f>
        <v>Null</v>
      </c>
      <c r="BE779" s="2" t="str">
        <f>VLOOKUP([jobnumber],OvalData[],MATCH(Table2[[#Headers],[Inner Spring OD]],Table2[#Headers],0),0)</f>
        <v>Null</v>
      </c>
      <c r="BF779" s="2" t="str">
        <f>VLOOKUP([jobnumber],OvalData[],MATCH(Table2[[#Headers],[Inner Spring Length]],Table2[#Headers],0),0)</f>
        <v>Null</v>
      </c>
      <c r="BG779" s="2" t="str">
        <f>VLOOKUP([jobnumber],OvalData[],MATCH(Table2[[#Headers],[Inner Spring Stretch]],Table2[#Headers],0),0)</f>
        <v>Null</v>
      </c>
      <c r="BH779" s="2" t="str">
        <f>VLOOKUP([jobnumber],OvalData[],MATCH(Table2[[#Headers],[Inner Spring Torque]],Table2[#Headers],0),0)</f>
        <v>Null</v>
      </c>
      <c r="BI779" s="2" t="str">
        <f>VLOOKUP([jobnumber],OvalData[],MATCH(Table2[[#Headers],[Inner Spring Max Turns]],Table2[#Headers],0),0)</f>
        <v>Null</v>
      </c>
      <c r="BJ779" s="2" t="str">
        <f>VLOOKUP([jobnumber],OvalData[],MATCH(Table2[[#Headers],[Inner Spring Weight]],Table2[#Headers],0),0)</f>
        <v>Null</v>
      </c>
      <c r="BK779" s="2">
        <f>VLOOKUP([jobnumber],OvalData[],MATCH(Table2[[#Headers],[Cycles]],Table2[#Headers],0),0)</f>
        <v>0</v>
      </c>
      <c r="BL779" s="2">
        <f>VLOOKUP([jobnumber],OvalData[],MATCH(Table2[[#Headers],[Total Spring Torque]],Table2[#Headers],0),0)</f>
        <v>0</v>
      </c>
      <c r="BM779" s="2">
        <f>VLOOKUP([jobnumber],OvalData[],MATCH(Table2[[#Headers],[Total Spring Weight]],Table2[#Headers],0),0)</f>
        <v>0</v>
      </c>
      <c r="BN779" s="2">
        <f>VLOOKUP([jobnumber],OvalData[],MATCH(Table2[[#Headers],[Pipe Weight]],Table2[#Headers],0),0)</f>
        <v>688.24239999999998</v>
      </c>
      <c r="BO779" s="2">
        <f>VLOOKUP([jobnumber],OvalData[],MATCH(Table2[[#Headers],[Max Pipe Deflection]],Table2[#Headers],0),0)</f>
        <v>2309</v>
      </c>
      <c r="BP779" s="2">
        <f>VLOOKUP([jobnumber],OvalData[],MATCH(Table2[[#Headers],[Number Non-Insulated Wrap Slats]],Table2[#Headers],0),0)</f>
        <v>0</v>
      </c>
      <c r="BQ779" s="2">
        <f>VLOOKUP([jobnumber],OvalData[],MATCH(Table2[[#Headers],[Number of Insolated Top Slats]],Table2[#Headers],0),0)</f>
        <v>45</v>
      </c>
      <c r="BR779" s="2">
        <f>VLOOKUP([jobnumber],OvalData[],MATCH(Table2[[#Headers],[Insolated Total Slats]],Table2[#Headers],0),0)</f>
        <v>45</v>
      </c>
      <c r="BS779" s="2">
        <f>VLOOKUP([jobnumber],OvalData[],MATCH(Table2[[#Headers],[Number of Slats]],Table2[#Headers],0),0)</f>
        <v>44.69</v>
      </c>
      <c r="BT779" s="2">
        <f>VLOOKUP([jobnumber],OvalData[],MATCH(Table2[[#Headers],[Wrap]],Table2[#Headers],0),0)</f>
        <v>0</v>
      </c>
      <c r="BU779" s="2">
        <f>VLOOKUP([jobnumber],OvalData[],MATCH(Table2[[#Headers],[Wall Angle Thickness]],Table2[#Headers],0),0)</f>
        <v>0</v>
      </c>
      <c r="BV779" s="2">
        <f>VLOOKUP([jobnumber],OvalData[],MATCH(Table2[[#Headers],[windlocks]],Table2[#Headers],0),0)</f>
        <v>0</v>
      </c>
      <c r="BW779" s="2" t="str">
        <f>VLOOKUP([jobnumber],OvalData[],MATCH(Table2[[#Headers],[bottombartype]],Table2[#Headers],0),0)</f>
        <v>SPECIAL</v>
      </c>
      <c r="BX779" s="2">
        <f>VLOOKUP([jobnumber],OvalData[],MATCH(Table2[[#Headers],[endlockweight]],Table2[#Headers],0),0)</f>
        <v>0.17</v>
      </c>
      <c r="BY779" s="2">
        <f>VLOOKUP([jobnumber],OvalData[],MATCH(Table2[[#Headers],[Endlock Total Weight]],Table2[#Headers],0),0)</f>
        <v>7.5972999999999997</v>
      </c>
      <c r="BZ779" s="2">
        <f>VLOOKUP([jobnumber],OvalData[],MATCH(Table2[[#Headers],[Grille Weight]],Table2[#Headers],0),0)</f>
        <v>0</v>
      </c>
      <c r="CA779" s="2">
        <f>VLOOKUP([jobnumber],OvalData[],MATCH(Table2[[#Headers],[barrelrings]],Table2[#Headers],0),0)</f>
        <v>1</v>
      </c>
    </row>
    <row r="780" spans="2:79">
      <c r="B780" s="2" t="str">
        <f>VLOOKUP([jobnumber],OvalData[],MATCH(Table2[[#Headers],[Hand]],Table2[#Headers],0),0)</f>
        <v>RH</v>
      </c>
      <c r="C780" s="2" t="str">
        <f>VLOOKUP([jobnumber],OvalData[],MATCH(Table2[[#Headers],[Model]],Table2[#Headers],0),0)</f>
        <v>SFMPP</v>
      </c>
      <c r="D780" s="2" t="str">
        <f>VLOOKUP([jobnumber],OvalData[],MATCH(Table2[[#Headers],[width]],Table2[#Headers],0),0)</f>
        <v xml:space="preserve"> 18 ft.- 2"</v>
      </c>
      <c r="E780" s="2" t="str">
        <f>VLOOKUP([jobnumber],OvalData[],MATCH(Table2[[#Headers],[stopheight]],Table2[#Headers],0),0)</f>
        <v xml:space="preserve"> 10 ft.- 0"</v>
      </c>
      <c r="F780" s="2" t="str">
        <f>VLOOKUP([jobnumber],OvalData[],MATCH(Table2[[#Headers],[Between Brackets]],Table2[#Headers],0),0)</f>
        <v xml:space="preserve"> 18 ft.- 7 7/ 8"</v>
      </c>
      <c r="G780" s="2" t="str">
        <f>VLOOKUP([jobnumber],OvalData[],MATCH(Table2[[#Headers],[shell]],Table2[#Headers],0),0)</f>
        <v>6 INCH TUBE</v>
      </c>
      <c r="H780" s="2" t="str">
        <f>VLOOKUP([jobnumber],OvalData[],MATCH(Table2[[#Headers],[pipewidth]],Table2[#Headers],0),0)</f>
        <v xml:space="preserve"> 18 ft.- 1 3/ 8"</v>
      </c>
      <c r="I780" s="2">
        <f>VLOOKUP([jobnumber],OvalData[],MATCH(Table2[[#Headers],[Support Tubes]],Table2[#Headers],0),0)</f>
        <v>0</v>
      </c>
      <c r="J780" s="2">
        <f>VLOOKUP([jobnumber],OvalData[],MATCH(Table2[[#Headers],[Upset]],Table2[#Headers],0),0)</f>
        <v>2</v>
      </c>
      <c r="K780" s="2" t="str">
        <f>VLOOKUP([jobnumber],OvalData[],MATCH(Table2[[#Headers],[Guide Type]],Table2[#Headers],0),0)</f>
        <v>SN2-4 5/8-E</v>
      </c>
      <c r="L780" s="2" t="str">
        <f>VLOOKUP([jobnumber],OvalData[],MATCH(Table2[[#Headers],[Wall Angle]],Table2[#Headers],0),0)</f>
        <v xml:space="preserve"> 11 ft.- 8"</v>
      </c>
      <c r="M780" s="2" t="str">
        <f>VLOOKUP([jobnumber],OvalData[],MATCH(Table2[[#Headers],[Middle Angle]],Table2[#Headers],0),0)</f>
        <v xml:space="preserve"> 10 ft.- 4 1/ 2"</v>
      </c>
      <c r="N780" s="2" t="str">
        <f>VLOOKUP([jobnumber],OvalData[],MATCH(Table2[[#Headers],[Front Angle]],Table2[#Headers],0),0)</f>
        <v xml:space="preserve"> 10 ft.- 3"</v>
      </c>
      <c r="O780" s="2">
        <f>VLOOKUP([jobnumber],OvalData[],MATCH(Table2[[#Headers],[Pipe Center Line]],Table2[#Headers],0),0)</f>
        <v>131</v>
      </c>
      <c r="P780" s="2">
        <f>VLOOKUP([jobnumber],OvalData[],MATCH(Table2[[#Headers],[Heat Expansion Gap]],Table2[#Headers],0),0)</f>
        <v>0</v>
      </c>
      <c r="Q780" s="2">
        <f>VLOOKUP([jobnumber],OvalData[],MATCH(Table2[[#Headers],[Hanging Weight Closed]],Table2[#Headers],0),0)</f>
        <v>795</v>
      </c>
      <c r="R780" s="2">
        <f>VLOOKUP([jobnumber],OvalData[],MATCH(Table2[[#Headers],[Hanging Weight Open]],Table2[#Headers],0),0)</f>
        <v>140</v>
      </c>
      <c r="S780" s="2">
        <f>VLOOKUP([jobnumber],OvalData[],MATCH(Table2[[#Headers],[Initial Lever Arm]],Table2[#Headers],0),0)</f>
        <v>4.25</v>
      </c>
      <c r="T780" s="2">
        <f>VLOOKUP([jobnumber],OvalData[],MATCH(Table2[[#Headers],[Turns to Raise]],Table2[#Headers],0),0)</f>
        <v>3.5859999999999999</v>
      </c>
      <c r="U780" s="2">
        <f>VLOOKUP([jobnumber],OvalData[],MATCH(Table2[[#Headers],[Final Lever Arm]],Table2[#Headers],0),0)</f>
        <v>6.37</v>
      </c>
      <c r="V780" s="2">
        <f>VLOOKUP([jobnumber],OvalData[],MATCH(Table2[[#Headers],[Torque Required Closed]],Table2[#Headers],0),0)</f>
        <v>3377.9</v>
      </c>
      <c r="W780" s="2">
        <f>VLOOKUP([jobnumber],OvalData[],MATCH(Table2[[#Headers],[Torque Required Open]],Table2[#Headers],0),0)</f>
        <v>892</v>
      </c>
      <c r="X780" s="2">
        <f>VLOOKUP([jobnumber],OvalData[],MATCH(Table2[[#Headers],[Pre Turns]],Table2[#Headers],0),0)</f>
        <v>1.3332999999999999</v>
      </c>
      <c r="Y780" s="2">
        <f>VLOOKUP([jobnumber],OvalData[],MATCH(Table2[[#Headers],[Required Torque Per Turn]],Table2[#Headers],0),0)</f>
        <v>688</v>
      </c>
      <c r="Z780" s="2">
        <f>VLOOKUP([jobnumber],OvalData[],MATCH(Table2[[#Headers],[Total Turns]],Table2[#Headers],0),0)</f>
        <v>4.91</v>
      </c>
      <c r="AA780" s="2">
        <f>VLOOKUP([jobnumber],OvalData[],MATCH(Table2[[#Headers],[Grille Vision Section]],Table2[#Headers],0),0)</f>
        <v>0</v>
      </c>
      <c r="AB780" s="2">
        <f>VLOOKUP([jobnumber],OvalData[],MATCH(Table2[[#Headers],[Grille Amount]],Table2[#Headers],0),0)</f>
        <v>0</v>
      </c>
      <c r="AC780" s="2">
        <f>VLOOKUP([jobnumber],OvalData[],MATCH(Table2[[#Headers],[Grille Center]],Table2[#Headers],0),0)</f>
        <v>0</v>
      </c>
      <c r="AD780" s="2">
        <f>VLOOKUP([jobnumber],OvalData[],MATCH(Table2[[#Headers],[Grille Pattern]],Table2[#Headers],0),0)</f>
        <v>0</v>
      </c>
      <c r="AE780" s="2">
        <f>VLOOKUP([jobnumber],OvalData[],MATCH(Table2[[#Headers],[Grille First Tube]],Table2[#Headers],0),0)</f>
        <v>0</v>
      </c>
      <c r="AF780" s="2">
        <f>VLOOKUP([jobnumber],OvalData[],MATCH(Table2[[#Headers],[Grille Standard Tube]],Table2[#Headers],0),0)</f>
        <v>0</v>
      </c>
      <c r="AG780" s="2">
        <f>VLOOKUP([jobnumber],OvalData[],MATCH(Table2[[#Headers],[Grille Total Links]],Table2[#Headers],0),0)</f>
        <v>0</v>
      </c>
      <c r="AH780" s="2">
        <f>VLOOKUP([jobnumber],OvalData[],MATCH(Table2[[#Headers],[Grille Rods]],Table2[#Headers],0),0)</f>
        <v>0</v>
      </c>
      <c r="AI780" s="2">
        <f>VLOOKUP([jobnumber],OvalData[],MATCH(Table2[[#Headers],[Grille Rod Length]],Table2[#Headers],0),0)</f>
        <v>0</v>
      </c>
      <c r="AJ780" s="2">
        <f>VLOOKUP([jobnumber],OvalData[],MATCH(Table2[[#Headers],[slattype]],Table2[#Headers],0),0)</f>
        <v>2</v>
      </c>
      <c r="AK780" s="2">
        <f>VLOOKUP([jobnumber],OvalData[],MATCH(Table2[[#Headers],[slatgage]],Table2[#Headers],0),0)</f>
        <v>18</v>
      </c>
      <c r="AL780" s="2">
        <f>VLOOKUP([jobnumber],OvalData[],MATCH(Table2[[#Headers],[Numer of Top Slats]],Table2[#Headers],0),0)</f>
        <v>0</v>
      </c>
      <c r="AM780" s="2">
        <f>VLOOKUP([jobnumber],OvalData[],MATCH(Table2[[#Headers],[Number of Bottom Slats]],Table2[#Headers],0),0)</f>
        <v>0</v>
      </c>
      <c r="AN780" s="2">
        <f>VLOOKUP([jobnumber],OvalData[],MATCH(Table2[[#Headers],[Solid Bottom Height]],Table2[#Headers],0),0)</f>
        <v>0</v>
      </c>
      <c r="AO780" s="2" t="str">
        <f>VLOOKUP([jobnumber],OvalData[],MATCH(Table2[[#Headers],[slatlength]],Table2[#Headers],0),0)</f>
        <v xml:space="preserve"> 18 ft.- 5 7/ 8"</v>
      </c>
      <c r="AP780" s="2">
        <f>VLOOKUP([jobnumber],OvalData[],MATCH(Table2[[#Headers],[Bottom Slat Length]],Table2[#Headers],0),0)</f>
        <v>0</v>
      </c>
      <c r="AQ780" s="2">
        <f>VLOOKUP([jobnumber],OvalData[],MATCH(Table2[[#Headers],[Number of Perferated Slats]],Table2[#Headers],0),0)</f>
        <v>0</v>
      </c>
      <c r="AR780" s="2">
        <f>VLOOKUP([jobnumber],OvalData[],MATCH(Table2[[#Headers],[First Preferated Slat From End]],Table2[#Headers],0),0)</f>
        <v>0</v>
      </c>
      <c r="AS780" s="2">
        <f>VLOOKUP([jobnumber],OvalData[],MATCH(Table2[[#Headers],[First Preferated Slat From Bottom]],Table2[#Headers],0),0)</f>
        <v>0</v>
      </c>
      <c r="AT780" s="2">
        <f>VLOOKUP([jobnumber],OvalData[],MATCH(Table2[[#Headers],[Total Number of Slats]],Table2[#Headers],0),0)</f>
        <v>51</v>
      </c>
      <c r="AU780" s="2">
        <f>VLOOKUP([jobnumber],OvalData[],MATCH(Table2[[#Headers],[Bottom Bar Slope]],Table2[#Headers],0),0)</f>
        <v>0</v>
      </c>
      <c r="AV780" s="2">
        <f>VLOOKUP([jobnumber],OvalData[],MATCH(Table2[[#Headers],[Bottom Bar Weight]],Table2[#Headers],0),0)</f>
        <v>80.5</v>
      </c>
      <c r="AW780" s="2" t="str">
        <f>VLOOKUP([jobnumber],OvalData[],MATCH(Table2[[#Headers],[Outer Spring Gage]],Table2[#Headers],0),0)</f>
        <v>Null</v>
      </c>
      <c r="AX780" s="2" t="str">
        <f>VLOOKUP([jobnumber],OvalData[],MATCH(Table2[[#Headers],[Outer Spring OD]],Table2[#Headers],0),0)</f>
        <v>Null</v>
      </c>
      <c r="AY780" s="2" t="str">
        <f>VLOOKUP([jobnumber],OvalData[],MATCH(Table2[[#Headers],[Outer Spring Length]],Table2[#Headers],0),0)</f>
        <v>Null</v>
      </c>
      <c r="AZ780" s="2" t="str">
        <f>VLOOKUP([jobnumber],OvalData[],MATCH(Table2[[#Headers],[Outer Spring Stretch]],Table2[#Headers],0),0)</f>
        <v>Null</v>
      </c>
      <c r="BA780" s="2" t="str">
        <f>VLOOKUP([jobnumber],OvalData[],MATCH(Table2[[#Headers],[Outer Spring Torque]],Table2[#Headers],0),0)</f>
        <v>Null</v>
      </c>
      <c r="BB780" s="2" t="str">
        <f>VLOOKUP([jobnumber],OvalData[],MATCH(Table2[[#Headers],[Outer Spring Max Turns]],Table2[#Headers],0),0)</f>
        <v>Null</v>
      </c>
      <c r="BC780" s="2" t="str">
        <f>VLOOKUP([jobnumber],OvalData[],MATCH(Table2[[#Headers],[Outer Spring Weight]],Table2[#Headers],0),0)</f>
        <v>Null</v>
      </c>
      <c r="BD780" s="2" t="str">
        <f>VLOOKUP([jobnumber],OvalData[],MATCH(Table2[[#Headers],[Inner Spring Gage]],Table2[#Headers],0),0)</f>
        <v>Null</v>
      </c>
      <c r="BE780" s="2" t="str">
        <f>VLOOKUP([jobnumber],OvalData[],MATCH(Table2[[#Headers],[Inner Spring OD]],Table2[#Headers],0),0)</f>
        <v>Null</v>
      </c>
      <c r="BF780" s="2" t="str">
        <f>VLOOKUP([jobnumber],OvalData[],MATCH(Table2[[#Headers],[Inner Spring Length]],Table2[#Headers],0),0)</f>
        <v>Null</v>
      </c>
      <c r="BG780" s="2" t="str">
        <f>VLOOKUP([jobnumber],OvalData[],MATCH(Table2[[#Headers],[Inner Spring Stretch]],Table2[#Headers],0),0)</f>
        <v>Null</v>
      </c>
      <c r="BH780" s="2" t="str">
        <f>VLOOKUP([jobnumber],OvalData[],MATCH(Table2[[#Headers],[Inner Spring Torque]],Table2[#Headers],0),0)</f>
        <v>Null</v>
      </c>
      <c r="BI780" s="2" t="str">
        <f>VLOOKUP([jobnumber],OvalData[],MATCH(Table2[[#Headers],[Inner Spring Max Turns]],Table2[#Headers],0),0)</f>
        <v>Null</v>
      </c>
      <c r="BJ780" s="2" t="str">
        <f>VLOOKUP([jobnumber],OvalData[],MATCH(Table2[[#Headers],[Inner Spring Weight]],Table2[#Headers],0),0)</f>
        <v>Null</v>
      </c>
      <c r="BK780" s="2">
        <f>VLOOKUP([jobnumber],OvalData[],MATCH(Table2[[#Headers],[Cycles]],Table2[#Headers],0),0)</f>
        <v>0</v>
      </c>
      <c r="BL780" s="2">
        <f>VLOOKUP([jobnumber],OvalData[],MATCH(Table2[[#Headers],[Total Spring Torque]],Table2[#Headers],0),0)</f>
        <v>0</v>
      </c>
      <c r="BM780" s="2">
        <f>VLOOKUP([jobnumber],OvalData[],MATCH(Table2[[#Headers],[Total Spring Weight]],Table2[#Headers],0),0)</f>
        <v>0</v>
      </c>
      <c r="BN780" s="2">
        <f>VLOOKUP([jobnumber],OvalData[],MATCH(Table2[[#Headers],[Pipe Weight]],Table2[#Headers],0),0)</f>
        <v>688.24239999999998</v>
      </c>
      <c r="BO780" s="2">
        <f>VLOOKUP([jobnumber],OvalData[],MATCH(Table2[[#Headers],[Max Pipe Deflection]],Table2[#Headers],0),0)</f>
        <v>2309</v>
      </c>
      <c r="BP780" s="2">
        <f>VLOOKUP([jobnumber],OvalData[],MATCH(Table2[[#Headers],[Number Non-Insulated Wrap Slats]],Table2[#Headers],0),0)</f>
        <v>0</v>
      </c>
      <c r="BQ780" s="2">
        <f>VLOOKUP([jobnumber],OvalData[],MATCH(Table2[[#Headers],[Number of Insolated Top Slats]],Table2[#Headers],0),0)</f>
        <v>45</v>
      </c>
      <c r="BR780" s="2">
        <f>VLOOKUP([jobnumber],OvalData[],MATCH(Table2[[#Headers],[Insolated Total Slats]],Table2[#Headers],0),0)</f>
        <v>45</v>
      </c>
      <c r="BS780" s="2">
        <f>VLOOKUP([jobnumber],OvalData[],MATCH(Table2[[#Headers],[Number of Slats]],Table2[#Headers],0),0)</f>
        <v>44.69</v>
      </c>
      <c r="BT780" s="2">
        <f>VLOOKUP([jobnumber],OvalData[],MATCH(Table2[[#Headers],[Wrap]],Table2[#Headers],0),0)</f>
        <v>0</v>
      </c>
      <c r="BU780" s="2">
        <f>VLOOKUP([jobnumber],OvalData[],MATCH(Table2[[#Headers],[Wall Angle Thickness]],Table2[#Headers],0),0)</f>
        <v>0</v>
      </c>
      <c r="BV780" s="2">
        <f>VLOOKUP([jobnumber],OvalData[],MATCH(Table2[[#Headers],[windlocks]],Table2[#Headers],0),0)</f>
        <v>0</v>
      </c>
      <c r="BW780" s="2" t="str">
        <f>VLOOKUP([jobnumber],OvalData[],MATCH(Table2[[#Headers],[bottombartype]],Table2[#Headers],0),0)</f>
        <v>SPECIAL</v>
      </c>
      <c r="BX780" s="2">
        <f>VLOOKUP([jobnumber],OvalData[],MATCH(Table2[[#Headers],[endlockweight]],Table2[#Headers],0),0)</f>
        <v>0.17</v>
      </c>
      <c r="BY780" s="2">
        <f>VLOOKUP([jobnumber],OvalData[],MATCH(Table2[[#Headers],[Endlock Total Weight]],Table2[#Headers],0),0)</f>
        <v>7.5972999999999997</v>
      </c>
      <c r="BZ780" s="2">
        <f>VLOOKUP([jobnumber],OvalData[],MATCH(Table2[[#Headers],[Grille Weight]],Table2[#Headers],0),0)</f>
        <v>0</v>
      </c>
      <c r="CA780" s="2">
        <f>VLOOKUP([jobnumber],OvalData[],MATCH(Table2[[#Headers],[barrelrings]],Table2[#Headers],0),0)</f>
        <v>1</v>
      </c>
    </row>
    <row r="781" spans="2:79">
      <c r="B781" s="2" t="str">
        <f>VLOOKUP([jobnumber],OvalData[],MATCH(Table2[[#Headers],[Hand]],Table2[#Headers],0),0)</f>
        <v>RH</v>
      </c>
      <c r="C781" s="2" t="str">
        <f>VLOOKUP([jobnumber],OvalData[],MATCH(Table2[[#Headers],[Model]],Table2[#Headers],0),0)</f>
        <v>SFMPP</v>
      </c>
      <c r="D781" s="2" t="str">
        <f>VLOOKUP([jobnumber],OvalData[],MATCH(Table2[[#Headers],[width]],Table2[#Headers],0),0)</f>
        <v xml:space="preserve"> 18 ft.- 2"</v>
      </c>
      <c r="E781" s="2" t="str">
        <f>VLOOKUP([jobnumber],OvalData[],MATCH(Table2[[#Headers],[stopheight]],Table2[#Headers],0),0)</f>
        <v xml:space="preserve"> 10 ft.- 0"</v>
      </c>
      <c r="F781" s="2" t="str">
        <f>VLOOKUP([jobnumber],OvalData[],MATCH(Table2[[#Headers],[Between Brackets]],Table2[#Headers],0),0)</f>
        <v xml:space="preserve"> 18 ft.- 7 7/ 8"</v>
      </c>
      <c r="G781" s="2" t="str">
        <f>VLOOKUP([jobnumber],OvalData[],MATCH(Table2[[#Headers],[shell]],Table2[#Headers],0),0)</f>
        <v>6 INCH TUBE</v>
      </c>
      <c r="H781" s="2" t="str">
        <f>VLOOKUP([jobnumber],OvalData[],MATCH(Table2[[#Headers],[pipewidth]],Table2[#Headers],0),0)</f>
        <v xml:space="preserve"> 18 ft.- 1 3/ 8"</v>
      </c>
      <c r="I781" s="2">
        <f>VLOOKUP([jobnumber],OvalData[],MATCH(Table2[[#Headers],[Support Tubes]],Table2[#Headers],0),0)</f>
        <v>0</v>
      </c>
      <c r="J781" s="2">
        <f>VLOOKUP([jobnumber],OvalData[],MATCH(Table2[[#Headers],[Upset]],Table2[#Headers],0),0)</f>
        <v>2</v>
      </c>
      <c r="K781" s="2" t="str">
        <f>VLOOKUP([jobnumber],OvalData[],MATCH(Table2[[#Headers],[Guide Type]],Table2[#Headers],0),0)</f>
        <v>SN2-4 5/8-E</v>
      </c>
      <c r="L781" s="2" t="str">
        <f>VLOOKUP([jobnumber],OvalData[],MATCH(Table2[[#Headers],[Wall Angle]],Table2[#Headers],0),0)</f>
        <v xml:space="preserve"> 11 ft.- 8"</v>
      </c>
      <c r="M781" s="2" t="str">
        <f>VLOOKUP([jobnumber],OvalData[],MATCH(Table2[[#Headers],[Middle Angle]],Table2[#Headers],0),0)</f>
        <v xml:space="preserve"> 10 ft.- 4 1/ 2"</v>
      </c>
      <c r="N781" s="2" t="str">
        <f>VLOOKUP([jobnumber],OvalData[],MATCH(Table2[[#Headers],[Front Angle]],Table2[#Headers],0),0)</f>
        <v xml:space="preserve"> 10 ft.- 3"</v>
      </c>
      <c r="O781" s="2">
        <f>VLOOKUP([jobnumber],OvalData[],MATCH(Table2[[#Headers],[Pipe Center Line]],Table2[#Headers],0),0)</f>
        <v>131</v>
      </c>
      <c r="P781" s="2">
        <f>VLOOKUP([jobnumber],OvalData[],MATCH(Table2[[#Headers],[Heat Expansion Gap]],Table2[#Headers],0),0)</f>
        <v>0</v>
      </c>
      <c r="Q781" s="2">
        <f>VLOOKUP([jobnumber],OvalData[],MATCH(Table2[[#Headers],[Hanging Weight Closed]],Table2[#Headers],0),0)</f>
        <v>795</v>
      </c>
      <c r="R781" s="2">
        <f>VLOOKUP([jobnumber],OvalData[],MATCH(Table2[[#Headers],[Hanging Weight Open]],Table2[#Headers],0),0)</f>
        <v>140</v>
      </c>
      <c r="S781" s="2">
        <f>VLOOKUP([jobnumber],OvalData[],MATCH(Table2[[#Headers],[Initial Lever Arm]],Table2[#Headers],0),0)</f>
        <v>4.25</v>
      </c>
      <c r="T781" s="2">
        <f>VLOOKUP([jobnumber],OvalData[],MATCH(Table2[[#Headers],[Turns to Raise]],Table2[#Headers],0),0)</f>
        <v>3.5859999999999999</v>
      </c>
      <c r="U781" s="2">
        <f>VLOOKUP([jobnumber],OvalData[],MATCH(Table2[[#Headers],[Final Lever Arm]],Table2[#Headers],0),0)</f>
        <v>6.37</v>
      </c>
      <c r="V781" s="2">
        <f>VLOOKUP([jobnumber],OvalData[],MATCH(Table2[[#Headers],[Torque Required Closed]],Table2[#Headers],0),0)</f>
        <v>3377.9</v>
      </c>
      <c r="W781" s="2">
        <f>VLOOKUP([jobnumber],OvalData[],MATCH(Table2[[#Headers],[Torque Required Open]],Table2[#Headers],0),0)</f>
        <v>892</v>
      </c>
      <c r="X781" s="2">
        <f>VLOOKUP([jobnumber],OvalData[],MATCH(Table2[[#Headers],[Pre Turns]],Table2[#Headers],0),0)</f>
        <v>1.3332999999999999</v>
      </c>
      <c r="Y781" s="2">
        <f>VLOOKUP([jobnumber],OvalData[],MATCH(Table2[[#Headers],[Required Torque Per Turn]],Table2[#Headers],0),0)</f>
        <v>688</v>
      </c>
      <c r="Z781" s="2">
        <f>VLOOKUP([jobnumber],OvalData[],MATCH(Table2[[#Headers],[Total Turns]],Table2[#Headers],0),0)</f>
        <v>4.91</v>
      </c>
      <c r="AA781" s="2">
        <f>VLOOKUP([jobnumber],OvalData[],MATCH(Table2[[#Headers],[Grille Vision Section]],Table2[#Headers],0),0)</f>
        <v>0</v>
      </c>
      <c r="AB781" s="2">
        <f>VLOOKUP([jobnumber],OvalData[],MATCH(Table2[[#Headers],[Grille Amount]],Table2[#Headers],0),0)</f>
        <v>0</v>
      </c>
      <c r="AC781" s="2">
        <f>VLOOKUP([jobnumber],OvalData[],MATCH(Table2[[#Headers],[Grille Center]],Table2[#Headers],0),0)</f>
        <v>0</v>
      </c>
      <c r="AD781" s="2">
        <f>VLOOKUP([jobnumber],OvalData[],MATCH(Table2[[#Headers],[Grille Pattern]],Table2[#Headers],0),0)</f>
        <v>0</v>
      </c>
      <c r="AE781" s="2">
        <f>VLOOKUP([jobnumber],OvalData[],MATCH(Table2[[#Headers],[Grille First Tube]],Table2[#Headers],0),0)</f>
        <v>0</v>
      </c>
      <c r="AF781" s="2">
        <f>VLOOKUP([jobnumber],OvalData[],MATCH(Table2[[#Headers],[Grille Standard Tube]],Table2[#Headers],0),0)</f>
        <v>0</v>
      </c>
      <c r="AG781" s="2">
        <f>VLOOKUP([jobnumber],OvalData[],MATCH(Table2[[#Headers],[Grille Total Links]],Table2[#Headers],0),0)</f>
        <v>0</v>
      </c>
      <c r="AH781" s="2">
        <f>VLOOKUP([jobnumber],OvalData[],MATCH(Table2[[#Headers],[Grille Rods]],Table2[#Headers],0),0)</f>
        <v>0</v>
      </c>
      <c r="AI781" s="2">
        <f>VLOOKUP([jobnumber],OvalData[],MATCH(Table2[[#Headers],[Grille Rod Length]],Table2[#Headers],0),0)</f>
        <v>0</v>
      </c>
      <c r="AJ781" s="2">
        <f>VLOOKUP([jobnumber],OvalData[],MATCH(Table2[[#Headers],[slattype]],Table2[#Headers],0),0)</f>
        <v>2</v>
      </c>
      <c r="AK781" s="2">
        <f>VLOOKUP([jobnumber],OvalData[],MATCH(Table2[[#Headers],[slatgage]],Table2[#Headers],0),0)</f>
        <v>18</v>
      </c>
      <c r="AL781" s="2">
        <f>VLOOKUP([jobnumber],OvalData[],MATCH(Table2[[#Headers],[Numer of Top Slats]],Table2[#Headers],0),0)</f>
        <v>0</v>
      </c>
      <c r="AM781" s="2">
        <f>VLOOKUP([jobnumber],OvalData[],MATCH(Table2[[#Headers],[Number of Bottom Slats]],Table2[#Headers],0),0)</f>
        <v>0</v>
      </c>
      <c r="AN781" s="2">
        <f>VLOOKUP([jobnumber],OvalData[],MATCH(Table2[[#Headers],[Solid Bottom Height]],Table2[#Headers],0),0)</f>
        <v>0</v>
      </c>
      <c r="AO781" s="2" t="str">
        <f>VLOOKUP([jobnumber],OvalData[],MATCH(Table2[[#Headers],[slatlength]],Table2[#Headers],0),0)</f>
        <v xml:space="preserve"> 18 ft.- 5 7/ 8"</v>
      </c>
      <c r="AP781" s="2">
        <f>VLOOKUP([jobnumber],OvalData[],MATCH(Table2[[#Headers],[Bottom Slat Length]],Table2[#Headers],0),0)</f>
        <v>0</v>
      </c>
      <c r="AQ781" s="2">
        <f>VLOOKUP([jobnumber],OvalData[],MATCH(Table2[[#Headers],[Number of Perferated Slats]],Table2[#Headers],0),0)</f>
        <v>0</v>
      </c>
      <c r="AR781" s="2">
        <f>VLOOKUP([jobnumber],OvalData[],MATCH(Table2[[#Headers],[First Preferated Slat From End]],Table2[#Headers],0),0)</f>
        <v>0</v>
      </c>
      <c r="AS781" s="2">
        <f>VLOOKUP([jobnumber],OvalData[],MATCH(Table2[[#Headers],[First Preferated Slat From Bottom]],Table2[#Headers],0),0)</f>
        <v>0</v>
      </c>
      <c r="AT781" s="2">
        <f>VLOOKUP([jobnumber],OvalData[],MATCH(Table2[[#Headers],[Total Number of Slats]],Table2[#Headers],0),0)</f>
        <v>51</v>
      </c>
      <c r="AU781" s="2">
        <f>VLOOKUP([jobnumber],OvalData[],MATCH(Table2[[#Headers],[Bottom Bar Slope]],Table2[#Headers],0),0)</f>
        <v>0</v>
      </c>
      <c r="AV781" s="2">
        <f>VLOOKUP([jobnumber],OvalData[],MATCH(Table2[[#Headers],[Bottom Bar Weight]],Table2[#Headers],0),0)</f>
        <v>80.5</v>
      </c>
      <c r="AW781" s="2" t="str">
        <f>VLOOKUP([jobnumber],OvalData[],MATCH(Table2[[#Headers],[Outer Spring Gage]],Table2[#Headers],0),0)</f>
        <v>Null</v>
      </c>
      <c r="AX781" s="2" t="str">
        <f>VLOOKUP([jobnumber],OvalData[],MATCH(Table2[[#Headers],[Outer Spring OD]],Table2[#Headers],0),0)</f>
        <v>Null</v>
      </c>
      <c r="AY781" s="2" t="str">
        <f>VLOOKUP([jobnumber],OvalData[],MATCH(Table2[[#Headers],[Outer Spring Length]],Table2[#Headers],0),0)</f>
        <v>Null</v>
      </c>
      <c r="AZ781" s="2" t="str">
        <f>VLOOKUP([jobnumber],OvalData[],MATCH(Table2[[#Headers],[Outer Spring Stretch]],Table2[#Headers],0),0)</f>
        <v>Null</v>
      </c>
      <c r="BA781" s="2" t="str">
        <f>VLOOKUP([jobnumber],OvalData[],MATCH(Table2[[#Headers],[Outer Spring Torque]],Table2[#Headers],0),0)</f>
        <v>Null</v>
      </c>
      <c r="BB781" s="2" t="str">
        <f>VLOOKUP([jobnumber],OvalData[],MATCH(Table2[[#Headers],[Outer Spring Max Turns]],Table2[#Headers],0),0)</f>
        <v>Null</v>
      </c>
      <c r="BC781" s="2" t="str">
        <f>VLOOKUP([jobnumber],OvalData[],MATCH(Table2[[#Headers],[Outer Spring Weight]],Table2[#Headers],0),0)</f>
        <v>Null</v>
      </c>
      <c r="BD781" s="2" t="str">
        <f>VLOOKUP([jobnumber],OvalData[],MATCH(Table2[[#Headers],[Inner Spring Gage]],Table2[#Headers],0),0)</f>
        <v>Null</v>
      </c>
      <c r="BE781" s="2" t="str">
        <f>VLOOKUP([jobnumber],OvalData[],MATCH(Table2[[#Headers],[Inner Spring OD]],Table2[#Headers],0),0)</f>
        <v>Null</v>
      </c>
      <c r="BF781" s="2" t="str">
        <f>VLOOKUP([jobnumber],OvalData[],MATCH(Table2[[#Headers],[Inner Spring Length]],Table2[#Headers],0),0)</f>
        <v>Null</v>
      </c>
      <c r="BG781" s="2" t="str">
        <f>VLOOKUP([jobnumber],OvalData[],MATCH(Table2[[#Headers],[Inner Spring Stretch]],Table2[#Headers],0),0)</f>
        <v>Null</v>
      </c>
      <c r="BH781" s="2" t="str">
        <f>VLOOKUP([jobnumber],OvalData[],MATCH(Table2[[#Headers],[Inner Spring Torque]],Table2[#Headers],0),0)</f>
        <v>Null</v>
      </c>
      <c r="BI781" s="2" t="str">
        <f>VLOOKUP([jobnumber],OvalData[],MATCH(Table2[[#Headers],[Inner Spring Max Turns]],Table2[#Headers],0),0)</f>
        <v>Null</v>
      </c>
      <c r="BJ781" s="2" t="str">
        <f>VLOOKUP([jobnumber],OvalData[],MATCH(Table2[[#Headers],[Inner Spring Weight]],Table2[#Headers],0),0)</f>
        <v>Null</v>
      </c>
      <c r="BK781" s="2">
        <f>VLOOKUP([jobnumber],OvalData[],MATCH(Table2[[#Headers],[Cycles]],Table2[#Headers],0),0)</f>
        <v>0</v>
      </c>
      <c r="BL781" s="2">
        <f>VLOOKUP([jobnumber],OvalData[],MATCH(Table2[[#Headers],[Total Spring Torque]],Table2[#Headers],0),0)</f>
        <v>0</v>
      </c>
      <c r="BM781" s="2">
        <f>VLOOKUP([jobnumber],OvalData[],MATCH(Table2[[#Headers],[Total Spring Weight]],Table2[#Headers],0),0)</f>
        <v>0</v>
      </c>
      <c r="BN781" s="2">
        <f>VLOOKUP([jobnumber],OvalData[],MATCH(Table2[[#Headers],[Pipe Weight]],Table2[#Headers],0),0)</f>
        <v>688.24239999999998</v>
      </c>
      <c r="BO781" s="2">
        <f>VLOOKUP([jobnumber],OvalData[],MATCH(Table2[[#Headers],[Max Pipe Deflection]],Table2[#Headers],0),0)</f>
        <v>2309</v>
      </c>
      <c r="BP781" s="2">
        <f>VLOOKUP([jobnumber],OvalData[],MATCH(Table2[[#Headers],[Number Non-Insulated Wrap Slats]],Table2[#Headers],0),0)</f>
        <v>0</v>
      </c>
      <c r="BQ781" s="2">
        <f>VLOOKUP([jobnumber],OvalData[],MATCH(Table2[[#Headers],[Number of Insolated Top Slats]],Table2[#Headers],0),0)</f>
        <v>45</v>
      </c>
      <c r="BR781" s="2">
        <f>VLOOKUP([jobnumber],OvalData[],MATCH(Table2[[#Headers],[Insolated Total Slats]],Table2[#Headers],0),0)</f>
        <v>45</v>
      </c>
      <c r="BS781" s="2">
        <f>VLOOKUP([jobnumber],OvalData[],MATCH(Table2[[#Headers],[Number of Slats]],Table2[#Headers],0),0)</f>
        <v>44.69</v>
      </c>
      <c r="BT781" s="2">
        <f>VLOOKUP([jobnumber],OvalData[],MATCH(Table2[[#Headers],[Wrap]],Table2[#Headers],0),0)</f>
        <v>0</v>
      </c>
      <c r="BU781" s="2">
        <f>VLOOKUP([jobnumber],OvalData[],MATCH(Table2[[#Headers],[Wall Angle Thickness]],Table2[#Headers],0),0)</f>
        <v>0</v>
      </c>
      <c r="BV781" s="2">
        <f>VLOOKUP([jobnumber],OvalData[],MATCH(Table2[[#Headers],[windlocks]],Table2[#Headers],0),0)</f>
        <v>0</v>
      </c>
      <c r="BW781" s="2" t="str">
        <f>VLOOKUP([jobnumber],OvalData[],MATCH(Table2[[#Headers],[bottombartype]],Table2[#Headers],0),0)</f>
        <v>SPECIAL</v>
      </c>
      <c r="BX781" s="2">
        <f>VLOOKUP([jobnumber],OvalData[],MATCH(Table2[[#Headers],[endlockweight]],Table2[#Headers],0),0)</f>
        <v>0.17</v>
      </c>
      <c r="BY781" s="2">
        <f>VLOOKUP([jobnumber],OvalData[],MATCH(Table2[[#Headers],[Endlock Total Weight]],Table2[#Headers],0),0)</f>
        <v>7.5972999999999997</v>
      </c>
      <c r="BZ781" s="2">
        <f>VLOOKUP([jobnumber],OvalData[],MATCH(Table2[[#Headers],[Grille Weight]],Table2[#Headers],0),0)</f>
        <v>0</v>
      </c>
      <c r="CA781" s="2">
        <f>VLOOKUP([jobnumber],OvalData[],MATCH(Table2[[#Headers],[barrelrings]],Table2[#Headers],0),0)</f>
        <v>1</v>
      </c>
    </row>
    <row r="782" spans="2:79">
      <c r="B782" s="2" t="str">
        <f>VLOOKUP([jobnumber],OvalData[],MATCH(Table2[[#Headers],[Hand]],Table2[#Headers],0),0)</f>
        <v>RH</v>
      </c>
      <c r="C782" s="2" t="str">
        <f>VLOOKUP([jobnumber],OvalData[],MATCH(Table2[[#Headers],[Model]],Table2[#Headers],0),0)</f>
        <v>SFMPP</v>
      </c>
      <c r="D782" s="2" t="str">
        <f>VLOOKUP([jobnumber],OvalData[],MATCH(Table2[[#Headers],[width]],Table2[#Headers],0),0)</f>
        <v xml:space="preserve"> 18 ft.- 2"</v>
      </c>
      <c r="E782" s="2" t="str">
        <f>VLOOKUP([jobnumber],OvalData[],MATCH(Table2[[#Headers],[stopheight]],Table2[#Headers],0),0)</f>
        <v xml:space="preserve"> 10 ft.- 0"</v>
      </c>
      <c r="F782" s="2" t="str">
        <f>VLOOKUP([jobnumber],OvalData[],MATCH(Table2[[#Headers],[Between Brackets]],Table2[#Headers],0),0)</f>
        <v xml:space="preserve"> 18 ft.- 7 7/ 8"</v>
      </c>
      <c r="G782" s="2" t="str">
        <f>VLOOKUP([jobnumber],OvalData[],MATCH(Table2[[#Headers],[shell]],Table2[#Headers],0),0)</f>
        <v>6 INCH TUBE</v>
      </c>
      <c r="H782" s="2" t="str">
        <f>VLOOKUP([jobnumber],OvalData[],MATCH(Table2[[#Headers],[pipewidth]],Table2[#Headers],0),0)</f>
        <v xml:space="preserve"> 18 ft.- 1 3/ 8"</v>
      </c>
      <c r="I782" s="2">
        <f>VLOOKUP([jobnumber],OvalData[],MATCH(Table2[[#Headers],[Support Tubes]],Table2[#Headers],0),0)</f>
        <v>0</v>
      </c>
      <c r="J782" s="2">
        <f>VLOOKUP([jobnumber],OvalData[],MATCH(Table2[[#Headers],[Upset]],Table2[#Headers],0),0)</f>
        <v>2</v>
      </c>
      <c r="K782" s="2" t="str">
        <f>VLOOKUP([jobnumber],OvalData[],MATCH(Table2[[#Headers],[Guide Type]],Table2[#Headers],0),0)</f>
        <v>SN2-4 5/8-E</v>
      </c>
      <c r="L782" s="2" t="str">
        <f>VLOOKUP([jobnumber],OvalData[],MATCH(Table2[[#Headers],[Wall Angle]],Table2[#Headers],0),0)</f>
        <v xml:space="preserve"> 11 ft.- 8"</v>
      </c>
      <c r="M782" s="2" t="str">
        <f>VLOOKUP([jobnumber],OvalData[],MATCH(Table2[[#Headers],[Middle Angle]],Table2[#Headers],0),0)</f>
        <v xml:space="preserve"> 10 ft.- 4 1/ 2"</v>
      </c>
      <c r="N782" s="2" t="str">
        <f>VLOOKUP([jobnumber],OvalData[],MATCH(Table2[[#Headers],[Front Angle]],Table2[#Headers],0),0)</f>
        <v xml:space="preserve"> 10 ft.- 3"</v>
      </c>
      <c r="O782" s="2">
        <f>VLOOKUP([jobnumber],OvalData[],MATCH(Table2[[#Headers],[Pipe Center Line]],Table2[#Headers],0),0)</f>
        <v>131</v>
      </c>
      <c r="P782" s="2">
        <f>VLOOKUP([jobnumber],OvalData[],MATCH(Table2[[#Headers],[Heat Expansion Gap]],Table2[#Headers],0),0)</f>
        <v>0</v>
      </c>
      <c r="Q782" s="2">
        <f>VLOOKUP([jobnumber],OvalData[],MATCH(Table2[[#Headers],[Hanging Weight Closed]],Table2[#Headers],0),0)</f>
        <v>795</v>
      </c>
      <c r="R782" s="2">
        <f>VLOOKUP([jobnumber],OvalData[],MATCH(Table2[[#Headers],[Hanging Weight Open]],Table2[#Headers],0),0)</f>
        <v>140</v>
      </c>
      <c r="S782" s="2">
        <f>VLOOKUP([jobnumber],OvalData[],MATCH(Table2[[#Headers],[Initial Lever Arm]],Table2[#Headers],0),0)</f>
        <v>4.25</v>
      </c>
      <c r="T782" s="2">
        <f>VLOOKUP([jobnumber],OvalData[],MATCH(Table2[[#Headers],[Turns to Raise]],Table2[#Headers],0),0)</f>
        <v>3.5859999999999999</v>
      </c>
      <c r="U782" s="2">
        <f>VLOOKUP([jobnumber],OvalData[],MATCH(Table2[[#Headers],[Final Lever Arm]],Table2[#Headers],0),0)</f>
        <v>6.37</v>
      </c>
      <c r="V782" s="2">
        <f>VLOOKUP([jobnumber],OvalData[],MATCH(Table2[[#Headers],[Torque Required Closed]],Table2[#Headers],0),0)</f>
        <v>3377.9</v>
      </c>
      <c r="W782" s="2">
        <f>VLOOKUP([jobnumber],OvalData[],MATCH(Table2[[#Headers],[Torque Required Open]],Table2[#Headers],0),0)</f>
        <v>892</v>
      </c>
      <c r="X782" s="2">
        <f>VLOOKUP([jobnumber],OvalData[],MATCH(Table2[[#Headers],[Pre Turns]],Table2[#Headers],0),0)</f>
        <v>1.3332999999999999</v>
      </c>
      <c r="Y782" s="2">
        <f>VLOOKUP([jobnumber],OvalData[],MATCH(Table2[[#Headers],[Required Torque Per Turn]],Table2[#Headers],0),0)</f>
        <v>688</v>
      </c>
      <c r="Z782" s="2">
        <f>VLOOKUP([jobnumber],OvalData[],MATCH(Table2[[#Headers],[Total Turns]],Table2[#Headers],0),0)</f>
        <v>4.91</v>
      </c>
      <c r="AA782" s="2">
        <f>VLOOKUP([jobnumber],OvalData[],MATCH(Table2[[#Headers],[Grille Vision Section]],Table2[#Headers],0),0)</f>
        <v>0</v>
      </c>
      <c r="AB782" s="2">
        <f>VLOOKUP([jobnumber],OvalData[],MATCH(Table2[[#Headers],[Grille Amount]],Table2[#Headers],0),0)</f>
        <v>0</v>
      </c>
      <c r="AC782" s="2">
        <f>VLOOKUP([jobnumber],OvalData[],MATCH(Table2[[#Headers],[Grille Center]],Table2[#Headers],0),0)</f>
        <v>0</v>
      </c>
      <c r="AD782" s="2">
        <f>VLOOKUP([jobnumber],OvalData[],MATCH(Table2[[#Headers],[Grille Pattern]],Table2[#Headers],0),0)</f>
        <v>0</v>
      </c>
      <c r="AE782" s="2">
        <f>VLOOKUP([jobnumber],OvalData[],MATCH(Table2[[#Headers],[Grille First Tube]],Table2[#Headers],0),0)</f>
        <v>0</v>
      </c>
      <c r="AF782" s="2">
        <f>VLOOKUP([jobnumber],OvalData[],MATCH(Table2[[#Headers],[Grille Standard Tube]],Table2[#Headers],0),0)</f>
        <v>0</v>
      </c>
      <c r="AG782" s="2">
        <f>VLOOKUP([jobnumber],OvalData[],MATCH(Table2[[#Headers],[Grille Total Links]],Table2[#Headers],0),0)</f>
        <v>0</v>
      </c>
      <c r="AH782" s="2">
        <f>VLOOKUP([jobnumber],OvalData[],MATCH(Table2[[#Headers],[Grille Rods]],Table2[#Headers],0),0)</f>
        <v>0</v>
      </c>
      <c r="AI782" s="2">
        <f>VLOOKUP([jobnumber],OvalData[],MATCH(Table2[[#Headers],[Grille Rod Length]],Table2[#Headers],0),0)</f>
        <v>0</v>
      </c>
      <c r="AJ782" s="2">
        <f>VLOOKUP([jobnumber],OvalData[],MATCH(Table2[[#Headers],[slattype]],Table2[#Headers],0),0)</f>
        <v>2</v>
      </c>
      <c r="AK782" s="2">
        <f>VLOOKUP([jobnumber],OvalData[],MATCH(Table2[[#Headers],[slatgage]],Table2[#Headers],0),0)</f>
        <v>18</v>
      </c>
      <c r="AL782" s="2">
        <f>VLOOKUP([jobnumber],OvalData[],MATCH(Table2[[#Headers],[Numer of Top Slats]],Table2[#Headers],0),0)</f>
        <v>0</v>
      </c>
      <c r="AM782" s="2">
        <f>VLOOKUP([jobnumber],OvalData[],MATCH(Table2[[#Headers],[Number of Bottom Slats]],Table2[#Headers],0),0)</f>
        <v>0</v>
      </c>
      <c r="AN782" s="2">
        <f>VLOOKUP([jobnumber],OvalData[],MATCH(Table2[[#Headers],[Solid Bottom Height]],Table2[#Headers],0),0)</f>
        <v>0</v>
      </c>
      <c r="AO782" s="2" t="str">
        <f>VLOOKUP([jobnumber],OvalData[],MATCH(Table2[[#Headers],[slatlength]],Table2[#Headers],0),0)</f>
        <v xml:space="preserve"> 18 ft.- 5 7/ 8"</v>
      </c>
      <c r="AP782" s="2">
        <f>VLOOKUP([jobnumber],OvalData[],MATCH(Table2[[#Headers],[Bottom Slat Length]],Table2[#Headers],0),0)</f>
        <v>0</v>
      </c>
      <c r="AQ782" s="2">
        <f>VLOOKUP([jobnumber],OvalData[],MATCH(Table2[[#Headers],[Number of Perferated Slats]],Table2[#Headers],0),0)</f>
        <v>0</v>
      </c>
      <c r="AR782" s="2">
        <f>VLOOKUP([jobnumber],OvalData[],MATCH(Table2[[#Headers],[First Preferated Slat From End]],Table2[#Headers],0),0)</f>
        <v>0</v>
      </c>
      <c r="AS782" s="2">
        <f>VLOOKUP([jobnumber],OvalData[],MATCH(Table2[[#Headers],[First Preferated Slat From Bottom]],Table2[#Headers],0),0)</f>
        <v>0</v>
      </c>
      <c r="AT782" s="2">
        <f>VLOOKUP([jobnumber],OvalData[],MATCH(Table2[[#Headers],[Total Number of Slats]],Table2[#Headers],0),0)</f>
        <v>51</v>
      </c>
      <c r="AU782" s="2">
        <f>VLOOKUP([jobnumber],OvalData[],MATCH(Table2[[#Headers],[Bottom Bar Slope]],Table2[#Headers],0),0)</f>
        <v>0</v>
      </c>
      <c r="AV782" s="2">
        <f>VLOOKUP([jobnumber],OvalData[],MATCH(Table2[[#Headers],[Bottom Bar Weight]],Table2[#Headers],0),0)</f>
        <v>80.5</v>
      </c>
      <c r="AW782" s="2" t="str">
        <f>VLOOKUP([jobnumber],OvalData[],MATCH(Table2[[#Headers],[Outer Spring Gage]],Table2[#Headers],0),0)</f>
        <v>Null</v>
      </c>
      <c r="AX782" s="2" t="str">
        <f>VLOOKUP([jobnumber],OvalData[],MATCH(Table2[[#Headers],[Outer Spring OD]],Table2[#Headers],0),0)</f>
        <v>Null</v>
      </c>
      <c r="AY782" s="2" t="str">
        <f>VLOOKUP([jobnumber],OvalData[],MATCH(Table2[[#Headers],[Outer Spring Length]],Table2[#Headers],0),0)</f>
        <v>Null</v>
      </c>
      <c r="AZ782" s="2" t="str">
        <f>VLOOKUP([jobnumber],OvalData[],MATCH(Table2[[#Headers],[Outer Spring Stretch]],Table2[#Headers],0),0)</f>
        <v>Null</v>
      </c>
      <c r="BA782" s="2" t="str">
        <f>VLOOKUP([jobnumber],OvalData[],MATCH(Table2[[#Headers],[Outer Spring Torque]],Table2[#Headers],0),0)</f>
        <v>Null</v>
      </c>
      <c r="BB782" s="2" t="str">
        <f>VLOOKUP([jobnumber],OvalData[],MATCH(Table2[[#Headers],[Outer Spring Max Turns]],Table2[#Headers],0),0)</f>
        <v>Null</v>
      </c>
      <c r="BC782" s="2" t="str">
        <f>VLOOKUP([jobnumber],OvalData[],MATCH(Table2[[#Headers],[Outer Spring Weight]],Table2[#Headers],0),0)</f>
        <v>Null</v>
      </c>
      <c r="BD782" s="2" t="str">
        <f>VLOOKUP([jobnumber],OvalData[],MATCH(Table2[[#Headers],[Inner Spring Gage]],Table2[#Headers],0),0)</f>
        <v>Null</v>
      </c>
      <c r="BE782" s="2" t="str">
        <f>VLOOKUP([jobnumber],OvalData[],MATCH(Table2[[#Headers],[Inner Spring OD]],Table2[#Headers],0),0)</f>
        <v>Null</v>
      </c>
      <c r="BF782" s="2" t="str">
        <f>VLOOKUP([jobnumber],OvalData[],MATCH(Table2[[#Headers],[Inner Spring Length]],Table2[#Headers],0),0)</f>
        <v>Null</v>
      </c>
      <c r="BG782" s="2" t="str">
        <f>VLOOKUP([jobnumber],OvalData[],MATCH(Table2[[#Headers],[Inner Spring Stretch]],Table2[#Headers],0),0)</f>
        <v>Null</v>
      </c>
      <c r="BH782" s="2" t="str">
        <f>VLOOKUP([jobnumber],OvalData[],MATCH(Table2[[#Headers],[Inner Spring Torque]],Table2[#Headers],0),0)</f>
        <v>Null</v>
      </c>
      <c r="BI782" s="2" t="str">
        <f>VLOOKUP([jobnumber],OvalData[],MATCH(Table2[[#Headers],[Inner Spring Max Turns]],Table2[#Headers],0),0)</f>
        <v>Null</v>
      </c>
      <c r="BJ782" s="2" t="str">
        <f>VLOOKUP([jobnumber],OvalData[],MATCH(Table2[[#Headers],[Inner Spring Weight]],Table2[#Headers],0),0)</f>
        <v>Null</v>
      </c>
      <c r="BK782" s="2">
        <f>VLOOKUP([jobnumber],OvalData[],MATCH(Table2[[#Headers],[Cycles]],Table2[#Headers],0),0)</f>
        <v>0</v>
      </c>
      <c r="BL782" s="2">
        <f>VLOOKUP([jobnumber],OvalData[],MATCH(Table2[[#Headers],[Total Spring Torque]],Table2[#Headers],0),0)</f>
        <v>0</v>
      </c>
      <c r="BM782" s="2">
        <f>VLOOKUP([jobnumber],OvalData[],MATCH(Table2[[#Headers],[Total Spring Weight]],Table2[#Headers],0),0)</f>
        <v>0</v>
      </c>
      <c r="BN782" s="2">
        <f>VLOOKUP([jobnumber],OvalData[],MATCH(Table2[[#Headers],[Pipe Weight]],Table2[#Headers],0),0)</f>
        <v>688.24239999999998</v>
      </c>
      <c r="BO782" s="2">
        <f>VLOOKUP([jobnumber],OvalData[],MATCH(Table2[[#Headers],[Max Pipe Deflection]],Table2[#Headers],0),0)</f>
        <v>2309</v>
      </c>
      <c r="BP782" s="2">
        <f>VLOOKUP([jobnumber],OvalData[],MATCH(Table2[[#Headers],[Number Non-Insulated Wrap Slats]],Table2[#Headers],0),0)</f>
        <v>0</v>
      </c>
      <c r="BQ782" s="2">
        <f>VLOOKUP([jobnumber],OvalData[],MATCH(Table2[[#Headers],[Number of Insolated Top Slats]],Table2[#Headers],0),0)</f>
        <v>45</v>
      </c>
      <c r="BR782" s="2">
        <f>VLOOKUP([jobnumber],OvalData[],MATCH(Table2[[#Headers],[Insolated Total Slats]],Table2[#Headers],0),0)</f>
        <v>45</v>
      </c>
      <c r="BS782" s="2">
        <f>VLOOKUP([jobnumber],OvalData[],MATCH(Table2[[#Headers],[Number of Slats]],Table2[#Headers],0),0)</f>
        <v>44.69</v>
      </c>
      <c r="BT782" s="2">
        <f>VLOOKUP([jobnumber],OvalData[],MATCH(Table2[[#Headers],[Wrap]],Table2[#Headers],0),0)</f>
        <v>0</v>
      </c>
      <c r="BU782" s="2">
        <f>VLOOKUP([jobnumber],OvalData[],MATCH(Table2[[#Headers],[Wall Angle Thickness]],Table2[#Headers],0),0)</f>
        <v>0</v>
      </c>
      <c r="BV782" s="2">
        <f>VLOOKUP([jobnumber],OvalData[],MATCH(Table2[[#Headers],[windlocks]],Table2[#Headers],0),0)</f>
        <v>0</v>
      </c>
      <c r="BW782" s="2" t="str">
        <f>VLOOKUP([jobnumber],OvalData[],MATCH(Table2[[#Headers],[bottombartype]],Table2[#Headers],0),0)</f>
        <v>SPECIAL</v>
      </c>
      <c r="BX782" s="2">
        <f>VLOOKUP([jobnumber],OvalData[],MATCH(Table2[[#Headers],[endlockweight]],Table2[#Headers],0),0)</f>
        <v>0.17</v>
      </c>
      <c r="BY782" s="2">
        <f>VLOOKUP([jobnumber],OvalData[],MATCH(Table2[[#Headers],[Endlock Total Weight]],Table2[#Headers],0),0)</f>
        <v>7.5972999999999997</v>
      </c>
      <c r="BZ782" s="2">
        <f>VLOOKUP([jobnumber],OvalData[],MATCH(Table2[[#Headers],[Grille Weight]],Table2[#Headers],0),0)</f>
        <v>0</v>
      </c>
      <c r="CA782" s="2">
        <f>VLOOKUP([jobnumber],OvalData[],MATCH(Table2[[#Headers],[barrelrings]],Table2[#Headers],0),0)</f>
        <v>1</v>
      </c>
    </row>
    <row r="783" spans="2:79">
      <c r="B783" s="2" t="str">
        <f>VLOOKUP([jobnumber],OvalData[],MATCH(Table2[[#Headers],[Hand]],Table2[#Headers],0),0)</f>
        <v>RH</v>
      </c>
      <c r="C783" s="2" t="str">
        <f>VLOOKUP([jobnumber],OvalData[],MATCH(Table2[[#Headers],[Model]],Table2[#Headers],0),0)</f>
        <v>SFMPP</v>
      </c>
      <c r="D783" s="2" t="str">
        <f>VLOOKUP([jobnumber],OvalData[],MATCH(Table2[[#Headers],[width]],Table2[#Headers],0),0)</f>
        <v xml:space="preserve"> 18 ft.- 2"</v>
      </c>
      <c r="E783" s="2" t="str">
        <f>VLOOKUP([jobnumber],OvalData[],MATCH(Table2[[#Headers],[stopheight]],Table2[#Headers],0),0)</f>
        <v xml:space="preserve"> 10 ft.- 0"</v>
      </c>
      <c r="F783" s="2" t="str">
        <f>VLOOKUP([jobnumber],OvalData[],MATCH(Table2[[#Headers],[Between Brackets]],Table2[#Headers],0),0)</f>
        <v xml:space="preserve"> 18 ft.- 7 7/ 8"</v>
      </c>
      <c r="G783" s="2" t="str">
        <f>VLOOKUP([jobnumber],OvalData[],MATCH(Table2[[#Headers],[shell]],Table2[#Headers],0),0)</f>
        <v>6 INCH TUBE</v>
      </c>
      <c r="H783" s="2" t="str">
        <f>VLOOKUP([jobnumber],OvalData[],MATCH(Table2[[#Headers],[pipewidth]],Table2[#Headers],0),0)</f>
        <v xml:space="preserve"> 18 ft.- 1 3/ 8"</v>
      </c>
      <c r="I783" s="2">
        <f>VLOOKUP([jobnumber],OvalData[],MATCH(Table2[[#Headers],[Support Tubes]],Table2[#Headers],0),0)</f>
        <v>0</v>
      </c>
      <c r="J783" s="2">
        <f>VLOOKUP([jobnumber],OvalData[],MATCH(Table2[[#Headers],[Upset]],Table2[#Headers],0),0)</f>
        <v>2</v>
      </c>
      <c r="K783" s="2" t="str">
        <f>VLOOKUP([jobnumber],OvalData[],MATCH(Table2[[#Headers],[Guide Type]],Table2[#Headers],0),0)</f>
        <v>SN2-4 5/8-E</v>
      </c>
      <c r="L783" s="2" t="str">
        <f>VLOOKUP([jobnumber],OvalData[],MATCH(Table2[[#Headers],[Wall Angle]],Table2[#Headers],0),0)</f>
        <v xml:space="preserve"> 11 ft.- 8"</v>
      </c>
      <c r="M783" s="2" t="str">
        <f>VLOOKUP([jobnumber],OvalData[],MATCH(Table2[[#Headers],[Middle Angle]],Table2[#Headers],0),0)</f>
        <v xml:space="preserve"> 10 ft.- 4 1/ 2"</v>
      </c>
      <c r="N783" s="2" t="str">
        <f>VLOOKUP([jobnumber],OvalData[],MATCH(Table2[[#Headers],[Front Angle]],Table2[#Headers],0),0)</f>
        <v xml:space="preserve"> 10 ft.- 3"</v>
      </c>
      <c r="O783" s="2">
        <f>VLOOKUP([jobnumber],OvalData[],MATCH(Table2[[#Headers],[Pipe Center Line]],Table2[#Headers],0),0)</f>
        <v>131</v>
      </c>
      <c r="P783" s="2">
        <f>VLOOKUP([jobnumber],OvalData[],MATCH(Table2[[#Headers],[Heat Expansion Gap]],Table2[#Headers],0),0)</f>
        <v>0</v>
      </c>
      <c r="Q783" s="2">
        <f>VLOOKUP([jobnumber],OvalData[],MATCH(Table2[[#Headers],[Hanging Weight Closed]],Table2[#Headers],0),0)</f>
        <v>795</v>
      </c>
      <c r="R783" s="2">
        <f>VLOOKUP([jobnumber],OvalData[],MATCH(Table2[[#Headers],[Hanging Weight Open]],Table2[#Headers],0),0)</f>
        <v>140</v>
      </c>
      <c r="S783" s="2">
        <f>VLOOKUP([jobnumber],OvalData[],MATCH(Table2[[#Headers],[Initial Lever Arm]],Table2[#Headers],0),0)</f>
        <v>4.25</v>
      </c>
      <c r="T783" s="2">
        <f>VLOOKUP([jobnumber],OvalData[],MATCH(Table2[[#Headers],[Turns to Raise]],Table2[#Headers],0),0)</f>
        <v>3.5859999999999999</v>
      </c>
      <c r="U783" s="2">
        <f>VLOOKUP([jobnumber],OvalData[],MATCH(Table2[[#Headers],[Final Lever Arm]],Table2[#Headers],0),0)</f>
        <v>6.37</v>
      </c>
      <c r="V783" s="2">
        <f>VLOOKUP([jobnumber],OvalData[],MATCH(Table2[[#Headers],[Torque Required Closed]],Table2[#Headers],0),0)</f>
        <v>3377.9</v>
      </c>
      <c r="W783" s="2">
        <f>VLOOKUP([jobnumber],OvalData[],MATCH(Table2[[#Headers],[Torque Required Open]],Table2[#Headers],0),0)</f>
        <v>892</v>
      </c>
      <c r="X783" s="2">
        <f>VLOOKUP([jobnumber],OvalData[],MATCH(Table2[[#Headers],[Pre Turns]],Table2[#Headers],0),0)</f>
        <v>1.3332999999999999</v>
      </c>
      <c r="Y783" s="2">
        <f>VLOOKUP([jobnumber],OvalData[],MATCH(Table2[[#Headers],[Required Torque Per Turn]],Table2[#Headers],0),0)</f>
        <v>688</v>
      </c>
      <c r="Z783" s="2">
        <f>VLOOKUP([jobnumber],OvalData[],MATCH(Table2[[#Headers],[Total Turns]],Table2[#Headers],0),0)</f>
        <v>4.91</v>
      </c>
      <c r="AA783" s="2">
        <f>VLOOKUP([jobnumber],OvalData[],MATCH(Table2[[#Headers],[Grille Vision Section]],Table2[#Headers],0),0)</f>
        <v>0</v>
      </c>
      <c r="AB783" s="2">
        <f>VLOOKUP([jobnumber],OvalData[],MATCH(Table2[[#Headers],[Grille Amount]],Table2[#Headers],0),0)</f>
        <v>0</v>
      </c>
      <c r="AC783" s="2">
        <f>VLOOKUP([jobnumber],OvalData[],MATCH(Table2[[#Headers],[Grille Center]],Table2[#Headers],0),0)</f>
        <v>0</v>
      </c>
      <c r="AD783" s="2">
        <f>VLOOKUP([jobnumber],OvalData[],MATCH(Table2[[#Headers],[Grille Pattern]],Table2[#Headers],0),0)</f>
        <v>0</v>
      </c>
      <c r="AE783" s="2">
        <f>VLOOKUP([jobnumber],OvalData[],MATCH(Table2[[#Headers],[Grille First Tube]],Table2[#Headers],0),0)</f>
        <v>0</v>
      </c>
      <c r="AF783" s="2">
        <f>VLOOKUP([jobnumber],OvalData[],MATCH(Table2[[#Headers],[Grille Standard Tube]],Table2[#Headers],0),0)</f>
        <v>0</v>
      </c>
      <c r="AG783" s="2">
        <f>VLOOKUP([jobnumber],OvalData[],MATCH(Table2[[#Headers],[Grille Total Links]],Table2[#Headers],0),0)</f>
        <v>0</v>
      </c>
      <c r="AH783" s="2">
        <f>VLOOKUP([jobnumber],OvalData[],MATCH(Table2[[#Headers],[Grille Rods]],Table2[#Headers],0),0)</f>
        <v>0</v>
      </c>
      <c r="AI783" s="2">
        <f>VLOOKUP([jobnumber],OvalData[],MATCH(Table2[[#Headers],[Grille Rod Length]],Table2[#Headers],0),0)</f>
        <v>0</v>
      </c>
      <c r="AJ783" s="2">
        <f>VLOOKUP([jobnumber],OvalData[],MATCH(Table2[[#Headers],[slattype]],Table2[#Headers],0),0)</f>
        <v>2</v>
      </c>
      <c r="AK783" s="2">
        <f>VLOOKUP([jobnumber],OvalData[],MATCH(Table2[[#Headers],[slatgage]],Table2[#Headers],0),0)</f>
        <v>18</v>
      </c>
      <c r="AL783" s="2">
        <f>VLOOKUP([jobnumber],OvalData[],MATCH(Table2[[#Headers],[Numer of Top Slats]],Table2[#Headers],0),0)</f>
        <v>0</v>
      </c>
      <c r="AM783" s="2">
        <f>VLOOKUP([jobnumber],OvalData[],MATCH(Table2[[#Headers],[Number of Bottom Slats]],Table2[#Headers],0),0)</f>
        <v>0</v>
      </c>
      <c r="AN783" s="2">
        <f>VLOOKUP([jobnumber],OvalData[],MATCH(Table2[[#Headers],[Solid Bottom Height]],Table2[#Headers],0),0)</f>
        <v>0</v>
      </c>
      <c r="AO783" s="2" t="str">
        <f>VLOOKUP([jobnumber],OvalData[],MATCH(Table2[[#Headers],[slatlength]],Table2[#Headers],0),0)</f>
        <v xml:space="preserve"> 18 ft.- 5 7/ 8"</v>
      </c>
      <c r="AP783" s="2">
        <f>VLOOKUP([jobnumber],OvalData[],MATCH(Table2[[#Headers],[Bottom Slat Length]],Table2[#Headers],0),0)</f>
        <v>0</v>
      </c>
      <c r="AQ783" s="2">
        <f>VLOOKUP([jobnumber],OvalData[],MATCH(Table2[[#Headers],[Number of Perferated Slats]],Table2[#Headers],0),0)</f>
        <v>0</v>
      </c>
      <c r="AR783" s="2">
        <f>VLOOKUP([jobnumber],OvalData[],MATCH(Table2[[#Headers],[First Preferated Slat From End]],Table2[#Headers],0),0)</f>
        <v>0</v>
      </c>
      <c r="AS783" s="2">
        <f>VLOOKUP([jobnumber],OvalData[],MATCH(Table2[[#Headers],[First Preferated Slat From Bottom]],Table2[#Headers],0),0)</f>
        <v>0</v>
      </c>
      <c r="AT783" s="2">
        <f>VLOOKUP([jobnumber],OvalData[],MATCH(Table2[[#Headers],[Total Number of Slats]],Table2[#Headers],0),0)</f>
        <v>51</v>
      </c>
      <c r="AU783" s="2">
        <f>VLOOKUP([jobnumber],OvalData[],MATCH(Table2[[#Headers],[Bottom Bar Slope]],Table2[#Headers],0),0)</f>
        <v>0</v>
      </c>
      <c r="AV783" s="2">
        <f>VLOOKUP([jobnumber],OvalData[],MATCH(Table2[[#Headers],[Bottom Bar Weight]],Table2[#Headers],0),0)</f>
        <v>80.5</v>
      </c>
      <c r="AW783" s="2" t="str">
        <f>VLOOKUP([jobnumber],OvalData[],MATCH(Table2[[#Headers],[Outer Spring Gage]],Table2[#Headers],0),0)</f>
        <v>Null</v>
      </c>
      <c r="AX783" s="2" t="str">
        <f>VLOOKUP([jobnumber],OvalData[],MATCH(Table2[[#Headers],[Outer Spring OD]],Table2[#Headers],0),0)</f>
        <v>Null</v>
      </c>
      <c r="AY783" s="2" t="str">
        <f>VLOOKUP([jobnumber],OvalData[],MATCH(Table2[[#Headers],[Outer Spring Length]],Table2[#Headers],0),0)</f>
        <v>Null</v>
      </c>
      <c r="AZ783" s="2" t="str">
        <f>VLOOKUP([jobnumber],OvalData[],MATCH(Table2[[#Headers],[Outer Spring Stretch]],Table2[#Headers],0),0)</f>
        <v>Null</v>
      </c>
      <c r="BA783" s="2" t="str">
        <f>VLOOKUP([jobnumber],OvalData[],MATCH(Table2[[#Headers],[Outer Spring Torque]],Table2[#Headers],0),0)</f>
        <v>Null</v>
      </c>
      <c r="BB783" s="2" t="str">
        <f>VLOOKUP([jobnumber],OvalData[],MATCH(Table2[[#Headers],[Outer Spring Max Turns]],Table2[#Headers],0),0)</f>
        <v>Null</v>
      </c>
      <c r="BC783" s="2" t="str">
        <f>VLOOKUP([jobnumber],OvalData[],MATCH(Table2[[#Headers],[Outer Spring Weight]],Table2[#Headers],0),0)</f>
        <v>Null</v>
      </c>
      <c r="BD783" s="2" t="str">
        <f>VLOOKUP([jobnumber],OvalData[],MATCH(Table2[[#Headers],[Inner Spring Gage]],Table2[#Headers],0),0)</f>
        <v>Null</v>
      </c>
      <c r="BE783" s="2" t="str">
        <f>VLOOKUP([jobnumber],OvalData[],MATCH(Table2[[#Headers],[Inner Spring OD]],Table2[#Headers],0),0)</f>
        <v>Null</v>
      </c>
      <c r="BF783" s="2" t="str">
        <f>VLOOKUP([jobnumber],OvalData[],MATCH(Table2[[#Headers],[Inner Spring Length]],Table2[#Headers],0),0)</f>
        <v>Null</v>
      </c>
      <c r="BG783" s="2" t="str">
        <f>VLOOKUP([jobnumber],OvalData[],MATCH(Table2[[#Headers],[Inner Spring Stretch]],Table2[#Headers],0),0)</f>
        <v>Null</v>
      </c>
      <c r="BH783" s="2" t="str">
        <f>VLOOKUP([jobnumber],OvalData[],MATCH(Table2[[#Headers],[Inner Spring Torque]],Table2[#Headers],0),0)</f>
        <v>Null</v>
      </c>
      <c r="BI783" s="2" t="str">
        <f>VLOOKUP([jobnumber],OvalData[],MATCH(Table2[[#Headers],[Inner Spring Max Turns]],Table2[#Headers],0),0)</f>
        <v>Null</v>
      </c>
      <c r="BJ783" s="2" t="str">
        <f>VLOOKUP([jobnumber],OvalData[],MATCH(Table2[[#Headers],[Inner Spring Weight]],Table2[#Headers],0),0)</f>
        <v>Null</v>
      </c>
      <c r="BK783" s="2">
        <f>VLOOKUP([jobnumber],OvalData[],MATCH(Table2[[#Headers],[Cycles]],Table2[#Headers],0),0)</f>
        <v>0</v>
      </c>
      <c r="BL783" s="2">
        <f>VLOOKUP([jobnumber],OvalData[],MATCH(Table2[[#Headers],[Total Spring Torque]],Table2[#Headers],0),0)</f>
        <v>0</v>
      </c>
      <c r="BM783" s="2">
        <f>VLOOKUP([jobnumber],OvalData[],MATCH(Table2[[#Headers],[Total Spring Weight]],Table2[#Headers],0),0)</f>
        <v>0</v>
      </c>
      <c r="BN783" s="2">
        <f>VLOOKUP([jobnumber],OvalData[],MATCH(Table2[[#Headers],[Pipe Weight]],Table2[#Headers],0),0)</f>
        <v>688.24239999999998</v>
      </c>
      <c r="BO783" s="2">
        <f>VLOOKUP([jobnumber],OvalData[],MATCH(Table2[[#Headers],[Max Pipe Deflection]],Table2[#Headers],0),0)</f>
        <v>2309</v>
      </c>
      <c r="BP783" s="2">
        <f>VLOOKUP([jobnumber],OvalData[],MATCH(Table2[[#Headers],[Number Non-Insulated Wrap Slats]],Table2[#Headers],0),0)</f>
        <v>0</v>
      </c>
      <c r="BQ783" s="2">
        <f>VLOOKUP([jobnumber],OvalData[],MATCH(Table2[[#Headers],[Number of Insolated Top Slats]],Table2[#Headers],0),0)</f>
        <v>45</v>
      </c>
      <c r="BR783" s="2">
        <f>VLOOKUP([jobnumber],OvalData[],MATCH(Table2[[#Headers],[Insolated Total Slats]],Table2[#Headers],0),0)</f>
        <v>45</v>
      </c>
      <c r="BS783" s="2">
        <f>VLOOKUP([jobnumber],OvalData[],MATCH(Table2[[#Headers],[Number of Slats]],Table2[#Headers],0),0)</f>
        <v>44.69</v>
      </c>
      <c r="BT783" s="2">
        <f>VLOOKUP([jobnumber],OvalData[],MATCH(Table2[[#Headers],[Wrap]],Table2[#Headers],0),0)</f>
        <v>0</v>
      </c>
      <c r="BU783" s="2">
        <f>VLOOKUP([jobnumber],OvalData[],MATCH(Table2[[#Headers],[Wall Angle Thickness]],Table2[#Headers],0),0)</f>
        <v>0</v>
      </c>
      <c r="BV783" s="2">
        <f>VLOOKUP([jobnumber],OvalData[],MATCH(Table2[[#Headers],[windlocks]],Table2[#Headers],0),0)</f>
        <v>0</v>
      </c>
      <c r="BW783" s="2" t="str">
        <f>VLOOKUP([jobnumber],OvalData[],MATCH(Table2[[#Headers],[bottombartype]],Table2[#Headers],0),0)</f>
        <v>SPECIAL</v>
      </c>
      <c r="BX783" s="2">
        <f>VLOOKUP([jobnumber],OvalData[],MATCH(Table2[[#Headers],[endlockweight]],Table2[#Headers],0),0)</f>
        <v>0.17</v>
      </c>
      <c r="BY783" s="2">
        <f>VLOOKUP([jobnumber],OvalData[],MATCH(Table2[[#Headers],[Endlock Total Weight]],Table2[#Headers],0),0)</f>
        <v>7.5972999999999997</v>
      </c>
      <c r="BZ783" s="2">
        <f>VLOOKUP([jobnumber],OvalData[],MATCH(Table2[[#Headers],[Grille Weight]],Table2[#Headers],0),0)</f>
        <v>0</v>
      </c>
      <c r="CA783" s="2">
        <f>VLOOKUP([jobnumber],OvalData[],MATCH(Table2[[#Headers],[barrelrings]],Table2[#Headers],0),0)</f>
        <v>1</v>
      </c>
    </row>
    <row r="784" spans="2:79">
      <c r="B784" s="2" t="str">
        <f>VLOOKUP([jobnumber],OvalData[],MATCH(Table2[[#Headers],[Hand]],Table2[#Headers],0),0)</f>
        <v>RH</v>
      </c>
      <c r="C784" s="2" t="str">
        <f>VLOOKUP([jobnumber],OvalData[],MATCH(Table2[[#Headers],[Model]],Table2[#Headers],0),0)</f>
        <v>SFMPP</v>
      </c>
      <c r="D784" s="2" t="str">
        <f>VLOOKUP([jobnumber],OvalData[],MATCH(Table2[[#Headers],[width]],Table2[#Headers],0),0)</f>
        <v xml:space="preserve"> 18 ft.- 2"</v>
      </c>
      <c r="E784" s="2" t="str">
        <f>VLOOKUP([jobnumber],OvalData[],MATCH(Table2[[#Headers],[stopheight]],Table2[#Headers],0),0)</f>
        <v xml:space="preserve"> 10 ft.- 0"</v>
      </c>
      <c r="F784" s="2" t="str">
        <f>VLOOKUP([jobnumber],OvalData[],MATCH(Table2[[#Headers],[Between Brackets]],Table2[#Headers],0),0)</f>
        <v xml:space="preserve"> 18 ft.- 7 7/ 8"</v>
      </c>
      <c r="G784" s="2" t="str">
        <f>VLOOKUP([jobnumber],OvalData[],MATCH(Table2[[#Headers],[shell]],Table2[#Headers],0),0)</f>
        <v>6 INCH TUBE</v>
      </c>
      <c r="H784" s="2" t="str">
        <f>VLOOKUP([jobnumber],OvalData[],MATCH(Table2[[#Headers],[pipewidth]],Table2[#Headers],0),0)</f>
        <v xml:space="preserve"> 18 ft.- 1 3/ 8"</v>
      </c>
      <c r="I784" s="2">
        <f>VLOOKUP([jobnumber],OvalData[],MATCH(Table2[[#Headers],[Support Tubes]],Table2[#Headers],0),0)</f>
        <v>0</v>
      </c>
      <c r="J784" s="2">
        <f>VLOOKUP([jobnumber],OvalData[],MATCH(Table2[[#Headers],[Upset]],Table2[#Headers],0),0)</f>
        <v>2</v>
      </c>
      <c r="K784" s="2" t="str">
        <f>VLOOKUP([jobnumber],OvalData[],MATCH(Table2[[#Headers],[Guide Type]],Table2[#Headers],0),0)</f>
        <v>SN2-4 5/8-E</v>
      </c>
      <c r="L784" s="2" t="str">
        <f>VLOOKUP([jobnumber],OvalData[],MATCH(Table2[[#Headers],[Wall Angle]],Table2[#Headers],0),0)</f>
        <v xml:space="preserve"> 11 ft.- 8"</v>
      </c>
      <c r="M784" s="2" t="str">
        <f>VLOOKUP([jobnumber],OvalData[],MATCH(Table2[[#Headers],[Middle Angle]],Table2[#Headers],0),0)</f>
        <v xml:space="preserve"> 10 ft.- 4 1/ 2"</v>
      </c>
      <c r="N784" s="2" t="str">
        <f>VLOOKUP([jobnumber],OvalData[],MATCH(Table2[[#Headers],[Front Angle]],Table2[#Headers],0),0)</f>
        <v xml:space="preserve"> 10 ft.- 3"</v>
      </c>
      <c r="O784" s="2">
        <f>VLOOKUP([jobnumber],OvalData[],MATCH(Table2[[#Headers],[Pipe Center Line]],Table2[#Headers],0),0)</f>
        <v>131</v>
      </c>
      <c r="P784" s="2">
        <f>VLOOKUP([jobnumber],OvalData[],MATCH(Table2[[#Headers],[Heat Expansion Gap]],Table2[#Headers],0),0)</f>
        <v>0</v>
      </c>
      <c r="Q784" s="2">
        <f>VLOOKUP([jobnumber],OvalData[],MATCH(Table2[[#Headers],[Hanging Weight Closed]],Table2[#Headers],0),0)</f>
        <v>795</v>
      </c>
      <c r="R784" s="2">
        <f>VLOOKUP([jobnumber],OvalData[],MATCH(Table2[[#Headers],[Hanging Weight Open]],Table2[#Headers],0),0)</f>
        <v>140</v>
      </c>
      <c r="S784" s="2">
        <f>VLOOKUP([jobnumber],OvalData[],MATCH(Table2[[#Headers],[Initial Lever Arm]],Table2[#Headers],0),0)</f>
        <v>4.25</v>
      </c>
      <c r="T784" s="2">
        <f>VLOOKUP([jobnumber],OvalData[],MATCH(Table2[[#Headers],[Turns to Raise]],Table2[#Headers],0),0)</f>
        <v>3.5859999999999999</v>
      </c>
      <c r="U784" s="2">
        <f>VLOOKUP([jobnumber],OvalData[],MATCH(Table2[[#Headers],[Final Lever Arm]],Table2[#Headers],0),0)</f>
        <v>6.37</v>
      </c>
      <c r="V784" s="2">
        <f>VLOOKUP([jobnumber],OvalData[],MATCH(Table2[[#Headers],[Torque Required Closed]],Table2[#Headers],0),0)</f>
        <v>3377.9</v>
      </c>
      <c r="W784" s="2">
        <f>VLOOKUP([jobnumber],OvalData[],MATCH(Table2[[#Headers],[Torque Required Open]],Table2[#Headers],0),0)</f>
        <v>892</v>
      </c>
      <c r="X784" s="2">
        <f>VLOOKUP([jobnumber],OvalData[],MATCH(Table2[[#Headers],[Pre Turns]],Table2[#Headers],0),0)</f>
        <v>1.3332999999999999</v>
      </c>
      <c r="Y784" s="2">
        <f>VLOOKUP([jobnumber],OvalData[],MATCH(Table2[[#Headers],[Required Torque Per Turn]],Table2[#Headers],0),0)</f>
        <v>688</v>
      </c>
      <c r="Z784" s="2">
        <f>VLOOKUP([jobnumber],OvalData[],MATCH(Table2[[#Headers],[Total Turns]],Table2[#Headers],0),0)</f>
        <v>4.91</v>
      </c>
      <c r="AA784" s="2">
        <f>VLOOKUP([jobnumber],OvalData[],MATCH(Table2[[#Headers],[Grille Vision Section]],Table2[#Headers],0),0)</f>
        <v>0</v>
      </c>
      <c r="AB784" s="2">
        <f>VLOOKUP([jobnumber],OvalData[],MATCH(Table2[[#Headers],[Grille Amount]],Table2[#Headers],0),0)</f>
        <v>0</v>
      </c>
      <c r="AC784" s="2">
        <f>VLOOKUP([jobnumber],OvalData[],MATCH(Table2[[#Headers],[Grille Center]],Table2[#Headers],0),0)</f>
        <v>0</v>
      </c>
      <c r="AD784" s="2">
        <f>VLOOKUP([jobnumber],OvalData[],MATCH(Table2[[#Headers],[Grille Pattern]],Table2[#Headers],0),0)</f>
        <v>0</v>
      </c>
      <c r="AE784" s="2">
        <f>VLOOKUP([jobnumber],OvalData[],MATCH(Table2[[#Headers],[Grille First Tube]],Table2[#Headers],0),0)</f>
        <v>0</v>
      </c>
      <c r="AF784" s="2">
        <f>VLOOKUP([jobnumber],OvalData[],MATCH(Table2[[#Headers],[Grille Standard Tube]],Table2[#Headers],0),0)</f>
        <v>0</v>
      </c>
      <c r="AG784" s="2">
        <f>VLOOKUP([jobnumber],OvalData[],MATCH(Table2[[#Headers],[Grille Total Links]],Table2[#Headers],0),0)</f>
        <v>0</v>
      </c>
      <c r="AH784" s="2">
        <f>VLOOKUP([jobnumber],OvalData[],MATCH(Table2[[#Headers],[Grille Rods]],Table2[#Headers],0),0)</f>
        <v>0</v>
      </c>
      <c r="AI784" s="2">
        <f>VLOOKUP([jobnumber],OvalData[],MATCH(Table2[[#Headers],[Grille Rod Length]],Table2[#Headers],0),0)</f>
        <v>0</v>
      </c>
      <c r="AJ784" s="2">
        <f>VLOOKUP([jobnumber],OvalData[],MATCH(Table2[[#Headers],[slattype]],Table2[#Headers],0),0)</f>
        <v>2</v>
      </c>
      <c r="AK784" s="2">
        <f>VLOOKUP([jobnumber],OvalData[],MATCH(Table2[[#Headers],[slatgage]],Table2[#Headers],0),0)</f>
        <v>18</v>
      </c>
      <c r="AL784" s="2">
        <f>VLOOKUP([jobnumber],OvalData[],MATCH(Table2[[#Headers],[Numer of Top Slats]],Table2[#Headers],0),0)</f>
        <v>0</v>
      </c>
      <c r="AM784" s="2">
        <f>VLOOKUP([jobnumber],OvalData[],MATCH(Table2[[#Headers],[Number of Bottom Slats]],Table2[#Headers],0),0)</f>
        <v>0</v>
      </c>
      <c r="AN784" s="2">
        <f>VLOOKUP([jobnumber],OvalData[],MATCH(Table2[[#Headers],[Solid Bottom Height]],Table2[#Headers],0),0)</f>
        <v>0</v>
      </c>
      <c r="AO784" s="2" t="str">
        <f>VLOOKUP([jobnumber],OvalData[],MATCH(Table2[[#Headers],[slatlength]],Table2[#Headers],0),0)</f>
        <v xml:space="preserve"> 18 ft.- 5 7/ 8"</v>
      </c>
      <c r="AP784" s="2">
        <f>VLOOKUP([jobnumber],OvalData[],MATCH(Table2[[#Headers],[Bottom Slat Length]],Table2[#Headers],0),0)</f>
        <v>0</v>
      </c>
      <c r="AQ784" s="2">
        <f>VLOOKUP([jobnumber],OvalData[],MATCH(Table2[[#Headers],[Number of Perferated Slats]],Table2[#Headers],0),0)</f>
        <v>0</v>
      </c>
      <c r="AR784" s="2">
        <f>VLOOKUP([jobnumber],OvalData[],MATCH(Table2[[#Headers],[First Preferated Slat From End]],Table2[#Headers],0),0)</f>
        <v>0</v>
      </c>
      <c r="AS784" s="2">
        <f>VLOOKUP([jobnumber],OvalData[],MATCH(Table2[[#Headers],[First Preferated Slat From Bottom]],Table2[#Headers],0),0)</f>
        <v>0</v>
      </c>
      <c r="AT784" s="2">
        <f>VLOOKUP([jobnumber],OvalData[],MATCH(Table2[[#Headers],[Total Number of Slats]],Table2[#Headers],0),0)</f>
        <v>51</v>
      </c>
      <c r="AU784" s="2">
        <f>VLOOKUP([jobnumber],OvalData[],MATCH(Table2[[#Headers],[Bottom Bar Slope]],Table2[#Headers],0),0)</f>
        <v>0</v>
      </c>
      <c r="AV784" s="2">
        <f>VLOOKUP([jobnumber],OvalData[],MATCH(Table2[[#Headers],[Bottom Bar Weight]],Table2[#Headers],0),0)</f>
        <v>80.5</v>
      </c>
      <c r="AW784" s="2" t="str">
        <f>VLOOKUP([jobnumber],OvalData[],MATCH(Table2[[#Headers],[Outer Spring Gage]],Table2[#Headers],0),0)</f>
        <v>Null</v>
      </c>
      <c r="AX784" s="2" t="str">
        <f>VLOOKUP([jobnumber],OvalData[],MATCH(Table2[[#Headers],[Outer Spring OD]],Table2[#Headers],0),0)</f>
        <v>Null</v>
      </c>
      <c r="AY784" s="2" t="str">
        <f>VLOOKUP([jobnumber],OvalData[],MATCH(Table2[[#Headers],[Outer Spring Length]],Table2[#Headers],0),0)</f>
        <v>Null</v>
      </c>
      <c r="AZ784" s="2" t="str">
        <f>VLOOKUP([jobnumber],OvalData[],MATCH(Table2[[#Headers],[Outer Spring Stretch]],Table2[#Headers],0),0)</f>
        <v>Null</v>
      </c>
      <c r="BA784" s="2" t="str">
        <f>VLOOKUP([jobnumber],OvalData[],MATCH(Table2[[#Headers],[Outer Spring Torque]],Table2[#Headers],0),0)</f>
        <v>Null</v>
      </c>
      <c r="BB784" s="2" t="str">
        <f>VLOOKUP([jobnumber],OvalData[],MATCH(Table2[[#Headers],[Outer Spring Max Turns]],Table2[#Headers],0),0)</f>
        <v>Null</v>
      </c>
      <c r="BC784" s="2" t="str">
        <f>VLOOKUP([jobnumber],OvalData[],MATCH(Table2[[#Headers],[Outer Spring Weight]],Table2[#Headers],0),0)</f>
        <v>Null</v>
      </c>
      <c r="BD784" s="2" t="str">
        <f>VLOOKUP([jobnumber],OvalData[],MATCH(Table2[[#Headers],[Inner Spring Gage]],Table2[#Headers],0),0)</f>
        <v>Null</v>
      </c>
      <c r="BE784" s="2" t="str">
        <f>VLOOKUP([jobnumber],OvalData[],MATCH(Table2[[#Headers],[Inner Spring OD]],Table2[#Headers],0),0)</f>
        <v>Null</v>
      </c>
      <c r="BF784" s="2" t="str">
        <f>VLOOKUP([jobnumber],OvalData[],MATCH(Table2[[#Headers],[Inner Spring Length]],Table2[#Headers],0),0)</f>
        <v>Null</v>
      </c>
      <c r="BG784" s="2" t="str">
        <f>VLOOKUP([jobnumber],OvalData[],MATCH(Table2[[#Headers],[Inner Spring Stretch]],Table2[#Headers],0),0)</f>
        <v>Null</v>
      </c>
      <c r="BH784" s="2" t="str">
        <f>VLOOKUP([jobnumber],OvalData[],MATCH(Table2[[#Headers],[Inner Spring Torque]],Table2[#Headers],0),0)</f>
        <v>Null</v>
      </c>
      <c r="BI784" s="2" t="str">
        <f>VLOOKUP([jobnumber],OvalData[],MATCH(Table2[[#Headers],[Inner Spring Max Turns]],Table2[#Headers],0),0)</f>
        <v>Null</v>
      </c>
      <c r="BJ784" s="2" t="str">
        <f>VLOOKUP([jobnumber],OvalData[],MATCH(Table2[[#Headers],[Inner Spring Weight]],Table2[#Headers],0),0)</f>
        <v>Null</v>
      </c>
      <c r="BK784" s="2">
        <f>VLOOKUP([jobnumber],OvalData[],MATCH(Table2[[#Headers],[Cycles]],Table2[#Headers],0),0)</f>
        <v>0</v>
      </c>
      <c r="BL784" s="2">
        <f>VLOOKUP([jobnumber],OvalData[],MATCH(Table2[[#Headers],[Total Spring Torque]],Table2[#Headers],0),0)</f>
        <v>0</v>
      </c>
      <c r="BM784" s="2">
        <f>VLOOKUP([jobnumber],OvalData[],MATCH(Table2[[#Headers],[Total Spring Weight]],Table2[#Headers],0),0)</f>
        <v>0</v>
      </c>
      <c r="BN784" s="2">
        <f>VLOOKUP([jobnumber],OvalData[],MATCH(Table2[[#Headers],[Pipe Weight]],Table2[#Headers],0),0)</f>
        <v>688.24239999999998</v>
      </c>
      <c r="BO784" s="2">
        <f>VLOOKUP([jobnumber],OvalData[],MATCH(Table2[[#Headers],[Max Pipe Deflection]],Table2[#Headers],0),0)</f>
        <v>2309</v>
      </c>
      <c r="BP784" s="2">
        <f>VLOOKUP([jobnumber],OvalData[],MATCH(Table2[[#Headers],[Number Non-Insulated Wrap Slats]],Table2[#Headers],0),0)</f>
        <v>0</v>
      </c>
      <c r="BQ784" s="2">
        <f>VLOOKUP([jobnumber],OvalData[],MATCH(Table2[[#Headers],[Number of Insolated Top Slats]],Table2[#Headers],0),0)</f>
        <v>45</v>
      </c>
      <c r="BR784" s="2">
        <f>VLOOKUP([jobnumber],OvalData[],MATCH(Table2[[#Headers],[Insolated Total Slats]],Table2[#Headers],0),0)</f>
        <v>45</v>
      </c>
      <c r="BS784" s="2">
        <f>VLOOKUP([jobnumber],OvalData[],MATCH(Table2[[#Headers],[Number of Slats]],Table2[#Headers],0),0)</f>
        <v>44.69</v>
      </c>
      <c r="BT784" s="2">
        <f>VLOOKUP([jobnumber],OvalData[],MATCH(Table2[[#Headers],[Wrap]],Table2[#Headers],0),0)</f>
        <v>0</v>
      </c>
      <c r="BU784" s="2">
        <f>VLOOKUP([jobnumber],OvalData[],MATCH(Table2[[#Headers],[Wall Angle Thickness]],Table2[#Headers],0),0)</f>
        <v>0</v>
      </c>
      <c r="BV784" s="2">
        <f>VLOOKUP([jobnumber],OvalData[],MATCH(Table2[[#Headers],[windlocks]],Table2[#Headers],0),0)</f>
        <v>0</v>
      </c>
      <c r="BW784" s="2" t="str">
        <f>VLOOKUP([jobnumber],OvalData[],MATCH(Table2[[#Headers],[bottombartype]],Table2[#Headers],0),0)</f>
        <v>SPECIAL</v>
      </c>
      <c r="BX784" s="2">
        <f>VLOOKUP([jobnumber],OvalData[],MATCH(Table2[[#Headers],[endlockweight]],Table2[#Headers],0),0)</f>
        <v>0.17</v>
      </c>
      <c r="BY784" s="2">
        <f>VLOOKUP([jobnumber],OvalData[],MATCH(Table2[[#Headers],[Endlock Total Weight]],Table2[#Headers],0),0)</f>
        <v>7.5972999999999997</v>
      </c>
      <c r="BZ784" s="2">
        <f>VLOOKUP([jobnumber],OvalData[],MATCH(Table2[[#Headers],[Grille Weight]],Table2[#Headers],0),0)</f>
        <v>0</v>
      </c>
      <c r="CA784" s="2">
        <f>VLOOKUP([jobnumber],OvalData[],MATCH(Table2[[#Headers],[barrelrings]],Table2[#Headers],0),0)</f>
        <v>1</v>
      </c>
    </row>
    <row r="785" spans="2:79">
      <c r="B785" s="2" t="str">
        <f>VLOOKUP([jobnumber],OvalData[],MATCH(Table2[[#Headers],[Hand]],Table2[#Headers],0),0)</f>
        <v>RH</v>
      </c>
      <c r="C785" s="2" t="str">
        <f>VLOOKUP([jobnumber],OvalData[],MATCH(Table2[[#Headers],[Model]],Table2[#Headers],0),0)</f>
        <v>SFMPP</v>
      </c>
      <c r="D785" s="2" t="str">
        <f>VLOOKUP([jobnumber],OvalData[],MATCH(Table2[[#Headers],[width]],Table2[#Headers],0),0)</f>
        <v xml:space="preserve"> 18 ft.- 2"</v>
      </c>
      <c r="E785" s="2" t="str">
        <f>VLOOKUP([jobnumber],OvalData[],MATCH(Table2[[#Headers],[stopheight]],Table2[#Headers],0),0)</f>
        <v xml:space="preserve"> 10 ft.- 0"</v>
      </c>
      <c r="F785" s="2" t="str">
        <f>VLOOKUP([jobnumber],OvalData[],MATCH(Table2[[#Headers],[Between Brackets]],Table2[#Headers],0),0)</f>
        <v xml:space="preserve"> 18 ft.- 7 7/ 8"</v>
      </c>
      <c r="G785" s="2" t="str">
        <f>VLOOKUP([jobnumber],OvalData[],MATCH(Table2[[#Headers],[shell]],Table2[#Headers],0),0)</f>
        <v>6 INCH TUBE</v>
      </c>
      <c r="H785" s="2" t="str">
        <f>VLOOKUP([jobnumber],OvalData[],MATCH(Table2[[#Headers],[pipewidth]],Table2[#Headers],0),0)</f>
        <v xml:space="preserve"> 18 ft.- 1 3/ 8"</v>
      </c>
      <c r="I785" s="2">
        <f>VLOOKUP([jobnumber],OvalData[],MATCH(Table2[[#Headers],[Support Tubes]],Table2[#Headers],0),0)</f>
        <v>0</v>
      </c>
      <c r="J785" s="2">
        <f>VLOOKUP([jobnumber],OvalData[],MATCH(Table2[[#Headers],[Upset]],Table2[#Headers],0),0)</f>
        <v>2</v>
      </c>
      <c r="K785" s="2" t="str">
        <f>VLOOKUP([jobnumber],OvalData[],MATCH(Table2[[#Headers],[Guide Type]],Table2[#Headers],0),0)</f>
        <v>SN2-4 5/8-E</v>
      </c>
      <c r="L785" s="2" t="str">
        <f>VLOOKUP([jobnumber],OvalData[],MATCH(Table2[[#Headers],[Wall Angle]],Table2[#Headers],0),0)</f>
        <v xml:space="preserve"> 11 ft.- 8"</v>
      </c>
      <c r="M785" s="2" t="str">
        <f>VLOOKUP([jobnumber],OvalData[],MATCH(Table2[[#Headers],[Middle Angle]],Table2[#Headers],0),0)</f>
        <v xml:space="preserve"> 10 ft.- 4 1/ 2"</v>
      </c>
      <c r="N785" s="2" t="str">
        <f>VLOOKUP([jobnumber],OvalData[],MATCH(Table2[[#Headers],[Front Angle]],Table2[#Headers],0),0)</f>
        <v xml:space="preserve"> 10 ft.- 3"</v>
      </c>
      <c r="O785" s="2">
        <f>VLOOKUP([jobnumber],OvalData[],MATCH(Table2[[#Headers],[Pipe Center Line]],Table2[#Headers],0),0)</f>
        <v>131</v>
      </c>
      <c r="P785" s="2">
        <f>VLOOKUP([jobnumber],OvalData[],MATCH(Table2[[#Headers],[Heat Expansion Gap]],Table2[#Headers],0),0)</f>
        <v>0</v>
      </c>
      <c r="Q785" s="2">
        <f>VLOOKUP([jobnumber],OvalData[],MATCH(Table2[[#Headers],[Hanging Weight Closed]],Table2[#Headers],0),0)</f>
        <v>795</v>
      </c>
      <c r="R785" s="2">
        <f>VLOOKUP([jobnumber],OvalData[],MATCH(Table2[[#Headers],[Hanging Weight Open]],Table2[#Headers],0),0)</f>
        <v>140</v>
      </c>
      <c r="S785" s="2">
        <f>VLOOKUP([jobnumber],OvalData[],MATCH(Table2[[#Headers],[Initial Lever Arm]],Table2[#Headers],0),0)</f>
        <v>4.25</v>
      </c>
      <c r="T785" s="2">
        <f>VLOOKUP([jobnumber],OvalData[],MATCH(Table2[[#Headers],[Turns to Raise]],Table2[#Headers],0),0)</f>
        <v>3.5859999999999999</v>
      </c>
      <c r="U785" s="2">
        <f>VLOOKUP([jobnumber],OvalData[],MATCH(Table2[[#Headers],[Final Lever Arm]],Table2[#Headers],0),0)</f>
        <v>6.37</v>
      </c>
      <c r="V785" s="2">
        <f>VLOOKUP([jobnumber],OvalData[],MATCH(Table2[[#Headers],[Torque Required Closed]],Table2[#Headers],0),0)</f>
        <v>3377.9</v>
      </c>
      <c r="W785" s="2">
        <f>VLOOKUP([jobnumber],OvalData[],MATCH(Table2[[#Headers],[Torque Required Open]],Table2[#Headers],0),0)</f>
        <v>892</v>
      </c>
      <c r="X785" s="2">
        <f>VLOOKUP([jobnumber],OvalData[],MATCH(Table2[[#Headers],[Pre Turns]],Table2[#Headers],0),0)</f>
        <v>1.3332999999999999</v>
      </c>
      <c r="Y785" s="2">
        <f>VLOOKUP([jobnumber],OvalData[],MATCH(Table2[[#Headers],[Required Torque Per Turn]],Table2[#Headers],0),0)</f>
        <v>688</v>
      </c>
      <c r="Z785" s="2">
        <f>VLOOKUP([jobnumber],OvalData[],MATCH(Table2[[#Headers],[Total Turns]],Table2[#Headers],0),0)</f>
        <v>4.91</v>
      </c>
      <c r="AA785" s="2">
        <f>VLOOKUP([jobnumber],OvalData[],MATCH(Table2[[#Headers],[Grille Vision Section]],Table2[#Headers],0),0)</f>
        <v>0</v>
      </c>
      <c r="AB785" s="2">
        <f>VLOOKUP([jobnumber],OvalData[],MATCH(Table2[[#Headers],[Grille Amount]],Table2[#Headers],0),0)</f>
        <v>0</v>
      </c>
      <c r="AC785" s="2">
        <f>VLOOKUP([jobnumber],OvalData[],MATCH(Table2[[#Headers],[Grille Center]],Table2[#Headers],0),0)</f>
        <v>0</v>
      </c>
      <c r="AD785" s="2">
        <f>VLOOKUP([jobnumber],OvalData[],MATCH(Table2[[#Headers],[Grille Pattern]],Table2[#Headers],0),0)</f>
        <v>0</v>
      </c>
      <c r="AE785" s="2">
        <f>VLOOKUP([jobnumber],OvalData[],MATCH(Table2[[#Headers],[Grille First Tube]],Table2[#Headers],0),0)</f>
        <v>0</v>
      </c>
      <c r="AF785" s="2">
        <f>VLOOKUP([jobnumber],OvalData[],MATCH(Table2[[#Headers],[Grille Standard Tube]],Table2[#Headers],0),0)</f>
        <v>0</v>
      </c>
      <c r="AG785" s="2">
        <f>VLOOKUP([jobnumber],OvalData[],MATCH(Table2[[#Headers],[Grille Total Links]],Table2[#Headers],0),0)</f>
        <v>0</v>
      </c>
      <c r="AH785" s="2">
        <f>VLOOKUP([jobnumber],OvalData[],MATCH(Table2[[#Headers],[Grille Rods]],Table2[#Headers],0),0)</f>
        <v>0</v>
      </c>
      <c r="AI785" s="2">
        <f>VLOOKUP([jobnumber],OvalData[],MATCH(Table2[[#Headers],[Grille Rod Length]],Table2[#Headers],0),0)</f>
        <v>0</v>
      </c>
      <c r="AJ785" s="2">
        <f>VLOOKUP([jobnumber],OvalData[],MATCH(Table2[[#Headers],[slattype]],Table2[#Headers],0),0)</f>
        <v>2</v>
      </c>
      <c r="AK785" s="2">
        <f>VLOOKUP([jobnumber],OvalData[],MATCH(Table2[[#Headers],[slatgage]],Table2[#Headers],0),0)</f>
        <v>18</v>
      </c>
      <c r="AL785" s="2">
        <f>VLOOKUP([jobnumber],OvalData[],MATCH(Table2[[#Headers],[Numer of Top Slats]],Table2[#Headers],0),0)</f>
        <v>0</v>
      </c>
      <c r="AM785" s="2">
        <f>VLOOKUP([jobnumber],OvalData[],MATCH(Table2[[#Headers],[Number of Bottom Slats]],Table2[#Headers],0),0)</f>
        <v>0</v>
      </c>
      <c r="AN785" s="2">
        <f>VLOOKUP([jobnumber],OvalData[],MATCH(Table2[[#Headers],[Solid Bottom Height]],Table2[#Headers],0),0)</f>
        <v>0</v>
      </c>
      <c r="AO785" s="2" t="str">
        <f>VLOOKUP([jobnumber],OvalData[],MATCH(Table2[[#Headers],[slatlength]],Table2[#Headers],0),0)</f>
        <v xml:space="preserve"> 18 ft.- 5 7/ 8"</v>
      </c>
      <c r="AP785" s="2">
        <f>VLOOKUP([jobnumber],OvalData[],MATCH(Table2[[#Headers],[Bottom Slat Length]],Table2[#Headers],0),0)</f>
        <v>0</v>
      </c>
      <c r="AQ785" s="2">
        <f>VLOOKUP([jobnumber],OvalData[],MATCH(Table2[[#Headers],[Number of Perferated Slats]],Table2[#Headers],0),0)</f>
        <v>0</v>
      </c>
      <c r="AR785" s="2">
        <f>VLOOKUP([jobnumber],OvalData[],MATCH(Table2[[#Headers],[First Preferated Slat From End]],Table2[#Headers],0),0)</f>
        <v>0</v>
      </c>
      <c r="AS785" s="2">
        <f>VLOOKUP([jobnumber],OvalData[],MATCH(Table2[[#Headers],[First Preferated Slat From Bottom]],Table2[#Headers],0),0)</f>
        <v>0</v>
      </c>
      <c r="AT785" s="2">
        <f>VLOOKUP([jobnumber],OvalData[],MATCH(Table2[[#Headers],[Total Number of Slats]],Table2[#Headers],0),0)</f>
        <v>51</v>
      </c>
      <c r="AU785" s="2">
        <f>VLOOKUP([jobnumber],OvalData[],MATCH(Table2[[#Headers],[Bottom Bar Slope]],Table2[#Headers],0),0)</f>
        <v>0</v>
      </c>
      <c r="AV785" s="2">
        <f>VLOOKUP([jobnumber],OvalData[],MATCH(Table2[[#Headers],[Bottom Bar Weight]],Table2[#Headers],0),0)</f>
        <v>80.5</v>
      </c>
      <c r="AW785" s="2" t="str">
        <f>VLOOKUP([jobnumber],OvalData[],MATCH(Table2[[#Headers],[Outer Spring Gage]],Table2[#Headers],0),0)</f>
        <v>Null</v>
      </c>
      <c r="AX785" s="2" t="str">
        <f>VLOOKUP([jobnumber],OvalData[],MATCH(Table2[[#Headers],[Outer Spring OD]],Table2[#Headers],0),0)</f>
        <v>Null</v>
      </c>
      <c r="AY785" s="2" t="str">
        <f>VLOOKUP([jobnumber],OvalData[],MATCH(Table2[[#Headers],[Outer Spring Length]],Table2[#Headers],0),0)</f>
        <v>Null</v>
      </c>
      <c r="AZ785" s="2" t="str">
        <f>VLOOKUP([jobnumber],OvalData[],MATCH(Table2[[#Headers],[Outer Spring Stretch]],Table2[#Headers],0),0)</f>
        <v>Null</v>
      </c>
      <c r="BA785" s="2" t="str">
        <f>VLOOKUP([jobnumber],OvalData[],MATCH(Table2[[#Headers],[Outer Spring Torque]],Table2[#Headers],0),0)</f>
        <v>Null</v>
      </c>
      <c r="BB785" s="2" t="str">
        <f>VLOOKUP([jobnumber],OvalData[],MATCH(Table2[[#Headers],[Outer Spring Max Turns]],Table2[#Headers],0),0)</f>
        <v>Null</v>
      </c>
      <c r="BC785" s="2" t="str">
        <f>VLOOKUP([jobnumber],OvalData[],MATCH(Table2[[#Headers],[Outer Spring Weight]],Table2[#Headers],0),0)</f>
        <v>Null</v>
      </c>
      <c r="BD785" s="2" t="str">
        <f>VLOOKUP([jobnumber],OvalData[],MATCH(Table2[[#Headers],[Inner Spring Gage]],Table2[#Headers],0),0)</f>
        <v>Null</v>
      </c>
      <c r="BE785" s="2" t="str">
        <f>VLOOKUP([jobnumber],OvalData[],MATCH(Table2[[#Headers],[Inner Spring OD]],Table2[#Headers],0),0)</f>
        <v>Null</v>
      </c>
      <c r="BF785" s="2" t="str">
        <f>VLOOKUP([jobnumber],OvalData[],MATCH(Table2[[#Headers],[Inner Spring Length]],Table2[#Headers],0),0)</f>
        <v>Null</v>
      </c>
      <c r="BG785" s="2" t="str">
        <f>VLOOKUP([jobnumber],OvalData[],MATCH(Table2[[#Headers],[Inner Spring Stretch]],Table2[#Headers],0),0)</f>
        <v>Null</v>
      </c>
      <c r="BH785" s="2" t="str">
        <f>VLOOKUP([jobnumber],OvalData[],MATCH(Table2[[#Headers],[Inner Spring Torque]],Table2[#Headers],0),0)</f>
        <v>Null</v>
      </c>
      <c r="BI785" s="2" t="str">
        <f>VLOOKUP([jobnumber],OvalData[],MATCH(Table2[[#Headers],[Inner Spring Max Turns]],Table2[#Headers],0),0)</f>
        <v>Null</v>
      </c>
      <c r="BJ785" s="2" t="str">
        <f>VLOOKUP([jobnumber],OvalData[],MATCH(Table2[[#Headers],[Inner Spring Weight]],Table2[#Headers],0),0)</f>
        <v>Null</v>
      </c>
      <c r="BK785" s="2">
        <f>VLOOKUP([jobnumber],OvalData[],MATCH(Table2[[#Headers],[Cycles]],Table2[#Headers],0),0)</f>
        <v>0</v>
      </c>
      <c r="BL785" s="2">
        <f>VLOOKUP([jobnumber],OvalData[],MATCH(Table2[[#Headers],[Total Spring Torque]],Table2[#Headers],0),0)</f>
        <v>0</v>
      </c>
      <c r="BM785" s="2">
        <f>VLOOKUP([jobnumber],OvalData[],MATCH(Table2[[#Headers],[Total Spring Weight]],Table2[#Headers],0),0)</f>
        <v>0</v>
      </c>
      <c r="BN785" s="2">
        <f>VLOOKUP([jobnumber],OvalData[],MATCH(Table2[[#Headers],[Pipe Weight]],Table2[#Headers],0),0)</f>
        <v>688.24239999999998</v>
      </c>
      <c r="BO785" s="2">
        <f>VLOOKUP([jobnumber],OvalData[],MATCH(Table2[[#Headers],[Max Pipe Deflection]],Table2[#Headers],0),0)</f>
        <v>2309</v>
      </c>
      <c r="BP785" s="2">
        <f>VLOOKUP([jobnumber],OvalData[],MATCH(Table2[[#Headers],[Number Non-Insulated Wrap Slats]],Table2[#Headers],0),0)</f>
        <v>0</v>
      </c>
      <c r="BQ785" s="2">
        <f>VLOOKUP([jobnumber],OvalData[],MATCH(Table2[[#Headers],[Number of Insolated Top Slats]],Table2[#Headers],0),0)</f>
        <v>45</v>
      </c>
      <c r="BR785" s="2">
        <f>VLOOKUP([jobnumber],OvalData[],MATCH(Table2[[#Headers],[Insolated Total Slats]],Table2[#Headers],0),0)</f>
        <v>45</v>
      </c>
      <c r="BS785" s="2">
        <f>VLOOKUP([jobnumber],OvalData[],MATCH(Table2[[#Headers],[Number of Slats]],Table2[#Headers],0),0)</f>
        <v>44.69</v>
      </c>
      <c r="BT785" s="2">
        <f>VLOOKUP([jobnumber],OvalData[],MATCH(Table2[[#Headers],[Wrap]],Table2[#Headers],0),0)</f>
        <v>0</v>
      </c>
      <c r="BU785" s="2">
        <f>VLOOKUP([jobnumber],OvalData[],MATCH(Table2[[#Headers],[Wall Angle Thickness]],Table2[#Headers],0),0)</f>
        <v>0</v>
      </c>
      <c r="BV785" s="2">
        <f>VLOOKUP([jobnumber],OvalData[],MATCH(Table2[[#Headers],[windlocks]],Table2[#Headers],0),0)</f>
        <v>0</v>
      </c>
      <c r="BW785" s="2" t="str">
        <f>VLOOKUP([jobnumber],OvalData[],MATCH(Table2[[#Headers],[bottombartype]],Table2[#Headers],0),0)</f>
        <v>SPECIAL</v>
      </c>
      <c r="BX785" s="2">
        <f>VLOOKUP([jobnumber],OvalData[],MATCH(Table2[[#Headers],[endlockweight]],Table2[#Headers],0),0)</f>
        <v>0.17</v>
      </c>
      <c r="BY785" s="2">
        <f>VLOOKUP([jobnumber],OvalData[],MATCH(Table2[[#Headers],[Endlock Total Weight]],Table2[#Headers],0),0)</f>
        <v>7.5972999999999997</v>
      </c>
      <c r="BZ785" s="2">
        <f>VLOOKUP([jobnumber],OvalData[],MATCH(Table2[[#Headers],[Grille Weight]],Table2[#Headers],0),0)</f>
        <v>0</v>
      </c>
      <c r="CA785" s="2">
        <f>VLOOKUP([jobnumber],OvalData[],MATCH(Table2[[#Headers],[barrelrings]],Table2[#Headers],0),0)</f>
        <v>1</v>
      </c>
    </row>
    <row r="786" spans="2:79">
      <c r="B786" s="2" t="str">
        <f>VLOOKUP([jobnumber],OvalData[],MATCH(Table2[[#Headers],[Hand]],Table2[#Headers],0),0)</f>
        <v>RH</v>
      </c>
      <c r="C786" s="2" t="str">
        <f>VLOOKUP([jobnumber],OvalData[],MATCH(Table2[[#Headers],[Model]],Table2[#Headers],0),0)</f>
        <v>SFMPP</v>
      </c>
      <c r="D786" s="2" t="str">
        <f>VLOOKUP([jobnumber],OvalData[],MATCH(Table2[[#Headers],[width]],Table2[#Headers],0),0)</f>
        <v xml:space="preserve"> 18 ft.- 2"</v>
      </c>
      <c r="E786" s="2" t="str">
        <f>VLOOKUP([jobnumber],OvalData[],MATCH(Table2[[#Headers],[stopheight]],Table2[#Headers],0),0)</f>
        <v xml:space="preserve"> 10 ft.- 0"</v>
      </c>
      <c r="F786" s="2" t="str">
        <f>VLOOKUP([jobnumber],OvalData[],MATCH(Table2[[#Headers],[Between Brackets]],Table2[#Headers],0),0)</f>
        <v xml:space="preserve"> 18 ft.- 7 7/ 8"</v>
      </c>
      <c r="G786" s="2" t="str">
        <f>VLOOKUP([jobnumber],OvalData[],MATCH(Table2[[#Headers],[shell]],Table2[#Headers],0),0)</f>
        <v>6 INCH TUBE</v>
      </c>
      <c r="H786" s="2" t="str">
        <f>VLOOKUP([jobnumber],OvalData[],MATCH(Table2[[#Headers],[pipewidth]],Table2[#Headers],0),0)</f>
        <v xml:space="preserve"> 18 ft.- 1 3/ 8"</v>
      </c>
      <c r="I786" s="2">
        <f>VLOOKUP([jobnumber],OvalData[],MATCH(Table2[[#Headers],[Support Tubes]],Table2[#Headers],0),0)</f>
        <v>0</v>
      </c>
      <c r="J786" s="2">
        <f>VLOOKUP([jobnumber],OvalData[],MATCH(Table2[[#Headers],[Upset]],Table2[#Headers],0),0)</f>
        <v>2</v>
      </c>
      <c r="K786" s="2" t="str">
        <f>VLOOKUP([jobnumber],OvalData[],MATCH(Table2[[#Headers],[Guide Type]],Table2[#Headers],0),0)</f>
        <v>SN2-4 5/8-E</v>
      </c>
      <c r="L786" s="2" t="str">
        <f>VLOOKUP([jobnumber],OvalData[],MATCH(Table2[[#Headers],[Wall Angle]],Table2[#Headers],0),0)</f>
        <v xml:space="preserve"> 11 ft.- 8"</v>
      </c>
      <c r="M786" s="2" t="str">
        <f>VLOOKUP([jobnumber],OvalData[],MATCH(Table2[[#Headers],[Middle Angle]],Table2[#Headers],0),0)</f>
        <v xml:space="preserve"> 10 ft.- 4 1/ 2"</v>
      </c>
      <c r="N786" s="2" t="str">
        <f>VLOOKUP([jobnumber],OvalData[],MATCH(Table2[[#Headers],[Front Angle]],Table2[#Headers],0),0)</f>
        <v xml:space="preserve"> 10 ft.- 3"</v>
      </c>
      <c r="O786" s="2">
        <f>VLOOKUP([jobnumber],OvalData[],MATCH(Table2[[#Headers],[Pipe Center Line]],Table2[#Headers],0),0)</f>
        <v>131</v>
      </c>
      <c r="P786" s="2">
        <f>VLOOKUP([jobnumber],OvalData[],MATCH(Table2[[#Headers],[Heat Expansion Gap]],Table2[#Headers],0),0)</f>
        <v>0</v>
      </c>
      <c r="Q786" s="2">
        <f>VLOOKUP([jobnumber],OvalData[],MATCH(Table2[[#Headers],[Hanging Weight Closed]],Table2[#Headers],0),0)</f>
        <v>795</v>
      </c>
      <c r="R786" s="2">
        <f>VLOOKUP([jobnumber],OvalData[],MATCH(Table2[[#Headers],[Hanging Weight Open]],Table2[#Headers],0),0)</f>
        <v>140</v>
      </c>
      <c r="S786" s="2">
        <f>VLOOKUP([jobnumber],OvalData[],MATCH(Table2[[#Headers],[Initial Lever Arm]],Table2[#Headers],0),0)</f>
        <v>4.25</v>
      </c>
      <c r="T786" s="2">
        <f>VLOOKUP([jobnumber],OvalData[],MATCH(Table2[[#Headers],[Turns to Raise]],Table2[#Headers],0),0)</f>
        <v>3.5859999999999999</v>
      </c>
      <c r="U786" s="2">
        <f>VLOOKUP([jobnumber],OvalData[],MATCH(Table2[[#Headers],[Final Lever Arm]],Table2[#Headers],0),0)</f>
        <v>6.37</v>
      </c>
      <c r="V786" s="2">
        <f>VLOOKUP([jobnumber],OvalData[],MATCH(Table2[[#Headers],[Torque Required Closed]],Table2[#Headers],0),0)</f>
        <v>3377.9</v>
      </c>
      <c r="W786" s="2">
        <f>VLOOKUP([jobnumber],OvalData[],MATCH(Table2[[#Headers],[Torque Required Open]],Table2[#Headers],0),0)</f>
        <v>892</v>
      </c>
      <c r="X786" s="2">
        <f>VLOOKUP([jobnumber],OvalData[],MATCH(Table2[[#Headers],[Pre Turns]],Table2[#Headers],0),0)</f>
        <v>1.3332999999999999</v>
      </c>
      <c r="Y786" s="2">
        <f>VLOOKUP([jobnumber],OvalData[],MATCH(Table2[[#Headers],[Required Torque Per Turn]],Table2[#Headers],0),0)</f>
        <v>688</v>
      </c>
      <c r="Z786" s="2">
        <f>VLOOKUP([jobnumber],OvalData[],MATCH(Table2[[#Headers],[Total Turns]],Table2[#Headers],0),0)</f>
        <v>4.91</v>
      </c>
      <c r="AA786" s="2">
        <f>VLOOKUP([jobnumber],OvalData[],MATCH(Table2[[#Headers],[Grille Vision Section]],Table2[#Headers],0),0)</f>
        <v>0</v>
      </c>
      <c r="AB786" s="2">
        <f>VLOOKUP([jobnumber],OvalData[],MATCH(Table2[[#Headers],[Grille Amount]],Table2[#Headers],0),0)</f>
        <v>0</v>
      </c>
      <c r="AC786" s="2">
        <f>VLOOKUP([jobnumber],OvalData[],MATCH(Table2[[#Headers],[Grille Center]],Table2[#Headers],0),0)</f>
        <v>0</v>
      </c>
      <c r="AD786" s="2">
        <f>VLOOKUP([jobnumber],OvalData[],MATCH(Table2[[#Headers],[Grille Pattern]],Table2[#Headers],0),0)</f>
        <v>0</v>
      </c>
      <c r="AE786" s="2">
        <f>VLOOKUP([jobnumber],OvalData[],MATCH(Table2[[#Headers],[Grille First Tube]],Table2[#Headers],0),0)</f>
        <v>0</v>
      </c>
      <c r="AF786" s="2">
        <f>VLOOKUP([jobnumber],OvalData[],MATCH(Table2[[#Headers],[Grille Standard Tube]],Table2[#Headers],0),0)</f>
        <v>0</v>
      </c>
      <c r="AG786" s="2">
        <f>VLOOKUP([jobnumber],OvalData[],MATCH(Table2[[#Headers],[Grille Total Links]],Table2[#Headers],0),0)</f>
        <v>0</v>
      </c>
      <c r="AH786" s="2">
        <f>VLOOKUP([jobnumber],OvalData[],MATCH(Table2[[#Headers],[Grille Rods]],Table2[#Headers],0),0)</f>
        <v>0</v>
      </c>
      <c r="AI786" s="2">
        <f>VLOOKUP([jobnumber],OvalData[],MATCH(Table2[[#Headers],[Grille Rod Length]],Table2[#Headers],0),0)</f>
        <v>0</v>
      </c>
      <c r="AJ786" s="2">
        <f>VLOOKUP([jobnumber],OvalData[],MATCH(Table2[[#Headers],[slattype]],Table2[#Headers],0),0)</f>
        <v>2</v>
      </c>
      <c r="AK786" s="2">
        <f>VLOOKUP([jobnumber],OvalData[],MATCH(Table2[[#Headers],[slatgage]],Table2[#Headers],0),0)</f>
        <v>18</v>
      </c>
      <c r="AL786" s="2">
        <f>VLOOKUP([jobnumber],OvalData[],MATCH(Table2[[#Headers],[Numer of Top Slats]],Table2[#Headers],0),0)</f>
        <v>0</v>
      </c>
      <c r="AM786" s="2">
        <f>VLOOKUP([jobnumber],OvalData[],MATCH(Table2[[#Headers],[Number of Bottom Slats]],Table2[#Headers],0),0)</f>
        <v>0</v>
      </c>
      <c r="AN786" s="2">
        <f>VLOOKUP([jobnumber],OvalData[],MATCH(Table2[[#Headers],[Solid Bottom Height]],Table2[#Headers],0),0)</f>
        <v>0</v>
      </c>
      <c r="AO786" s="2" t="str">
        <f>VLOOKUP([jobnumber],OvalData[],MATCH(Table2[[#Headers],[slatlength]],Table2[#Headers],0),0)</f>
        <v xml:space="preserve"> 18 ft.- 5 7/ 8"</v>
      </c>
      <c r="AP786" s="2">
        <f>VLOOKUP([jobnumber],OvalData[],MATCH(Table2[[#Headers],[Bottom Slat Length]],Table2[#Headers],0),0)</f>
        <v>0</v>
      </c>
      <c r="AQ786" s="2">
        <f>VLOOKUP([jobnumber],OvalData[],MATCH(Table2[[#Headers],[Number of Perferated Slats]],Table2[#Headers],0),0)</f>
        <v>0</v>
      </c>
      <c r="AR786" s="2">
        <f>VLOOKUP([jobnumber],OvalData[],MATCH(Table2[[#Headers],[First Preferated Slat From End]],Table2[#Headers],0),0)</f>
        <v>0</v>
      </c>
      <c r="AS786" s="2">
        <f>VLOOKUP([jobnumber],OvalData[],MATCH(Table2[[#Headers],[First Preferated Slat From Bottom]],Table2[#Headers],0),0)</f>
        <v>0</v>
      </c>
      <c r="AT786" s="2">
        <f>VLOOKUP([jobnumber],OvalData[],MATCH(Table2[[#Headers],[Total Number of Slats]],Table2[#Headers],0),0)</f>
        <v>51</v>
      </c>
      <c r="AU786" s="2">
        <f>VLOOKUP([jobnumber],OvalData[],MATCH(Table2[[#Headers],[Bottom Bar Slope]],Table2[#Headers],0),0)</f>
        <v>0</v>
      </c>
      <c r="AV786" s="2">
        <f>VLOOKUP([jobnumber],OvalData[],MATCH(Table2[[#Headers],[Bottom Bar Weight]],Table2[#Headers],0),0)</f>
        <v>80.5</v>
      </c>
      <c r="AW786" s="2" t="str">
        <f>VLOOKUP([jobnumber],OvalData[],MATCH(Table2[[#Headers],[Outer Spring Gage]],Table2[#Headers],0),0)</f>
        <v>Null</v>
      </c>
      <c r="AX786" s="2" t="str">
        <f>VLOOKUP([jobnumber],OvalData[],MATCH(Table2[[#Headers],[Outer Spring OD]],Table2[#Headers],0),0)</f>
        <v>Null</v>
      </c>
      <c r="AY786" s="2" t="str">
        <f>VLOOKUP([jobnumber],OvalData[],MATCH(Table2[[#Headers],[Outer Spring Length]],Table2[#Headers],0),0)</f>
        <v>Null</v>
      </c>
      <c r="AZ786" s="2" t="str">
        <f>VLOOKUP([jobnumber],OvalData[],MATCH(Table2[[#Headers],[Outer Spring Stretch]],Table2[#Headers],0),0)</f>
        <v>Null</v>
      </c>
      <c r="BA786" s="2" t="str">
        <f>VLOOKUP([jobnumber],OvalData[],MATCH(Table2[[#Headers],[Outer Spring Torque]],Table2[#Headers],0),0)</f>
        <v>Null</v>
      </c>
      <c r="BB786" s="2" t="str">
        <f>VLOOKUP([jobnumber],OvalData[],MATCH(Table2[[#Headers],[Outer Spring Max Turns]],Table2[#Headers],0),0)</f>
        <v>Null</v>
      </c>
      <c r="BC786" s="2" t="str">
        <f>VLOOKUP([jobnumber],OvalData[],MATCH(Table2[[#Headers],[Outer Spring Weight]],Table2[#Headers],0),0)</f>
        <v>Null</v>
      </c>
      <c r="BD786" s="2" t="str">
        <f>VLOOKUP([jobnumber],OvalData[],MATCH(Table2[[#Headers],[Inner Spring Gage]],Table2[#Headers],0),0)</f>
        <v>Null</v>
      </c>
      <c r="BE786" s="2" t="str">
        <f>VLOOKUP([jobnumber],OvalData[],MATCH(Table2[[#Headers],[Inner Spring OD]],Table2[#Headers],0),0)</f>
        <v>Null</v>
      </c>
      <c r="BF786" s="2" t="str">
        <f>VLOOKUP([jobnumber],OvalData[],MATCH(Table2[[#Headers],[Inner Spring Length]],Table2[#Headers],0),0)</f>
        <v>Null</v>
      </c>
      <c r="BG786" s="2" t="str">
        <f>VLOOKUP([jobnumber],OvalData[],MATCH(Table2[[#Headers],[Inner Spring Stretch]],Table2[#Headers],0),0)</f>
        <v>Null</v>
      </c>
      <c r="BH786" s="2" t="str">
        <f>VLOOKUP([jobnumber],OvalData[],MATCH(Table2[[#Headers],[Inner Spring Torque]],Table2[#Headers],0),0)</f>
        <v>Null</v>
      </c>
      <c r="BI786" s="2" t="str">
        <f>VLOOKUP([jobnumber],OvalData[],MATCH(Table2[[#Headers],[Inner Spring Max Turns]],Table2[#Headers],0),0)</f>
        <v>Null</v>
      </c>
      <c r="BJ786" s="2" t="str">
        <f>VLOOKUP([jobnumber],OvalData[],MATCH(Table2[[#Headers],[Inner Spring Weight]],Table2[#Headers],0),0)</f>
        <v>Null</v>
      </c>
      <c r="BK786" s="2">
        <f>VLOOKUP([jobnumber],OvalData[],MATCH(Table2[[#Headers],[Cycles]],Table2[#Headers],0),0)</f>
        <v>0</v>
      </c>
      <c r="BL786" s="2">
        <f>VLOOKUP([jobnumber],OvalData[],MATCH(Table2[[#Headers],[Total Spring Torque]],Table2[#Headers],0),0)</f>
        <v>0</v>
      </c>
      <c r="BM786" s="2">
        <f>VLOOKUP([jobnumber],OvalData[],MATCH(Table2[[#Headers],[Total Spring Weight]],Table2[#Headers],0),0)</f>
        <v>0</v>
      </c>
      <c r="BN786" s="2">
        <f>VLOOKUP([jobnumber],OvalData[],MATCH(Table2[[#Headers],[Pipe Weight]],Table2[#Headers],0),0)</f>
        <v>688.24239999999998</v>
      </c>
      <c r="BO786" s="2">
        <f>VLOOKUP([jobnumber],OvalData[],MATCH(Table2[[#Headers],[Max Pipe Deflection]],Table2[#Headers],0),0)</f>
        <v>2309</v>
      </c>
      <c r="BP786" s="2">
        <f>VLOOKUP([jobnumber],OvalData[],MATCH(Table2[[#Headers],[Number Non-Insulated Wrap Slats]],Table2[#Headers],0),0)</f>
        <v>0</v>
      </c>
      <c r="BQ786" s="2">
        <f>VLOOKUP([jobnumber],OvalData[],MATCH(Table2[[#Headers],[Number of Insolated Top Slats]],Table2[#Headers],0),0)</f>
        <v>45</v>
      </c>
      <c r="BR786" s="2">
        <f>VLOOKUP([jobnumber],OvalData[],MATCH(Table2[[#Headers],[Insolated Total Slats]],Table2[#Headers],0),0)</f>
        <v>45</v>
      </c>
      <c r="BS786" s="2">
        <f>VLOOKUP([jobnumber],OvalData[],MATCH(Table2[[#Headers],[Number of Slats]],Table2[#Headers],0),0)</f>
        <v>44.69</v>
      </c>
      <c r="BT786" s="2">
        <f>VLOOKUP([jobnumber],OvalData[],MATCH(Table2[[#Headers],[Wrap]],Table2[#Headers],0),0)</f>
        <v>0</v>
      </c>
      <c r="BU786" s="2">
        <f>VLOOKUP([jobnumber],OvalData[],MATCH(Table2[[#Headers],[Wall Angle Thickness]],Table2[#Headers],0),0)</f>
        <v>0</v>
      </c>
      <c r="BV786" s="2">
        <f>VLOOKUP([jobnumber],OvalData[],MATCH(Table2[[#Headers],[windlocks]],Table2[#Headers],0),0)</f>
        <v>0</v>
      </c>
      <c r="BW786" s="2" t="str">
        <f>VLOOKUP([jobnumber],OvalData[],MATCH(Table2[[#Headers],[bottombartype]],Table2[#Headers],0),0)</f>
        <v>SPECIAL</v>
      </c>
      <c r="BX786" s="2">
        <f>VLOOKUP([jobnumber],OvalData[],MATCH(Table2[[#Headers],[endlockweight]],Table2[#Headers],0),0)</f>
        <v>0.17</v>
      </c>
      <c r="BY786" s="2">
        <f>VLOOKUP([jobnumber],OvalData[],MATCH(Table2[[#Headers],[Endlock Total Weight]],Table2[#Headers],0),0)</f>
        <v>7.5972999999999997</v>
      </c>
      <c r="BZ786" s="2">
        <f>VLOOKUP([jobnumber],OvalData[],MATCH(Table2[[#Headers],[Grille Weight]],Table2[#Headers],0),0)</f>
        <v>0</v>
      </c>
      <c r="CA786" s="2">
        <f>VLOOKUP([jobnumber],OvalData[],MATCH(Table2[[#Headers],[barrelrings]],Table2[#Headers],0),0)</f>
        <v>1</v>
      </c>
    </row>
    <row r="787" spans="2:79">
      <c r="B787" s="2" t="str">
        <f>VLOOKUP([jobnumber],OvalData[],MATCH(Table2[[#Headers],[Hand]],Table2[#Headers],0),0)</f>
        <v>RH</v>
      </c>
      <c r="C787" s="2" t="str">
        <f>VLOOKUP([jobnumber],OvalData[],MATCH(Table2[[#Headers],[Model]],Table2[#Headers],0),0)</f>
        <v>SFMPP</v>
      </c>
      <c r="D787" s="2" t="str">
        <f>VLOOKUP([jobnumber],OvalData[],MATCH(Table2[[#Headers],[width]],Table2[#Headers],0),0)</f>
        <v xml:space="preserve"> 18 ft.- 2"</v>
      </c>
      <c r="E787" s="2" t="str">
        <f>VLOOKUP([jobnumber],OvalData[],MATCH(Table2[[#Headers],[stopheight]],Table2[#Headers],0),0)</f>
        <v xml:space="preserve"> 10 ft.- 0"</v>
      </c>
      <c r="F787" s="2" t="str">
        <f>VLOOKUP([jobnumber],OvalData[],MATCH(Table2[[#Headers],[Between Brackets]],Table2[#Headers],0),0)</f>
        <v xml:space="preserve"> 18 ft.- 7 7/ 8"</v>
      </c>
      <c r="G787" s="2" t="str">
        <f>VLOOKUP([jobnumber],OvalData[],MATCH(Table2[[#Headers],[shell]],Table2[#Headers],0),0)</f>
        <v>6 INCH TUBE</v>
      </c>
      <c r="H787" s="2" t="str">
        <f>VLOOKUP([jobnumber],OvalData[],MATCH(Table2[[#Headers],[pipewidth]],Table2[#Headers],0),0)</f>
        <v xml:space="preserve"> 18 ft.- 1 3/ 8"</v>
      </c>
      <c r="I787" s="2">
        <f>VLOOKUP([jobnumber],OvalData[],MATCH(Table2[[#Headers],[Support Tubes]],Table2[#Headers],0),0)</f>
        <v>0</v>
      </c>
      <c r="J787" s="2">
        <f>VLOOKUP([jobnumber],OvalData[],MATCH(Table2[[#Headers],[Upset]],Table2[#Headers],0),0)</f>
        <v>2</v>
      </c>
      <c r="K787" s="2" t="str">
        <f>VLOOKUP([jobnumber],OvalData[],MATCH(Table2[[#Headers],[Guide Type]],Table2[#Headers],0),0)</f>
        <v>SN2-4 5/8-E</v>
      </c>
      <c r="L787" s="2" t="str">
        <f>VLOOKUP([jobnumber],OvalData[],MATCH(Table2[[#Headers],[Wall Angle]],Table2[#Headers],0),0)</f>
        <v xml:space="preserve"> 11 ft.- 8"</v>
      </c>
      <c r="M787" s="2" t="str">
        <f>VLOOKUP([jobnumber],OvalData[],MATCH(Table2[[#Headers],[Middle Angle]],Table2[#Headers],0),0)</f>
        <v xml:space="preserve"> 10 ft.- 4 1/ 2"</v>
      </c>
      <c r="N787" s="2" t="str">
        <f>VLOOKUP([jobnumber],OvalData[],MATCH(Table2[[#Headers],[Front Angle]],Table2[#Headers],0),0)</f>
        <v xml:space="preserve"> 10 ft.- 3"</v>
      </c>
      <c r="O787" s="2">
        <f>VLOOKUP([jobnumber],OvalData[],MATCH(Table2[[#Headers],[Pipe Center Line]],Table2[#Headers],0),0)</f>
        <v>131</v>
      </c>
      <c r="P787" s="2">
        <f>VLOOKUP([jobnumber],OvalData[],MATCH(Table2[[#Headers],[Heat Expansion Gap]],Table2[#Headers],0),0)</f>
        <v>0</v>
      </c>
      <c r="Q787" s="2">
        <f>VLOOKUP([jobnumber],OvalData[],MATCH(Table2[[#Headers],[Hanging Weight Closed]],Table2[#Headers],0),0)</f>
        <v>795</v>
      </c>
      <c r="R787" s="2">
        <f>VLOOKUP([jobnumber],OvalData[],MATCH(Table2[[#Headers],[Hanging Weight Open]],Table2[#Headers],0),0)</f>
        <v>140</v>
      </c>
      <c r="S787" s="2">
        <f>VLOOKUP([jobnumber],OvalData[],MATCH(Table2[[#Headers],[Initial Lever Arm]],Table2[#Headers],0),0)</f>
        <v>4.25</v>
      </c>
      <c r="T787" s="2">
        <f>VLOOKUP([jobnumber],OvalData[],MATCH(Table2[[#Headers],[Turns to Raise]],Table2[#Headers],0),0)</f>
        <v>3.5859999999999999</v>
      </c>
      <c r="U787" s="2">
        <f>VLOOKUP([jobnumber],OvalData[],MATCH(Table2[[#Headers],[Final Lever Arm]],Table2[#Headers],0),0)</f>
        <v>6.37</v>
      </c>
      <c r="V787" s="2">
        <f>VLOOKUP([jobnumber],OvalData[],MATCH(Table2[[#Headers],[Torque Required Closed]],Table2[#Headers],0),0)</f>
        <v>3377.9</v>
      </c>
      <c r="W787" s="2">
        <f>VLOOKUP([jobnumber],OvalData[],MATCH(Table2[[#Headers],[Torque Required Open]],Table2[#Headers],0),0)</f>
        <v>892</v>
      </c>
      <c r="X787" s="2">
        <f>VLOOKUP([jobnumber],OvalData[],MATCH(Table2[[#Headers],[Pre Turns]],Table2[#Headers],0),0)</f>
        <v>1.3332999999999999</v>
      </c>
      <c r="Y787" s="2">
        <f>VLOOKUP([jobnumber],OvalData[],MATCH(Table2[[#Headers],[Required Torque Per Turn]],Table2[#Headers],0),0)</f>
        <v>688</v>
      </c>
      <c r="Z787" s="2">
        <f>VLOOKUP([jobnumber],OvalData[],MATCH(Table2[[#Headers],[Total Turns]],Table2[#Headers],0),0)</f>
        <v>4.91</v>
      </c>
      <c r="AA787" s="2">
        <f>VLOOKUP([jobnumber],OvalData[],MATCH(Table2[[#Headers],[Grille Vision Section]],Table2[#Headers],0),0)</f>
        <v>0</v>
      </c>
      <c r="AB787" s="2">
        <f>VLOOKUP([jobnumber],OvalData[],MATCH(Table2[[#Headers],[Grille Amount]],Table2[#Headers],0),0)</f>
        <v>0</v>
      </c>
      <c r="AC787" s="2">
        <f>VLOOKUP([jobnumber],OvalData[],MATCH(Table2[[#Headers],[Grille Center]],Table2[#Headers],0),0)</f>
        <v>0</v>
      </c>
      <c r="AD787" s="2">
        <f>VLOOKUP([jobnumber],OvalData[],MATCH(Table2[[#Headers],[Grille Pattern]],Table2[#Headers],0),0)</f>
        <v>0</v>
      </c>
      <c r="AE787" s="2">
        <f>VLOOKUP([jobnumber],OvalData[],MATCH(Table2[[#Headers],[Grille First Tube]],Table2[#Headers],0),0)</f>
        <v>0</v>
      </c>
      <c r="AF787" s="2">
        <f>VLOOKUP([jobnumber],OvalData[],MATCH(Table2[[#Headers],[Grille Standard Tube]],Table2[#Headers],0),0)</f>
        <v>0</v>
      </c>
      <c r="AG787" s="2">
        <f>VLOOKUP([jobnumber],OvalData[],MATCH(Table2[[#Headers],[Grille Total Links]],Table2[#Headers],0),0)</f>
        <v>0</v>
      </c>
      <c r="AH787" s="2">
        <f>VLOOKUP([jobnumber],OvalData[],MATCH(Table2[[#Headers],[Grille Rods]],Table2[#Headers],0),0)</f>
        <v>0</v>
      </c>
      <c r="AI787" s="2">
        <f>VLOOKUP([jobnumber],OvalData[],MATCH(Table2[[#Headers],[Grille Rod Length]],Table2[#Headers],0),0)</f>
        <v>0</v>
      </c>
      <c r="AJ787" s="2">
        <f>VLOOKUP([jobnumber],OvalData[],MATCH(Table2[[#Headers],[slattype]],Table2[#Headers],0),0)</f>
        <v>2</v>
      </c>
      <c r="AK787" s="2">
        <f>VLOOKUP([jobnumber],OvalData[],MATCH(Table2[[#Headers],[slatgage]],Table2[#Headers],0),0)</f>
        <v>18</v>
      </c>
      <c r="AL787" s="2">
        <f>VLOOKUP([jobnumber],OvalData[],MATCH(Table2[[#Headers],[Numer of Top Slats]],Table2[#Headers],0),0)</f>
        <v>0</v>
      </c>
      <c r="AM787" s="2">
        <f>VLOOKUP([jobnumber],OvalData[],MATCH(Table2[[#Headers],[Number of Bottom Slats]],Table2[#Headers],0),0)</f>
        <v>0</v>
      </c>
      <c r="AN787" s="2">
        <f>VLOOKUP([jobnumber],OvalData[],MATCH(Table2[[#Headers],[Solid Bottom Height]],Table2[#Headers],0),0)</f>
        <v>0</v>
      </c>
      <c r="AO787" s="2" t="str">
        <f>VLOOKUP([jobnumber],OvalData[],MATCH(Table2[[#Headers],[slatlength]],Table2[#Headers],0),0)</f>
        <v xml:space="preserve"> 18 ft.- 5 7/ 8"</v>
      </c>
      <c r="AP787" s="2">
        <f>VLOOKUP([jobnumber],OvalData[],MATCH(Table2[[#Headers],[Bottom Slat Length]],Table2[#Headers],0),0)</f>
        <v>0</v>
      </c>
      <c r="AQ787" s="2">
        <f>VLOOKUP([jobnumber],OvalData[],MATCH(Table2[[#Headers],[Number of Perferated Slats]],Table2[#Headers],0),0)</f>
        <v>0</v>
      </c>
      <c r="AR787" s="2">
        <f>VLOOKUP([jobnumber],OvalData[],MATCH(Table2[[#Headers],[First Preferated Slat From End]],Table2[#Headers],0),0)</f>
        <v>0</v>
      </c>
      <c r="AS787" s="2">
        <f>VLOOKUP([jobnumber],OvalData[],MATCH(Table2[[#Headers],[First Preferated Slat From Bottom]],Table2[#Headers],0),0)</f>
        <v>0</v>
      </c>
      <c r="AT787" s="2">
        <f>VLOOKUP([jobnumber],OvalData[],MATCH(Table2[[#Headers],[Total Number of Slats]],Table2[#Headers],0),0)</f>
        <v>51</v>
      </c>
      <c r="AU787" s="2">
        <f>VLOOKUP([jobnumber],OvalData[],MATCH(Table2[[#Headers],[Bottom Bar Slope]],Table2[#Headers],0),0)</f>
        <v>0</v>
      </c>
      <c r="AV787" s="2">
        <f>VLOOKUP([jobnumber],OvalData[],MATCH(Table2[[#Headers],[Bottom Bar Weight]],Table2[#Headers],0),0)</f>
        <v>80.5</v>
      </c>
      <c r="AW787" s="2" t="str">
        <f>VLOOKUP([jobnumber],OvalData[],MATCH(Table2[[#Headers],[Outer Spring Gage]],Table2[#Headers],0),0)</f>
        <v>Null</v>
      </c>
      <c r="AX787" s="2" t="str">
        <f>VLOOKUP([jobnumber],OvalData[],MATCH(Table2[[#Headers],[Outer Spring OD]],Table2[#Headers],0),0)</f>
        <v>Null</v>
      </c>
      <c r="AY787" s="2" t="str">
        <f>VLOOKUP([jobnumber],OvalData[],MATCH(Table2[[#Headers],[Outer Spring Length]],Table2[#Headers],0),0)</f>
        <v>Null</v>
      </c>
      <c r="AZ787" s="2" t="str">
        <f>VLOOKUP([jobnumber],OvalData[],MATCH(Table2[[#Headers],[Outer Spring Stretch]],Table2[#Headers],0),0)</f>
        <v>Null</v>
      </c>
      <c r="BA787" s="2" t="str">
        <f>VLOOKUP([jobnumber],OvalData[],MATCH(Table2[[#Headers],[Outer Spring Torque]],Table2[#Headers],0),0)</f>
        <v>Null</v>
      </c>
      <c r="BB787" s="2" t="str">
        <f>VLOOKUP([jobnumber],OvalData[],MATCH(Table2[[#Headers],[Outer Spring Max Turns]],Table2[#Headers],0),0)</f>
        <v>Null</v>
      </c>
      <c r="BC787" s="2" t="str">
        <f>VLOOKUP([jobnumber],OvalData[],MATCH(Table2[[#Headers],[Outer Spring Weight]],Table2[#Headers],0),0)</f>
        <v>Null</v>
      </c>
      <c r="BD787" s="2" t="str">
        <f>VLOOKUP([jobnumber],OvalData[],MATCH(Table2[[#Headers],[Inner Spring Gage]],Table2[#Headers],0),0)</f>
        <v>Null</v>
      </c>
      <c r="BE787" s="2" t="str">
        <f>VLOOKUP([jobnumber],OvalData[],MATCH(Table2[[#Headers],[Inner Spring OD]],Table2[#Headers],0),0)</f>
        <v>Null</v>
      </c>
      <c r="BF787" s="2" t="str">
        <f>VLOOKUP([jobnumber],OvalData[],MATCH(Table2[[#Headers],[Inner Spring Length]],Table2[#Headers],0),0)</f>
        <v>Null</v>
      </c>
      <c r="BG787" s="2" t="str">
        <f>VLOOKUP([jobnumber],OvalData[],MATCH(Table2[[#Headers],[Inner Spring Stretch]],Table2[#Headers],0),0)</f>
        <v>Null</v>
      </c>
      <c r="BH787" s="2" t="str">
        <f>VLOOKUP([jobnumber],OvalData[],MATCH(Table2[[#Headers],[Inner Spring Torque]],Table2[#Headers],0),0)</f>
        <v>Null</v>
      </c>
      <c r="BI787" s="2" t="str">
        <f>VLOOKUP([jobnumber],OvalData[],MATCH(Table2[[#Headers],[Inner Spring Max Turns]],Table2[#Headers],0),0)</f>
        <v>Null</v>
      </c>
      <c r="BJ787" s="2" t="str">
        <f>VLOOKUP([jobnumber],OvalData[],MATCH(Table2[[#Headers],[Inner Spring Weight]],Table2[#Headers],0),0)</f>
        <v>Null</v>
      </c>
      <c r="BK787" s="2">
        <f>VLOOKUP([jobnumber],OvalData[],MATCH(Table2[[#Headers],[Cycles]],Table2[#Headers],0),0)</f>
        <v>0</v>
      </c>
      <c r="BL787" s="2">
        <f>VLOOKUP([jobnumber],OvalData[],MATCH(Table2[[#Headers],[Total Spring Torque]],Table2[#Headers],0),0)</f>
        <v>0</v>
      </c>
      <c r="BM787" s="2">
        <f>VLOOKUP([jobnumber],OvalData[],MATCH(Table2[[#Headers],[Total Spring Weight]],Table2[#Headers],0),0)</f>
        <v>0</v>
      </c>
      <c r="BN787" s="2">
        <f>VLOOKUP([jobnumber],OvalData[],MATCH(Table2[[#Headers],[Pipe Weight]],Table2[#Headers],0),0)</f>
        <v>688.24239999999998</v>
      </c>
      <c r="BO787" s="2">
        <f>VLOOKUP([jobnumber],OvalData[],MATCH(Table2[[#Headers],[Max Pipe Deflection]],Table2[#Headers],0),0)</f>
        <v>2309</v>
      </c>
      <c r="BP787" s="2">
        <f>VLOOKUP([jobnumber],OvalData[],MATCH(Table2[[#Headers],[Number Non-Insulated Wrap Slats]],Table2[#Headers],0),0)</f>
        <v>0</v>
      </c>
      <c r="BQ787" s="2">
        <f>VLOOKUP([jobnumber],OvalData[],MATCH(Table2[[#Headers],[Number of Insolated Top Slats]],Table2[#Headers],0),0)</f>
        <v>45</v>
      </c>
      <c r="BR787" s="2">
        <f>VLOOKUP([jobnumber],OvalData[],MATCH(Table2[[#Headers],[Insolated Total Slats]],Table2[#Headers],0),0)</f>
        <v>45</v>
      </c>
      <c r="BS787" s="2">
        <f>VLOOKUP([jobnumber],OvalData[],MATCH(Table2[[#Headers],[Number of Slats]],Table2[#Headers],0),0)</f>
        <v>44.69</v>
      </c>
      <c r="BT787" s="2">
        <f>VLOOKUP([jobnumber],OvalData[],MATCH(Table2[[#Headers],[Wrap]],Table2[#Headers],0),0)</f>
        <v>0</v>
      </c>
      <c r="BU787" s="2">
        <f>VLOOKUP([jobnumber],OvalData[],MATCH(Table2[[#Headers],[Wall Angle Thickness]],Table2[#Headers],0),0)</f>
        <v>0</v>
      </c>
      <c r="BV787" s="2">
        <f>VLOOKUP([jobnumber],OvalData[],MATCH(Table2[[#Headers],[windlocks]],Table2[#Headers],0),0)</f>
        <v>0</v>
      </c>
      <c r="BW787" s="2" t="str">
        <f>VLOOKUP([jobnumber],OvalData[],MATCH(Table2[[#Headers],[bottombartype]],Table2[#Headers],0),0)</f>
        <v>SPECIAL</v>
      </c>
      <c r="BX787" s="2">
        <f>VLOOKUP([jobnumber],OvalData[],MATCH(Table2[[#Headers],[endlockweight]],Table2[#Headers],0),0)</f>
        <v>0.17</v>
      </c>
      <c r="BY787" s="2">
        <f>VLOOKUP([jobnumber],OvalData[],MATCH(Table2[[#Headers],[Endlock Total Weight]],Table2[#Headers],0),0)</f>
        <v>7.5972999999999997</v>
      </c>
      <c r="BZ787" s="2">
        <f>VLOOKUP([jobnumber],OvalData[],MATCH(Table2[[#Headers],[Grille Weight]],Table2[#Headers],0),0)</f>
        <v>0</v>
      </c>
      <c r="CA787" s="2">
        <f>VLOOKUP([jobnumber],OvalData[],MATCH(Table2[[#Headers],[barrelrings]],Table2[#Headers],0),0)</f>
        <v>1</v>
      </c>
    </row>
    <row r="788" spans="2:79">
      <c r="B788" s="2" t="str">
        <f>VLOOKUP([jobnumber],OvalData[],MATCH(Table2[[#Headers],[Hand]],Table2[#Headers],0),0)</f>
        <v>RH</v>
      </c>
      <c r="C788" s="2" t="str">
        <f>VLOOKUP([jobnumber],OvalData[],MATCH(Table2[[#Headers],[Model]],Table2[#Headers],0),0)</f>
        <v>SFMPP</v>
      </c>
      <c r="D788" s="2" t="str">
        <f>VLOOKUP([jobnumber],OvalData[],MATCH(Table2[[#Headers],[width]],Table2[#Headers],0),0)</f>
        <v xml:space="preserve"> 18 ft.- 2"</v>
      </c>
      <c r="E788" s="2" t="str">
        <f>VLOOKUP([jobnumber],OvalData[],MATCH(Table2[[#Headers],[stopheight]],Table2[#Headers],0),0)</f>
        <v xml:space="preserve"> 10 ft.- 0"</v>
      </c>
      <c r="F788" s="2" t="str">
        <f>VLOOKUP([jobnumber],OvalData[],MATCH(Table2[[#Headers],[Between Brackets]],Table2[#Headers],0),0)</f>
        <v xml:space="preserve"> 18 ft.- 7 7/ 8"</v>
      </c>
      <c r="G788" s="2" t="str">
        <f>VLOOKUP([jobnumber],OvalData[],MATCH(Table2[[#Headers],[shell]],Table2[#Headers],0),0)</f>
        <v>6 INCH TUBE</v>
      </c>
      <c r="H788" s="2" t="str">
        <f>VLOOKUP([jobnumber],OvalData[],MATCH(Table2[[#Headers],[pipewidth]],Table2[#Headers],0),0)</f>
        <v xml:space="preserve"> 18 ft.- 1 3/ 8"</v>
      </c>
      <c r="I788" s="2">
        <f>VLOOKUP([jobnumber],OvalData[],MATCH(Table2[[#Headers],[Support Tubes]],Table2[#Headers],0),0)</f>
        <v>0</v>
      </c>
      <c r="J788" s="2">
        <f>VLOOKUP([jobnumber],OvalData[],MATCH(Table2[[#Headers],[Upset]],Table2[#Headers],0),0)</f>
        <v>2</v>
      </c>
      <c r="K788" s="2" t="str">
        <f>VLOOKUP([jobnumber],OvalData[],MATCH(Table2[[#Headers],[Guide Type]],Table2[#Headers],0),0)</f>
        <v>SN2-4 5/8-E</v>
      </c>
      <c r="L788" s="2" t="str">
        <f>VLOOKUP([jobnumber],OvalData[],MATCH(Table2[[#Headers],[Wall Angle]],Table2[#Headers],0),0)</f>
        <v xml:space="preserve"> 11 ft.- 8"</v>
      </c>
      <c r="M788" s="2" t="str">
        <f>VLOOKUP([jobnumber],OvalData[],MATCH(Table2[[#Headers],[Middle Angle]],Table2[#Headers],0),0)</f>
        <v xml:space="preserve"> 10 ft.- 4 1/ 2"</v>
      </c>
      <c r="N788" s="2" t="str">
        <f>VLOOKUP([jobnumber],OvalData[],MATCH(Table2[[#Headers],[Front Angle]],Table2[#Headers],0),0)</f>
        <v xml:space="preserve"> 10 ft.- 3"</v>
      </c>
      <c r="O788" s="2">
        <f>VLOOKUP([jobnumber],OvalData[],MATCH(Table2[[#Headers],[Pipe Center Line]],Table2[#Headers],0),0)</f>
        <v>131</v>
      </c>
      <c r="P788" s="2">
        <f>VLOOKUP([jobnumber],OvalData[],MATCH(Table2[[#Headers],[Heat Expansion Gap]],Table2[#Headers],0),0)</f>
        <v>0</v>
      </c>
      <c r="Q788" s="2">
        <f>VLOOKUP([jobnumber],OvalData[],MATCH(Table2[[#Headers],[Hanging Weight Closed]],Table2[#Headers],0),0)</f>
        <v>795</v>
      </c>
      <c r="R788" s="2">
        <f>VLOOKUP([jobnumber],OvalData[],MATCH(Table2[[#Headers],[Hanging Weight Open]],Table2[#Headers],0),0)</f>
        <v>140</v>
      </c>
      <c r="S788" s="2">
        <f>VLOOKUP([jobnumber],OvalData[],MATCH(Table2[[#Headers],[Initial Lever Arm]],Table2[#Headers],0),0)</f>
        <v>4.25</v>
      </c>
      <c r="T788" s="2">
        <f>VLOOKUP([jobnumber],OvalData[],MATCH(Table2[[#Headers],[Turns to Raise]],Table2[#Headers],0),0)</f>
        <v>3.5859999999999999</v>
      </c>
      <c r="U788" s="2">
        <f>VLOOKUP([jobnumber],OvalData[],MATCH(Table2[[#Headers],[Final Lever Arm]],Table2[#Headers],0),0)</f>
        <v>6.37</v>
      </c>
      <c r="V788" s="2">
        <f>VLOOKUP([jobnumber],OvalData[],MATCH(Table2[[#Headers],[Torque Required Closed]],Table2[#Headers],0),0)</f>
        <v>3377.9</v>
      </c>
      <c r="W788" s="2">
        <f>VLOOKUP([jobnumber],OvalData[],MATCH(Table2[[#Headers],[Torque Required Open]],Table2[#Headers],0),0)</f>
        <v>892</v>
      </c>
      <c r="X788" s="2">
        <f>VLOOKUP([jobnumber],OvalData[],MATCH(Table2[[#Headers],[Pre Turns]],Table2[#Headers],0),0)</f>
        <v>1.3332999999999999</v>
      </c>
      <c r="Y788" s="2">
        <f>VLOOKUP([jobnumber],OvalData[],MATCH(Table2[[#Headers],[Required Torque Per Turn]],Table2[#Headers],0),0)</f>
        <v>688</v>
      </c>
      <c r="Z788" s="2">
        <f>VLOOKUP([jobnumber],OvalData[],MATCH(Table2[[#Headers],[Total Turns]],Table2[#Headers],0),0)</f>
        <v>4.91</v>
      </c>
      <c r="AA788" s="2">
        <f>VLOOKUP([jobnumber],OvalData[],MATCH(Table2[[#Headers],[Grille Vision Section]],Table2[#Headers],0),0)</f>
        <v>0</v>
      </c>
      <c r="AB788" s="2">
        <f>VLOOKUP([jobnumber],OvalData[],MATCH(Table2[[#Headers],[Grille Amount]],Table2[#Headers],0),0)</f>
        <v>0</v>
      </c>
      <c r="AC788" s="2">
        <f>VLOOKUP([jobnumber],OvalData[],MATCH(Table2[[#Headers],[Grille Center]],Table2[#Headers],0),0)</f>
        <v>0</v>
      </c>
      <c r="AD788" s="2">
        <f>VLOOKUP([jobnumber],OvalData[],MATCH(Table2[[#Headers],[Grille Pattern]],Table2[#Headers],0),0)</f>
        <v>0</v>
      </c>
      <c r="AE788" s="2">
        <f>VLOOKUP([jobnumber],OvalData[],MATCH(Table2[[#Headers],[Grille First Tube]],Table2[#Headers],0),0)</f>
        <v>0</v>
      </c>
      <c r="AF788" s="2">
        <f>VLOOKUP([jobnumber],OvalData[],MATCH(Table2[[#Headers],[Grille Standard Tube]],Table2[#Headers],0),0)</f>
        <v>0</v>
      </c>
      <c r="AG788" s="2">
        <f>VLOOKUP([jobnumber],OvalData[],MATCH(Table2[[#Headers],[Grille Total Links]],Table2[#Headers],0),0)</f>
        <v>0</v>
      </c>
      <c r="AH788" s="2">
        <f>VLOOKUP([jobnumber],OvalData[],MATCH(Table2[[#Headers],[Grille Rods]],Table2[#Headers],0),0)</f>
        <v>0</v>
      </c>
      <c r="AI788" s="2">
        <f>VLOOKUP([jobnumber],OvalData[],MATCH(Table2[[#Headers],[Grille Rod Length]],Table2[#Headers],0),0)</f>
        <v>0</v>
      </c>
      <c r="AJ788" s="2">
        <f>VLOOKUP([jobnumber],OvalData[],MATCH(Table2[[#Headers],[slattype]],Table2[#Headers],0),0)</f>
        <v>2</v>
      </c>
      <c r="AK788" s="2">
        <f>VLOOKUP([jobnumber],OvalData[],MATCH(Table2[[#Headers],[slatgage]],Table2[#Headers],0),0)</f>
        <v>18</v>
      </c>
      <c r="AL788" s="2">
        <f>VLOOKUP([jobnumber],OvalData[],MATCH(Table2[[#Headers],[Numer of Top Slats]],Table2[#Headers],0),0)</f>
        <v>0</v>
      </c>
      <c r="AM788" s="2">
        <f>VLOOKUP([jobnumber],OvalData[],MATCH(Table2[[#Headers],[Number of Bottom Slats]],Table2[#Headers],0),0)</f>
        <v>0</v>
      </c>
      <c r="AN788" s="2">
        <f>VLOOKUP([jobnumber],OvalData[],MATCH(Table2[[#Headers],[Solid Bottom Height]],Table2[#Headers],0),0)</f>
        <v>0</v>
      </c>
      <c r="AO788" s="2" t="str">
        <f>VLOOKUP([jobnumber],OvalData[],MATCH(Table2[[#Headers],[slatlength]],Table2[#Headers],0),0)</f>
        <v xml:space="preserve"> 18 ft.- 5 7/ 8"</v>
      </c>
      <c r="AP788" s="2">
        <f>VLOOKUP([jobnumber],OvalData[],MATCH(Table2[[#Headers],[Bottom Slat Length]],Table2[#Headers],0),0)</f>
        <v>0</v>
      </c>
      <c r="AQ788" s="2">
        <f>VLOOKUP([jobnumber],OvalData[],MATCH(Table2[[#Headers],[Number of Perferated Slats]],Table2[#Headers],0),0)</f>
        <v>0</v>
      </c>
      <c r="AR788" s="2">
        <f>VLOOKUP([jobnumber],OvalData[],MATCH(Table2[[#Headers],[First Preferated Slat From End]],Table2[#Headers],0),0)</f>
        <v>0</v>
      </c>
      <c r="AS788" s="2">
        <f>VLOOKUP([jobnumber],OvalData[],MATCH(Table2[[#Headers],[First Preferated Slat From Bottom]],Table2[#Headers],0),0)</f>
        <v>0</v>
      </c>
      <c r="AT788" s="2">
        <f>VLOOKUP([jobnumber],OvalData[],MATCH(Table2[[#Headers],[Total Number of Slats]],Table2[#Headers],0),0)</f>
        <v>51</v>
      </c>
      <c r="AU788" s="2">
        <f>VLOOKUP([jobnumber],OvalData[],MATCH(Table2[[#Headers],[Bottom Bar Slope]],Table2[#Headers],0),0)</f>
        <v>0</v>
      </c>
      <c r="AV788" s="2">
        <f>VLOOKUP([jobnumber],OvalData[],MATCH(Table2[[#Headers],[Bottom Bar Weight]],Table2[#Headers],0),0)</f>
        <v>80.5</v>
      </c>
      <c r="AW788" s="2" t="str">
        <f>VLOOKUP([jobnumber],OvalData[],MATCH(Table2[[#Headers],[Outer Spring Gage]],Table2[#Headers],0),0)</f>
        <v>Null</v>
      </c>
      <c r="AX788" s="2" t="str">
        <f>VLOOKUP([jobnumber],OvalData[],MATCH(Table2[[#Headers],[Outer Spring OD]],Table2[#Headers],0),0)</f>
        <v>Null</v>
      </c>
      <c r="AY788" s="2" t="str">
        <f>VLOOKUP([jobnumber],OvalData[],MATCH(Table2[[#Headers],[Outer Spring Length]],Table2[#Headers],0),0)</f>
        <v>Null</v>
      </c>
      <c r="AZ788" s="2" t="str">
        <f>VLOOKUP([jobnumber],OvalData[],MATCH(Table2[[#Headers],[Outer Spring Stretch]],Table2[#Headers],0),0)</f>
        <v>Null</v>
      </c>
      <c r="BA788" s="2" t="str">
        <f>VLOOKUP([jobnumber],OvalData[],MATCH(Table2[[#Headers],[Outer Spring Torque]],Table2[#Headers],0),0)</f>
        <v>Null</v>
      </c>
      <c r="BB788" s="2" t="str">
        <f>VLOOKUP([jobnumber],OvalData[],MATCH(Table2[[#Headers],[Outer Spring Max Turns]],Table2[#Headers],0),0)</f>
        <v>Null</v>
      </c>
      <c r="BC788" s="2" t="str">
        <f>VLOOKUP([jobnumber],OvalData[],MATCH(Table2[[#Headers],[Outer Spring Weight]],Table2[#Headers],0),0)</f>
        <v>Null</v>
      </c>
      <c r="BD788" s="2" t="str">
        <f>VLOOKUP([jobnumber],OvalData[],MATCH(Table2[[#Headers],[Inner Spring Gage]],Table2[#Headers],0),0)</f>
        <v>Null</v>
      </c>
      <c r="BE788" s="2" t="str">
        <f>VLOOKUP([jobnumber],OvalData[],MATCH(Table2[[#Headers],[Inner Spring OD]],Table2[#Headers],0),0)</f>
        <v>Null</v>
      </c>
      <c r="BF788" s="2" t="str">
        <f>VLOOKUP([jobnumber],OvalData[],MATCH(Table2[[#Headers],[Inner Spring Length]],Table2[#Headers],0),0)</f>
        <v>Null</v>
      </c>
      <c r="BG788" s="2" t="str">
        <f>VLOOKUP([jobnumber],OvalData[],MATCH(Table2[[#Headers],[Inner Spring Stretch]],Table2[#Headers],0),0)</f>
        <v>Null</v>
      </c>
      <c r="BH788" s="2" t="str">
        <f>VLOOKUP([jobnumber],OvalData[],MATCH(Table2[[#Headers],[Inner Spring Torque]],Table2[#Headers],0),0)</f>
        <v>Null</v>
      </c>
      <c r="BI788" s="2" t="str">
        <f>VLOOKUP([jobnumber],OvalData[],MATCH(Table2[[#Headers],[Inner Spring Max Turns]],Table2[#Headers],0),0)</f>
        <v>Null</v>
      </c>
      <c r="BJ788" s="2" t="str">
        <f>VLOOKUP([jobnumber],OvalData[],MATCH(Table2[[#Headers],[Inner Spring Weight]],Table2[#Headers],0),0)</f>
        <v>Null</v>
      </c>
      <c r="BK788" s="2">
        <f>VLOOKUP([jobnumber],OvalData[],MATCH(Table2[[#Headers],[Cycles]],Table2[#Headers],0),0)</f>
        <v>0</v>
      </c>
      <c r="BL788" s="2">
        <f>VLOOKUP([jobnumber],OvalData[],MATCH(Table2[[#Headers],[Total Spring Torque]],Table2[#Headers],0),0)</f>
        <v>0</v>
      </c>
      <c r="BM788" s="2">
        <f>VLOOKUP([jobnumber],OvalData[],MATCH(Table2[[#Headers],[Total Spring Weight]],Table2[#Headers],0),0)</f>
        <v>0</v>
      </c>
      <c r="BN788" s="2">
        <f>VLOOKUP([jobnumber],OvalData[],MATCH(Table2[[#Headers],[Pipe Weight]],Table2[#Headers],0),0)</f>
        <v>688.24239999999998</v>
      </c>
      <c r="BO788" s="2">
        <f>VLOOKUP([jobnumber],OvalData[],MATCH(Table2[[#Headers],[Max Pipe Deflection]],Table2[#Headers],0),0)</f>
        <v>2309</v>
      </c>
      <c r="BP788" s="2">
        <f>VLOOKUP([jobnumber],OvalData[],MATCH(Table2[[#Headers],[Number Non-Insulated Wrap Slats]],Table2[#Headers],0),0)</f>
        <v>0</v>
      </c>
      <c r="BQ788" s="2">
        <f>VLOOKUP([jobnumber],OvalData[],MATCH(Table2[[#Headers],[Number of Insolated Top Slats]],Table2[#Headers],0),0)</f>
        <v>45</v>
      </c>
      <c r="BR788" s="2">
        <f>VLOOKUP([jobnumber],OvalData[],MATCH(Table2[[#Headers],[Insolated Total Slats]],Table2[#Headers],0),0)</f>
        <v>45</v>
      </c>
      <c r="BS788" s="2">
        <f>VLOOKUP([jobnumber],OvalData[],MATCH(Table2[[#Headers],[Number of Slats]],Table2[#Headers],0),0)</f>
        <v>44.69</v>
      </c>
      <c r="BT788" s="2">
        <f>VLOOKUP([jobnumber],OvalData[],MATCH(Table2[[#Headers],[Wrap]],Table2[#Headers],0),0)</f>
        <v>0</v>
      </c>
      <c r="BU788" s="2">
        <f>VLOOKUP([jobnumber],OvalData[],MATCH(Table2[[#Headers],[Wall Angle Thickness]],Table2[#Headers],0),0)</f>
        <v>0</v>
      </c>
      <c r="BV788" s="2">
        <f>VLOOKUP([jobnumber],OvalData[],MATCH(Table2[[#Headers],[windlocks]],Table2[#Headers],0),0)</f>
        <v>0</v>
      </c>
      <c r="BW788" s="2" t="str">
        <f>VLOOKUP([jobnumber],OvalData[],MATCH(Table2[[#Headers],[bottombartype]],Table2[#Headers],0),0)</f>
        <v>SPECIAL</v>
      </c>
      <c r="BX788" s="2">
        <f>VLOOKUP([jobnumber],OvalData[],MATCH(Table2[[#Headers],[endlockweight]],Table2[#Headers],0),0)</f>
        <v>0.17</v>
      </c>
      <c r="BY788" s="2">
        <f>VLOOKUP([jobnumber],OvalData[],MATCH(Table2[[#Headers],[Endlock Total Weight]],Table2[#Headers],0),0)</f>
        <v>7.5972999999999997</v>
      </c>
      <c r="BZ788" s="2">
        <f>VLOOKUP([jobnumber],OvalData[],MATCH(Table2[[#Headers],[Grille Weight]],Table2[#Headers],0),0)</f>
        <v>0</v>
      </c>
      <c r="CA788" s="2">
        <f>VLOOKUP([jobnumber],OvalData[],MATCH(Table2[[#Headers],[barrelrings]],Table2[#Headers],0),0)</f>
        <v>1</v>
      </c>
    </row>
    <row r="789" spans="2:79">
      <c r="B789" s="2" t="str">
        <f>VLOOKUP([jobnumber],OvalData[],MATCH(Table2[[#Headers],[Hand]],Table2[#Headers],0),0)</f>
        <v>RH</v>
      </c>
      <c r="C789" s="2" t="str">
        <f>VLOOKUP([jobnumber],OvalData[],MATCH(Table2[[#Headers],[Model]],Table2[#Headers],0),0)</f>
        <v>SFMPP</v>
      </c>
      <c r="D789" s="2" t="str">
        <f>VLOOKUP([jobnumber],OvalData[],MATCH(Table2[[#Headers],[width]],Table2[#Headers],0),0)</f>
        <v xml:space="preserve"> 18 ft.- 2"</v>
      </c>
      <c r="E789" s="2" t="str">
        <f>VLOOKUP([jobnumber],OvalData[],MATCH(Table2[[#Headers],[stopheight]],Table2[#Headers],0),0)</f>
        <v xml:space="preserve"> 10 ft.- 0"</v>
      </c>
      <c r="F789" s="2" t="str">
        <f>VLOOKUP([jobnumber],OvalData[],MATCH(Table2[[#Headers],[Between Brackets]],Table2[#Headers],0),0)</f>
        <v xml:space="preserve"> 18 ft.- 7 7/ 8"</v>
      </c>
      <c r="G789" s="2" t="str">
        <f>VLOOKUP([jobnumber],OvalData[],MATCH(Table2[[#Headers],[shell]],Table2[#Headers],0),0)</f>
        <v>6 INCH TUBE</v>
      </c>
      <c r="H789" s="2" t="str">
        <f>VLOOKUP([jobnumber],OvalData[],MATCH(Table2[[#Headers],[pipewidth]],Table2[#Headers],0),0)</f>
        <v xml:space="preserve"> 18 ft.- 1 3/ 8"</v>
      </c>
      <c r="I789" s="2">
        <f>VLOOKUP([jobnumber],OvalData[],MATCH(Table2[[#Headers],[Support Tubes]],Table2[#Headers],0),0)</f>
        <v>0</v>
      </c>
      <c r="J789" s="2">
        <f>VLOOKUP([jobnumber],OvalData[],MATCH(Table2[[#Headers],[Upset]],Table2[#Headers],0),0)</f>
        <v>2</v>
      </c>
      <c r="K789" s="2" t="str">
        <f>VLOOKUP([jobnumber],OvalData[],MATCH(Table2[[#Headers],[Guide Type]],Table2[#Headers],0),0)</f>
        <v>SN2-4 5/8-E</v>
      </c>
      <c r="L789" s="2" t="str">
        <f>VLOOKUP([jobnumber],OvalData[],MATCH(Table2[[#Headers],[Wall Angle]],Table2[#Headers],0),0)</f>
        <v xml:space="preserve"> 11 ft.- 8"</v>
      </c>
      <c r="M789" s="2" t="str">
        <f>VLOOKUP([jobnumber],OvalData[],MATCH(Table2[[#Headers],[Middle Angle]],Table2[#Headers],0),0)</f>
        <v xml:space="preserve"> 10 ft.- 4 1/ 2"</v>
      </c>
      <c r="N789" s="2" t="str">
        <f>VLOOKUP([jobnumber],OvalData[],MATCH(Table2[[#Headers],[Front Angle]],Table2[#Headers],0),0)</f>
        <v xml:space="preserve"> 10 ft.- 3"</v>
      </c>
      <c r="O789" s="2">
        <f>VLOOKUP([jobnumber],OvalData[],MATCH(Table2[[#Headers],[Pipe Center Line]],Table2[#Headers],0),0)</f>
        <v>131</v>
      </c>
      <c r="P789" s="2">
        <f>VLOOKUP([jobnumber],OvalData[],MATCH(Table2[[#Headers],[Heat Expansion Gap]],Table2[#Headers],0),0)</f>
        <v>0</v>
      </c>
      <c r="Q789" s="2">
        <f>VLOOKUP([jobnumber],OvalData[],MATCH(Table2[[#Headers],[Hanging Weight Closed]],Table2[#Headers],0),0)</f>
        <v>795</v>
      </c>
      <c r="R789" s="2">
        <f>VLOOKUP([jobnumber],OvalData[],MATCH(Table2[[#Headers],[Hanging Weight Open]],Table2[#Headers],0),0)</f>
        <v>140</v>
      </c>
      <c r="S789" s="2">
        <f>VLOOKUP([jobnumber],OvalData[],MATCH(Table2[[#Headers],[Initial Lever Arm]],Table2[#Headers],0),0)</f>
        <v>4.25</v>
      </c>
      <c r="T789" s="2">
        <f>VLOOKUP([jobnumber],OvalData[],MATCH(Table2[[#Headers],[Turns to Raise]],Table2[#Headers],0),0)</f>
        <v>3.5859999999999999</v>
      </c>
      <c r="U789" s="2">
        <f>VLOOKUP([jobnumber],OvalData[],MATCH(Table2[[#Headers],[Final Lever Arm]],Table2[#Headers],0),0)</f>
        <v>6.37</v>
      </c>
      <c r="V789" s="2">
        <f>VLOOKUP([jobnumber],OvalData[],MATCH(Table2[[#Headers],[Torque Required Closed]],Table2[#Headers],0),0)</f>
        <v>3377.9</v>
      </c>
      <c r="W789" s="2">
        <f>VLOOKUP([jobnumber],OvalData[],MATCH(Table2[[#Headers],[Torque Required Open]],Table2[#Headers],0),0)</f>
        <v>892</v>
      </c>
      <c r="X789" s="2">
        <f>VLOOKUP([jobnumber],OvalData[],MATCH(Table2[[#Headers],[Pre Turns]],Table2[#Headers],0),0)</f>
        <v>1.3332999999999999</v>
      </c>
      <c r="Y789" s="2">
        <f>VLOOKUP([jobnumber],OvalData[],MATCH(Table2[[#Headers],[Required Torque Per Turn]],Table2[#Headers],0),0)</f>
        <v>688</v>
      </c>
      <c r="Z789" s="2">
        <f>VLOOKUP([jobnumber],OvalData[],MATCH(Table2[[#Headers],[Total Turns]],Table2[#Headers],0),0)</f>
        <v>4.91</v>
      </c>
      <c r="AA789" s="2">
        <f>VLOOKUP([jobnumber],OvalData[],MATCH(Table2[[#Headers],[Grille Vision Section]],Table2[#Headers],0),0)</f>
        <v>0</v>
      </c>
      <c r="AB789" s="2">
        <f>VLOOKUP([jobnumber],OvalData[],MATCH(Table2[[#Headers],[Grille Amount]],Table2[#Headers],0),0)</f>
        <v>0</v>
      </c>
      <c r="AC789" s="2">
        <f>VLOOKUP([jobnumber],OvalData[],MATCH(Table2[[#Headers],[Grille Center]],Table2[#Headers],0),0)</f>
        <v>0</v>
      </c>
      <c r="AD789" s="2">
        <f>VLOOKUP([jobnumber],OvalData[],MATCH(Table2[[#Headers],[Grille Pattern]],Table2[#Headers],0),0)</f>
        <v>0</v>
      </c>
      <c r="AE789" s="2">
        <f>VLOOKUP([jobnumber],OvalData[],MATCH(Table2[[#Headers],[Grille First Tube]],Table2[#Headers],0),0)</f>
        <v>0</v>
      </c>
      <c r="AF789" s="2">
        <f>VLOOKUP([jobnumber],OvalData[],MATCH(Table2[[#Headers],[Grille Standard Tube]],Table2[#Headers],0),0)</f>
        <v>0</v>
      </c>
      <c r="AG789" s="2">
        <f>VLOOKUP([jobnumber],OvalData[],MATCH(Table2[[#Headers],[Grille Total Links]],Table2[#Headers],0),0)</f>
        <v>0</v>
      </c>
      <c r="AH789" s="2">
        <f>VLOOKUP([jobnumber],OvalData[],MATCH(Table2[[#Headers],[Grille Rods]],Table2[#Headers],0),0)</f>
        <v>0</v>
      </c>
      <c r="AI789" s="2">
        <f>VLOOKUP([jobnumber],OvalData[],MATCH(Table2[[#Headers],[Grille Rod Length]],Table2[#Headers],0),0)</f>
        <v>0</v>
      </c>
      <c r="AJ789" s="2">
        <f>VLOOKUP([jobnumber],OvalData[],MATCH(Table2[[#Headers],[slattype]],Table2[#Headers],0),0)</f>
        <v>2</v>
      </c>
      <c r="AK789" s="2">
        <f>VLOOKUP([jobnumber],OvalData[],MATCH(Table2[[#Headers],[slatgage]],Table2[#Headers],0),0)</f>
        <v>18</v>
      </c>
      <c r="AL789" s="2">
        <f>VLOOKUP([jobnumber],OvalData[],MATCH(Table2[[#Headers],[Numer of Top Slats]],Table2[#Headers],0),0)</f>
        <v>0</v>
      </c>
      <c r="AM789" s="2">
        <f>VLOOKUP([jobnumber],OvalData[],MATCH(Table2[[#Headers],[Number of Bottom Slats]],Table2[#Headers],0),0)</f>
        <v>0</v>
      </c>
      <c r="AN789" s="2">
        <f>VLOOKUP([jobnumber],OvalData[],MATCH(Table2[[#Headers],[Solid Bottom Height]],Table2[#Headers],0),0)</f>
        <v>0</v>
      </c>
      <c r="AO789" s="2" t="str">
        <f>VLOOKUP([jobnumber],OvalData[],MATCH(Table2[[#Headers],[slatlength]],Table2[#Headers],0),0)</f>
        <v xml:space="preserve"> 18 ft.- 5 7/ 8"</v>
      </c>
      <c r="AP789" s="2">
        <f>VLOOKUP([jobnumber],OvalData[],MATCH(Table2[[#Headers],[Bottom Slat Length]],Table2[#Headers],0),0)</f>
        <v>0</v>
      </c>
      <c r="AQ789" s="2">
        <f>VLOOKUP([jobnumber],OvalData[],MATCH(Table2[[#Headers],[Number of Perferated Slats]],Table2[#Headers],0),0)</f>
        <v>0</v>
      </c>
      <c r="AR789" s="2">
        <f>VLOOKUP([jobnumber],OvalData[],MATCH(Table2[[#Headers],[First Preferated Slat From End]],Table2[#Headers],0),0)</f>
        <v>0</v>
      </c>
      <c r="AS789" s="2">
        <f>VLOOKUP([jobnumber],OvalData[],MATCH(Table2[[#Headers],[First Preferated Slat From Bottom]],Table2[#Headers],0),0)</f>
        <v>0</v>
      </c>
      <c r="AT789" s="2">
        <f>VLOOKUP([jobnumber],OvalData[],MATCH(Table2[[#Headers],[Total Number of Slats]],Table2[#Headers],0),0)</f>
        <v>51</v>
      </c>
      <c r="AU789" s="2">
        <f>VLOOKUP([jobnumber],OvalData[],MATCH(Table2[[#Headers],[Bottom Bar Slope]],Table2[#Headers],0),0)</f>
        <v>0</v>
      </c>
      <c r="AV789" s="2">
        <f>VLOOKUP([jobnumber],OvalData[],MATCH(Table2[[#Headers],[Bottom Bar Weight]],Table2[#Headers],0),0)</f>
        <v>80.5</v>
      </c>
      <c r="AW789" s="2" t="str">
        <f>VLOOKUP([jobnumber],OvalData[],MATCH(Table2[[#Headers],[Outer Spring Gage]],Table2[#Headers],0),0)</f>
        <v>Null</v>
      </c>
      <c r="AX789" s="2" t="str">
        <f>VLOOKUP([jobnumber],OvalData[],MATCH(Table2[[#Headers],[Outer Spring OD]],Table2[#Headers],0),0)</f>
        <v>Null</v>
      </c>
      <c r="AY789" s="2" t="str">
        <f>VLOOKUP([jobnumber],OvalData[],MATCH(Table2[[#Headers],[Outer Spring Length]],Table2[#Headers],0),0)</f>
        <v>Null</v>
      </c>
      <c r="AZ789" s="2" t="str">
        <f>VLOOKUP([jobnumber],OvalData[],MATCH(Table2[[#Headers],[Outer Spring Stretch]],Table2[#Headers],0),0)</f>
        <v>Null</v>
      </c>
      <c r="BA789" s="2" t="str">
        <f>VLOOKUP([jobnumber],OvalData[],MATCH(Table2[[#Headers],[Outer Spring Torque]],Table2[#Headers],0),0)</f>
        <v>Null</v>
      </c>
      <c r="BB789" s="2" t="str">
        <f>VLOOKUP([jobnumber],OvalData[],MATCH(Table2[[#Headers],[Outer Spring Max Turns]],Table2[#Headers],0),0)</f>
        <v>Null</v>
      </c>
      <c r="BC789" s="2" t="str">
        <f>VLOOKUP([jobnumber],OvalData[],MATCH(Table2[[#Headers],[Outer Spring Weight]],Table2[#Headers],0),0)</f>
        <v>Null</v>
      </c>
      <c r="BD789" s="2" t="str">
        <f>VLOOKUP([jobnumber],OvalData[],MATCH(Table2[[#Headers],[Inner Spring Gage]],Table2[#Headers],0),0)</f>
        <v>Null</v>
      </c>
      <c r="BE789" s="2" t="str">
        <f>VLOOKUP([jobnumber],OvalData[],MATCH(Table2[[#Headers],[Inner Spring OD]],Table2[#Headers],0),0)</f>
        <v>Null</v>
      </c>
      <c r="BF789" s="2" t="str">
        <f>VLOOKUP([jobnumber],OvalData[],MATCH(Table2[[#Headers],[Inner Spring Length]],Table2[#Headers],0),0)</f>
        <v>Null</v>
      </c>
      <c r="BG789" s="2" t="str">
        <f>VLOOKUP([jobnumber],OvalData[],MATCH(Table2[[#Headers],[Inner Spring Stretch]],Table2[#Headers],0),0)</f>
        <v>Null</v>
      </c>
      <c r="BH789" s="2" t="str">
        <f>VLOOKUP([jobnumber],OvalData[],MATCH(Table2[[#Headers],[Inner Spring Torque]],Table2[#Headers],0),0)</f>
        <v>Null</v>
      </c>
      <c r="BI789" s="2" t="str">
        <f>VLOOKUP([jobnumber],OvalData[],MATCH(Table2[[#Headers],[Inner Spring Max Turns]],Table2[#Headers],0),0)</f>
        <v>Null</v>
      </c>
      <c r="BJ789" s="2" t="str">
        <f>VLOOKUP([jobnumber],OvalData[],MATCH(Table2[[#Headers],[Inner Spring Weight]],Table2[#Headers],0),0)</f>
        <v>Null</v>
      </c>
      <c r="BK789" s="2">
        <f>VLOOKUP([jobnumber],OvalData[],MATCH(Table2[[#Headers],[Cycles]],Table2[#Headers],0),0)</f>
        <v>0</v>
      </c>
      <c r="BL789" s="2">
        <f>VLOOKUP([jobnumber],OvalData[],MATCH(Table2[[#Headers],[Total Spring Torque]],Table2[#Headers],0),0)</f>
        <v>0</v>
      </c>
      <c r="BM789" s="2">
        <f>VLOOKUP([jobnumber],OvalData[],MATCH(Table2[[#Headers],[Total Spring Weight]],Table2[#Headers],0),0)</f>
        <v>0</v>
      </c>
      <c r="BN789" s="2">
        <f>VLOOKUP([jobnumber],OvalData[],MATCH(Table2[[#Headers],[Pipe Weight]],Table2[#Headers],0),0)</f>
        <v>688.24239999999998</v>
      </c>
      <c r="BO789" s="2">
        <f>VLOOKUP([jobnumber],OvalData[],MATCH(Table2[[#Headers],[Max Pipe Deflection]],Table2[#Headers],0),0)</f>
        <v>2309</v>
      </c>
      <c r="BP789" s="2">
        <f>VLOOKUP([jobnumber],OvalData[],MATCH(Table2[[#Headers],[Number Non-Insulated Wrap Slats]],Table2[#Headers],0),0)</f>
        <v>0</v>
      </c>
      <c r="BQ789" s="2">
        <f>VLOOKUP([jobnumber],OvalData[],MATCH(Table2[[#Headers],[Number of Insolated Top Slats]],Table2[#Headers],0),0)</f>
        <v>45</v>
      </c>
      <c r="BR789" s="2">
        <f>VLOOKUP([jobnumber],OvalData[],MATCH(Table2[[#Headers],[Insolated Total Slats]],Table2[#Headers],0),0)</f>
        <v>45</v>
      </c>
      <c r="BS789" s="2">
        <f>VLOOKUP([jobnumber],OvalData[],MATCH(Table2[[#Headers],[Number of Slats]],Table2[#Headers],0),0)</f>
        <v>44.69</v>
      </c>
      <c r="BT789" s="2">
        <f>VLOOKUP([jobnumber],OvalData[],MATCH(Table2[[#Headers],[Wrap]],Table2[#Headers],0),0)</f>
        <v>0</v>
      </c>
      <c r="BU789" s="2">
        <f>VLOOKUP([jobnumber],OvalData[],MATCH(Table2[[#Headers],[Wall Angle Thickness]],Table2[#Headers],0),0)</f>
        <v>0</v>
      </c>
      <c r="BV789" s="2">
        <f>VLOOKUP([jobnumber],OvalData[],MATCH(Table2[[#Headers],[windlocks]],Table2[#Headers],0),0)</f>
        <v>0</v>
      </c>
      <c r="BW789" s="2" t="str">
        <f>VLOOKUP([jobnumber],OvalData[],MATCH(Table2[[#Headers],[bottombartype]],Table2[#Headers],0),0)</f>
        <v>SPECIAL</v>
      </c>
      <c r="BX789" s="2">
        <f>VLOOKUP([jobnumber],OvalData[],MATCH(Table2[[#Headers],[endlockweight]],Table2[#Headers],0),0)</f>
        <v>0.17</v>
      </c>
      <c r="BY789" s="2">
        <f>VLOOKUP([jobnumber],OvalData[],MATCH(Table2[[#Headers],[Endlock Total Weight]],Table2[#Headers],0),0)</f>
        <v>7.5972999999999997</v>
      </c>
      <c r="BZ789" s="2">
        <f>VLOOKUP([jobnumber],OvalData[],MATCH(Table2[[#Headers],[Grille Weight]],Table2[#Headers],0),0)</f>
        <v>0</v>
      </c>
      <c r="CA789" s="2">
        <f>VLOOKUP([jobnumber],OvalData[],MATCH(Table2[[#Headers],[barrelrings]],Table2[#Headers],0),0)</f>
        <v>1</v>
      </c>
    </row>
    <row r="790" spans="2:79">
      <c r="B790" s="2" t="str">
        <f>VLOOKUP([jobnumber],OvalData[],MATCH(Table2[[#Headers],[Hand]],Table2[#Headers],0),0)</f>
        <v>RH</v>
      </c>
      <c r="C790" s="2" t="str">
        <f>VLOOKUP([jobnumber],OvalData[],MATCH(Table2[[#Headers],[Model]],Table2[#Headers],0),0)</f>
        <v>SFMPP</v>
      </c>
      <c r="D790" s="2" t="str">
        <f>VLOOKUP([jobnumber],OvalData[],MATCH(Table2[[#Headers],[width]],Table2[#Headers],0),0)</f>
        <v xml:space="preserve"> 18 ft.- 2"</v>
      </c>
      <c r="E790" s="2" t="str">
        <f>VLOOKUP([jobnumber],OvalData[],MATCH(Table2[[#Headers],[stopheight]],Table2[#Headers],0),0)</f>
        <v xml:space="preserve"> 10 ft.- 0"</v>
      </c>
      <c r="F790" s="2" t="str">
        <f>VLOOKUP([jobnumber],OvalData[],MATCH(Table2[[#Headers],[Between Brackets]],Table2[#Headers],0),0)</f>
        <v xml:space="preserve"> 18 ft.- 7 7/ 8"</v>
      </c>
      <c r="G790" s="2" t="str">
        <f>VLOOKUP([jobnumber],OvalData[],MATCH(Table2[[#Headers],[shell]],Table2[#Headers],0),0)</f>
        <v>6 INCH TUBE</v>
      </c>
      <c r="H790" s="2" t="str">
        <f>VLOOKUP([jobnumber],OvalData[],MATCH(Table2[[#Headers],[pipewidth]],Table2[#Headers],0),0)</f>
        <v xml:space="preserve"> 18 ft.- 1 3/ 8"</v>
      </c>
      <c r="I790" s="2">
        <f>VLOOKUP([jobnumber],OvalData[],MATCH(Table2[[#Headers],[Support Tubes]],Table2[#Headers],0),0)</f>
        <v>0</v>
      </c>
      <c r="J790" s="2">
        <f>VLOOKUP([jobnumber],OvalData[],MATCH(Table2[[#Headers],[Upset]],Table2[#Headers],0),0)</f>
        <v>2</v>
      </c>
      <c r="K790" s="2" t="str">
        <f>VLOOKUP([jobnumber],OvalData[],MATCH(Table2[[#Headers],[Guide Type]],Table2[#Headers],0),0)</f>
        <v>SN2-4 5/8-E</v>
      </c>
      <c r="L790" s="2" t="str">
        <f>VLOOKUP([jobnumber],OvalData[],MATCH(Table2[[#Headers],[Wall Angle]],Table2[#Headers],0),0)</f>
        <v xml:space="preserve"> 11 ft.- 8"</v>
      </c>
      <c r="M790" s="2" t="str">
        <f>VLOOKUP([jobnumber],OvalData[],MATCH(Table2[[#Headers],[Middle Angle]],Table2[#Headers],0),0)</f>
        <v xml:space="preserve"> 10 ft.- 4 1/ 2"</v>
      </c>
      <c r="N790" s="2" t="str">
        <f>VLOOKUP([jobnumber],OvalData[],MATCH(Table2[[#Headers],[Front Angle]],Table2[#Headers],0),0)</f>
        <v xml:space="preserve"> 10 ft.- 3"</v>
      </c>
      <c r="O790" s="2">
        <f>VLOOKUP([jobnumber],OvalData[],MATCH(Table2[[#Headers],[Pipe Center Line]],Table2[#Headers],0),0)</f>
        <v>131</v>
      </c>
      <c r="P790" s="2">
        <f>VLOOKUP([jobnumber],OvalData[],MATCH(Table2[[#Headers],[Heat Expansion Gap]],Table2[#Headers],0),0)</f>
        <v>0</v>
      </c>
      <c r="Q790" s="2">
        <f>VLOOKUP([jobnumber],OvalData[],MATCH(Table2[[#Headers],[Hanging Weight Closed]],Table2[#Headers],0),0)</f>
        <v>795</v>
      </c>
      <c r="R790" s="2">
        <f>VLOOKUP([jobnumber],OvalData[],MATCH(Table2[[#Headers],[Hanging Weight Open]],Table2[#Headers],0),0)</f>
        <v>140</v>
      </c>
      <c r="S790" s="2">
        <f>VLOOKUP([jobnumber],OvalData[],MATCH(Table2[[#Headers],[Initial Lever Arm]],Table2[#Headers],0),0)</f>
        <v>4.25</v>
      </c>
      <c r="T790" s="2">
        <f>VLOOKUP([jobnumber],OvalData[],MATCH(Table2[[#Headers],[Turns to Raise]],Table2[#Headers],0),0)</f>
        <v>3.5859999999999999</v>
      </c>
      <c r="U790" s="2">
        <f>VLOOKUP([jobnumber],OvalData[],MATCH(Table2[[#Headers],[Final Lever Arm]],Table2[#Headers],0),0)</f>
        <v>6.37</v>
      </c>
      <c r="V790" s="2">
        <f>VLOOKUP([jobnumber],OvalData[],MATCH(Table2[[#Headers],[Torque Required Closed]],Table2[#Headers],0),0)</f>
        <v>3377.9</v>
      </c>
      <c r="W790" s="2">
        <f>VLOOKUP([jobnumber],OvalData[],MATCH(Table2[[#Headers],[Torque Required Open]],Table2[#Headers],0),0)</f>
        <v>892</v>
      </c>
      <c r="X790" s="2">
        <f>VLOOKUP([jobnumber],OvalData[],MATCH(Table2[[#Headers],[Pre Turns]],Table2[#Headers],0),0)</f>
        <v>1.3332999999999999</v>
      </c>
      <c r="Y790" s="2">
        <f>VLOOKUP([jobnumber],OvalData[],MATCH(Table2[[#Headers],[Required Torque Per Turn]],Table2[#Headers],0),0)</f>
        <v>688</v>
      </c>
      <c r="Z790" s="2">
        <f>VLOOKUP([jobnumber],OvalData[],MATCH(Table2[[#Headers],[Total Turns]],Table2[#Headers],0),0)</f>
        <v>4.91</v>
      </c>
      <c r="AA790" s="2">
        <f>VLOOKUP([jobnumber],OvalData[],MATCH(Table2[[#Headers],[Grille Vision Section]],Table2[#Headers],0),0)</f>
        <v>0</v>
      </c>
      <c r="AB790" s="2">
        <f>VLOOKUP([jobnumber],OvalData[],MATCH(Table2[[#Headers],[Grille Amount]],Table2[#Headers],0),0)</f>
        <v>0</v>
      </c>
      <c r="AC790" s="2">
        <f>VLOOKUP([jobnumber],OvalData[],MATCH(Table2[[#Headers],[Grille Center]],Table2[#Headers],0),0)</f>
        <v>0</v>
      </c>
      <c r="AD790" s="2">
        <f>VLOOKUP([jobnumber],OvalData[],MATCH(Table2[[#Headers],[Grille Pattern]],Table2[#Headers],0),0)</f>
        <v>0</v>
      </c>
      <c r="AE790" s="2">
        <f>VLOOKUP([jobnumber],OvalData[],MATCH(Table2[[#Headers],[Grille First Tube]],Table2[#Headers],0),0)</f>
        <v>0</v>
      </c>
      <c r="AF790" s="2">
        <f>VLOOKUP([jobnumber],OvalData[],MATCH(Table2[[#Headers],[Grille Standard Tube]],Table2[#Headers],0),0)</f>
        <v>0</v>
      </c>
      <c r="AG790" s="2">
        <f>VLOOKUP([jobnumber],OvalData[],MATCH(Table2[[#Headers],[Grille Total Links]],Table2[#Headers],0),0)</f>
        <v>0</v>
      </c>
      <c r="AH790" s="2">
        <f>VLOOKUP([jobnumber],OvalData[],MATCH(Table2[[#Headers],[Grille Rods]],Table2[#Headers],0),0)</f>
        <v>0</v>
      </c>
      <c r="AI790" s="2">
        <f>VLOOKUP([jobnumber],OvalData[],MATCH(Table2[[#Headers],[Grille Rod Length]],Table2[#Headers],0),0)</f>
        <v>0</v>
      </c>
      <c r="AJ790" s="2">
        <f>VLOOKUP([jobnumber],OvalData[],MATCH(Table2[[#Headers],[slattype]],Table2[#Headers],0),0)</f>
        <v>2</v>
      </c>
      <c r="AK790" s="2">
        <f>VLOOKUP([jobnumber],OvalData[],MATCH(Table2[[#Headers],[slatgage]],Table2[#Headers],0),0)</f>
        <v>18</v>
      </c>
      <c r="AL790" s="2">
        <f>VLOOKUP([jobnumber],OvalData[],MATCH(Table2[[#Headers],[Numer of Top Slats]],Table2[#Headers],0),0)</f>
        <v>0</v>
      </c>
      <c r="AM790" s="2">
        <f>VLOOKUP([jobnumber],OvalData[],MATCH(Table2[[#Headers],[Number of Bottom Slats]],Table2[#Headers],0),0)</f>
        <v>0</v>
      </c>
      <c r="AN790" s="2">
        <f>VLOOKUP([jobnumber],OvalData[],MATCH(Table2[[#Headers],[Solid Bottom Height]],Table2[#Headers],0),0)</f>
        <v>0</v>
      </c>
      <c r="AO790" s="2" t="str">
        <f>VLOOKUP([jobnumber],OvalData[],MATCH(Table2[[#Headers],[slatlength]],Table2[#Headers],0),0)</f>
        <v xml:space="preserve"> 18 ft.- 5 7/ 8"</v>
      </c>
      <c r="AP790" s="2">
        <f>VLOOKUP([jobnumber],OvalData[],MATCH(Table2[[#Headers],[Bottom Slat Length]],Table2[#Headers],0),0)</f>
        <v>0</v>
      </c>
      <c r="AQ790" s="2">
        <f>VLOOKUP([jobnumber],OvalData[],MATCH(Table2[[#Headers],[Number of Perferated Slats]],Table2[#Headers],0),0)</f>
        <v>0</v>
      </c>
      <c r="AR790" s="2">
        <f>VLOOKUP([jobnumber],OvalData[],MATCH(Table2[[#Headers],[First Preferated Slat From End]],Table2[#Headers],0),0)</f>
        <v>0</v>
      </c>
      <c r="AS790" s="2">
        <f>VLOOKUP([jobnumber],OvalData[],MATCH(Table2[[#Headers],[First Preferated Slat From Bottom]],Table2[#Headers],0),0)</f>
        <v>0</v>
      </c>
      <c r="AT790" s="2">
        <f>VLOOKUP([jobnumber],OvalData[],MATCH(Table2[[#Headers],[Total Number of Slats]],Table2[#Headers],0),0)</f>
        <v>51</v>
      </c>
      <c r="AU790" s="2">
        <f>VLOOKUP([jobnumber],OvalData[],MATCH(Table2[[#Headers],[Bottom Bar Slope]],Table2[#Headers],0),0)</f>
        <v>0</v>
      </c>
      <c r="AV790" s="2">
        <f>VLOOKUP([jobnumber],OvalData[],MATCH(Table2[[#Headers],[Bottom Bar Weight]],Table2[#Headers],0),0)</f>
        <v>80.5</v>
      </c>
      <c r="AW790" s="2" t="str">
        <f>VLOOKUP([jobnumber],OvalData[],MATCH(Table2[[#Headers],[Outer Spring Gage]],Table2[#Headers],0),0)</f>
        <v>Null</v>
      </c>
      <c r="AX790" s="2" t="str">
        <f>VLOOKUP([jobnumber],OvalData[],MATCH(Table2[[#Headers],[Outer Spring OD]],Table2[#Headers],0),0)</f>
        <v>Null</v>
      </c>
      <c r="AY790" s="2" t="str">
        <f>VLOOKUP([jobnumber],OvalData[],MATCH(Table2[[#Headers],[Outer Spring Length]],Table2[#Headers],0),0)</f>
        <v>Null</v>
      </c>
      <c r="AZ790" s="2" t="str">
        <f>VLOOKUP([jobnumber],OvalData[],MATCH(Table2[[#Headers],[Outer Spring Stretch]],Table2[#Headers],0),0)</f>
        <v>Null</v>
      </c>
      <c r="BA790" s="2" t="str">
        <f>VLOOKUP([jobnumber],OvalData[],MATCH(Table2[[#Headers],[Outer Spring Torque]],Table2[#Headers],0),0)</f>
        <v>Null</v>
      </c>
      <c r="BB790" s="2" t="str">
        <f>VLOOKUP([jobnumber],OvalData[],MATCH(Table2[[#Headers],[Outer Spring Max Turns]],Table2[#Headers],0),0)</f>
        <v>Null</v>
      </c>
      <c r="BC790" s="2" t="str">
        <f>VLOOKUP([jobnumber],OvalData[],MATCH(Table2[[#Headers],[Outer Spring Weight]],Table2[#Headers],0),0)</f>
        <v>Null</v>
      </c>
      <c r="BD790" s="2" t="str">
        <f>VLOOKUP([jobnumber],OvalData[],MATCH(Table2[[#Headers],[Inner Spring Gage]],Table2[#Headers],0),0)</f>
        <v>Null</v>
      </c>
      <c r="BE790" s="2" t="str">
        <f>VLOOKUP([jobnumber],OvalData[],MATCH(Table2[[#Headers],[Inner Spring OD]],Table2[#Headers],0),0)</f>
        <v>Null</v>
      </c>
      <c r="BF790" s="2" t="str">
        <f>VLOOKUP([jobnumber],OvalData[],MATCH(Table2[[#Headers],[Inner Spring Length]],Table2[#Headers],0),0)</f>
        <v>Null</v>
      </c>
      <c r="BG790" s="2" t="str">
        <f>VLOOKUP([jobnumber],OvalData[],MATCH(Table2[[#Headers],[Inner Spring Stretch]],Table2[#Headers],0),0)</f>
        <v>Null</v>
      </c>
      <c r="BH790" s="2" t="str">
        <f>VLOOKUP([jobnumber],OvalData[],MATCH(Table2[[#Headers],[Inner Spring Torque]],Table2[#Headers],0),0)</f>
        <v>Null</v>
      </c>
      <c r="BI790" s="2" t="str">
        <f>VLOOKUP([jobnumber],OvalData[],MATCH(Table2[[#Headers],[Inner Spring Max Turns]],Table2[#Headers],0),0)</f>
        <v>Null</v>
      </c>
      <c r="BJ790" s="2" t="str">
        <f>VLOOKUP([jobnumber],OvalData[],MATCH(Table2[[#Headers],[Inner Spring Weight]],Table2[#Headers],0),0)</f>
        <v>Null</v>
      </c>
      <c r="BK790" s="2">
        <f>VLOOKUP([jobnumber],OvalData[],MATCH(Table2[[#Headers],[Cycles]],Table2[#Headers],0),0)</f>
        <v>0</v>
      </c>
      <c r="BL790" s="2">
        <f>VLOOKUP([jobnumber],OvalData[],MATCH(Table2[[#Headers],[Total Spring Torque]],Table2[#Headers],0),0)</f>
        <v>0</v>
      </c>
      <c r="BM790" s="2">
        <f>VLOOKUP([jobnumber],OvalData[],MATCH(Table2[[#Headers],[Total Spring Weight]],Table2[#Headers],0),0)</f>
        <v>0</v>
      </c>
      <c r="BN790" s="2">
        <f>VLOOKUP([jobnumber],OvalData[],MATCH(Table2[[#Headers],[Pipe Weight]],Table2[#Headers],0),0)</f>
        <v>688.24239999999998</v>
      </c>
      <c r="BO790" s="2">
        <f>VLOOKUP([jobnumber],OvalData[],MATCH(Table2[[#Headers],[Max Pipe Deflection]],Table2[#Headers],0),0)</f>
        <v>2309</v>
      </c>
      <c r="BP790" s="2">
        <f>VLOOKUP([jobnumber],OvalData[],MATCH(Table2[[#Headers],[Number Non-Insulated Wrap Slats]],Table2[#Headers],0),0)</f>
        <v>0</v>
      </c>
      <c r="BQ790" s="2">
        <f>VLOOKUP([jobnumber],OvalData[],MATCH(Table2[[#Headers],[Number of Insolated Top Slats]],Table2[#Headers],0),0)</f>
        <v>45</v>
      </c>
      <c r="BR790" s="2">
        <f>VLOOKUP([jobnumber],OvalData[],MATCH(Table2[[#Headers],[Insolated Total Slats]],Table2[#Headers],0),0)</f>
        <v>45</v>
      </c>
      <c r="BS790" s="2">
        <f>VLOOKUP([jobnumber],OvalData[],MATCH(Table2[[#Headers],[Number of Slats]],Table2[#Headers],0),0)</f>
        <v>44.69</v>
      </c>
      <c r="BT790" s="2">
        <f>VLOOKUP([jobnumber],OvalData[],MATCH(Table2[[#Headers],[Wrap]],Table2[#Headers],0),0)</f>
        <v>0</v>
      </c>
      <c r="BU790" s="2">
        <f>VLOOKUP([jobnumber],OvalData[],MATCH(Table2[[#Headers],[Wall Angle Thickness]],Table2[#Headers],0),0)</f>
        <v>0</v>
      </c>
      <c r="BV790" s="2">
        <f>VLOOKUP([jobnumber],OvalData[],MATCH(Table2[[#Headers],[windlocks]],Table2[#Headers],0),0)</f>
        <v>0</v>
      </c>
      <c r="BW790" s="2" t="str">
        <f>VLOOKUP([jobnumber],OvalData[],MATCH(Table2[[#Headers],[bottombartype]],Table2[#Headers],0),0)</f>
        <v>SPECIAL</v>
      </c>
      <c r="BX790" s="2">
        <f>VLOOKUP([jobnumber],OvalData[],MATCH(Table2[[#Headers],[endlockweight]],Table2[#Headers],0),0)</f>
        <v>0.17</v>
      </c>
      <c r="BY790" s="2">
        <f>VLOOKUP([jobnumber],OvalData[],MATCH(Table2[[#Headers],[Endlock Total Weight]],Table2[#Headers],0),0)</f>
        <v>7.5972999999999997</v>
      </c>
      <c r="BZ790" s="2">
        <f>VLOOKUP([jobnumber],OvalData[],MATCH(Table2[[#Headers],[Grille Weight]],Table2[#Headers],0),0)</f>
        <v>0</v>
      </c>
      <c r="CA790" s="2">
        <f>VLOOKUP([jobnumber],OvalData[],MATCH(Table2[[#Headers],[barrelrings]],Table2[#Headers],0),0)</f>
        <v>1</v>
      </c>
    </row>
    <row r="791" spans="2:79">
      <c r="B791" s="2" t="str">
        <f>VLOOKUP([jobnumber],OvalData[],MATCH(Table2[[#Headers],[Hand]],Table2[#Headers],0),0)</f>
        <v>RH</v>
      </c>
      <c r="C791" s="2" t="str">
        <f>VLOOKUP([jobnumber],OvalData[],MATCH(Table2[[#Headers],[Model]],Table2[#Headers],0),0)</f>
        <v>SFMPP</v>
      </c>
      <c r="D791" s="2" t="str">
        <f>VLOOKUP([jobnumber],OvalData[],MATCH(Table2[[#Headers],[width]],Table2[#Headers],0),0)</f>
        <v xml:space="preserve"> 18 ft.- 2"</v>
      </c>
      <c r="E791" s="2" t="str">
        <f>VLOOKUP([jobnumber],OvalData[],MATCH(Table2[[#Headers],[stopheight]],Table2[#Headers],0),0)</f>
        <v xml:space="preserve"> 10 ft.- 0"</v>
      </c>
      <c r="F791" s="2" t="str">
        <f>VLOOKUP([jobnumber],OvalData[],MATCH(Table2[[#Headers],[Between Brackets]],Table2[#Headers],0),0)</f>
        <v xml:space="preserve"> 18 ft.- 7 7/ 8"</v>
      </c>
      <c r="G791" s="2" t="str">
        <f>VLOOKUP([jobnumber],OvalData[],MATCH(Table2[[#Headers],[shell]],Table2[#Headers],0),0)</f>
        <v>6 INCH TUBE</v>
      </c>
      <c r="H791" s="2" t="str">
        <f>VLOOKUP([jobnumber],OvalData[],MATCH(Table2[[#Headers],[pipewidth]],Table2[#Headers],0),0)</f>
        <v xml:space="preserve"> 18 ft.- 1 3/ 8"</v>
      </c>
      <c r="I791" s="2">
        <f>VLOOKUP([jobnumber],OvalData[],MATCH(Table2[[#Headers],[Support Tubes]],Table2[#Headers],0),0)</f>
        <v>0</v>
      </c>
      <c r="J791" s="2">
        <f>VLOOKUP([jobnumber],OvalData[],MATCH(Table2[[#Headers],[Upset]],Table2[#Headers],0),0)</f>
        <v>2</v>
      </c>
      <c r="K791" s="2" t="str">
        <f>VLOOKUP([jobnumber],OvalData[],MATCH(Table2[[#Headers],[Guide Type]],Table2[#Headers],0),0)</f>
        <v>SN2-4 5/8-E</v>
      </c>
      <c r="L791" s="2" t="str">
        <f>VLOOKUP([jobnumber],OvalData[],MATCH(Table2[[#Headers],[Wall Angle]],Table2[#Headers],0),0)</f>
        <v xml:space="preserve"> 11 ft.- 8"</v>
      </c>
      <c r="M791" s="2" t="str">
        <f>VLOOKUP([jobnumber],OvalData[],MATCH(Table2[[#Headers],[Middle Angle]],Table2[#Headers],0),0)</f>
        <v xml:space="preserve"> 10 ft.- 4 1/ 2"</v>
      </c>
      <c r="N791" s="2" t="str">
        <f>VLOOKUP([jobnumber],OvalData[],MATCH(Table2[[#Headers],[Front Angle]],Table2[#Headers],0),0)</f>
        <v xml:space="preserve"> 10 ft.- 3"</v>
      </c>
      <c r="O791" s="2">
        <f>VLOOKUP([jobnumber],OvalData[],MATCH(Table2[[#Headers],[Pipe Center Line]],Table2[#Headers],0),0)</f>
        <v>131</v>
      </c>
      <c r="P791" s="2">
        <f>VLOOKUP([jobnumber],OvalData[],MATCH(Table2[[#Headers],[Heat Expansion Gap]],Table2[#Headers],0),0)</f>
        <v>0</v>
      </c>
      <c r="Q791" s="2">
        <f>VLOOKUP([jobnumber],OvalData[],MATCH(Table2[[#Headers],[Hanging Weight Closed]],Table2[#Headers],0),0)</f>
        <v>795</v>
      </c>
      <c r="R791" s="2">
        <f>VLOOKUP([jobnumber],OvalData[],MATCH(Table2[[#Headers],[Hanging Weight Open]],Table2[#Headers],0),0)</f>
        <v>140</v>
      </c>
      <c r="S791" s="2">
        <f>VLOOKUP([jobnumber],OvalData[],MATCH(Table2[[#Headers],[Initial Lever Arm]],Table2[#Headers],0),0)</f>
        <v>4.25</v>
      </c>
      <c r="T791" s="2">
        <f>VLOOKUP([jobnumber],OvalData[],MATCH(Table2[[#Headers],[Turns to Raise]],Table2[#Headers],0),0)</f>
        <v>3.5859999999999999</v>
      </c>
      <c r="U791" s="2">
        <f>VLOOKUP([jobnumber],OvalData[],MATCH(Table2[[#Headers],[Final Lever Arm]],Table2[#Headers],0),0)</f>
        <v>6.37</v>
      </c>
      <c r="V791" s="2">
        <f>VLOOKUP([jobnumber],OvalData[],MATCH(Table2[[#Headers],[Torque Required Closed]],Table2[#Headers],0),0)</f>
        <v>3377.9</v>
      </c>
      <c r="W791" s="2">
        <f>VLOOKUP([jobnumber],OvalData[],MATCH(Table2[[#Headers],[Torque Required Open]],Table2[#Headers],0),0)</f>
        <v>892</v>
      </c>
      <c r="X791" s="2">
        <f>VLOOKUP([jobnumber],OvalData[],MATCH(Table2[[#Headers],[Pre Turns]],Table2[#Headers],0),0)</f>
        <v>1.3332999999999999</v>
      </c>
      <c r="Y791" s="2">
        <f>VLOOKUP([jobnumber],OvalData[],MATCH(Table2[[#Headers],[Required Torque Per Turn]],Table2[#Headers],0),0)</f>
        <v>688</v>
      </c>
      <c r="Z791" s="2">
        <f>VLOOKUP([jobnumber],OvalData[],MATCH(Table2[[#Headers],[Total Turns]],Table2[#Headers],0),0)</f>
        <v>4.91</v>
      </c>
      <c r="AA791" s="2">
        <f>VLOOKUP([jobnumber],OvalData[],MATCH(Table2[[#Headers],[Grille Vision Section]],Table2[#Headers],0),0)</f>
        <v>0</v>
      </c>
      <c r="AB791" s="2">
        <f>VLOOKUP([jobnumber],OvalData[],MATCH(Table2[[#Headers],[Grille Amount]],Table2[#Headers],0),0)</f>
        <v>0</v>
      </c>
      <c r="AC791" s="2">
        <f>VLOOKUP([jobnumber],OvalData[],MATCH(Table2[[#Headers],[Grille Center]],Table2[#Headers],0),0)</f>
        <v>0</v>
      </c>
      <c r="AD791" s="2">
        <f>VLOOKUP([jobnumber],OvalData[],MATCH(Table2[[#Headers],[Grille Pattern]],Table2[#Headers],0),0)</f>
        <v>0</v>
      </c>
      <c r="AE791" s="2">
        <f>VLOOKUP([jobnumber],OvalData[],MATCH(Table2[[#Headers],[Grille First Tube]],Table2[#Headers],0),0)</f>
        <v>0</v>
      </c>
      <c r="AF791" s="2">
        <f>VLOOKUP([jobnumber],OvalData[],MATCH(Table2[[#Headers],[Grille Standard Tube]],Table2[#Headers],0),0)</f>
        <v>0</v>
      </c>
      <c r="AG791" s="2">
        <f>VLOOKUP([jobnumber],OvalData[],MATCH(Table2[[#Headers],[Grille Total Links]],Table2[#Headers],0),0)</f>
        <v>0</v>
      </c>
      <c r="AH791" s="2">
        <f>VLOOKUP([jobnumber],OvalData[],MATCH(Table2[[#Headers],[Grille Rods]],Table2[#Headers],0),0)</f>
        <v>0</v>
      </c>
      <c r="AI791" s="2">
        <f>VLOOKUP([jobnumber],OvalData[],MATCH(Table2[[#Headers],[Grille Rod Length]],Table2[#Headers],0),0)</f>
        <v>0</v>
      </c>
      <c r="AJ791" s="2">
        <f>VLOOKUP([jobnumber],OvalData[],MATCH(Table2[[#Headers],[slattype]],Table2[#Headers],0),0)</f>
        <v>2</v>
      </c>
      <c r="AK791" s="2">
        <f>VLOOKUP([jobnumber],OvalData[],MATCH(Table2[[#Headers],[slatgage]],Table2[#Headers],0),0)</f>
        <v>18</v>
      </c>
      <c r="AL791" s="2">
        <f>VLOOKUP([jobnumber],OvalData[],MATCH(Table2[[#Headers],[Numer of Top Slats]],Table2[#Headers],0),0)</f>
        <v>0</v>
      </c>
      <c r="AM791" s="2">
        <f>VLOOKUP([jobnumber],OvalData[],MATCH(Table2[[#Headers],[Number of Bottom Slats]],Table2[#Headers],0),0)</f>
        <v>0</v>
      </c>
      <c r="AN791" s="2">
        <f>VLOOKUP([jobnumber],OvalData[],MATCH(Table2[[#Headers],[Solid Bottom Height]],Table2[#Headers],0),0)</f>
        <v>0</v>
      </c>
      <c r="AO791" s="2" t="str">
        <f>VLOOKUP([jobnumber],OvalData[],MATCH(Table2[[#Headers],[slatlength]],Table2[#Headers],0),0)</f>
        <v xml:space="preserve"> 18 ft.- 5 7/ 8"</v>
      </c>
      <c r="AP791" s="2">
        <f>VLOOKUP([jobnumber],OvalData[],MATCH(Table2[[#Headers],[Bottom Slat Length]],Table2[#Headers],0),0)</f>
        <v>0</v>
      </c>
      <c r="AQ791" s="2">
        <f>VLOOKUP([jobnumber],OvalData[],MATCH(Table2[[#Headers],[Number of Perferated Slats]],Table2[#Headers],0),0)</f>
        <v>0</v>
      </c>
      <c r="AR791" s="2">
        <f>VLOOKUP([jobnumber],OvalData[],MATCH(Table2[[#Headers],[First Preferated Slat From End]],Table2[#Headers],0),0)</f>
        <v>0</v>
      </c>
      <c r="AS791" s="2">
        <f>VLOOKUP([jobnumber],OvalData[],MATCH(Table2[[#Headers],[First Preferated Slat From Bottom]],Table2[#Headers],0),0)</f>
        <v>0</v>
      </c>
      <c r="AT791" s="2">
        <f>VLOOKUP([jobnumber],OvalData[],MATCH(Table2[[#Headers],[Total Number of Slats]],Table2[#Headers],0),0)</f>
        <v>51</v>
      </c>
      <c r="AU791" s="2">
        <f>VLOOKUP([jobnumber],OvalData[],MATCH(Table2[[#Headers],[Bottom Bar Slope]],Table2[#Headers],0),0)</f>
        <v>0</v>
      </c>
      <c r="AV791" s="2">
        <f>VLOOKUP([jobnumber],OvalData[],MATCH(Table2[[#Headers],[Bottom Bar Weight]],Table2[#Headers],0),0)</f>
        <v>80.5</v>
      </c>
      <c r="AW791" s="2" t="str">
        <f>VLOOKUP([jobnumber],OvalData[],MATCH(Table2[[#Headers],[Outer Spring Gage]],Table2[#Headers],0),0)</f>
        <v>Null</v>
      </c>
      <c r="AX791" s="2" t="str">
        <f>VLOOKUP([jobnumber],OvalData[],MATCH(Table2[[#Headers],[Outer Spring OD]],Table2[#Headers],0),0)</f>
        <v>Null</v>
      </c>
      <c r="AY791" s="2" t="str">
        <f>VLOOKUP([jobnumber],OvalData[],MATCH(Table2[[#Headers],[Outer Spring Length]],Table2[#Headers],0),0)</f>
        <v>Null</v>
      </c>
      <c r="AZ791" s="2" t="str">
        <f>VLOOKUP([jobnumber],OvalData[],MATCH(Table2[[#Headers],[Outer Spring Stretch]],Table2[#Headers],0),0)</f>
        <v>Null</v>
      </c>
      <c r="BA791" s="2" t="str">
        <f>VLOOKUP([jobnumber],OvalData[],MATCH(Table2[[#Headers],[Outer Spring Torque]],Table2[#Headers],0),0)</f>
        <v>Null</v>
      </c>
      <c r="BB791" s="2" t="str">
        <f>VLOOKUP([jobnumber],OvalData[],MATCH(Table2[[#Headers],[Outer Spring Max Turns]],Table2[#Headers],0),0)</f>
        <v>Null</v>
      </c>
      <c r="BC791" s="2" t="str">
        <f>VLOOKUP([jobnumber],OvalData[],MATCH(Table2[[#Headers],[Outer Spring Weight]],Table2[#Headers],0),0)</f>
        <v>Null</v>
      </c>
      <c r="BD791" s="2" t="str">
        <f>VLOOKUP([jobnumber],OvalData[],MATCH(Table2[[#Headers],[Inner Spring Gage]],Table2[#Headers],0),0)</f>
        <v>Null</v>
      </c>
      <c r="BE791" s="2" t="str">
        <f>VLOOKUP([jobnumber],OvalData[],MATCH(Table2[[#Headers],[Inner Spring OD]],Table2[#Headers],0),0)</f>
        <v>Null</v>
      </c>
      <c r="BF791" s="2" t="str">
        <f>VLOOKUP([jobnumber],OvalData[],MATCH(Table2[[#Headers],[Inner Spring Length]],Table2[#Headers],0),0)</f>
        <v>Null</v>
      </c>
      <c r="BG791" s="2" t="str">
        <f>VLOOKUP([jobnumber],OvalData[],MATCH(Table2[[#Headers],[Inner Spring Stretch]],Table2[#Headers],0),0)</f>
        <v>Null</v>
      </c>
      <c r="BH791" s="2" t="str">
        <f>VLOOKUP([jobnumber],OvalData[],MATCH(Table2[[#Headers],[Inner Spring Torque]],Table2[#Headers],0),0)</f>
        <v>Null</v>
      </c>
      <c r="BI791" s="2" t="str">
        <f>VLOOKUP([jobnumber],OvalData[],MATCH(Table2[[#Headers],[Inner Spring Max Turns]],Table2[#Headers],0),0)</f>
        <v>Null</v>
      </c>
      <c r="BJ791" s="2" t="str">
        <f>VLOOKUP([jobnumber],OvalData[],MATCH(Table2[[#Headers],[Inner Spring Weight]],Table2[#Headers],0),0)</f>
        <v>Null</v>
      </c>
      <c r="BK791" s="2">
        <f>VLOOKUP([jobnumber],OvalData[],MATCH(Table2[[#Headers],[Cycles]],Table2[#Headers],0),0)</f>
        <v>0</v>
      </c>
      <c r="BL791" s="2">
        <f>VLOOKUP([jobnumber],OvalData[],MATCH(Table2[[#Headers],[Total Spring Torque]],Table2[#Headers],0),0)</f>
        <v>0</v>
      </c>
      <c r="BM791" s="2">
        <f>VLOOKUP([jobnumber],OvalData[],MATCH(Table2[[#Headers],[Total Spring Weight]],Table2[#Headers],0),0)</f>
        <v>0</v>
      </c>
      <c r="BN791" s="2">
        <f>VLOOKUP([jobnumber],OvalData[],MATCH(Table2[[#Headers],[Pipe Weight]],Table2[#Headers],0),0)</f>
        <v>688.24239999999998</v>
      </c>
      <c r="BO791" s="2">
        <f>VLOOKUP([jobnumber],OvalData[],MATCH(Table2[[#Headers],[Max Pipe Deflection]],Table2[#Headers],0),0)</f>
        <v>2309</v>
      </c>
      <c r="BP791" s="2">
        <f>VLOOKUP([jobnumber],OvalData[],MATCH(Table2[[#Headers],[Number Non-Insulated Wrap Slats]],Table2[#Headers],0),0)</f>
        <v>0</v>
      </c>
      <c r="BQ791" s="2">
        <f>VLOOKUP([jobnumber],OvalData[],MATCH(Table2[[#Headers],[Number of Insolated Top Slats]],Table2[#Headers],0),0)</f>
        <v>45</v>
      </c>
      <c r="BR791" s="2">
        <f>VLOOKUP([jobnumber],OvalData[],MATCH(Table2[[#Headers],[Insolated Total Slats]],Table2[#Headers],0),0)</f>
        <v>45</v>
      </c>
      <c r="BS791" s="2">
        <f>VLOOKUP([jobnumber],OvalData[],MATCH(Table2[[#Headers],[Number of Slats]],Table2[#Headers],0),0)</f>
        <v>44.69</v>
      </c>
      <c r="BT791" s="2">
        <f>VLOOKUP([jobnumber],OvalData[],MATCH(Table2[[#Headers],[Wrap]],Table2[#Headers],0),0)</f>
        <v>0</v>
      </c>
      <c r="BU791" s="2">
        <f>VLOOKUP([jobnumber],OvalData[],MATCH(Table2[[#Headers],[Wall Angle Thickness]],Table2[#Headers],0),0)</f>
        <v>0</v>
      </c>
      <c r="BV791" s="2">
        <f>VLOOKUP([jobnumber],OvalData[],MATCH(Table2[[#Headers],[windlocks]],Table2[#Headers],0),0)</f>
        <v>0</v>
      </c>
      <c r="BW791" s="2" t="str">
        <f>VLOOKUP([jobnumber],OvalData[],MATCH(Table2[[#Headers],[bottombartype]],Table2[#Headers],0),0)</f>
        <v>SPECIAL</v>
      </c>
      <c r="BX791" s="2">
        <f>VLOOKUP([jobnumber],OvalData[],MATCH(Table2[[#Headers],[endlockweight]],Table2[#Headers],0),0)</f>
        <v>0.17</v>
      </c>
      <c r="BY791" s="2">
        <f>VLOOKUP([jobnumber],OvalData[],MATCH(Table2[[#Headers],[Endlock Total Weight]],Table2[#Headers],0),0)</f>
        <v>7.5972999999999997</v>
      </c>
      <c r="BZ791" s="2">
        <f>VLOOKUP([jobnumber],OvalData[],MATCH(Table2[[#Headers],[Grille Weight]],Table2[#Headers],0),0)</f>
        <v>0</v>
      </c>
      <c r="CA791" s="2">
        <f>VLOOKUP([jobnumber],OvalData[],MATCH(Table2[[#Headers],[barrelrings]],Table2[#Headers],0),0)</f>
        <v>1</v>
      </c>
    </row>
    <row r="792" spans="2:79">
      <c r="B792" s="2" t="str">
        <f>VLOOKUP([jobnumber],OvalData[],MATCH(Table2[[#Headers],[Hand]],Table2[#Headers],0),0)</f>
        <v>RH</v>
      </c>
      <c r="C792" s="2" t="str">
        <f>VLOOKUP([jobnumber],OvalData[],MATCH(Table2[[#Headers],[Model]],Table2[#Headers],0),0)</f>
        <v>SFMPP</v>
      </c>
      <c r="D792" s="2" t="str">
        <f>VLOOKUP([jobnumber],OvalData[],MATCH(Table2[[#Headers],[width]],Table2[#Headers],0),0)</f>
        <v xml:space="preserve"> 18 ft.- 2"</v>
      </c>
      <c r="E792" s="2" t="str">
        <f>VLOOKUP([jobnumber],OvalData[],MATCH(Table2[[#Headers],[stopheight]],Table2[#Headers],0),0)</f>
        <v xml:space="preserve"> 10 ft.- 0"</v>
      </c>
      <c r="F792" s="2" t="str">
        <f>VLOOKUP([jobnumber],OvalData[],MATCH(Table2[[#Headers],[Between Brackets]],Table2[#Headers],0),0)</f>
        <v xml:space="preserve"> 18 ft.- 7 7/ 8"</v>
      </c>
      <c r="G792" s="2" t="str">
        <f>VLOOKUP([jobnumber],OvalData[],MATCH(Table2[[#Headers],[shell]],Table2[#Headers],0),0)</f>
        <v>6 INCH TUBE</v>
      </c>
      <c r="H792" s="2" t="str">
        <f>VLOOKUP([jobnumber],OvalData[],MATCH(Table2[[#Headers],[pipewidth]],Table2[#Headers],0),0)</f>
        <v xml:space="preserve"> 18 ft.- 1 3/ 8"</v>
      </c>
      <c r="I792" s="2">
        <f>VLOOKUP([jobnumber],OvalData[],MATCH(Table2[[#Headers],[Support Tubes]],Table2[#Headers],0),0)</f>
        <v>0</v>
      </c>
      <c r="J792" s="2">
        <f>VLOOKUP([jobnumber],OvalData[],MATCH(Table2[[#Headers],[Upset]],Table2[#Headers],0),0)</f>
        <v>2</v>
      </c>
      <c r="K792" s="2" t="str">
        <f>VLOOKUP([jobnumber],OvalData[],MATCH(Table2[[#Headers],[Guide Type]],Table2[#Headers],0),0)</f>
        <v>SN2-4 5/8-E</v>
      </c>
      <c r="L792" s="2" t="str">
        <f>VLOOKUP([jobnumber],OvalData[],MATCH(Table2[[#Headers],[Wall Angle]],Table2[#Headers],0),0)</f>
        <v xml:space="preserve"> 11 ft.- 8"</v>
      </c>
      <c r="M792" s="2" t="str">
        <f>VLOOKUP([jobnumber],OvalData[],MATCH(Table2[[#Headers],[Middle Angle]],Table2[#Headers],0),0)</f>
        <v xml:space="preserve"> 10 ft.- 4 1/ 2"</v>
      </c>
      <c r="N792" s="2" t="str">
        <f>VLOOKUP([jobnumber],OvalData[],MATCH(Table2[[#Headers],[Front Angle]],Table2[#Headers],0),0)</f>
        <v xml:space="preserve"> 10 ft.- 3"</v>
      </c>
      <c r="O792" s="2">
        <f>VLOOKUP([jobnumber],OvalData[],MATCH(Table2[[#Headers],[Pipe Center Line]],Table2[#Headers],0),0)</f>
        <v>131</v>
      </c>
      <c r="P792" s="2">
        <f>VLOOKUP([jobnumber],OvalData[],MATCH(Table2[[#Headers],[Heat Expansion Gap]],Table2[#Headers],0),0)</f>
        <v>0</v>
      </c>
      <c r="Q792" s="2">
        <f>VLOOKUP([jobnumber],OvalData[],MATCH(Table2[[#Headers],[Hanging Weight Closed]],Table2[#Headers],0),0)</f>
        <v>795</v>
      </c>
      <c r="R792" s="2">
        <f>VLOOKUP([jobnumber],OvalData[],MATCH(Table2[[#Headers],[Hanging Weight Open]],Table2[#Headers],0),0)</f>
        <v>140</v>
      </c>
      <c r="S792" s="2">
        <f>VLOOKUP([jobnumber],OvalData[],MATCH(Table2[[#Headers],[Initial Lever Arm]],Table2[#Headers],0),0)</f>
        <v>4.25</v>
      </c>
      <c r="T792" s="2">
        <f>VLOOKUP([jobnumber],OvalData[],MATCH(Table2[[#Headers],[Turns to Raise]],Table2[#Headers],0),0)</f>
        <v>3.5859999999999999</v>
      </c>
      <c r="U792" s="2">
        <f>VLOOKUP([jobnumber],OvalData[],MATCH(Table2[[#Headers],[Final Lever Arm]],Table2[#Headers],0),0)</f>
        <v>6.37</v>
      </c>
      <c r="V792" s="2">
        <f>VLOOKUP([jobnumber],OvalData[],MATCH(Table2[[#Headers],[Torque Required Closed]],Table2[#Headers],0),0)</f>
        <v>3377.9</v>
      </c>
      <c r="W792" s="2">
        <f>VLOOKUP([jobnumber],OvalData[],MATCH(Table2[[#Headers],[Torque Required Open]],Table2[#Headers],0),0)</f>
        <v>892</v>
      </c>
      <c r="X792" s="2">
        <f>VLOOKUP([jobnumber],OvalData[],MATCH(Table2[[#Headers],[Pre Turns]],Table2[#Headers],0),0)</f>
        <v>1.3332999999999999</v>
      </c>
      <c r="Y792" s="2">
        <f>VLOOKUP([jobnumber],OvalData[],MATCH(Table2[[#Headers],[Required Torque Per Turn]],Table2[#Headers],0),0)</f>
        <v>688</v>
      </c>
      <c r="Z792" s="2">
        <f>VLOOKUP([jobnumber],OvalData[],MATCH(Table2[[#Headers],[Total Turns]],Table2[#Headers],0),0)</f>
        <v>4.91</v>
      </c>
      <c r="AA792" s="2">
        <f>VLOOKUP([jobnumber],OvalData[],MATCH(Table2[[#Headers],[Grille Vision Section]],Table2[#Headers],0),0)</f>
        <v>0</v>
      </c>
      <c r="AB792" s="2">
        <f>VLOOKUP([jobnumber],OvalData[],MATCH(Table2[[#Headers],[Grille Amount]],Table2[#Headers],0),0)</f>
        <v>0</v>
      </c>
      <c r="AC792" s="2">
        <f>VLOOKUP([jobnumber],OvalData[],MATCH(Table2[[#Headers],[Grille Center]],Table2[#Headers],0),0)</f>
        <v>0</v>
      </c>
      <c r="AD792" s="2">
        <f>VLOOKUP([jobnumber],OvalData[],MATCH(Table2[[#Headers],[Grille Pattern]],Table2[#Headers],0),0)</f>
        <v>0</v>
      </c>
      <c r="AE792" s="2">
        <f>VLOOKUP([jobnumber],OvalData[],MATCH(Table2[[#Headers],[Grille First Tube]],Table2[#Headers],0),0)</f>
        <v>0</v>
      </c>
      <c r="AF792" s="2">
        <f>VLOOKUP([jobnumber],OvalData[],MATCH(Table2[[#Headers],[Grille Standard Tube]],Table2[#Headers],0),0)</f>
        <v>0</v>
      </c>
      <c r="AG792" s="2">
        <f>VLOOKUP([jobnumber],OvalData[],MATCH(Table2[[#Headers],[Grille Total Links]],Table2[#Headers],0),0)</f>
        <v>0</v>
      </c>
      <c r="AH792" s="2">
        <f>VLOOKUP([jobnumber],OvalData[],MATCH(Table2[[#Headers],[Grille Rods]],Table2[#Headers],0),0)</f>
        <v>0</v>
      </c>
      <c r="AI792" s="2">
        <f>VLOOKUP([jobnumber],OvalData[],MATCH(Table2[[#Headers],[Grille Rod Length]],Table2[#Headers],0),0)</f>
        <v>0</v>
      </c>
      <c r="AJ792" s="2">
        <f>VLOOKUP([jobnumber],OvalData[],MATCH(Table2[[#Headers],[slattype]],Table2[#Headers],0),0)</f>
        <v>2</v>
      </c>
      <c r="AK792" s="2">
        <f>VLOOKUP([jobnumber],OvalData[],MATCH(Table2[[#Headers],[slatgage]],Table2[#Headers],0),0)</f>
        <v>18</v>
      </c>
      <c r="AL792" s="2">
        <f>VLOOKUP([jobnumber],OvalData[],MATCH(Table2[[#Headers],[Numer of Top Slats]],Table2[#Headers],0),0)</f>
        <v>0</v>
      </c>
      <c r="AM792" s="2">
        <f>VLOOKUP([jobnumber],OvalData[],MATCH(Table2[[#Headers],[Number of Bottom Slats]],Table2[#Headers],0),0)</f>
        <v>0</v>
      </c>
      <c r="AN792" s="2">
        <f>VLOOKUP([jobnumber],OvalData[],MATCH(Table2[[#Headers],[Solid Bottom Height]],Table2[#Headers],0),0)</f>
        <v>0</v>
      </c>
      <c r="AO792" s="2" t="str">
        <f>VLOOKUP([jobnumber],OvalData[],MATCH(Table2[[#Headers],[slatlength]],Table2[#Headers],0),0)</f>
        <v xml:space="preserve"> 18 ft.- 5 7/ 8"</v>
      </c>
      <c r="AP792" s="2">
        <f>VLOOKUP([jobnumber],OvalData[],MATCH(Table2[[#Headers],[Bottom Slat Length]],Table2[#Headers],0),0)</f>
        <v>0</v>
      </c>
      <c r="AQ792" s="2">
        <f>VLOOKUP([jobnumber],OvalData[],MATCH(Table2[[#Headers],[Number of Perferated Slats]],Table2[#Headers],0),0)</f>
        <v>0</v>
      </c>
      <c r="AR792" s="2">
        <f>VLOOKUP([jobnumber],OvalData[],MATCH(Table2[[#Headers],[First Preferated Slat From End]],Table2[#Headers],0),0)</f>
        <v>0</v>
      </c>
      <c r="AS792" s="2">
        <f>VLOOKUP([jobnumber],OvalData[],MATCH(Table2[[#Headers],[First Preferated Slat From Bottom]],Table2[#Headers],0),0)</f>
        <v>0</v>
      </c>
      <c r="AT792" s="2">
        <f>VLOOKUP([jobnumber],OvalData[],MATCH(Table2[[#Headers],[Total Number of Slats]],Table2[#Headers],0),0)</f>
        <v>51</v>
      </c>
      <c r="AU792" s="2">
        <f>VLOOKUP([jobnumber],OvalData[],MATCH(Table2[[#Headers],[Bottom Bar Slope]],Table2[#Headers],0),0)</f>
        <v>0</v>
      </c>
      <c r="AV792" s="2">
        <f>VLOOKUP([jobnumber],OvalData[],MATCH(Table2[[#Headers],[Bottom Bar Weight]],Table2[#Headers],0),0)</f>
        <v>80.5</v>
      </c>
      <c r="AW792" s="2" t="str">
        <f>VLOOKUP([jobnumber],OvalData[],MATCH(Table2[[#Headers],[Outer Spring Gage]],Table2[#Headers],0),0)</f>
        <v>Null</v>
      </c>
      <c r="AX792" s="2" t="str">
        <f>VLOOKUP([jobnumber],OvalData[],MATCH(Table2[[#Headers],[Outer Spring OD]],Table2[#Headers],0),0)</f>
        <v>Null</v>
      </c>
      <c r="AY792" s="2" t="str">
        <f>VLOOKUP([jobnumber],OvalData[],MATCH(Table2[[#Headers],[Outer Spring Length]],Table2[#Headers],0),0)</f>
        <v>Null</v>
      </c>
      <c r="AZ792" s="2" t="str">
        <f>VLOOKUP([jobnumber],OvalData[],MATCH(Table2[[#Headers],[Outer Spring Stretch]],Table2[#Headers],0),0)</f>
        <v>Null</v>
      </c>
      <c r="BA792" s="2" t="str">
        <f>VLOOKUP([jobnumber],OvalData[],MATCH(Table2[[#Headers],[Outer Spring Torque]],Table2[#Headers],0),0)</f>
        <v>Null</v>
      </c>
      <c r="BB792" s="2" t="str">
        <f>VLOOKUP([jobnumber],OvalData[],MATCH(Table2[[#Headers],[Outer Spring Max Turns]],Table2[#Headers],0),0)</f>
        <v>Null</v>
      </c>
      <c r="BC792" s="2" t="str">
        <f>VLOOKUP([jobnumber],OvalData[],MATCH(Table2[[#Headers],[Outer Spring Weight]],Table2[#Headers],0),0)</f>
        <v>Null</v>
      </c>
      <c r="BD792" s="2" t="str">
        <f>VLOOKUP([jobnumber],OvalData[],MATCH(Table2[[#Headers],[Inner Spring Gage]],Table2[#Headers],0),0)</f>
        <v>Null</v>
      </c>
      <c r="BE792" s="2" t="str">
        <f>VLOOKUP([jobnumber],OvalData[],MATCH(Table2[[#Headers],[Inner Spring OD]],Table2[#Headers],0),0)</f>
        <v>Null</v>
      </c>
      <c r="BF792" s="2" t="str">
        <f>VLOOKUP([jobnumber],OvalData[],MATCH(Table2[[#Headers],[Inner Spring Length]],Table2[#Headers],0),0)</f>
        <v>Null</v>
      </c>
      <c r="BG792" s="2" t="str">
        <f>VLOOKUP([jobnumber],OvalData[],MATCH(Table2[[#Headers],[Inner Spring Stretch]],Table2[#Headers],0),0)</f>
        <v>Null</v>
      </c>
      <c r="BH792" s="2" t="str">
        <f>VLOOKUP([jobnumber],OvalData[],MATCH(Table2[[#Headers],[Inner Spring Torque]],Table2[#Headers],0),0)</f>
        <v>Null</v>
      </c>
      <c r="BI792" s="2" t="str">
        <f>VLOOKUP([jobnumber],OvalData[],MATCH(Table2[[#Headers],[Inner Spring Max Turns]],Table2[#Headers],0),0)</f>
        <v>Null</v>
      </c>
      <c r="BJ792" s="2" t="str">
        <f>VLOOKUP([jobnumber],OvalData[],MATCH(Table2[[#Headers],[Inner Spring Weight]],Table2[#Headers],0),0)</f>
        <v>Null</v>
      </c>
      <c r="BK792" s="2">
        <f>VLOOKUP([jobnumber],OvalData[],MATCH(Table2[[#Headers],[Cycles]],Table2[#Headers],0),0)</f>
        <v>0</v>
      </c>
      <c r="BL792" s="2">
        <f>VLOOKUP([jobnumber],OvalData[],MATCH(Table2[[#Headers],[Total Spring Torque]],Table2[#Headers],0),0)</f>
        <v>0</v>
      </c>
      <c r="BM792" s="2">
        <f>VLOOKUP([jobnumber],OvalData[],MATCH(Table2[[#Headers],[Total Spring Weight]],Table2[#Headers],0),0)</f>
        <v>0</v>
      </c>
      <c r="BN792" s="2">
        <f>VLOOKUP([jobnumber],OvalData[],MATCH(Table2[[#Headers],[Pipe Weight]],Table2[#Headers],0),0)</f>
        <v>688.24239999999998</v>
      </c>
      <c r="BO792" s="2">
        <f>VLOOKUP([jobnumber],OvalData[],MATCH(Table2[[#Headers],[Max Pipe Deflection]],Table2[#Headers],0),0)</f>
        <v>2309</v>
      </c>
      <c r="BP792" s="2">
        <f>VLOOKUP([jobnumber],OvalData[],MATCH(Table2[[#Headers],[Number Non-Insulated Wrap Slats]],Table2[#Headers],0),0)</f>
        <v>0</v>
      </c>
      <c r="BQ792" s="2">
        <f>VLOOKUP([jobnumber],OvalData[],MATCH(Table2[[#Headers],[Number of Insolated Top Slats]],Table2[#Headers],0),0)</f>
        <v>45</v>
      </c>
      <c r="BR792" s="2">
        <f>VLOOKUP([jobnumber],OvalData[],MATCH(Table2[[#Headers],[Insolated Total Slats]],Table2[#Headers],0),0)</f>
        <v>45</v>
      </c>
      <c r="BS792" s="2">
        <f>VLOOKUP([jobnumber],OvalData[],MATCH(Table2[[#Headers],[Number of Slats]],Table2[#Headers],0),0)</f>
        <v>44.69</v>
      </c>
      <c r="BT792" s="2">
        <f>VLOOKUP([jobnumber],OvalData[],MATCH(Table2[[#Headers],[Wrap]],Table2[#Headers],0),0)</f>
        <v>0</v>
      </c>
      <c r="BU792" s="2">
        <f>VLOOKUP([jobnumber],OvalData[],MATCH(Table2[[#Headers],[Wall Angle Thickness]],Table2[#Headers],0),0)</f>
        <v>0</v>
      </c>
      <c r="BV792" s="2">
        <f>VLOOKUP([jobnumber],OvalData[],MATCH(Table2[[#Headers],[windlocks]],Table2[#Headers],0),0)</f>
        <v>0</v>
      </c>
      <c r="BW792" s="2" t="str">
        <f>VLOOKUP([jobnumber],OvalData[],MATCH(Table2[[#Headers],[bottombartype]],Table2[#Headers],0),0)</f>
        <v>SPECIAL</v>
      </c>
      <c r="BX792" s="2">
        <f>VLOOKUP([jobnumber],OvalData[],MATCH(Table2[[#Headers],[endlockweight]],Table2[#Headers],0),0)</f>
        <v>0.17</v>
      </c>
      <c r="BY792" s="2">
        <f>VLOOKUP([jobnumber],OvalData[],MATCH(Table2[[#Headers],[Endlock Total Weight]],Table2[#Headers],0),0)</f>
        <v>7.5972999999999997</v>
      </c>
      <c r="BZ792" s="2">
        <f>VLOOKUP([jobnumber],OvalData[],MATCH(Table2[[#Headers],[Grille Weight]],Table2[#Headers],0),0)</f>
        <v>0</v>
      </c>
      <c r="CA792" s="2">
        <f>VLOOKUP([jobnumber],OvalData[],MATCH(Table2[[#Headers],[barrelrings]],Table2[#Headers],0),0)</f>
        <v>1</v>
      </c>
    </row>
    <row r="793" spans="2:79">
      <c r="B793" s="2" t="str">
        <f>VLOOKUP([jobnumber],OvalData[],MATCH(Table2[[#Headers],[Hand]],Table2[#Headers],0),0)</f>
        <v>RH</v>
      </c>
      <c r="C793" s="2" t="str">
        <f>VLOOKUP([jobnumber],OvalData[],MATCH(Table2[[#Headers],[Model]],Table2[#Headers],0),0)</f>
        <v>SFMPP</v>
      </c>
      <c r="D793" s="2" t="str">
        <f>VLOOKUP([jobnumber],OvalData[],MATCH(Table2[[#Headers],[width]],Table2[#Headers],0),0)</f>
        <v xml:space="preserve"> 18 ft.- 2"</v>
      </c>
      <c r="E793" s="2" t="str">
        <f>VLOOKUP([jobnumber],OvalData[],MATCH(Table2[[#Headers],[stopheight]],Table2[#Headers],0),0)</f>
        <v xml:space="preserve"> 10 ft.- 0"</v>
      </c>
      <c r="F793" s="2" t="str">
        <f>VLOOKUP([jobnumber],OvalData[],MATCH(Table2[[#Headers],[Between Brackets]],Table2[#Headers],0),0)</f>
        <v xml:space="preserve"> 18 ft.- 7 7/ 8"</v>
      </c>
      <c r="G793" s="2" t="str">
        <f>VLOOKUP([jobnumber],OvalData[],MATCH(Table2[[#Headers],[shell]],Table2[#Headers],0),0)</f>
        <v>6 INCH TUBE</v>
      </c>
      <c r="H793" s="2" t="str">
        <f>VLOOKUP([jobnumber],OvalData[],MATCH(Table2[[#Headers],[pipewidth]],Table2[#Headers],0),0)</f>
        <v xml:space="preserve"> 18 ft.- 1 3/ 8"</v>
      </c>
      <c r="I793" s="2">
        <f>VLOOKUP([jobnumber],OvalData[],MATCH(Table2[[#Headers],[Support Tubes]],Table2[#Headers],0),0)</f>
        <v>0</v>
      </c>
      <c r="J793" s="2">
        <f>VLOOKUP([jobnumber],OvalData[],MATCH(Table2[[#Headers],[Upset]],Table2[#Headers],0),0)</f>
        <v>2</v>
      </c>
      <c r="K793" s="2" t="str">
        <f>VLOOKUP([jobnumber],OvalData[],MATCH(Table2[[#Headers],[Guide Type]],Table2[#Headers],0),0)</f>
        <v>SN2-4 5/8-E</v>
      </c>
      <c r="L793" s="2" t="str">
        <f>VLOOKUP([jobnumber],OvalData[],MATCH(Table2[[#Headers],[Wall Angle]],Table2[#Headers],0),0)</f>
        <v xml:space="preserve"> 11 ft.- 8"</v>
      </c>
      <c r="M793" s="2" t="str">
        <f>VLOOKUP([jobnumber],OvalData[],MATCH(Table2[[#Headers],[Middle Angle]],Table2[#Headers],0),0)</f>
        <v xml:space="preserve"> 10 ft.- 4 1/ 2"</v>
      </c>
      <c r="N793" s="2" t="str">
        <f>VLOOKUP([jobnumber],OvalData[],MATCH(Table2[[#Headers],[Front Angle]],Table2[#Headers],0),0)</f>
        <v xml:space="preserve"> 10 ft.- 3"</v>
      </c>
      <c r="O793" s="2">
        <f>VLOOKUP([jobnumber],OvalData[],MATCH(Table2[[#Headers],[Pipe Center Line]],Table2[#Headers],0),0)</f>
        <v>131</v>
      </c>
      <c r="P793" s="2">
        <f>VLOOKUP([jobnumber],OvalData[],MATCH(Table2[[#Headers],[Heat Expansion Gap]],Table2[#Headers],0),0)</f>
        <v>0</v>
      </c>
      <c r="Q793" s="2">
        <f>VLOOKUP([jobnumber],OvalData[],MATCH(Table2[[#Headers],[Hanging Weight Closed]],Table2[#Headers],0),0)</f>
        <v>795</v>
      </c>
      <c r="R793" s="2">
        <f>VLOOKUP([jobnumber],OvalData[],MATCH(Table2[[#Headers],[Hanging Weight Open]],Table2[#Headers],0),0)</f>
        <v>140</v>
      </c>
      <c r="S793" s="2">
        <f>VLOOKUP([jobnumber],OvalData[],MATCH(Table2[[#Headers],[Initial Lever Arm]],Table2[#Headers],0),0)</f>
        <v>4.25</v>
      </c>
      <c r="T793" s="2">
        <f>VLOOKUP([jobnumber],OvalData[],MATCH(Table2[[#Headers],[Turns to Raise]],Table2[#Headers],0),0)</f>
        <v>3.5859999999999999</v>
      </c>
      <c r="U793" s="2">
        <f>VLOOKUP([jobnumber],OvalData[],MATCH(Table2[[#Headers],[Final Lever Arm]],Table2[#Headers],0),0)</f>
        <v>6.37</v>
      </c>
      <c r="V793" s="2">
        <f>VLOOKUP([jobnumber],OvalData[],MATCH(Table2[[#Headers],[Torque Required Closed]],Table2[#Headers],0),0)</f>
        <v>3377.9</v>
      </c>
      <c r="W793" s="2">
        <f>VLOOKUP([jobnumber],OvalData[],MATCH(Table2[[#Headers],[Torque Required Open]],Table2[#Headers],0),0)</f>
        <v>892</v>
      </c>
      <c r="X793" s="2">
        <f>VLOOKUP([jobnumber],OvalData[],MATCH(Table2[[#Headers],[Pre Turns]],Table2[#Headers],0),0)</f>
        <v>1.3332999999999999</v>
      </c>
      <c r="Y793" s="2">
        <f>VLOOKUP([jobnumber],OvalData[],MATCH(Table2[[#Headers],[Required Torque Per Turn]],Table2[#Headers],0),0)</f>
        <v>688</v>
      </c>
      <c r="Z793" s="2">
        <f>VLOOKUP([jobnumber],OvalData[],MATCH(Table2[[#Headers],[Total Turns]],Table2[#Headers],0),0)</f>
        <v>4.91</v>
      </c>
      <c r="AA793" s="2">
        <f>VLOOKUP([jobnumber],OvalData[],MATCH(Table2[[#Headers],[Grille Vision Section]],Table2[#Headers],0),0)</f>
        <v>0</v>
      </c>
      <c r="AB793" s="2">
        <f>VLOOKUP([jobnumber],OvalData[],MATCH(Table2[[#Headers],[Grille Amount]],Table2[#Headers],0),0)</f>
        <v>0</v>
      </c>
      <c r="AC793" s="2">
        <f>VLOOKUP([jobnumber],OvalData[],MATCH(Table2[[#Headers],[Grille Center]],Table2[#Headers],0),0)</f>
        <v>0</v>
      </c>
      <c r="AD793" s="2">
        <f>VLOOKUP([jobnumber],OvalData[],MATCH(Table2[[#Headers],[Grille Pattern]],Table2[#Headers],0),0)</f>
        <v>0</v>
      </c>
      <c r="AE793" s="2">
        <f>VLOOKUP([jobnumber],OvalData[],MATCH(Table2[[#Headers],[Grille First Tube]],Table2[#Headers],0),0)</f>
        <v>0</v>
      </c>
      <c r="AF793" s="2">
        <f>VLOOKUP([jobnumber],OvalData[],MATCH(Table2[[#Headers],[Grille Standard Tube]],Table2[#Headers],0),0)</f>
        <v>0</v>
      </c>
      <c r="AG793" s="2">
        <f>VLOOKUP([jobnumber],OvalData[],MATCH(Table2[[#Headers],[Grille Total Links]],Table2[#Headers],0),0)</f>
        <v>0</v>
      </c>
      <c r="AH793" s="2">
        <f>VLOOKUP([jobnumber],OvalData[],MATCH(Table2[[#Headers],[Grille Rods]],Table2[#Headers],0),0)</f>
        <v>0</v>
      </c>
      <c r="AI793" s="2">
        <f>VLOOKUP([jobnumber],OvalData[],MATCH(Table2[[#Headers],[Grille Rod Length]],Table2[#Headers],0),0)</f>
        <v>0</v>
      </c>
      <c r="AJ793" s="2">
        <f>VLOOKUP([jobnumber],OvalData[],MATCH(Table2[[#Headers],[slattype]],Table2[#Headers],0),0)</f>
        <v>2</v>
      </c>
      <c r="AK793" s="2">
        <f>VLOOKUP([jobnumber],OvalData[],MATCH(Table2[[#Headers],[slatgage]],Table2[#Headers],0),0)</f>
        <v>18</v>
      </c>
      <c r="AL793" s="2">
        <f>VLOOKUP([jobnumber],OvalData[],MATCH(Table2[[#Headers],[Numer of Top Slats]],Table2[#Headers],0),0)</f>
        <v>0</v>
      </c>
      <c r="AM793" s="2">
        <f>VLOOKUP([jobnumber],OvalData[],MATCH(Table2[[#Headers],[Number of Bottom Slats]],Table2[#Headers],0),0)</f>
        <v>0</v>
      </c>
      <c r="AN793" s="2">
        <f>VLOOKUP([jobnumber],OvalData[],MATCH(Table2[[#Headers],[Solid Bottom Height]],Table2[#Headers],0),0)</f>
        <v>0</v>
      </c>
      <c r="AO793" s="2" t="str">
        <f>VLOOKUP([jobnumber],OvalData[],MATCH(Table2[[#Headers],[slatlength]],Table2[#Headers],0),0)</f>
        <v xml:space="preserve"> 18 ft.- 5 7/ 8"</v>
      </c>
      <c r="AP793" s="2">
        <f>VLOOKUP([jobnumber],OvalData[],MATCH(Table2[[#Headers],[Bottom Slat Length]],Table2[#Headers],0),0)</f>
        <v>0</v>
      </c>
      <c r="AQ793" s="2">
        <f>VLOOKUP([jobnumber],OvalData[],MATCH(Table2[[#Headers],[Number of Perferated Slats]],Table2[#Headers],0),0)</f>
        <v>0</v>
      </c>
      <c r="AR793" s="2">
        <f>VLOOKUP([jobnumber],OvalData[],MATCH(Table2[[#Headers],[First Preferated Slat From End]],Table2[#Headers],0),0)</f>
        <v>0</v>
      </c>
      <c r="AS793" s="2">
        <f>VLOOKUP([jobnumber],OvalData[],MATCH(Table2[[#Headers],[First Preferated Slat From Bottom]],Table2[#Headers],0),0)</f>
        <v>0</v>
      </c>
      <c r="AT793" s="2">
        <f>VLOOKUP([jobnumber],OvalData[],MATCH(Table2[[#Headers],[Total Number of Slats]],Table2[#Headers],0),0)</f>
        <v>51</v>
      </c>
      <c r="AU793" s="2">
        <f>VLOOKUP([jobnumber],OvalData[],MATCH(Table2[[#Headers],[Bottom Bar Slope]],Table2[#Headers],0),0)</f>
        <v>0</v>
      </c>
      <c r="AV793" s="2">
        <f>VLOOKUP([jobnumber],OvalData[],MATCH(Table2[[#Headers],[Bottom Bar Weight]],Table2[#Headers],0),0)</f>
        <v>80.5</v>
      </c>
      <c r="AW793" s="2" t="str">
        <f>VLOOKUP([jobnumber],OvalData[],MATCH(Table2[[#Headers],[Outer Spring Gage]],Table2[#Headers],0),0)</f>
        <v>Null</v>
      </c>
      <c r="AX793" s="2" t="str">
        <f>VLOOKUP([jobnumber],OvalData[],MATCH(Table2[[#Headers],[Outer Spring OD]],Table2[#Headers],0),0)</f>
        <v>Null</v>
      </c>
      <c r="AY793" s="2" t="str">
        <f>VLOOKUP([jobnumber],OvalData[],MATCH(Table2[[#Headers],[Outer Spring Length]],Table2[#Headers],0),0)</f>
        <v>Null</v>
      </c>
      <c r="AZ793" s="2" t="str">
        <f>VLOOKUP([jobnumber],OvalData[],MATCH(Table2[[#Headers],[Outer Spring Stretch]],Table2[#Headers],0),0)</f>
        <v>Null</v>
      </c>
      <c r="BA793" s="2" t="str">
        <f>VLOOKUP([jobnumber],OvalData[],MATCH(Table2[[#Headers],[Outer Spring Torque]],Table2[#Headers],0),0)</f>
        <v>Null</v>
      </c>
      <c r="BB793" s="2" t="str">
        <f>VLOOKUP([jobnumber],OvalData[],MATCH(Table2[[#Headers],[Outer Spring Max Turns]],Table2[#Headers],0),0)</f>
        <v>Null</v>
      </c>
      <c r="BC793" s="2" t="str">
        <f>VLOOKUP([jobnumber],OvalData[],MATCH(Table2[[#Headers],[Outer Spring Weight]],Table2[#Headers],0),0)</f>
        <v>Null</v>
      </c>
      <c r="BD793" s="2" t="str">
        <f>VLOOKUP([jobnumber],OvalData[],MATCH(Table2[[#Headers],[Inner Spring Gage]],Table2[#Headers],0),0)</f>
        <v>Null</v>
      </c>
      <c r="BE793" s="2" t="str">
        <f>VLOOKUP([jobnumber],OvalData[],MATCH(Table2[[#Headers],[Inner Spring OD]],Table2[#Headers],0),0)</f>
        <v>Null</v>
      </c>
      <c r="BF793" s="2" t="str">
        <f>VLOOKUP([jobnumber],OvalData[],MATCH(Table2[[#Headers],[Inner Spring Length]],Table2[#Headers],0),0)</f>
        <v>Null</v>
      </c>
      <c r="BG793" s="2" t="str">
        <f>VLOOKUP([jobnumber],OvalData[],MATCH(Table2[[#Headers],[Inner Spring Stretch]],Table2[#Headers],0),0)</f>
        <v>Null</v>
      </c>
      <c r="BH793" s="2" t="str">
        <f>VLOOKUP([jobnumber],OvalData[],MATCH(Table2[[#Headers],[Inner Spring Torque]],Table2[#Headers],0),0)</f>
        <v>Null</v>
      </c>
      <c r="BI793" s="2" t="str">
        <f>VLOOKUP([jobnumber],OvalData[],MATCH(Table2[[#Headers],[Inner Spring Max Turns]],Table2[#Headers],0),0)</f>
        <v>Null</v>
      </c>
      <c r="BJ793" s="2" t="str">
        <f>VLOOKUP([jobnumber],OvalData[],MATCH(Table2[[#Headers],[Inner Spring Weight]],Table2[#Headers],0),0)</f>
        <v>Null</v>
      </c>
      <c r="BK793" s="2">
        <f>VLOOKUP([jobnumber],OvalData[],MATCH(Table2[[#Headers],[Cycles]],Table2[#Headers],0),0)</f>
        <v>0</v>
      </c>
      <c r="BL793" s="2">
        <f>VLOOKUP([jobnumber],OvalData[],MATCH(Table2[[#Headers],[Total Spring Torque]],Table2[#Headers],0),0)</f>
        <v>0</v>
      </c>
      <c r="BM793" s="2">
        <f>VLOOKUP([jobnumber],OvalData[],MATCH(Table2[[#Headers],[Total Spring Weight]],Table2[#Headers],0),0)</f>
        <v>0</v>
      </c>
      <c r="BN793" s="2">
        <f>VLOOKUP([jobnumber],OvalData[],MATCH(Table2[[#Headers],[Pipe Weight]],Table2[#Headers],0),0)</f>
        <v>688.24239999999998</v>
      </c>
      <c r="BO793" s="2">
        <f>VLOOKUP([jobnumber],OvalData[],MATCH(Table2[[#Headers],[Max Pipe Deflection]],Table2[#Headers],0),0)</f>
        <v>2309</v>
      </c>
      <c r="BP793" s="2">
        <f>VLOOKUP([jobnumber],OvalData[],MATCH(Table2[[#Headers],[Number Non-Insulated Wrap Slats]],Table2[#Headers],0),0)</f>
        <v>0</v>
      </c>
      <c r="BQ793" s="2">
        <f>VLOOKUP([jobnumber],OvalData[],MATCH(Table2[[#Headers],[Number of Insolated Top Slats]],Table2[#Headers],0),0)</f>
        <v>45</v>
      </c>
      <c r="BR793" s="2">
        <f>VLOOKUP([jobnumber],OvalData[],MATCH(Table2[[#Headers],[Insolated Total Slats]],Table2[#Headers],0),0)</f>
        <v>45</v>
      </c>
      <c r="BS793" s="2">
        <f>VLOOKUP([jobnumber],OvalData[],MATCH(Table2[[#Headers],[Number of Slats]],Table2[#Headers],0),0)</f>
        <v>44.69</v>
      </c>
      <c r="BT793" s="2">
        <f>VLOOKUP([jobnumber],OvalData[],MATCH(Table2[[#Headers],[Wrap]],Table2[#Headers],0),0)</f>
        <v>0</v>
      </c>
      <c r="BU793" s="2">
        <f>VLOOKUP([jobnumber],OvalData[],MATCH(Table2[[#Headers],[Wall Angle Thickness]],Table2[#Headers],0),0)</f>
        <v>0</v>
      </c>
      <c r="BV793" s="2">
        <f>VLOOKUP([jobnumber],OvalData[],MATCH(Table2[[#Headers],[windlocks]],Table2[#Headers],0),0)</f>
        <v>0</v>
      </c>
      <c r="BW793" s="2" t="str">
        <f>VLOOKUP([jobnumber],OvalData[],MATCH(Table2[[#Headers],[bottombartype]],Table2[#Headers],0),0)</f>
        <v>SPECIAL</v>
      </c>
      <c r="BX793" s="2">
        <f>VLOOKUP([jobnumber],OvalData[],MATCH(Table2[[#Headers],[endlockweight]],Table2[#Headers],0),0)</f>
        <v>0.17</v>
      </c>
      <c r="BY793" s="2">
        <f>VLOOKUP([jobnumber],OvalData[],MATCH(Table2[[#Headers],[Endlock Total Weight]],Table2[#Headers],0),0)</f>
        <v>7.5972999999999997</v>
      </c>
      <c r="BZ793" s="2">
        <f>VLOOKUP([jobnumber],OvalData[],MATCH(Table2[[#Headers],[Grille Weight]],Table2[#Headers],0),0)</f>
        <v>0</v>
      </c>
      <c r="CA793" s="2">
        <f>VLOOKUP([jobnumber],OvalData[],MATCH(Table2[[#Headers],[barrelrings]],Table2[#Headers],0),0)</f>
        <v>1</v>
      </c>
    </row>
    <row r="794" spans="2:79">
      <c r="B794" s="2" t="str">
        <f>VLOOKUP([jobnumber],OvalData[],MATCH(Table2[[#Headers],[Hand]],Table2[#Headers],0),0)</f>
        <v>RH</v>
      </c>
      <c r="C794" s="2" t="str">
        <f>VLOOKUP([jobnumber],OvalData[],MATCH(Table2[[#Headers],[Model]],Table2[#Headers],0),0)</f>
        <v>SFMPP</v>
      </c>
      <c r="D794" s="2" t="str">
        <f>VLOOKUP([jobnumber],OvalData[],MATCH(Table2[[#Headers],[width]],Table2[#Headers],0),0)</f>
        <v xml:space="preserve"> 18 ft.- 2"</v>
      </c>
      <c r="E794" s="2" t="str">
        <f>VLOOKUP([jobnumber],OvalData[],MATCH(Table2[[#Headers],[stopheight]],Table2[#Headers],0),0)</f>
        <v xml:space="preserve"> 10 ft.- 0"</v>
      </c>
      <c r="F794" s="2" t="str">
        <f>VLOOKUP([jobnumber],OvalData[],MATCH(Table2[[#Headers],[Between Brackets]],Table2[#Headers],0),0)</f>
        <v xml:space="preserve"> 18 ft.- 7 7/ 8"</v>
      </c>
      <c r="G794" s="2" t="str">
        <f>VLOOKUP([jobnumber],OvalData[],MATCH(Table2[[#Headers],[shell]],Table2[#Headers],0),0)</f>
        <v>6 INCH TUBE</v>
      </c>
      <c r="H794" s="2" t="str">
        <f>VLOOKUP([jobnumber],OvalData[],MATCH(Table2[[#Headers],[pipewidth]],Table2[#Headers],0),0)</f>
        <v xml:space="preserve"> 18 ft.- 1 3/ 8"</v>
      </c>
      <c r="I794" s="2">
        <f>VLOOKUP([jobnumber],OvalData[],MATCH(Table2[[#Headers],[Support Tubes]],Table2[#Headers],0),0)</f>
        <v>0</v>
      </c>
      <c r="J794" s="2">
        <f>VLOOKUP([jobnumber],OvalData[],MATCH(Table2[[#Headers],[Upset]],Table2[#Headers],0),0)</f>
        <v>2</v>
      </c>
      <c r="K794" s="2" t="str">
        <f>VLOOKUP([jobnumber],OvalData[],MATCH(Table2[[#Headers],[Guide Type]],Table2[#Headers],0),0)</f>
        <v>SN2-4 5/8-E</v>
      </c>
      <c r="L794" s="2" t="str">
        <f>VLOOKUP([jobnumber],OvalData[],MATCH(Table2[[#Headers],[Wall Angle]],Table2[#Headers],0),0)</f>
        <v xml:space="preserve"> 11 ft.- 8"</v>
      </c>
      <c r="M794" s="2" t="str">
        <f>VLOOKUP([jobnumber],OvalData[],MATCH(Table2[[#Headers],[Middle Angle]],Table2[#Headers],0),0)</f>
        <v xml:space="preserve"> 10 ft.- 4 1/ 2"</v>
      </c>
      <c r="N794" s="2" t="str">
        <f>VLOOKUP([jobnumber],OvalData[],MATCH(Table2[[#Headers],[Front Angle]],Table2[#Headers],0),0)</f>
        <v xml:space="preserve"> 10 ft.- 3"</v>
      </c>
      <c r="O794" s="2">
        <f>VLOOKUP([jobnumber],OvalData[],MATCH(Table2[[#Headers],[Pipe Center Line]],Table2[#Headers],0),0)</f>
        <v>131</v>
      </c>
      <c r="P794" s="2">
        <f>VLOOKUP([jobnumber],OvalData[],MATCH(Table2[[#Headers],[Heat Expansion Gap]],Table2[#Headers],0),0)</f>
        <v>0</v>
      </c>
      <c r="Q794" s="2">
        <f>VLOOKUP([jobnumber],OvalData[],MATCH(Table2[[#Headers],[Hanging Weight Closed]],Table2[#Headers],0),0)</f>
        <v>795</v>
      </c>
      <c r="R794" s="2">
        <f>VLOOKUP([jobnumber],OvalData[],MATCH(Table2[[#Headers],[Hanging Weight Open]],Table2[#Headers],0),0)</f>
        <v>140</v>
      </c>
      <c r="S794" s="2">
        <f>VLOOKUP([jobnumber],OvalData[],MATCH(Table2[[#Headers],[Initial Lever Arm]],Table2[#Headers],0),0)</f>
        <v>4.25</v>
      </c>
      <c r="T794" s="2">
        <f>VLOOKUP([jobnumber],OvalData[],MATCH(Table2[[#Headers],[Turns to Raise]],Table2[#Headers],0),0)</f>
        <v>3.5859999999999999</v>
      </c>
      <c r="U794" s="2">
        <f>VLOOKUP([jobnumber],OvalData[],MATCH(Table2[[#Headers],[Final Lever Arm]],Table2[#Headers],0),0)</f>
        <v>6.37</v>
      </c>
      <c r="V794" s="2">
        <f>VLOOKUP([jobnumber],OvalData[],MATCH(Table2[[#Headers],[Torque Required Closed]],Table2[#Headers],0),0)</f>
        <v>3377.9</v>
      </c>
      <c r="W794" s="2">
        <f>VLOOKUP([jobnumber],OvalData[],MATCH(Table2[[#Headers],[Torque Required Open]],Table2[#Headers],0),0)</f>
        <v>892</v>
      </c>
      <c r="X794" s="2">
        <f>VLOOKUP([jobnumber],OvalData[],MATCH(Table2[[#Headers],[Pre Turns]],Table2[#Headers],0),0)</f>
        <v>1.3332999999999999</v>
      </c>
      <c r="Y794" s="2">
        <f>VLOOKUP([jobnumber],OvalData[],MATCH(Table2[[#Headers],[Required Torque Per Turn]],Table2[#Headers],0),0)</f>
        <v>688</v>
      </c>
      <c r="Z794" s="2">
        <f>VLOOKUP([jobnumber],OvalData[],MATCH(Table2[[#Headers],[Total Turns]],Table2[#Headers],0),0)</f>
        <v>4.91</v>
      </c>
      <c r="AA794" s="2">
        <f>VLOOKUP([jobnumber],OvalData[],MATCH(Table2[[#Headers],[Grille Vision Section]],Table2[#Headers],0),0)</f>
        <v>0</v>
      </c>
      <c r="AB794" s="2">
        <f>VLOOKUP([jobnumber],OvalData[],MATCH(Table2[[#Headers],[Grille Amount]],Table2[#Headers],0),0)</f>
        <v>0</v>
      </c>
      <c r="AC794" s="2">
        <f>VLOOKUP([jobnumber],OvalData[],MATCH(Table2[[#Headers],[Grille Center]],Table2[#Headers],0),0)</f>
        <v>0</v>
      </c>
      <c r="AD794" s="2">
        <f>VLOOKUP([jobnumber],OvalData[],MATCH(Table2[[#Headers],[Grille Pattern]],Table2[#Headers],0),0)</f>
        <v>0</v>
      </c>
      <c r="AE794" s="2">
        <f>VLOOKUP([jobnumber],OvalData[],MATCH(Table2[[#Headers],[Grille First Tube]],Table2[#Headers],0),0)</f>
        <v>0</v>
      </c>
      <c r="AF794" s="2">
        <f>VLOOKUP([jobnumber],OvalData[],MATCH(Table2[[#Headers],[Grille Standard Tube]],Table2[#Headers],0),0)</f>
        <v>0</v>
      </c>
      <c r="AG794" s="2">
        <f>VLOOKUP([jobnumber],OvalData[],MATCH(Table2[[#Headers],[Grille Total Links]],Table2[#Headers],0),0)</f>
        <v>0</v>
      </c>
      <c r="AH794" s="2">
        <f>VLOOKUP([jobnumber],OvalData[],MATCH(Table2[[#Headers],[Grille Rods]],Table2[#Headers],0),0)</f>
        <v>0</v>
      </c>
      <c r="AI794" s="2">
        <f>VLOOKUP([jobnumber],OvalData[],MATCH(Table2[[#Headers],[Grille Rod Length]],Table2[#Headers],0),0)</f>
        <v>0</v>
      </c>
      <c r="AJ794" s="2">
        <f>VLOOKUP([jobnumber],OvalData[],MATCH(Table2[[#Headers],[slattype]],Table2[#Headers],0),0)</f>
        <v>2</v>
      </c>
      <c r="AK794" s="2">
        <f>VLOOKUP([jobnumber],OvalData[],MATCH(Table2[[#Headers],[slatgage]],Table2[#Headers],0),0)</f>
        <v>18</v>
      </c>
      <c r="AL794" s="2">
        <f>VLOOKUP([jobnumber],OvalData[],MATCH(Table2[[#Headers],[Numer of Top Slats]],Table2[#Headers],0),0)</f>
        <v>0</v>
      </c>
      <c r="AM794" s="2">
        <f>VLOOKUP([jobnumber],OvalData[],MATCH(Table2[[#Headers],[Number of Bottom Slats]],Table2[#Headers],0),0)</f>
        <v>0</v>
      </c>
      <c r="AN794" s="2">
        <f>VLOOKUP([jobnumber],OvalData[],MATCH(Table2[[#Headers],[Solid Bottom Height]],Table2[#Headers],0),0)</f>
        <v>0</v>
      </c>
      <c r="AO794" s="2" t="str">
        <f>VLOOKUP([jobnumber],OvalData[],MATCH(Table2[[#Headers],[slatlength]],Table2[#Headers],0),0)</f>
        <v xml:space="preserve"> 18 ft.- 5 7/ 8"</v>
      </c>
      <c r="AP794" s="2">
        <f>VLOOKUP([jobnumber],OvalData[],MATCH(Table2[[#Headers],[Bottom Slat Length]],Table2[#Headers],0),0)</f>
        <v>0</v>
      </c>
      <c r="AQ794" s="2">
        <f>VLOOKUP([jobnumber],OvalData[],MATCH(Table2[[#Headers],[Number of Perferated Slats]],Table2[#Headers],0),0)</f>
        <v>0</v>
      </c>
      <c r="AR794" s="2">
        <f>VLOOKUP([jobnumber],OvalData[],MATCH(Table2[[#Headers],[First Preferated Slat From End]],Table2[#Headers],0),0)</f>
        <v>0</v>
      </c>
      <c r="AS794" s="2">
        <f>VLOOKUP([jobnumber],OvalData[],MATCH(Table2[[#Headers],[First Preferated Slat From Bottom]],Table2[#Headers],0),0)</f>
        <v>0</v>
      </c>
      <c r="AT794" s="2">
        <f>VLOOKUP([jobnumber],OvalData[],MATCH(Table2[[#Headers],[Total Number of Slats]],Table2[#Headers],0),0)</f>
        <v>51</v>
      </c>
      <c r="AU794" s="2">
        <f>VLOOKUP([jobnumber],OvalData[],MATCH(Table2[[#Headers],[Bottom Bar Slope]],Table2[#Headers],0),0)</f>
        <v>0</v>
      </c>
      <c r="AV794" s="2">
        <f>VLOOKUP([jobnumber],OvalData[],MATCH(Table2[[#Headers],[Bottom Bar Weight]],Table2[#Headers],0),0)</f>
        <v>80.5</v>
      </c>
      <c r="AW794" s="2" t="str">
        <f>VLOOKUP([jobnumber],OvalData[],MATCH(Table2[[#Headers],[Outer Spring Gage]],Table2[#Headers],0),0)</f>
        <v>Null</v>
      </c>
      <c r="AX794" s="2" t="str">
        <f>VLOOKUP([jobnumber],OvalData[],MATCH(Table2[[#Headers],[Outer Spring OD]],Table2[#Headers],0),0)</f>
        <v>Null</v>
      </c>
      <c r="AY794" s="2" t="str">
        <f>VLOOKUP([jobnumber],OvalData[],MATCH(Table2[[#Headers],[Outer Spring Length]],Table2[#Headers],0),0)</f>
        <v>Null</v>
      </c>
      <c r="AZ794" s="2" t="str">
        <f>VLOOKUP([jobnumber],OvalData[],MATCH(Table2[[#Headers],[Outer Spring Stretch]],Table2[#Headers],0),0)</f>
        <v>Null</v>
      </c>
      <c r="BA794" s="2" t="str">
        <f>VLOOKUP([jobnumber],OvalData[],MATCH(Table2[[#Headers],[Outer Spring Torque]],Table2[#Headers],0),0)</f>
        <v>Null</v>
      </c>
      <c r="BB794" s="2" t="str">
        <f>VLOOKUP([jobnumber],OvalData[],MATCH(Table2[[#Headers],[Outer Spring Max Turns]],Table2[#Headers],0),0)</f>
        <v>Null</v>
      </c>
      <c r="BC794" s="2" t="str">
        <f>VLOOKUP([jobnumber],OvalData[],MATCH(Table2[[#Headers],[Outer Spring Weight]],Table2[#Headers],0),0)</f>
        <v>Null</v>
      </c>
      <c r="BD794" s="2" t="str">
        <f>VLOOKUP([jobnumber],OvalData[],MATCH(Table2[[#Headers],[Inner Spring Gage]],Table2[#Headers],0),0)</f>
        <v>Null</v>
      </c>
      <c r="BE794" s="2" t="str">
        <f>VLOOKUP([jobnumber],OvalData[],MATCH(Table2[[#Headers],[Inner Spring OD]],Table2[#Headers],0),0)</f>
        <v>Null</v>
      </c>
      <c r="BF794" s="2" t="str">
        <f>VLOOKUP([jobnumber],OvalData[],MATCH(Table2[[#Headers],[Inner Spring Length]],Table2[#Headers],0),0)</f>
        <v>Null</v>
      </c>
      <c r="BG794" s="2" t="str">
        <f>VLOOKUP([jobnumber],OvalData[],MATCH(Table2[[#Headers],[Inner Spring Stretch]],Table2[#Headers],0),0)</f>
        <v>Null</v>
      </c>
      <c r="BH794" s="2" t="str">
        <f>VLOOKUP([jobnumber],OvalData[],MATCH(Table2[[#Headers],[Inner Spring Torque]],Table2[#Headers],0),0)</f>
        <v>Null</v>
      </c>
      <c r="BI794" s="2" t="str">
        <f>VLOOKUP([jobnumber],OvalData[],MATCH(Table2[[#Headers],[Inner Spring Max Turns]],Table2[#Headers],0),0)</f>
        <v>Null</v>
      </c>
      <c r="BJ794" s="2" t="str">
        <f>VLOOKUP([jobnumber],OvalData[],MATCH(Table2[[#Headers],[Inner Spring Weight]],Table2[#Headers],0),0)</f>
        <v>Null</v>
      </c>
      <c r="BK794" s="2">
        <f>VLOOKUP([jobnumber],OvalData[],MATCH(Table2[[#Headers],[Cycles]],Table2[#Headers],0),0)</f>
        <v>0</v>
      </c>
      <c r="BL794" s="2">
        <f>VLOOKUP([jobnumber],OvalData[],MATCH(Table2[[#Headers],[Total Spring Torque]],Table2[#Headers],0),0)</f>
        <v>0</v>
      </c>
      <c r="BM794" s="2">
        <f>VLOOKUP([jobnumber],OvalData[],MATCH(Table2[[#Headers],[Total Spring Weight]],Table2[#Headers],0),0)</f>
        <v>0</v>
      </c>
      <c r="BN794" s="2">
        <f>VLOOKUP([jobnumber],OvalData[],MATCH(Table2[[#Headers],[Pipe Weight]],Table2[#Headers],0),0)</f>
        <v>688.24239999999998</v>
      </c>
      <c r="BO794" s="2">
        <f>VLOOKUP([jobnumber],OvalData[],MATCH(Table2[[#Headers],[Max Pipe Deflection]],Table2[#Headers],0),0)</f>
        <v>2309</v>
      </c>
      <c r="BP794" s="2">
        <f>VLOOKUP([jobnumber],OvalData[],MATCH(Table2[[#Headers],[Number Non-Insulated Wrap Slats]],Table2[#Headers],0),0)</f>
        <v>0</v>
      </c>
      <c r="BQ794" s="2">
        <f>VLOOKUP([jobnumber],OvalData[],MATCH(Table2[[#Headers],[Number of Insolated Top Slats]],Table2[#Headers],0),0)</f>
        <v>45</v>
      </c>
      <c r="BR794" s="2">
        <f>VLOOKUP([jobnumber],OvalData[],MATCH(Table2[[#Headers],[Insolated Total Slats]],Table2[#Headers],0),0)</f>
        <v>45</v>
      </c>
      <c r="BS794" s="2">
        <f>VLOOKUP([jobnumber],OvalData[],MATCH(Table2[[#Headers],[Number of Slats]],Table2[#Headers],0),0)</f>
        <v>44.69</v>
      </c>
      <c r="BT794" s="2">
        <f>VLOOKUP([jobnumber],OvalData[],MATCH(Table2[[#Headers],[Wrap]],Table2[#Headers],0),0)</f>
        <v>0</v>
      </c>
      <c r="BU794" s="2">
        <f>VLOOKUP([jobnumber],OvalData[],MATCH(Table2[[#Headers],[Wall Angle Thickness]],Table2[#Headers],0),0)</f>
        <v>0</v>
      </c>
      <c r="BV794" s="2">
        <f>VLOOKUP([jobnumber],OvalData[],MATCH(Table2[[#Headers],[windlocks]],Table2[#Headers],0),0)</f>
        <v>0</v>
      </c>
      <c r="BW794" s="2" t="str">
        <f>VLOOKUP([jobnumber],OvalData[],MATCH(Table2[[#Headers],[bottombartype]],Table2[#Headers],0),0)</f>
        <v>SPECIAL</v>
      </c>
      <c r="BX794" s="2">
        <f>VLOOKUP([jobnumber],OvalData[],MATCH(Table2[[#Headers],[endlockweight]],Table2[#Headers],0),0)</f>
        <v>0.17</v>
      </c>
      <c r="BY794" s="2">
        <f>VLOOKUP([jobnumber],OvalData[],MATCH(Table2[[#Headers],[Endlock Total Weight]],Table2[#Headers],0),0)</f>
        <v>7.5972999999999997</v>
      </c>
      <c r="BZ794" s="2">
        <f>VLOOKUP([jobnumber],OvalData[],MATCH(Table2[[#Headers],[Grille Weight]],Table2[#Headers],0),0)</f>
        <v>0</v>
      </c>
      <c r="CA794" s="2">
        <f>VLOOKUP([jobnumber],OvalData[],MATCH(Table2[[#Headers],[barrelrings]],Table2[#Headers],0),0)</f>
        <v>1</v>
      </c>
    </row>
    <row r="795" spans="2:79">
      <c r="B795" s="2" t="str">
        <f>VLOOKUP([jobnumber],OvalData[],MATCH(Table2[[#Headers],[Hand]],Table2[#Headers],0),0)</f>
        <v>RH</v>
      </c>
      <c r="C795" s="2" t="str">
        <f>VLOOKUP([jobnumber],OvalData[],MATCH(Table2[[#Headers],[Model]],Table2[#Headers],0),0)</f>
        <v>SFMPP</v>
      </c>
      <c r="D795" s="2" t="str">
        <f>VLOOKUP([jobnumber],OvalData[],MATCH(Table2[[#Headers],[width]],Table2[#Headers],0),0)</f>
        <v xml:space="preserve"> 18 ft.- 2"</v>
      </c>
      <c r="E795" s="2" t="str">
        <f>VLOOKUP([jobnumber],OvalData[],MATCH(Table2[[#Headers],[stopheight]],Table2[#Headers],0),0)</f>
        <v xml:space="preserve"> 10 ft.- 0"</v>
      </c>
      <c r="F795" s="2" t="str">
        <f>VLOOKUP([jobnumber],OvalData[],MATCH(Table2[[#Headers],[Between Brackets]],Table2[#Headers],0),0)</f>
        <v xml:space="preserve"> 18 ft.- 7 7/ 8"</v>
      </c>
      <c r="G795" s="2" t="str">
        <f>VLOOKUP([jobnumber],OvalData[],MATCH(Table2[[#Headers],[shell]],Table2[#Headers],0),0)</f>
        <v>6 INCH TUBE</v>
      </c>
      <c r="H795" s="2" t="str">
        <f>VLOOKUP([jobnumber],OvalData[],MATCH(Table2[[#Headers],[pipewidth]],Table2[#Headers],0),0)</f>
        <v xml:space="preserve"> 18 ft.- 1 3/ 8"</v>
      </c>
      <c r="I795" s="2">
        <f>VLOOKUP([jobnumber],OvalData[],MATCH(Table2[[#Headers],[Support Tubes]],Table2[#Headers],0),0)</f>
        <v>0</v>
      </c>
      <c r="J795" s="2">
        <f>VLOOKUP([jobnumber],OvalData[],MATCH(Table2[[#Headers],[Upset]],Table2[#Headers],0),0)</f>
        <v>2</v>
      </c>
      <c r="K795" s="2" t="str">
        <f>VLOOKUP([jobnumber],OvalData[],MATCH(Table2[[#Headers],[Guide Type]],Table2[#Headers],0),0)</f>
        <v>SN2-4 5/8-E</v>
      </c>
      <c r="L795" s="2" t="str">
        <f>VLOOKUP([jobnumber],OvalData[],MATCH(Table2[[#Headers],[Wall Angle]],Table2[#Headers],0),0)</f>
        <v xml:space="preserve"> 11 ft.- 8"</v>
      </c>
      <c r="M795" s="2" t="str">
        <f>VLOOKUP([jobnumber],OvalData[],MATCH(Table2[[#Headers],[Middle Angle]],Table2[#Headers],0),0)</f>
        <v xml:space="preserve"> 10 ft.- 4 1/ 2"</v>
      </c>
      <c r="N795" s="2" t="str">
        <f>VLOOKUP([jobnumber],OvalData[],MATCH(Table2[[#Headers],[Front Angle]],Table2[#Headers],0),0)</f>
        <v xml:space="preserve"> 10 ft.- 3"</v>
      </c>
      <c r="O795" s="2">
        <f>VLOOKUP([jobnumber],OvalData[],MATCH(Table2[[#Headers],[Pipe Center Line]],Table2[#Headers],0),0)</f>
        <v>131</v>
      </c>
      <c r="P795" s="2">
        <f>VLOOKUP([jobnumber],OvalData[],MATCH(Table2[[#Headers],[Heat Expansion Gap]],Table2[#Headers],0),0)</f>
        <v>0</v>
      </c>
      <c r="Q795" s="2">
        <f>VLOOKUP([jobnumber],OvalData[],MATCH(Table2[[#Headers],[Hanging Weight Closed]],Table2[#Headers],0),0)</f>
        <v>795</v>
      </c>
      <c r="R795" s="2">
        <f>VLOOKUP([jobnumber],OvalData[],MATCH(Table2[[#Headers],[Hanging Weight Open]],Table2[#Headers],0),0)</f>
        <v>140</v>
      </c>
      <c r="S795" s="2">
        <f>VLOOKUP([jobnumber],OvalData[],MATCH(Table2[[#Headers],[Initial Lever Arm]],Table2[#Headers],0),0)</f>
        <v>4.25</v>
      </c>
      <c r="T795" s="2">
        <f>VLOOKUP([jobnumber],OvalData[],MATCH(Table2[[#Headers],[Turns to Raise]],Table2[#Headers],0),0)</f>
        <v>3.5859999999999999</v>
      </c>
      <c r="U795" s="2">
        <f>VLOOKUP([jobnumber],OvalData[],MATCH(Table2[[#Headers],[Final Lever Arm]],Table2[#Headers],0),0)</f>
        <v>6.37</v>
      </c>
      <c r="V795" s="2">
        <f>VLOOKUP([jobnumber],OvalData[],MATCH(Table2[[#Headers],[Torque Required Closed]],Table2[#Headers],0),0)</f>
        <v>3377.9</v>
      </c>
      <c r="W795" s="2">
        <f>VLOOKUP([jobnumber],OvalData[],MATCH(Table2[[#Headers],[Torque Required Open]],Table2[#Headers],0),0)</f>
        <v>892</v>
      </c>
      <c r="X795" s="2">
        <f>VLOOKUP([jobnumber],OvalData[],MATCH(Table2[[#Headers],[Pre Turns]],Table2[#Headers],0),0)</f>
        <v>1.3332999999999999</v>
      </c>
      <c r="Y795" s="2">
        <f>VLOOKUP([jobnumber],OvalData[],MATCH(Table2[[#Headers],[Required Torque Per Turn]],Table2[#Headers],0),0)</f>
        <v>688</v>
      </c>
      <c r="Z795" s="2">
        <f>VLOOKUP([jobnumber],OvalData[],MATCH(Table2[[#Headers],[Total Turns]],Table2[#Headers],0),0)</f>
        <v>4.91</v>
      </c>
      <c r="AA795" s="2">
        <f>VLOOKUP([jobnumber],OvalData[],MATCH(Table2[[#Headers],[Grille Vision Section]],Table2[#Headers],0),0)</f>
        <v>0</v>
      </c>
      <c r="AB795" s="2">
        <f>VLOOKUP([jobnumber],OvalData[],MATCH(Table2[[#Headers],[Grille Amount]],Table2[#Headers],0),0)</f>
        <v>0</v>
      </c>
      <c r="AC795" s="2">
        <f>VLOOKUP([jobnumber],OvalData[],MATCH(Table2[[#Headers],[Grille Center]],Table2[#Headers],0),0)</f>
        <v>0</v>
      </c>
      <c r="AD795" s="2">
        <f>VLOOKUP([jobnumber],OvalData[],MATCH(Table2[[#Headers],[Grille Pattern]],Table2[#Headers],0),0)</f>
        <v>0</v>
      </c>
      <c r="AE795" s="2">
        <f>VLOOKUP([jobnumber],OvalData[],MATCH(Table2[[#Headers],[Grille First Tube]],Table2[#Headers],0),0)</f>
        <v>0</v>
      </c>
      <c r="AF795" s="2">
        <f>VLOOKUP([jobnumber],OvalData[],MATCH(Table2[[#Headers],[Grille Standard Tube]],Table2[#Headers],0),0)</f>
        <v>0</v>
      </c>
      <c r="AG795" s="2">
        <f>VLOOKUP([jobnumber],OvalData[],MATCH(Table2[[#Headers],[Grille Total Links]],Table2[#Headers],0),0)</f>
        <v>0</v>
      </c>
      <c r="AH795" s="2">
        <f>VLOOKUP([jobnumber],OvalData[],MATCH(Table2[[#Headers],[Grille Rods]],Table2[#Headers],0),0)</f>
        <v>0</v>
      </c>
      <c r="AI795" s="2">
        <f>VLOOKUP([jobnumber],OvalData[],MATCH(Table2[[#Headers],[Grille Rod Length]],Table2[#Headers],0),0)</f>
        <v>0</v>
      </c>
      <c r="AJ795" s="2">
        <f>VLOOKUP([jobnumber],OvalData[],MATCH(Table2[[#Headers],[slattype]],Table2[#Headers],0),0)</f>
        <v>2</v>
      </c>
      <c r="AK795" s="2">
        <f>VLOOKUP([jobnumber],OvalData[],MATCH(Table2[[#Headers],[slatgage]],Table2[#Headers],0),0)</f>
        <v>18</v>
      </c>
      <c r="AL795" s="2">
        <f>VLOOKUP([jobnumber],OvalData[],MATCH(Table2[[#Headers],[Numer of Top Slats]],Table2[#Headers],0),0)</f>
        <v>0</v>
      </c>
      <c r="AM795" s="2">
        <f>VLOOKUP([jobnumber],OvalData[],MATCH(Table2[[#Headers],[Number of Bottom Slats]],Table2[#Headers],0),0)</f>
        <v>0</v>
      </c>
      <c r="AN795" s="2">
        <f>VLOOKUP([jobnumber],OvalData[],MATCH(Table2[[#Headers],[Solid Bottom Height]],Table2[#Headers],0),0)</f>
        <v>0</v>
      </c>
      <c r="AO795" s="2" t="str">
        <f>VLOOKUP([jobnumber],OvalData[],MATCH(Table2[[#Headers],[slatlength]],Table2[#Headers],0),0)</f>
        <v xml:space="preserve"> 18 ft.- 5 7/ 8"</v>
      </c>
      <c r="AP795" s="2">
        <f>VLOOKUP([jobnumber],OvalData[],MATCH(Table2[[#Headers],[Bottom Slat Length]],Table2[#Headers],0),0)</f>
        <v>0</v>
      </c>
      <c r="AQ795" s="2">
        <f>VLOOKUP([jobnumber],OvalData[],MATCH(Table2[[#Headers],[Number of Perferated Slats]],Table2[#Headers],0),0)</f>
        <v>0</v>
      </c>
      <c r="AR795" s="2">
        <f>VLOOKUP([jobnumber],OvalData[],MATCH(Table2[[#Headers],[First Preferated Slat From End]],Table2[#Headers],0),0)</f>
        <v>0</v>
      </c>
      <c r="AS795" s="2">
        <f>VLOOKUP([jobnumber],OvalData[],MATCH(Table2[[#Headers],[First Preferated Slat From Bottom]],Table2[#Headers],0),0)</f>
        <v>0</v>
      </c>
      <c r="AT795" s="2">
        <f>VLOOKUP([jobnumber],OvalData[],MATCH(Table2[[#Headers],[Total Number of Slats]],Table2[#Headers],0),0)</f>
        <v>51</v>
      </c>
      <c r="AU795" s="2">
        <f>VLOOKUP([jobnumber],OvalData[],MATCH(Table2[[#Headers],[Bottom Bar Slope]],Table2[#Headers],0),0)</f>
        <v>0</v>
      </c>
      <c r="AV795" s="2">
        <f>VLOOKUP([jobnumber],OvalData[],MATCH(Table2[[#Headers],[Bottom Bar Weight]],Table2[#Headers],0),0)</f>
        <v>80.5</v>
      </c>
      <c r="AW795" s="2" t="str">
        <f>VLOOKUP([jobnumber],OvalData[],MATCH(Table2[[#Headers],[Outer Spring Gage]],Table2[#Headers],0),0)</f>
        <v>Null</v>
      </c>
      <c r="AX795" s="2" t="str">
        <f>VLOOKUP([jobnumber],OvalData[],MATCH(Table2[[#Headers],[Outer Spring OD]],Table2[#Headers],0),0)</f>
        <v>Null</v>
      </c>
      <c r="AY795" s="2" t="str">
        <f>VLOOKUP([jobnumber],OvalData[],MATCH(Table2[[#Headers],[Outer Spring Length]],Table2[#Headers],0),0)</f>
        <v>Null</v>
      </c>
      <c r="AZ795" s="2" t="str">
        <f>VLOOKUP([jobnumber],OvalData[],MATCH(Table2[[#Headers],[Outer Spring Stretch]],Table2[#Headers],0),0)</f>
        <v>Null</v>
      </c>
      <c r="BA795" s="2" t="str">
        <f>VLOOKUP([jobnumber],OvalData[],MATCH(Table2[[#Headers],[Outer Spring Torque]],Table2[#Headers],0),0)</f>
        <v>Null</v>
      </c>
      <c r="BB795" s="2" t="str">
        <f>VLOOKUP([jobnumber],OvalData[],MATCH(Table2[[#Headers],[Outer Spring Max Turns]],Table2[#Headers],0),0)</f>
        <v>Null</v>
      </c>
      <c r="BC795" s="2" t="str">
        <f>VLOOKUP([jobnumber],OvalData[],MATCH(Table2[[#Headers],[Outer Spring Weight]],Table2[#Headers],0),0)</f>
        <v>Null</v>
      </c>
      <c r="BD795" s="2" t="str">
        <f>VLOOKUP([jobnumber],OvalData[],MATCH(Table2[[#Headers],[Inner Spring Gage]],Table2[#Headers],0),0)</f>
        <v>Null</v>
      </c>
      <c r="BE795" s="2" t="str">
        <f>VLOOKUP([jobnumber],OvalData[],MATCH(Table2[[#Headers],[Inner Spring OD]],Table2[#Headers],0),0)</f>
        <v>Null</v>
      </c>
      <c r="BF795" s="2" t="str">
        <f>VLOOKUP([jobnumber],OvalData[],MATCH(Table2[[#Headers],[Inner Spring Length]],Table2[#Headers],0),0)</f>
        <v>Null</v>
      </c>
      <c r="BG795" s="2" t="str">
        <f>VLOOKUP([jobnumber],OvalData[],MATCH(Table2[[#Headers],[Inner Spring Stretch]],Table2[#Headers],0),0)</f>
        <v>Null</v>
      </c>
      <c r="BH795" s="2" t="str">
        <f>VLOOKUP([jobnumber],OvalData[],MATCH(Table2[[#Headers],[Inner Spring Torque]],Table2[#Headers],0),0)</f>
        <v>Null</v>
      </c>
      <c r="BI795" s="2" t="str">
        <f>VLOOKUP([jobnumber],OvalData[],MATCH(Table2[[#Headers],[Inner Spring Max Turns]],Table2[#Headers],0),0)</f>
        <v>Null</v>
      </c>
      <c r="BJ795" s="2" t="str">
        <f>VLOOKUP([jobnumber],OvalData[],MATCH(Table2[[#Headers],[Inner Spring Weight]],Table2[#Headers],0),0)</f>
        <v>Null</v>
      </c>
      <c r="BK795" s="2">
        <f>VLOOKUP([jobnumber],OvalData[],MATCH(Table2[[#Headers],[Cycles]],Table2[#Headers],0),0)</f>
        <v>0</v>
      </c>
      <c r="BL795" s="2">
        <f>VLOOKUP([jobnumber],OvalData[],MATCH(Table2[[#Headers],[Total Spring Torque]],Table2[#Headers],0),0)</f>
        <v>0</v>
      </c>
      <c r="BM795" s="2">
        <f>VLOOKUP([jobnumber],OvalData[],MATCH(Table2[[#Headers],[Total Spring Weight]],Table2[#Headers],0),0)</f>
        <v>0</v>
      </c>
      <c r="BN795" s="2">
        <f>VLOOKUP([jobnumber],OvalData[],MATCH(Table2[[#Headers],[Pipe Weight]],Table2[#Headers],0),0)</f>
        <v>688.24239999999998</v>
      </c>
      <c r="BO795" s="2">
        <f>VLOOKUP([jobnumber],OvalData[],MATCH(Table2[[#Headers],[Max Pipe Deflection]],Table2[#Headers],0),0)</f>
        <v>2309</v>
      </c>
      <c r="BP795" s="2">
        <f>VLOOKUP([jobnumber],OvalData[],MATCH(Table2[[#Headers],[Number Non-Insulated Wrap Slats]],Table2[#Headers],0),0)</f>
        <v>0</v>
      </c>
      <c r="BQ795" s="2">
        <f>VLOOKUP([jobnumber],OvalData[],MATCH(Table2[[#Headers],[Number of Insolated Top Slats]],Table2[#Headers],0),0)</f>
        <v>45</v>
      </c>
      <c r="BR795" s="2">
        <f>VLOOKUP([jobnumber],OvalData[],MATCH(Table2[[#Headers],[Insolated Total Slats]],Table2[#Headers],0),0)</f>
        <v>45</v>
      </c>
      <c r="BS795" s="2">
        <f>VLOOKUP([jobnumber],OvalData[],MATCH(Table2[[#Headers],[Number of Slats]],Table2[#Headers],0),0)</f>
        <v>44.69</v>
      </c>
      <c r="BT795" s="2">
        <f>VLOOKUP([jobnumber],OvalData[],MATCH(Table2[[#Headers],[Wrap]],Table2[#Headers],0),0)</f>
        <v>0</v>
      </c>
      <c r="BU795" s="2">
        <f>VLOOKUP([jobnumber],OvalData[],MATCH(Table2[[#Headers],[Wall Angle Thickness]],Table2[#Headers],0),0)</f>
        <v>0</v>
      </c>
      <c r="BV795" s="2">
        <f>VLOOKUP([jobnumber],OvalData[],MATCH(Table2[[#Headers],[windlocks]],Table2[#Headers],0),0)</f>
        <v>0</v>
      </c>
      <c r="BW795" s="2" t="str">
        <f>VLOOKUP([jobnumber],OvalData[],MATCH(Table2[[#Headers],[bottombartype]],Table2[#Headers],0),0)</f>
        <v>SPECIAL</v>
      </c>
      <c r="BX795" s="2">
        <f>VLOOKUP([jobnumber],OvalData[],MATCH(Table2[[#Headers],[endlockweight]],Table2[#Headers],0),0)</f>
        <v>0.17</v>
      </c>
      <c r="BY795" s="2">
        <f>VLOOKUP([jobnumber],OvalData[],MATCH(Table2[[#Headers],[Endlock Total Weight]],Table2[#Headers],0),0)</f>
        <v>7.5972999999999997</v>
      </c>
      <c r="BZ795" s="2">
        <f>VLOOKUP([jobnumber],OvalData[],MATCH(Table2[[#Headers],[Grille Weight]],Table2[#Headers],0),0)</f>
        <v>0</v>
      </c>
      <c r="CA795" s="2">
        <f>VLOOKUP([jobnumber],OvalData[],MATCH(Table2[[#Headers],[barrelrings]],Table2[#Headers],0),0)</f>
        <v>1</v>
      </c>
    </row>
    <row r="796" spans="2:79">
      <c r="B796" s="2" t="str">
        <f>VLOOKUP([jobnumber],OvalData[],MATCH(Table2[[#Headers],[Hand]],Table2[#Headers],0),0)</f>
        <v>RH</v>
      </c>
      <c r="C796" s="2" t="str">
        <f>VLOOKUP([jobnumber],OvalData[],MATCH(Table2[[#Headers],[Model]],Table2[#Headers],0),0)</f>
        <v>SFMPP</v>
      </c>
      <c r="D796" s="2" t="str">
        <f>VLOOKUP([jobnumber],OvalData[],MATCH(Table2[[#Headers],[width]],Table2[#Headers],0),0)</f>
        <v xml:space="preserve"> 18 ft.- 2"</v>
      </c>
      <c r="E796" s="2" t="str">
        <f>VLOOKUP([jobnumber],OvalData[],MATCH(Table2[[#Headers],[stopheight]],Table2[#Headers],0),0)</f>
        <v xml:space="preserve"> 10 ft.- 0"</v>
      </c>
      <c r="F796" s="2" t="str">
        <f>VLOOKUP([jobnumber],OvalData[],MATCH(Table2[[#Headers],[Between Brackets]],Table2[#Headers],0),0)</f>
        <v xml:space="preserve"> 18 ft.- 7 7/ 8"</v>
      </c>
      <c r="G796" s="2" t="str">
        <f>VLOOKUP([jobnumber],OvalData[],MATCH(Table2[[#Headers],[shell]],Table2[#Headers],0),0)</f>
        <v>6 INCH TUBE</v>
      </c>
      <c r="H796" s="2" t="str">
        <f>VLOOKUP([jobnumber],OvalData[],MATCH(Table2[[#Headers],[pipewidth]],Table2[#Headers],0),0)</f>
        <v xml:space="preserve"> 18 ft.- 1 3/ 8"</v>
      </c>
      <c r="I796" s="2">
        <f>VLOOKUP([jobnumber],OvalData[],MATCH(Table2[[#Headers],[Support Tubes]],Table2[#Headers],0),0)</f>
        <v>0</v>
      </c>
      <c r="J796" s="2">
        <f>VLOOKUP([jobnumber],OvalData[],MATCH(Table2[[#Headers],[Upset]],Table2[#Headers],0),0)</f>
        <v>2</v>
      </c>
      <c r="K796" s="2" t="str">
        <f>VLOOKUP([jobnumber],OvalData[],MATCH(Table2[[#Headers],[Guide Type]],Table2[#Headers],0),0)</f>
        <v>SN2-4 5/8-E</v>
      </c>
      <c r="L796" s="2" t="str">
        <f>VLOOKUP([jobnumber],OvalData[],MATCH(Table2[[#Headers],[Wall Angle]],Table2[#Headers],0),0)</f>
        <v xml:space="preserve"> 11 ft.- 8"</v>
      </c>
      <c r="M796" s="2" t="str">
        <f>VLOOKUP([jobnumber],OvalData[],MATCH(Table2[[#Headers],[Middle Angle]],Table2[#Headers],0),0)</f>
        <v xml:space="preserve"> 10 ft.- 4 1/ 2"</v>
      </c>
      <c r="N796" s="2" t="str">
        <f>VLOOKUP([jobnumber],OvalData[],MATCH(Table2[[#Headers],[Front Angle]],Table2[#Headers],0),0)</f>
        <v xml:space="preserve"> 10 ft.- 3"</v>
      </c>
      <c r="O796" s="2">
        <f>VLOOKUP([jobnumber],OvalData[],MATCH(Table2[[#Headers],[Pipe Center Line]],Table2[#Headers],0),0)</f>
        <v>131</v>
      </c>
      <c r="P796" s="2">
        <f>VLOOKUP([jobnumber],OvalData[],MATCH(Table2[[#Headers],[Heat Expansion Gap]],Table2[#Headers],0),0)</f>
        <v>0</v>
      </c>
      <c r="Q796" s="2">
        <f>VLOOKUP([jobnumber],OvalData[],MATCH(Table2[[#Headers],[Hanging Weight Closed]],Table2[#Headers],0),0)</f>
        <v>795</v>
      </c>
      <c r="R796" s="2">
        <f>VLOOKUP([jobnumber],OvalData[],MATCH(Table2[[#Headers],[Hanging Weight Open]],Table2[#Headers],0),0)</f>
        <v>140</v>
      </c>
      <c r="S796" s="2">
        <f>VLOOKUP([jobnumber],OvalData[],MATCH(Table2[[#Headers],[Initial Lever Arm]],Table2[#Headers],0),0)</f>
        <v>4.25</v>
      </c>
      <c r="T796" s="2">
        <f>VLOOKUP([jobnumber],OvalData[],MATCH(Table2[[#Headers],[Turns to Raise]],Table2[#Headers],0),0)</f>
        <v>3.5859999999999999</v>
      </c>
      <c r="U796" s="2">
        <f>VLOOKUP([jobnumber],OvalData[],MATCH(Table2[[#Headers],[Final Lever Arm]],Table2[#Headers],0),0)</f>
        <v>6.37</v>
      </c>
      <c r="V796" s="2">
        <f>VLOOKUP([jobnumber],OvalData[],MATCH(Table2[[#Headers],[Torque Required Closed]],Table2[#Headers],0),0)</f>
        <v>3377.9</v>
      </c>
      <c r="W796" s="2">
        <f>VLOOKUP([jobnumber],OvalData[],MATCH(Table2[[#Headers],[Torque Required Open]],Table2[#Headers],0),0)</f>
        <v>892</v>
      </c>
      <c r="X796" s="2">
        <f>VLOOKUP([jobnumber],OvalData[],MATCH(Table2[[#Headers],[Pre Turns]],Table2[#Headers],0),0)</f>
        <v>1.3332999999999999</v>
      </c>
      <c r="Y796" s="2">
        <f>VLOOKUP([jobnumber],OvalData[],MATCH(Table2[[#Headers],[Required Torque Per Turn]],Table2[#Headers],0),0)</f>
        <v>688</v>
      </c>
      <c r="Z796" s="2">
        <f>VLOOKUP([jobnumber],OvalData[],MATCH(Table2[[#Headers],[Total Turns]],Table2[#Headers],0),0)</f>
        <v>4.91</v>
      </c>
      <c r="AA796" s="2">
        <f>VLOOKUP([jobnumber],OvalData[],MATCH(Table2[[#Headers],[Grille Vision Section]],Table2[#Headers],0),0)</f>
        <v>0</v>
      </c>
      <c r="AB796" s="2">
        <f>VLOOKUP([jobnumber],OvalData[],MATCH(Table2[[#Headers],[Grille Amount]],Table2[#Headers],0),0)</f>
        <v>0</v>
      </c>
      <c r="AC796" s="2">
        <f>VLOOKUP([jobnumber],OvalData[],MATCH(Table2[[#Headers],[Grille Center]],Table2[#Headers],0),0)</f>
        <v>0</v>
      </c>
      <c r="AD796" s="2">
        <f>VLOOKUP([jobnumber],OvalData[],MATCH(Table2[[#Headers],[Grille Pattern]],Table2[#Headers],0),0)</f>
        <v>0</v>
      </c>
      <c r="AE796" s="2">
        <f>VLOOKUP([jobnumber],OvalData[],MATCH(Table2[[#Headers],[Grille First Tube]],Table2[#Headers],0),0)</f>
        <v>0</v>
      </c>
      <c r="AF796" s="2">
        <f>VLOOKUP([jobnumber],OvalData[],MATCH(Table2[[#Headers],[Grille Standard Tube]],Table2[#Headers],0),0)</f>
        <v>0</v>
      </c>
      <c r="AG796" s="2">
        <f>VLOOKUP([jobnumber],OvalData[],MATCH(Table2[[#Headers],[Grille Total Links]],Table2[#Headers],0),0)</f>
        <v>0</v>
      </c>
      <c r="AH796" s="2">
        <f>VLOOKUP([jobnumber],OvalData[],MATCH(Table2[[#Headers],[Grille Rods]],Table2[#Headers],0),0)</f>
        <v>0</v>
      </c>
      <c r="AI796" s="2">
        <f>VLOOKUP([jobnumber],OvalData[],MATCH(Table2[[#Headers],[Grille Rod Length]],Table2[#Headers],0),0)</f>
        <v>0</v>
      </c>
      <c r="AJ796" s="2">
        <f>VLOOKUP([jobnumber],OvalData[],MATCH(Table2[[#Headers],[slattype]],Table2[#Headers],0),0)</f>
        <v>2</v>
      </c>
      <c r="AK796" s="2">
        <f>VLOOKUP([jobnumber],OvalData[],MATCH(Table2[[#Headers],[slatgage]],Table2[#Headers],0),0)</f>
        <v>18</v>
      </c>
      <c r="AL796" s="2">
        <f>VLOOKUP([jobnumber],OvalData[],MATCH(Table2[[#Headers],[Numer of Top Slats]],Table2[#Headers],0),0)</f>
        <v>0</v>
      </c>
      <c r="AM796" s="2">
        <f>VLOOKUP([jobnumber],OvalData[],MATCH(Table2[[#Headers],[Number of Bottom Slats]],Table2[#Headers],0),0)</f>
        <v>0</v>
      </c>
      <c r="AN796" s="2">
        <f>VLOOKUP([jobnumber],OvalData[],MATCH(Table2[[#Headers],[Solid Bottom Height]],Table2[#Headers],0),0)</f>
        <v>0</v>
      </c>
      <c r="AO796" s="2" t="str">
        <f>VLOOKUP([jobnumber],OvalData[],MATCH(Table2[[#Headers],[slatlength]],Table2[#Headers],0),0)</f>
        <v xml:space="preserve"> 18 ft.- 5 7/ 8"</v>
      </c>
      <c r="AP796" s="2">
        <f>VLOOKUP([jobnumber],OvalData[],MATCH(Table2[[#Headers],[Bottom Slat Length]],Table2[#Headers],0),0)</f>
        <v>0</v>
      </c>
      <c r="AQ796" s="2">
        <f>VLOOKUP([jobnumber],OvalData[],MATCH(Table2[[#Headers],[Number of Perferated Slats]],Table2[#Headers],0),0)</f>
        <v>0</v>
      </c>
      <c r="AR796" s="2">
        <f>VLOOKUP([jobnumber],OvalData[],MATCH(Table2[[#Headers],[First Preferated Slat From End]],Table2[#Headers],0),0)</f>
        <v>0</v>
      </c>
      <c r="AS796" s="2">
        <f>VLOOKUP([jobnumber],OvalData[],MATCH(Table2[[#Headers],[First Preferated Slat From Bottom]],Table2[#Headers],0),0)</f>
        <v>0</v>
      </c>
      <c r="AT796" s="2">
        <f>VLOOKUP([jobnumber],OvalData[],MATCH(Table2[[#Headers],[Total Number of Slats]],Table2[#Headers],0),0)</f>
        <v>51</v>
      </c>
      <c r="AU796" s="2">
        <f>VLOOKUP([jobnumber],OvalData[],MATCH(Table2[[#Headers],[Bottom Bar Slope]],Table2[#Headers],0),0)</f>
        <v>0</v>
      </c>
      <c r="AV796" s="2">
        <f>VLOOKUP([jobnumber],OvalData[],MATCH(Table2[[#Headers],[Bottom Bar Weight]],Table2[#Headers],0),0)</f>
        <v>80.5</v>
      </c>
      <c r="AW796" s="2" t="str">
        <f>VLOOKUP([jobnumber],OvalData[],MATCH(Table2[[#Headers],[Outer Spring Gage]],Table2[#Headers],0),0)</f>
        <v>Null</v>
      </c>
      <c r="AX796" s="2" t="str">
        <f>VLOOKUP([jobnumber],OvalData[],MATCH(Table2[[#Headers],[Outer Spring OD]],Table2[#Headers],0),0)</f>
        <v>Null</v>
      </c>
      <c r="AY796" s="2" t="str">
        <f>VLOOKUP([jobnumber],OvalData[],MATCH(Table2[[#Headers],[Outer Spring Length]],Table2[#Headers],0),0)</f>
        <v>Null</v>
      </c>
      <c r="AZ796" s="2" t="str">
        <f>VLOOKUP([jobnumber],OvalData[],MATCH(Table2[[#Headers],[Outer Spring Stretch]],Table2[#Headers],0),0)</f>
        <v>Null</v>
      </c>
      <c r="BA796" s="2" t="str">
        <f>VLOOKUP([jobnumber],OvalData[],MATCH(Table2[[#Headers],[Outer Spring Torque]],Table2[#Headers],0),0)</f>
        <v>Null</v>
      </c>
      <c r="BB796" s="2" t="str">
        <f>VLOOKUP([jobnumber],OvalData[],MATCH(Table2[[#Headers],[Outer Spring Max Turns]],Table2[#Headers],0),0)</f>
        <v>Null</v>
      </c>
      <c r="BC796" s="2" t="str">
        <f>VLOOKUP([jobnumber],OvalData[],MATCH(Table2[[#Headers],[Outer Spring Weight]],Table2[#Headers],0),0)</f>
        <v>Null</v>
      </c>
      <c r="BD796" s="2" t="str">
        <f>VLOOKUP([jobnumber],OvalData[],MATCH(Table2[[#Headers],[Inner Spring Gage]],Table2[#Headers],0),0)</f>
        <v>Null</v>
      </c>
      <c r="BE796" s="2" t="str">
        <f>VLOOKUP([jobnumber],OvalData[],MATCH(Table2[[#Headers],[Inner Spring OD]],Table2[#Headers],0),0)</f>
        <v>Null</v>
      </c>
      <c r="BF796" s="2" t="str">
        <f>VLOOKUP([jobnumber],OvalData[],MATCH(Table2[[#Headers],[Inner Spring Length]],Table2[#Headers],0),0)</f>
        <v>Null</v>
      </c>
      <c r="BG796" s="2" t="str">
        <f>VLOOKUP([jobnumber],OvalData[],MATCH(Table2[[#Headers],[Inner Spring Stretch]],Table2[#Headers],0),0)</f>
        <v>Null</v>
      </c>
      <c r="BH796" s="2" t="str">
        <f>VLOOKUP([jobnumber],OvalData[],MATCH(Table2[[#Headers],[Inner Spring Torque]],Table2[#Headers],0),0)</f>
        <v>Null</v>
      </c>
      <c r="BI796" s="2" t="str">
        <f>VLOOKUP([jobnumber],OvalData[],MATCH(Table2[[#Headers],[Inner Spring Max Turns]],Table2[#Headers],0),0)</f>
        <v>Null</v>
      </c>
      <c r="BJ796" s="2" t="str">
        <f>VLOOKUP([jobnumber],OvalData[],MATCH(Table2[[#Headers],[Inner Spring Weight]],Table2[#Headers],0),0)</f>
        <v>Null</v>
      </c>
      <c r="BK796" s="2">
        <f>VLOOKUP([jobnumber],OvalData[],MATCH(Table2[[#Headers],[Cycles]],Table2[#Headers],0),0)</f>
        <v>0</v>
      </c>
      <c r="BL796" s="2">
        <f>VLOOKUP([jobnumber],OvalData[],MATCH(Table2[[#Headers],[Total Spring Torque]],Table2[#Headers],0),0)</f>
        <v>0</v>
      </c>
      <c r="BM796" s="2">
        <f>VLOOKUP([jobnumber],OvalData[],MATCH(Table2[[#Headers],[Total Spring Weight]],Table2[#Headers],0),0)</f>
        <v>0</v>
      </c>
      <c r="BN796" s="2">
        <f>VLOOKUP([jobnumber],OvalData[],MATCH(Table2[[#Headers],[Pipe Weight]],Table2[#Headers],0),0)</f>
        <v>688.24239999999998</v>
      </c>
      <c r="BO796" s="2">
        <f>VLOOKUP([jobnumber],OvalData[],MATCH(Table2[[#Headers],[Max Pipe Deflection]],Table2[#Headers],0),0)</f>
        <v>2309</v>
      </c>
      <c r="BP796" s="2">
        <f>VLOOKUP([jobnumber],OvalData[],MATCH(Table2[[#Headers],[Number Non-Insulated Wrap Slats]],Table2[#Headers],0),0)</f>
        <v>0</v>
      </c>
      <c r="BQ796" s="2">
        <f>VLOOKUP([jobnumber],OvalData[],MATCH(Table2[[#Headers],[Number of Insolated Top Slats]],Table2[#Headers],0),0)</f>
        <v>45</v>
      </c>
      <c r="BR796" s="2">
        <f>VLOOKUP([jobnumber],OvalData[],MATCH(Table2[[#Headers],[Insolated Total Slats]],Table2[#Headers],0),0)</f>
        <v>45</v>
      </c>
      <c r="BS796" s="2">
        <f>VLOOKUP([jobnumber],OvalData[],MATCH(Table2[[#Headers],[Number of Slats]],Table2[#Headers],0),0)</f>
        <v>44.69</v>
      </c>
      <c r="BT796" s="2">
        <f>VLOOKUP([jobnumber],OvalData[],MATCH(Table2[[#Headers],[Wrap]],Table2[#Headers],0),0)</f>
        <v>0</v>
      </c>
      <c r="BU796" s="2">
        <f>VLOOKUP([jobnumber],OvalData[],MATCH(Table2[[#Headers],[Wall Angle Thickness]],Table2[#Headers],0),0)</f>
        <v>0</v>
      </c>
      <c r="BV796" s="2">
        <f>VLOOKUP([jobnumber],OvalData[],MATCH(Table2[[#Headers],[windlocks]],Table2[#Headers],0),0)</f>
        <v>0</v>
      </c>
      <c r="BW796" s="2" t="str">
        <f>VLOOKUP([jobnumber],OvalData[],MATCH(Table2[[#Headers],[bottombartype]],Table2[#Headers],0),0)</f>
        <v>SPECIAL</v>
      </c>
      <c r="BX796" s="2">
        <f>VLOOKUP([jobnumber],OvalData[],MATCH(Table2[[#Headers],[endlockweight]],Table2[#Headers],0),0)</f>
        <v>0.17</v>
      </c>
      <c r="BY796" s="2">
        <f>VLOOKUP([jobnumber],OvalData[],MATCH(Table2[[#Headers],[Endlock Total Weight]],Table2[#Headers],0),0)</f>
        <v>7.5972999999999997</v>
      </c>
      <c r="BZ796" s="2">
        <f>VLOOKUP([jobnumber],OvalData[],MATCH(Table2[[#Headers],[Grille Weight]],Table2[#Headers],0),0)</f>
        <v>0</v>
      </c>
      <c r="CA796" s="2">
        <f>VLOOKUP([jobnumber],OvalData[],MATCH(Table2[[#Headers],[barrelrings]],Table2[#Headers],0),0)</f>
        <v>1</v>
      </c>
    </row>
    <row r="797" spans="2:79">
      <c r="B797" s="2" t="str">
        <f>VLOOKUP([jobnumber],OvalData[],MATCH(Table2[[#Headers],[Hand]],Table2[#Headers],0),0)</f>
        <v>RH</v>
      </c>
      <c r="C797" s="2" t="str">
        <f>VLOOKUP([jobnumber],OvalData[],MATCH(Table2[[#Headers],[Model]],Table2[#Headers],0),0)</f>
        <v>SFMPP</v>
      </c>
      <c r="D797" s="2" t="str">
        <f>VLOOKUP([jobnumber],OvalData[],MATCH(Table2[[#Headers],[width]],Table2[#Headers],0),0)</f>
        <v xml:space="preserve"> 18 ft.- 2"</v>
      </c>
      <c r="E797" s="2" t="str">
        <f>VLOOKUP([jobnumber],OvalData[],MATCH(Table2[[#Headers],[stopheight]],Table2[#Headers],0),0)</f>
        <v xml:space="preserve"> 10 ft.- 0"</v>
      </c>
      <c r="F797" s="2" t="str">
        <f>VLOOKUP([jobnumber],OvalData[],MATCH(Table2[[#Headers],[Between Brackets]],Table2[#Headers],0),0)</f>
        <v xml:space="preserve"> 18 ft.- 7 7/ 8"</v>
      </c>
      <c r="G797" s="2" t="str">
        <f>VLOOKUP([jobnumber],OvalData[],MATCH(Table2[[#Headers],[shell]],Table2[#Headers],0),0)</f>
        <v>6 INCH TUBE</v>
      </c>
      <c r="H797" s="2" t="str">
        <f>VLOOKUP([jobnumber],OvalData[],MATCH(Table2[[#Headers],[pipewidth]],Table2[#Headers],0),0)</f>
        <v xml:space="preserve"> 18 ft.- 1 3/ 8"</v>
      </c>
      <c r="I797" s="2">
        <f>VLOOKUP([jobnumber],OvalData[],MATCH(Table2[[#Headers],[Support Tubes]],Table2[#Headers],0),0)</f>
        <v>0</v>
      </c>
      <c r="J797" s="2">
        <f>VLOOKUP([jobnumber],OvalData[],MATCH(Table2[[#Headers],[Upset]],Table2[#Headers],0),0)</f>
        <v>2</v>
      </c>
      <c r="K797" s="2" t="str">
        <f>VLOOKUP([jobnumber],OvalData[],MATCH(Table2[[#Headers],[Guide Type]],Table2[#Headers],0),0)</f>
        <v>SN2-4 5/8-E</v>
      </c>
      <c r="L797" s="2" t="str">
        <f>VLOOKUP([jobnumber],OvalData[],MATCH(Table2[[#Headers],[Wall Angle]],Table2[#Headers],0),0)</f>
        <v xml:space="preserve"> 11 ft.- 8"</v>
      </c>
      <c r="M797" s="2" t="str">
        <f>VLOOKUP([jobnumber],OvalData[],MATCH(Table2[[#Headers],[Middle Angle]],Table2[#Headers],0),0)</f>
        <v xml:space="preserve"> 10 ft.- 4 1/ 2"</v>
      </c>
      <c r="N797" s="2" t="str">
        <f>VLOOKUP([jobnumber],OvalData[],MATCH(Table2[[#Headers],[Front Angle]],Table2[#Headers],0),0)</f>
        <v xml:space="preserve"> 10 ft.- 3"</v>
      </c>
      <c r="O797" s="2">
        <f>VLOOKUP([jobnumber],OvalData[],MATCH(Table2[[#Headers],[Pipe Center Line]],Table2[#Headers],0),0)</f>
        <v>131</v>
      </c>
      <c r="P797" s="2">
        <f>VLOOKUP([jobnumber],OvalData[],MATCH(Table2[[#Headers],[Heat Expansion Gap]],Table2[#Headers],0),0)</f>
        <v>0</v>
      </c>
      <c r="Q797" s="2">
        <f>VLOOKUP([jobnumber],OvalData[],MATCH(Table2[[#Headers],[Hanging Weight Closed]],Table2[#Headers],0),0)</f>
        <v>795</v>
      </c>
      <c r="R797" s="2">
        <f>VLOOKUP([jobnumber],OvalData[],MATCH(Table2[[#Headers],[Hanging Weight Open]],Table2[#Headers],0),0)</f>
        <v>140</v>
      </c>
      <c r="S797" s="2">
        <f>VLOOKUP([jobnumber],OvalData[],MATCH(Table2[[#Headers],[Initial Lever Arm]],Table2[#Headers],0),0)</f>
        <v>4.25</v>
      </c>
      <c r="T797" s="2">
        <f>VLOOKUP([jobnumber],OvalData[],MATCH(Table2[[#Headers],[Turns to Raise]],Table2[#Headers],0),0)</f>
        <v>3.5859999999999999</v>
      </c>
      <c r="U797" s="2">
        <f>VLOOKUP([jobnumber],OvalData[],MATCH(Table2[[#Headers],[Final Lever Arm]],Table2[#Headers],0),0)</f>
        <v>6.37</v>
      </c>
      <c r="V797" s="2">
        <f>VLOOKUP([jobnumber],OvalData[],MATCH(Table2[[#Headers],[Torque Required Closed]],Table2[#Headers],0),0)</f>
        <v>3377.9</v>
      </c>
      <c r="W797" s="2">
        <f>VLOOKUP([jobnumber],OvalData[],MATCH(Table2[[#Headers],[Torque Required Open]],Table2[#Headers],0),0)</f>
        <v>892</v>
      </c>
      <c r="X797" s="2">
        <f>VLOOKUP([jobnumber],OvalData[],MATCH(Table2[[#Headers],[Pre Turns]],Table2[#Headers],0),0)</f>
        <v>1.3332999999999999</v>
      </c>
      <c r="Y797" s="2">
        <f>VLOOKUP([jobnumber],OvalData[],MATCH(Table2[[#Headers],[Required Torque Per Turn]],Table2[#Headers],0),0)</f>
        <v>688</v>
      </c>
      <c r="Z797" s="2">
        <f>VLOOKUP([jobnumber],OvalData[],MATCH(Table2[[#Headers],[Total Turns]],Table2[#Headers],0),0)</f>
        <v>4.91</v>
      </c>
      <c r="AA797" s="2">
        <f>VLOOKUP([jobnumber],OvalData[],MATCH(Table2[[#Headers],[Grille Vision Section]],Table2[#Headers],0),0)</f>
        <v>0</v>
      </c>
      <c r="AB797" s="2">
        <f>VLOOKUP([jobnumber],OvalData[],MATCH(Table2[[#Headers],[Grille Amount]],Table2[#Headers],0),0)</f>
        <v>0</v>
      </c>
      <c r="AC797" s="2">
        <f>VLOOKUP([jobnumber],OvalData[],MATCH(Table2[[#Headers],[Grille Center]],Table2[#Headers],0),0)</f>
        <v>0</v>
      </c>
      <c r="AD797" s="2">
        <f>VLOOKUP([jobnumber],OvalData[],MATCH(Table2[[#Headers],[Grille Pattern]],Table2[#Headers],0),0)</f>
        <v>0</v>
      </c>
      <c r="AE797" s="2">
        <f>VLOOKUP([jobnumber],OvalData[],MATCH(Table2[[#Headers],[Grille First Tube]],Table2[#Headers],0),0)</f>
        <v>0</v>
      </c>
      <c r="AF797" s="2">
        <f>VLOOKUP([jobnumber],OvalData[],MATCH(Table2[[#Headers],[Grille Standard Tube]],Table2[#Headers],0),0)</f>
        <v>0</v>
      </c>
      <c r="AG797" s="2">
        <f>VLOOKUP([jobnumber],OvalData[],MATCH(Table2[[#Headers],[Grille Total Links]],Table2[#Headers],0),0)</f>
        <v>0</v>
      </c>
      <c r="AH797" s="2">
        <f>VLOOKUP([jobnumber],OvalData[],MATCH(Table2[[#Headers],[Grille Rods]],Table2[#Headers],0),0)</f>
        <v>0</v>
      </c>
      <c r="AI797" s="2">
        <f>VLOOKUP([jobnumber],OvalData[],MATCH(Table2[[#Headers],[Grille Rod Length]],Table2[#Headers],0),0)</f>
        <v>0</v>
      </c>
      <c r="AJ797" s="2">
        <f>VLOOKUP([jobnumber],OvalData[],MATCH(Table2[[#Headers],[slattype]],Table2[#Headers],0),0)</f>
        <v>2</v>
      </c>
      <c r="AK797" s="2">
        <f>VLOOKUP([jobnumber],OvalData[],MATCH(Table2[[#Headers],[slatgage]],Table2[#Headers],0),0)</f>
        <v>18</v>
      </c>
      <c r="AL797" s="2">
        <f>VLOOKUP([jobnumber],OvalData[],MATCH(Table2[[#Headers],[Numer of Top Slats]],Table2[#Headers],0),0)</f>
        <v>0</v>
      </c>
      <c r="AM797" s="2">
        <f>VLOOKUP([jobnumber],OvalData[],MATCH(Table2[[#Headers],[Number of Bottom Slats]],Table2[#Headers],0),0)</f>
        <v>0</v>
      </c>
      <c r="AN797" s="2">
        <f>VLOOKUP([jobnumber],OvalData[],MATCH(Table2[[#Headers],[Solid Bottom Height]],Table2[#Headers],0),0)</f>
        <v>0</v>
      </c>
      <c r="AO797" s="2" t="str">
        <f>VLOOKUP([jobnumber],OvalData[],MATCH(Table2[[#Headers],[slatlength]],Table2[#Headers],0),0)</f>
        <v xml:space="preserve"> 18 ft.- 5 7/ 8"</v>
      </c>
      <c r="AP797" s="2">
        <f>VLOOKUP([jobnumber],OvalData[],MATCH(Table2[[#Headers],[Bottom Slat Length]],Table2[#Headers],0),0)</f>
        <v>0</v>
      </c>
      <c r="AQ797" s="2">
        <f>VLOOKUP([jobnumber],OvalData[],MATCH(Table2[[#Headers],[Number of Perferated Slats]],Table2[#Headers],0),0)</f>
        <v>0</v>
      </c>
      <c r="AR797" s="2">
        <f>VLOOKUP([jobnumber],OvalData[],MATCH(Table2[[#Headers],[First Preferated Slat From End]],Table2[#Headers],0),0)</f>
        <v>0</v>
      </c>
      <c r="AS797" s="2">
        <f>VLOOKUP([jobnumber],OvalData[],MATCH(Table2[[#Headers],[First Preferated Slat From Bottom]],Table2[#Headers],0),0)</f>
        <v>0</v>
      </c>
      <c r="AT797" s="2">
        <f>VLOOKUP([jobnumber],OvalData[],MATCH(Table2[[#Headers],[Total Number of Slats]],Table2[#Headers],0),0)</f>
        <v>51</v>
      </c>
      <c r="AU797" s="2">
        <f>VLOOKUP([jobnumber],OvalData[],MATCH(Table2[[#Headers],[Bottom Bar Slope]],Table2[#Headers],0),0)</f>
        <v>0</v>
      </c>
      <c r="AV797" s="2">
        <f>VLOOKUP([jobnumber],OvalData[],MATCH(Table2[[#Headers],[Bottom Bar Weight]],Table2[#Headers],0),0)</f>
        <v>80.5</v>
      </c>
      <c r="AW797" s="2" t="str">
        <f>VLOOKUP([jobnumber],OvalData[],MATCH(Table2[[#Headers],[Outer Spring Gage]],Table2[#Headers],0),0)</f>
        <v>Null</v>
      </c>
      <c r="AX797" s="2" t="str">
        <f>VLOOKUP([jobnumber],OvalData[],MATCH(Table2[[#Headers],[Outer Spring OD]],Table2[#Headers],0),0)</f>
        <v>Null</v>
      </c>
      <c r="AY797" s="2" t="str">
        <f>VLOOKUP([jobnumber],OvalData[],MATCH(Table2[[#Headers],[Outer Spring Length]],Table2[#Headers],0),0)</f>
        <v>Null</v>
      </c>
      <c r="AZ797" s="2" t="str">
        <f>VLOOKUP([jobnumber],OvalData[],MATCH(Table2[[#Headers],[Outer Spring Stretch]],Table2[#Headers],0),0)</f>
        <v>Null</v>
      </c>
      <c r="BA797" s="2" t="str">
        <f>VLOOKUP([jobnumber],OvalData[],MATCH(Table2[[#Headers],[Outer Spring Torque]],Table2[#Headers],0),0)</f>
        <v>Null</v>
      </c>
      <c r="BB797" s="2" t="str">
        <f>VLOOKUP([jobnumber],OvalData[],MATCH(Table2[[#Headers],[Outer Spring Max Turns]],Table2[#Headers],0),0)</f>
        <v>Null</v>
      </c>
      <c r="BC797" s="2" t="str">
        <f>VLOOKUP([jobnumber],OvalData[],MATCH(Table2[[#Headers],[Outer Spring Weight]],Table2[#Headers],0),0)</f>
        <v>Null</v>
      </c>
      <c r="BD797" s="2" t="str">
        <f>VLOOKUP([jobnumber],OvalData[],MATCH(Table2[[#Headers],[Inner Spring Gage]],Table2[#Headers],0),0)</f>
        <v>Null</v>
      </c>
      <c r="BE797" s="2" t="str">
        <f>VLOOKUP([jobnumber],OvalData[],MATCH(Table2[[#Headers],[Inner Spring OD]],Table2[#Headers],0),0)</f>
        <v>Null</v>
      </c>
      <c r="BF797" s="2" t="str">
        <f>VLOOKUP([jobnumber],OvalData[],MATCH(Table2[[#Headers],[Inner Spring Length]],Table2[#Headers],0),0)</f>
        <v>Null</v>
      </c>
      <c r="BG797" s="2" t="str">
        <f>VLOOKUP([jobnumber],OvalData[],MATCH(Table2[[#Headers],[Inner Spring Stretch]],Table2[#Headers],0),0)</f>
        <v>Null</v>
      </c>
      <c r="BH797" s="2" t="str">
        <f>VLOOKUP([jobnumber],OvalData[],MATCH(Table2[[#Headers],[Inner Spring Torque]],Table2[#Headers],0),0)</f>
        <v>Null</v>
      </c>
      <c r="BI797" s="2" t="str">
        <f>VLOOKUP([jobnumber],OvalData[],MATCH(Table2[[#Headers],[Inner Spring Max Turns]],Table2[#Headers],0),0)</f>
        <v>Null</v>
      </c>
      <c r="BJ797" s="2" t="str">
        <f>VLOOKUP([jobnumber],OvalData[],MATCH(Table2[[#Headers],[Inner Spring Weight]],Table2[#Headers],0),0)</f>
        <v>Null</v>
      </c>
      <c r="BK797" s="2">
        <f>VLOOKUP([jobnumber],OvalData[],MATCH(Table2[[#Headers],[Cycles]],Table2[#Headers],0),0)</f>
        <v>0</v>
      </c>
      <c r="BL797" s="2">
        <f>VLOOKUP([jobnumber],OvalData[],MATCH(Table2[[#Headers],[Total Spring Torque]],Table2[#Headers],0),0)</f>
        <v>0</v>
      </c>
      <c r="BM797" s="2">
        <f>VLOOKUP([jobnumber],OvalData[],MATCH(Table2[[#Headers],[Total Spring Weight]],Table2[#Headers],0),0)</f>
        <v>0</v>
      </c>
      <c r="BN797" s="2">
        <f>VLOOKUP([jobnumber],OvalData[],MATCH(Table2[[#Headers],[Pipe Weight]],Table2[#Headers],0),0)</f>
        <v>688.24239999999998</v>
      </c>
      <c r="BO797" s="2">
        <f>VLOOKUP([jobnumber],OvalData[],MATCH(Table2[[#Headers],[Max Pipe Deflection]],Table2[#Headers],0),0)</f>
        <v>2309</v>
      </c>
      <c r="BP797" s="2">
        <f>VLOOKUP([jobnumber],OvalData[],MATCH(Table2[[#Headers],[Number Non-Insulated Wrap Slats]],Table2[#Headers],0),0)</f>
        <v>0</v>
      </c>
      <c r="BQ797" s="2">
        <f>VLOOKUP([jobnumber],OvalData[],MATCH(Table2[[#Headers],[Number of Insolated Top Slats]],Table2[#Headers],0),0)</f>
        <v>45</v>
      </c>
      <c r="BR797" s="2">
        <f>VLOOKUP([jobnumber],OvalData[],MATCH(Table2[[#Headers],[Insolated Total Slats]],Table2[#Headers],0),0)</f>
        <v>45</v>
      </c>
      <c r="BS797" s="2">
        <f>VLOOKUP([jobnumber],OvalData[],MATCH(Table2[[#Headers],[Number of Slats]],Table2[#Headers],0),0)</f>
        <v>44.69</v>
      </c>
      <c r="BT797" s="2">
        <f>VLOOKUP([jobnumber],OvalData[],MATCH(Table2[[#Headers],[Wrap]],Table2[#Headers],0),0)</f>
        <v>0</v>
      </c>
      <c r="BU797" s="2">
        <f>VLOOKUP([jobnumber],OvalData[],MATCH(Table2[[#Headers],[Wall Angle Thickness]],Table2[#Headers],0),0)</f>
        <v>0</v>
      </c>
      <c r="BV797" s="2">
        <f>VLOOKUP([jobnumber],OvalData[],MATCH(Table2[[#Headers],[windlocks]],Table2[#Headers],0),0)</f>
        <v>0</v>
      </c>
      <c r="BW797" s="2" t="str">
        <f>VLOOKUP([jobnumber],OvalData[],MATCH(Table2[[#Headers],[bottombartype]],Table2[#Headers],0),0)</f>
        <v>SPECIAL</v>
      </c>
      <c r="BX797" s="2">
        <f>VLOOKUP([jobnumber],OvalData[],MATCH(Table2[[#Headers],[endlockweight]],Table2[#Headers],0),0)</f>
        <v>0.17</v>
      </c>
      <c r="BY797" s="2">
        <f>VLOOKUP([jobnumber],OvalData[],MATCH(Table2[[#Headers],[Endlock Total Weight]],Table2[#Headers],0),0)</f>
        <v>7.5972999999999997</v>
      </c>
      <c r="BZ797" s="2">
        <f>VLOOKUP([jobnumber],OvalData[],MATCH(Table2[[#Headers],[Grille Weight]],Table2[#Headers],0),0)</f>
        <v>0</v>
      </c>
      <c r="CA797" s="2">
        <f>VLOOKUP([jobnumber],OvalData[],MATCH(Table2[[#Headers],[barrelrings]],Table2[#Headers],0),0)</f>
        <v>1</v>
      </c>
    </row>
    <row r="798" spans="2:79">
      <c r="B798" s="2" t="str">
        <f>VLOOKUP([jobnumber],OvalData[],MATCH(Table2[[#Headers],[Hand]],Table2[#Headers],0),0)</f>
        <v>RH</v>
      </c>
      <c r="C798" s="2" t="str">
        <f>VLOOKUP([jobnumber],OvalData[],MATCH(Table2[[#Headers],[Model]],Table2[#Headers],0),0)</f>
        <v>SFMPP</v>
      </c>
      <c r="D798" s="2" t="str">
        <f>VLOOKUP([jobnumber],OvalData[],MATCH(Table2[[#Headers],[width]],Table2[#Headers],0),0)</f>
        <v xml:space="preserve"> 18 ft.- 2"</v>
      </c>
      <c r="E798" s="2" t="str">
        <f>VLOOKUP([jobnumber],OvalData[],MATCH(Table2[[#Headers],[stopheight]],Table2[#Headers],0),0)</f>
        <v xml:space="preserve"> 10 ft.- 0"</v>
      </c>
      <c r="F798" s="2" t="str">
        <f>VLOOKUP([jobnumber],OvalData[],MATCH(Table2[[#Headers],[Between Brackets]],Table2[#Headers],0),0)</f>
        <v xml:space="preserve"> 18 ft.- 7 7/ 8"</v>
      </c>
      <c r="G798" s="2" t="str">
        <f>VLOOKUP([jobnumber],OvalData[],MATCH(Table2[[#Headers],[shell]],Table2[#Headers],0),0)</f>
        <v>6 INCH TUBE</v>
      </c>
      <c r="H798" s="2" t="str">
        <f>VLOOKUP([jobnumber],OvalData[],MATCH(Table2[[#Headers],[pipewidth]],Table2[#Headers],0),0)</f>
        <v xml:space="preserve"> 18 ft.- 1 3/ 8"</v>
      </c>
      <c r="I798" s="2">
        <f>VLOOKUP([jobnumber],OvalData[],MATCH(Table2[[#Headers],[Support Tubes]],Table2[#Headers],0),0)</f>
        <v>0</v>
      </c>
      <c r="J798" s="2">
        <f>VLOOKUP([jobnumber],OvalData[],MATCH(Table2[[#Headers],[Upset]],Table2[#Headers],0),0)</f>
        <v>2</v>
      </c>
      <c r="K798" s="2" t="str">
        <f>VLOOKUP([jobnumber],OvalData[],MATCH(Table2[[#Headers],[Guide Type]],Table2[#Headers],0),0)</f>
        <v>SN2-4 5/8-E</v>
      </c>
      <c r="L798" s="2" t="str">
        <f>VLOOKUP([jobnumber],OvalData[],MATCH(Table2[[#Headers],[Wall Angle]],Table2[#Headers],0),0)</f>
        <v xml:space="preserve"> 11 ft.- 8"</v>
      </c>
      <c r="M798" s="2" t="str">
        <f>VLOOKUP([jobnumber],OvalData[],MATCH(Table2[[#Headers],[Middle Angle]],Table2[#Headers],0),0)</f>
        <v xml:space="preserve"> 10 ft.- 4 1/ 2"</v>
      </c>
      <c r="N798" s="2" t="str">
        <f>VLOOKUP([jobnumber],OvalData[],MATCH(Table2[[#Headers],[Front Angle]],Table2[#Headers],0),0)</f>
        <v xml:space="preserve"> 10 ft.- 3"</v>
      </c>
      <c r="O798" s="2">
        <f>VLOOKUP([jobnumber],OvalData[],MATCH(Table2[[#Headers],[Pipe Center Line]],Table2[#Headers],0),0)</f>
        <v>131</v>
      </c>
      <c r="P798" s="2">
        <f>VLOOKUP([jobnumber],OvalData[],MATCH(Table2[[#Headers],[Heat Expansion Gap]],Table2[#Headers],0),0)</f>
        <v>0</v>
      </c>
      <c r="Q798" s="2">
        <f>VLOOKUP([jobnumber],OvalData[],MATCH(Table2[[#Headers],[Hanging Weight Closed]],Table2[#Headers],0),0)</f>
        <v>795</v>
      </c>
      <c r="R798" s="2">
        <f>VLOOKUP([jobnumber],OvalData[],MATCH(Table2[[#Headers],[Hanging Weight Open]],Table2[#Headers],0),0)</f>
        <v>140</v>
      </c>
      <c r="S798" s="2">
        <f>VLOOKUP([jobnumber],OvalData[],MATCH(Table2[[#Headers],[Initial Lever Arm]],Table2[#Headers],0),0)</f>
        <v>4.25</v>
      </c>
      <c r="T798" s="2">
        <f>VLOOKUP([jobnumber],OvalData[],MATCH(Table2[[#Headers],[Turns to Raise]],Table2[#Headers],0),0)</f>
        <v>3.5859999999999999</v>
      </c>
      <c r="U798" s="2">
        <f>VLOOKUP([jobnumber],OvalData[],MATCH(Table2[[#Headers],[Final Lever Arm]],Table2[#Headers],0),0)</f>
        <v>6.37</v>
      </c>
      <c r="V798" s="2">
        <f>VLOOKUP([jobnumber],OvalData[],MATCH(Table2[[#Headers],[Torque Required Closed]],Table2[#Headers],0),0)</f>
        <v>3377.9</v>
      </c>
      <c r="W798" s="2">
        <f>VLOOKUP([jobnumber],OvalData[],MATCH(Table2[[#Headers],[Torque Required Open]],Table2[#Headers],0),0)</f>
        <v>892</v>
      </c>
      <c r="X798" s="2">
        <f>VLOOKUP([jobnumber],OvalData[],MATCH(Table2[[#Headers],[Pre Turns]],Table2[#Headers],0),0)</f>
        <v>1.3332999999999999</v>
      </c>
      <c r="Y798" s="2">
        <f>VLOOKUP([jobnumber],OvalData[],MATCH(Table2[[#Headers],[Required Torque Per Turn]],Table2[#Headers],0),0)</f>
        <v>688</v>
      </c>
      <c r="Z798" s="2">
        <f>VLOOKUP([jobnumber],OvalData[],MATCH(Table2[[#Headers],[Total Turns]],Table2[#Headers],0),0)</f>
        <v>4.91</v>
      </c>
      <c r="AA798" s="2">
        <f>VLOOKUP([jobnumber],OvalData[],MATCH(Table2[[#Headers],[Grille Vision Section]],Table2[#Headers],0),0)</f>
        <v>0</v>
      </c>
      <c r="AB798" s="2">
        <f>VLOOKUP([jobnumber],OvalData[],MATCH(Table2[[#Headers],[Grille Amount]],Table2[#Headers],0),0)</f>
        <v>0</v>
      </c>
      <c r="AC798" s="2">
        <f>VLOOKUP([jobnumber],OvalData[],MATCH(Table2[[#Headers],[Grille Center]],Table2[#Headers],0),0)</f>
        <v>0</v>
      </c>
      <c r="AD798" s="2">
        <f>VLOOKUP([jobnumber],OvalData[],MATCH(Table2[[#Headers],[Grille Pattern]],Table2[#Headers],0),0)</f>
        <v>0</v>
      </c>
      <c r="AE798" s="2">
        <f>VLOOKUP([jobnumber],OvalData[],MATCH(Table2[[#Headers],[Grille First Tube]],Table2[#Headers],0),0)</f>
        <v>0</v>
      </c>
      <c r="AF798" s="2">
        <f>VLOOKUP([jobnumber],OvalData[],MATCH(Table2[[#Headers],[Grille Standard Tube]],Table2[#Headers],0),0)</f>
        <v>0</v>
      </c>
      <c r="AG798" s="2">
        <f>VLOOKUP([jobnumber],OvalData[],MATCH(Table2[[#Headers],[Grille Total Links]],Table2[#Headers],0),0)</f>
        <v>0</v>
      </c>
      <c r="AH798" s="2">
        <f>VLOOKUP([jobnumber],OvalData[],MATCH(Table2[[#Headers],[Grille Rods]],Table2[#Headers],0),0)</f>
        <v>0</v>
      </c>
      <c r="AI798" s="2">
        <f>VLOOKUP([jobnumber],OvalData[],MATCH(Table2[[#Headers],[Grille Rod Length]],Table2[#Headers],0),0)</f>
        <v>0</v>
      </c>
      <c r="AJ798" s="2">
        <f>VLOOKUP([jobnumber],OvalData[],MATCH(Table2[[#Headers],[slattype]],Table2[#Headers],0),0)</f>
        <v>2</v>
      </c>
      <c r="AK798" s="2">
        <f>VLOOKUP([jobnumber],OvalData[],MATCH(Table2[[#Headers],[slatgage]],Table2[#Headers],0),0)</f>
        <v>18</v>
      </c>
      <c r="AL798" s="2">
        <f>VLOOKUP([jobnumber],OvalData[],MATCH(Table2[[#Headers],[Numer of Top Slats]],Table2[#Headers],0),0)</f>
        <v>0</v>
      </c>
      <c r="AM798" s="2">
        <f>VLOOKUP([jobnumber],OvalData[],MATCH(Table2[[#Headers],[Number of Bottom Slats]],Table2[#Headers],0),0)</f>
        <v>0</v>
      </c>
      <c r="AN798" s="2">
        <f>VLOOKUP([jobnumber],OvalData[],MATCH(Table2[[#Headers],[Solid Bottom Height]],Table2[#Headers],0),0)</f>
        <v>0</v>
      </c>
      <c r="AO798" s="2" t="str">
        <f>VLOOKUP([jobnumber],OvalData[],MATCH(Table2[[#Headers],[slatlength]],Table2[#Headers],0),0)</f>
        <v xml:space="preserve"> 18 ft.- 5 7/ 8"</v>
      </c>
      <c r="AP798" s="2">
        <f>VLOOKUP([jobnumber],OvalData[],MATCH(Table2[[#Headers],[Bottom Slat Length]],Table2[#Headers],0),0)</f>
        <v>0</v>
      </c>
      <c r="AQ798" s="2">
        <f>VLOOKUP([jobnumber],OvalData[],MATCH(Table2[[#Headers],[Number of Perferated Slats]],Table2[#Headers],0),0)</f>
        <v>0</v>
      </c>
      <c r="AR798" s="2">
        <f>VLOOKUP([jobnumber],OvalData[],MATCH(Table2[[#Headers],[First Preferated Slat From End]],Table2[#Headers],0),0)</f>
        <v>0</v>
      </c>
      <c r="AS798" s="2">
        <f>VLOOKUP([jobnumber],OvalData[],MATCH(Table2[[#Headers],[First Preferated Slat From Bottom]],Table2[#Headers],0),0)</f>
        <v>0</v>
      </c>
      <c r="AT798" s="2">
        <f>VLOOKUP([jobnumber],OvalData[],MATCH(Table2[[#Headers],[Total Number of Slats]],Table2[#Headers],0),0)</f>
        <v>51</v>
      </c>
      <c r="AU798" s="2">
        <f>VLOOKUP([jobnumber],OvalData[],MATCH(Table2[[#Headers],[Bottom Bar Slope]],Table2[#Headers],0),0)</f>
        <v>0</v>
      </c>
      <c r="AV798" s="2">
        <f>VLOOKUP([jobnumber],OvalData[],MATCH(Table2[[#Headers],[Bottom Bar Weight]],Table2[#Headers],0),0)</f>
        <v>80.5</v>
      </c>
      <c r="AW798" s="2" t="str">
        <f>VLOOKUP([jobnumber],OvalData[],MATCH(Table2[[#Headers],[Outer Spring Gage]],Table2[#Headers],0),0)</f>
        <v>Null</v>
      </c>
      <c r="AX798" s="2" t="str">
        <f>VLOOKUP([jobnumber],OvalData[],MATCH(Table2[[#Headers],[Outer Spring OD]],Table2[#Headers],0),0)</f>
        <v>Null</v>
      </c>
      <c r="AY798" s="2" t="str">
        <f>VLOOKUP([jobnumber],OvalData[],MATCH(Table2[[#Headers],[Outer Spring Length]],Table2[#Headers],0),0)</f>
        <v>Null</v>
      </c>
      <c r="AZ798" s="2" t="str">
        <f>VLOOKUP([jobnumber],OvalData[],MATCH(Table2[[#Headers],[Outer Spring Stretch]],Table2[#Headers],0),0)</f>
        <v>Null</v>
      </c>
      <c r="BA798" s="2" t="str">
        <f>VLOOKUP([jobnumber],OvalData[],MATCH(Table2[[#Headers],[Outer Spring Torque]],Table2[#Headers],0),0)</f>
        <v>Null</v>
      </c>
      <c r="BB798" s="2" t="str">
        <f>VLOOKUP([jobnumber],OvalData[],MATCH(Table2[[#Headers],[Outer Spring Max Turns]],Table2[#Headers],0),0)</f>
        <v>Null</v>
      </c>
      <c r="BC798" s="2" t="str">
        <f>VLOOKUP([jobnumber],OvalData[],MATCH(Table2[[#Headers],[Outer Spring Weight]],Table2[#Headers],0),0)</f>
        <v>Null</v>
      </c>
      <c r="BD798" s="2" t="str">
        <f>VLOOKUP([jobnumber],OvalData[],MATCH(Table2[[#Headers],[Inner Spring Gage]],Table2[#Headers],0),0)</f>
        <v>Null</v>
      </c>
      <c r="BE798" s="2" t="str">
        <f>VLOOKUP([jobnumber],OvalData[],MATCH(Table2[[#Headers],[Inner Spring OD]],Table2[#Headers],0),0)</f>
        <v>Null</v>
      </c>
      <c r="BF798" s="2" t="str">
        <f>VLOOKUP([jobnumber],OvalData[],MATCH(Table2[[#Headers],[Inner Spring Length]],Table2[#Headers],0),0)</f>
        <v>Null</v>
      </c>
      <c r="BG798" s="2" t="str">
        <f>VLOOKUP([jobnumber],OvalData[],MATCH(Table2[[#Headers],[Inner Spring Stretch]],Table2[#Headers],0),0)</f>
        <v>Null</v>
      </c>
      <c r="BH798" s="2" t="str">
        <f>VLOOKUP([jobnumber],OvalData[],MATCH(Table2[[#Headers],[Inner Spring Torque]],Table2[#Headers],0),0)</f>
        <v>Null</v>
      </c>
      <c r="BI798" s="2" t="str">
        <f>VLOOKUP([jobnumber],OvalData[],MATCH(Table2[[#Headers],[Inner Spring Max Turns]],Table2[#Headers],0),0)</f>
        <v>Null</v>
      </c>
      <c r="BJ798" s="2" t="str">
        <f>VLOOKUP([jobnumber],OvalData[],MATCH(Table2[[#Headers],[Inner Spring Weight]],Table2[#Headers],0),0)</f>
        <v>Null</v>
      </c>
      <c r="BK798" s="2">
        <f>VLOOKUP([jobnumber],OvalData[],MATCH(Table2[[#Headers],[Cycles]],Table2[#Headers],0),0)</f>
        <v>0</v>
      </c>
      <c r="BL798" s="2">
        <f>VLOOKUP([jobnumber],OvalData[],MATCH(Table2[[#Headers],[Total Spring Torque]],Table2[#Headers],0),0)</f>
        <v>0</v>
      </c>
      <c r="BM798" s="2">
        <f>VLOOKUP([jobnumber],OvalData[],MATCH(Table2[[#Headers],[Total Spring Weight]],Table2[#Headers],0),0)</f>
        <v>0</v>
      </c>
      <c r="BN798" s="2">
        <f>VLOOKUP([jobnumber],OvalData[],MATCH(Table2[[#Headers],[Pipe Weight]],Table2[#Headers],0),0)</f>
        <v>688.24239999999998</v>
      </c>
      <c r="BO798" s="2">
        <f>VLOOKUP([jobnumber],OvalData[],MATCH(Table2[[#Headers],[Max Pipe Deflection]],Table2[#Headers],0),0)</f>
        <v>2309</v>
      </c>
      <c r="BP798" s="2">
        <f>VLOOKUP([jobnumber],OvalData[],MATCH(Table2[[#Headers],[Number Non-Insulated Wrap Slats]],Table2[#Headers],0),0)</f>
        <v>0</v>
      </c>
      <c r="BQ798" s="2">
        <f>VLOOKUP([jobnumber],OvalData[],MATCH(Table2[[#Headers],[Number of Insolated Top Slats]],Table2[#Headers],0),0)</f>
        <v>45</v>
      </c>
      <c r="BR798" s="2">
        <f>VLOOKUP([jobnumber],OvalData[],MATCH(Table2[[#Headers],[Insolated Total Slats]],Table2[#Headers],0),0)</f>
        <v>45</v>
      </c>
      <c r="BS798" s="2">
        <f>VLOOKUP([jobnumber],OvalData[],MATCH(Table2[[#Headers],[Number of Slats]],Table2[#Headers],0),0)</f>
        <v>44.69</v>
      </c>
      <c r="BT798" s="2">
        <f>VLOOKUP([jobnumber],OvalData[],MATCH(Table2[[#Headers],[Wrap]],Table2[#Headers],0),0)</f>
        <v>0</v>
      </c>
      <c r="BU798" s="2">
        <f>VLOOKUP([jobnumber],OvalData[],MATCH(Table2[[#Headers],[Wall Angle Thickness]],Table2[#Headers],0),0)</f>
        <v>0</v>
      </c>
      <c r="BV798" s="2">
        <f>VLOOKUP([jobnumber],OvalData[],MATCH(Table2[[#Headers],[windlocks]],Table2[#Headers],0),0)</f>
        <v>0</v>
      </c>
      <c r="BW798" s="2" t="str">
        <f>VLOOKUP([jobnumber],OvalData[],MATCH(Table2[[#Headers],[bottombartype]],Table2[#Headers],0),0)</f>
        <v>SPECIAL</v>
      </c>
      <c r="BX798" s="2">
        <f>VLOOKUP([jobnumber],OvalData[],MATCH(Table2[[#Headers],[endlockweight]],Table2[#Headers],0),0)</f>
        <v>0.17</v>
      </c>
      <c r="BY798" s="2">
        <f>VLOOKUP([jobnumber],OvalData[],MATCH(Table2[[#Headers],[Endlock Total Weight]],Table2[#Headers],0),0)</f>
        <v>7.5972999999999997</v>
      </c>
      <c r="BZ798" s="2">
        <f>VLOOKUP([jobnumber],OvalData[],MATCH(Table2[[#Headers],[Grille Weight]],Table2[#Headers],0),0)</f>
        <v>0</v>
      </c>
      <c r="CA798" s="2">
        <f>VLOOKUP([jobnumber],OvalData[],MATCH(Table2[[#Headers],[barrelrings]],Table2[#Headers],0),0)</f>
        <v>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zoomScaleNormal="100" workbookViewId="0">
      <selection sqref="A1:A5"/>
    </sheetView>
  </sheetViews>
  <sheetFormatPr defaultRowHeight="15"/>
  <cols>
    <col min="1" max="16384" width="9.140625" style="2"/>
  </cols>
  <sheetData>
    <row r="1" spans="1:5">
      <c r="A1" s="2">
        <v>293</v>
      </c>
      <c r="E1" s="1"/>
    </row>
    <row r="2" spans="1:5">
      <c r="A2" s="2">
        <v>294</v>
      </c>
      <c r="E2" s="1"/>
    </row>
    <row r="3" spans="1:5">
      <c r="A3" s="2">
        <v>295</v>
      </c>
      <c r="E3" s="1"/>
    </row>
    <row r="4" spans="1:5">
      <c r="A4" s="2">
        <v>296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K1617"/>
  <sheetViews>
    <sheetView tabSelected="1" workbookViewId="0">
      <selection activeCell="C3" sqref="C3"/>
    </sheetView>
  </sheetViews>
  <sheetFormatPr defaultRowHeight="15"/>
  <cols>
    <col min="1" max="9" width="11" customWidth="1"/>
    <col min="10" max="74" width="12" customWidth="1"/>
  </cols>
  <sheetData>
    <row r="1" spans="1:89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660</v>
      </c>
      <c r="H1" t="s">
        <v>659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744</v>
      </c>
      <c r="BT1" t="s">
        <v>91</v>
      </c>
      <c r="BU1" t="s">
        <v>92</v>
      </c>
      <c r="BV1" t="s">
        <v>93</v>
      </c>
      <c r="BW1" t="s">
        <v>654</v>
      </c>
      <c r="BX1" t="s">
        <v>656</v>
      </c>
      <c r="BY1" t="s">
        <v>657</v>
      </c>
      <c r="BZ1" t="s">
        <v>658</v>
      </c>
      <c r="CA1" t="s">
        <v>661</v>
      </c>
      <c r="CB1" t="s">
        <v>662</v>
      </c>
      <c r="CC1" t="s">
        <v>663</v>
      </c>
      <c r="CD1" t="s">
        <v>664</v>
      </c>
      <c r="CE1" t="s">
        <v>665</v>
      </c>
      <c r="CF1" t="s">
        <v>741</v>
      </c>
      <c r="CG1" t="s">
        <v>742</v>
      </c>
      <c r="CH1" t="s">
        <v>743</v>
      </c>
      <c r="CI1" t="s">
        <v>745</v>
      </c>
      <c r="CJ1" t="s">
        <v>746</v>
      </c>
      <c r="CK1" t="s">
        <v>747</v>
      </c>
    </row>
    <row r="2" spans="1:89">
      <c r="A2">
        <v>0</v>
      </c>
      <c r="B2" t="s">
        <v>0</v>
      </c>
      <c r="C2" t="s">
        <v>1</v>
      </c>
      <c r="D2" t="s">
        <v>95</v>
      </c>
      <c r="E2" t="s">
        <v>96</v>
      </c>
      <c r="F2" t="s">
        <v>97</v>
      </c>
      <c r="G2" t="s">
        <v>15</v>
      </c>
      <c r="H2" t="s">
        <v>98</v>
      </c>
      <c r="J2">
        <v>2</v>
      </c>
      <c r="K2" t="s">
        <v>108</v>
      </c>
      <c r="L2" t="s">
        <v>293</v>
      </c>
      <c r="M2" t="s">
        <v>100</v>
      </c>
      <c r="N2" t="s">
        <v>101</v>
      </c>
      <c r="O2">
        <v>131</v>
      </c>
      <c r="Q2">
        <v>795</v>
      </c>
      <c r="R2">
        <v>140</v>
      </c>
      <c r="S2">
        <v>4.25</v>
      </c>
      <c r="T2">
        <v>3.5859999999999999</v>
      </c>
      <c r="U2">
        <v>6.37</v>
      </c>
      <c r="V2">
        <v>3377.9</v>
      </c>
      <c r="W2">
        <v>892</v>
      </c>
      <c r="X2">
        <v>1.3332999999999999</v>
      </c>
      <c r="Y2">
        <v>688</v>
      </c>
      <c r="Z2">
        <v>4.91</v>
      </c>
      <c r="AJ2">
        <v>2</v>
      </c>
      <c r="AK2">
        <v>18</v>
      </c>
      <c r="AM2">
        <v>0</v>
      </c>
      <c r="AO2" t="s">
        <v>102</v>
      </c>
      <c r="AT2">
        <v>51</v>
      </c>
      <c r="AV2">
        <v>80.5</v>
      </c>
      <c r="AW2" t="s">
        <v>6</v>
      </c>
      <c r="AX2" t="s">
        <v>6</v>
      </c>
      <c r="AY2" t="s">
        <v>6</v>
      </c>
      <c r="AZ2" t="s">
        <v>6</v>
      </c>
      <c r="BA2" t="s">
        <v>6</v>
      </c>
      <c r="BB2" t="s">
        <v>6</v>
      </c>
      <c r="BC2" t="s">
        <v>6</v>
      </c>
      <c r="BD2" t="s">
        <v>6</v>
      </c>
      <c r="BE2" t="s">
        <v>6</v>
      </c>
      <c r="BF2" t="s">
        <v>6</v>
      </c>
      <c r="BG2" t="s">
        <v>6</v>
      </c>
      <c r="BH2" t="s">
        <v>6</v>
      </c>
      <c r="BI2" t="s">
        <v>6</v>
      </c>
      <c r="BJ2" t="s">
        <v>6</v>
      </c>
      <c r="BN2">
        <v>688.24239999999998</v>
      </c>
      <c r="BO2">
        <v>2309</v>
      </c>
      <c r="BP2">
        <v>0</v>
      </c>
      <c r="BQ2">
        <v>45</v>
      </c>
      <c r="BR2">
        <v>45</v>
      </c>
      <c r="BS2">
        <v>44.69</v>
      </c>
      <c r="BT2">
        <v>0</v>
      </c>
      <c r="BV2">
        <v>0</v>
      </c>
      <c r="BW2" t="s">
        <v>655</v>
      </c>
      <c r="BX2">
        <v>0.17</v>
      </c>
      <c r="BY2">
        <v>7.5972999999999997</v>
      </c>
      <c r="BZ2">
        <v>0</v>
      </c>
      <c r="CA2">
        <v>1</v>
      </c>
      <c r="CB2">
        <v>0.6</v>
      </c>
      <c r="CC2" s="3">
        <v>7.1269159999999998E-2</v>
      </c>
      <c r="CD2">
        <v>2.875</v>
      </c>
      <c r="CE2">
        <v>2.5</v>
      </c>
      <c r="CF2">
        <v>18</v>
      </c>
      <c r="CG2">
        <v>6</v>
      </c>
      <c r="CH2">
        <v>0</v>
      </c>
      <c r="CI2">
        <v>44.69</v>
      </c>
      <c r="CJ2">
        <v>706.67600000000004</v>
      </c>
    </row>
    <row r="3" spans="1:89">
      <c r="A3">
        <v>1</v>
      </c>
      <c r="B3" t="s">
        <v>0</v>
      </c>
      <c r="C3" t="s">
        <v>1</v>
      </c>
      <c r="D3" t="s">
        <v>103</v>
      </c>
      <c r="E3" t="s">
        <v>104</v>
      </c>
      <c r="F3" t="s">
        <v>105</v>
      </c>
      <c r="G3" t="s">
        <v>106</v>
      </c>
      <c r="H3" t="s">
        <v>107</v>
      </c>
      <c r="J3">
        <v>2</v>
      </c>
      <c r="K3" t="s">
        <v>108</v>
      </c>
      <c r="L3" t="s">
        <v>109</v>
      </c>
      <c r="M3" t="s">
        <v>110</v>
      </c>
      <c r="N3" t="s">
        <v>111</v>
      </c>
      <c r="O3">
        <v>191</v>
      </c>
      <c r="Q3">
        <v>816</v>
      </c>
      <c r="R3">
        <v>102</v>
      </c>
      <c r="S3">
        <v>4.25</v>
      </c>
      <c r="T3">
        <v>4.9850000000000003</v>
      </c>
      <c r="U3">
        <v>7.27</v>
      </c>
      <c r="V3">
        <v>3468.72</v>
      </c>
      <c r="W3">
        <v>739</v>
      </c>
      <c r="X3">
        <v>1.3332999999999999</v>
      </c>
      <c r="Y3">
        <v>550</v>
      </c>
      <c r="Z3">
        <v>6.31</v>
      </c>
      <c r="AJ3">
        <v>2</v>
      </c>
      <c r="AK3">
        <v>18</v>
      </c>
      <c r="AM3">
        <v>0</v>
      </c>
      <c r="AO3" t="s">
        <v>112</v>
      </c>
      <c r="AT3">
        <v>72</v>
      </c>
      <c r="AV3">
        <v>58</v>
      </c>
      <c r="AW3">
        <v>0.46875</v>
      </c>
      <c r="AX3">
        <v>3.75</v>
      </c>
      <c r="AY3">
        <v>67</v>
      </c>
      <c r="AZ3">
        <v>5.875</v>
      </c>
      <c r="BA3">
        <v>302.33999999999997</v>
      </c>
      <c r="BB3">
        <v>6.51</v>
      </c>
      <c r="BC3">
        <v>72</v>
      </c>
      <c r="BD3">
        <v>0.4375</v>
      </c>
      <c r="BE3">
        <v>3.75</v>
      </c>
      <c r="BF3">
        <v>57.5</v>
      </c>
      <c r="BG3">
        <v>5.5</v>
      </c>
      <c r="BH3">
        <v>247.37</v>
      </c>
      <c r="BI3">
        <v>6.65</v>
      </c>
      <c r="BJ3">
        <v>58</v>
      </c>
      <c r="BL3">
        <v>549.71</v>
      </c>
      <c r="BM3">
        <v>130</v>
      </c>
      <c r="BN3">
        <v>278.20010000000002</v>
      </c>
      <c r="BO3">
        <v>1341</v>
      </c>
      <c r="BP3">
        <v>0</v>
      </c>
      <c r="BQ3">
        <v>66</v>
      </c>
      <c r="BR3">
        <v>66</v>
      </c>
      <c r="BS3">
        <v>65.56</v>
      </c>
      <c r="BT3">
        <v>0</v>
      </c>
      <c r="BV3">
        <v>0</v>
      </c>
      <c r="BW3" t="s">
        <v>655</v>
      </c>
      <c r="BX3">
        <v>0.17</v>
      </c>
      <c r="BY3">
        <v>11.145200000000001</v>
      </c>
      <c r="BZ3">
        <v>0</v>
      </c>
      <c r="CA3">
        <v>1</v>
      </c>
      <c r="CB3">
        <v>0.6</v>
      </c>
      <c r="CC3" s="3">
        <v>7.1269159999999998E-2</v>
      </c>
      <c r="CD3">
        <v>2.875</v>
      </c>
      <c r="CE3">
        <v>2.5</v>
      </c>
      <c r="CF3">
        <v>18</v>
      </c>
      <c r="CG3">
        <v>6</v>
      </c>
      <c r="CH3">
        <v>0</v>
      </c>
      <c r="CI3">
        <v>65.56</v>
      </c>
      <c r="CJ3">
        <v>747.00080000000003</v>
      </c>
    </row>
    <row r="4" spans="1:89">
      <c r="A4">
        <v>2</v>
      </c>
      <c r="B4" t="s">
        <v>13</v>
      </c>
      <c r="C4" t="s">
        <v>1</v>
      </c>
      <c r="D4" t="s">
        <v>19</v>
      </c>
      <c r="E4" t="s">
        <v>113</v>
      </c>
      <c r="F4" t="s">
        <v>114</v>
      </c>
      <c r="G4" t="s">
        <v>214</v>
      </c>
      <c r="H4" t="s">
        <v>115</v>
      </c>
      <c r="J4">
        <v>2</v>
      </c>
      <c r="K4" t="s">
        <v>108</v>
      </c>
      <c r="L4" t="s">
        <v>116</v>
      </c>
      <c r="M4" t="s">
        <v>117</v>
      </c>
      <c r="N4" t="s">
        <v>14</v>
      </c>
      <c r="O4">
        <v>179</v>
      </c>
      <c r="Q4">
        <v>853</v>
      </c>
      <c r="R4">
        <v>112</v>
      </c>
      <c r="S4">
        <v>4.25</v>
      </c>
      <c r="T4">
        <v>4.7190000000000003</v>
      </c>
      <c r="U4">
        <v>7.05</v>
      </c>
      <c r="V4">
        <v>3626.22</v>
      </c>
      <c r="W4">
        <v>791</v>
      </c>
      <c r="X4">
        <v>1.3332999999999999</v>
      </c>
      <c r="Y4">
        <v>599</v>
      </c>
      <c r="Z4">
        <v>6.05</v>
      </c>
      <c r="AJ4">
        <v>2</v>
      </c>
      <c r="AK4">
        <v>18</v>
      </c>
      <c r="AM4">
        <v>0</v>
      </c>
      <c r="AO4" t="s">
        <v>118</v>
      </c>
      <c r="AT4">
        <v>68</v>
      </c>
      <c r="AV4">
        <v>64.5</v>
      </c>
      <c r="AW4">
        <v>0.46875</v>
      </c>
      <c r="AX4">
        <v>3.75</v>
      </c>
      <c r="AY4">
        <v>61.5</v>
      </c>
      <c r="AZ4">
        <v>5.625</v>
      </c>
      <c r="BA4">
        <v>329.65</v>
      </c>
      <c r="BB4">
        <v>5.97</v>
      </c>
      <c r="BC4">
        <v>66</v>
      </c>
      <c r="BD4">
        <v>0.4375</v>
      </c>
      <c r="BE4">
        <v>3.75</v>
      </c>
      <c r="BF4">
        <v>52.75</v>
      </c>
      <c r="BG4">
        <v>5.25</v>
      </c>
      <c r="BH4">
        <v>269.72000000000003</v>
      </c>
      <c r="BI4">
        <v>6.1</v>
      </c>
      <c r="BJ4">
        <v>53</v>
      </c>
      <c r="BL4">
        <v>599.37</v>
      </c>
      <c r="BM4">
        <v>119</v>
      </c>
      <c r="BN4">
        <v>312.91000000000003</v>
      </c>
      <c r="BO4">
        <v>1330</v>
      </c>
      <c r="BP4">
        <v>0</v>
      </c>
      <c r="BQ4">
        <v>61</v>
      </c>
      <c r="BR4">
        <v>61</v>
      </c>
      <c r="BS4">
        <v>61.39</v>
      </c>
      <c r="BT4">
        <v>0</v>
      </c>
      <c r="BV4">
        <v>0</v>
      </c>
      <c r="BW4" t="s">
        <v>655</v>
      </c>
      <c r="BX4">
        <v>0.17</v>
      </c>
      <c r="BY4">
        <v>10.436299999999999</v>
      </c>
      <c r="BZ4">
        <v>0</v>
      </c>
      <c r="CA4">
        <v>1</v>
      </c>
      <c r="CB4">
        <v>0.6</v>
      </c>
      <c r="CC4" s="3">
        <v>7.1269159999999998E-2</v>
      </c>
      <c r="CD4">
        <v>2.875</v>
      </c>
      <c r="CE4">
        <v>2.5</v>
      </c>
      <c r="CF4">
        <v>18</v>
      </c>
      <c r="CG4">
        <v>6</v>
      </c>
      <c r="CH4">
        <v>0</v>
      </c>
      <c r="CI4">
        <v>61.39</v>
      </c>
      <c r="CJ4">
        <v>778.24109999999996</v>
      </c>
    </row>
    <row r="5" spans="1:89">
      <c r="A5">
        <v>3</v>
      </c>
      <c r="B5" t="s">
        <v>0</v>
      </c>
      <c r="C5" t="s">
        <v>1</v>
      </c>
      <c r="D5" t="s">
        <v>119</v>
      </c>
      <c r="E5" t="s">
        <v>120</v>
      </c>
      <c r="F5" t="s">
        <v>121</v>
      </c>
      <c r="G5" t="s">
        <v>106</v>
      </c>
      <c r="H5" t="s">
        <v>122</v>
      </c>
      <c r="J5">
        <v>2</v>
      </c>
      <c r="K5" t="s">
        <v>146</v>
      </c>
      <c r="L5" t="s">
        <v>19</v>
      </c>
      <c r="M5" t="s">
        <v>124</v>
      </c>
      <c r="N5" t="s">
        <v>125</v>
      </c>
      <c r="O5">
        <v>165</v>
      </c>
      <c r="Q5">
        <v>539</v>
      </c>
      <c r="R5">
        <v>79</v>
      </c>
      <c r="S5">
        <v>4.25</v>
      </c>
      <c r="T5">
        <v>4.4000000000000004</v>
      </c>
      <c r="U5">
        <v>6.82</v>
      </c>
      <c r="V5">
        <v>2289.6</v>
      </c>
      <c r="W5">
        <v>540</v>
      </c>
      <c r="X5">
        <v>1.3332999999999999</v>
      </c>
      <c r="Y5">
        <v>400</v>
      </c>
      <c r="Z5">
        <v>5.73</v>
      </c>
      <c r="AJ5">
        <v>2</v>
      </c>
      <c r="AK5">
        <v>18</v>
      </c>
      <c r="AM5">
        <v>0</v>
      </c>
      <c r="AO5" t="s">
        <v>126</v>
      </c>
      <c r="AT5">
        <v>63</v>
      </c>
      <c r="AV5">
        <v>43.7</v>
      </c>
      <c r="AW5">
        <v>0.46875</v>
      </c>
      <c r="AX5">
        <v>3.75</v>
      </c>
      <c r="AY5">
        <v>59</v>
      </c>
      <c r="AZ5">
        <v>5.375</v>
      </c>
      <c r="BA5">
        <v>343.94</v>
      </c>
      <c r="BB5">
        <v>5.73</v>
      </c>
      <c r="BC5">
        <v>63</v>
      </c>
      <c r="BD5">
        <v>0.25</v>
      </c>
      <c r="BE5">
        <v>2.75</v>
      </c>
      <c r="BF5">
        <v>20.625</v>
      </c>
      <c r="BG5">
        <v>2.875</v>
      </c>
      <c r="BH5">
        <v>55.63</v>
      </c>
      <c r="BI5">
        <v>6.17</v>
      </c>
      <c r="BJ5">
        <v>9</v>
      </c>
      <c r="BL5">
        <v>399.57</v>
      </c>
      <c r="BM5">
        <v>72</v>
      </c>
      <c r="BN5">
        <v>208.65</v>
      </c>
      <c r="BO5">
        <v>2384</v>
      </c>
      <c r="BP5">
        <v>0</v>
      </c>
      <c r="BQ5">
        <v>57</v>
      </c>
      <c r="BR5">
        <v>57</v>
      </c>
      <c r="BS5">
        <v>56.52</v>
      </c>
      <c r="BT5">
        <v>0</v>
      </c>
      <c r="BV5">
        <v>0</v>
      </c>
      <c r="BW5" t="s">
        <v>655</v>
      </c>
      <c r="BX5">
        <v>0.17</v>
      </c>
      <c r="BY5">
        <v>9.6084010000000006</v>
      </c>
      <c r="BZ5">
        <v>0</v>
      </c>
      <c r="CA5">
        <v>1</v>
      </c>
      <c r="CB5">
        <v>0.6</v>
      </c>
      <c r="CC5" s="3">
        <v>7.1269159999999998E-2</v>
      </c>
      <c r="CD5">
        <v>2.875</v>
      </c>
      <c r="CE5">
        <v>2.5</v>
      </c>
      <c r="CF5">
        <v>18</v>
      </c>
      <c r="CG5">
        <v>6</v>
      </c>
      <c r="CH5">
        <v>0</v>
      </c>
      <c r="CI5">
        <v>56.52</v>
      </c>
      <c r="CJ5">
        <v>485.39</v>
      </c>
    </row>
    <row r="6" spans="1:89">
      <c r="A6">
        <v>4</v>
      </c>
      <c r="B6" t="s">
        <v>0</v>
      </c>
      <c r="C6" t="s">
        <v>1</v>
      </c>
      <c r="D6" t="s">
        <v>127</v>
      </c>
      <c r="E6" t="s">
        <v>128</v>
      </c>
      <c r="F6" t="s">
        <v>129</v>
      </c>
      <c r="G6" t="s">
        <v>106</v>
      </c>
      <c r="H6" t="s">
        <v>130</v>
      </c>
      <c r="J6">
        <v>2</v>
      </c>
      <c r="K6" t="s">
        <v>146</v>
      </c>
      <c r="L6" t="s">
        <v>272</v>
      </c>
      <c r="M6" t="s">
        <v>132</v>
      </c>
      <c r="N6" t="s">
        <v>133</v>
      </c>
      <c r="O6">
        <v>140</v>
      </c>
      <c r="Q6">
        <v>414</v>
      </c>
      <c r="R6">
        <v>72</v>
      </c>
      <c r="S6">
        <v>4.25</v>
      </c>
      <c r="T6">
        <v>3.8069999999999999</v>
      </c>
      <c r="U6">
        <v>6.52</v>
      </c>
      <c r="V6">
        <v>1757.41</v>
      </c>
      <c r="W6">
        <v>467</v>
      </c>
      <c r="X6">
        <v>1.3332999999999999</v>
      </c>
      <c r="Y6">
        <v>342</v>
      </c>
      <c r="Z6">
        <v>5.14</v>
      </c>
      <c r="AJ6">
        <v>2</v>
      </c>
      <c r="AK6">
        <v>18</v>
      </c>
      <c r="AM6">
        <v>0</v>
      </c>
      <c r="AO6" t="s">
        <v>134</v>
      </c>
      <c r="AT6">
        <v>54</v>
      </c>
      <c r="AV6">
        <v>39</v>
      </c>
      <c r="AW6">
        <v>0</v>
      </c>
      <c r="AX6">
        <v>0</v>
      </c>
      <c r="AY6">
        <v>59.25</v>
      </c>
      <c r="AZ6">
        <v>4.875</v>
      </c>
      <c r="BA6">
        <v>0</v>
      </c>
      <c r="BB6">
        <v>0</v>
      </c>
      <c r="BC6">
        <v>64</v>
      </c>
      <c r="BN6">
        <v>185.4667</v>
      </c>
      <c r="BO6">
        <v>3017</v>
      </c>
      <c r="BP6">
        <v>0</v>
      </c>
      <c r="BQ6">
        <v>48</v>
      </c>
      <c r="BR6">
        <v>48</v>
      </c>
      <c r="BS6">
        <v>47.82</v>
      </c>
      <c r="BT6">
        <v>0</v>
      </c>
      <c r="BV6">
        <v>0</v>
      </c>
      <c r="BW6" t="s">
        <v>655</v>
      </c>
      <c r="BX6">
        <v>0.17</v>
      </c>
      <c r="BY6">
        <v>8.1294000000000004</v>
      </c>
      <c r="BZ6">
        <v>0</v>
      </c>
      <c r="CA6">
        <v>1</v>
      </c>
      <c r="CB6">
        <v>0.6</v>
      </c>
      <c r="CC6" s="3">
        <v>7.1269159999999998E-2</v>
      </c>
      <c r="CD6">
        <v>2.875</v>
      </c>
      <c r="CE6">
        <v>2.5</v>
      </c>
      <c r="CF6">
        <v>18</v>
      </c>
      <c r="CG6">
        <v>6</v>
      </c>
      <c r="CH6">
        <v>0</v>
      </c>
      <c r="CI6">
        <v>47.82</v>
      </c>
      <c r="CJ6">
        <v>366.3698</v>
      </c>
    </row>
    <row r="7" spans="1:89">
      <c r="A7">
        <v>5</v>
      </c>
      <c r="B7" t="s">
        <v>13</v>
      </c>
      <c r="C7" t="s">
        <v>1</v>
      </c>
      <c r="D7" t="s">
        <v>135</v>
      </c>
      <c r="E7" t="s">
        <v>136</v>
      </c>
      <c r="F7" t="s">
        <v>137</v>
      </c>
      <c r="G7" t="s">
        <v>106</v>
      </c>
      <c r="H7" t="s">
        <v>138</v>
      </c>
      <c r="J7">
        <v>2</v>
      </c>
      <c r="K7" t="s">
        <v>146</v>
      </c>
      <c r="L7" t="s">
        <v>150</v>
      </c>
      <c r="M7" t="s">
        <v>140</v>
      </c>
      <c r="N7" t="s">
        <v>141</v>
      </c>
      <c r="O7">
        <v>91</v>
      </c>
      <c r="Q7">
        <v>168</v>
      </c>
      <c r="R7">
        <v>41</v>
      </c>
      <c r="S7">
        <v>4.25</v>
      </c>
      <c r="T7">
        <v>2.54</v>
      </c>
      <c r="U7">
        <v>5.73</v>
      </c>
      <c r="V7">
        <v>712.17</v>
      </c>
      <c r="W7">
        <v>237</v>
      </c>
      <c r="X7">
        <v>1.3332999999999999</v>
      </c>
      <c r="Y7">
        <v>184</v>
      </c>
      <c r="Z7">
        <v>3.87</v>
      </c>
      <c r="AJ7">
        <v>2</v>
      </c>
      <c r="AK7">
        <v>18</v>
      </c>
      <c r="AM7">
        <v>0</v>
      </c>
      <c r="AO7" t="s">
        <v>142</v>
      </c>
      <c r="AT7">
        <v>37</v>
      </c>
      <c r="AV7">
        <v>23</v>
      </c>
      <c r="AW7">
        <v>0</v>
      </c>
      <c r="AX7">
        <v>0</v>
      </c>
      <c r="AY7">
        <v>35.125</v>
      </c>
      <c r="AZ7">
        <v>2.875</v>
      </c>
      <c r="BA7">
        <v>0</v>
      </c>
      <c r="BB7">
        <v>0</v>
      </c>
      <c r="BC7">
        <v>31</v>
      </c>
      <c r="BN7">
        <v>107</v>
      </c>
      <c r="BO7">
        <v>9064</v>
      </c>
      <c r="BP7">
        <v>0</v>
      </c>
      <c r="BQ7">
        <v>31</v>
      </c>
      <c r="BR7">
        <v>31</v>
      </c>
      <c r="BS7">
        <v>30.78</v>
      </c>
      <c r="BT7">
        <v>0</v>
      </c>
      <c r="BV7">
        <v>0</v>
      </c>
      <c r="BW7" t="s">
        <v>655</v>
      </c>
      <c r="BX7">
        <v>0.17</v>
      </c>
      <c r="BY7">
        <v>5.2325999999999997</v>
      </c>
      <c r="BZ7">
        <v>0</v>
      </c>
      <c r="CA7">
        <v>1</v>
      </c>
      <c r="CB7">
        <v>0.6</v>
      </c>
      <c r="CC7" s="3">
        <v>7.1269159999999998E-2</v>
      </c>
      <c r="CD7">
        <v>2.875</v>
      </c>
      <c r="CE7">
        <v>2.5</v>
      </c>
      <c r="CF7">
        <v>18</v>
      </c>
      <c r="CG7">
        <v>6</v>
      </c>
      <c r="CH7">
        <v>0</v>
      </c>
      <c r="CI7">
        <v>30.78</v>
      </c>
      <c r="CJ7">
        <v>139.29769999999999</v>
      </c>
    </row>
    <row r="8" spans="1:89">
      <c r="A8">
        <v>6</v>
      </c>
      <c r="B8" t="s">
        <v>0</v>
      </c>
      <c r="C8" t="s">
        <v>1</v>
      </c>
      <c r="D8" t="s">
        <v>143</v>
      </c>
      <c r="E8" t="s">
        <v>123</v>
      </c>
      <c r="F8" t="s">
        <v>144</v>
      </c>
      <c r="G8" t="s">
        <v>106</v>
      </c>
      <c r="H8" t="s">
        <v>145</v>
      </c>
      <c r="J8">
        <v>2</v>
      </c>
      <c r="K8" t="s">
        <v>146</v>
      </c>
      <c r="L8" t="s">
        <v>8</v>
      </c>
      <c r="M8" t="s">
        <v>147</v>
      </c>
      <c r="N8" t="s">
        <v>148</v>
      </c>
      <c r="O8">
        <v>183</v>
      </c>
      <c r="Q8">
        <v>724</v>
      </c>
      <c r="R8">
        <v>95</v>
      </c>
      <c r="S8">
        <v>4.25</v>
      </c>
      <c r="T8">
        <v>4.8079999999999998</v>
      </c>
      <c r="U8">
        <v>7.12</v>
      </c>
      <c r="V8">
        <v>3077.68</v>
      </c>
      <c r="W8">
        <v>674</v>
      </c>
      <c r="X8">
        <v>1.3332999999999999</v>
      </c>
      <c r="Y8">
        <v>501</v>
      </c>
      <c r="Z8">
        <v>6.14</v>
      </c>
      <c r="AJ8">
        <v>2</v>
      </c>
      <c r="AK8">
        <v>18</v>
      </c>
      <c r="AM8">
        <v>0</v>
      </c>
      <c r="AO8" t="s">
        <v>149</v>
      </c>
      <c r="AT8">
        <v>69</v>
      </c>
      <c r="AV8">
        <v>53.5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t="s">
        <v>6</v>
      </c>
      <c r="BC8" t="s">
        <v>6</v>
      </c>
      <c r="BD8" t="s">
        <v>6</v>
      </c>
      <c r="BE8" t="s">
        <v>6</v>
      </c>
      <c r="BF8" t="s">
        <v>6</v>
      </c>
      <c r="BG8" t="s">
        <v>6</v>
      </c>
      <c r="BH8" t="s">
        <v>6</v>
      </c>
      <c r="BI8" t="s">
        <v>6</v>
      </c>
      <c r="BJ8" t="s">
        <v>6</v>
      </c>
      <c r="BN8">
        <v>256.80009999999999</v>
      </c>
      <c r="BO8">
        <v>1574</v>
      </c>
      <c r="BP8">
        <v>0</v>
      </c>
      <c r="BQ8">
        <v>63</v>
      </c>
      <c r="BR8">
        <v>63</v>
      </c>
      <c r="BS8">
        <v>62.78</v>
      </c>
      <c r="BT8">
        <v>0</v>
      </c>
      <c r="BV8">
        <v>0</v>
      </c>
      <c r="BW8" t="s">
        <v>655</v>
      </c>
      <c r="BX8">
        <v>0.17</v>
      </c>
      <c r="BY8">
        <v>10.672599999999999</v>
      </c>
      <c r="BZ8">
        <v>0</v>
      </c>
      <c r="CA8">
        <v>1</v>
      </c>
      <c r="CB8">
        <v>0.6</v>
      </c>
      <c r="CC8" s="3">
        <v>7.1269159999999998E-2</v>
      </c>
      <c r="CD8">
        <v>2.875</v>
      </c>
      <c r="CE8">
        <v>2.5</v>
      </c>
      <c r="CF8">
        <v>18</v>
      </c>
      <c r="CG8">
        <v>6</v>
      </c>
      <c r="CH8">
        <v>0</v>
      </c>
      <c r="CI8">
        <v>62.78</v>
      </c>
      <c r="CJ8">
        <v>659.95600000000002</v>
      </c>
    </row>
    <row r="9" spans="1:89">
      <c r="A9">
        <v>7</v>
      </c>
      <c r="B9" t="s">
        <v>0</v>
      </c>
      <c r="C9" t="s">
        <v>1</v>
      </c>
      <c r="D9" t="s">
        <v>150</v>
      </c>
      <c r="E9" t="s">
        <v>151</v>
      </c>
      <c r="F9" t="s">
        <v>152</v>
      </c>
      <c r="G9" t="s">
        <v>106</v>
      </c>
      <c r="H9" t="s">
        <v>5</v>
      </c>
      <c r="J9">
        <v>2</v>
      </c>
      <c r="K9" t="s">
        <v>146</v>
      </c>
      <c r="L9" t="s">
        <v>119</v>
      </c>
      <c r="M9" t="s">
        <v>154</v>
      </c>
      <c r="N9" t="s">
        <v>150</v>
      </c>
      <c r="O9">
        <v>108</v>
      </c>
      <c r="Q9">
        <v>314</v>
      </c>
      <c r="R9">
        <v>69</v>
      </c>
      <c r="S9">
        <v>4.25</v>
      </c>
      <c r="T9">
        <v>2.9980000000000002</v>
      </c>
      <c r="U9">
        <v>6.07</v>
      </c>
      <c r="V9">
        <v>1336.32</v>
      </c>
      <c r="W9">
        <v>421</v>
      </c>
      <c r="X9">
        <v>1.3332999999999999</v>
      </c>
      <c r="Y9">
        <v>309</v>
      </c>
      <c r="Z9">
        <v>4.33</v>
      </c>
      <c r="AJ9">
        <v>2</v>
      </c>
      <c r="AK9">
        <v>18</v>
      </c>
      <c r="AM9">
        <v>0</v>
      </c>
      <c r="AO9" t="s">
        <v>155</v>
      </c>
      <c r="AT9">
        <v>43</v>
      </c>
      <c r="AV9">
        <v>37.5</v>
      </c>
      <c r="AW9">
        <v>0</v>
      </c>
      <c r="AX9">
        <v>0</v>
      </c>
      <c r="AY9">
        <v>31.5</v>
      </c>
      <c r="AZ9">
        <v>3.5</v>
      </c>
      <c r="BA9">
        <v>0</v>
      </c>
      <c r="BB9">
        <v>0</v>
      </c>
      <c r="BC9">
        <v>30</v>
      </c>
      <c r="BN9">
        <v>178.33340000000001</v>
      </c>
      <c r="BO9">
        <v>3263</v>
      </c>
      <c r="BP9">
        <v>0</v>
      </c>
      <c r="BQ9">
        <v>37</v>
      </c>
      <c r="BR9">
        <v>37</v>
      </c>
      <c r="BS9">
        <v>36.69</v>
      </c>
      <c r="BT9">
        <v>0</v>
      </c>
      <c r="BV9">
        <v>0</v>
      </c>
      <c r="BW9" t="s">
        <v>655</v>
      </c>
      <c r="BX9">
        <v>0.17</v>
      </c>
      <c r="BY9">
        <v>6.2373000000000003</v>
      </c>
      <c r="BZ9">
        <v>0</v>
      </c>
      <c r="CA9">
        <v>1</v>
      </c>
      <c r="CB9">
        <v>0.6</v>
      </c>
      <c r="CC9" s="3">
        <v>7.1269159999999998E-2</v>
      </c>
      <c r="CD9">
        <v>2.875</v>
      </c>
      <c r="CE9">
        <v>2.5</v>
      </c>
      <c r="CF9">
        <v>18</v>
      </c>
      <c r="CG9">
        <v>6</v>
      </c>
      <c r="CH9">
        <v>0</v>
      </c>
      <c r="CI9">
        <v>36.69</v>
      </c>
      <c r="CJ9">
        <v>270.6386</v>
      </c>
    </row>
    <row r="10" spans="1:89">
      <c r="A10">
        <v>8</v>
      </c>
      <c r="B10" t="s">
        <v>0</v>
      </c>
      <c r="C10" t="s">
        <v>1</v>
      </c>
      <c r="D10" t="s">
        <v>111</v>
      </c>
      <c r="E10" t="s">
        <v>150</v>
      </c>
      <c r="F10" t="s">
        <v>156</v>
      </c>
      <c r="G10" t="s">
        <v>106</v>
      </c>
      <c r="H10" t="s">
        <v>157</v>
      </c>
      <c r="J10">
        <v>2</v>
      </c>
      <c r="K10" t="s">
        <v>108</v>
      </c>
      <c r="L10" t="s">
        <v>96</v>
      </c>
      <c r="M10" t="s">
        <v>159</v>
      </c>
      <c r="N10" t="s">
        <v>130</v>
      </c>
      <c r="O10">
        <v>111</v>
      </c>
      <c r="Q10">
        <v>577</v>
      </c>
      <c r="R10">
        <v>118</v>
      </c>
      <c r="S10">
        <v>4.25</v>
      </c>
      <c r="T10">
        <v>3.0760000000000001</v>
      </c>
      <c r="U10">
        <v>6.14</v>
      </c>
      <c r="V10">
        <v>2451.14</v>
      </c>
      <c r="W10">
        <v>724</v>
      </c>
      <c r="X10">
        <v>1.3332999999999999</v>
      </c>
      <c r="Y10">
        <v>557</v>
      </c>
      <c r="Z10">
        <v>4.4000000000000004</v>
      </c>
      <c r="AJ10">
        <v>2</v>
      </c>
      <c r="AK10">
        <v>18</v>
      </c>
      <c r="AM10">
        <v>0</v>
      </c>
      <c r="AO10" t="s">
        <v>160</v>
      </c>
      <c r="AT10">
        <v>44</v>
      </c>
      <c r="AV10">
        <v>67.8</v>
      </c>
      <c r="AW10">
        <v>0.46875</v>
      </c>
      <c r="AX10">
        <v>3.75</v>
      </c>
      <c r="AY10">
        <v>45.25</v>
      </c>
      <c r="AZ10">
        <v>4.125</v>
      </c>
      <c r="BA10">
        <v>447.91</v>
      </c>
      <c r="BB10">
        <v>4.4000000000000004</v>
      </c>
      <c r="BC10">
        <v>49</v>
      </c>
      <c r="BD10">
        <v>0.3125</v>
      </c>
      <c r="BE10">
        <v>2.75</v>
      </c>
      <c r="BF10">
        <v>33</v>
      </c>
      <c r="BG10">
        <v>2.75</v>
      </c>
      <c r="BH10">
        <v>109.16</v>
      </c>
      <c r="BI10">
        <v>5.85</v>
      </c>
      <c r="BJ10">
        <v>18</v>
      </c>
      <c r="BL10">
        <v>557.07000000000005</v>
      </c>
      <c r="BM10">
        <v>66</v>
      </c>
      <c r="BN10">
        <v>326.35000000000002</v>
      </c>
      <c r="BO10">
        <v>974</v>
      </c>
      <c r="BP10">
        <v>0</v>
      </c>
      <c r="BQ10">
        <v>38</v>
      </c>
      <c r="BR10">
        <v>38</v>
      </c>
      <c r="BS10">
        <v>37.729999999999997</v>
      </c>
      <c r="BT10">
        <v>0</v>
      </c>
      <c r="BV10">
        <v>0</v>
      </c>
      <c r="BW10" t="s">
        <v>655</v>
      </c>
      <c r="BX10">
        <v>0.17</v>
      </c>
      <c r="BY10">
        <v>6.4141000000000004</v>
      </c>
      <c r="BZ10">
        <v>0</v>
      </c>
      <c r="CA10">
        <v>1</v>
      </c>
      <c r="CB10">
        <v>0.6</v>
      </c>
      <c r="CC10" s="3">
        <v>7.1269159999999998E-2</v>
      </c>
      <c r="CD10">
        <v>2.875</v>
      </c>
      <c r="CE10">
        <v>2.5</v>
      </c>
      <c r="CF10">
        <v>18</v>
      </c>
      <c r="CG10">
        <v>6</v>
      </c>
      <c r="CH10">
        <v>0</v>
      </c>
      <c r="CI10">
        <v>37.729999999999997</v>
      </c>
      <c r="CJ10">
        <v>502.50409999999999</v>
      </c>
    </row>
    <row r="11" spans="1:89">
      <c r="A11">
        <v>9</v>
      </c>
      <c r="B11" t="s">
        <v>0</v>
      </c>
      <c r="C11" t="s">
        <v>1</v>
      </c>
      <c r="D11" t="s">
        <v>161</v>
      </c>
      <c r="E11" t="s">
        <v>162</v>
      </c>
      <c r="F11" t="s">
        <v>163</v>
      </c>
      <c r="G11" t="s">
        <v>214</v>
      </c>
      <c r="H11" t="s">
        <v>164</v>
      </c>
      <c r="J11">
        <v>2</v>
      </c>
      <c r="K11" t="s">
        <v>108</v>
      </c>
      <c r="L11" t="s">
        <v>295</v>
      </c>
      <c r="M11" t="s">
        <v>166</v>
      </c>
      <c r="N11" t="s">
        <v>167</v>
      </c>
      <c r="O11">
        <v>130</v>
      </c>
      <c r="Q11">
        <v>673</v>
      </c>
      <c r="R11">
        <v>119</v>
      </c>
      <c r="S11">
        <v>4.25</v>
      </c>
      <c r="T11">
        <v>3.5609999999999999</v>
      </c>
      <c r="U11">
        <v>6.33</v>
      </c>
      <c r="V11">
        <v>2860.03</v>
      </c>
      <c r="W11">
        <v>754</v>
      </c>
      <c r="X11">
        <v>1.3332999999999999</v>
      </c>
      <c r="Y11">
        <v>585</v>
      </c>
      <c r="Z11">
        <v>4.8899999999999997</v>
      </c>
      <c r="AJ11">
        <v>2</v>
      </c>
      <c r="AK11">
        <v>18</v>
      </c>
      <c r="AM11">
        <v>0</v>
      </c>
      <c r="AO11" t="s">
        <v>156</v>
      </c>
      <c r="AT11">
        <v>50</v>
      </c>
      <c r="AV11">
        <v>68.5</v>
      </c>
      <c r="AW11">
        <v>0.4375</v>
      </c>
      <c r="AX11">
        <v>3.75</v>
      </c>
      <c r="AY11">
        <v>44.25</v>
      </c>
      <c r="AZ11">
        <v>4.25</v>
      </c>
      <c r="BA11">
        <v>321.67</v>
      </c>
      <c r="BB11">
        <v>5.1100000000000003</v>
      </c>
      <c r="BC11">
        <v>45</v>
      </c>
      <c r="BD11">
        <v>0.40625</v>
      </c>
      <c r="BE11">
        <v>3.75</v>
      </c>
      <c r="BF11">
        <v>37</v>
      </c>
      <c r="BG11">
        <v>4</v>
      </c>
      <c r="BH11">
        <v>263.19</v>
      </c>
      <c r="BI11">
        <v>5.03</v>
      </c>
      <c r="BJ11">
        <v>35</v>
      </c>
      <c r="BL11">
        <v>584.86</v>
      </c>
      <c r="BM11">
        <v>79</v>
      </c>
      <c r="BN11">
        <v>332.69170000000003</v>
      </c>
      <c r="BO11">
        <v>1176</v>
      </c>
      <c r="BP11">
        <v>0</v>
      </c>
      <c r="BQ11">
        <v>44</v>
      </c>
      <c r="BR11">
        <v>44</v>
      </c>
      <c r="BS11">
        <v>44.34</v>
      </c>
      <c r="BT11">
        <v>0</v>
      </c>
      <c r="BV11">
        <v>0</v>
      </c>
      <c r="BW11" t="s">
        <v>655</v>
      </c>
      <c r="BX11">
        <v>0.17</v>
      </c>
      <c r="BY11">
        <v>7.5377999999999998</v>
      </c>
      <c r="BZ11">
        <v>0</v>
      </c>
      <c r="CA11">
        <v>1</v>
      </c>
      <c r="CB11">
        <v>0.6</v>
      </c>
      <c r="CC11" s="3">
        <v>7.1269159999999998E-2</v>
      </c>
      <c r="CD11">
        <v>2.875</v>
      </c>
      <c r="CE11">
        <v>2.5</v>
      </c>
      <c r="CF11">
        <v>18</v>
      </c>
      <c r="CG11">
        <v>6</v>
      </c>
      <c r="CH11">
        <v>0</v>
      </c>
      <c r="CI11">
        <v>44.34</v>
      </c>
      <c r="CJ11">
        <v>596.85910000000001</v>
      </c>
    </row>
    <row r="12" spans="1:89">
      <c r="A12">
        <v>10</v>
      </c>
      <c r="B12" t="s">
        <v>0</v>
      </c>
      <c r="C12" t="s">
        <v>1</v>
      </c>
      <c r="D12" t="s">
        <v>168</v>
      </c>
      <c r="E12" t="s">
        <v>169</v>
      </c>
      <c r="F12" t="s">
        <v>170</v>
      </c>
      <c r="G12" t="s">
        <v>106</v>
      </c>
      <c r="H12" t="s">
        <v>171</v>
      </c>
      <c r="J12">
        <v>2</v>
      </c>
      <c r="K12" t="s">
        <v>108</v>
      </c>
      <c r="L12" t="s">
        <v>381</v>
      </c>
      <c r="M12" t="s">
        <v>173</v>
      </c>
      <c r="N12" t="s">
        <v>174</v>
      </c>
      <c r="O12">
        <v>119</v>
      </c>
      <c r="Q12">
        <v>598</v>
      </c>
      <c r="R12">
        <v>115</v>
      </c>
      <c r="S12">
        <v>4.25</v>
      </c>
      <c r="T12">
        <v>3.2829999999999999</v>
      </c>
      <c r="U12">
        <v>6.15</v>
      </c>
      <c r="V12">
        <v>2542.0100000000002</v>
      </c>
      <c r="W12">
        <v>706</v>
      </c>
      <c r="X12">
        <v>1.3332999999999999</v>
      </c>
      <c r="Y12">
        <v>551</v>
      </c>
      <c r="Z12">
        <v>4.6100000000000003</v>
      </c>
      <c r="AJ12">
        <v>2</v>
      </c>
      <c r="AK12">
        <v>18</v>
      </c>
      <c r="AM12">
        <v>0</v>
      </c>
      <c r="AO12" t="s">
        <v>175</v>
      </c>
      <c r="AT12">
        <v>47</v>
      </c>
      <c r="AV12">
        <v>66</v>
      </c>
      <c r="AW12">
        <v>0.46875</v>
      </c>
      <c r="AX12">
        <v>3.75</v>
      </c>
      <c r="AY12">
        <v>47.375</v>
      </c>
      <c r="AZ12">
        <v>4.375</v>
      </c>
      <c r="BA12">
        <v>427.51</v>
      </c>
      <c r="BB12">
        <v>4.6100000000000003</v>
      </c>
      <c r="BC12">
        <v>51</v>
      </c>
      <c r="BD12">
        <v>0.3125</v>
      </c>
      <c r="BE12">
        <v>2.75</v>
      </c>
      <c r="BF12">
        <v>29</v>
      </c>
      <c r="BG12">
        <v>2.875</v>
      </c>
      <c r="BH12">
        <v>123.89</v>
      </c>
      <c r="BI12">
        <v>5.15</v>
      </c>
      <c r="BJ12">
        <v>15</v>
      </c>
      <c r="BL12">
        <v>551.4</v>
      </c>
      <c r="BM12">
        <v>66</v>
      </c>
      <c r="BN12">
        <v>317.43340000000001</v>
      </c>
      <c r="BO12">
        <v>1030</v>
      </c>
      <c r="BP12">
        <v>0</v>
      </c>
      <c r="BQ12">
        <v>41</v>
      </c>
      <c r="BR12">
        <v>41</v>
      </c>
      <c r="BS12">
        <v>40.520000000000003</v>
      </c>
      <c r="BT12">
        <v>0</v>
      </c>
      <c r="BV12">
        <v>0</v>
      </c>
      <c r="BW12" t="s">
        <v>655</v>
      </c>
      <c r="BX12">
        <v>0.17</v>
      </c>
      <c r="BY12">
        <v>6.8883999999999999</v>
      </c>
      <c r="BZ12">
        <v>0</v>
      </c>
      <c r="CA12">
        <v>1</v>
      </c>
      <c r="CB12">
        <v>0.6</v>
      </c>
      <c r="CC12" s="3">
        <v>7.1269159999999998E-2</v>
      </c>
      <c r="CD12">
        <v>2.875</v>
      </c>
      <c r="CE12">
        <v>2.5</v>
      </c>
      <c r="CF12">
        <v>18</v>
      </c>
      <c r="CG12">
        <v>6</v>
      </c>
      <c r="CH12">
        <v>0</v>
      </c>
      <c r="CI12">
        <v>40.520000000000003</v>
      </c>
      <c r="CJ12">
        <v>525.22339999999997</v>
      </c>
    </row>
    <row r="13" spans="1:89">
      <c r="A13">
        <v>11</v>
      </c>
      <c r="B13" t="s">
        <v>13</v>
      </c>
      <c r="C13" t="s">
        <v>1</v>
      </c>
      <c r="D13" t="s">
        <v>176</v>
      </c>
      <c r="E13" t="s">
        <v>96</v>
      </c>
      <c r="F13" t="s">
        <v>134</v>
      </c>
      <c r="G13" t="s">
        <v>106</v>
      </c>
      <c r="H13" t="s">
        <v>177</v>
      </c>
      <c r="J13">
        <v>2</v>
      </c>
      <c r="K13" t="s">
        <v>146</v>
      </c>
      <c r="L13" t="s">
        <v>293</v>
      </c>
      <c r="M13" t="s">
        <v>100</v>
      </c>
      <c r="N13" t="s">
        <v>101</v>
      </c>
      <c r="O13">
        <v>131</v>
      </c>
      <c r="Q13">
        <v>382</v>
      </c>
      <c r="R13">
        <v>71</v>
      </c>
      <c r="S13">
        <v>4.25</v>
      </c>
      <c r="T13">
        <v>3.5859999999999999</v>
      </c>
      <c r="U13">
        <v>6.37</v>
      </c>
      <c r="V13">
        <v>1623.07</v>
      </c>
      <c r="W13">
        <v>449</v>
      </c>
      <c r="X13">
        <v>1.3332999999999999</v>
      </c>
      <c r="Y13">
        <v>331</v>
      </c>
      <c r="Z13">
        <v>4.91</v>
      </c>
      <c r="AJ13">
        <v>2</v>
      </c>
      <c r="AK13">
        <v>18</v>
      </c>
      <c r="AM13">
        <v>0</v>
      </c>
      <c r="AO13" t="s">
        <v>152</v>
      </c>
      <c r="AT13">
        <v>51</v>
      </c>
      <c r="AV13">
        <v>38.200000000000003</v>
      </c>
      <c r="AW13">
        <v>0</v>
      </c>
      <c r="AX13">
        <v>0</v>
      </c>
      <c r="AY13">
        <v>43</v>
      </c>
      <c r="AZ13">
        <v>4.25</v>
      </c>
      <c r="BA13">
        <v>0</v>
      </c>
      <c r="BB13">
        <v>0</v>
      </c>
      <c r="BC13">
        <v>44</v>
      </c>
      <c r="BN13">
        <v>181.9</v>
      </c>
      <c r="BO13">
        <v>3136</v>
      </c>
      <c r="BP13">
        <v>0</v>
      </c>
      <c r="BQ13">
        <v>45</v>
      </c>
      <c r="BR13">
        <v>45</v>
      </c>
      <c r="BS13">
        <v>44.69</v>
      </c>
      <c r="BT13">
        <v>0</v>
      </c>
      <c r="BV13">
        <v>0</v>
      </c>
      <c r="BW13" t="s">
        <v>655</v>
      </c>
      <c r="BX13">
        <v>0.17</v>
      </c>
      <c r="BY13">
        <v>7.5972999999999997</v>
      </c>
      <c r="BZ13">
        <v>0</v>
      </c>
      <c r="CA13">
        <v>1</v>
      </c>
      <c r="CB13">
        <v>0.6</v>
      </c>
      <c r="CC13" s="3">
        <v>7.1269159999999998E-2</v>
      </c>
      <c r="CD13">
        <v>2.875</v>
      </c>
      <c r="CE13">
        <v>2.5</v>
      </c>
      <c r="CF13">
        <v>18</v>
      </c>
      <c r="CG13">
        <v>6</v>
      </c>
      <c r="CH13">
        <v>0</v>
      </c>
      <c r="CI13">
        <v>44.69</v>
      </c>
      <c r="CJ13">
        <v>336.01949999999999</v>
      </c>
    </row>
    <row r="14" spans="1:89">
      <c r="A14">
        <v>12</v>
      </c>
      <c r="B14" t="s">
        <v>13</v>
      </c>
      <c r="C14" t="s">
        <v>1</v>
      </c>
      <c r="D14" t="s">
        <v>143</v>
      </c>
      <c r="E14" t="s">
        <v>178</v>
      </c>
      <c r="F14" t="s">
        <v>144</v>
      </c>
      <c r="G14" t="s">
        <v>106</v>
      </c>
      <c r="H14" t="s">
        <v>145</v>
      </c>
      <c r="J14">
        <v>2</v>
      </c>
      <c r="K14" t="s">
        <v>146</v>
      </c>
      <c r="L14" t="s">
        <v>127</v>
      </c>
      <c r="M14" t="s">
        <v>179</v>
      </c>
      <c r="N14" t="s">
        <v>180</v>
      </c>
      <c r="O14">
        <v>95</v>
      </c>
      <c r="Q14">
        <v>397</v>
      </c>
      <c r="R14">
        <v>95</v>
      </c>
      <c r="S14">
        <v>4.25</v>
      </c>
      <c r="T14">
        <v>2.649</v>
      </c>
      <c r="U14">
        <v>5.81</v>
      </c>
      <c r="V14">
        <v>1688.01</v>
      </c>
      <c r="W14">
        <v>550</v>
      </c>
      <c r="X14">
        <v>1.3332999999999999</v>
      </c>
      <c r="Y14">
        <v>424</v>
      </c>
      <c r="Z14">
        <v>3.98</v>
      </c>
      <c r="AJ14">
        <v>2</v>
      </c>
      <c r="AK14">
        <v>18</v>
      </c>
      <c r="AM14">
        <v>0</v>
      </c>
      <c r="AO14" t="s">
        <v>149</v>
      </c>
      <c r="AT14">
        <v>38</v>
      </c>
      <c r="AV14">
        <v>53.5</v>
      </c>
      <c r="AW14">
        <v>0</v>
      </c>
      <c r="AX14">
        <v>0</v>
      </c>
      <c r="AY14">
        <v>47.75</v>
      </c>
      <c r="AZ14">
        <v>3.75</v>
      </c>
      <c r="BA14">
        <v>0</v>
      </c>
      <c r="BB14">
        <v>0</v>
      </c>
      <c r="BC14">
        <v>51</v>
      </c>
      <c r="BN14">
        <v>256.80009999999999</v>
      </c>
      <c r="BO14">
        <v>1574</v>
      </c>
      <c r="BP14">
        <v>0</v>
      </c>
      <c r="BQ14">
        <v>32</v>
      </c>
      <c r="BR14">
        <v>32</v>
      </c>
      <c r="BS14">
        <v>32.17</v>
      </c>
      <c r="BT14">
        <v>0</v>
      </c>
      <c r="BV14">
        <v>0</v>
      </c>
      <c r="BW14" t="s">
        <v>655</v>
      </c>
      <c r="BX14">
        <v>0.17</v>
      </c>
      <c r="BY14">
        <v>5.4688999999999997</v>
      </c>
      <c r="BZ14">
        <v>0</v>
      </c>
      <c r="CA14">
        <v>1</v>
      </c>
      <c r="CB14">
        <v>0.6</v>
      </c>
      <c r="CC14" s="3">
        <v>7.1269159999999998E-2</v>
      </c>
      <c r="CD14">
        <v>2.875</v>
      </c>
      <c r="CE14">
        <v>2.5</v>
      </c>
      <c r="CF14">
        <v>18</v>
      </c>
      <c r="CG14">
        <v>6</v>
      </c>
      <c r="CH14">
        <v>0</v>
      </c>
      <c r="CI14">
        <v>32.17</v>
      </c>
      <c r="CJ14">
        <v>338.17750000000001</v>
      </c>
    </row>
    <row r="15" spans="1:89">
      <c r="A15">
        <v>13</v>
      </c>
      <c r="B15" t="s">
        <v>0</v>
      </c>
      <c r="C15" t="s">
        <v>1</v>
      </c>
      <c r="D15" t="s">
        <v>181</v>
      </c>
      <c r="E15" t="s">
        <v>99</v>
      </c>
      <c r="F15" t="s">
        <v>182</v>
      </c>
      <c r="G15" t="s">
        <v>106</v>
      </c>
      <c r="H15" t="s">
        <v>183</v>
      </c>
      <c r="J15">
        <v>2</v>
      </c>
      <c r="K15" t="s">
        <v>108</v>
      </c>
      <c r="L15" t="s">
        <v>393</v>
      </c>
      <c r="M15" t="s">
        <v>184</v>
      </c>
      <c r="N15" t="s">
        <v>185</v>
      </c>
      <c r="O15">
        <v>149</v>
      </c>
      <c r="Q15">
        <v>623</v>
      </c>
      <c r="R15">
        <v>98</v>
      </c>
      <c r="S15">
        <v>4.25</v>
      </c>
      <c r="T15">
        <v>4.024</v>
      </c>
      <c r="U15">
        <v>6.71</v>
      </c>
      <c r="V15">
        <v>2648.81</v>
      </c>
      <c r="W15">
        <v>659</v>
      </c>
      <c r="X15">
        <v>1.3332999999999999</v>
      </c>
      <c r="Y15">
        <v>495</v>
      </c>
      <c r="Z15">
        <v>5.35</v>
      </c>
      <c r="AJ15">
        <v>2</v>
      </c>
      <c r="AK15">
        <v>18</v>
      </c>
      <c r="AM15">
        <v>0</v>
      </c>
      <c r="AO15" t="s">
        <v>186</v>
      </c>
      <c r="AT15">
        <v>57</v>
      </c>
      <c r="AV15">
        <v>55.8</v>
      </c>
      <c r="AW15">
        <v>0.40625</v>
      </c>
      <c r="AX15">
        <v>3.75</v>
      </c>
      <c r="AY15">
        <v>39.25</v>
      </c>
      <c r="AZ15">
        <v>4.375</v>
      </c>
      <c r="BA15">
        <v>247.55</v>
      </c>
      <c r="BB15">
        <v>5.35</v>
      </c>
      <c r="BC15">
        <v>37</v>
      </c>
      <c r="BD15">
        <v>0.40625</v>
      </c>
      <c r="BE15">
        <v>3.75</v>
      </c>
      <c r="BF15">
        <v>39.25</v>
      </c>
      <c r="BG15">
        <v>4.375</v>
      </c>
      <c r="BH15">
        <v>247.55</v>
      </c>
      <c r="BI15">
        <v>5.35</v>
      </c>
      <c r="BJ15">
        <v>37</v>
      </c>
      <c r="BL15">
        <v>495.1</v>
      </c>
      <c r="BM15">
        <v>74</v>
      </c>
      <c r="BN15">
        <v>267.5</v>
      </c>
      <c r="BO15">
        <v>1450</v>
      </c>
      <c r="BP15">
        <v>0</v>
      </c>
      <c r="BQ15">
        <v>51</v>
      </c>
      <c r="BR15">
        <v>51</v>
      </c>
      <c r="BS15">
        <v>50.95</v>
      </c>
      <c r="BT15">
        <v>0</v>
      </c>
      <c r="BV15">
        <v>0</v>
      </c>
      <c r="BW15" t="s">
        <v>655</v>
      </c>
      <c r="BX15">
        <v>0.17</v>
      </c>
      <c r="BY15">
        <v>8.6615000000000002</v>
      </c>
      <c r="BZ15">
        <v>0</v>
      </c>
      <c r="CA15">
        <v>1</v>
      </c>
      <c r="CB15">
        <v>0.6</v>
      </c>
      <c r="CC15" s="3">
        <v>7.1269159999999998E-2</v>
      </c>
      <c r="CD15">
        <v>2.875</v>
      </c>
      <c r="CE15">
        <v>2.5</v>
      </c>
      <c r="CF15">
        <v>18</v>
      </c>
      <c r="CG15">
        <v>6</v>
      </c>
      <c r="CH15">
        <v>0</v>
      </c>
      <c r="CI15">
        <v>50.95</v>
      </c>
      <c r="CJ15">
        <v>558.74530000000004</v>
      </c>
    </row>
    <row r="16" spans="1:89">
      <c r="A16">
        <v>14</v>
      </c>
      <c r="B16" t="s">
        <v>13</v>
      </c>
      <c r="C16" t="s">
        <v>1</v>
      </c>
      <c r="D16" t="s">
        <v>187</v>
      </c>
      <c r="E16" t="s">
        <v>127</v>
      </c>
      <c r="F16" t="s">
        <v>188</v>
      </c>
      <c r="G16" t="s">
        <v>15</v>
      </c>
      <c r="H16" t="s">
        <v>187</v>
      </c>
      <c r="J16">
        <v>2</v>
      </c>
      <c r="K16" t="s">
        <v>9</v>
      </c>
      <c r="L16" t="s">
        <v>338</v>
      </c>
      <c r="M16" t="s">
        <v>189</v>
      </c>
      <c r="N16" t="s">
        <v>190</v>
      </c>
      <c r="O16">
        <v>115</v>
      </c>
      <c r="Q16">
        <v>739</v>
      </c>
      <c r="R16">
        <v>146</v>
      </c>
      <c r="S16">
        <v>4.25</v>
      </c>
      <c r="T16">
        <v>3.18</v>
      </c>
      <c r="U16">
        <v>6.22</v>
      </c>
      <c r="V16">
        <v>3138.96</v>
      </c>
      <c r="W16">
        <v>906</v>
      </c>
      <c r="X16">
        <v>1.3332999999999999</v>
      </c>
      <c r="Y16">
        <v>696</v>
      </c>
      <c r="Z16">
        <v>4.51</v>
      </c>
      <c r="AJ16">
        <v>2</v>
      </c>
      <c r="AK16">
        <v>18</v>
      </c>
      <c r="AM16">
        <v>0</v>
      </c>
      <c r="AO16" t="s">
        <v>191</v>
      </c>
      <c r="AT16">
        <v>45</v>
      </c>
      <c r="AV16">
        <v>83.8</v>
      </c>
      <c r="AW16" t="s">
        <v>6</v>
      </c>
      <c r="AX16" t="s">
        <v>6</v>
      </c>
      <c r="AY16" t="s">
        <v>6</v>
      </c>
      <c r="AZ16" t="s">
        <v>6</v>
      </c>
      <c r="BA16" t="s">
        <v>6</v>
      </c>
      <c r="BB16" t="s">
        <v>6</v>
      </c>
      <c r="BC16" t="s">
        <v>6</v>
      </c>
      <c r="BD16" t="s">
        <v>6</v>
      </c>
      <c r="BE16" t="s">
        <v>6</v>
      </c>
      <c r="BF16" t="s">
        <v>6</v>
      </c>
      <c r="BG16" t="s">
        <v>6</v>
      </c>
      <c r="BH16" t="s">
        <v>6</v>
      </c>
      <c r="BI16" t="s">
        <v>6</v>
      </c>
      <c r="BJ16" t="s">
        <v>6</v>
      </c>
      <c r="BN16">
        <v>716.65610000000004</v>
      </c>
      <c r="BO16">
        <v>2130</v>
      </c>
      <c r="BP16">
        <v>0</v>
      </c>
      <c r="BQ16">
        <v>39</v>
      </c>
      <c r="BR16">
        <v>39</v>
      </c>
      <c r="BS16">
        <v>39.130000000000003</v>
      </c>
      <c r="BT16">
        <v>0</v>
      </c>
      <c r="BV16">
        <v>6</v>
      </c>
      <c r="BW16" t="s">
        <v>655</v>
      </c>
      <c r="BX16">
        <v>0.27933340000000001</v>
      </c>
      <c r="BY16">
        <v>10.93031</v>
      </c>
      <c r="BZ16">
        <v>0</v>
      </c>
      <c r="CA16">
        <v>1</v>
      </c>
      <c r="CB16">
        <v>0.6</v>
      </c>
      <c r="CC16" s="3">
        <v>7.1269159999999998E-2</v>
      </c>
      <c r="CD16">
        <v>2.875</v>
      </c>
      <c r="CE16">
        <v>2.5</v>
      </c>
      <c r="CF16">
        <v>18</v>
      </c>
      <c r="CG16">
        <v>6</v>
      </c>
      <c r="CH16">
        <v>0</v>
      </c>
      <c r="CI16">
        <v>39.130000000000003</v>
      </c>
      <c r="CJ16">
        <v>643.85550000000001</v>
      </c>
    </row>
    <row r="17" spans="1:88">
      <c r="A17">
        <v>15</v>
      </c>
      <c r="B17" t="s">
        <v>13</v>
      </c>
      <c r="C17" t="s">
        <v>1</v>
      </c>
      <c r="D17" t="s">
        <v>14</v>
      </c>
      <c r="E17" t="s">
        <v>133</v>
      </c>
      <c r="F17" t="s">
        <v>192</v>
      </c>
      <c r="G17" t="s">
        <v>106</v>
      </c>
      <c r="H17" t="s">
        <v>193</v>
      </c>
      <c r="J17">
        <v>2</v>
      </c>
      <c r="K17" t="s">
        <v>108</v>
      </c>
      <c r="L17" t="s">
        <v>353</v>
      </c>
      <c r="M17" t="s">
        <v>194</v>
      </c>
      <c r="N17" t="s">
        <v>195</v>
      </c>
      <c r="O17">
        <v>143</v>
      </c>
      <c r="Q17">
        <v>681</v>
      </c>
      <c r="R17">
        <v>110</v>
      </c>
      <c r="S17">
        <v>4.25</v>
      </c>
      <c r="T17">
        <v>3.88</v>
      </c>
      <c r="U17">
        <v>6.6</v>
      </c>
      <c r="V17">
        <v>2893.05</v>
      </c>
      <c r="W17">
        <v>728</v>
      </c>
      <c r="X17">
        <v>1.3332999999999999</v>
      </c>
      <c r="Y17">
        <v>555</v>
      </c>
      <c r="Z17">
        <v>5.21</v>
      </c>
      <c r="AJ17">
        <v>2</v>
      </c>
      <c r="AK17">
        <v>18</v>
      </c>
      <c r="AM17">
        <v>0</v>
      </c>
      <c r="AO17" t="s">
        <v>196</v>
      </c>
      <c r="AT17">
        <v>55</v>
      </c>
      <c r="AV17">
        <v>63.4</v>
      </c>
      <c r="AW17">
        <v>0.4375</v>
      </c>
      <c r="AX17">
        <v>3.75</v>
      </c>
      <c r="AY17">
        <v>46.625</v>
      </c>
      <c r="AZ17">
        <v>4.5</v>
      </c>
      <c r="BA17">
        <v>305.39999999999998</v>
      </c>
      <c r="BB17">
        <v>5.38</v>
      </c>
      <c r="BC17">
        <v>47</v>
      </c>
      <c r="BD17">
        <v>0.40625</v>
      </c>
      <c r="BE17">
        <v>3.75</v>
      </c>
      <c r="BF17">
        <v>38.875</v>
      </c>
      <c r="BG17">
        <v>4.25</v>
      </c>
      <c r="BH17">
        <v>249.88</v>
      </c>
      <c r="BI17">
        <v>5.3</v>
      </c>
      <c r="BJ17">
        <v>37</v>
      </c>
      <c r="BL17">
        <v>555.28</v>
      </c>
      <c r="BM17">
        <v>84</v>
      </c>
      <c r="BN17">
        <v>304.95010000000002</v>
      </c>
      <c r="BO17">
        <v>1116</v>
      </c>
      <c r="BP17">
        <v>0</v>
      </c>
      <c r="BQ17">
        <v>49</v>
      </c>
      <c r="BR17">
        <v>49</v>
      </c>
      <c r="BS17">
        <v>48.86</v>
      </c>
      <c r="BT17">
        <v>0</v>
      </c>
      <c r="BV17">
        <v>0</v>
      </c>
      <c r="BW17" t="s">
        <v>655</v>
      </c>
      <c r="BX17">
        <v>0.17</v>
      </c>
      <c r="BY17">
        <v>8.3062000000000005</v>
      </c>
      <c r="BZ17">
        <v>0</v>
      </c>
      <c r="CA17">
        <v>1</v>
      </c>
      <c r="CB17">
        <v>0.6</v>
      </c>
      <c r="CC17" s="3">
        <v>7.1269159999999998E-2</v>
      </c>
      <c r="CD17">
        <v>2.875</v>
      </c>
      <c r="CE17">
        <v>2.5</v>
      </c>
      <c r="CF17">
        <v>18</v>
      </c>
      <c r="CG17">
        <v>6</v>
      </c>
      <c r="CH17">
        <v>0</v>
      </c>
      <c r="CI17">
        <v>48.86</v>
      </c>
      <c r="CJ17">
        <v>608.95169999999996</v>
      </c>
    </row>
    <row r="18" spans="1:88">
      <c r="A18">
        <v>16</v>
      </c>
      <c r="B18" t="s">
        <v>0</v>
      </c>
      <c r="C18" t="s">
        <v>1</v>
      </c>
      <c r="D18" t="s">
        <v>96</v>
      </c>
      <c r="E18" t="s">
        <v>197</v>
      </c>
      <c r="F18" t="s">
        <v>198</v>
      </c>
      <c r="G18" t="s">
        <v>106</v>
      </c>
      <c r="H18" t="s">
        <v>162</v>
      </c>
      <c r="J18">
        <v>2</v>
      </c>
      <c r="K18" t="s">
        <v>146</v>
      </c>
      <c r="L18" t="s">
        <v>199</v>
      </c>
      <c r="M18" t="s">
        <v>200</v>
      </c>
      <c r="N18" t="s">
        <v>201</v>
      </c>
      <c r="O18">
        <v>173</v>
      </c>
      <c r="Q18">
        <v>577</v>
      </c>
      <c r="R18">
        <v>81</v>
      </c>
      <c r="S18">
        <v>4.25</v>
      </c>
      <c r="T18">
        <v>4.5830000000000002</v>
      </c>
      <c r="U18">
        <v>6.97</v>
      </c>
      <c r="V18">
        <v>2451.5700000000002</v>
      </c>
      <c r="W18">
        <v>563</v>
      </c>
      <c r="X18">
        <v>1.3332999999999999</v>
      </c>
      <c r="Y18">
        <v>415</v>
      </c>
      <c r="Z18">
        <v>5.91</v>
      </c>
      <c r="AJ18">
        <v>2</v>
      </c>
      <c r="AK18">
        <v>18</v>
      </c>
      <c r="AM18">
        <v>0</v>
      </c>
      <c r="AO18" t="s">
        <v>166</v>
      </c>
      <c r="AT18">
        <v>65</v>
      </c>
      <c r="AV18">
        <v>44.8</v>
      </c>
      <c r="AW18">
        <v>0.46875</v>
      </c>
      <c r="AX18">
        <v>3.75</v>
      </c>
      <c r="AY18">
        <v>60.75</v>
      </c>
      <c r="AZ18">
        <v>5.5</v>
      </c>
      <c r="BA18">
        <v>333.47</v>
      </c>
      <c r="BB18">
        <v>5.91</v>
      </c>
      <c r="BC18">
        <v>65</v>
      </c>
      <c r="BD18">
        <v>0.3125</v>
      </c>
      <c r="BE18">
        <v>2.75</v>
      </c>
      <c r="BF18">
        <v>44.25</v>
      </c>
      <c r="BG18">
        <v>3.75</v>
      </c>
      <c r="BH18">
        <v>81.33</v>
      </c>
      <c r="BI18">
        <v>7.85</v>
      </c>
      <c r="BJ18">
        <v>24</v>
      </c>
      <c r="BL18">
        <v>414.8</v>
      </c>
      <c r="BM18">
        <v>88</v>
      </c>
      <c r="BN18">
        <v>214</v>
      </c>
      <c r="BO18">
        <v>2266</v>
      </c>
      <c r="BP18">
        <v>0</v>
      </c>
      <c r="BQ18">
        <v>59</v>
      </c>
      <c r="BR18">
        <v>59</v>
      </c>
      <c r="BS18">
        <v>59.3</v>
      </c>
      <c r="BT18">
        <v>0</v>
      </c>
      <c r="BV18">
        <v>0</v>
      </c>
      <c r="BW18" t="s">
        <v>655</v>
      </c>
      <c r="BX18">
        <v>0.17</v>
      </c>
      <c r="BY18">
        <v>10.081</v>
      </c>
      <c r="BZ18">
        <v>0</v>
      </c>
      <c r="CA18">
        <v>1</v>
      </c>
      <c r="CB18">
        <v>0.6</v>
      </c>
      <c r="CC18" s="3">
        <v>7.1269159999999998E-2</v>
      </c>
      <c r="CD18">
        <v>2.875</v>
      </c>
      <c r="CE18">
        <v>2.5</v>
      </c>
      <c r="CF18">
        <v>18</v>
      </c>
      <c r="CG18">
        <v>6</v>
      </c>
      <c r="CH18">
        <v>0</v>
      </c>
      <c r="CI18">
        <v>59.3</v>
      </c>
      <c r="CJ18">
        <v>521.94320000000005</v>
      </c>
    </row>
    <row r="19" spans="1:88">
      <c r="A19">
        <v>17</v>
      </c>
      <c r="B19" t="s">
        <v>0</v>
      </c>
      <c r="C19" t="s">
        <v>1</v>
      </c>
      <c r="D19" t="s">
        <v>19</v>
      </c>
      <c r="E19" t="s">
        <v>202</v>
      </c>
      <c r="F19" t="s">
        <v>114</v>
      </c>
      <c r="G19" t="s">
        <v>214</v>
      </c>
      <c r="H19" t="s">
        <v>115</v>
      </c>
      <c r="J19">
        <v>2</v>
      </c>
      <c r="K19" t="s">
        <v>108</v>
      </c>
      <c r="L19" t="s">
        <v>203</v>
      </c>
      <c r="M19" t="s">
        <v>204</v>
      </c>
      <c r="N19" t="s">
        <v>205</v>
      </c>
      <c r="O19">
        <v>181</v>
      </c>
      <c r="Q19">
        <v>862</v>
      </c>
      <c r="R19">
        <v>112</v>
      </c>
      <c r="S19">
        <v>4.25</v>
      </c>
      <c r="T19">
        <v>4.7640000000000002</v>
      </c>
      <c r="U19">
        <v>7.08</v>
      </c>
      <c r="V19">
        <v>3663.92</v>
      </c>
      <c r="W19">
        <v>795</v>
      </c>
      <c r="X19">
        <v>1.3332999999999999</v>
      </c>
      <c r="Y19">
        <v>602</v>
      </c>
      <c r="Z19">
        <v>6.09</v>
      </c>
      <c r="AJ19">
        <v>2</v>
      </c>
      <c r="AK19">
        <v>18</v>
      </c>
      <c r="AM19">
        <v>0</v>
      </c>
      <c r="AO19" t="s">
        <v>118</v>
      </c>
      <c r="AT19">
        <v>68</v>
      </c>
      <c r="AV19">
        <v>64.5</v>
      </c>
      <c r="AW19" t="s">
        <v>6</v>
      </c>
      <c r="AX19" t="s">
        <v>6</v>
      </c>
      <c r="AY19" t="s">
        <v>6</v>
      </c>
      <c r="AZ19" t="s">
        <v>6</v>
      </c>
      <c r="BA19" t="s">
        <v>6</v>
      </c>
      <c r="BB19" t="s">
        <v>6</v>
      </c>
      <c r="BC19" t="s">
        <v>6</v>
      </c>
      <c r="BD19" t="s">
        <v>6</v>
      </c>
      <c r="BE19" t="s">
        <v>6</v>
      </c>
      <c r="BF19" t="s">
        <v>6</v>
      </c>
      <c r="BG19" t="s">
        <v>6</v>
      </c>
      <c r="BH19" t="s">
        <v>6</v>
      </c>
      <c r="BI19" t="s">
        <v>6</v>
      </c>
      <c r="BJ19" t="s">
        <v>6</v>
      </c>
      <c r="BN19">
        <v>312.91000000000003</v>
      </c>
      <c r="BO19">
        <v>1330</v>
      </c>
      <c r="BP19">
        <v>0</v>
      </c>
      <c r="BQ19">
        <v>62</v>
      </c>
      <c r="BR19">
        <v>62</v>
      </c>
      <c r="BS19">
        <v>62.08</v>
      </c>
      <c r="BT19">
        <v>0</v>
      </c>
      <c r="BV19">
        <v>0</v>
      </c>
      <c r="BW19" t="s">
        <v>655</v>
      </c>
      <c r="BX19">
        <v>0.17</v>
      </c>
      <c r="BY19">
        <v>10.553599999999999</v>
      </c>
      <c r="BZ19">
        <v>0</v>
      </c>
      <c r="CA19">
        <v>1</v>
      </c>
      <c r="CB19">
        <v>0.6</v>
      </c>
      <c r="CC19" s="3">
        <v>7.1269159999999998E-2</v>
      </c>
      <c r="CD19">
        <v>2.875</v>
      </c>
      <c r="CE19">
        <v>2.5</v>
      </c>
      <c r="CF19">
        <v>18</v>
      </c>
      <c r="CG19">
        <v>6</v>
      </c>
      <c r="CH19">
        <v>0</v>
      </c>
      <c r="CI19">
        <v>62.08</v>
      </c>
      <c r="CJ19">
        <v>786.98829999999998</v>
      </c>
    </row>
    <row r="20" spans="1:88">
      <c r="A20">
        <v>18</v>
      </c>
      <c r="B20" t="s">
        <v>0</v>
      </c>
      <c r="C20" t="s">
        <v>1</v>
      </c>
      <c r="D20" t="s">
        <v>145</v>
      </c>
      <c r="E20" t="s">
        <v>168</v>
      </c>
      <c r="F20" t="s">
        <v>206</v>
      </c>
      <c r="G20" t="s">
        <v>106</v>
      </c>
      <c r="H20" t="s">
        <v>207</v>
      </c>
      <c r="J20">
        <v>2</v>
      </c>
      <c r="K20" t="s">
        <v>146</v>
      </c>
      <c r="L20" t="s">
        <v>208</v>
      </c>
      <c r="M20" t="s">
        <v>209</v>
      </c>
      <c r="N20" t="s">
        <v>210</v>
      </c>
      <c r="O20">
        <v>189</v>
      </c>
      <c r="Q20">
        <v>741</v>
      </c>
      <c r="R20">
        <v>94</v>
      </c>
      <c r="S20">
        <v>4.25</v>
      </c>
      <c r="T20">
        <v>4.9409999999999998</v>
      </c>
      <c r="U20">
        <v>7.23</v>
      </c>
      <c r="V20">
        <v>3150.9</v>
      </c>
      <c r="W20">
        <v>680</v>
      </c>
      <c r="X20">
        <v>1.3332999999999999</v>
      </c>
      <c r="Y20">
        <v>503</v>
      </c>
      <c r="Z20">
        <v>6.27</v>
      </c>
      <c r="AJ20">
        <v>2</v>
      </c>
      <c r="AK20">
        <v>18</v>
      </c>
      <c r="AM20">
        <v>0</v>
      </c>
      <c r="AO20" t="s">
        <v>211</v>
      </c>
      <c r="AT20">
        <v>71</v>
      </c>
      <c r="AV20">
        <v>53.1</v>
      </c>
      <c r="AW20">
        <v>0.4375</v>
      </c>
      <c r="AX20">
        <v>3.75</v>
      </c>
      <c r="AY20">
        <v>56.625</v>
      </c>
      <c r="AZ20">
        <v>5.5</v>
      </c>
      <c r="BA20">
        <v>251.26</v>
      </c>
      <c r="BB20">
        <v>6.54</v>
      </c>
      <c r="BC20">
        <v>57</v>
      </c>
      <c r="BD20">
        <v>0.4375</v>
      </c>
      <c r="BE20">
        <v>3.75</v>
      </c>
      <c r="BF20">
        <v>56.625</v>
      </c>
      <c r="BG20">
        <v>5.5</v>
      </c>
      <c r="BH20">
        <v>251.26</v>
      </c>
      <c r="BI20">
        <v>6.54</v>
      </c>
      <c r="BJ20">
        <v>57</v>
      </c>
      <c r="BL20">
        <v>502.52</v>
      </c>
      <c r="BM20">
        <v>114</v>
      </c>
      <c r="BN20">
        <v>255.01669999999999</v>
      </c>
      <c r="BO20">
        <v>1596</v>
      </c>
      <c r="BP20">
        <v>0</v>
      </c>
      <c r="BQ20">
        <v>65</v>
      </c>
      <c r="BR20">
        <v>65</v>
      </c>
      <c r="BS20">
        <v>64.86</v>
      </c>
      <c r="BT20">
        <v>0</v>
      </c>
      <c r="BV20">
        <v>0</v>
      </c>
      <c r="BW20" t="s">
        <v>655</v>
      </c>
      <c r="BX20">
        <v>0.17</v>
      </c>
      <c r="BY20">
        <v>11.026199999999999</v>
      </c>
      <c r="BZ20">
        <v>0</v>
      </c>
      <c r="CA20">
        <v>1</v>
      </c>
      <c r="CB20">
        <v>0.6</v>
      </c>
      <c r="CC20" s="3">
        <v>7.1269159999999998E-2</v>
      </c>
      <c r="CD20">
        <v>2.875</v>
      </c>
      <c r="CE20">
        <v>2.5</v>
      </c>
      <c r="CF20">
        <v>18</v>
      </c>
      <c r="CG20">
        <v>6</v>
      </c>
      <c r="CH20">
        <v>0</v>
      </c>
      <c r="CI20">
        <v>64.86</v>
      </c>
      <c r="CJ20">
        <v>677.19880000000001</v>
      </c>
    </row>
    <row r="21" spans="1:88">
      <c r="A21">
        <v>19</v>
      </c>
      <c r="B21" t="s">
        <v>0</v>
      </c>
      <c r="C21" t="s">
        <v>1</v>
      </c>
      <c r="D21" t="s">
        <v>212</v>
      </c>
      <c r="E21" t="s">
        <v>113</v>
      </c>
      <c r="F21" t="s">
        <v>213</v>
      </c>
      <c r="G21" t="s">
        <v>15</v>
      </c>
      <c r="H21" t="s">
        <v>215</v>
      </c>
      <c r="J21">
        <v>2</v>
      </c>
      <c r="K21" t="s">
        <v>108</v>
      </c>
      <c r="L21" t="s">
        <v>116</v>
      </c>
      <c r="M21" t="s">
        <v>117</v>
      </c>
      <c r="N21" t="s">
        <v>14</v>
      </c>
      <c r="O21">
        <v>179</v>
      </c>
      <c r="Q21">
        <v>901</v>
      </c>
      <c r="R21">
        <v>119</v>
      </c>
      <c r="S21">
        <v>4.25</v>
      </c>
      <c r="T21">
        <v>4.7190000000000003</v>
      </c>
      <c r="U21">
        <v>7.05</v>
      </c>
      <c r="V21">
        <v>3827.59</v>
      </c>
      <c r="W21">
        <v>836</v>
      </c>
      <c r="X21">
        <v>1.3332999999999999</v>
      </c>
      <c r="Y21">
        <v>633</v>
      </c>
      <c r="Z21">
        <v>6.05</v>
      </c>
      <c r="AJ21">
        <v>2</v>
      </c>
      <c r="AK21">
        <v>18</v>
      </c>
      <c r="AM21">
        <v>0</v>
      </c>
      <c r="AO21" t="s">
        <v>216</v>
      </c>
      <c r="AT21">
        <v>68</v>
      </c>
      <c r="AV21">
        <v>68.099999999999994</v>
      </c>
      <c r="AW21" t="s">
        <v>6</v>
      </c>
      <c r="AX21" t="s">
        <v>6</v>
      </c>
      <c r="AY21" t="s">
        <v>6</v>
      </c>
      <c r="AZ21" t="s">
        <v>6</v>
      </c>
      <c r="BA21" t="s">
        <v>6</v>
      </c>
      <c r="BB21" t="s">
        <v>6</v>
      </c>
      <c r="BC21" t="s">
        <v>6</v>
      </c>
      <c r="BD21" t="s">
        <v>6</v>
      </c>
      <c r="BE21" t="s">
        <v>6</v>
      </c>
      <c r="BF21" t="s">
        <v>6</v>
      </c>
      <c r="BG21" t="s">
        <v>6</v>
      </c>
      <c r="BH21" t="s">
        <v>6</v>
      </c>
      <c r="BI21" t="s">
        <v>6</v>
      </c>
      <c r="BJ21" t="s">
        <v>6</v>
      </c>
      <c r="BN21">
        <v>580.90189999999996</v>
      </c>
      <c r="BO21">
        <v>3242</v>
      </c>
      <c r="BP21">
        <v>0</v>
      </c>
      <c r="BQ21">
        <v>61</v>
      </c>
      <c r="BR21">
        <v>61</v>
      </c>
      <c r="BS21">
        <v>61.39</v>
      </c>
      <c r="BT21">
        <v>0</v>
      </c>
      <c r="BV21">
        <v>0</v>
      </c>
      <c r="BW21" t="s">
        <v>655</v>
      </c>
      <c r="BX21">
        <v>0.17</v>
      </c>
      <c r="BY21">
        <v>10.436299999999999</v>
      </c>
      <c r="BZ21">
        <v>0</v>
      </c>
      <c r="CA21">
        <v>1</v>
      </c>
      <c r="CB21">
        <v>0.6</v>
      </c>
      <c r="CC21" s="3">
        <v>7.1269159999999998E-2</v>
      </c>
      <c r="CD21">
        <v>2.875</v>
      </c>
      <c r="CE21">
        <v>2.5</v>
      </c>
      <c r="CF21">
        <v>18</v>
      </c>
      <c r="CG21">
        <v>6</v>
      </c>
      <c r="CH21">
        <v>0</v>
      </c>
      <c r="CI21">
        <v>61.39</v>
      </c>
      <c r="CJ21">
        <v>821.99329999999998</v>
      </c>
    </row>
    <row r="22" spans="1:88">
      <c r="A22">
        <v>20</v>
      </c>
      <c r="B22" t="s">
        <v>13</v>
      </c>
      <c r="C22" t="s">
        <v>1</v>
      </c>
      <c r="D22" t="s">
        <v>2</v>
      </c>
      <c r="E22" t="s">
        <v>150</v>
      </c>
      <c r="F22" t="s">
        <v>154</v>
      </c>
      <c r="G22" t="s">
        <v>106</v>
      </c>
      <c r="H22" t="s">
        <v>217</v>
      </c>
      <c r="J22">
        <v>2</v>
      </c>
      <c r="K22" t="s">
        <v>146</v>
      </c>
      <c r="L22" t="s">
        <v>96</v>
      </c>
      <c r="M22" t="s">
        <v>159</v>
      </c>
      <c r="N22" t="s">
        <v>130</v>
      </c>
      <c r="O22">
        <v>111</v>
      </c>
      <c r="Q22">
        <v>310</v>
      </c>
      <c r="R22">
        <v>67</v>
      </c>
      <c r="S22">
        <v>4.25</v>
      </c>
      <c r="T22">
        <v>3.0760000000000001</v>
      </c>
      <c r="U22">
        <v>6.14</v>
      </c>
      <c r="V22">
        <v>1317.79</v>
      </c>
      <c r="W22">
        <v>412</v>
      </c>
      <c r="X22">
        <v>1.3332999999999999</v>
      </c>
      <c r="Y22">
        <v>299</v>
      </c>
      <c r="Z22">
        <v>4.4000000000000004</v>
      </c>
      <c r="AJ22">
        <v>2</v>
      </c>
      <c r="AK22">
        <v>18</v>
      </c>
      <c r="AM22">
        <v>0</v>
      </c>
      <c r="AO22" t="s">
        <v>218</v>
      </c>
      <c r="AT22">
        <v>44</v>
      </c>
      <c r="AV22">
        <v>36.1</v>
      </c>
      <c r="AW22">
        <v>0</v>
      </c>
      <c r="AX22">
        <v>0</v>
      </c>
      <c r="AY22">
        <v>32.5</v>
      </c>
      <c r="AZ22">
        <v>3.625</v>
      </c>
      <c r="BA22">
        <v>0</v>
      </c>
      <c r="BB22">
        <v>0</v>
      </c>
      <c r="BC22">
        <v>31</v>
      </c>
      <c r="BN22">
        <v>171.2</v>
      </c>
      <c r="BO22">
        <v>3540</v>
      </c>
      <c r="BP22">
        <v>0</v>
      </c>
      <c r="BQ22">
        <v>38</v>
      </c>
      <c r="BR22">
        <v>38</v>
      </c>
      <c r="BS22">
        <v>37.729999999999997</v>
      </c>
      <c r="BT22">
        <v>0</v>
      </c>
      <c r="BV22">
        <v>0</v>
      </c>
      <c r="BW22" t="s">
        <v>655</v>
      </c>
      <c r="BX22">
        <v>0.17</v>
      </c>
      <c r="BY22">
        <v>6.4141000000000004</v>
      </c>
      <c r="BZ22">
        <v>0</v>
      </c>
      <c r="CA22">
        <v>1</v>
      </c>
      <c r="CB22">
        <v>0.6</v>
      </c>
      <c r="CC22" s="3">
        <v>7.1269159999999998E-2</v>
      </c>
      <c r="CD22">
        <v>2.875</v>
      </c>
      <c r="CE22">
        <v>2.5</v>
      </c>
      <c r="CF22">
        <v>18</v>
      </c>
      <c r="CG22">
        <v>6</v>
      </c>
      <c r="CH22">
        <v>0</v>
      </c>
      <c r="CI22">
        <v>37.729999999999997</v>
      </c>
      <c r="CJ22">
        <v>267.55399999999997</v>
      </c>
    </row>
    <row r="23" spans="1:88">
      <c r="A23">
        <v>21</v>
      </c>
      <c r="B23" t="s">
        <v>0</v>
      </c>
      <c r="C23" t="s">
        <v>1</v>
      </c>
      <c r="D23" t="s">
        <v>139</v>
      </c>
      <c r="E23" t="s">
        <v>219</v>
      </c>
      <c r="F23" t="s">
        <v>155</v>
      </c>
      <c r="G23" t="s">
        <v>106</v>
      </c>
      <c r="H23" t="s">
        <v>151</v>
      </c>
      <c r="J23">
        <v>2</v>
      </c>
      <c r="K23" t="s">
        <v>146</v>
      </c>
      <c r="L23" t="s">
        <v>369</v>
      </c>
      <c r="M23" t="s">
        <v>220</v>
      </c>
      <c r="N23" t="s">
        <v>221</v>
      </c>
      <c r="O23">
        <v>101</v>
      </c>
      <c r="Q23">
        <v>290</v>
      </c>
      <c r="R23">
        <v>68</v>
      </c>
      <c r="S23">
        <v>4.25</v>
      </c>
      <c r="T23">
        <v>2.8119999999999998</v>
      </c>
      <c r="U23">
        <v>5.92</v>
      </c>
      <c r="V23">
        <v>1234.58</v>
      </c>
      <c r="W23">
        <v>404</v>
      </c>
      <c r="X23">
        <v>1.3332999999999999</v>
      </c>
      <c r="Y23">
        <v>298</v>
      </c>
      <c r="Z23">
        <v>4.1399999999999997</v>
      </c>
      <c r="AJ23">
        <v>2</v>
      </c>
      <c r="AK23">
        <v>18</v>
      </c>
      <c r="AM23">
        <v>0</v>
      </c>
      <c r="AO23" t="s">
        <v>154</v>
      </c>
      <c r="AT23">
        <v>40</v>
      </c>
      <c r="AV23">
        <v>36.799999999999997</v>
      </c>
      <c r="AW23">
        <v>0</v>
      </c>
      <c r="AX23">
        <v>0</v>
      </c>
      <c r="AY23">
        <v>32.625</v>
      </c>
      <c r="AZ23">
        <v>3.375</v>
      </c>
      <c r="BA23">
        <v>0</v>
      </c>
      <c r="BB23">
        <v>0</v>
      </c>
      <c r="BC23">
        <v>31</v>
      </c>
      <c r="BN23">
        <v>174.76669999999999</v>
      </c>
      <c r="BO23">
        <v>3397</v>
      </c>
      <c r="BP23">
        <v>0</v>
      </c>
      <c r="BQ23">
        <v>34</v>
      </c>
      <c r="BR23">
        <v>34</v>
      </c>
      <c r="BS23">
        <v>34.26</v>
      </c>
      <c r="BT23">
        <v>0</v>
      </c>
      <c r="BV23">
        <v>0</v>
      </c>
      <c r="BW23" t="s">
        <v>655</v>
      </c>
      <c r="BX23">
        <v>0.17</v>
      </c>
      <c r="BY23">
        <v>5.8242000000000003</v>
      </c>
      <c r="BZ23">
        <v>0</v>
      </c>
      <c r="CA23">
        <v>1</v>
      </c>
      <c r="CB23">
        <v>0.6</v>
      </c>
      <c r="CC23" s="3">
        <v>7.1269159999999998E-2</v>
      </c>
      <c r="CD23">
        <v>2.875</v>
      </c>
      <c r="CE23">
        <v>2.5</v>
      </c>
      <c r="CF23">
        <v>18</v>
      </c>
      <c r="CG23">
        <v>6</v>
      </c>
      <c r="CH23">
        <v>0</v>
      </c>
      <c r="CI23">
        <v>34.26</v>
      </c>
      <c r="CJ23">
        <v>247.83070000000001</v>
      </c>
    </row>
    <row r="24" spans="1:88">
      <c r="A24">
        <v>22</v>
      </c>
      <c r="B24" t="s">
        <v>0</v>
      </c>
      <c r="C24" t="s">
        <v>1</v>
      </c>
      <c r="D24" t="s">
        <v>222</v>
      </c>
      <c r="E24" t="s">
        <v>151</v>
      </c>
      <c r="F24" t="s">
        <v>223</v>
      </c>
      <c r="G24" t="s">
        <v>106</v>
      </c>
      <c r="H24" t="s">
        <v>224</v>
      </c>
      <c r="J24">
        <v>2</v>
      </c>
      <c r="K24" t="s">
        <v>146</v>
      </c>
      <c r="L24" t="s">
        <v>119</v>
      </c>
      <c r="M24" t="s">
        <v>154</v>
      </c>
      <c r="N24" t="s">
        <v>150</v>
      </c>
      <c r="O24">
        <v>108</v>
      </c>
      <c r="Q24">
        <v>222</v>
      </c>
      <c r="R24">
        <v>47</v>
      </c>
      <c r="S24">
        <v>4.25</v>
      </c>
      <c r="T24">
        <v>2.9980000000000002</v>
      </c>
      <c r="U24">
        <v>6.07</v>
      </c>
      <c r="V24">
        <v>944.01</v>
      </c>
      <c r="W24">
        <v>283</v>
      </c>
      <c r="X24">
        <v>1.3332999999999999</v>
      </c>
      <c r="Y24">
        <v>218</v>
      </c>
      <c r="Z24">
        <v>4.33</v>
      </c>
      <c r="AJ24">
        <v>2</v>
      </c>
      <c r="AK24">
        <v>18</v>
      </c>
      <c r="AM24">
        <v>0</v>
      </c>
      <c r="AO24" t="s">
        <v>225</v>
      </c>
      <c r="AT24">
        <v>43</v>
      </c>
      <c r="AV24">
        <v>26.3</v>
      </c>
      <c r="AW24">
        <v>0</v>
      </c>
      <c r="AX24">
        <v>0</v>
      </c>
      <c r="AY24">
        <v>29.625</v>
      </c>
      <c r="AZ24">
        <v>3.25</v>
      </c>
      <c r="BA24">
        <v>0</v>
      </c>
      <c r="BB24">
        <v>0</v>
      </c>
      <c r="BC24">
        <v>26</v>
      </c>
      <c r="BN24">
        <v>123.05</v>
      </c>
      <c r="BO24">
        <v>6853</v>
      </c>
      <c r="BP24">
        <v>0</v>
      </c>
      <c r="BQ24">
        <v>37</v>
      </c>
      <c r="BR24">
        <v>37</v>
      </c>
      <c r="BS24">
        <v>36.69</v>
      </c>
      <c r="BT24">
        <v>0</v>
      </c>
      <c r="BV24">
        <v>0</v>
      </c>
      <c r="BW24" t="s">
        <v>655</v>
      </c>
      <c r="BX24">
        <v>0.17</v>
      </c>
      <c r="BY24">
        <v>6.2373000000000003</v>
      </c>
      <c r="BZ24">
        <v>0</v>
      </c>
      <c r="CA24">
        <v>1</v>
      </c>
      <c r="CB24">
        <v>0.6</v>
      </c>
      <c r="CC24" s="3">
        <v>7.1269159999999998E-2</v>
      </c>
      <c r="CD24">
        <v>2.875</v>
      </c>
      <c r="CE24">
        <v>2.5</v>
      </c>
      <c r="CF24">
        <v>18</v>
      </c>
      <c r="CG24">
        <v>6</v>
      </c>
      <c r="CH24">
        <v>0</v>
      </c>
      <c r="CI24">
        <v>36.69</v>
      </c>
      <c r="CJ24">
        <v>189.57769999999999</v>
      </c>
    </row>
    <row r="25" spans="1:88">
      <c r="A25">
        <v>23</v>
      </c>
      <c r="B25" t="s">
        <v>0</v>
      </c>
      <c r="C25" t="s">
        <v>1</v>
      </c>
      <c r="D25" t="s">
        <v>666</v>
      </c>
      <c r="E25" t="s">
        <v>2</v>
      </c>
      <c r="F25" t="s">
        <v>667</v>
      </c>
      <c r="G25" t="s">
        <v>735</v>
      </c>
      <c r="H25" t="s">
        <v>736</v>
      </c>
      <c r="J25">
        <v>2</v>
      </c>
      <c r="K25" t="s">
        <v>668</v>
      </c>
      <c r="L25" t="s">
        <v>122</v>
      </c>
      <c r="M25" t="s">
        <v>4</v>
      </c>
      <c r="N25" t="s">
        <v>5</v>
      </c>
      <c r="O25">
        <v>107</v>
      </c>
      <c r="Q25">
        <v>910</v>
      </c>
      <c r="R25">
        <v>192</v>
      </c>
      <c r="S25">
        <v>4.3125</v>
      </c>
      <c r="T25">
        <v>2.9409999999999998</v>
      </c>
      <c r="U25">
        <v>6.13</v>
      </c>
      <c r="V25">
        <v>3926.14</v>
      </c>
      <c r="W25">
        <v>1179</v>
      </c>
      <c r="X25">
        <v>1.3332999999999999</v>
      </c>
      <c r="Y25">
        <v>919</v>
      </c>
      <c r="Z25">
        <v>4.2699999999999996</v>
      </c>
      <c r="AJ25">
        <v>2</v>
      </c>
      <c r="AK25">
        <v>18</v>
      </c>
      <c r="AM25">
        <v>0</v>
      </c>
      <c r="AO25" t="s">
        <v>669</v>
      </c>
      <c r="AT25">
        <v>43</v>
      </c>
      <c r="AV25">
        <v>110.6</v>
      </c>
      <c r="AW25" t="s">
        <v>6</v>
      </c>
      <c r="AX25" t="s">
        <v>6</v>
      </c>
      <c r="AY25" t="s">
        <v>6</v>
      </c>
      <c r="AZ25" t="s">
        <v>6</v>
      </c>
      <c r="BA25" t="s">
        <v>6</v>
      </c>
      <c r="BB25" t="s">
        <v>6</v>
      </c>
      <c r="BC25" t="s">
        <v>6</v>
      </c>
      <c r="BD25" t="s">
        <v>6</v>
      </c>
      <c r="BE25" t="s">
        <v>6</v>
      </c>
      <c r="BF25" t="s">
        <v>6</v>
      </c>
      <c r="BG25" t="s">
        <v>6</v>
      </c>
      <c r="BH25" t="s">
        <v>6</v>
      </c>
      <c r="BI25" t="s">
        <v>6</v>
      </c>
      <c r="BJ25" t="s">
        <v>6</v>
      </c>
      <c r="BN25">
        <v>1213.375</v>
      </c>
      <c r="BO25">
        <v>4485</v>
      </c>
      <c r="BP25">
        <v>0</v>
      </c>
      <c r="BQ25">
        <v>36</v>
      </c>
      <c r="BR25">
        <v>36</v>
      </c>
      <c r="BS25">
        <v>36.340000000000003</v>
      </c>
      <c r="BT25">
        <v>0</v>
      </c>
      <c r="BV25">
        <v>6</v>
      </c>
      <c r="BW25" t="s">
        <v>655</v>
      </c>
      <c r="BX25">
        <v>0.27933340000000001</v>
      </c>
      <c r="BY25">
        <v>10.150969999999999</v>
      </c>
      <c r="BZ25">
        <v>0</v>
      </c>
      <c r="CA25">
        <v>1</v>
      </c>
      <c r="CB25">
        <v>0.6</v>
      </c>
      <c r="CC25" s="3">
        <v>7.1269159999999998E-2</v>
      </c>
      <c r="CD25">
        <v>2.875</v>
      </c>
      <c r="CE25">
        <v>2.5</v>
      </c>
      <c r="CF25">
        <v>18</v>
      </c>
      <c r="CG25">
        <v>6</v>
      </c>
      <c r="CH25">
        <v>0</v>
      </c>
      <c r="CI25">
        <v>36.340000000000003</v>
      </c>
      <c r="CJ25">
        <v>789.60220000000004</v>
      </c>
    </row>
    <row r="26" spans="1:88">
      <c r="A26">
        <v>24</v>
      </c>
      <c r="B26" t="s">
        <v>0</v>
      </c>
      <c r="C26" t="s">
        <v>1</v>
      </c>
      <c r="D26" t="s">
        <v>143</v>
      </c>
      <c r="E26" t="s">
        <v>176</v>
      </c>
      <c r="F26" t="s">
        <v>144</v>
      </c>
      <c r="G26" t="s">
        <v>106</v>
      </c>
      <c r="H26" t="s">
        <v>145</v>
      </c>
      <c r="J26">
        <v>2</v>
      </c>
      <c r="K26" t="s">
        <v>146</v>
      </c>
      <c r="L26" t="s">
        <v>167</v>
      </c>
      <c r="M26" t="s">
        <v>226</v>
      </c>
      <c r="N26" t="s">
        <v>227</v>
      </c>
      <c r="O26">
        <v>113</v>
      </c>
      <c r="Q26">
        <v>464</v>
      </c>
      <c r="R26">
        <v>95</v>
      </c>
      <c r="S26">
        <v>4.25</v>
      </c>
      <c r="T26">
        <v>3.1280000000000001</v>
      </c>
      <c r="U26">
        <v>6.18</v>
      </c>
      <c r="V26">
        <v>1972.21</v>
      </c>
      <c r="W26">
        <v>585</v>
      </c>
      <c r="X26">
        <v>1.3332999999999999</v>
      </c>
      <c r="Y26">
        <v>442</v>
      </c>
      <c r="Z26">
        <v>4.46</v>
      </c>
      <c r="AJ26">
        <v>2</v>
      </c>
      <c r="AK26">
        <v>18</v>
      </c>
      <c r="AM26">
        <v>0</v>
      </c>
      <c r="AO26" t="s">
        <v>149</v>
      </c>
      <c r="AT26">
        <v>45</v>
      </c>
      <c r="AV26">
        <v>53.5</v>
      </c>
      <c r="AW26">
        <v>0</v>
      </c>
      <c r="AX26">
        <v>0</v>
      </c>
      <c r="AY26">
        <v>45.875</v>
      </c>
      <c r="AZ26">
        <v>4.125</v>
      </c>
      <c r="BA26">
        <v>0</v>
      </c>
      <c r="BB26">
        <v>0</v>
      </c>
      <c r="BC26">
        <v>49</v>
      </c>
      <c r="BN26">
        <v>256.80009999999999</v>
      </c>
      <c r="BO26">
        <v>1574</v>
      </c>
      <c r="BP26">
        <v>0</v>
      </c>
      <c r="BQ26">
        <v>38</v>
      </c>
      <c r="BR26">
        <v>38</v>
      </c>
      <c r="BS26">
        <v>38.43</v>
      </c>
      <c r="BT26">
        <v>0</v>
      </c>
      <c r="BV26">
        <v>0</v>
      </c>
      <c r="BW26" t="s">
        <v>655</v>
      </c>
      <c r="BX26">
        <v>0.17</v>
      </c>
      <c r="BY26">
        <v>6.5331000000000001</v>
      </c>
      <c r="BZ26">
        <v>0</v>
      </c>
      <c r="CA26">
        <v>1</v>
      </c>
      <c r="CB26">
        <v>0.6</v>
      </c>
      <c r="CC26" s="3">
        <v>7.1269159999999998E-2</v>
      </c>
      <c r="CD26">
        <v>2.875</v>
      </c>
      <c r="CE26">
        <v>2.5</v>
      </c>
      <c r="CF26">
        <v>18</v>
      </c>
      <c r="CG26">
        <v>6</v>
      </c>
      <c r="CH26">
        <v>0</v>
      </c>
      <c r="CI26">
        <v>38.43</v>
      </c>
      <c r="CJ26">
        <v>403.98379999999997</v>
      </c>
    </row>
    <row r="27" spans="1:88">
      <c r="A27">
        <v>25</v>
      </c>
      <c r="B27" t="s">
        <v>13</v>
      </c>
      <c r="C27" t="s">
        <v>1</v>
      </c>
      <c r="D27" t="s">
        <v>119</v>
      </c>
      <c r="E27" t="s">
        <v>228</v>
      </c>
      <c r="F27" t="s">
        <v>121</v>
      </c>
      <c r="G27" t="s">
        <v>106</v>
      </c>
      <c r="H27" t="s">
        <v>122</v>
      </c>
      <c r="J27">
        <v>2</v>
      </c>
      <c r="K27" t="s">
        <v>146</v>
      </c>
      <c r="L27" t="s">
        <v>174</v>
      </c>
      <c r="M27" t="s">
        <v>230</v>
      </c>
      <c r="N27" t="s">
        <v>231</v>
      </c>
      <c r="O27">
        <v>102</v>
      </c>
      <c r="Q27">
        <v>347</v>
      </c>
      <c r="R27">
        <v>79</v>
      </c>
      <c r="S27">
        <v>4.25</v>
      </c>
      <c r="T27">
        <v>2.8380000000000001</v>
      </c>
      <c r="U27">
        <v>5.96</v>
      </c>
      <c r="V27">
        <v>1473.73</v>
      </c>
      <c r="W27">
        <v>472</v>
      </c>
      <c r="X27">
        <v>1.3332999999999999</v>
      </c>
      <c r="Y27">
        <v>353</v>
      </c>
      <c r="Z27">
        <v>4.17</v>
      </c>
      <c r="AJ27">
        <v>2</v>
      </c>
      <c r="AK27">
        <v>18</v>
      </c>
      <c r="AM27">
        <v>0</v>
      </c>
      <c r="AO27" t="s">
        <v>126</v>
      </c>
      <c r="AT27">
        <v>41</v>
      </c>
      <c r="AV27">
        <v>43.7</v>
      </c>
      <c r="AW27">
        <v>0</v>
      </c>
      <c r="AX27">
        <v>0</v>
      </c>
      <c r="AY27">
        <v>40.25</v>
      </c>
      <c r="AZ27">
        <v>3.625</v>
      </c>
      <c r="BA27">
        <v>0</v>
      </c>
      <c r="BB27">
        <v>0</v>
      </c>
      <c r="BC27">
        <v>41</v>
      </c>
      <c r="BN27">
        <v>208.65</v>
      </c>
      <c r="BO27">
        <v>2384</v>
      </c>
      <c r="BP27">
        <v>0</v>
      </c>
      <c r="BQ27">
        <v>35</v>
      </c>
      <c r="BR27">
        <v>35</v>
      </c>
      <c r="BS27">
        <v>34.6</v>
      </c>
      <c r="BT27">
        <v>0</v>
      </c>
      <c r="BV27">
        <v>0</v>
      </c>
      <c r="BW27" t="s">
        <v>655</v>
      </c>
      <c r="BX27">
        <v>0.17</v>
      </c>
      <c r="BY27">
        <v>5.8819999999999997</v>
      </c>
      <c r="BZ27">
        <v>0</v>
      </c>
      <c r="CA27">
        <v>1</v>
      </c>
      <c r="CB27">
        <v>0.6</v>
      </c>
      <c r="CC27" s="3">
        <v>7.1269159999999998E-2</v>
      </c>
      <c r="CD27">
        <v>2.875</v>
      </c>
      <c r="CE27">
        <v>2.5</v>
      </c>
      <c r="CF27">
        <v>18</v>
      </c>
      <c r="CG27">
        <v>6</v>
      </c>
      <c r="CH27">
        <v>0</v>
      </c>
      <c r="CI27">
        <v>34.6</v>
      </c>
      <c r="CJ27">
        <v>297.14249999999998</v>
      </c>
    </row>
    <row r="28" spans="1:88">
      <c r="A28">
        <v>26</v>
      </c>
      <c r="B28" t="s">
        <v>13</v>
      </c>
      <c r="C28" t="s">
        <v>1</v>
      </c>
      <c r="D28" t="s">
        <v>176</v>
      </c>
      <c r="E28" t="s">
        <v>5</v>
      </c>
      <c r="F28" t="s">
        <v>134</v>
      </c>
      <c r="G28" t="s">
        <v>106</v>
      </c>
      <c r="H28" t="s">
        <v>177</v>
      </c>
      <c r="J28">
        <v>2</v>
      </c>
      <c r="K28" t="s">
        <v>146</v>
      </c>
      <c r="L28" t="s">
        <v>162</v>
      </c>
      <c r="M28" t="s">
        <v>155</v>
      </c>
      <c r="N28" t="s">
        <v>176</v>
      </c>
      <c r="O28">
        <v>110</v>
      </c>
      <c r="Q28">
        <v>326</v>
      </c>
      <c r="R28">
        <v>71</v>
      </c>
      <c r="S28">
        <v>4.25</v>
      </c>
      <c r="T28">
        <v>3.05</v>
      </c>
      <c r="U28">
        <v>6.11</v>
      </c>
      <c r="V28">
        <v>1384.52</v>
      </c>
      <c r="W28">
        <v>431</v>
      </c>
      <c r="X28">
        <v>1.3332999999999999</v>
      </c>
      <c r="Y28">
        <v>316</v>
      </c>
      <c r="Z28">
        <v>4.38</v>
      </c>
      <c r="AJ28">
        <v>2</v>
      </c>
      <c r="AK28">
        <v>18</v>
      </c>
      <c r="AM28">
        <v>0</v>
      </c>
      <c r="AO28" t="s">
        <v>152</v>
      </c>
      <c r="AT28">
        <v>44</v>
      </c>
      <c r="AV28">
        <v>38.200000000000003</v>
      </c>
      <c r="AW28">
        <v>0</v>
      </c>
      <c r="AX28">
        <v>0</v>
      </c>
      <c r="AY28">
        <v>45</v>
      </c>
      <c r="AZ28">
        <v>3.875</v>
      </c>
      <c r="BA28">
        <v>0</v>
      </c>
      <c r="BB28">
        <v>0</v>
      </c>
      <c r="BC28">
        <v>46</v>
      </c>
      <c r="BN28">
        <v>181.9</v>
      </c>
      <c r="BO28">
        <v>3136</v>
      </c>
      <c r="BP28">
        <v>0</v>
      </c>
      <c r="BQ28">
        <v>37</v>
      </c>
      <c r="BR28">
        <v>37</v>
      </c>
      <c r="BS28">
        <v>37.39</v>
      </c>
      <c r="BT28">
        <v>0</v>
      </c>
      <c r="BV28">
        <v>0</v>
      </c>
      <c r="BW28" t="s">
        <v>655</v>
      </c>
      <c r="BX28">
        <v>0.17</v>
      </c>
      <c r="BY28">
        <v>6.3563000000000001</v>
      </c>
      <c r="BZ28">
        <v>0</v>
      </c>
      <c r="CA28">
        <v>1</v>
      </c>
      <c r="CB28">
        <v>0.6</v>
      </c>
      <c r="CC28" s="3">
        <v>7.1269159999999998E-2</v>
      </c>
      <c r="CD28">
        <v>2.875</v>
      </c>
      <c r="CE28">
        <v>2.5</v>
      </c>
      <c r="CF28">
        <v>18</v>
      </c>
      <c r="CG28">
        <v>6</v>
      </c>
      <c r="CH28">
        <v>0</v>
      </c>
      <c r="CI28">
        <v>37.39</v>
      </c>
      <c r="CJ28">
        <v>281.13150000000002</v>
      </c>
    </row>
    <row r="29" spans="1:88">
      <c r="A29">
        <v>27</v>
      </c>
      <c r="B29" t="s">
        <v>0</v>
      </c>
      <c r="C29" t="s">
        <v>1</v>
      </c>
      <c r="D29" t="s">
        <v>131</v>
      </c>
      <c r="E29" t="s">
        <v>158</v>
      </c>
      <c r="F29" t="s">
        <v>232</v>
      </c>
      <c r="G29" t="s">
        <v>106</v>
      </c>
      <c r="H29" t="s">
        <v>233</v>
      </c>
      <c r="J29">
        <v>2</v>
      </c>
      <c r="K29" t="s">
        <v>146</v>
      </c>
      <c r="L29" t="s">
        <v>99</v>
      </c>
      <c r="M29" t="s">
        <v>121</v>
      </c>
      <c r="N29" t="s">
        <v>235</v>
      </c>
      <c r="O29">
        <v>129</v>
      </c>
      <c r="Q29">
        <v>534</v>
      </c>
      <c r="R29">
        <v>96</v>
      </c>
      <c r="S29">
        <v>4.25</v>
      </c>
      <c r="T29">
        <v>3.536</v>
      </c>
      <c r="U29">
        <v>6.33</v>
      </c>
      <c r="V29">
        <v>2269.71</v>
      </c>
      <c r="W29">
        <v>610</v>
      </c>
      <c r="X29">
        <v>1.3332999999999999</v>
      </c>
      <c r="Y29">
        <v>467</v>
      </c>
      <c r="Z29">
        <v>4.8600000000000003</v>
      </c>
      <c r="AJ29">
        <v>2</v>
      </c>
      <c r="AK29">
        <v>18</v>
      </c>
      <c r="AM29">
        <v>0</v>
      </c>
      <c r="AO29" t="s">
        <v>236</v>
      </c>
      <c r="AT29">
        <v>50</v>
      </c>
      <c r="AV29">
        <v>54.6</v>
      </c>
      <c r="AW29">
        <v>0.46875</v>
      </c>
      <c r="AX29">
        <v>3.75</v>
      </c>
      <c r="AY29">
        <v>50</v>
      </c>
      <c r="AZ29">
        <v>4.5</v>
      </c>
      <c r="BA29">
        <v>405.51</v>
      </c>
      <c r="BB29">
        <v>4.8600000000000003</v>
      </c>
      <c r="BC29">
        <v>54</v>
      </c>
      <c r="BD29">
        <v>0.25</v>
      </c>
      <c r="BE29">
        <v>2.75</v>
      </c>
      <c r="BF29">
        <v>18.625</v>
      </c>
      <c r="BG29">
        <v>2.375</v>
      </c>
      <c r="BH29">
        <v>61.5</v>
      </c>
      <c r="BI29">
        <v>5.58</v>
      </c>
      <c r="BJ29">
        <v>8</v>
      </c>
      <c r="BL29">
        <v>467.01</v>
      </c>
      <c r="BM29">
        <v>61</v>
      </c>
      <c r="BN29">
        <v>262.14999999999998</v>
      </c>
      <c r="BO29">
        <v>1510</v>
      </c>
      <c r="BP29">
        <v>0</v>
      </c>
      <c r="BQ29">
        <v>44</v>
      </c>
      <c r="BR29">
        <v>44</v>
      </c>
      <c r="BS29">
        <v>44</v>
      </c>
      <c r="BT29">
        <v>0</v>
      </c>
      <c r="BV29">
        <v>0</v>
      </c>
      <c r="BW29" t="s">
        <v>655</v>
      </c>
      <c r="BX29">
        <v>0.17</v>
      </c>
      <c r="BY29">
        <v>7.48</v>
      </c>
      <c r="BZ29">
        <v>0</v>
      </c>
      <c r="CA29">
        <v>1</v>
      </c>
      <c r="CB29">
        <v>0.6</v>
      </c>
      <c r="CC29" s="3">
        <v>7.1269159999999998E-2</v>
      </c>
      <c r="CD29">
        <v>2.875</v>
      </c>
      <c r="CE29">
        <v>2.5</v>
      </c>
      <c r="CF29">
        <v>18</v>
      </c>
      <c r="CG29">
        <v>6</v>
      </c>
      <c r="CH29">
        <v>0</v>
      </c>
      <c r="CI29">
        <v>44</v>
      </c>
      <c r="CJ29">
        <v>471.94439999999997</v>
      </c>
    </row>
    <row r="30" spans="1:88">
      <c r="A30">
        <v>28</v>
      </c>
      <c r="B30" t="s">
        <v>13</v>
      </c>
      <c r="C30" t="s">
        <v>1</v>
      </c>
      <c r="D30" t="s">
        <v>208</v>
      </c>
      <c r="E30" t="s">
        <v>96</v>
      </c>
      <c r="F30" t="s">
        <v>237</v>
      </c>
      <c r="G30" t="s">
        <v>15</v>
      </c>
      <c r="H30" t="s">
        <v>238</v>
      </c>
      <c r="J30">
        <v>2</v>
      </c>
      <c r="K30" t="s">
        <v>108</v>
      </c>
      <c r="L30" t="s">
        <v>293</v>
      </c>
      <c r="M30" t="s">
        <v>100</v>
      </c>
      <c r="N30" t="s">
        <v>101</v>
      </c>
      <c r="O30">
        <v>131</v>
      </c>
      <c r="Q30">
        <v>724</v>
      </c>
      <c r="R30">
        <v>127</v>
      </c>
      <c r="S30">
        <v>4.25</v>
      </c>
      <c r="T30">
        <v>3.5859999999999999</v>
      </c>
      <c r="U30">
        <v>6.37</v>
      </c>
      <c r="V30">
        <v>3076.32</v>
      </c>
      <c r="W30">
        <v>811</v>
      </c>
      <c r="X30">
        <v>1.3332999999999999</v>
      </c>
      <c r="Y30">
        <v>627</v>
      </c>
      <c r="Z30">
        <v>4.91</v>
      </c>
      <c r="AJ30">
        <v>2</v>
      </c>
      <c r="AK30">
        <v>18</v>
      </c>
      <c r="AM30">
        <v>0</v>
      </c>
      <c r="AO30" t="s">
        <v>239</v>
      </c>
      <c r="AT30">
        <v>51</v>
      </c>
      <c r="AV30">
        <v>73.2</v>
      </c>
      <c r="AW30" t="s">
        <v>6</v>
      </c>
      <c r="AX30" t="s">
        <v>6</v>
      </c>
      <c r="AY30" t="s">
        <v>6</v>
      </c>
      <c r="AZ30" t="s">
        <v>6</v>
      </c>
      <c r="BA30" t="s">
        <v>6</v>
      </c>
      <c r="BB30" t="s">
        <v>6</v>
      </c>
      <c r="BC30" t="s">
        <v>6</v>
      </c>
      <c r="BD30" t="s">
        <v>6</v>
      </c>
      <c r="BE30" t="s">
        <v>6</v>
      </c>
      <c r="BF30" t="s">
        <v>6</v>
      </c>
      <c r="BG30" t="s">
        <v>6</v>
      </c>
      <c r="BH30" t="s">
        <v>6</v>
      </c>
      <c r="BI30" t="s">
        <v>6</v>
      </c>
      <c r="BJ30" t="s">
        <v>6</v>
      </c>
      <c r="BN30">
        <v>625.10090000000002</v>
      </c>
      <c r="BO30">
        <v>2799</v>
      </c>
      <c r="BP30">
        <v>0</v>
      </c>
      <c r="BQ30">
        <v>45</v>
      </c>
      <c r="BR30">
        <v>45</v>
      </c>
      <c r="BS30">
        <v>44.69</v>
      </c>
      <c r="BT30">
        <v>0</v>
      </c>
      <c r="BV30">
        <v>0</v>
      </c>
      <c r="BW30" t="s">
        <v>655</v>
      </c>
      <c r="BX30">
        <v>0.17</v>
      </c>
      <c r="BY30">
        <v>7.5972999999999997</v>
      </c>
      <c r="BZ30">
        <v>0</v>
      </c>
      <c r="CA30">
        <v>1</v>
      </c>
      <c r="CB30">
        <v>0.6</v>
      </c>
      <c r="CC30" s="3">
        <v>7.1269159999999998E-2</v>
      </c>
      <c r="CD30">
        <v>2.875</v>
      </c>
      <c r="CE30">
        <v>2.5</v>
      </c>
      <c r="CF30">
        <v>18</v>
      </c>
      <c r="CG30">
        <v>6</v>
      </c>
      <c r="CH30">
        <v>0</v>
      </c>
      <c r="CI30">
        <v>44.69</v>
      </c>
      <c r="CJ30">
        <v>642.97559999999999</v>
      </c>
    </row>
    <row r="31" spans="1:88">
      <c r="A31">
        <v>29</v>
      </c>
      <c r="B31" t="s">
        <v>0</v>
      </c>
      <c r="C31" t="s">
        <v>1</v>
      </c>
      <c r="D31" t="s">
        <v>240</v>
      </c>
      <c r="E31" t="s">
        <v>241</v>
      </c>
      <c r="F31" t="s">
        <v>142</v>
      </c>
      <c r="G31" t="s">
        <v>106</v>
      </c>
      <c r="H31" t="s">
        <v>242</v>
      </c>
      <c r="J31">
        <v>2</v>
      </c>
      <c r="K31" t="s">
        <v>146</v>
      </c>
      <c r="L31" t="s">
        <v>151</v>
      </c>
      <c r="M31" t="s">
        <v>243</v>
      </c>
      <c r="N31" t="s">
        <v>136</v>
      </c>
      <c r="O31">
        <v>88</v>
      </c>
      <c r="Q31">
        <v>158</v>
      </c>
      <c r="R31">
        <v>40</v>
      </c>
      <c r="S31">
        <v>4.25</v>
      </c>
      <c r="T31">
        <v>2.4569999999999999</v>
      </c>
      <c r="U31">
        <v>5.66</v>
      </c>
      <c r="V31">
        <v>670.13</v>
      </c>
      <c r="W31">
        <v>228</v>
      </c>
      <c r="X31">
        <v>1.3332999999999999</v>
      </c>
      <c r="Y31">
        <v>177</v>
      </c>
      <c r="Z31">
        <v>3.79</v>
      </c>
      <c r="AJ31">
        <v>2</v>
      </c>
      <c r="AK31">
        <v>18</v>
      </c>
      <c r="AM31">
        <v>0</v>
      </c>
      <c r="AO31" t="s">
        <v>244</v>
      </c>
      <c r="AT31">
        <v>36</v>
      </c>
      <c r="AV31">
        <v>22.3</v>
      </c>
      <c r="AW31">
        <v>0</v>
      </c>
      <c r="AX31">
        <v>0</v>
      </c>
      <c r="AY31">
        <v>36.5</v>
      </c>
      <c r="AZ31">
        <v>2.875</v>
      </c>
      <c r="BA31">
        <v>0</v>
      </c>
      <c r="BB31">
        <v>0</v>
      </c>
      <c r="BC31">
        <v>32</v>
      </c>
      <c r="BN31">
        <v>103.43340000000001</v>
      </c>
      <c r="BO31">
        <v>9699</v>
      </c>
      <c r="BP31">
        <v>0</v>
      </c>
      <c r="BQ31">
        <v>30</v>
      </c>
      <c r="BR31">
        <v>30</v>
      </c>
      <c r="BS31">
        <v>29.73</v>
      </c>
      <c r="BT31">
        <v>0</v>
      </c>
      <c r="BV31">
        <v>0</v>
      </c>
      <c r="BW31" t="s">
        <v>655</v>
      </c>
      <c r="BX31">
        <v>0.17</v>
      </c>
      <c r="BY31">
        <v>5.0541</v>
      </c>
      <c r="BZ31">
        <v>0</v>
      </c>
      <c r="CA31">
        <v>1</v>
      </c>
      <c r="CB31">
        <v>0.6</v>
      </c>
      <c r="CC31" s="3">
        <v>7.1269159999999998E-2</v>
      </c>
      <c r="CD31">
        <v>2.875</v>
      </c>
      <c r="CE31">
        <v>2.5</v>
      </c>
      <c r="CF31">
        <v>18</v>
      </c>
      <c r="CG31">
        <v>6</v>
      </c>
      <c r="CH31">
        <v>0</v>
      </c>
      <c r="CI31">
        <v>29.73</v>
      </c>
      <c r="CJ31">
        <v>130.3082</v>
      </c>
    </row>
    <row r="32" spans="1:88">
      <c r="A32">
        <v>30</v>
      </c>
      <c r="B32" t="s">
        <v>13</v>
      </c>
      <c r="C32" t="s">
        <v>1</v>
      </c>
      <c r="D32" t="s">
        <v>8</v>
      </c>
      <c r="E32" t="s">
        <v>245</v>
      </c>
      <c r="F32" t="s">
        <v>246</v>
      </c>
      <c r="G32" t="s">
        <v>15</v>
      </c>
      <c r="H32" t="s">
        <v>247</v>
      </c>
      <c r="J32">
        <v>2</v>
      </c>
      <c r="K32" t="s">
        <v>108</v>
      </c>
      <c r="L32" t="s">
        <v>187</v>
      </c>
      <c r="M32" t="s">
        <v>248</v>
      </c>
      <c r="N32" t="s">
        <v>249</v>
      </c>
      <c r="O32">
        <v>218</v>
      </c>
      <c r="Q32">
        <v>1130</v>
      </c>
      <c r="R32">
        <v>135</v>
      </c>
      <c r="S32">
        <v>4.25</v>
      </c>
      <c r="T32">
        <v>5.5650000000000004</v>
      </c>
      <c r="U32">
        <v>7.53</v>
      </c>
      <c r="V32">
        <v>4803.05</v>
      </c>
      <c r="W32">
        <v>1015</v>
      </c>
      <c r="X32">
        <v>1.5</v>
      </c>
      <c r="Y32">
        <v>680</v>
      </c>
      <c r="Z32">
        <v>7.06</v>
      </c>
      <c r="AJ32">
        <v>2</v>
      </c>
      <c r="AK32">
        <v>18</v>
      </c>
      <c r="AM32">
        <v>0</v>
      </c>
      <c r="AO32" t="s">
        <v>250</v>
      </c>
      <c r="AT32">
        <v>81</v>
      </c>
      <c r="AV32">
        <v>71.099999999999994</v>
      </c>
      <c r="AW32" t="s">
        <v>6</v>
      </c>
      <c r="AX32" t="s">
        <v>6</v>
      </c>
      <c r="AY32" t="s">
        <v>6</v>
      </c>
      <c r="AZ32" t="s">
        <v>6</v>
      </c>
      <c r="BA32" t="s">
        <v>6</v>
      </c>
      <c r="BB32" t="s">
        <v>6</v>
      </c>
      <c r="BC32" t="s">
        <v>6</v>
      </c>
      <c r="BD32" t="s">
        <v>6</v>
      </c>
      <c r="BE32" t="s">
        <v>6</v>
      </c>
      <c r="BF32" t="s">
        <v>6</v>
      </c>
      <c r="BG32" t="s">
        <v>6</v>
      </c>
      <c r="BH32" t="s">
        <v>6</v>
      </c>
      <c r="BI32" t="s">
        <v>6</v>
      </c>
      <c r="BJ32" t="s">
        <v>6</v>
      </c>
      <c r="BN32">
        <v>606.1585</v>
      </c>
      <c r="BO32">
        <v>2977</v>
      </c>
      <c r="BP32">
        <v>0</v>
      </c>
      <c r="BQ32">
        <v>75</v>
      </c>
      <c r="BR32">
        <v>75</v>
      </c>
      <c r="BS32">
        <v>74.95</v>
      </c>
      <c r="BT32">
        <v>0</v>
      </c>
      <c r="BV32">
        <v>0</v>
      </c>
      <c r="BW32" t="s">
        <v>655</v>
      </c>
      <c r="BX32">
        <v>0.17</v>
      </c>
      <c r="BY32">
        <v>12.7415</v>
      </c>
      <c r="BZ32">
        <v>0</v>
      </c>
      <c r="CA32">
        <v>1</v>
      </c>
      <c r="CB32">
        <v>0.6</v>
      </c>
      <c r="CC32" s="3">
        <v>7.1269159999999998E-2</v>
      </c>
      <c r="CD32">
        <v>2.875</v>
      </c>
      <c r="CE32">
        <v>2.5</v>
      </c>
      <c r="CF32">
        <v>18</v>
      </c>
      <c r="CG32">
        <v>6</v>
      </c>
      <c r="CH32">
        <v>0</v>
      </c>
      <c r="CI32">
        <v>74.95</v>
      </c>
      <c r="CJ32">
        <v>1046.29</v>
      </c>
    </row>
    <row r="33" spans="1:88">
      <c r="A33">
        <v>31</v>
      </c>
      <c r="B33" t="s">
        <v>0</v>
      </c>
      <c r="C33" t="s">
        <v>1</v>
      </c>
      <c r="D33" t="s">
        <v>234</v>
      </c>
      <c r="E33" t="s">
        <v>251</v>
      </c>
      <c r="F33" t="s">
        <v>252</v>
      </c>
      <c r="G33" t="s">
        <v>106</v>
      </c>
      <c r="H33" t="s">
        <v>195</v>
      </c>
      <c r="J33">
        <v>2</v>
      </c>
      <c r="K33" t="s">
        <v>146</v>
      </c>
      <c r="L33" t="s">
        <v>253</v>
      </c>
      <c r="M33" t="s">
        <v>254</v>
      </c>
      <c r="N33" t="s">
        <v>255</v>
      </c>
      <c r="O33">
        <v>177</v>
      </c>
      <c r="Q33">
        <v>664</v>
      </c>
      <c r="R33">
        <v>90</v>
      </c>
      <c r="S33">
        <v>4.25</v>
      </c>
      <c r="T33">
        <v>4.6740000000000004</v>
      </c>
      <c r="U33">
        <v>7.05</v>
      </c>
      <c r="V33">
        <v>2823.4</v>
      </c>
      <c r="W33">
        <v>635</v>
      </c>
      <c r="X33">
        <v>1.3332999999999999</v>
      </c>
      <c r="Y33">
        <v>471</v>
      </c>
      <c r="Z33">
        <v>6</v>
      </c>
      <c r="AJ33">
        <v>2</v>
      </c>
      <c r="AK33">
        <v>18</v>
      </c>
      <c r="AM33">
        <v>0</v>
      </c>
      <c r="AO33" t="s">
        <v>256</v>
      </c>
      <c r="AT33">
        <v>67</v>
      </c>
      <c r="AV33">
        <v>50.6</v>
      </c>
      <c r="AW33">
        <v>0.4375</v>
      </c>
      <c r="AX33">
        <v>3.75</v>
      </c>
      <c r="AY33">
        <v>55</v>
      </c>
      <c r="AZ33">
        <v>5.25</v>
      </c>
      <c r="BA33">
        <v>258.8</v>
      </c>
      <c r="BB33">
        <v>6.35</v>
      </c>
      <c r="BC33">
        <v>56</v>
      </c>
      <c r="BD33">
        <v>0.40625</v>
      </c>
      <c r="BE33">
        <v>3.75</v>
      </c>
      <c r="BF33">
        <v>46</v>
      </c>
      <c r="BG33">
        <v>4.875</v>
      </c>
      <c r="BH33">
        <v>211.76</v>
      </c>
      <c r="BI33">
        <v>6.25</v>
      </c>
      <c r="BJ33">
        <v>44</v>
      </c>
      <c r="BL33">
        <v>470.56</v>
      </c>
      <c r="BM33">
        <v>99</v>
      </c>
      <c r="BN33">
        <v>242.5334</v>
      </c>
      <c r="BO33">
        <v>1764</v>
      </c>
      <c r="BP33">
        <v>0</v>
      </c>
      <c r="BQ33">
        <v>61</v>
      </c>
      <c r="BR33">
        <v>61</v>
      </c>
      <c r="BS33">
        <v>60.69</v>
      </c>
      <c r="BT33">
        <v>0</v>
      </c>
      <c r="BV33">
        <v>0</v>
      </c>
      <c r="BW33" t="s">
        <v>655</v>
      </c>
      <c r="BX33">
        <v>0.17</v>
      </c>
      <c r="BY33">
        <v>10.317299999999999</v>
      </c>
      <c r="BZ33">
        <v>0</v>
      </c>
      <c r="CA33">
        <v>1</v>
      </c>
      <c r="CB33">
        <v>0.6</v>
      </c>
      <c r="CC33" s="3">
        <v>7.1269159999999998E-2</v>
      </c>
      <c r="CD33">
        <v>2.875</v>
      </c>
      <c r="CE33">
        <v>2.5</v>
      </c>
      <c r="CF33">
        <v>18</v>
      </c>
      <c r="CG33">
        <v>6</v>
      </c>
      <c r="CH33">
        <v>0</v>
      </c>
      <c r="CI33">
        <v>60.69</v>
      </c>
      <c r="CJ33">
        <v>603.38279999999997</v>
      </c>
    </row>
    <row r="34" spans="1:88">
      <c r="A34">
        <v>32</v>
      </c>
      <c r="B34" t="s">
        <v>13</v>
      </c>
      <c r="C34" t="s">
        <v>1</v>
      </c>
      <c r="D34" t="s">
        <v>143</v>
      </c>
      <c r="E34" t="s">
        <v>197</v>
      </c>
      <c r="F34" t="s">
        <v>144</v>
      </c>
      <c r="G34" t="s">
        <v>106</v>
      </c>
      <c r="H34" t="s">
        <v>145</v>
      </c>
      <c r="J34">
        <v>2</v>
      </c>
      <c r="K34" t="s">
        <v>146</v>
      </c>
      <c r="L34" t="s">
        <v>199</v>
      </c>
      <c r="M34" t="s">
        <v>200</v>
      </c>
      <c r="N34" t="s">
        <v>201</v>
      </c>
      <c r="O34">
        <v>173</v>
      </c>
      <c r="Q34">
        <v>687</v>
      </c>
      <c r="R34">
        <v>95</v>
      </c>
      <c r="S34">
        <v>4.25</v>
      </c>
      <c r="T34">
        <v>4.5830000000000002</v>
      </c>
      <c r="U34">
        <v>6.97</v>
      </c>
      <c r="V34">
        <v>2919.7</v>
      </c>
      <c r="W34">
        <v>659</v>
      </c>
      <c r="X34">
        <v>1.3332999999999999</v>
      </c>
      <c r="Y34">
        <v>494</v>
      </c>
      <c r="Z34">
        <v>5.91</v>
      </c>
      <c r="AJ34">
        <v>2</v>
      </c>
      <c r="AK34">
        <v>18</v>
      </c>
      <c r="AM34">
        <v>0</v>
      </c>
      <c r="AO34" t="s">
        <v>149</v>
      </c>
      <c r="AT34">
        <v>65</v>
      </c>
      <c r="AV34">
        <v>53.5</v>
      </c>
      <c r="AW34">
        <v>0.4375</v>
      </c>
      <c r="AX34">
        <v>3.75</v>
      </c>
      <c r="AY34">
        <v>52.375</v>
      </c>
      <c r="AZ34">
        <v>5.125</v>
      </c>
      <c r="BA34">
        <v>271.70999999999998</v>
      </c>
      <c r="BB34">
        <v>6.05</v>
      </c>
      <c r="BC34">
        <v>53</v>
      </c>
      <c r="BD34">
        <v>0.40625</v>
      </c>
      <c r="BE34">
        <v>3.75</v>
      </c>
      <c r="BF34">
        <v>43.75</v>
      </c>
      <c r="BG34">
        <v>4.75</v>
      </c>
      <c r="BH34">
        <v>222.31</v>
      </c>
      <c r="BI34">
        <v>5.95</v>
      </c>
      <c r="BJ34">
        <v>42</v>
      </c>
      <c r="BL34">
        <v>494.02</v>
      </c>
      <c r="BM34">
        <v>94</v>
      </c>
      <c r="BN34">
        <v>256.80009999999999</v>
      </c>
      <c r="BO34">
        <v>1574</v>
      </c>
      <c r="BP34">
        <v>0</v>
      </c>
      <c r="BQ34">
        <v>59</v>
      </c>
      <c r="BR34">
        <v>59</v>
      </c>
      <c r="BS34">
        <v>59.3</v>
      </c>
      <c r="BT34">
        <v>0</v>
      </c>
      <c r="BV34">
        <v>0</v>
      </c>
      <c r="BW34" t="s">
        <v>655</v>
      </c>
      <c r="BX34">
        <v>0.17</v>
      </c>
      <c r="BY34">
        <v>10.081</v>
      </c>
      <c r="BZ34">
        <v>0</v>
      </c>
      <c r="CA34">
        <v>1</v>
      </c>
      <c r="CB34">
        <v>0.6</v>
      </c>
      <c r="CC34" s="3">
        <v>7.1269159999999998E-2</v>
      </c>
      <c r="CD34">
        <v>2.875</v>
      </c>
      <c r="CE34">
        <v>2.5</v>
      </c>
      <c r="CF34">
        <v>18</v>
      </c>
      <c r="CG34">
        <v>6</v>
      </c>
      <c r="CH34">
        <v>0</v>
      </c>
      <c r="CI34">
        <v>59.3</v>
      </c>
      <c r="CJ34">
        <v>623.37350000000004</v>
      </c>
    </row>
    <row r="35" spans="1:88">
      <c r="A35">
        <v>33</v>
      </c>
      <c r="B35" t="s">
        <v>0</v>
      </c>
      <c r="C35" t="s">
        <v>1</v>
      </c>
      <c r="D35" t="s">
        <v>257</v>
      </c>
      <c r="E35" t="s">
        <v>258</v>
      </c>
      <c r="F35" t="s">
        <v>194</v>
      </c>
      <c r="G35" t="s">
        <v>106</v>
      </c>
      <c r="H35" t="s">
        <v>259</v>
      </c>
      <c r="J35">
        <v>2</v>
      </c>
      <c r="K35" t="s">
        <v>146</v>
      </c>
      <c r="L35" t="s">
        <v>14</v>
      </c>
      <c r="M35" t="s">
        <v>260</v>
      </c>
      <c r="N35" t="s">
        <v>120</v>
      </c>
      <c r="O35">
        <v>162</v>
      </c>
      <c r="Q35">
        <v>590</v>
      </c>
      <c r="R35">
        <v>87</v>
      </c>
      <c r="S35">
        <v>4.25</v>
      </c>
      <c r="T35">
        <v>4.33</v>
      </c>
      <c r="U35">
        <v>6.82</v>
      </c>
      <c r="V35">
        <v>2507.33</v>
      </c>
      <c r="W35">
        <v>594</v>
      </c>
      <c r="X35">
        <v>1.3332999999999999</v>
      </c>
      <c r="Y35">
        <v>443</v>
      </c>
      <c r="Z35">
        <v>5.66</v>
      </c>
      <c r="AJ35">
        <v>2</v>
      </c>
      <c r="AK35">
        <v>18</v>
      </c>
      <c r="AM35">
        <v>0</v>
      </c>
      <c r="AO35" t="s">
        <v>261</v>
      </c>
      <c r="AT35">
        <v>62</v>
      </c>
      <c r="AV35">
        <v>48.8</v>
      </c>
      <c r="AW35">
        <v>0.46875</v>
      </c>
      <c r="AX35">
        <v>3.75</v>
      </c>
      <c r="AY35">
        <v>58.25</v>
      </c>
      <c r="AZ35">
        <v>5.25</v>
      </c>
      <c r="BA35">
        <v>348.2</v>
      </c>
      <c r="BB35">
        <v>5.66</v>
      </c>
      <c r="BC35">
        <v>63</v>
      </c>
      <c r="BD35">
        <v>0.3125</v>
      </c>
      <c r="BE35">
        <v>2.75</v>
      </c>
      <c r="BF35">
        <v>37.875</v>
      </c>
      <c r="BG35">
        <v>3.5</v>
      </c>
      <c r="BH35">
        <v>94.78</v>
      </c>
      <c r="BI35">
        <v>6.74</v>
      </c>
      <c r="BJ35">
        <v>20</v>
      </c>
      <c r="BL35">
        <v>442.98</v>
      </c>
      <c r="BM35">
        <v>82</v>
      </c>
      <c r="BN35">
        <v>233.61670000000001</v>
      </c>
      <c r="BO35">
        <v>1901</v>
      </c>
      <c r="BP35">
        <v>0</v>
      </c>
      <c r="BQ35">
        <v>55</v>
      </c>
      <c r="BR35">
        <v>55</v>
      </c>
      <c r="BS35">
        <v>55.47</v>
      </c>
      <c r="BT35">
        <v>0</v>
      </c>
      <c r="BV35">
        <v>0</v>
      </c>
      <c r="BW35" t="s">
        <v>655</v>
      </c>
      <c r="BX35">
        <v>0.17</v>
      </c>
      <c r="BY35">
        <v>9.4298999999999999</v>
      </c>
      <c r="BZ35">
        <v>0</v>
      </c>
      <c r="CA35">
        <v>1</v>
      </c>
      <c r="CB35">
        <v>0.6</v>
      </c>
      <c r="CC35" s="3">
        <v>7.1269159999999998E-2</v>
      </c>
      <c r="CD35">
        <v>2.875</v>
      </c>
      <c r="CE35">
        <v>2.5</v>
      </c>
      <c r="CF35">
        <v>18</v>
      </c>
      <c r="CG35">
        <v>6</v>
      </c>
      <c r="CH35">
        <v>0</v>
      </c>
      <c r="CI35">
        <v>55.47</v>
      </c>
      <c r="CJ35">
        <v>531.71889999999996</v>
      </c>
    </row>
    <row r="36" spans="1:88">
      <c r="A36">
        <v>34</v>
      </c>
      <c r="B36" t="s">
        <v>0</v>
      </c>
      <c r="C36" t="s">
        <v>1</v>
      </c>
      <c r="D36" t="s">
        <v>113</v>
      </c>
      <c r="E36" t="s">
        <v>199</v>
      </c>
      <c r="F36" t="s">
        <v>262</v>
      </c>
      <c r="G36" t="s">
        <v>214</v>
      </c>
      <c r="H36" t="s">
        <v>263</v>
      </c>
      <c r="J36">
        <v>2</v>
      </c>
      <c r="K36" t="s">
        <v>108</v>
      </c>
      <c r="L36" t="s">
        <v>264</v>
      </c>
      <c r="M36" t="s">
        <v>265</v>
      </c>
      <c r="N36" t="s">
        <v>161</v>
      </c>
      <c r="O36">
        <v>193</v>
      </c>
      <c r="Q36">
        <v>885</v>
      </c>
      <c r="R36">
        <v>109</v>
      </c>
      <c r="S36">
        <v>4.25</v>
      </c>
      <c r="T36">
        <v>5.0289999999999999</v>
      </c>
      <c r="U36">
        <v>7.31</v>
      </c>
      <c r="V36">
        <v>3762.44</v>
      </c>
      <c r="W36">
        <v>794</v>
      </c>
      <c r="X36">
        <v>1.3332999999999999</v>
      </c>
      <c r="Y36">
        <v>592</v>
      </c>
      <c r="Z36">
        <v>6.36</v>
      </c>
      <c r="AJ36">
        <v>2</v>
      </c>
      <c r="AK36">
        <v>18</v>
      </c>
      <c r="AM36">
        <v>0</v>
      </c>
      <c r="AO36" t="s">
        <v>266</v>
      </c>
      <c r="AT36">
        <v>72</v>
      </c>
      <c r="AV36">
        <v>62.3</v>
      </c>
      <c r="AW36">
        <v>0.46875</v>
      </c>
      <c r="AX36">
        <v>3.75</v>
      </c>
      <c r="AY36">
        <v>68.5</v>
      </c>
      <c r="AZ36">
        <v>6</v>
      </c>
      <c r="BA36">
        <v>295.77999999999997</v>
      </c>
      <c r="BB36">
        <v>6.66</v>
      </c>
      <c r="BC36">
        <v>74</v>
      </c>
      <c r="BD36">
        <v>0.46875</v>
      </c>
      <c r="BE36">
        <v>3.75</v>
      </c>
      <c r="BF36">
        <v>68.5</v>
      </c>
      <c r="BG36">
        <v>6</v>
      </c>
      <c r="BH36">
        <v>295.77999999999997</v>
      </c>
      <c r="BI36">
        <v>6.66</v>
      </c>
      <c r="BJ36">
        <v>74</v>
      </c>
      <c r="BL36">
        <v>591.55999999999995</v>
      </c>
      <c r="BM36">
        <v>147</v>
      </c>
      <c r="BN36">
        <v>302.12</v>
      </c>
      <c r="BO36">
        <v>1426</v>
      </c>
      <c r="BP36">
        <v>0</v>
      </c>
      <c r="BQ36">
        <v>66</v>
      </c>
      <c r="BR36">
        <v>66</v>
      </c>
      <c r="BS36">
        <v>66.260000000000005</v>
      </c>
      <c r="BT36">
        <v>0</v>
      </c>
      <c r="BV36">
        <v>0</v>
      </c>
      <c r="BW36" t="s">
        <v>655</v>
      </c>
      <c r="BX36">
        <v>0.17</v>
      </c>
      <c r="BY36">
        <v>11.264200000000001</v>
      </c>
      <c r="BZ36">
        <v>0</v>
      </c>
      <c r="CA36">
        <v>1</v>
      </c>
      <c r="CB36">
        <v>0.6</v>
      </c>
      <c r="CC36" s="3">
        <v>7.1269159999999998E-2</v>
      </c>
      <c r="CD36">
        <v>2.875</v>
      </c>
      <c r="CE36">
        <v>2.5</v>
      </c>
      <c r="CF36">
        <v>18</v>
      </c>
      <c r="CG36">
        <v>6</v>
      </c>
      <c r="CH36">
        <v>0</v>
      </c>
      <c r="CI36">
        <v>66.260000000000005</v>
      </c>
      <c r="CJ36">
        <v>811.64430000000004</v>
      </c>
    </row>
    <row r="37" spans="1:88">
      <c r="A37">
        <v>35</v>
      </c>
      <c r="B37" t="s">
        <v>0</v>
      </c>
      <c r="C37" t="s">
        <v>1</v>
      </c>
      <c r="D37" t="s">
        <v>267</v>
      </c>
      <c r="E37" t="s">
        <v>268</v>
      </c>
      <c r="F37" t="s">
        <v>269</v>
      </c>
      <c r="G37" t="s">
        <v>106</v>
      </c>
      <c r="H37" t="s">
        <v>131</v>
      </c>
      <c r="J37">
        <v>2</v>
      </c>
      <c r="K37" t="s">
        <v>146</v>
      </c>
      <c r="L37" t="s">
        <v>133</v>
      </c>
      <c r="M37" t="s">
        <v>270</v>
      </c>
      <c r="N37" t="s">
        <v>153</v>
      </c>
      <c r="O37">
        <v>123</v>
      </c>
      <c r="Q37">
        <v>515</v>
      </c>
      <c r="R37">
        <v>97</v>
      </c>
      <c r="S37">
        <v>4.25</v>
      </c>
      <c r="T37">
        <v>3.3849999999999998</v>
      </c>
      <c r="U37">
        <v>6.22</v>
      </c>
      <c r="V37">
        <v>2187.13</v>
      </c>
      <c r="W37">
        <v>603</v>
      </c>
      <c r="X37">
        <v>1.3332999999999999</v>
      </c>
      <c r="Y37">
        <v>464</v>
      </c>
      <c r="Z37">
        <v>4.71</v>
      </c>
      <c r="AJ37">
        <v>2</v>
      </c>
      <c r="AK37">
        <v>18</v>
      </c>
      <c r="AM37">
        <v>0</v>
      </c>
      <c r="AO37" t="s">
        <v>271</v>
      </c>
      <c r="AT37">
        <v>48</v>
      </c>
      <c r="AV37">
        <v>54.9</v>
      </c>
      <c r="AW37">
        <v>0.46875</v>
      </c>
      <c r="AX37">
        <v>3.75</v>
      </c>
      <c r="AY37">
        <v>48.5</v>
      </c>
      <c r="AZ37">
        <v>4.375</v>
      </c>
      <c r="BA37">
        <v>418.43</v>
      </c>
      <c r="BB37">
        <v>4.71</v>
      </c>
      <c r="BC37">
        <v>52</v>
      </c>
      <c r="BD37">
        <v>0.25</v>
      </c>
      <c r="BE37">
        <v>2.75</v>
      </c>
      <c r="BF37">
        <v>25</v>
      </c>
      <c r="BG37">
        <v>2.375</v>
      </c>
      <c r="BH37">
        <v>45.92</v>
      </c>
      <c r="BI37">
        <v>7.47</v>
      </c>
      <c r="BJ37">
        <v>11</v>
      </c>
      <c r="BL37">
        <v>464.35</v>
      </c>
      <c r="BM37">
        <v>62</v>
      </c>
      <c r="BN37">
        <v>263.93340000000001</v>
      </c>
      <c r="BO37">
        <v>1490</v>
      </c>
      <c r="BP37">
        <v>0</v>
      </c>
      <c r="BQ37">
        <v>42</v>
      </c>
      <c r="BR37">
        <v>42</v>
      </c>
      <c r="BS37">
        <v>41.91</v>
      </c>
      <c r="BT37">
        <v>0</v>
      </c>
      <c r="BV37">
        <v>0</v>
      </c>
      <c r="BW37" t="s">
        <v>655</v>
      </c>
      <c r="BX37">
        <v>0.17</v>
      </c>
      <c r="BY37">
        <v>7.1246999999999998</v>
      </c>
      <c r="BZ37">
        <v>0</v>
      </c>
      <c r="CA37">
        <v>1</v>
      </c>
      <c r="CB37">
        <v>0.6</v>
      </c>
      <c r="CC37" s="3">
        <v>7.1269159999999998E-2</v>
      </c>
      <c r="CD37">
        <v>2.875</v>
      </c>
      <c r="CE37">
        <v>2.5</v>
      </c>
      <c r="CF37">
        <v>18</v>
      </c>
      <c r="CG37">
        <v>6</v>
      </c>
      <c r="CH37">
        <v>0</v>
      </c>
      <c r="CI37">
        <v>41.91</v>
      </c>
      <c r="CJ37">
        <v>452.51389999999998</v>
      </c>
    </row>
    <row r="38" spans="1:88">
      <c r="A38">
        <v>36</v>
      </c>
      <c r="B38" t="s">
        <v>0</v>
      </c>
      <c r="C38" t="s">
        <v>1</v>
      </c>
      <c r="D38" t="s">
        <v>272</v>
      </c>
      <c r="E38" t="s">
        <v>113</v>
      </c>
      <c r="F38" t="s">
        <v>273</v>
      </c>
      <c r="G38" t="s">
        <v>106</v>
      </c>
      <c r="H38" t="s">
        <v>274</v>
      </c>
      <c r="J38">
        <v>2</v>
      </c>
      <c r="K38" t="s">
        <v>108</v>
      </c>
      <c r="L38" t="s">
        <v>116</v>
      </c>
      <c r="M38" t="s">
        <v>117</v>
      </c>
      <c r="N38" t="s">
        <v>14</v>
      </c>
      <c r="O38">
        <v>179</v>
      </c>
      <c r="Q38">
        <v>735</v>
      </c>
      <c r="R38">
        <v>98</v>
      </c>
      <c r="S38">
        <v>4.25</v>
      </c>
      <c r="T38">
        <v>4.7190000000000003</v>
      </c>
      <c r="U38">
        <v>7.05</v>
      </c>
      <c r="V38">
        <v>3122.81</v>
      </c>
      <c r="W38">
        <v>689</v>
      </c>
      <c r="X38">
        <v>1.3332999999999999</v>
      </c>
      <c r="Y38">
        <v>516</v>
      </c>
      <c r="Z38">
        <v>6.05</v>
      </c>
      <c r="AJ38">
        <v>2</v>
      </c>
      <c r="AK38">
        <v>18</v>
      </c>
      <c r="AM38">
        <v>0</v>
      </c>
      <c r="AO38" t="s">
        <v>275</v>
      </c>
      <c r="AT38">
        <v>68</v>
      </c>
      <c r="AV38">
        <v>55.4</v>
      </c>
      <c r="AW38">
        <v>0.4375</v>
      </c>
      <c r="AX38">
        <v>3.75</v>
      </c>
      <c r="AY38">
        <v>55.125</v>
      </c>
      <c r="AZ38">
        <v>5.25</v>
      </c>
      <c r="BA38">
        <v>258.07</v>
      </c>
      <c r="BB38">
        <v>6.37</v>
      </c>
      <c r="BC38">
        <v>56</v>
      </c>
      <c r="BD38">
        <v>0.4375</v>
      </c>
      <c r="BE38">
        <v>3.75</v>
      </c>
      <c r="BF38">
        <v>55.125</v>
      </c>
      <c r="BG38">
        <v>5.25</v>
      </c>
      <c r="BH38">
        <v>258.07</v>
      </c>
      <c r="BI38">
        <v>6.37</v>
      </c>
      <c r="BJ38">
        <v>56</v>
      </c>
      <c r="BL38">
        <v>516.14</v>
      </c>
      <c r="BM38">
        <v>111</v>
      </c>
      <c r="BN38">
        <v>265.7167</v>
      </c>
      <c r="BO38">
        <v>1470</v>
      </c>
      <c r="BP38">
        <v>0</v>
      </c>
      <c r="BQ38">
        <v>61</v>
      </c>
      <c r="BR38">
        <v>61</v>
      </c>
      <c r="BS38">
        <v>61.39</v>
      </c>
      <c r="BT38">
        <v>0</v>
      </c>
      <c r="BV38">
        <v>0</v>
      </c>
      <c r="BW38" t="s">
        <v>655</v>
      </c>
      <c r="BX38">
        <v>0.17</v>
      </c>
      <c r="BY38">
        <v>10.436299999999999</v>
      </c>
      <c r="BZ38">
        <v>0</v>
      </c>
      <c r="CA38">
        <v>1</v>
      </c>
      <c r="CB38">
        <v>0.6</v>
      </c>
      <c r="CC38" s="3">
        <v>7.1269159999999998E-2</v>
      </c>
      <c r="CD38">
        <v>2.875</v>
      </c>
      <c r="CE38">
        <v>2.5</v>
      </c>
      <c r="CF38">
        <v>18</v>
      </c>
      <c r="CG38">
        <v>6</v>
      </c>
      <c r="CH38">
        <v>0</v>
      </c>
      <c r="CI38">
        <v>61.39</v>
      </c>
      <c r="CJ38">
        <v>668.86069999999995</v>
      </c>
    </row>
    <row r="39" spans="1:88">
      <c r="A39">
        <v>37</v>
      </c>
      <c r="B39" t="s">
        <v>0</v>
      </c>
      <c r="C39" t="s">
        <v>1</v>
      </c>
      <c r="D39" t="s">
        <v>145</v>
      </c>
      <c r="E39" t="s">
        <v>255</v>
      </c>
      <c r="F39" t="s">
        <v>206</v>
      </c>
      <c r="G39" t="s">
        <v>106</v>
      </c>
      <c r="H39" t="s">
        <v>207</v>
      </c>
      <c r="J39">
        <v>2</v>
      </c>
      <c r="K39" t="s">
        <v>146</v>
      </c>
      <c r="L39" t="s">
        <v>276</v>
      </c>
      <c r="M39" t="s">
        <v>277</v>
      </c>
      <c r="N39" t="s">
        <v>123</v>
      </c>
      <c r="O39">
        <v>180</v>
      </c>
      <c r="Q39">
        <v>708</v>
      </c>
      <c r="R39">
        <v>94</v>
      </c>
      <c r="S39">
        <v>4.25</v>
      </c>
      <c r="T39">
        <v>4.7409999999999997</v>
      </c>
      <c r="U39">
        <v>7.08</v>
      </c>
      <c r="V39">
        <v>3009.76</v>
      </c>
      <c r="W39">
        <v>666</v>
      </c>
      <c r="X39">
        <v>1.3332999999999999</v>
      </c>
      <c r="Y39">
        <v>496</v>
      </c>
      <c r="Z39">
        <v>6.07</v>
      </c>
      <c r="AJ39">
        <v>2</v>
      </c>
      <c r="AK39">
        <v>18</v>
      </c>
      <c r="AM39">
        <v>0</v>
      </c>
      <c r="AO39" t="s">
        <v>211</v>
      </c>
      <c r="AT39">
        <v>68</v>
      </c>
      <c r="AV39">
        <v>53.1</v>
      </c>
      <c r="AW39">
        <v>0.4375</v>
      </c>
      <c r="AX39">
        <v>3.75</v>
      </c>
      <c r="AY39">
        <v>52.125</v>
      </c>
      <c r="AZ39">
        <v>5.25</v>
      </c>
      <c r="BA39">
        <v>272.70999999999998</v>
      </c>
      <c r="BB39">
        <v>6.03</v>
      </c>
      <c r="BC39">
        <v>53</v>
      </c>
      <c r="BD39">
        <v>0.4375</v>
      </c>
      <c r="BE39">
        <v>3.75</v>
      </c>
      <c r="BF39">
        <v>63.75</v>
      </c>
      <c r="BG39">
        <v>5.25</v>
      </c>
      <c r="BH39">
        <v>223.13</v>
      </c>
      <c r="BI39">
        <v>7.37</v>
      </c>
      <c r="BJ39">
        <v>65</v>
      </c>
      <c r="BL39">
        <v>495.84</v>
      </c>
      <c r="BM39">
        <v>117</v>
      </c>
      <c r="BN39">
        <v>255.01669999999999</v>
      </c>
      <c r="BO39">
        <v>1596</v>
      </c>
      <c r="BP39">
        <v>0</v>
      </c>
      <c r="BQ39">
        <v>62</v>
      </c>
      <c r="BR39">
        <v>62</v>
      </c>
      <c r="BS39">
        <v>61.73</v>
      </c>
      <c r="BT39">
        <v>0</v>
      </c>
      <c r="BV39">
        <v>0</v>
      </c>
      <c r="BW39" t="s">
        <v>655</v>
      </c>
      <c r="BX39">
        <v>0.17</v>
      </c>
      <c r="BY39">
        <v>10.4941</v>
      </c>
      <c r="BZ39">
        <v>0</v>
      </c>
      <c r="CA39">
        <v>1</v>
      </c>
      <c r="CB39">
        <v>0.6</v>
      </c>
      <c r="CC39" s="3">
        <v>7.1269159999999998E-2</v>
      </c>
      <c r="CD39">
        <v>2.875</v>
      </c>
      <c r="CE39">
        <v>2.5</v>
      </c>
      <c r="CF39">
        <v>18</v>
      </c>
      <c r="CG39">
        <v>6</v>
      </c>
      <c r="CH39">
        <v>0</v>
      </c>
      <c r="CI39">
        <v>61.73</v>
      </c>
      <c r="CJ39">
        <v>644.51869999999997</v>
      </c>
    </row>
    <row r="40" spans="1:88">
      <c r="A40">
        <v>38</v>
      </c>
      <c r="B40" t="s">
        <v>13</v>
      </c>
      <c r="C40" t="s">
        <v>1</v>
      </c>
      <c r="D40" t="s">
        <v>233</v>
      </c>
      <c r="E40" t="s">
        <v>278</v>
      </c>
      <c r="F40" t="s">
        <v>271</v>
      </c>
      <c r="G40" t="s">
        <v>106</v>
      </c>
      <c r="H40" t="s">
        <v>279</v>
      </c>
      <c r="J40">
        <v>2</v>
      </c>
      <c r="K40" t="s">
        <v>146</v>
      </c>
      <c r="L40" t="s">
        <v>280</v>
      </c>
      <c r="M40" t="s">
        <v>281</v>
      </c>
      <c r="N40" t="s">
        <v>282</v>
      </c>
      <c r="O40">
        <v>207</v>
      </c>
      <c r="Q40">
        <v>824</v>
      </c>
      <c r="R40">
        <v>103</v>
      </c>
      <c r="S40">
        <v>4.25</v>
      </c>
      <c r="T40">
        <v>5.3319999999999999</v>
      </c>
      <c r="U40">
        <v>7.42</v>
      </c>
      <c r="V40">
        <v>3502.93</v>
      </c>
      <c r="W40">
        <v>764</v>
      </c>
      <c r="X40">
        <v>1.5</v>
      </c>
      <c r="Y40">
        <v>513</v>
      </c>
      <c r="Z40">
        <v>6.83</v>
      </c>
      <c r="AJ40">
        <v>2</v>
      </c>
      <c r="AK40">
        <v>18</v>
      </c>
      <c r="AM40">
        <v>0</v>
      </c>
      <c r="AO40" t="s">
        <v>144</v>
      </c>
      <c r="AT40">
        <v>77</v>
      </c>
      <c r="AV40">
        <v>54.2</v>
      </c>
      <c r="AW40">
        <v>0.46875</v>
      </c>
      <c r="AX40">
        <v>3.75</v>
      </c>
      <c r="AY40">
        <v>71.875</v>
      </c>
      <c r="AZ40">
        <v>6.375</v>
      </c>
      <c r="BA40">
        <v>282.07</v>
      </c>
      <c r="BB40">
        <v>6.98</v>
      </c>
      <c r="BC40">
        <v>77</v>
      </c>
      <c r="BD40">
        <v>0.4375</v>
      </c>
      <c r="BE40">
        <v>3.75</v>
      </c>
      <c r="BF40">
        <v>61.625</v>
      </c>
      <c r="BG40">
        <v>6</v>
      </c>
      <c r="BH40">
        <v>230.79</v>
      </c>
      <c r="BI40">
        <v>7.13</v>
      </c>
      <c r="BJ40">
        <v>62</v>
      </c>
      <c r="BL40">
        <v>512.86</v>
      </c>
      <c r="BM40">
        <v>139</v>
      </c>
      <c r="BN40">
        <v>260.36669999999998</v>
      </c>
      <c r="BO40">
        <v>1531</v>
      </c>
      <c r="BP40">
        <v>0</v>
      </c>
      <c r="BQ40">
        <v>71</v>
      </c>
      <c r="BR40">
        <v>71</v>
      </c>
      <c r="BS40">
        <v>71.13</v>
      </c>
      <c r="BT40">
        <v>0</v>
      </c>
      <c r="BV40">
        <v>0</v>
      </c>
      <c r="BW40" t="s">
        <v>655</v>
      </c>
      <c r="BX40">
        <v>0.17</v>
      </c>
      <c r="BY40">
        <v>12.0921</v>
      </c>
      <c r="BZ40">
        <v>0</v>
      </c>
      <c r="CA40">
        <v>1</v>
      </c>
      <c r="CB40">
        <v>0.6</v>
      </c>
      <c r="CC40" s="3">
        <v>7.1269159999999998E-2</v>
      </c>
      <c r="CD40">
        <v>2.875</v>
      </c>
      <c r="CE40">
        <v>2.5</v>
      </c>
      <c r="CF40">
        <v>18</v>
      </c>
      <c r="CG40">
        <v>6</v>
      </c>
      <c r="CH40">
        <v>0</v>
      </c>
      <c r="CI40">
        <v>71.13</v>
      </c>
      <c r="CJ40">
        <v>757.87149999999997</v>
      </c>
    </row>
    <row r="41" spans="1:88">
      <c r="A41">
        <v>39</v>
      </c>
      <c r="B41" t="s">
        <v>13</v>
      </c>
      <c r="C41" t="s">
        <v>1</v>
      </c>
      <c r="D41" t="s">
        <v>283</v>
      </c>
      <c r="E41" t="s">
        <v>5</v>
      </c>
      <c r="F41" t="s">
        <v>243</v>
      </c>
      <c r="G41" t="s">
        <v>106</v>
      </c>
      <c r="H41" t="s">
        <v>284</v>
      </c>
      <c r="J41">
        <v>2</v>
      </c>
      <c r="K41" t="s">
        <v>146</v>
      </c>
      <c r="L41" t="s">
        <v>162</v>
      </c>
      <c r="M41" t="s">
        <v>155</v>
      </c>
      <c r="N41" t="s">
        <v>176</v>
      </c>
      <c r="O41">
        <v>110</v>
      </c>
      <c r="Q41">
        <v>247</v>
      </c>
      <c r="R41">
        <v>51</v>
      </c>
      <c r="S41">
        <v>4.25</v>
      </c>
      <c r="T41">
        <v>3.05</v>
      </c>
      <c r="U41">
        <v>6.11</v>
      </c>
      <c r="V41">
        <v>1049.96</v>
      </c>
      <c r="W41">
        <v>309</v>
      </c>
      <c r="X41">
        <v>1.3332999999999999</v>
      </c>
      <c r="Y41">
        <v>240</v>
      </c>
      <c r="Z41">
        <v>4.38</v>
      </c>
      <c r="AJ41">
        <v>2</v>
      </c>
      <c r="AK41">
        <v>18</v>
      </c>
      <c r="AM41">
        <v>0</v>
      </c>
      <c r="AO41" t="s">
        <v>285</v>
      </c>
      <c r="AT41">
        <v>44</v>
      </c>
      <c r="AV41">
        <v>28.8</v>
      </c>
      <c r="AW41">
        <v>0</v>
      </c>
      <c r="AX41">
        <v>0</v>
      </c>
      <c r="AY41">
        <v>27</v>
      </c>
      <c r="AZ41">
        <v>3.25</v>
      </c>
      <c r="BA41">
        <v>0</v>
      </c>
      <c r="BB41">
        <v>0</v>
      </c>
      <c r="BC41">
        <v>24</v>
      </c>
      <c r="BN41">
        <v>135.5334</v>
      </c>
      <c r="BO41">
        <v>5649</v>
      </c>
      <c r="BP41">
        <v>0</v>
      </c>
      <c r="BQ41">
        <v>37</v>
      </c>
      <c r="BR41">
        <v>37</v>
      </c>
      <c r="BS41">
        <v>37.39</v>
      </c>
      <c r="BT41">
        <v>0</v>
      </c>
      <c r="BV41">
        <v>0</v>
      </c>
      <c r="BW41" t="s">
        <v>655</v>
      </c>
      <c r="BX41">
        <v>0.17</v>
      </c>
      <c r="BY41">
        <v>6.3563000000000001</v>
      </c>
      <c r="BZ41">
        <v>0</v>
      </c>
      <c r="CA41">
        <v>1</v>
      </c>
      <c r="CB41">
        <v>0.6</v>
      </c>
      <c r="CC41" s="3">
        <v>7.1269159999999998E-2</v>
      </c>
      <c r="CD41">
        <v>2.875</v>
      </c>
      <c r="CE41">
        <v>2.5</v>
      </c>
      <c r="CF41">
        <v>18</v>
      </c>
      <c r="CG41">
        <v>6</v>
      </c>
      <c r="CH41">
        <v>0</v>
      </c>
      <c r="CI41">
        <v>37.39</v>
      </c>
      <c r="CJ41">
        <v>211.84790000000001</v>
      </c>
    </row>
    <row r="42" spans="1:88">
      <c r="A42">
        <v>40</v>
      </c>
      <c r="B42" t="s">
        <v>0</v>
      </c>
      <c r="C42" t="s">
        <v>1</v>
      </c>
      <c r="D42" t="s">
        <v>96</v>
      </c>
      <c r="E42" t="s">
        <v>119</v>
      </c>
      <c r="F42" t="s">
        <v>198</v>
      </c>
      <c r="G42" t="s">
        <v>106</v>
      </c>
      <c r="H42" t="s">
        <v>162</v>
      </c>
      <c r="J42">
        <v>2</v>
      </c>
      <c r="K42" t="s">
        <v>146</v>
      </c>
      <c r="L42" t="s">
        <v>165</v>
      </c>
      <c r="M42" t="s">
        <v>286</v>
      </c>
      <c r="N42" t="s">
        <v>96</v>
      </c>
      <c r="O42">
        <v>128</v>
      </c>
      <c r="Q42">
        <v>436</v>
      </c>
      <c r="R42">
        <v>81</v>
      </c>
      <c r="S42">
        <v>4.25</v>
      </c>
      <c r="T42">
        <v>3.5110000000000001</v>
      </c>
      <c r="U42">
        <v>6.3</v>
      </c>
      <c r="V42">
        <v>1854.82</v>
      </c>
      <c r="W42">
        <v>509</v>
      </c>
      <c r="X42">
        <v>1.3332999999999999</v>
      </c>
      <c r="Y42">
        <v>383</v>
      </c>
      <c r="Z42">
        <v>4.84</v>
      </c>
      <c r="AJ42">
        <v>2</v>
      </c>
      <c r="AK42">
        <v>18</v>
      </c>
      <c r="AM42">
        <v>0</v>
      </c>
      <c r="AO42" t="s">
        <v>166</v>
      </c>
      <c r="AT42">
        <v>50</v>
      </c>
      <c r="AV42">
        <v>44.8</v>
      </c>
      <c r="AW42">
        <v>0</v>
      </c>
      <c r="AX42">
        <v>0</v>
      </c>
      <c r="AY42">
        <v>52.875</v>
      </c>
      <c r="AZ42">
        <v>4.5</v>
      </c>
      <c r="BA42">
        <v>0</v>
      </c>
      <c r="BB42">
        <v>0</v>
      </c>
      <c r="BC42">
        <v>57</v>
      </c>
      <c r="BN42">
        <v>214</v>
      </c>
      <c r="BO42">
        <v>2266</v>
      </c>
      <c r="BP42">
        <v>0</v>
      </c>
      <c r="BQ42">
        <v>44</v>
      </c>
      <c r="BR42">
        <v>44</v>
      </c>
      <c r="BS42">
        <v>43.65</v>
      </c>
      <c r="BT42">
        <v>0</v>
      </c>
      <c r="BV42">
        <v>0</v>
      </c>
      <c r="BW42" t="s">
        <v>655</v>
      </c>
      <c r="BX42">
        <v>0.17</v>
      </c>
      <c r="BY42">
        <v>7.4205009999999998</v>
      </c>
      <c r="BZ42">
        <v>0</v>
      </c>
      <c r="CA42">
        <v>1</v>
      </c>
      <c r="CB42">
        <v>0.6</v>
      </c>
      <c r="CC42" s="3">
        <v>7.1269159999999998E-2</v>
      </c>
      <c r="CD42">
        <v>2.875</v>
      </c>
      <c r="CE42">
        <v>2.5</v>
      </c>
      <c r="CF42">
        <v>18</v>
      </c>
      <c r="CG42">
        <v>6</v>
      </c>
      <c r="CH42">
        <v>0</v>
      </c>
      <c r="CI42">
        <v>43.65</v>
      </c>
      <c r="CJ42">
        <v>384.19600000000003</v>
      </c>
    </row>
    <row r="43" spans="1:88">
      <c r="A43">
        <v>41</v>
      </c>
      <c r="B43" t="s">
        <v>13</v>
      </c>
      <c r="C43" t="s">
        <v>1</v>
      </c>
      <c r="D43" t="s">
        <v>287</v>
      </c>
      <c r="E43" t="s">
        <v>178</v>
      </c>
      <c r="F43" t="s">
        <v>288</v>
      </c>
      <c r="G43" t="s">
        <v>15</v>
      </c>
      <c r="H43" t="s">
        <v>289</v>
      </c>
      <c r="J43">
        <v>2</v>
      </c>
      <c r="K43" t="s">
        <v>108</v>
      </c>
      <c r="L43" t="s">
        <v>127</v>
      </c>
      <c r="M43" t="s">
        <v>179</v>
      </c>
      <c r="N43" t="s">
        <v>180</v>
      </c>
      <c r="O43">
        <v>95</v>
      </c>
      <c r="Q43">
        <v>563</v>
      </c>
      <c r="R43">
        <v>132</v>
      </c>
      <c r="S43">
        <v>4.25</v>
      </c>
      <c r="T43">
        <v>2.649</v>
      </c>
      <c r="U43">
        <v>5.81</v>
      </c>
      <c r="V43">
        <v>2392.02</v>
      </c>
      <c r="W43">
        <v>769</v>
      </c>
      <c r="X43">
        <v>1.3332999999999999</v>
      </c>
      <c r="Y43">
        <v>601</v>
      </c>
      <c r="Z43">
        <v>3.98</v>
      </c>
      <c r="AJ43">
        <v>2</v>
      </c>
      <c r="AK43">
        <v>18</v>
      </c>
      <c r="AM43">
        <v>0</v>
      </c>
      <c r="AO43" t="s">
        <v>290</v>
      </c>
      <c r="AT43">
        <v>38</v>
      </c>
      <c r="AV43">
        <v>76.099999999999994</v>
      </c>
      <c r="AW43">
        <v>0.5</v>
      </c>
      <c r="AX43">
        <v>5.625</v>
      </c>
      <c r="AY43">
        <v>36.25</v>
      </c>
      <c r="AZ43">
        <v>4</v>
      </c>
      <c r="BA43">
        <v>495.18</v>
      </c>
      <c r="BB43">
        <v>4.6900000000000004</v>
      </c>
      <c r="BC43">
        <v>65</v>
      </c>
      <c r="BD43">
        <v>0.3125</v>
      </c>
      <c r="BE43">
        <v>3.75</v>
      </c>
      <c r="BF43">
        <v>24.125</v>
      </c>
      <c r="BG43">
        <v>2.5</v>
      </c>
      <c r="BH43">
        <v>105.83</v>
      </c>
      <c r="BI43">
        <v>6.03</v>
      </c>
      <c r="BJ43">
        <v>18</v>
      </c>
      <c r="BL43">
        <v>601.01</v>
      </c>
      <c r="BM43">
        <v>82</v>
      </c>
      <c r="BN43">
        <v>650.35749999999996</v>
      </c>
      <c r="BO43">
        <v>2586</v>
      </c>
      <c r="BP43">
        <v>0</v>
      </c>
      <c r="BQ43">
        <v>32</v>
      </c>
      <c r="BR43">
        <v>32</v>
      </c>
      <c r="BS43">
        <v>32.17</v>
      </c>
      <c r="BT43">
        <v>0</v>
      </c>
      <c r="BV43">
        <v>0</v>
      </c>
      <c r="BW43" t="s">
        <v>655</v>
      </c>
      <c r="BX43">
        <v>0.17</v>
      </c>
      <c r="BY43">
        <v>5.4688999999999997</v>
      </c>
      <c r="BZ43">
        <v>0</v>
      </c>
      <c r="CA43">
        <v>1</v>
      </c>
      <c r="CB43">
        <v>0.6</v>
      </c>
      <c r="CC43" s="3">
        <v>7.1269159999999998E-2</v>
      </c>
      <c r="CD43">
        <v>2.875</v>
      </c>
      <c r="CE43">
        <v>2.5</v>
      </c>
      <c r="CF43">
        <v>18</v>
      </c>
      <c r="CG43">
        <v>6</v>
      </c>
      <c r="CH43">
        <v>0</v>
      </c>
      <c r="CI43">
        <v>32.17</v>
      </c>
      <c r="CJ43">
        <v>481.18639999999999</v>
      </c>
    </row>
    <row r="44" spans="1:88">
      <c r="A44">
        <v>42</v>
      </c>
      <c r="B44" t="s">
        <v>0</v>
      </c>
      <c r="C44" t="s">
        <v>1</v>
      </c>
      <c r="D44" t="s">
        <v>251</v>
      </c>
      <c r="E44" t="s">
        <v>143</v>
      </c>
      <c r="F44" t="s">
        <v>266</v>
      </c>
      <c r="G44" t="s">
        <v>106</v>
      </c>
      <c r="H44" t="s">
        <v>291</v>
      </c>
      <c r="J44">
        <v>2</v>
      </c>
      <c r="K44" t="s">
        <v>108</v>
      </c>
      <c r="L44" t="s">
        <v>297</v>
      </c>
      <c r="M44" t="s">
        <v>206</v>
      </c>
      <c r="N44" t="s">
        <v>131</v>
      </c>
      <c r="O44">
        <v>155</v>
      </c>
      <c r="Q44">
        <v>713</v>
      </c>
      <c r="R44">
        <v>107</v>
      </c>
      <c r="S44">
        <v>4.25</v>
      </c>
      <c r="T44">
        <v>4.1660000000000004</v>
      </c>
      <c r="U44">
        <v>6.78</v>
      </c>
      <c r="V44">
        <v>3029.48</v>
      </c>
      <c r="W44">
        <v>729</v>
      </c>
      <c r="X44">
        <v>1.3332999999999999</v>
      </c>
      <c r="Y44">
        <v>552</v>
      </c>
      <c r="Z44">
        <v>5.49</v>
      </c>
      <c r="AJ44">
        <v>2</v>
      </c>
      <c r="AK44">
        <v>18</v>
      </c>
      <c r="AM44">
        <v>0</v>
      </c>
      <c r="AO44" t="s">
        <v>292</v>
      </c>
      <c r="AT44">
        <v>59</v>
      </c>
      <c r="AV44">
        <v>61.6</v>
      </c>
      <c r="AW44">
        <v>0.4375</v>
      </c>
      <c r="AX44">
        <v>3.75</v>
      </c>
      <c r="AY44">
        <v>46.875</v>
      </c>
      <c r="AZ44">
        <v>4.75</v>
      </c>
      <c r="BA44">
        <v>303.49</v>
      </c>
      <c r="BB44">
        <v>5.42</v>
      </c>
      <c r="BC44">
        <v>47</v>
      </c>
      <c r="BD44">
        <v>0.4375</v>
      </c>
      <c r="BE44">
        <v>3.75</v>
      </c>
      <c r="BF44">
        <v>57.25</v>
      </c>
      <c r="BG44">
        <v>4.75</v>
      </c>
      <c r="BH44">
        <v>248.32</v>
      </c>
      <c r="BI44">
        <v>6.62</v>
      </c>
      <c r="BJ44">
        <v>58</v>
      </c>
      <c r="BL44">
        <v>551.80999999999995</v>
      </c>
      <c r="BM44">
        <v>105</v>
      </c>
      <c r="BN44">
        <v>296.03339999999997</v>
      </c>
      <c r="BO44">
        <v>1184</v>
      </c>
      <c r="BP44">
        <v>0</v>
      </c>
      <c r="BQ44">
        <v>53</v>
      </c>
      <c r="BR44">
        <v>53</v>
      </c>
      <c r="BS44">
        <v>53.04</v>
      </c>
      <c r="BT44">
        <v>0</v>
      </c>
      <c r="BV44">
        <v>0</v>
      </c>
      <c r="BW44" t="s">
        <v>655</v>
      </c>
      <c r="BX44">
        <v>0.17</v>
      </c>
      <c r="BY44">
        <v>9.0167999999999999</v>
      </c>
      <c r="BZ44">
        <v>0</v>
      </c>
      <c r="CA44">
        <v>1</v>
      </c>
      <c r="CB44">
        <v>0.6</v>
      </c>
      <c r="CC44" s="3">
        <v>7.1269159999999998E-2</v>
      </c>
      <c r="CD44">
        <v>2.875</v>
      </c>
      <c r="CE44">
        <v>2.5</v>
      </c>
      <c r="CF44">
        <v>18</v>
      </c>
      <c r="CG44">
        <v>6</v>
      </c>
      <c r="CH44">
        <v>0</v>
      </c>
      <c r="CI44">
        <v>53.04</v>
      </c>
      <c r="CJ44">
        <v>642.1472</v>
      </c>
    </row>
    <row r="45" spans="1:88">
      <c r="A45">
        <v>43</v>
      </c>
      <c r="B45" t="s">
        <v>0</v>
      </c>
      <c r="C45" t="s">
        <v>1</v>
      </c>
      <c r="D45" t="s">
        <v>293</v>
      </c>
      <c r="E45" t="s">
        <v>177</v>
      </c>
      <c r="F45" t="s">
        <v>294</v>
      </c>
      <c r="G45" t="s">
        <v>106</v>
      </c>
      <c r="H45" t="s">
        <v>295</v>
      </c>
      <c r="J45">
        <v>2</v>
      </c>
      <c r="K45" t="s">
        <v>146</v>
      </c>
      <c r="L45" t="s">
        <v>235</v>
      </c>
      <c r="M45" t="s">
        <v>152</v>
      </c>
      <c r="N45" t="s">
        <v>127</v>
      </c>
      <c r="O45">
        <v>112</v>
      </c>
      <c r="Q45">
        <v>448</v>
      </c>
      <c r="R45">
        <v>92</v>
      </c>
      <c r="S45">
        <v>4.25</v>
      </c>
      <c r="T45">
        <v>3.1019999999999999</v>
      </c>
      <c r="U45">
        <v>6.14</v>
      </c>
      <c r="V45">
        <v>1904</v>
      </c>
      <c r="W45">
        <v>567</v>
      </c>
      <c r="X45">
        <v>1.3332999999999999</v>
      </c>
      <c r="Y45">
        <v>430</v>
      </c>
      <c r="Z45">
        <v>4.43</v>
      </c>
      <c r="AJ45">
        <v>2</v>
      </c>
      <c r="AK45">
        <v>18</v>
      </c>
      <c r="AM45">
        <v>0</v>
      </c>
      <c r="AO45" t="s">
        <v>296</v>
      </c>
      <c r="AT45">
        <v>44</v>
      </c>
      <c r="AV45">
        <v>52</v>
      </c>
      <c r="AW45">
        <v>0</v>
      </c>
      <c r="AX45">
        <v>0</v>
      </c>
      <c r="AY45">
        <v>47.125</v>
      </c>
      <c r="AZ45">
        <v>4.125</v>
      </c>
      <c r="BA45">
        <v>0</v>
      </c>
      <c r="BB45">
        <v>0</v>
      </c>
      <c r="BC45">
        <v>51</v>
      </c>
      <c r="BN45">
        <v>249.66669999999999</v>
      </c>
      <c r="BO45">
        <v>1665</v>
      </c>
      <c r="BP45">
        <v>0</v>
      </c>
      <c r="BQ45">
        <v>38</v>
      </c>
      <c r="BR45">
        <v>38</v>
      </c>
      <c r="BS45">
        <v>38.08</v>
      </c>
      <c r="BT45">
        <v>0</v>
      </c>
      <c r="BV45">
        <v>0</v>
      </c>
      <c r="BW45" t="s">
        <v>655</v>
      </c>
      <c r="BX45">
        <v>0.17</v>
      </c>
      <c r="BY45">
        <v>6.4736010000000004</v>
      </c>
      <c r="BZ45">
        <v>0</v>
      </c>
      <c r="CA45">
        <v>1</v>
      </c>
      <c r="CB45">
        <v>0.6</v>
      </c>
      <c r="CC45" s="3">
        <v>7.1269159999999998E-2</v>
      </c>
      <c r="CD45">
        <v>2.875</v>
      </c>
      <c r="CE45">
        <v>2.5</v>
      </c>
      <c r="CF45">
        <v>18</v>
      </c>
      <c r="CG45">
        <v>6</v>
      </c>
      <c r="CH45">
        <v>0</v>
      </c>
      <c r="CI45">
        <v>38.08</v>
      </c>
      <c r="CJ45">
        <v>389.44889999999998</v>
      </c>
    </row>
    <row r="46" spans="1:88">
      <c r="A46">
        <v>44</v>
      </c>
      <c r="B46" t="s">
        <v>0</v>
      </c>
      <c r="C46" t="s">
        <v>1</v>
      </c>
      <c r="D46" t="s">
        <v>133</v>
      </c>
      <c r="E46" t="s">
        <v>297</v>
      </c>
      <c r="F46" t="s">
        <v>298</v>
      </c>
      <c r="G46" t="s">
        <v>106</v>
      </c>
      <c r="H46" t="s">
        <v>257</v>
      </c>
      <c r="J46">
        <v>2</v>
      </c>
      <c r="K46" t="s">
        <v>146</v>
      </c>
      <c r="L46" t="s">
        <v>212</v>
      </c>
      <c r="M46" t="s">
        <v>299</v>
      </c>
      <c r="N46" t="s">
        <v>300</v>
      </c>
      <c r="O46">
        <v>175</v>
      </c>
      <c r="Q46">
        <v>639</v>
      </c>
      <c r="R46">
        <v>88</v>
      </c>
      <c r="S46">
        <v>4.25</v>
      </c>
      <c r="T46">
        <v>4.6280000000000001</v>
      </c>
      <c r="U46">
        <v>7.01</v>
      </c>
      <c r="V46">
        <v>2714.85</v>
      </c>
      <c r="W46">
        <v>615</v>
      </c>
      <c r="X46">
        <v>1.3332999999999999</v>
      </c>
      <c r="Y46">
        <v>456</v>
      </c>
      <c r="Z46">
        <v>5.96</v>
      </c>
      <c r="AJ46">
        <v>2</v>
      </c>
      <c r="AK46">
        <v>18</v>
      </c>
      <c r="AM46">
        <v>0</v>
      </c>
      <c r="AO46" t="s">
        <v>301</v>
      </c>
      <c r="AT46">
        <v>66</v>
      </c>
      <c r="AV46">
        <v>49.1</v>
      </c>
      <c r="AW46" t="s">
        <v>6</v>
      </c>
      <c r="AX46" t="s">
        <v>6</v>
      </c>
      <c r="AY46" t="s">
        <v>6</v>
      </c>
      <c r="AZ46" t="s">
        <v>6</v>
      </c>
      <c r="BA46" t="s">
        <v>6</v>
      </c>
      <c r="BB46" t="s">
        <v>6</v>
      </c>
      <c r="BC46" t="s">
        <v>6</v>
      </c>
      <c r="BD46" t="s">
        <v>6</v>
      </c>
      <c r="BE46" t="s">
        <v>6</v>
      </c>
      <c r="BF46" t="s">
        <v>6</v>
      </c>
      <c r="BG46" t="s">
        <v>6</v>
      </c>
      <c r="BH46" t="s">
        <v>6</v>
      </c>
      <c r="BI46" t="s">
        <v>6</v>
      </c>
      <c r="BJ46" t="s">
        <v>6</v>
      </c>
      <c r="BN46">
        <v>235.40010000000001</v>
      </c>
      <c r="BO46">
        <v>1873</v>
      </c>
      <c r="BP46">
        <v>0</v>
      </c>
      <c r="BQ46">
        <v>60</v>
      </c>
      <c r="BR46">
        <v>60</v>
      </c>
      <c r="BS46">
        <v>60</v>
      </c>
      <c r="BT46">
        <v>0</v>
      </c>
      <c r="BV46">
        <v>0</v>
      </c>
      <c r="BW46" t="s">
        <v>655</v>
      </c>
      <c r="BX46">
        <v>0.17</v>
      </c>
      <c r="BY46">
        <v>10.199999999999999</v>
      </c>
      <c r="BZ46">
        <v>0</v>
      </c>
      <c r="CA46">
        <v>1</v>
      </c>
      <c r="CB46">
        <v>0.6</v>
      </c>
      <c r="CC46" s="3">
        <v>7.1269159999999998E-2</v>
      </c>
      <c r="CD46">
        <v>2.875</v>
      </c>
      <c r="CE46">
        <v>2.5</v>
      </c>
      <c r="CF46">
        <v>18</v>
      </c>
      <c r="CG46">
        <v>6</v>
      </c>
      <c r="CH46">
        <v>0</v>
      </c>
      <c r="CI46">
        <v>60</v>
      </c>
      <c r="CJ46">
        <v>579.41819999999996</v>
      </c>
    </row>
    <row r="47" spans="1:88">
      <c r="A47">
        <v>45</v>
      </c>
      <c r="B47" t="s">
        <v>0</v>
      </c>
      <c r="C47" t="s">
        <v>1</v>
      </c>
      <c r="D47" t="s">
        <v>143</v>
      </c>
      <c r="E47" t="s">
        <v>302</v>
      </c>
      <c r="F47" t="s">
        <v>144</v>
      </c>
      <c r="G47" t="s">
        <v>106</v>
      </c>
      <c r="H47" t="s">
        <v>145</v>
      </c>
      <c r="J47">
        <v>2</v>
      </c>
      <c r="K47" t="s">
        <v>146</v>
      </c>
      <c r="L47" t="s">
        <v>303</v>
      </c>
      <c r="M47" t="s">
        <v>304</v>
      </c>
      <c r="N47" t="s">
        <v>305</v>
      </c>
      <c r="O47">
        <v>205</v>
      </c>
      <c r="Q47">
        <v>806</v>
      </c>
      <c r="R47">
        <v>102</v>
      </c>
      <c r="S47">
        <v>4.25</v>
      </c>
      <c r="T47">
        <v>5.2889999999999997</v>
      </c>
      <c r="U47">
        <v>7.35</v>
      </c>
      <c r="V47">
        <v>3424.99</v>
      </c>
      <c r="W47">
        <v>746</v>
      </c>
      <c r="X47">
        <v>1.5</v>
      </c>
      <c r="Y47">
        <v>505</v>
      </c>
      <c r="Z47">
        <v>6.78</v>
      </c>
      <c r="AJ47">
        <v>2</v>
      </c>
      <c r="AK47">
        <v>18</v>
      </c>
      <c r="AM47">
        <v>0</v>
      </c>
      <c r="AO47" t="s">
        <v>149</v>
      </c>
      <c r="AT47">
        <v>77</v>
      </c>
      <c r="AV47">
        <v>53.5</v>
      </c>
      <c r="AW47">
        <v>0.46875</v>
      </c>
      <c r="AX47">
        <v>3.75</v>
      </c>
      <c r="AY47">
        <v>73</v>
      </c>
      <c r="AZ47">
        <v>6.375</v>
      </c>
      <c r="BA47">
        <v>277.83</v>
      </c>
      <c r="BB47">
        <v>7.09</v>
      </c>
      <c r="BC47">
        <v>78</v>
      </c>
      <c r="BD47">
        <v>0.4375</v>
      </c>
      <c r="BE47">
        <v>3.75</v>
      </c>
      <c r="BF47">
        <v>62.625</v>
      </c>
      <c r="BG47">
        <v>5.875</v>
      </c>
      <c r="BH47">
        <v>227.33</v>
      </c>
      <c r="BI47">
        <v>7.23</v>
      </c>
      <c r="BJ47">
        <v>63</v>
      </c>
      <c r="BL47">
        <v>505.16</v>
      </c>
      <c r="BM47">
        <v>141</v>
      </c>
      <c r="BN47">
        <v>256.80009999999999</v>
      </c>
      <c r="BO47">
        <v>1574</v>
      </c>
      <c r="BP47">
        <v>0</v>
      </c>
      <c r="BQ47">
        <v>70</v>
      </c>
      <c r="BR47">
        <v>70</v>
      </c>
      <c r="BS47">
        <v>70.430000000000007</v>
      </c>
      <c r="BT47">
        <v>0</v>
      </c>
      <c r="BV47">
        <v>0</v>
      </c>
      <c r="BW47" t="s">
        <v>655</v>
      </c>
      <c r="BX47">
        <v>0.17</v>
      </c>
      <c r="BY47">
        <v>11.973100000000001</v>
      </c>
      <c r="BZ47">
        <v>0</v>
      </c>
      <c r="CA47">
        <v>1</v>
      </c>
      <c r="CB47">
        <v>0.6</v>
      </c>
      <c r="CC47" s="3">
        <v>7.1269159999999998E-2</v>
      </c>
      <c r="CD47">
        <v>2.875</v>
      </c>
      <c r="CE47">
        <v>2.5</v>
      </c>
      <c r="CF47">
        <v>18</v>
      </c>
      <c r="CG47">
        <v>6</v>
      </c>
      <c r="CH47">
        <v>0</v>
      </c>
      <c r="CI47">
        <v>70.430000000000007</v>
      </c>
      <c r="CJ47">
        <v>740.37429999999995</v>
      </c>
    </row>
    <row r="48" spans="1:88">
      <c r="A48">
        <v>46</v>
      </c>
      <c r="B48" t="s">
        <v>13</v>
      </c>
      <c r="C48" t="s">
        <v>1</v>
      </c>
      <c r="D48" t="s">
        <v>267</v>
      </c>
      <c r="E48" t="s">
        <v>113</v>
      </c>
      <c r="F48" t="s">
        <v>269</v>
      </c>
      <c r="G48" t="s">
        <v>106</v>
      </c>
      <c r="H48" t="s">
        <v>131</v>
      </c>
      <c r="J48">
        <v>2</v>
      </c>
      <c r="K48" t="s">
        <v>146</v>
      </c>
      <c r="L48" t="s">
        <v>116</v>
      </c>
      <c r="M48" t="s">
        <v>117</v>
      </c>
      <c r="N48" t="s">
        <v>14</v>
      </c>
      <c r="O48">
        <v>179</v>
      </c>
      <c r="Q48">
        <v>728</v>
      </c>
      <c r="R48">
        <v>97</v>
      </c>
      <c r="S48">
        <v>4.25</v>
      </c>
      <c r="T48">
        <v>4.7190000000000003</v>
      </c>
      <c r="U48">
        <v>7.05</v>
      </c>
      <c r="V48">
        <v>3095.14</v>
      </c>
      <c r="W48">
        <v>683</v>
      </c>
      <c r="X48">
        <v>1.3332999999999999</v>
      </c>
      <c r="Y48">
        <v>512</v>
      </c>
      <c r="Z48">
        <v>6.05</v>
      </c>
      <c r="AJ48">
        <v>2</v>
      </c>
      <c r="AK48">
        <v>18</v>
      </c>
      <c r="AM48">
        <v>0</v>
      </c>
      <c r="AO48" t="s">
        <v>271</v>
      </c>
      <c r="AT48">
        <v>68</v>
      </c>
      <c r="AV48">
        <v>54.9</v>
      </c>
      <c r="AW48" t="s">
        <v>6</v>
      </c>
      <c r="AX48" t="s">
        <v>6</v>
      </c>
      <c r="AY48" t="s">
        <v>6</v>
      </c>
      <c r="AZ48" t="s">
        <v>6</v>
      </c>
      <c r="BA48" t="s">
        <v>6</v>
      </c>
      <c r="BB48" t="s">
        <v>6</v>
      </c>
      <c r="BC48" t="s">
        <v>6</v>
      </c>
      <c r="BD48" t="s">
        <v>6</v>
      </c>
      <c r="BE48" t="s">
        <v>6</v>
      </c>
      <c r="BF48" t="s">
        <v>6</v>
      </c>
      <c r="BG48" t="s">
        <v>6</v>
      </c>
      <c r="BH48" t="s">
        <v>6</v>
      </c>
      <c r="BI48" t="s">
        <v>6</v>
      </c>
      <c r="BJ48" t="s">
        <v>6</v>
      </c>
      <c r="BN48">
        <v>263.93340000000001</v>
      </c>
      <c r="BO48">
        <v>1490</v>
      </c>
      <c r="BP48">
        <v>0</v>
      </c>
      <c r="BQ48">
        <v>61</v>
      </c>
      <c r="BR48">
        <v>61</v>
      </c>
      <c r="BS48">
        <v>61.39</v>
      </c>
      <c r="BT48">
        <v>0</v>
      </c>
      <c r="BV48">
        <v>0</v>
      </c>
      <c r="BW48" t="s">
        <v>655</v>
      </c>
      <c r="BX48">
        <v>0.17</v>
      </c>
      <c r="BY48">
        <v>10.436299999999999</v>
      </c>
      <c r="BZ48">
        <v>0</v>
      </c>
      <c r="CA48">
        <v>1</v>
      </c>
      <c r="CB48">
        <v>0.6</v>
      </c>
      <c r="CC48" s="3">
        <v>7.1269159999999998E-2</v>
      </c>
      <c r="CD48">
        <v>2.875</v>
      </c>
      <c r="CE48">
        <v>2.5</v>
      </c>
      <c r="CF48">
        <v>18</v>
      </c>
      <c r="CG48">
        <v>6</v>
      </c>
      <c r="CH48">
        <v>0</v>
      </c>
      <c r="CI48">
        <v>61.39</v>
      </c>
      <c r="CJ48">
        <v>662.84490000000005</v>
      </c>
    </row>
    <row r="49" spans="1:88">
      <c r="A49">
        <v>47</v>
      </c>
      <c r="B49" t="s">
        <v>13</v>
      </c>
      <c r="C49" t="s">
        <v>1</v>
      </c>
      <c r="D49" t="s">
        <v>133</v>
      </c>
      <c r="E49" t="s">
        <v>227</v>
      </c>
      <c r="F49" t="s">
        <v>298</v>
      </c>
      <c r="G49" t="s">
        <v>106</v>
      </c>
      <c r="H49" t="s">
        <v>257</v>
      </c>
      <c r="J49">
        <v>2</v>
      </c>
      <c r="K49" t="s">
        <v>146</v>
      </c>
      <c r="L49" t="s">
        <v>330</v>
      </c>
      <c r="M49" t="s">
        <v>129</v>
      </c>
      <c r="N49" t="s">
        <v>169</v>
      </c>
      <c r="O49">
        <v>116</v>
      </c>
      <c r="Q49">
        <v>437</v>
      </c>
      <c r="R49">
        <v>88</v>
      </c>
      <c r="S49">
        <v>4.25</v>
      </c>
      <c r="T49">
        <v>3.206</v>
      </c>
      <c r="U49">
        <v>6.22</v>
      </c>
      <c r="V49">
        <v>1857.46</v>
      </c>
      <c r="W49">
        <v>546</v>
      </c>
      <c r="X49">
        <v>1.3332999999999999</v>
      </c>
      <c r="Y49">
        <v>410</v>
      </c>
      <c r="Z49">
        <v>4.53</v>
      </c>
      <c r="AJ49">
        <v>2</v>
      </c>
      <c r="AK49">
        <v>18</v>
      </c>
      <c r="AM49">
        <v>0</v>
      </c>
      <c r="AO49" t="s">
        <v>301</v>
      </c>
      <c r="AT49">
        <v>46</v>
      </c>
      <c r="AV49">
        <v>49.1</v>
      </c>
      <c r="AW49">
        <v>0</v>
      </c>
      <c r="AX49">
        <v>0</v>
      </c>
      <c r="AY49">
        <v>49.5</v>
      </c>
      <c r="AZ49">
        <v>4.25</v>
      </c>
      <c r="BA49">
        <v>0</v>
      </c>
      <c r="BB49">
        <v>0</v>
      </c>
      <c r="BC49">
        <v>53</v>
      </c>
      <c r="BN49">
        <v>235.40010000000001</v>
      </c>
      <c r="BO49">
        <v>1873</v>
      </c>
      <c r="BP49">
        <v>0</v>
      </c>
      <c r="BQ49">
        <v>39</v>
      </c>
      <c r="BR49">
        <v>39</v>
      </c>
      <c r="BS49">
        <v>39.47</v>
      </c>
      <c r="BT49">
        <v>0</v>
      </c>
      <c r="BV49">
        <v>0</v>
      </c>
      <c r="BW49" t="s">
        <v>655</v>
      </c>
      <c r="BX49">
        <v>0.17</v>
      </c>
      <c r="BY49">
        <v>6.7099010000000003</v>
      </c>
      <c r="BZ49">
        <v>0</v>
      </c>
      <c r="CA49">
        <v>1</v>
      </c>
      <c r="CB49">
        <v>0.6</v>
      </c>
      <c r="CC49" s="3">
        <v>7.1269159999999998E-2</v>
      </c>
      <c r="CD49">
        <v>2.875</v>
      </c>
      <c r="CE49">
        <v>2.5</v>
      </c>
      <c r="CF49">
        <v>18</v>
      </c>
      <c r="CG49">
        <v>6</v>
      </c>
      <c r="CH49">
        <v>0</v>
      </c>
      <c r="CI49">
        <v>39.47</v>
      </c>
      <c r="CJ49">
        <v>381.16059999999999</v>
      </c>
    </row>
    <row r="50" spans="1:88">
      <c r="A50">
        <v>48</v>
      </c>
      <c r="B50" t="s">
        <v>13</v>
      </c>
      <c r="C50" t="s">
        <v>1</v>
      </c>
      <c r="D50" t="s">
        <v>3</v>
      </c>
      <c r="E50" t="s">
        <v>178</v>
      </c>
      <c r="F50" t="s">
        <v>306</v>
      </c>
      <c r="G50" t="s">
        <v>106</v>
      </c>
      <c r="H50" t="s">
        <v>307</v>
      </c>
      <c r="J50">
        <v>2</v>
      </c>
      <c r="K50" t="s">
        <v>146</v>
      </c>
      <c r="L50" t="s">
        <v>127</v>
      </c>
      <c r="M50" t="s">
        <v>179</v>
      </c>
      <c r="N50" t="s">
        <v>180</v>
      </c>
      <c r="O50">
        <v>95</v>
      </c>
      <c r="Q50">
        <v>318</v>
      </c>
      <c r="R50">
        <v>77</v>
      </c>
      <c r="S50">
        <v>4.25</v>
      </c>
      <c r="T50">
        <v>2.649</v>
      </c>
      <c r="U50">
        <v>5.81</v>
      </c>
      <c r="V50">
        <v>1349.41</v>
      </c>
      <c r="W50">
        <v>450</v>
      </c>
      <c r="X50">
        <v>1.3332999999999999</v>
      </c>
      <c r="Y50">
        <v>339</v>
      </c>
      <c r="Z50">
        <v>3.98</v>
      </c>
      <c r="AJ50">
        <v>2</v>
      </c>
      <c r="AK50">
        <v>18</v>
      </c>
      <c r="AM50">
        <v>0</v>
      </c>
      <c r="AO50" t="s">
        <v>308</v>
      </c>
      <c r="AT50">
        <v>38</v>
      </c>
      <c r="AV50">
        <v>42.6</v>
      </c>
      <c r="AW50">
        <v>0</v>
      </c>
      <c r="AX50">
        <v>0</v>
      </c>
      <c r="AY50">
        <v>42</v>
      </c>
      <c r="AZ50">
        <v>3.5</v>
      </c>
      <c r="BA50">
        <v>0</v>
      </c>
      <c r="BB50">
        <v>0</v>
      </c>
      <c r="BC50">
        <v>42</v>
      </c>
      <c r="BN50">
        <v>203.3</v>
      </c>
      <c r="BO50">
        <v>2511</v>
      </c>
      <c r="BP50">
        <v>0</v>
      </c>
      <c r="BQ50">
        <v>32</v>
      </c>
      <c r="BR50">
        <v>32</v>
      </c>
      <c r="BS50">
        <v>32.17</v>
      </c>
      <c r="BT50">
        <v>0</v>
      </c>
      <c r="BV50">
        <v>0</v>
      </c>
      <c r="BW50" t="s">
        <v>655</v>
      </c>
      <c r="BX50">
        <v>0.17</v>
      </c>
      <c r="BY50">
        <v>5.4688999999999997</v>
      </c>
      <c r="BZ50">
        <v>0</v>
      </c>
      <c r="CA50">
        <v>1</v>
      </c>
      <c r="CB50">
        <v>0.6</v>
      </c>
      <c r="CC50" s="3">
        <v>7.1269159999999998E-2</v>
      </c>
      <c r="CD50">
        <v>2.875</v>
      </c>
      <c r="CE50">
        <v>2.5</v>
      </c>
      <c r="CF50">
        <v>18</v>
      </c>
      <c r="CG50">
        <v>6</v>
      </c>
      <c r="CH50">
        <v>0</v>
      </c>
      <c r="CI50">
        <v>32.17</v>
      </c>
      <c r="CJ50">
        <v>269.3956</v>
      </c>
    </row>
    <row r="51" spans="1:88">
      <c r="A51">
        <v>49</v>
      </c>
      <c r="B51" t="s">
        <v>0</v>
      </c>
      <c r="C51" t="s">
        <v>1</v>
      </c>
      <c r="D51" t="s">
        <v>249</v>
      </c>
      <c r="E51" t="s">
        <v>113</v>
      </c>
      <c r="F51" t="s">
        <v>309</v>
      </c>
      <c r="G51" t="s">
        <v>15</v>
      </c>
      <c r="H51" t="s">
        <v>310</v>
      </c>
      <c r="J51">
        <v>2</v>
      </c>
      <c r="K51" t="s">
        <v>108</v>
      </c>
      <c r="L51" t="s">
        <v>116</v>
      </c>
      <c r="M51" t="s">
        <v>117</v>
      </c>
      <c r="N51" t="s">
        <v>14</v>
      </c>
      <c r="O51">
        <v>179</v>
      </c>
      <c r="Q51">
        <v>1024</v>
      </c>
      <c r="R51">
        <v>135</v>
      </c>
      <c r="S51">
        <v>4.25</v>
      </c>
      <c r="T51">
        <v>4.7190000000000003</v>
      </c>
      <c r="U51">
        <v>7.05</v>
      </c>
      <c r="V51">
        <v>4351.1899999999996</v>
      </c>
      <c r="W51">
        <v>951</v>
      </c>
      <c r="X51">
        <v>1.3332999999999999</v>
      </c>
      <c r="Y51">
        <v>719</v>
      </c>
      <c r="Z51">
        <v>6.05</v>
      </c>
      <c r="AJ51">
        <v>2</v>
      </c>
      <c r="AK51">
        <v>18</v>
      </c>
      <c r="AM51">
        <v>0</v>
      </c>
      <c r="AO51" t="s">
        <v>311</v>
      </c>
      <c r="AT51">
        <v>68</v>
      </c>
      <c r="AV51">
        <v>77.599999999999994</v>
      </c>
      <c r="AW51" t="s">
        <v>6</v>
      </c>
      <c r="AX51" t="s">
        <v>6</v>
      </c>
      <c r="AY51" t="s">
        <v>6</v>
      </c>
      <c r="AZ51" t="s">
        <v>6</v>
      </c>
      <c r="BA51" t="s">
        <v>6</v>
      </c>
      <c r="BB51" t="s">
        <v>6</v>
      </c>
      <c r="BC51" t="s">
        <v>6</v>
      </c>
      <c r="BD51" t="s">
        <v>6</v>
      </c>
      <c r="BE51" t="s">
        <v>6</v>
      </c>
      <c r="BF51" t="s">
        <v>6</v>
      </c>
      <c r="BG51" t="s">
        <v>6</v>
      </c>
      <c r="BH51" t="s">
        <v>6</v>
      </c>
      <c r="BI51" t="s">
        <v>6</v>
      </c>
      <c r="BJ51" t="s">
        <v>6</v>
      </c>
      <c r="BN51">
        <v>662.98580000000004</v>
      </c>
      <c r="BO51">
        <v>2489</v>
      </c>
      <c r="BP51">
        <v>0</v>
      </c>
      <c r="BQ51">
        <v>61</v>
      </c>
      <c r="BR51">
        <v>61</v>
      </c>
      <c r="BS51">
        <v>61.39</v>
      </c>
      <c r="BT51">
        <v>0</v>
      </c>
      <c r="BV51">
        <v>0</v>
      </c>
      <c r="BW51" t="s">
        <v>655</v>
      </c>
      <c r="BX51">
        <v>0.17</v>
      </c>
      <c r="BY51">
        <v>10.436299999999999</v>
      </c>
      <c r="BZ51">
        <v>0</v>
      </c>
      <c r="CA51">
        <v>1</v>
      </c>
      <c r="CB51">
        <v>0.6</v>
      </c>
      <c r="CC51" s="3">
        <v>7.1269159999999998E-2</v>
      </c>
      <c r="CD51">
        <v>2.875</v>
      </c>
      <c r="CE51">
        <v>2.5</v>
      </c>
      <c r="CF51">
        <v>18</v>
      </c>
      <c r="CG51">
        <v>6</v>
      </c>
      <c r="CH51">
        <v>0</v>
      </c>
      <c r="CI51">
        <v>61.39</v>
      </c>
      <c r="CJ51">
        <v>935.74879999999996</v>
      </c>
    </row>
    <row r="52" spans="1:88">
      <c r="A52">
        <v>50</v>
      </c>
      <c r="B52" t="s">
        <v>0</v>
      </c>
      <c r="C52" t="s">
        <v>1</v>
      </c>
      <c r="D52" t="s">
        <v>14</v>
      </c>
      <c r="E52" t="s">
        <v>120</v>
      </c>
      <c r="F52" t="s">
        <v>192</v>
      </c>
      <c r="G52" t="s">
        <v>214</v>
      </c>
      <c r="H52" t="s">
        <v>193</v>
      </c>
      <c r="J52">
        <v>2</v>
      </c>
      <c r="K52" t="s">
        <v>108</v>
      </c>
      <c r="L52" t="s">
        <v>19</v>
      </c>
      <c r="M52" t="s">
        <v>124</v>
      </c>
      <c r="N52" t="s">
        <v>125</v>
      </c>
      <c r="O52">
        <v>165</v>
      </c>
      <c r="Q52">
        <v>777</v>
      </c>
      <c r="R52">
        <v>110</v>
      </c>
      <c r="S52">
        <v>4.25</v>
      </c>
      <c r="T52">
        <v>4.4000000000000004</v>
      </c>
      <c r="U52">
        <v>6.82</v>
      </c>
      <c r="V52">
        <v>3304.33</v>
      </c>
      <c r="W52">
        <v>753</v>
      </c>
      <c r="X52">
        <v>1.3332999999999999</v>
      </c>
      <c r="Y52">
        <v>577</v>
      </c>
      <c r="Z52">
        <v>5.73</v>
      </c>
      <c r="AJ52">
        <v>2</v>
      </c>
      <c r="AK52">
        <v>18</v>
      </c>
      <c r="AM52">
        <v>0</v>
      </c>
      <c r="AO52" t="s">
        <v>196</v>
      </c>
      <c r="AT52">
        <v>63</v>
      </c>
      <c r="AV52">
        <v>63.4</v>
      </c>
      <c r="AW52">
        <v>0.4375</v>
      </c>
      <c r="AX52">
        <v>3.75</v>
      </c>
      <c r="AY52">
        <v>49.375</v>
      </c>
      <c r="AZ52">
        <v>5</v>
      </c>
      <c r="BA52">
        <v>288.33</v>
      </c>
      <c r="BB52">
        <v>5.7</v>
      </c>
      <c r="BC52">
        <v>50</v>
      </c>
      <c r="BD52">
        <v>0.4375</v>
      </c>
      <c r="BE52">
        <v>3.75</v>
      </c>
      <c r="BF52">
        <v>49.375</v>
      </c>
      <c r="BG52">
        <v>5</v>
      </c>
      <c r="BH52">
        <v>288.33</v>
      </c>
      <c r="BI52">
        <v>5.7</v>
      </c>
      <c r="BJ52">
        <v>50</v>
      </c>
      <c r="BL52">
        <v>576.66</v>
      </c>
      <c r="BM52">
        <v>99</v>
      </c>
      <c r="BN52">
        <v>307.51499999999999</v>
      </c>
      <c r="BO52">
        <v>1377</v>
      </c>
      <c r="BP52">
        <v>0</v>
      </c>
      <c r="BQ52">
        <v>57</v>
      </c>
      <c r="BR52">
        <v>57</v>
      </c>
      <c r="BS52">
        <v>56.52</v>
      </c>
      <c r="BT52">
        <v>0</v>
      </c>
      <c r="BV52">
        <v>0</v>
      </c>
      <c r="BW52" t="s">
        <v>655</v>
      </c>
      <c r="BX52">
        <v>0.17</v>
      </c>
      <c r="BY52">
        <v>9.6084010000000006</v>
      </c>
      <c r="BZ52">
        <v>0</v>
      </c>
      <c r="CA52">
        <v>1</v>
      </c>
      <c r="CB52">
        <v>0.6</v>
      </c>
      <c r="CC52" s="3">
        <v>7.1269159999999998E-2</v>
      </c>
      <c r="CD52">
        <v>2.875</v>
      </c>
      <c r="CE52">
        <v>2.5</v>
      </c>
      <c r="CF52">
        <v>18</v>
      </c>
      <c r="CG52">
        <v>6</v>
      </c>
      <c r="CH52">
        <v>0</v>
      </c>
      <c r="CI52">
        <v>56.52</v>
      </c>
      <c r="CJ52">
        <v>704.41980000000001</v>
      </c>
    </row>
    <row r="53" spans="1:88">
      <c r="A53">
        <v>51</v>
      </c>
      <c r="B53" t="s">
        <v>0</v>
      </c>
      <c r="C53" t="s">
        <v>1</v>
      </c>
      <c r="D53" t="s">
        <v>268</v>
      </c>
      <c r="E53" t="s">
        <v>176</v>
      </c>
      <c r="F53" t="s">
        <v>308</v>
      </c>
      <c r="G53" t="s">
        <v>106</v>
      </c>
      <c r="H53" t="s">
        <v>174</v>
      </c>
      <c r="J53">
        <v>2</v>
      </c>
      <c r="K53" t="s">
        <v>146</v>
      </c>
      <c r="L53" t="s">
        <v>167</v>
      </c>
      <c r="M53" t="s">
        <v>226</v>
      </c>
      <c r="N53" t="s">
        <v>227</v>
      </c>
      <c r="O53">
        <v>113</v>
      </c>
      <c r="Q53">
        <v>365</v>
      </c>
      <c r="R53">
        <v>76</v>
      </c>
      <c r="S53">
        <v>4.25</v>
      </c>
      <c r="T53">
        <v>3.1280000000000001</v>
      </c>
      <c r="U53">
        <v>6.18</v>
      </c>
      <c r="V53">
        <v>1550.35</v>
      </c>
      <c r="W53">
        <v>471</v>
      </c>
      <c r="X53">
        <v>1.3332999999999999</v>
      </c>
      <c r="Y53">
        <v>348</v>
      </c>
      <c r="Z53">
        <v>4.46</v>
      </c>
      <c r="AJ53">
        <v>2</v>
      </c>
      <c r="AK53">
        <v>18</v>
      </c>
      <c r="AM53">
        <v>0</v>
      </c>
      <c r="AO53" t="s">
        <v>312</v>
      </c>
      <c r="AT53">
        <v>45</v>
      </c>
      <c r="AV53">
        <v>41.9</v>
      </c>
      <c r="AW53">
        <v>0</v>
      </c>
      <c r="AX53">
        <v>0</v>
      </c>
      <c r="AY53">
        <v>40.875</v>
      </c>
      <c r="AZ53">
        <v>3.875</v>
      </c>
      <c r="BA53">
        <v>0</v>
      </c>
      <c r="BB53">
        <v>0</v>
      </c>
      <c r="BC53">
        <v>41</v>
      </c>
      <c r="BN53">
        <v>199.73339999999999</v>
      </c>
      <c r="BO53">
        <v>2601</v>
      </c>
      <c r="BP53">
        <v>0</v>
      </c>
      <c r="BQ53">
        <v>38</v>
      </c>
      <c r="BR53">
        <v>38</v>
      </c>
      <c r="BS53">
        <v>38.43</v>
      </c>
      <c r="BT53">
        <v>0</v>
      </c>
      <c r="BV53">
        <v>0</v>
      </c>
      <c r="BW53" t="s">
        <v>655</v>
      </c>
      <c r="BX53">
        <v>0.17</v>
      </c>
      <c r="BY53">
        <v>6.5331000000000001</v>
      </c>
      <c r="BZ53">
        <v>0</v>
      </c>
      <c r="CA53">
        <v>1</v>
      </c>
      <c r="CB53">
        <v>0.6</v>
      </c>
      <c r="CC53" s="3">
        <v>7.1269159999999998E-2</v>
      </c>
      <c r="CD53">
        <v>2.875</v>
      </c>
      <c r="CE53">
        <v>2.5</v>
      </c>
      <c r="CF53">
        <v>18</v>
      </c>
      <c r="CG53">
        <v>6</v>
      </c>
      <c r="CH53">
        <v>0</v>
      </c>
      <c r="CI53">
        <v>38.43</v>
      </c>
      <c r="CJ53">
        <v>316.3399</v>
      </c>
    </row>
    <row r="54" spans="1:88">
      <c r="A54">
        <v>52</v>
      </c>
      <c r="B54" t="s">
        <v>13</v>
      </c>
      <c r="C54" t="s">
        <v>1</v>
      </c>
      <c r="D54" t="s">
        <v>279</v>
      </c>
      <c r="E54" t="s">
        <v>181</v>
      </c>
      <c r="F54" t="s">
        <v>236</v>
      </c>
      <c r="G54" t="s">
        <v>106</v>
      </c>
      <c r="H54" t="s">
        <v>143</v>
      </c>
      <c r="J54">
        <v>2</v>
      </c>
      <c r="K54" t="s">
        <v>146</v>
      </c>
      <c r="L54" t="s">
        <v>202</v>
      </c>
      <c r="M54" t="s">
        <v>313</v>
      </c>
      <c r="N54" t="s">
        <v>314</v>
      </c>
      <c r="O54">
        <v>161</v>
      </c>
      <c r="Q54">
        <v>647</v>
      </c>
      <c r="R54">
        <v>95</v>
      </c>
      <c r="S54">
        <v>4.25</v>
      </c>
      <c r="T54">
        <v>4.3070000000000004</v>
      </c>
      <c r="U54">
        <v>6.75</v>
      </c>
      <c r="V54">
        <v>2748.6</v>
      </c>
      <c r="W54">
        <v>643</v>
      </c>
      <c r="X54">
        <v>1.3332999999999999</v>
      </c>
      <c r="Y54">
        <v>487</v>
      </c>
      <c r="Z54">
        <v>5.64</v>
      </c>
      <c r="AJ54">
        <v>2</v>
      </c>
      <c r="AK54">
        <v>18</v>
      </c>
      <c r="AM54">
        <v>0</v>
      </c>
      <c r="AO54" t="s">
        <v>206</v>
      </c>
      <c r="AT54">
        <v>61</v>
      </c>
      <c r="AV54">
        <v>53.9</v>
      </c>
      <c r="AW54" t="s">
        <v>6</v>
      </c>
      <c r="AX54" t="s">
        <v>6</v>
      </c>
      <c r="AY54" t="s">
        <v>6</v>
      </c>
      <c r="AZ54" t="s">
        <v>6</v>
      </c>
      <c r="BA54" t="s">
        <v>6</v>
      </c>
      <c r="BB54" t="s">
        <v>6</v>
      </c>
      <c r="BC54" t="s">
        <v>6</v>
      </c>
      <c r="BD54" t="s">
        <v>6</v>
      </c>
      <c r="BE54" t="s">
        <v>6</v>
      </c>
      <c r="BF54" t="s">
        <v>6</v>
      </c>
      <c r="BG54" t="s">
        <v>6</v>
      </c>
      <c r="BH54" t="s">
        <v>6</v>
      </c>
      <c r="BI54" t="s">
        <v>6</v>
      </c>
      <c r="BJ54" t="s">
        <v>6</v>
      </c>
      <c r="BN54">
        <v>258.58339999999998</v>
      </c>
      <c r="BO54">
        <v>1552</v>
      </c>
      <c r="BP54">
        <v>0</v>
      </c>
      <c r="BQ54">
        <v>55</v>
      </c>
      <c r="BR54">
        <v>55</v>
      </c>
      <c r="BS54">
        <v>55.13</v>
      </c>
      <c r="BT54">
        <v>0</v>
      </c>
      <c r="BV54">
        <v>0</v>
      </c>
      <c r="BW54" t="s">
        <v>655</v>
      </c>
      <c r="BX54">
        <v>0.17</v>
      </c>
      <c r="BY54">
        <v>9.3720999999999997</v>
      </c>
      <c r="BZ54">
        <v>0</v>
      </c>
      <c r="CA54">
        <v>1</v>
      </c>
      <c r="CB54">
        <v>0.6</v>
      </c>
      <c r="CC54" s="3">
        <v>7.1269159999999998E-2</v>
      </c>
      <c r="CD54">
        <v>2.875</v>
      </c>
      <c r="CE54">
        <v>2.5</v>
      </c>
      <c r="CF54">
        <v>18</v>
      </c>
      <c r="CG54">
        <v>6</v>
      </c>
      <c r="CH54">
        <v>0</v>
      </c>
      <c r="CI54">
        <v>55.13</v>
      </c>
      <c r="CJ54">
        <v>583.46669999999995</v>
      </c>
    </row>
    <row r="55" spans="1:88">
      <c r="A55">
        <v>53</v>
      </c>
      <c r="B55" t="s">
        <v>0</v>
      </c>
      <c r="C55" t="s">
        <v>1</v>
      </c>
      <c r="D55" t="s">
        <v>133</v>
      </c>
      <c r="E55" t="s">
        <v>158</v>
      </c>
      <c r="F55" t="s">
        <v>298</v>
      </c>
      <c r="G55" t="s">
        <v>106</v>
      </c>
      <c r="H55" t="s">
        <v>257</v>
      </c>
      <c r="J55">
        <v>2</v>
      </c>
      <c r="K55" t="s">
        <v>146</v>
      </c>
      <c r="L55" t="s">
        <v>99</v>
      </c>
      <c r="M55" t="s">
        <v>121</v>
      </c>
      <c r="N55" t="s">
        <v>235</v>
      </c>
      <c r="O55">
        <v>129</v>
      </c>
      <c r="Q55">
        <v>482</v>
      </c>
      <c r="R55">
        <v>88</v>
      </c>
      <c r="S55">
        <v>4.25</v>
      </c>
      <c r="T55">
        <v>3.536</v>
      </c>
      <c r="U55">
        <v>6.33</v>
      </c>
      <c r="V55">
        <v>2046.63</v>
      </c>
      <c r="W55">
        <v>555</v>
      </c>
      <c r="X55">
        <v>1.3332999999999999</v>
      </c>
      <c r="Y55">
        <v>421</v>
      </c>
      <c r="Z55">
        <v>4.8600000000000003</v>
      </c>
      <c r="AJ55">
        <v>2</v>
      </c>
      <c r="AK55">
        <v>18</v>
      </c>
      <c r="AM55">
        <v>0</v>
      </c>
      <c r="AO55" t="s">
        <v>301</v>
      </c>
      <c r="AT55">
        <v>50</v>
      </c>
      <c r="AV55">
        <v>49.1</v>
      </c>
      <c r="AW55">
        <v>0.46875</v>
      </c>
      <c r="AX55">
        <v>3.75</v>
      </c>
      <c r="AY55">
        <v>50</v>
      </c>
      <c r="AZ55">
        <v>4.5</v>
      </c>
      <c r="BA55">
        <v>405.51</v>
      </c>
      <c r="BB55">
        <v>4.8600000000000003</v>
      </c>
      <c r="BC55">
        <v>54</v>
      </c>
      <c r="BD55">
        <v>0.1875</v>
      </c>
      <c r="BE55">
        <v>2.75</v>
      </c>
      <c r="BF55">
        <v>17</v>
      </c>
      <c r="BG55">
        <v>1.875</v>
      </c>
      <c r="BH55">
        <v>15.59</v>
      </c>
      <c r="BI55">
        <v>9.7200000000000006</v>
      </c>
      <c r="BJ55">
        <v>6</v>
      </c>
      <c r="BL55">
        <v>421.1</v>
      </c>
      <c r="BM55">
        <v>59</v>
      </c>
      <c r="BN55">
        <v>235.40010000000001</v>
      </c>
      <c r="BO55">
        <v>1873</v>
      </c>
      <c r="BP55">
        <v>0</v>
      </c>
      <c r="BQ55">
        <v>44</v>
      </c>
      <c r="BR55">
        <v>44</v>
      </c>
      <c r="BS55">
        <v>44</v>
      </c>
      <c r="BT55">
        <v>0</v>
      </c>
      <c r="BV55">
        <v>0</v>
      </c>
      <c r="BW55" t="s">
        <v>655</v>
      </c>
      <c r="BX55">
        <v>0.17</v>
      </c>
      <c r="BY55">
        <v>7.48</v>
      </c>
      <c r="BZ55">
        <v>0</v>
      </c>
      <c r="CA55">
        <v>1</v>
      </c>
      <c r="CB55">
        <v>0.6</v>
      </c>
      <c r="CC55" s="3">
        <v>7.1269159999999998E-2</v>
      </c>
      <c r="CD55">
        <v>2.875</v>
      </c>
      <c r="CE55">
        <v>2.5</v>
      </c>
      <c r="CF55">
        <v>18</v>
      </c>
      <c r="CG55">
        <v>6</v>
      </c>
      <c r="CH55">
        <v>0</v>
      </c>
      <c r="CI55">
        <v>44</v>
      </c>
      <c r="CJ55">
        <v>424.9067</v>
      </c>
    </row>
    <row r="56" spans="1:88">
      <c r="A56">
        <v>54</v>
      </c>
      <c r="B56" t="s">
        <v>13</v>
      </c>
      <c r="C56" t="s">
        <v>1</v>
      </c>
      <c r="D56" t="s">
        <v>133</v>
      </c>
      <c r="E56" t="s">
        <v>103</v>
      </c>
      <c r="F56" t="s">
        <v>298</v>
      </c>
      <c r="G56" t="s">
        <v>106</v>
      </c>
      <c r="H56" t="s">
        <v>257</v>
      </c>
      <c r="J56">
        <v>2</v>
      </c>
      <c r="K56" t="s">
        <v>146</v>
      </c>
      <c r="L56" t="s">
        <v>455</v>
      </c>
      <c r="M56" t="s">
        <v>315</v>
      </c>
      <c r="N56" t="s">
        <v>316</v>
      </c>
      <c r="O56">
        <v>167</v>
      </c>
      <c r="Q56">
        <v>611</v>
      </c>
      <c r="R56">
        <v>88</v>
      </c>
      <c r="S56">
        <v>4.25</v>
      </c>
      <c r="T56">
        <v>4.4459999999999997</v>
      </c>
      <c r="U56">
        <v>6.86</v>
      </c>
      <c r="V56">
        <v>2598.36</v>
      </c>
      <c r="W56">
        <v>602</v>
      </c>
      <c r="X56">
        <v>1.3332999999999999</v>
      </c>
      <c r="Y56">
        <v>450</v>
      </c>
      <c r="Z56">
        <v>5.77</v>
      </c>
      <c r="AJ56">
        <v>2</v>
      </c>
      <c r="AK56">
        <v>18</v>
      </c>
      <c r="AM56">
        <v>0</v>
      </c>
      <c r="AO56" t="s">
        <v>301</v>
      </c>
      <c r="AT56">
        <v>63</v>
      </c>
      <c r="AV56">
        <v>49.1</v>
      </c>
      <c r="AW56">
        <v>0.46875</v>
      </c>
      <c r="AX56">
        <v>3.75</v>
      </c>
      <c r="AY56">
        <v>59.375</v>
      </c>
      <c r="AZ56">
        <v>5.375</v>
      </c>
      <c r="BA56">
        <v>341.56</v>
      </c>
      <c r="BB56">
        <v>5.77</v>
      </c>
      <c r="BC56">
        <v>64</v>
      </c>
      <c r="BD56">
        <v>0.3125</v>
      </c>
      <c r="BE56">
        <v>2.75</v>
      </c>
      <c r="BF56">
        <v>33.125</v>
      </c>
      <c r="BG56">
        <v>3.625</v>
      </c>
      <c r="BH56">
        <v>108.76</v>
      </c>
      <c r="BI56">
        <v>5.87</v>
      </c>
      <c r="BJ56">
        <v>18</v>
      </c>
      <c r="BL56">
        <v>450.32</v>
      </c>
      <c r="BM56">
        <v>81</v>
      </c>
      <c r="BN56">
        <v>235.40010000000001</v>
      </c>
      <c r="BO56">
        <v>1873</v>
      </c>
      <c r="BP56">
        <v>0</v>
      </c>
      <c r="BQ56">
        <v>57</v>
      </c>
      <c r="BR56">
        <v>57</v>
      </c>
      <c r="BS56">
        <v>57.21</v>
      </c>
      <c r="BT56">
        <v>0</v>
      </c>
      <c r="BV56">
        <v>0</v>
      </c>
      <c r="BW56" t="s">
        <v>655</v>
      </c>
      <c r="BX56">
        <v>0.17</v>
      </c>
      <c r="BY56">
        <v>9.7257010000000008</v>
      </c>
      <c r="BZ56">
        <v>0</v>
      </c>
      <c r="CA56">
        <v>1</v>
      </c>
      <c r="CB56">
        <v>0.6</v>
      </c>
      <c r="CC56" s="3">
        <v>7.1269159999999998E-2</v>
      </c>
      <c r="CD56">
        <v>2.875</v>
      </c>
      <c r="CE56">
        <v>2.5</v>
      </c>
      <c r="CF56">
        <v>18</v>
      </c>
      <c r="CG56">
        <v>6</v>
      </c>
      <c r="CH56">
        <v>0</v>
      </c>
      <c r="CI56">
        <v>57.21</v>
      </c>
      <c r="CJ56">
        <v>552.47529999999995</v>
      </c>
    </row>
    <row r="57" spans="1:88">
      <c r="A57">
        <v>55</v>
      </c>
      <c r="B57" t="s">
        <v>0</v>
      </c>
      <c r="C57" t="s">
        <v>1</v>
      </c>
      <c r="D57" t="s">
        <v>317</v>
      </c>
      <c r="E57" t="s">
        <v>2</v>
      </c>
      <c r="F57" t="s">
        <v>318</v>
      </c>
      <c r="G57" t="s">
        <v>106</v>
      </c>
      <c r="H57" t="s">
        <v>180</v>
      </c>
      <c r="J57">
        <v>2</v>
      </c>
      <c r="K57" t="s">
        <v>146</v>
      </c>
      <c r="L57" t="s">
        <v>122</v>
      </c>
      <c r="M57" t="s">
        <v>4</v>
      </c>
      <c r="N57" t="s">
        <v>5</v>
      </c>
      <c r="O57">
        <v>107</v>
      </c>
      <c r="Q57">
        <v>276</v>
      </c>
      <c r="R57">
        <v>62</v>
      </c>
      <c r="S57">
        <v>4.25</v>
      </c>
      <c r="T57">
        <v>2.9710000000000001</v>
      </c>
      <c r="U57">
        <v>6.07</v>
      </c>
      <c r="V57">
        <v>1174.52</v>
      </c>
      <c r="W57">
        <v>379</v>
      </c>
      <c r="X57">
        <v>1.5</v>
      </c>
      <c r="Y57">
        <v>263</v>
      </c>
      <c r="Z57">
        <v>4.47</v>
      </c>
      <c r="AJ57">
        <v>2</v>
      </c>
      <c r="AK57">
        <v>18</v>
      </c>
      <c r="AM57">
        <v>0</v>
      </c>
      <c r="AO57" t="s">
        <v>319</v>
      </c>
      <c r="AT57">
        <v>42</v>
      </c>
      <c r="AV57">
        <v>33.200000000000003</v>
      </c>
      <c r="AW57">
        <v>0</v>
      </c>
      <c r="AX57">
        <v>0</v>
      </c>
      <c r="AY57">
        <v>37</v>
      </c>
      <c r="AZ57">
        <v>3.625</v>
      </c>
      <c r="BA57">
        <v>0</v>
      </c>
      <c r="BB57">
        <v>0</v>
      </c>
      <c r="BC57">
        <v>35</v>
      </c>
      <c r="BN57">
        <v>156.93340000000001</v>
      </c>
      <c r="BO57">
        <v>4213</v>
      </c>
      <c r="BP57">
        <v>0</v>
      </c>
      <c r="BQ57">
        <v>36</v>
      </c>
      <c r="BR57">
        <v>36</v>
      </c>
      <c r="BS57">
        <v>36.340000000000003</v>
      </c>
      <c r="BT57">
        <v>0</v>
      </c>
      <c r="BV57">
        <v>0</v>
      </c>
      <c r="BW57" t="s">
        <v>655</v>
      </c>
      <c r="BX57">
        <v>0.17</v>
      </c>
      <c r="BY57">
        <v>6.1778000000000004</v>
      </c>
      <c r="BZ57">
        <v>0</v>
      </c>
      <c r="CA57">
        <v>1</v>
      </c>
      <c r="CB57">
        <v>0.6</v>
      </c>
      <c r="CC57" s="3">
        <v>7.1269159999999998E-2</v>
      </c>
      <c r="CD57">
        <v>2.875</v>
      </c>
      <c r="CE57">
        <v>2.5</v>
      </c>
      <c r="CF57">
        <v>18</v>
      </c>
      <c r="CG57">
        <v>6</v>
      </c>
      <c r="CH57">
        <v>0</v>
      </c>
      <c r="CI57">
        <v>36.340000000000003</v>
      </c>
      <c r="CJ57">
        <v>236.9778</v>
      </c>
    </row>
    <row r="58" spans="1:88">
      <c r="A58">
        <v>56</v>
      </c>
      <c r="B58" t="s">
        <v>0</v>
      </c>
      <c r="C58" t="s">
        <v>1</v>
      </c>
      <c r="D58" t="s">
        <v>320</v>
      </c>
      <c r="E58" t="s">
        <v>219</v>
      </c>
      <c r="F58" t="s">
        <v>321</v>
      </c>
      <c r="G58" t="s">
        <v>106</v>
      </c>
      <c r="H58" t="s">
        <v>322</v>
      </c>
      <c r="J58">
        <v>2</v>
      </c>
      <c r="K58" t="s">
        <v>146</v>
      </c>
      <c r="L58" t="s">
        <v>369</v>
      </c>
      <c r="M58" t="s">
        <v>220</v>
      </c>
      <c r="N58" t="s">
        <v>221</v>
      </c>
      <c r="O58">
        <v>101</v>
      </c>
      <c r="Q58">
        <v>150</v>
      </c>
      <c r="R58">
        <v>35</v>
      </c>
      <c r="S58">
        <v>4.25</v>
      </c>
      <c r="T58">
        <v>2.8119999999999998</v>
      </c>
      <c r="U58">
        <v>5.92</v>
      </c>
      <c r="V58">
        <v>638.6</v>
      </c>
      <c r="W58">
        <v>204</v>
      </c>
      <c r="X58">
        <v>1.3332999999999999</v>
      </c>
      <c r="Y58">
        <v>154</v>
      </c>
      <c r="Z58">
        <v>4.1399999999999997</v>
      </c>
      <c r="AJ58">
        <v>2</v>
      </c>
      <c r="AK58">
        <v>18</v>
      </c>
      <c r="AM58">
        <v>0</v>
      </c>
      <c r="AO58" t="s">
        <v>323</v>
      </c>
      <c r="AT58">
        <v>40</v>
      </c>
      <c r="AV58">
        <v>18.600000000000001</v>
      </c>
      <c r="AW58">
        <v>0</v>
      </c>
      <c r="AX58">
        <v>0</v>
      </c>
      <c r="AY58">
        <v>16.5</v>
      </c>
      <c r="AZ58">
        <v>2.625</v>
      </c>
      <c r="BA58">
        <v>0</v>
      </c>
      <c r="BB58">
        <v>0</v>
      </c>
      <c r="BC58">
        <v>12</v>
      </c>
      <c r="BN58">
        <v>85.600009999999997</v>
      </c>
      <c r="BO58">
        <v>14162</v>
      </c>
      <c r="BP58">
        <v>0</v>
      </c>
      <c r="BQ58">
        <v>34</v>
      </c>
      <c r="BR58">
        <v>34</v>
      </c>
      <c r="BS58">
        <v>34.26</v>
      </c>
      <c r="BT58">
        <v>0</v>
      </c>
      <c r="BV58">
        <v>0</v>
      </c>
      <c r="BW58" t="s">
        <v>655</v>
      </c>
      <c r="BX58">
        <v>0.17</v>
      </c>
      <c r="BY58">
        <v>5.8242000000000003</v>
      </c>
      <c r="BZ58">
        <v>0</v>
      </c>
      <c r="CA58">
        <v>1</v>
      </c>
      <c r="CB58">
        <v>0.6</v>
      </c>
      <c r="CC58" s="3">
        <v>7.1269159999999998E-2</v>
      </c>
      <c r="CD58">
        <v>2.875</v>
      </c>
      <c r="CE58">
        <v>2.5</v>
      </c>
      <c r="CF58">
        <v>18</v>
      </c>
      <c r="CG58">
        <v>6</v>
      </c>
      <c r="CH58">
        <v>0</v>
      </c>
      <c r="CI58">
        <v>34.26</v>
      </c>
      <c r="CJ58">
        <v>125.7466</v>
      </c>
    </row>
    <row r="59" spans="1:88">
      <c r="A59">
        <v>57</v>
      </c>
      <c r="B59" t="s">
        <v>13</v>
      </c>
      <c r="C59" t="s">
        <v>1</v>
      </c>
      <c r="D59" t="s">
        <v>207</v>
      </c>
      <c r="E59" t="s">
        <v>158</v>
      </c>
      <c r="F59" t="s">
        <v>149</v>
      </c>
      <c r="G59" t="s">
        <v>106</v>
      </c>
      <c r="H59" t="s">
        <v>185</v>
      </c>
      <c r="J59">
        <v>2</v>
      </c>
      <c r="K59" t="s">
        <v>146</v>
      </c>
      <c r="L59" t="s">
        <v>99</v>
      </c>
      <c r="M59" t="s">
        <v>121</v>
      </c>
      <c r="N59" t="s">
        <v>235</v>
      </c>
      <c r="O59">
        <v>129</v>
      </c>
      <c r="Q59">
        <v>517</v>
      </c>
      <c r="R59">
        <v>93</v>
      </c>
      <c r="S59">
        <v>4.25</v>
      </c>
      <c r="T59">
        <v>3.536</v>
      </c>
      <c r="U59">
        <v>6.33</v>
      </c>
      <c r="V59">
        <v>2195.33</v>
      </c>
      <c r="W59">
        <v>592</v>
      </c>
      <c r="X59">
        <v>1.3332999999999999</v>
      </c>
      <c r="Y59">
        <v>452</v>
      </c>
      <c r="Z59">
        <v>4.8600000000000003</v>
      </c>
      <c r="AJ59">
        <v>2</v>
      </c>
      <c r="AK59">
        <v>18</v>
      </c>
      <c r="AM59">
        <v>0</v>
      </c>
      <c r="AO59" t="s">
        <v>294</v>
      </c>
      <c r="AT59">
        <v>50</v>
      </c>
      <c r="AV59">
        <v>52.8</v>
      </c>
      <c r="AW59">
        <v>0.46875</v>
      </c>
      <c r="AX59">
        <v>3.75</v>
      </c>
      <c r="AY59">
        <v>50</v>
      </c>
      <c r="AZ59">
        <v>4.5</v>
      </c>
      <c r="BA59">
        <v>405.51</v>
      </c>
      <c r="BB59">
        <v>4.8600000000000003</v>
      </c>
      <c r="BC59">
        <v>54</v>
      </c>
      <c r="BD59">
        <v>0.25</v>
      </c>
      <c r="BE59">
        <v>2.75</v>
      </c>
      <c r="BF59">
        <v>24.875</v>
      </c>
      <c r="BG59">
        <v>2.375</v>
      </c>
      <c r="BH59">
        <v>46.19</v>
      </c>
      <c r="BI59">
        <v>7.43</v>
      </c>
      <c r="BJ59">
        <v>11</v>
      </c>
      <c r="BL59">
        <v>451.7</v>
      </c>
      <c r="BM59">
        <v>64</v>
      </c>
      <c r="BN59">
        <v>253.23339999999999</v>
      </c>
      <c r="BO59">
        <v>1618</v>
      </c>
      <c r="BP59">
        <v>0</v>
      </c>
      <c r="BQ59">
        <v>44</v>
      </c>
      <c r="BR59">
        <v>44</v>
      </c>
      <c r="BS59">
        <v>44</v>
      </c>
      <c r="BT59">
        <v>0</v>
      </c>
      <c r="BV59">
        <v>0</v>
      </c>
      <c r="BW59" t="s">
        <v>655</v>
      </c>
      <c r="BX59">
        <v>0.17</v>
      </c>
      <c r="BY59">
        <v>7.48</v>
      </c>
      <c r="BZ59">
        <v>0</v>
      </c>
      <c r="CA59">
        <v>1</v>
      </c>
      <c r="CB59">
        <v>0.6</v>
      </c>
      <c r="CC59" s="3">
        <v>7.1269159999999998E-2</v>
      </c>
      <c r="CD59">
        <v>2.875</v>
      </c>
      <c r="CE59">
        <v>2.5</v>
      </c>
      <c r="CF59">
        <v>18</v>
      </c>
      <c r="CG59">
        <v>6</v>
      </c>
      <c r="CH59">
        <v>0</v>
      </c>
      <c r="CI59">
        <v>44</v>
      </c>
      <c r="CJ59">
        <v>456.26519999999999</v>
      </c>
    </row>
    <row r="60" spans="1:88">
      <c r="A60">
        <v>58</v>
      </c>
      <c r="B60" t="s">
        <v>0</v>
      </c>
      <c r="C60" t="s">
        <v>1</v>
      </c>
      <c r="D60" t="s">
        <v>324</v>
      </c>
      <c r="E60" t="s">
        <v>96</v>
      </c>
      <c r="F60" t="s">
        <v>325</v>
      </c>
      <c r="G60" t="s">
        <v>15</v>
      </c>
      <c r="H60" t="s">
        <v>324</v>
      </c>
      <c r="J60">
        <v>2</v>
      </c>
      <c r="K60" t="s">
        <v>9</v>
      </c>
      <c r="L60" t="s">
        <v>293</v>
      </c>
      <c r="M60" t="s">
        <v>100</v>
      </c>
      <c r="N60" t="s">
        <v>101</v>
      </c>
      <c r="O60">
        <v>131</v>
      </c>
      <c r="Q60">
        <v>864</v>
      </c>
      <c r="R60">
        <v>151</v>
      </c>
      <c r="S60">
        <v>4.25</v>
      </c>
      <c r="T60">
        <v>3.5859999999999999</v>
      </c>
      <c r="U60">
        <v>6.37</v>
      </c>
      <c r="V60">
        <v>3670.08</v>
      </c>
      <c r="W60">
        <v>964</v>
      </c>
      <c r="X60">
        <v>1.3332999999999999</v>
      </c>
      <c r="Y60">
        <v>747</v>
      </c>
      <c r="Z60">
        <v>4.91</v>
      </c>
      <c r="AJ60">
        <v>2</v>
      </c>
      <c r="AK60">
        <v>18</v>
      </c>
      <c r="AM60">
        <v>0</v>
      </c>
      <c r="AO60" t="s">
        <v>326</v>
      </c>
      <c r="AT60">
        <v>51</v>
      </c>
      <c r="AV60">
        <v>87</v>
      </c>
      <c r="AW60" t="s">
        <v>6</v>
      </c>
      <c r="AX60" t="s">
        <v>6</v>
      </c>
      <c r="AY60" t="s">
        <v>6</v>
      </c>
      <c r="AZ60" t="s">
        <v>6</v>
      </c>
      <c r="BA60" t="s">
        <v>6</v>
      </c>
      <c r="BB60" t="s">
        <v>6</v>
      </c>
      <c r="BC60" t="s">
        <v>6</v>
      </c>
      <c r="BD60" t="s">
        <v>6</v>
      </c>
      <c r="BE60" t="s">
        <v>6</v>
      </c>
      <c r="BF60" t="s">
        <v>6</v>
      </c>
      <c r="BG60" t="s">
        <v>6</v>
      </c>
      <c r="BH60" t="s">
        <v>6</v>
      </c>
      <c r="BI60" t="s">
        <v>6</v>
      </c>
      <c r="BJ60" t="s">
        <v>6</v>
      </c>
      <c r="BN60">
        <v>745.06970000000001</v>
      </c>
      <c r="BO60">
        <v>1970</v>
      </c>
      <c r="BP60">
        <v>0</v>
      </c>
      <c r="BQ60">
        <v>45</v>
      </c>
      <c r="BR60">
        <v>45</v>
      </c>
      <c r="BS60">
        <v>44.69</v>
      </c>
      <c r="BT60">
        <v>0</v>
      </c>
      <c r="BV60">
        <v>6</v>
      </c>
      <c r="BW60" t="s">
        <v>655</v>
      </c>
      <c r="BX60">
        <v>0.27933340000000001</v>
      </c>
      <c r="BY60">
        <v>12.483409999999999</v>
      </c>
      <c r="BZ60">
        <v>0</v>
      </c>
      <c r="CA60">
        <v>1</v>
      </c>
      <c r="CB60">
        <v>0.6</v>
      </c>
      <c r="CC60" s="3">
        <v>7.1269159999999998E-2</v>
      </c>
      <c r="CD60">
        <v>2.875</v>
      </c>
      <c r="CE60">
        <v>2.5</v>
      </c>
      <c r="CF60">
        <v>18</v>
      </c>
      <c r="CG60">
        <v>6</v>
      </c>
      <c r="CH60">
        <v>0</v>
      </c>
      <c r="CI60">
        <v>44.69</v>
      </c>
      <c r="CJ60">
        <v>764.00630000000001</v>
      </c>
    </row>
    <row r="61" spans="1:88">
      <c r="A61">
        <v>59</v>
      </c>
      <c r="B61" t="s">
        <v>0</v>
      </c>
      <c r="C61" t="s">
        <v>1</v>
      </c>
      <c r="D61" t="s">
        <v>96</v>
      </c>
      <c r="E61" t="s">
        <v>143</v>
      </c>
      <c r="F61" t="s">
        <v>198</v>
      </c>
      <c r="G61" t="s">
        <v>106</v>
      </c>
      <c r="H61" t="s">
        <v>162</v>
      </c>
      <c r="J61">
        <v>2</v>
      </c>
      <c r="K61" t="s">
        <v>146</v>
      </c>
      <c r="L61" t="s">
        <v>297</v>
      </c>
      <c r="M61" t="s">
        <v>206</v>
      </c>
      <c r="N61" t="s">
        <v>131</v>
      </c>
      <c r="O61">
        <v>155</v>
      </c>
      <c r="Q61">
        <v>521</v>
      </c>
      <c r="R61">
        <v>81</v>
      </c>
      <c r="S61">
        <v>4.25</v>
      </c>
      <c r="T61">
        <v>4.1660000000000004</v>
      </c>
      <c r="U61">
        <v>6.78</v>
      </c>
      <c r="V61">
        <v>2212.88</v>
      </c>
      <c r="W61">
        <v>548</v>
      </c>
      <c r="X61">
        <v>1.3332999999999999</v>
      </c>
      <c r="Y61">
        <v>403</v>
      </c>
      <c r="Z61">
        <v>5.49</v>
      </c>
      <c r="AJ61">
        <v>2</v>
      </c>
      <c r="AK61">
        <v>18</v>
      </c>
      <c r="AM61">
        <v>0</v>
      </c>
      <c r="AO61" t="s">
        <v>166</v>
      </c>
      <c r="AT61">
        <v>59</v>
      </c>
      <c r="AV61">
        <v>44.8</v>
      </c>
      <c r="AW61">
        <v>0.46875</v>
      </c>
      <c r="AX61">
        <v>3.75</v>
      </c>
      <c r="AY61">
        <v>56.5</v>
      </c>
      <c r="AZ61">
        <v>5.125</v>
      </c>
      <c r="BA61">
        <v>358.98</v>
      </c>
      <c r="BB61">
        <v>5.49</v>
      </c>
      <c r="BC61">
        <v>61</v>
      </c>
      <c r="BD61">
        <v>0.25</v>
      </c>
      <c r="BE61">
        <v>2.75</v>
      </c>
      <c r="BF61">
        <v>26</v>
      </c>
      <c r="BG61">
        <v>2.75</v>
      </c>
      <c r="BH61">
        <v>44.08</v>
      </c>
      <c r="BI61">
        <v>7.79</v>
      </c>
      <c r="BJ61">
        <v>11</v>
      </c>
      <c r="BL61">
        <v>403.06</v>
      </c>
      <c r="BM61">
        <v>71</v>
      </c>
      <c r="BN61">
        <v>214</v>
      </c>
      <c r="BO61">
        <v>2266</v>
      </c>
      <c r="BP61">
        <v>0</v>
      </c>
      <c r="BQ61">
        <v>53</v>
      </c>
      <c r="BR61">
        <v>53</v>
      </c>
      <c r="BS61">
        <v>53.04</v>
      </c>
      <c r="BT61">
        <v>0</v>
      </c>
      <c r="BV61">
        <v>0</v>
      </c>
      <c r="BW61" t="s">
        <v>655</v>
      </c>
      <c r="BX61">
        <v>0.17</v>
      </c>
      <c r="BY61">
        <v>9.0167999999999999</v>
      </c>
      <c r="BZ61">
        <v>0</v>
      </c>
      <c r="CA61">
        <v>1</v>
      </c>
      <c r="CB61">
        <v>0.6</v>
      </c>
      <c r="CC61" s="3">
        <v>7.1269159999999998E-2</v>
      </c>
      <c r="CD61">
        <v>2.875</v>
      </c>
      <c r="CE61">
        <v>2.5</v>
      </c>
      <c r="CF61">
        <v>18</v>
      </c>
      <c r="CG61">
        <v>6</v>
      </c>
      <c r="CH61">
        <v>0</v>
      </c>
      <c r="CI61">
        <v>53.04</v>
      </c>
      <c r="CJ61">
        <v>466.84429999999998</v>
      </c>
    </row>
    <row r="62" spans="1:88">
      <c r="A62">
        <v>60</v>
      </c>
      <c r="B62" t="s">
        <v>0</v>
      </c>
      <c r="C62" t="s">
        <v>1</v>
      </c>
      <c r="D62" t="s">
        <v>235</v>
      </c>
      <c r="E62" t="s">
        <v>96</v>
      </c>
      <c r="F62" t="s">
        <v>327</v>
      </c>
      <c r="G62" t="s">
        <v>106</v>
      </c>
      <c r="H62" t="s">
        <v>96</v>
      </c>
      <c r="J62">
        <v>2</v>
      </c>
      <c r="K62" t="s">
        <v>146</v>
      </c>
      <c r="L62" t="s">
        <v>293</v>
      </c>
      <c r="M62" t="s">
        <v>100</v>
      </c>
      <c r="N62" t="s">
        <v>101</v>
      </c>
      <c r="O62">
        <v>131</v>
      </c>
      <c r="Q62">
        <v>449</v>
      </c>
      <c r="R62">
        <v>81</v>
      </c>
      <c r="S62">
        <v>4.25</v>
      </c>
      <c r="T62">
        <v>3.5859999999999999</v>
      </c>
      <c r="U62">
        <v>6.37</v>
      </c>
      <c r="V62">
        <v>1909.61</v>
      </c>
      <c r="W62">
        <v>519</v>
      </c>
      <c r="X62">
        <v>1.3332999999999999</v>
      </c>
      <c r="Y62">
        <v>389</v>
      </c>
      <c r="Z62">
        <v>4.91</v>
      </c>
      <c r="AJ62">
        <v>2</v>
      </c>
      <c r="AK62">
        <v>18</v>
      </c>
      <c r="AM62">
        <v>0</v>
      </c>
      <c r="AO62" t="s">
        <v>100</v>
      </c>
      <c r="AT62">
        <v>51</v>
      </c>
      <c r="AV62">
        <v>45.1</v>
      </c>
      <c r="AW62">
        <v>0</v>
      </c>
      <c r="AX62">
        <v>0</v>
      </c>
      <c r="AY62">
        <v>52.125</v>
      </c>
      <c r="AZ62">
        <v>4.625</v>
      </c>
      <c r="BA62">
        <v>0</v>
      </c>
      <c r="BB62">
        <v>0</v>
      </c>
      <c r="BC62">
        <v>56</v>
      </c>
      <c r="BN62">
        <v>215.7834</v>
      </c>
      <c r="BO62">
        <v>2229</v>
      </c>
      <c r="BP62">
        <v>0</v>
      </c>
      <c r="BQ62">
        <v>45</v>
      </c>
      <c r="BR62">
        <v>45</v>
      </c>
      <c r="BS62">
        <v>44.69</v>
      </c>
      <c r="BT62">
        <v>0</v>
      </c>
      <c r="BV62">
        <v>0</v>
      </c>
      <c r="BW62" t="s">
        <v>655</v>
      </c>
      <c r="BX62">
        <v>0.17</v>
      </c>
      <c r="BY62">
        <v>7.5972999999999997</v>
      </c>
      <c r="BZ62">
        <v>0</v>
      </c>
      <c r="CA62">
        <v>1</v>
      </c>
      <c r="CB62">
        <v>0.6</v>
      </c>
      <c r="CC62" s="3">
        <v>7.1269159999999998E-2</v>
      </c>
      <c r="CD62">
        <v>2.875</v>
      </c>
      <c r="CE62">
        <v>2.5</v>
      </c>
      <c r="CF62">
        <v>18</v>
      </c>
      <c r="CG62">
        <v>6</v>
      </c>
      <c r="CH62">
        <v>0</v>
      </c>
      <c r="CI62">
        <v>44.69</v>
      </c>
      <c r="CJ62">
        <v>396.53480000000002</v>
      </c>
    </row>
    <row r="63" spans="1:88">
      <c r="A63">
        <v>61</v>
      </c>
      <c r="B63" t="s">
        <v>0</v>
      </c>
      <c r="C63" t="s">
        <v>1</v>
      </c>
      <c r="D63" t="s">
        <v>3</v>
      </c>
      <c r="E63" t="s">
        <v>2</v>
      </c>
      <c r="F63" t="s">
        <v>306</v>
      </c>
      <c r="G63" t="s">
        <v>106</v>
      </c>
      <c r="H63" t="s">
        <v>307</v>
      </c>
      <c r="J63">
        <v>2</v>
      </c>
      <c r="K63" t="s">
        <v>146</v>
      </c>
      <c r="L63" t="s">
        <v>122</v>
      </c>
      <c r="M63" t="s">
        <v>4</v>
      </c>
      <c r="N63" t="s">
        <v>5</v>
      </c>
      <c r="O63">
        <v>107</v>
      </c>
      <c r="Q63">
        <v>353</v>
      </c>
      <c r="R63">
        <v>77</v>
      </c>
      <c r="S63">
        <v>4.25</v>
      </c>
      <c r="T63">
        <v>2.9710000000000001</v>
      </c>
      <c r="U63">
        <v>6.07</v>
      </c>
      <c r="V63">
        <v>1500.84</v>
      </c>
      <c r="W63">
        <v>470</v>
      </c>
      <c r="X63">
        <v>1.3332999999999999</v>
      </c>
      <c r="Y63">
        <v>349</v>
      </c>
      <c r="Z63">
        <v>4.3</v>
      </c>
      <c r="AJ63">
        <v>2</v>
      </c>
      <c r="AK63">
        <v>18</v>
      </c>
      <c r="AM63">
        <v>0</v>
      </c>
      <c r="AO63" t="s">
        <v>308</v>
      </c>
      <c r="AT63">
        <v>42</v>
      </c>
      <c r="AV63">
        <v>42.6</v>
      </c>
      <c r="AW63">
        <v>0</v>
      </c>
      <c r="AX63">
        <v>0</v>
      </c>
      <c r="AY63">
        <v>40.75</v>
      </c>
      <c r="AZ63">
        <v>3.75</v>
      </c>
      <c r="BA63">
        <v>0</v>
      </c>
      <c r="BB63">
        <v>0</v>
      </c>
      <c r="BC63">
        <v>41</v>
      </c>
      <c r="BN63">
        <v>203.3</v>
      </c>
      <c r="BO63">
        <v>2511</v>
      </c>
      <c r="BP63">
        <v>0</v>
      </c>
      <c r="BQ63">
        <v>36</v>
      </c>
      <c r="BR63">
        <v>36</v>
      </c>
      <c r="BS63">
        <v>36.340000000000003</v>
      </c>
      <c r="BT63">
        <v>0</v>
      </c>
      <c r="BV63">
        <v>0</v>
      </c>
      <c r="BW63" t="s">
        <v>655</v>
      </c>
      <c r="BX63">
        <v>0.17</v>
      </c>
      <c r="BY63">
        <v>6.1778000000000004</v>
      </c>
      <c r="BZ63">
        <v>0</v>
      </c>
      <c r="CA63">
        <v>1</v>
      </c>
      <c r="CB63">
        <v>0.6</v>
      </c>
      <c r="CC63" s="3">
        <v>7.1269159999999998E-2</v>
      </c>
      <c r="CD63">
        <v>2.875</v>
      </c>
      <c r="CE63">
        <v>2.5</v>
      </c>
      <c r="CF63">
        <v>18</v>
      </c>
      <c r="CG63">
        <v>6</v>
      </c>
      <c r="CH63">
        <v>0</v>
      </c>
      <c r="CI63">
        <v>36.340000000000003</v>
      </c>
      <c r="CJ63">
        <v>304.31569999999999</v>
      </c>
    </row>
    <row r="64" spans="1:88">
      <c r="A64">
        <v>62</v>
      </c>
      <c r="B64" t="s">
        <v>0</v>
      </c>
      <c r="C64" t="s">
        <v>1</v>
      </c>
      <c r="D64" t="s">
        <v>328</v>
      </c>
      <c r="E64" t="s">
        <v>167</v>
      </c>
      <c r="F64" t="s">
        <v>329</v>
      </c>
      <c r="G64" t="s">
        <v>15</v>
      </c>
      <c r="H64" t="s">
        <v>328</v>
      </c>
      <c r="J64">
        <v>2</v>
      </c>
      <c r="K64" t="s">
        <v>9</v>
      </c>
      <c r="L64" t="s">
        <v>207</v>
      </c>
      <c r="M64" t="s">
        <v>327</v>
      </c>
      <c r="N64" t="s">
        <v>330</v>
      </c>
      <c r="O64">
        <v>133</v>
      </c>
      <c r="Q64">
        <v>890</v>
      </c>
      <c r="R64">
        <v>154</v>
      </c>
      <c r="S64">
        <v>4.25</v>
      </c>
      <c r="T64">
        <v>3.6349999999999998</v>
      </c>
      <c r="U64">
        <v>6.41</v>
      </c>
      <c r="V64">
        <v>3782.96</v>
      </c>
      <c r="W64">
        <v>986</v>
      </c>
      <c r="X64">
        <v>1.3332999999999999</v>
      </c>
      <c r="Y64">
        <v>763</v>
      </c>
      <c r="Z64">
        <v>4.96</v>
      </c>
      <c r="AJ64">
        <v>2</v>
      </c>
      <c r="AK64">
        <v>18</v>
      </c>
      <c r="AM64">
        <v>0</v>
      </c>
      <c r="AO64" t="s">
        <v>331</v>
      </c>
      <c r="AT64">
        <v>52</v>
      </c>
      <c r="AV64">
        <v>88.5</v>
      </c>
      <c r="AW64" t="s">
        <v>6</v>
      </c>
      <c r="AX64" t="s">
        <v>6</v>
      </c>
      <c r="AY64" t="s">
        <v>6</v>
      </c>
      <c r="AZ64" t="s">
        <v>6</v>
      </c>
      <c r="BA64" t="s">
        <v>6</v>
      </c>
      <c r="BB64" t="s">
        <v>6</v>
      </c>
      <c r="BC64" t="s">
        <v>6</v>
      </c>
      <c r="BD64" t="s">
        <v>6</v>
      </c>
      <c r="BE64" t="s">
        <v>6</v>
      </c>
      <c r="BF64" t="s">
        <v>6</v>
      </c>
      <c r="BG64" t="s">
        <v>6</v>
      </c>
      <c r="BH64" t="s">
        <v>6</v>
      </c>
      <c r="BI64" t="s">
        <v>6</v>
      </c>
      <c r="BJ64" t="s">
        <v>6</v>
      </c>
      <c r="BN64">
        <v>757.69809999999995</v>
      </c>
      <c r="BO64">
        <v>1905</v>
      </c>
      <c r="BP64">
        <v>0</v>
      </c>
      <c r="BQ64">
        <v>45</v>
      </c>
      <c r="BR64">
        <v>45</v>
      </c>
      <c r="BS64">
        <v>45.39</v>
      </c>
      <c r="BT64">
        <v>0</v>
      </c>
      <c r="BV64">
        <v>6</v>
      </c>
      <c r="BW64" t="s">
        <v>655</v>
      </c>
      <c r="BX64">
        <v>0.27933340000000001</v>
      </c>
      <c r="BY64">
        <v>12.678940000000001</v>
      </c>
      <c r="BZ64">
        <v>0</v>
      </c>
      <c r="CA64">
        <v>1</v>
      </c>
      <c r="CB64">
        <v>0.6</v>
      </c>
      <c r="CC64" s="3">
        <v>7.1269159999999998E-2</v>
      </c>
      <c r="CD64">
        <v>2.875</v>
      </c>
      <c r="CE64">
        <v>2.5</v>
      </c>
      <c r="CF64">
        <v>18</v>
      </c>
      <c r="CG64">
        <v>6</v>
      </c>
      <c r="CH64">
        <v>0</v>
      </c>
      <c r="CI64">
        <v>45.39</v>
      </c>
      <c r="CJ64">
        <v>788.91290000000004</v>
      </c>
    </row>
    <row r="65" spans="1:88">
      <c r="A65">
        <v>63</v>
      </c>
      <c r="B65" t="s">
        <v>0</v>
      </c>
      <c r="C65" t="s">
        <v>1</v>
      </c>
      <c r="D65" t="s">
        <v>332</v>
      </c>
      <c r="E65" t="s">
        <v>228</v>
      </c>
      <c r="F65" t="s">
        <v>333</v>
      </c>
      <c r="G65" t="s">
        <v>106</v>
      </c>
      <c r="H65" t="s">
        <v>334</v>
      </c>
      <c r="J65">
        <v>2</v>
      </c>
      <c r="K65" t="s">
        <v>146</v>
      </c>
      <c r="L65" t="s">
        <v>174</v>
      </c>
      <c r="M65" t="s">
        <v>230</v>
      </c>
      <c r="N65" t="s">
        <v>231</v>
      </c>
      <c r="O65">
        <v>102</v>
      </c>
      <c r="Q65">
        <v>202</v>
      </c>
      <c r="R65">
        <v>45</v>
      </c>
      <c r="S65">
        <v>4.25</v>
      </c>
      <c r="T65">
        <v>2.8380000000000001</v>
      </c>
      <c r="U65">
        <v>5.96</v>
      </c>
      <c r="V65">
        <v>860.54</v>
      </c>
      <c r="W65">
        <v>267</v>
      </c>
      <c r="X65">
        <v>1.3332999999999999</v>
      </c>
      <c r="Y65">
        <v>206</v>
      </c>
      <c r="Z65">
        <v>4.17</v>
      </c>
      <c r="AJ65">
        <v>2</v>
      </c>
      <c r="AK65">
        <v>18</v>
      </c>
      <c r="AM65">
        <v>0</v>
      </c>
      <c r="AO65" t="s">
        <v>335</v>
      </c>
      <c r="AT65">
        <v>41</v>
      </c>
      <c r="AV65">
        <v>25.2</v>
      </c>
      <c r="AW65">
        <v>0</v>
      </c>
      <c r="AX65">
        <v>0</v>
      </c>
      <c r="AY65">
        <v>31.375</v>
      </c>
      <c r="AZ65">
        <v>3.125</v>
      </c>
      <c r="BA65">
        <v>0</v>
      </c>
      <c r="BB65">
        <v>0</v>
      </c>
      <c r="BC65">
        <v>28</v>
      </c>
      <c r="BN65">
        <v>117.7</v>
      </c>
      <c r="BO65">
        <v>7491</v>
      </c>
      <c r="BP65">
        <v>0</v>
      </c>
      <c r="BQ65">
        <v>35</v>
      </c>
      <c r="BR65">
        <v>35</v>
      </c>
      <c r="BS65">
        <v>34.6</v>
      </c>
      <c r="BT65">
        <v>0</v>
      </c>
      <c r="BV65">
        <v>0</v>
      </c>
      <c r="BW65" t="s">
        <v>655</v>
      </c>
      <c r="BX65">
        <v>0.17</v>
      </c>
      <c r="BY65">
        <v>5.8819999999999997</v>
      </c>
      <c r="BZ65">
        <v>0</v>
      </c>
      <c r="CA65">
        <v>1</v>
      </c>
      <c r="CB65">
        <v>0.6</v>
      </c>
      <c r="CC65" s="3">
        <v>7.1269159999999998E-2</v>
      </c>
      <c r="CD65">
        <v>2.875</v>
      </c>
      <c r="CE65">
        <v>2.5</v>
      </c>
      <c r="CF65">
        <v>18</v>
      </c>
      <c r="CG65">
        <v>6</v>
      </c>
      <c r="CH65">
        <v>0</v>
      </c>
      <c r="CI65">
        <v>34.6</v>
      </c>
      <c r="CJ65">
        <v>171.3809</v>
      </c>
    </row>
    <row r="66" spans="1:88">
      <c r="A66">
        <v>64</v>
      </c>
      <c r="B66" t="s">
        <v>13</v>
      </c>
      <c r="C66" t="s">
        <v>1</v>
      </c>
      <c r="D66" t="s">
        <v>199</v>
      </c>
      <c r="E66" t="s">
        <v>104</v>
      </c>
      <c r="F66" t="s">
        <v>216</v>
      </c>
      <c r="G66" t="s">
        <v>15</v>
      </c>
      <c r="H66" t="s">
        <v>336</v>
      </c>
      <c r="J66">
        <v>2</v>
      </c>
      <c r="K66" t="s">
        <v>108</v>
      </c>
      <c r="L66" t="s">
        <v>109</v>
      </c>
      <c r="M66" t="s">
        <v>110</v>
      </c>
      <c r="N66" t="s">
        <v>111</v>
      </c>
      <c r="O66">
        <v>191</v>
      </c>
      <c r="Q66">
        <v>947</v>
      </c>
      <c r="R66">
        <v>117</v>
      </c>
      <c r="S66">
        <v>4.25</v>
      </c>
      <c r="T66">
        <v>4.9850000000000003</v>
      </c>
      <c r="U66">
        <v>7.27</v>
      </c>
      <c r="V66">
        <v>4025.13</v>
      </c>
      <c r="W66">
        <v>853</v>
      </c>
      <c r="X66">
        <v>1.3332999999999999</v>
      </c>
      <c r="Y66">
        <v>638</v>
      </c>
      <c r="Z66">
        <v>6.31</v>
      </c>
      <c r="AJ66">
        <v>2</v>
      </c>
      <c r="AK66">
        <v>18</v>
      </c>
      <c r="AM66">
        <v>0</v>
      </c>
      <c r="AO66" t="s">
        <v>337</v>
      </c>
      <c r="AT66">
        <v>72</v>
      </c>
      <c r="AV66">
        <v>67.400000000000006</v>
      </c>
      <c r="AW66" t="s">
        <v>6</v>
      </c>
      <c r="AX66" t="s">
        <v>6</v>
      </c>
      <c r="AY66" t="s">
        <v>6</v>
      </c>
      <c r="AZ66" t="s">
        <v>6</v>
      </c>
      <c r="BA66" t="s">
        <v>6</v>
      </c>
      <c r="BB66" t="s">
        <v>6</v>
      </c>
      <c r="BC66" t="s">
        <v>6</v>
      </c>
      <c r="BD66" t="s">
        <v>6</v>
      </c>
      <c r="BE66" t="s">
        <v>6</v>
      </c>
      <c r="BF66" t="s">
        <v>6</v>
      </c>
      <c r="BG66" t="s">
        <v>6</v>
      </c>
      <c r="BH66" t="s">
        <v>6</v>
      </c>
      <c r="BI66" t="s">
        <v>6</v>
      </c>
      <c r="BJ66" t="s">
        <v>6</v>
      </c>
      <c r="BN66">
        <v>574.58770000000004</v>
      </c>
      <c r="BO66">
        <v>3313</v>
      </c>
      <c r="BP66">
        <v>0</v>
      </c>
      <c r="BQ66">
        <v>66</v>
      </c>
      <c r="BR66">
        <v>66</v>
      </c>
      <c r="BS66">
        <v>65.56</v>
      </c>
      <c r="BT66">
        <v>0</v>
      </c>
      <c r="BV66">
        <v>0</v>
      </c>
      <c r="BW66" t="s">
        <v>655</v>
      </c>
      <c r="BX66">
        <v>0.17</v>
      </c>
      <c r="BY66">
        <v>11.145200000000001</v>
      </c>
      <c r="BZ66">
        <v>0</v>
      </c>
      <c r="CA66">
        <v>1</v>
      </c>
      <c r="CB66">
        <v>0.6</v>
      </c>
      <c r="CC66" s="3">
        <v>7.1269159999999998E-2</v>
      </c>
      <c r="CD66">
        <v>2.875</v>
      </c>
      <c r="CE66">
        <v>2.5</v>
      </c>
      <c r="CF66">
        <v>18</v>
      </c>
      <c r="CG66">
        <v>6</v>
      </c>
      <c r="CH66">
        <v>0</v>
      </c>
      <c r="CI66">
        <v>65.56</v>
      </c>
      <c r="CJ66">
        <v>868.48339999999996</v>
      </c>
    </row>
    <row r="67" spans="1:88">
      <c r="A67">
        <v>65</v>
      </c>
      <c r="B67" t="s">
        <v>0</v>
      </c>
      <c r="C67" t="s">
        <v>1</v>
      </c>
      <c r="D67" t="s">
        <v>7</v>
      </c>
      <c r="E67" t="s">
        <v>8</v>
      </c>
      <c r="F67" t="s">
        <v>670</v>
      </c>
      <c r="G67" t="s">
        <v>735</v>
      </c>
      <c r="H67" t="s">
        <v>737</v>
      </c>
      <c r="J67">
        <v>2</v>
      </c>
      <c r="K67" t="s">
        <v>9</v>
      </c>
      <c r="L67" t="s">
        <v>10</v>
      </c>
      <c r="M67" t="s">
        <v>11</v>
      </c>
      <c r="N67" t="s">
        <v>12</v>
      </c>
      <c r="O67">
        <v>203</v>
      </c>
      <c r="Q67">
        <v>1448</v>
      </c>
      <c r="R67">
        <v>184</v>
      </c>
      <c r="S67">
        <v>4.3125</v>
      </c>
      <c r="T67">
        <v>5.202</v>
      </c>
      <c r="U67">
        <v>7.33</v>
      </c>
      <c r="V67">
        <v>6244.19</v>
      </c>
      <c r="W67">
        <v>1352</v>
      </c>
      <c r="X67">
        <v>1.5</v>
      </c>
      <c r="Y67">
        <v>932</v>
      </c>
      <c r="Z67">
        <v>6.7</v>
      </c>
      <c r="AJ67">
        <v>2</v>
      </c>
      <c r="AK67">
        <v>18</v>
      </c>
      <c r="AM67">
        <v>0</v>
      </c>
      <c r="AO67" t="s">
        <v>671</v>
      </c>
      <c r="AT67">
        <v>76</v>
      </c>
      <c r="AV67">
        <v>97.2</v>
      </c>
      <c r="AW67" t="s">
        <v>6</v>
      </c>
      <c r="AX67" t="s">
        <v>6</v>
      </c>
      <c r="AY67" t="s">
        <v>6</v>
      </c>
      <c r="AZ67" t="s">
        <v>6</v>
      </c>
      <c r="BA67" t="s">
        <v>6</v>
      </c>
      <c r="BB67" t="s">
        <v>6</v>
      </c>
      <c r="BC67" t="s">
        <v>6</v>
      </c>
      <c r="BD67" t="s">
        <v>6</v>
      </c>
      <c r="BE67" t="s">
        <v>6</v>
      </c>
      <c r="BF67" t="s">
        <v>6</v>
      </c>
      <c r="BG67" t="s">
        <v>6</v>
      </c>
      <c r="BH67" t="s">
        <v>6</v>
      </c>
      <c r="BI67" t="s">
        <v>6</v>
      </c>
      <c r="BJ67" t="s">
        <v>6</v>
      </c>
      <c r="BN67">
        <v>1067.77</v>
      </c>
      <c r="BO67">
        <v>5792</v>
      </c>
      <c r="BP67">
        <v>0</v>
      </c>
      <c r="BQ67">
        <v>70</v>
      </c>
      <c r="BR67">
        <v>70</v>
      </c>
      <c r="BS67">
        <v>69.730009999999993</v>
      </c>
      <c r="BT67">
        <v>0</v>
      </c>
      <c r="BV67">
        <v>6</v>
      </c>
      <c r="BW67" t="s">
        <v>655</v>
      </c>
      <c r="BX67">
        <v>0.27933340000000001</v>
      </c>
      <c r="BY67">
        <v>19.477920000000001</v>
      </c>
      <c r="BZ67">
        <v>0</v>
      </c>
      <c r="CA67">
        <v>1</v>
      </c>
      <c r="CB67">
        <v>0.6</v>
      </c>
      <c r="CC67" s="3">
        <v>7.1269159999999998E-2</v>
      </c>
      <c r="CD67">
        <v>2.875</v>
      </c>
      <c r="CE67">
        <v>2.5</v>
      </c>
      <c r="CF67">
        <v>18</v>
      </c>
      <c r="CG67">
        <v>6</v>
      </c>
      <c r="CH67">
        <v>0</v>
      </c>
      <c r="CI67">
        <v>69.730009999999993</v>
      </c>
      <c r="CJ67">
        <v>1331.231</v>
      </c>
    </row>
    <row r="68" spans="1:88">
      <c r="A68">
        <v>66</v>
      </c>
      <c r="B68" t="s">
        <v>0</v>
      </c>
      <c r="C68" t="s">
        <v>1</v>
      </c>
      <c r="D68" t="s">
        <v>293</v>
      </c>
      <c r="E68" t="s">
        <v>120</v>
      </c>
      <c r="F68" t="s">
        <v>294</v>
      </c>
      <c r="G68" t="s">
        <v>106</v>
      </c>
      <c r="H68" t="s">
        <v>295</v>
      </c>
      <c r="J68">
        <v>2</v>
      </c>
      <c r="K68" t="s">
        <v>146</v>
      </c>
      <c r="L68" t="s">
        <v>19</v>
      </c>
      <c r="M68" t="s">
        <v>124</v>
      </c>
      <c r="N68" t="s">
        <v>125</v>
      </c>
      <c r="O68">
        <v>165</v>
      </c>
      <c r="Q68">
        <v>640</v>
      </c>
      <c r="R68">
        <v>92</v>
      </c>
      <c r="S68">
        <v>4.25</v>
      </c>
      <c r="T68">
        <v>4.4000000000000004</v>
      </c>
      <c r="U68">
        <v>6.82</v>
      </c>
      <c r="V68">
        <v>2718.8</v>
      </c>
      <c r="W68">
        <v>630</v>
      </c>
      <c r="X68">
        <v>1.3332999999999999</v>
      </c>
      <c r="Y68">
        <v>474</v>
      </c>
      <c r="Z68">
        <v>5.73</v>
      </c>
      <c r="AJ68">
        <v>2</v>
      </c>
      <c r="AK68">
        <v>18</v>
      </c>
      <c r="AM68">
        <v>0</v>
      </c>
      <c r="AO68" t="s">
        <v>296</v>
      </c>
      <c r="AT68">
        <v>63</v>
      </c>
      <c r="AV68">
        <v>52</v>
      </c>
      <c r="AW68" t="s">
        <v>6</v>
      </c>
      <c r="AX68" t="s">
        <v>6</v>
      </c>
      <c r="AY68" t="s">
        <v>6</v>
      </c>
      <c r="AZ68" t="s">
        <v>6</v>
      </c>
      <c r="BA68" t="s">
        <v>6</v>
      </c>
      <c r="BB68" t="s">
        <v>6</v>
      </c>
      <c r="BC68" t="s">
        <v>6</v>
      </c>
      <c r="BD68" t="s">
        <v>6</v>
      </c>
      <c r="BE68" t="s">
        <v>6</v>
      </c>
      <c r="BF68" t="s">
        <v>6</v>
      </c>
      <c r="BG68" t="s">
        <v>6</v>
      </c>
      <c r="BH68" t="s">
        <v>6</v>
      </c>
      <c r="BI68" t="s">
        <v>6</v>
      </c>
      <c r="BJ68" t="s">
        <v>6</v>
      </c>
      <c r="BN68">
        <v>249.66669999999999</v>
      </c>
      <c r="BO68">
        <v>1665</v>
      </c>
      <c r="BP68">
        <v>0</v>
      </c>
      <c r="BQ68">
        <v>57</v>
      </c>
      <c r="BR68">
        <v>57</v>
      </c>
      <c r="BS68">
        <v>56.52</v>
      </c>
      <c r="BT68">
        <v>0</v>
      </c>
      <c r="BV68">
        <v>0</v>
      </c>
      <c r="BW68" t="s">
        <v>655</v>
      </c>
      <c r="BX68">
        <v>0.17</v>
      </c>
      <c r="BY68">
        <v>9.6084010000000006</v>
      </c>
      <c r="BZ68">
        <v>0</v>
      </c>
      <c r="CA68">
        <v>1</v>
      </c>
      <c r="CB68">
        <v>0.6</v>
      </c>
      <c r="CC68" s="3">
        <v>7.1269159999999998E-2</v>
      </c>
      <c r="CD68">
        <v>2.875</v>
      </c>
      <c r="CE68">
        <v>2.5</v>
      </c>
      <c r="CF68">
        <v>18</v>
      </c>
      <c r="CG68">
        <v>6</v>
      </c>
      <c r="CH68">
        <v>0</v>
      </c>
      <c r="CI68">
        <v>56.52</v>
      </c>
      <c r="CJ68">
        <v>578.03710000000001</v>
      </c>
    </row>
    <row r="69" spans="1:88">
      <c r="A69">
        <v>67</v>
      </c>
      <c r="B69" t="s">
        <v>0</v>
      </c>
      <c r="C69" t="s">
        <v>1</v>
      </c>
      <c r="D69" t="s">
        <v>177</v>
      </c>
      <c r="E69" t="s">
        <v>338</v>
      </c>
      <c r="F69" t="s">
        <v>226</v>
      </c>
      <c r="G69" t="s">
        <v>106</v>
      </c>
      <c r="H69" t="s">
        <v>150</v>
      </c>
      <c r="J69">
        <v>2</v>
      </c>
      <c r="K69" t="s">
        <v>146</v>
      </c>
      <c r="L69" t="s">
        <v>143</v>
      </c>
      <c r="M69" t="s">
        <v>339</v>
      </c>
      <c r="N69" t="s">
        <v>340</v>
      </c>
      <c r="O69">
        <v>135</v>
      </c>
      <c r="Q69">
        <v>389</v>
      </c>
      <c r="R69">
        <v>70</v>
      </c>
      <c r="S69">
        <v>4.25</v>
      </c>
      <c r="T69">
        <v>3.6850000000000001</v>
      </c>
      <c r="U69">
        <v>6.45</v>
      </c>
      <c r="V69">
        <v>1653.03</v>
      </c>
      <c r="W69">
        <v>451</v>
      </c>
      <c r="X69">
        <v>1.3332999999999999</v>
      </c>
      <c r="Y69">
        <v>330</v>
      </c>
      <c r="Z69">
        <v>5.01</v>
      </c>
      <c r="AJ69">
        <v>2</v>
      </c>
      <c r="AK69">
        <v>18</v>
      </c>
      <c r="AM69">
        <v>0</v>
      </c>
      <c r="AO69" t="s">
        <v>159</v>
      </c>
      <c r="AT69">
        <v>52</v>
      </c>
      <c r="AV69">
        <v>37.9</v>
      </c>
      <c r="AW69">
        <v>0</v>
      </c>
      <c r="AX69">
        <v>0</v>
      </c>
      <c r="AY69">
        <v>43.125</v>
      </c>
      <c r="AZ69">
        <v>4.375</v>
      </c>
      <c r="BA69">
        <v>0</v>
      </c>
      <c r="BB69">
        <v>0</v>
      </c>
      <c r="BC69">
        <v>44</v>
      </c>
      <c r="BN69">
        <v>180.11670000000001</v>
      </c>
      <c r="BO69">
        <v>3199</v>
      </c>
      <c r="BP69">
        <v>0</v>
      </c>
      <c r="BQ69">
        <v>46</v>
      </c>
      <c r="BR69">
        <v>46</v>
      </c>
      <c r="BS69">
        <v>46.08</v>
      </c>
      <c r="BT69">
        <v>0</v>
      </c>
      <c r="BV69">
        <v>0</v>
      </c>
      <c r="BW69" t="s">
        <v>655</v>
      </c>
      <c r="BX69">
        <v>0.17</v>
      </c>
      <c r="BY69">
        <v>7.8336009999999998</v>
      </c>
      <c r="BZ69">
        <v>0</v>
      </c>
      <c r="CA69">
        <v>1</v>
      </c>
      <c r="CB69">
        <v>0.6</v>
      </c>
      <c r="CC69" s="3">
        <v>7.1269159999999998E-2</v>
      </c>
      <c r="CD69">
        <v>2.875</v>
      </c>
      <c r="CE69">
        <v>2.5</v>
      </c>
      <c r="CF69">
        <v>18</v>
      </c>
      <c r="CG69">
        <v>6</v>
      </c>
      <c r="CH69">
        <v>0</v>
      </c>
      <c r="CI69">
        <v>46.08</v>
      </c>
      <c r="CJ69">
        <v>343.18669999999997</v>
      </c>
    </row>
    <row r="70" spans="1:88">
      <c r="A70">
        <v>68</v>
      </c>
      <c r="B70" t="s">
        <v>0</v>
      </c>
      <c r="C70" t="s">
        <v>1</v>
      </c>
      <c r="D70" t="s">
        <v>2</v>
      </c>
      <c r="E70" t="s">
        <v>338</v>
      </c>
      <c r="F70" t="s">
        <v>154</v>
      </c>
      <c r="G70" t="s">
        <v>106</v>
      </c>
      <c r="H70" t="s">
        <v>217</v>
      </c>
      <c r="J70">
        <v>2</v>
      </c>
      <c r="K70" t="s">
        <v>146</v>
      </c>
      <c r="L70" t="s">
        <v>143</v>
      </c>
      <c r="M70" t="s">
        <v>339</v>
      </c>
      <c r="N70" t="s">
        <v>340</v>
      </c>
      <c r="O70">
        <v>135</v>
      </c>
      <c r="Q70">
        <v>371</v>
      </c>
      <c r="R70">
        <v>67</v>
      </c>
      <c r="S70">
        <v>4.25</v>
      </c>
      <c r="T70">
        <v>3.6850000000000001</v>
      </c>
      <c r="U70">
        <v>6.45</v>
      </c>
      <c r="V70">
        <v>1575.47</v>
      </c>
      <c r="W70">
        <v>433</v>
      </c>
      <c r="X70">
        <v>1.3332999999999999</v>
      </c>
      <c r="Y70">
        <v>314</v>
      </c>
      <c r="Z70">
        <v>5.01</v>
      </c>
      <c r="AJ70">
        <v>2</v>
      </c>
      <c r="AK70">
        <v>18</v>
      </c>
      <c r="AM70">
        <v>0</v>
      </c>
      <c r="AO70" t="s">
        <v>218</v>
      </c>
      <c r="AT70">
        <v>52</v>
      </c>
      <c r="AV70">
        <v>36.1</v>
      </c>
      <c r="AW70">
        <v>0</v>
      </c>
      <c r="AX70">
        <v>0</v>
      </c>
      <c r="AY70">
        <v>45.25</v>
      </c>
      <c r="AZ70">
        <v>4.375</v>
      </c>
      <c r="BA70">
        <v>0</v>
      </c>
      <c r="BB70">
        <v>0</v>
      </c>
      <c r="BC70">
        <v>46</v>
      </c>
      <c r="BN70">
        <v>171.2</v>
      </c>
      <c r="BO70">
        <v>3540</v>
      </c>
      <c r="BP70">
        <v>0</v>
      </c>
      <c r="BQ70">
        <v>46</v>
      </c>
      <c r="BR70">
        <v>46</v>
      </c>
      <c r="BS70">
        <v>46.08</v>
      </c>
      <c r="BT70">
        <v>0</v>
      </c>
      <c r="BV70">
        <v>0</v>
      </c>
      <c r="BW70" t="s">
        <v>655</v>
      </c>
      <c r="BX70">
        <v>0.17</v>
      </c>
      <c r="BY70">
        <v>7.8336009999999998</v>
      </c>
      <c r="BZ70">
        <v>0</v>
      </c>
      <c r="CA70">
        <v>1</v>
      </c>
      <c r="CB70">
        <v>0.6</v>
      </c>
      <c r="CC70" s="3">
        <v>7.1269159999999998E-2</v>
      </c>
      <c r="CD70">
        <v>2.875</v>
      </c>
      <c r="CE70">
        <v>2.5</v>
      </c>
      <c r="CF70">
        <v>18</v>
      </c>
      <c r="CG70">
        <v>6</v>
      </c>
      <c r="CH70">
        <v>0</v>
      </c>
      <c r="CI70">
        <v>46.08</v>
      </c>
      <c r="CJ70">
        <v>326.76620000000003</v>
      </c>
    </row>
    <row r="71" spans="1:88">
      <c r="A71">
        <v>69</v>
      </c>
      <c r="B71" t="s">
        <v>0</v>
      </c>
      <c r="C71" t="s">
        <v>1</v>
      </c>
      <c r="D71" t="s">
        <v>341</v>
      </c>
      <c r="E71" t="s">
        <v>342</v>
      </c>
      <c r="F71" t="s">
        <v>343</v>
      </c>
      <c r="G71" t="s">
        <v>106</v>
      </c>
      <c r="H71" t="s">
        <v>344</v>
      </c>
      <c r="J71">
        <v>2</v>
      </c>
      <c r="K71" t="s">
        <v>146</v>
      </c>
      <c r="L71" t="s">
        <v>139</v>
      </c>
      <c r="M71" t="s">
        <v>345</v>
      </c>
      <c r="N71" t="s">
        <v>346</v>
      </c>
      <c r="O71">
        <v>89</v>
      </c>
      <c r="Q71">
        <v>194</v>
      </c>
      <c r="R71">
        <v>48</v>
      </c>
      <c r="S71">
        <v>4.25</v>
      </c>
      <c r="T71">
        <v>2.4849999999999999</v>
      </c>
      <c r="U71">
        <v>5.7</v>
      </c>
      <c r="V71">
        <v>826.03</v>
      </c>
      <c r="W71">
        <v>275</v>
      </c>
      <c r="X71">
        <v>1.3332999999999999</v>
      </c>
      <c r="Y71">
        <v>217</v>
      </c>
      <c r="Z71">
        <v>3.81</v>
      </c>
      <c r="AJ71">
        <v>2</v>
      </c>
      <c r="AK71">
        <v>18</v>
      </c>
      <c r="AM71">
        <v>0</v>
      </c>
      <c r="AO71" t="s">
        <v>347</v>
      </c>
      <c r="AT71">
        <v>36</v>
      </c>
      <c r="AV71">
        <v>27.4</v>
      </c>
      <c r="AW71">
        <v>0</v>
      </c>
      <c r="AX71">
        <v>0</v>
      </c>
      <c r="AY71">
        <v>29.75</v>
      </c>
      <c r="AZ71">
        <v>2.875</v>
      </c>
      <c r="BA71">
        <v>0</v>
      </c>
      <c r="BB71">
        <v>0</v>
      </c>
      <c r="BC71">
        <v>26</v>
      </c>
      <c r="BN71">
        <v>128.4</v>
      </c>
      <c r="BO71">
        <v>6294</v>
      </c>
      <c r="BP71">
        <v>0</v>
      </c>
      <c r="BQ71">
        <v>30</v>
      </c>
      <c r="BR71">
        <v>30</v>
      </c>
      <c r="BS71">
        <v>30.08</v>
      </c>
      <c r="BT71">
        <v>0</v>
      </c>
      <c r="BV71">
        <v>0</v>
      </c>
      <c r="BW71" t="s">
        <v>655</v>
      </c>
      <c r="BX71">
        <v>0.17</v>
      </c>
      <c r="BY71">
        <v>5.1135999999999999</v>
      </c>
      <c r="BZ71">
        <v>0</v>
      </c>
      <c r="CA71">
        <v>1</v>
      </c>
      <c r="CB71">
        <v>0.6</v>
      </c>
      <c r="CC71" s="3">
        <v>7.1269159999999998E-2</v>
      </c>
      <c r="CD71">
        <v>2.875</v>
      </c>
      <c r="CE71">
        <v>2.5</v>
      </c>
      <c r="CF71">
        <v>18</v>
      </c>
      <c r="CG71">
        <v>6</v>
      </c>
      <c r="CH71">
        <v>0</v>
      </c>
      <c r="CI71">
        <v>30.08</v>
      </c>
      <c r="CJ71">
        <v>161.85509999999999</v>
      </c>
    </row>
    <row r="72" spans="1:88">
      <c r="A72">
        <v>70</v>
      </c>
      <c r="B72" t="s">
        <v>13</v>
      </c>
      <c r="C72" t="s">
        <v>1</v>
      </c>
      <c r="D72" t="s">
        <v>96</v>
      </c>
      <c r="E72" t="s">
        <v>167</v>
      </c>
      <c r="F72" t="s">
        <v>198</v>
      </c>
      <c r="G72" t="s">
        <v>106</v>
      </c>
      <c r="H72" t="s">
        <v>162</v>
      </c>
      <c r="J72">
        <v>2</v>
      </c>
      <c r="K72" t="s">
        <v>146</v>
      </c>
      <c r="L72" t="s">
        <v>207</v>
      </c>
      <c r="M72" t="s">
        <v>327</v>
      </c>
      <c r="N72" t="s">
        <v>330</v>
      </c>
      <c r="O72">
        <v>133</v>
      </c>
      <c r="Q72">
        <v>452</v>
      </c>
      <c r="R72">
        <v>81</v>
      </c>
      <c r="S72">
        <v>4.25</v>
      </c>
      <c r="T72">
        <v>3.6349999999999998</v>
      </c>
      <c r="U72">
        <v>6.41</v>
      </c>
      <c r="V72">
        <v>1921.17</v>
      </c>
      <c r="W72">
        <v>518</v>
      </c>
      <c r="X72">
        <v>1.3332999999999999</v>
      </c>
      <c r="Y72">
        <v>387</v>
      </c>
      <c r="Z72">
        <v>4.96</v>
      </c>
      <c r="AJ72">
        <v>2</v>
      </c>
      <c r="AK72">
        <v>18</v>
      </c>
      <c r="AM72">
        <v>0</v>
      </c>
      <c r="AO72" t="s">
        <v>166</v>
      </c>
      <c r="AT72">
        <v>52</v>
      </c>
      <c r="AV72">
        <v>44.8</v>
      </c>
      <c r="AW72">
        <v>0</v>
      </c>
      <c r="AX72">
        <v>0</v>
      </c>
      <c r="AY72">
        <v>52.375</v>
      </c>
      <c r="AZ72">
        <v>4.625</v>
      </c>
      <c r="BA72">
        <v>0</v>
      </c>
      <c r="BB72">
        <v>0</v>
      </c>
      <c r="BC72">
        <v>56</v>
      </c>
      <c r="BN72">
        <v>214</v>
      </c>
      <c r="BO72">
        <v>2266</v>
      </c>
      <c r="BP72">
        <v>0</v>
      </c>
      <c r="BQ72">
        <v>45</v>
      </c>
      <c r="BR72">
        <v>45</v>
      </c>
      <c r="BS72">
        <v>45.39</v>
      </c>
      <c r="BT72">
        <v>0</v>
      </c>
      <c r="BV72">
        <v>0</v>
      </c>
      <c r="BW72" t="s">
        <v>655</v>
      </c>
      <c r="BX72">
        <v>0.17</v>
      </c>
      <c r="BY72">
        <v>7.7163000000000004</v>
      </c>
      <c r="BZ72">
        <v>0</v>
      </c>
      <c r="CA72">
        <v>1</v>
      </c>
      <c r="CB72">
        <v>0.6</v>
      </c>
      <c r="CC72" s="3">
        <v>7.1269159999999998E-2</v>
      </c>
      <c r="CD72">
        <v>2.875</v>
      </c>
      <c r="CE72">
        <v>2.5</v>
      </c>
      <c r="CF72">
        <v>18</v>
      </c>
      <c r="CG72">
        <v>6</v>
      </c>
      <c r="CH72">
        <v>0</v>
      </c>
      <c r="CI72">
        <v>45.39</v>
      </c>
      <c r="CJ72">
        <v>399.51100000000002</v>
      </c>
    </row>
    <row r="73" spans="1:88">
      <c r="A73">
        <v>71</v>
      </c>
      <c r="B73" t="s">
        <v>0</v>
      </c>
      <c r="C73" t="s">
        <v>1</v>
      </c>
      <c r="D73" t="s">
        <v>316</v>
      </c>
      <c r="E73" t="s">
        <v>348</v>
      </c>
      <c r="F73" t="s">
        <v>349</v>
      </c>
      <c r="G73" t="s">
        <v>106</v>
      </c>
      <c r="H73" t="s">
        <v>350</v>
      </c>
      <c r="J73">
        <v>2</v>
      </c>
      <c r="K73" t="s">
        <v>108</v>
      </c>
      <c r="L73" t="s">
        <v>111</v>
      </c>
      <c r="M73" t="s">
        <v>351</v>
      </c>
      <c r="N73" t="s">
        <v>251</v>
      </c>
      <c r="O73">
        <v>174</v>
      </c>
      <c r="Q73">
        <v>762</v>
      </c>
      <c r="R73">
        <v>103</v>
      </c>
      <c r="S73">
        <v>4.25</v>
      </c>
      <c r="T73">
        <v>4.6059999999999999</v>
      </c>
      <c r="U73">
        <v>6.97</v>
      </c>
      <c r="V73">
        <v>3237.09</v>
      </c>
      <c r="W73">
        <v>721</v>
      </c>
      <c r="X73">
        <v>1.3332999999999999</v>
      </c>
      <c r="Y73">
        <v>546</v>
      </c>
      <c r="Z73">
        <v>5.93</v>
      </c>
      <c r="AJ73">
        <v>2</v>
      </c>
      <c r="AK73">
        <v>18</v>
      </c>
      <c r="AM73">
        <v>0</v>
      </c>
      <c r="AO73" t="s">
        <v>352</v>
      </c>
      <c r="AT73">
        <v>66</v>
      </c>
      <c r="AV73">
        <v>59.1</v>
      </c>
      <c r="AW73">
        <v>0.4375</v>
      </c>
      <c r="AX73">
        <v>3.75</v>
      </c>
      <c r="AY73">
        <v>52.125</v>
      </c>
      <c r="AZ73">
        <v>5.125</v>
      </c>
      <c r="BA73">
        <v>272.94</v>
      </c>
      <c r="BB73">
        <v>6.02</v>
      </c>
      <c r="BC73">
        <v>53</v>
      </c>
      <c r="BD73">
        <v>0.4375</v>
      </c>
      <c r="BE73">
        <v>3.75</v>
      </c>
      <c r="BF73">
        <v>52.125</v>
      </c>
      <c r="BG73">
        <v>5.125</v>
      </c>
      <c r="BH73">
        <v>272.94</v>
      </c>
      <c r="BI73">
        <v>6.02</v>
      </c>
      <c r="BJ73">
        <v>53</v>
      </c>
      <c r="BL73">
        <v>545.88</v>
      </c>
      <c r="BM73">
        <v>105</v>
      </c>
      <c r="BN73">
        <v>283.55009999999999</v>
      </c>
      <c r="BO73">
        <v>1291</v>
      </c>
      <c r="BP73">
        <v>0</v>
      </c>
      <c r="BQ73">
        <v>60</v>
      </c>
      <c r="BR73">
        <v>60</v>
      </c>
      <c r="BS73">
        <v>59.65</v>
      </c>
      <c r="BT73">
        <v>0</v>
      </c>
      <c r="BV73">
        <v>0</v>
      </c>
      <c r="BW73" t="s">
        <v>655</v>
      </c>
      <c r="BX73">
        <v>0.17</v>
      </c>
      <c r="BY73">
        <v>10.140499999999999</v>
      </c>
      <c r="BZ73">
        <v>0</v>
      </c>
      <c r="CA73">
        <v>1</v>
      </c>
      <c r="CB73">
        <v>0.6</v>
      </c>
      <c r="CC73" s="3">
        <v>7.1269159999999998E-2</v>
      </c>
      <c r="CD73">
        <v>2.875</v>
      </c>
      <c r="CE73">
        <v>2.5</v>
      </c>
      <c r="CF73">
        <v>18</v>
      </c>
      <c r="CG73">
        <v>6</v>
      </c>
      <c r="CH73">
        <v>0</v>
      </c>
      <c r="CI73">
        <v>59.65</v>
      </c>
      <c r="CJ73">
        <v>692.41510000000005</v>
      </c>
    </row>
    <row r="74" spans="1:88">
      <c r="A74">
        <v>72</v>
      </c>
      <c r="B74" t="s">
        <v>0</v>
      </c>
      <c r="C74" t="s">
        <v>1</v>
      </c>
      <c r="D74" t="s">
        <v>143</v>
      </c>
      <c r="E74" t="s">
        <v>272</v>
      </c>
      <c r="F74" t="s">
        <v>144</v>
      </c>
      <c r="G74" t="s">
        <v>106</v>
      </c>
      <c r="H74" t="s">
        <v>145</v>
      </c>
      <c r="J74">
        <v>2</v>
      </c>
      <c r="K74" t="s">
        <v>146</v>
      </c>
      <c r="L74" t="s">
        <v>255</v>
      </c>
      <c r="M74" t="s">
        <v>269</v>
      </c>
      <c r="N74" t="s">
        <v>353</v>
      </c>
      <c r="O74">
        <v>160</v>
      </c>
      <c r="Q74">
        <v>639</v>
      </c>
      <c r="R74">
        <v>95</v>
      </c>
      <c r="S74">
        <v>4.25</v>
      </c>
      <c r="T74">
        <v>4.2839999999999998</v>
      </c>
      <c r="U74">
        <v>6.75</v>
      </c>
      <c r="V74">
        <v>2714.51</v>
      </c>
      <c r="W74">
        <v>639</v>
      </c>
      <c r="X74">
        <v>1.3332999999999999</v>
      </c>
      <c r="Y74">
        <v>484</v>
      </c>
      <c r="Z74">
        <v>5.61</v>
      </c>
      <c r="AJ74">
        <v>2</v>
      </c>
      <c r="AK74">
        <v>18</v>
      </c>
      <c r="AM74">
        <v>0</v>
      </c>
      <c r="AO74" t="s">
        <v>149</v>
      </c>
      <c r="AT74">
        <v>61</v>
      </c>
      <c r="AV74">
        <v>53.5</v>
      </c>
      <c r="AW74" t="s">
        <v>6</v>
      </c>
      <c r="AX74" t="s">
        <v>6</v>
      </c>
      <c r="AY74" t="s">
        <v>6</v>
      </c>
      <c r="AZ74" t="s">
        <v>6</v>
      </c>
      <c r="BA74" t="s">
        <v>6</v>
      </c>
      <c r="BB74" t="s">
        <v>6</v>
      </c>
      <c r="BC74" t="s">
        <v>6</v>
      </c>
      <c r="BD74" t="s">
        <v>6</v>
      </c>
      <c r="BE74" t="s">
        <v>6</v>
      </c>
      <c r="BF74" t="s">
        <v>6</v>
      </c>
      <c r="BG74" t="s">
        <v>6</v>
      </c>
      <c r="BH74" t="s">
        <v>6</v>
      </c>
      <c r="BI74" t="s">
        <v>6</v>
      </c>
      <c r="BJ74" t="s">
        <v>6</v>
      </c>
      <c r="BN74">
        <v>256.80009999999999</v>
      </c>
      <c r="BO74">
        <v>1574</v>
      </c>
      <c r="BP74">
        <v>0</v>
      </c>
      <c r="BQ74">
        <v>55</v>
      </c>
      <c r="BR74">
        <v>55</v>
      </c>
      <c r="BS74">
        <v>54.78</v>
      </c>
      <c r="BT74">
        <v>0</v>
      </c>
      <c r="BV74">
        <v>0</v>
      </c>
      <c r="BW74" t="s">
        <v>655</v>
      </c>
      <c r="BX74">
        <v>0.17</v>
      </c>
      <c r="BY74">
        <v>9.3125999999999998</v>
      </c>
      <c r="BZ74">
        <v>0</v>
      </c>
      <c r="CA74">
        <v>1</v>
      </c>
      <c r="CB74">
        <v>0.6</v>
      </c>
      <c r="CC74" s="3">
        <v>7.1269159999999998E-2</v>
      </c>
      <c r="CD74">
        <v>2.875</v>
      </c>
      <c r="CE74">
        <v>2.5</v>
      </c>
      <c r="CF74">
        <v>18</v>
      </c>
      <c r="CG74">
        <v>6</v>
      </c>
      <c r="CH74">
        <v>0</v>
      </c>
      <c r="CI74">
        <v>54.78</v>
      </c>
      <c r="CJ74">
        <v>575.85829999999999</v>
      </c>
    </row>
    <row r="75" spans="1:88">
      <c r="A75">
        <v>73</v>
      </c>
      <c r="B75" t="s">
        <v>13</v>
      </c>
      <c r="C75" t="s">
        <v>1</v>
      </c>
      <c r="D75" t="s">
        <v>143</v>
      </c>
      <c r="E75" t="s">
        <v>143</v>
      </c>
      <c r="F75" t="s">
        <v>144</v>
      </c>
      <c r="G75" t="s">
        <v>106</v>
      </c>
      <c r="H75" t="s">
        <v>145</v>
      </c>
      <c r="J75">
        <v>2</v>
      </c>
      <c r="K75" t="s">
        <v>146</v>
      </c>
      <c r="L75" t="s">
        <v>297</v>
      </c>
      <c r="M75" t="s">
        <v>206</v>
      </c>
      <c r="N75" t="s">
        <v>131</v>
      </c>
      <c r="O75">
        <v>155</v>
      </c>
      <c r="Q75">
        <v>620</v>
      </c>
      <c r="R75">
        <v>95</v>
      </c>
      <c r="S75">
        <v>4.25</v>
      </c>
      <c r="T75">
        <v>4.1660000000000004</v>
      </c>
      <c r="U75">
        <v>6.78</v>
      </c>
      <c r="V75">
        <v>2635.51</v>
      </c>
      <c r="W75">
        <v>641</v>
      </c>
      <c r="X75">
        <v>1.3332999999999999</v>
      </c>
      <c r="Y75">
        <v>480</v>
      </c>
      <c r="Z75">
        <v>5.49</v>
      </c>
      <c r="AJ75">
        <v>2</v>
      </c>
      <c r="AK75">
        <v>18</v>
      </c>
      <c r="AM75">
        <v>0</v>
      </c>
      <c r="AO75" t="s">
        <v>149</v>
      </c>
      <c r="AT75">
        <v>59</v>
      </c>
      <c r="AV75">
        <v>53.5</v>
      </c>
      <c r="AW75">
        <v>0.40625</v>
      </c>
      <c r="AX75">
        <v>3.75</v>
      </c>
      <c r="AY75">
        <v>40.5</v>
      </c>
      <c r="AZ75">
        <v>4.5</v>
      </c>
      <c r="BA75">
        <v>240.02</v>
      </c>
      <c r="BB75">
        <v>5.51</v>
      </c>
      <c r="BC75">
        <v>38</v>
      </c>
      <c r="BD75">
        <v>0.40625</v>
      </c>
      <c r="BE75">
        <v>3.75</v>
      </c>
      <c r="BF75">
        <v>40.5</v>
      </c>
      <c r="BG75">
        <v>4.5</v>
      </c>
      <c r="BH75">
        <v>240.02</v>
      </c>
      <c r="BI75">
        <v>5.51</v>
      </c>
      <c r="BJ75">
        <v>38</v>
      </c>
      <c r="BL75">
        <v>480.04</v>
      </c>
      <c r="BM75">
        <v>76</v>
      </c>
      <c r="BN75">
        <v>256.80009999999999</v>
      </c>
      <c r="BO75">
        <v>1574</v>
      </c>
      <c r="BP75">
        <v>0</v>
      </c>
      <c r="BQ75">
        <v>53</v>
      </c>
      <c r="BR75">
        <v>53</v>
      </c>
      <c r="BS75">
        <v>53.04</v>
      </c>
      <c r="BT75">
        <v>0</v>
      </c>
      <c r="BV75">
        <v>0</v>
      </c>
      <c r="BW75" t="s">
        <v>655</v>
      </c>
      <c r="BX75">
        <v>0.17</v>
      </c>
      <c r="BY75">
        <v>9.0167999999999999</v>
      </c>
      <c r="BZ75">
        <v>0</v>
      </c>
      <c r="CA75">
        <v>1</v>
      </c>
      <c r="CB75">
        <v>0.6</v>
      </c>
      <c r="CC75" s="3">
        <v>7.1269159999999998E-2</v>
      </c>
      <c r="CD75">
        <v>2.875</v>
      </c>
      <c r="CE75">
        <v>2.5</v>
      </c>
      <c r="CF75">
        <v>18</v>
      </c>
      <c r="CG75">
        <v>6</v>
      </c>
      <c r="CH75">
        <v>0</v>
      </c>
      <c r="CI75">
        <v>53.04</v>
      </c>
      <c r="CJ75">
        <v>557.56709999999998</v>
      </c>
    </row>
    <row r="76" spans="1:88">
      <c r="A76">
        <v>74</v>
      </c>
      <c r="B76" t="s">
        <v>0</v>
      </c>
      <c r="C76" t="s">
        <v>1</v>
      </c>
      <c r="D76" t="s">
        <v>346</v>
      </c>
      <c r="E76" t="s">
        <v>2</v>
      </c>
      <c r="F76" t="s">
        <v>354</v>
      </c>
      <c r="G76" t="s">
        <v>106</v>
      </c>
      <c r="H76" t="s">
        <v>136</v>
      </c>
      <c r="J76">
        <v>2</v>
      </c>
      <c r="K76" t="s">
        <v>146</v>
      </c>
      <c r="L76" t="s">
        <v>122</v>
      </c>
      <c r="M76" t="s">
        <v>4</v>
      </c>
      <c r="N76" t="s">
        <v>5</v>
      </c>
      <c r="O76">
        <v>107</v>
      </c>
      <c r="Q76">
        <v>256</v>
      </c>
      <c r="R76">
        <v>53</v>
      </c>
      <c r="S76">
        <v>4.25</v>
      </c>
      <c r="T76">
        <v>2.9710000000000001</v>
      </c>
      <c r="U76">
        <v>6.07</v>
      </c>
      <c r="V76">
        <v>1086.68</v>
      </c>
      <c r="W76">
        <v>325</v>
      </c>
      <c r="X76">
        <v>1.3332999999999999</v>
      </c>
      <c r="Y76">
        <v>253</v>
      </c>
      <c r="Z76">
        <v>4.3</v>
      </c>
      <c r="AJ76">
        <v>2</v>
      </c>
      <c r="AK76">
        <v>18</v>
      </c>
      <c r="AM76">
        <v>0</v>
      </c>
      <c r="AO76" t="s">
        <v>140</v>
      </c>
      <c r="AT76">
        <v>42</v>
      </c>
      <c r="AV76">
        <v>30.6</v>
      </c>
      <c r="AW76">
        <v>0</v>
      </c>
      <c r="AX76">
        <v>0</v>
      </c>
      <c r="AY76">
        <v>25.625</v>
      </c>
      <c r="AZ76">
        <v>3.25</v>
      </c>
      <c r="BA76">
        <v>0</v>
      </c>
      <c r="BB76">
        <v>0</v>
      </c>
      <c r="BC76">
        <v>23</v>
      </c>
      <c r="BN76">
        <v>144.44999999999999</v>
      </c>
      <c r="BO76">
        <v>4973</v>
      </c>
      <c r="BP76">
        <v>0</v>
      </c>
      <c r="BQ76">
        <v>36</v>
      </c>
      <c r="BR76">
        <v>36</v>
      </c>
      <c r="BS76">
        <v>36.340000000000003</v>
      </c>
      <c r="BT76">
        <v>0</v>
      </c>
      <c r="BV76">
        <v>0</v>
      </c>
      <c r="BW76" t="s">
        <v>655</v>
      </c>
      <c r="BX76">
        <v>0.17</v>
      </c>
      <c r="BY76">
        <v>6.1778000000000004</v>
      </c>
      <c r="BZ76">
        <v>0</v>
      </c>
      <c r="CA76">
        <v>1</v>
      </c>
      <c r="CB76">
        <v>0.6</v>
      </c>
      <c r="CC76" s="3">
        <v>7.1269159999999998E-2</v>
      </c>
      <c r="CD76">
        <v>2.875</v>
      </c>
      <c r="CE76">
        <v>2.5</v>
      </c>
      <c r="CF76">
        <v>18</v>
      </c>
      <c r="CG76">
        <v>6</v>
      </c>
      <c r="CH76">
        <v>0</v>
      </c>
      <c r="CI76">
        <v>36.340000000000003</v>
      </c>
      <c r="CJ76">
        <v>218.84829999999999</v>
      </c>
    </row>
    <row r="77" spans="1:88">
      <c r="A77">
        <v>75</v>
      </c>
      <c r="B77" t="s">
        <v>13</v>
      </c>
      <c r="C77" t="s">
        <v>1</v>
      </c>
      <c r="D77" t="s">
        <v>224</v>
      </c>
      <c r="E77" t="s">
        <v>2</v>
      </c>
      <c r="F77" t="s">
        <v>355</v>
      </c>
      <c r="G77" t="s">
        <v>106</v>
      </c>
      <c r="H77" t="s">
        <v>356</v>
      </c>
      <c r="J77">
        <v>2</v>
      </c>
      <c r="K77" t="s">
        <v>146</v>
      </c>
      <c r="L77" t="s">
        <v>122</v>
      </c>
      <c r="M77" t="s">
        <v>4</v>
      </c>
      <c r="N77" t="s">
        <v>5</v>
      </c>
      <c r="O77">
        <v>107</v>
      </c>
      <c r="Q77">
        <v>217</v>
      </c>
      <c r="R77">
        <v>46</v>
      </c>
      <c r="S77">
        <v>4.25</v>
      </c>
      <c r="T77">
        <v>2.9710000000000001</v>
      </c>
      <c r="U77">
        <v>6.07</v>
      </c>
      <c r="V77">
        <v>923.52</v>
      </c>
      <c r="W77">
        <v>279</v>
      </c>
      <c r="X77">
        <v>1.3332999999999999</v>
      </c>
      <c r="Y77">
        <v>215</v>
      </c>
      <c r="Z77">
        <v>4.3</v>
      </c>
      <c r="AJ77">
        <v>2</v>
      </c>
      <c r="AK77">
        <v>18</v>
      </c>
      <c r="AM77">
        <v>0</v>
      </c>
      <c r="AO77" t="s">
        <v>333</v>
      </c>
      <c r="AT77">
        <v>42</v>
      </c>
      <c r="AV77">
        <v>25.9</v>
      </c>
      <c r="AW77">
        <v>0</v>
      </c>
      <c r="AX77">
        <v>0</v>
      </c>
      <c r="AY77">
        <v>30.125</v>
      </c>
      <c r="AZ77">
        <v>3.25</v>
      </c>
      <c r="BA77">
        <v>0</v>
      </c>
      <c r="BB77">
        <v>0</v>
      </c>
      <c r="BC77">
        <v>27</v>
      </c>
      <c r="BN77">
        <v>121.2667</v>
      </c>
      <c r="BO77">
        <v>7056</v>
      </c>
      <c r="BP77">
        <v>0</v>
      </c>
      <c r="BQ77">
        <v>36</v>
      </c>
      <c r="BR77">
        <v>36</v>
      </c>
      <c r="BS77">
        <v>36.340000000000003</v>
      </c>
      <c r="BT77">
        <v>0</v>
      </c>
      <c r="BV77">
        <v>0</v>
      </c>
      <c r="BW77" t="s">
        <v>655</v>
      </c>
      <c r="BX77">
        <v>0.17</v>
      </c>
      <c r="BY77">
        <v>6.1778000000000004</v>
      </c>
      <c r="BZ77">
        <v>0</v>
      </c>
      <c r="CA77">
        <v>1</v>
      </c>
      <c r="CB77">
        <v>0.6</v>
      </c>
      <c r="CC77" s="3">
        <v>7.1269159999999998E-2</v>
      </c>
      <c r="CD77">
        <v>2.875</v>
      </c>
      <c r="CE77">
        <v>2.5</v>
      </c>
      <c r="CF77">
        <v>18</v>
      </c>
      <c r="CG77">
        <v>6</v>
      </c>
      <c r="CH77">
        <v>0</v>
      </c>
      <c r="CI77">
        <v>36.340000000000003</v>
      </c>
      <c r="CJ77">
        <v>185.17939999999999</v>
      </c>
    </row>
    <row r="78" spans="1:88">
      <c r="A78">
        <v>76</v>
      </c>
      <c r="B78" t="s">
        <v>0</v>
      </c>
      <c r="C78" t="s">
        <v>1</v>
      </c>
      <c r="D78" t="s">
        <v>113</v>
      </c>
      <c r="E78" t="s">
        <v>133</v>
      </c>
      <c r="F78" t="s">
        <v>262</v>
      </c>
      <c r="G78" t="s">
        <v>106</v>
      </c>
      <c r="H78" t="s">
        <v>263</v>
      </c>
      <c r="J78">
        <v>2</v>
      </c>
      <c r="K78" t="s">
        <v>108</v>
      </c>
      <c r="L78" t="s">
        <v>353</v>
      </c>
      <c r="M78" t="s">
        <v>194</v>
      </c>
      <c r="N78" t="s">
        <v>195</v>
      </c>
      <c r="O78">
        <v>143</v>
      </c>
      <c r="Q78">
        <v>669</v>
      </c>
      <c r="R78">
        <v>109</v>
      </c>
      <c r="S78">
        <v>4.25</v>
      </c>
      <c r="T78">
        <v>3.88</v>
      </c>
      <c r="U78">
        <v>6.6</v>
      </c>
      <c r="V78">
        <v>2844.05</v>
      </c>
      <c r="W78">
        <v>717</v>
      </c>
      <c r="X78">
        <v>1.3332999999999999</v>
      </c>
      <c r="Y78">
        <v>546</v>
      </c>
      <c r="Z78">
        <v>5.21</v>
      </c>
      <c r="AJ78">
        <v>2</v>
      </c>
      <c r="AK78">
        <v>18</v>
      </c>
      <c r="AM78">
        <v>0</v>
      </c>
      <c r="AO78" t="s">
        <v>266</v>
      </c>
      <c r="AT78">
        <v>55</v>
      </c>
      <c r="AV78">
        <v>62.3</v>
      </c>
      <c r="AW78">
        <v>0.4375</v>
      </c>
      <c r="AX78">
        <v>3.75</v>
      </c>
      <c r="AY78">
        <v>47.375</v>
      </c>
      <c r="AZ78">
        <v>4.5</v>
      </c>
      <c r="BA78">
        <v>300.23</v>
      </c>
      <c r="BB78">
        <v>5.48</v>
      </c>
      <c r="BC78">
        <v>48</v>
      </c>
      <c r="BD78">
        <v>0.40625</v>
      </c>
      <c r="BE78">
        <v>3.75</v>
      </c>
      <c r="BF78">
        <v>39.625</v>
      </c>
      <c r="BG78">
        <v>4.25</v>
      </c>
      <c r="BH78">
        <v>245.65</v>
      </c>
      <c r="BI78">
        <v>5.39</v>
      </c>
      <c r="BJ78">
        <v>38</v>
      </c>
      <c r="BL78">
        <v>545.88</v>
      </c>
      <c r="BM78">
        <v>85</v>
      </c>
      <c r="BN78">
        <v>299.60000000000002</v>
      </c>
      <c r="BO78">
        <v>1156</v>
      </c>
      <c r="BP78">
        <v>0</v>
      </c>
      <c r="BQ78">
        <v>49</v>
      </c>
      <c r="BR78">
        <v>49</v>
      </c>
      <c r="BS78">
        <v>48.86</v>
      </c>
      <c r="BT78">
        <v>0</v>
      </c>
      <c r="BV78">
        <v>0</v>
      </c>
      <c r="BW78" t="s">
        <v>655</v>
      </c>
      <c r="BX78">
        <v>0.17</v>
      </c>
      <c r="BY78">
        <v>8.3062000000000005</v>
      </c>
      <c r="BZ78">
        <v>0</v>
      </c>
      <c r="CA78">
        <v>1</v>
      </c>
      <c r="CB78">
        <v>0.6</v>
      </c>
      <c r="CC78" s="3">
        <v>7.1269159999999998E-2</v>
      </c>
      <c r="CD78">
        <v>2.875</v>
      </c>
      <c r="CE78">
        <v>2.5</v>
      </c>
      <c r="CF78">
        <v>18</v>
      </c>
      <c r="CG78">
        <v>6</v>
      </c>
      <c r="CH78">
        <v>0</v>
      </c>
      <c r="CI78">
        <v>48.86</v>
      </c>
      <c r="CJ78">
        <v>598.505</v>
      </c>
    </row>
    <row r="79" spans="1:88">
      <c r="A79">
        <v>77</v>
      </c>
      <c r="B79" t="s">
        <v>0</v>
      </c>
      <c r="C79" t="s">
        <v>1</v>
      </c>
      <c r="D79" t="s">
        <v>202</v>
      </c>
      <c r="E79" t="s">
        <v>104</v>
      </c>
      <c r="F79" t="s">
        <v>357</v>
      </c>
      <c r="G79" t="s">
        <v>214</v>
      </c>
      <c r="H79" t="s">
        <v>358</v>
      </c>
      <c r="J79">
        <v>2</v>
      </c>
      <c r="K79" t="s">
        <v>108</v>
      </c>
      <c r="L79" t="s">
        <v>109</v>
      </c>
      <c r="M79" t="s">
        <v>110</v>
      </c>
      <c r="N79" t="s">
        <v>111</v>
      </c>
      <c r="O79">
        <v>191</v>
      </c>
      <c r="Q79">
        <v>887</v>
      </c>
      <c r="R79">
        <v>110</v>
      </c>
      <c r="S79">
        <v>4.25</v>
      </c>
      <c r="T79">
        <v>4.9850000000000003</v>
      </c>
      <c r="U79">
        <v>7.27</v>
      </c>
      <c r="V79">
        <v>3768.3</v>
      </c>
      <c r="W79">
        <v>798</v>
      </c>
      <c r="X79">
        <v>1.3332999999999999</v>
      </c>
      <c r="Y79">
        <v>597</v>
      </c>
      <c r="Z79">
        <v>6.31</v>
      </c>
      <c r="AJ79">
        <v>2</v>
      </c>
      <c r="AK79">
        <v>18</v>
      </c>
      <c r="AM79">
        <v>0</v>
      </c>
      <c r="AO79" t="s">
        <v>262</v>
      </c>
      <c r="AT79">
        <v>72</v>
      </c>
      <c r="AV79">
        <v>63.1</v>
      </c>
      <c r="AW79">
        <v>0.46875</v>
      </c>
      <c r="AX79">
        <v>3.75</v>
      </c>
      <c r="AY79">
        <v>67.875</v>
      </c>
      <c r="AZ79">
        <v>5.875</v>
      </c>
      <c r="BA79">
        <v>298.58999999999997</v>
      </c>
      <c r="BB79">
        <v>6.6</v>
      </c>
      <c r="BC79">
        <v>73</v>
      </c>
      <c r="BD79">
        <v>0.46875</v>
      </c>
      <c r="BE79">
        <v>3.75</v>
      </c>
      <c r="BF79">
        <v>67.875</v>
      </c>
      <c r="BG79">
        <v>5.875</v>
      </c>
      <c r="BH79">
        <v>298.58999999999997</v>
      </c>
      <c r="BI79">
        <v>6.6</v>
      </c>
      <c r="BJ79">
        <v>73</v>
      </c>
      <c r="BL79">
        <v>597.17999999999995</v>
      </c>
      <c r="BM79">
        <v>145</v>
      </c>
      <c r="BN79">
        <v>305.7167</v>
      </c>
      <c r="BO79">
        <v>1393</v>
      </c>
      <c r="BP79">
        <v>0</v>
      </c>
      <c r="BQ79">
        <v>66</v>
      </c>
      <c r="BR79">
        <v>66</v>
      </c>
      <c r="BS79">
        <v>65.56</v>
      </c>
      <c r="BT79">
        <v>0</v>
      </c>
      <c r="BV79">
        <v>0</v>
      </c>
      <c r="BW79" t="s">
        <v>655</v>
      </c>
      <c r="BX79">
        <v>0.17</v>
      </c>
      <c r="BY79">
        <v>11.145200000000001</v>
      </c>
      <c r="BZ79">
        <v>0</v>
      </c>
      <c r="CA79">
        <v>1</v>
      </c>
      <c r="CB79">
        <v>0.6</v>
      </c>
      <c r="CC79" s="3">
        <v>7.1269159999999998E-2</v>
      </c>
      <c r="CD79">
        <v>2.875</v>
      </c>
      <c r="CE79">
        <v>2.5</v>
      </c>
      <c r="CF79">
        <v>18</v>
      </c>
      <c r="CG79">
        <v>6</v>
      </c>
      <c r="CH79">
        <v>0</v>
      </c>
      <c r="CI79">
        <v>65.56</v>
      </c>
      <c r="CJ79">
        <v>812.41449999999998</v>
      </c>
    </row>
    <row r="80" spans="1:88">
      <c r="A80">
        <v>78</v>
      </c>
      <c r="B80" t="s">
        <v>0</v>
      </c>
      <c r="C80" t="s">
        <v>1</v>
      </c>
      <c r="D80" t="s">
        <v>172</v>
      </c>
      <c r="E80" t="s">
        <v>219</v>
      </c>
      <c r="F80" t="s">
        <v>359</v>
      </c>
      <c r="G80" t="s">
        <v>106</v>
      </c>
      <c r="H80" t="s">
        <v>330</v>
      </c>
      <c r="J80">
        <v>2</v>
      </c>
      <c r="K80" t="s">
        <v>146</v>
      </c>
      <c r="L80" t="s">
        <v>369</v>
      </c>
      <c r="M80" t="s">
        <v>220</v>
      </c>
      <c r="N80" t="s">
        <v>221</v>
      </c>
      <c r="O80">
        <v>101</v>
      </c>
      <c r="Q80">
        <v>369</v>
      </c>
      <c r="R80">
        <v>84</v>
      </c>
      <c r="S80">
        <v>4.25</v>
      </c>
      <c r="T80">
        <v>2.8119999999999998</v>
      </c>
      <c r="U80">
        <v>5.92</v>
      </c>
      <c r="V80">
        <v>1568.33</v>
      </c>
      <c r="W80">
        <v>499</v>
      </c>
      <c r="X80">
        <v>1.3332999999999999</v>
      </c>
      <c r="Y80">
        <v>379</v>
      </c>
      <c r="Z80">
        <v>4.1399999999999997</v>
      </c>
      <c r="AJ80">
        <v>2</v>
      </c>
      <c r="AK80">
        <v>18</v>
      </c>
      <c r="AM80">
        <v>0</v>
      </c>
      <c r="AO80" t="s">
        <v>360</v>
      </c>
      <c r="AT80">
        <v>40</v>
      </c>
      <c r="AV80">
        <v>47</v>
      </c>
      <c r="AW80">
        <v>0</v>
      </c>
      <c r="AX80">
        <v>0</v>
      </c>
      <c r="AY80">
        <v>37.5</v>
      </c>
      <c r="AZ80">
        <v>3.625</v>
      </c>
      <c r="BA80">
        <v>0</v>
      </c>
      <c r="BB80">
        <v>0</v>
      </c>
      <c r="BC80">
        <v>38</v>
      </c>
      <c r="BN80">
        <v>224.70009999999999</v>
      </c>
      <c r="BO80">
        <v>2055</v>
      </c>
      <c r="BP80">
        <v>0</v>
      </c>
      <c r="BQ80">
        <v>34</v>
      </c>
      <c r="BR80">
        <v>34</v>
      </c>
      <c r="BS80">
        <v>34.26</v>
      </c>
      <c r="BT80">
        <v>0</v>
      </c>
      <c r="BV80">
        <v>0</v>
      </c>
      <c r="BW80" t="s">
        <v>655</v>
      </c>
      <c r="BX80">
        <v>0.17</v>
      </c>
      <c r="BY80">
        <v>5.8242000000000003</v>
      </c>
      <c r="BZ80">
        <v>0</v>
      </c>
      <c r="CA80">
        <v>1</v>
      </c>
      <c r="CB80">
        <v>0.6</v>
      </c>
      <c r="CC80" s="3">
        <v>7.1269159999999998E-2</v>
      </c>
      <c r="CD80">
        <v>2.875</v>
      </c>
      <c r="CE80">
        <v>2.5</v>
      </c>
      <c r="CF80">
        <v>18</v>
      </c>
      <c r="CG80">
        <v>6</v>
      </c>
      <c r="CH80">
        <v>0</v>
      </c>
      <c r="CI80">
        <v>34.26</v>
      </c>
      <c r="CJ80">
        <v>316.1977</v>
      </c>
    </row>
    <row r="81" spans="1:88">
      <c r="A81">
        <v>79</v>
      </c>
      <c r="B81" t="s">
        <v>0</v>
      </c>
      <c r="C81" t="s">
        <v>1</v>
      </c>
      <c r="D81" t="s">
        <v>127</v>
      </c>
      <c r="E81" t="s">
        <v>127</v>
      </c>
      <c r="F81" t="s">
        <v>129</v>
      </c>
      <c r="G81" t="s">
        <v>106</v>
      </c>
      <c r="H81" t="s">
        <v>130</v>
      </c>
      <c r="J81">
        <v>2</v>
      </c>
      <c r="K81" t="s">
        <v>146</v>
      </c>
      <c r="L81" t="s">
        <v>338</v>
      </c>
      <c r="M81" t="s">
        <v>189</v>
      </c>
      <c r="N81" t="s">
        <v>190</v>
      </c>
      <c r="O81">
        <v>115</v>
      </c>
      <c r="Q81">
        <v>345</v>
      </c>
      <c r="R81">
        <v>72</v>
      </c>
      <c r="S81">
        <v>4.25</v>
      </c>
      <c r="T81">
        <v>3.18</v>
      </c>
      <c r="U81">
        <v>6.22</v>
      </c>
      <c r="V81">
        <v>1468.2</v>
      </c>
      <c r="W81">
        <v>446</v>
      </c>
      <c r="X81">
        <v>1.3332999999999999</v>
      </c>
      <c r="Y81">
        <v>326</v>
      </c>
      <c r="Z81">
        <v>4.51</v>
      </c>
      <c r="AJ81">
        <v>2</v>
      </c>
      <c r="AK81">
        <v>18</v>
      </c>
      <c r="AM81">
        <v>0</v>
      </c>
      <c r="AO81" t="s">
        <v>134</v>
      </c>
      <c r="AT81">
        <v>45</v>
      </c>
      <c r="AV81">
        <v>39</v>
      </c>
      <c r="AW81">
        <v>0</v>
      </c>
      <c r="AX81">
        <v>0</v>
      </c>
      <c r="AY81">
        <v>43.75</v>
      </c>
      <c r="AZ81">
        <v>4</v>
      </c>
      <c r="BA81">
        <v>0</v>
      </c>
      <c r="BB81">
        <v>0</v>
      </c>
      <c r="BC81">
        <v>44</v>
      </c>
      <c r="BN81">
        <v>185.4667</v>
      </c>
      <c r="BO81">
        <v>3017</v>
      </c>
      <c r="BP81">
        <v>0</v>
      </c>
      <c r="BQ81">
        <v>39</v>
      </c>
      <c r="BR81">
        <v>39</v>
      </c>
      <c r="BS81">
        <v>39.130000000000003</v>
      </c>
      <c r="BT81">
        <v>0</v>
      </c>
      <c r="BV81">
        <v>0</v>
      </c>
      <c r="BW81" t="s">
        <v>655</v>
      </c>
      <c r="BX81">
        <v>0.17</v>
      </c>
      <c r="BY81">
        <v>6.6520999999999999</v>
      </c>
      <c r="BZ81">
        <v>0</v>
      </c>
      <c r="CA81">
        <v>1</v>
      </c>
      <c r="CB81">
        <v>0.6</v>
      </c>
      <c r="CC81" s="3">
        <v>7.1269159999999998E-2</v>
      </c>
      <c r="CD81">
        <v>2.875</v>
      </c>
      <c r="CE81">
        <v>2.5</v>
      </c>
      <c r="CF81">
        <v>18</v>
      </c>
      <c r="CG81">
        <v>6</v>
      </c>
      <c r="CH81">
        <v>0</v>
      </c>
      <c r="CI81">
        <v>39.130000000000003</v>
      </c>
      <c r="CJ81">
        <v>299.7919</v>
      </c>
    </row>
    <row r="82" spans="1:88">
      <c r="A82">
        <v>80</v>
      </c>
      <c r="B82" t="s">
        <v>13</v>
      </c>
      <c r="C82" t="s">
        <v>1</v>
      </c>
      <c r="D82" t="s">
        <v>138</v>
      </c>
      <c r="E82" t="s">
        <v>2</v>
      </c>
      <c r="F82" t="s">
        <v>361</v>
      </c>
      <c r="G82" t="s">
        <v>106</v>
      </c>
      <c r="H82" t="s">
        <v>240</v>
      </c>
      <c r="J82">
        <v>2</v>
      </c>
      <c r="K82" t="s">
        <v>146</v>
      </c>
      <c r="L82" t="s">
        <v>122</v>
      </c>
      <c r="M82" t="s">
        <v>4</v>
      </c>
      <c r="N82" t="s">
        <v>5</v>
      </c>
      <c r="O82">
        <v>107</v>
      </c>
      <c r="Q82">
        <v>191</v>
      </c>
      <c r="R82">
        <v>41</v>
      </c>
      <c r="S82">
        <v>4.25</v>
      </c>
      <c r="T82">
        <v>2.9710000000000001</v>
      </c>
      <c r="U82">
        <v>6.07</v>
      </c>
      <c r="V82">
        <v>810.56</v>
      </c>
      <c r="W82">
        <v>248</v>
      </c>
      <c r="X82">
        <v>1.3332999999999999</v>
      </c>
      <c r="Y82">
        <v>189</v>
      </c>
      <c r="Z82">
        <v>4.3</v>
      </c>
      <c r="AJ82">
        <v>2</v>
      </c>
      <c r="AK82">
        <v>18</v>
      </c>
      <c r="AM82">
        <v>0</v>
      </c>
      <c r="AO82" t="s">
        <v>362</v>
      </c>
      <c r="AT82">
        <v>42</v>
      </c>
      <c r="AV82">
        <v>22.6</v>
      </c>
      <c r="AW82">
        <v>0</v>
      </c>
      <c r="AX82">
        <v>0</v>
      </c>
      <c r="AY82">
        <v>34.25</v>
      </c>
      <c r="AZ82">
        <v>3.25</v>
      </c>
      <c r="BA82">
        <v>0</v>
      </c>
      <c r="BB82">
        <v>0</v>
      </c>
      <c r="BC82">
        <v>30</v>
      </c>
      <c r="BN82">
        <v>105.2167</v>
      </c>
      <c r="BO82">
        <v>9373</v>
      </c>
      <c r="BP82">
        <v>0</v>
      </c>
      <c r="BQ82">
        <v>36</v>
      </c>
      <c r="BR82">
        <v>36</v>
      </c>
      <c r="BS82">
        <v>36.340000000000003</v>
      </c>
      <c r="BT82">
        <v>0</v>
      </c>
      <c r="BV82">
        <v>0</v>
      </c>
      <c r="BW82" t="s">
        <v>655</v>
      </c>
      <c r="BX82">
        <v>0.17</v>
      </c>
      <c r="BY82">
        <v>6.1778000000000004</v>
      </c>
      <c r="BZ82">
        <v>0</v>
      </c>
      <c r="CA82">
        <v>1</v>
      </c>
      <c r="CB82">
        <v>0.6</v>
      </c>
      <c r="CC82" s="3">
        <v>7.1269159999999998E-2</v>
      </c>
      <c r="CD82">
        <v>2.875</v>
      </c>
      <c r="CE82">
        <v>2.5</v>
      </c>
      <c r="CF82">
        <v>18</v>
      </c>
      <c r="CG82">
        <v>6</v>
      </c>
      <c r="CH82">
        <v>0</v>
      </c>
      <c r="CI82">
        <v>36.340000000000003</v>
      </c>
      <c r="CJ82">
        <v>161.87010000000001</v>
      </c>
    </row>
    <row r="83" spans="1:88">
      <c r="A83">
        <v>81</v>
      </c>
      <c r="B83" t="s">
        <v>13</v>
      </c>
      <c r="C83" t="s">
        <v>1</v>
      </c>
      <c r="D83" t="s">
        <v>363</v>
      </c>
      <c r="E83" t="s">
        <v>169</v>
      </c>
      <c r="F83" t="s">
        <v>256</v>
      </c>
      <c r="G83" t="s">
        <v>106</v>
      </c>
      <c r="H83" t="s">
        <v>364</v>
      </c>
      <c r="J83">
        <v>2</v>
      </c>
      <c r="K83" t="s">
        <v>146</v>
      </c>
      <c r="L83" t="s">
        <v>381</v>
      </c>
      <c r="M83" t="s">
        <v>173</v>
      </c>
      <c r="N83" t="s">
        <v>174</v>
      </c>
      <c r="O83">
        <v>119</v>
      </c>
      <c r="Q83">
        <v>454</v>
      </c>
      <c r="R83">
        <v>89</v>
      </c>
      <c r="S83">
        <v>4.25</v>
      </c>
      <c r="T83">
        <v>3.2829999999999999</v>
      </c>
      <c r="U83">
        <v>6.15</v>
      </c>
      <c r="V83">
        <v>1928.94</v>
      </c>
      <c r="W83">
        <v>547</v>
      </c>
      <c r="X83">
        <v>1.3332999999999999</v>
      </c>
      <c r="Y83">
        <v>418</v>
      </c>
      <c r="Z83">
        <v>4.6100000000000003</v>
      </c>
      <c r="AJ83">
        <v>2</v>
      </c>
      <c r="AK83">
        <v>18</v>
      </c>
      <c r="AM83">
        <v>0</v>
      </c>
      <c r="AO83" t="s">
        <v>298</v>
      </c>
      <c r="AT83">
        <v>47</v>
      </c>
      <c r="AV83">
        <v>49.9</v>
      </c>
      <c r="AW83">
        <v>0</v>
      </c>
      <c r="AX83">
        <v>0</v>
      </c>
      <c r="AY83">
        <v>48.5</v>
      </c>
      <c r="AZ83">
        <v>4.375</v>
      </c>
      <c r="BA83">
        <v>0</v>
      </c>
      <c r="BB83">
        <v>0</v>
      </c>
      <c r="BC83">
        <v>52</v>
      </c>
      <c r="BN83">
        <v>238.9667</v>
      </c>
      <c r="BO83">
        <v>1817</v>
      </c>
      <c r="BP83">
        <v>0</v>
      </c>
      <c r="BQ83">
        <v>41</v>
      </c>
      <c r="BR83">
        <v>41</v>
      </c>
      <c r="BS83">
        <v>40.520000000000003</v>
      </c>
      <c r="BT83">
        <v>0</v>
      </c>
      <c r="BV83">
        <v>0</v>
      </c>
      <c r="BW83" t="s">
        <v>655</v>
      </c>
      <c r="BX83">
        <v>0.17</v>
      </c>
      <c r="BY83">
        <v>6.8883999999999999</v>
      </c>
      <c r="BZ83">
        <v>0</v>
      </c>
      <c r="CA83">
        <v>1</v>
      </c>
      <c r="CB83">
        <v>0.6</v>
      </c>
      <c r="CC83" s="3">
        <v>7.1269159999999998E-2</v>
      </c>
      <c r="CD83">
        <v>2.875</v>
      </c>
      <c r="CE83">
        <v>2.5</v>
      </c>
      <c r="CF83">
        <v>18</v>
      </c>
      <c r="CG83">
        <v>6</v>
      </c>
      <c r="CH83">
        <v>0</v>
      </c>
      <c r="CI83">
        <v>40.520000000000003</v>
      </c>
      <c r="CJ83">
        <v>397.0761</v>
      </c>
    </row>
    <row r="84" spans="1:88">
      <c r="A84">
        <v>82</v>
      </c>
      <c r="B84" t="s">
        <v>13</v>
      </c>
      <c r="C84" t="s">
        <v>1</v>
      </c>
      <c r="D84" t="s">
        <v>672</v>
      </c>
      <c r="E84" t="s">
        <v>14</v>
      </c>
      <c r="F84" t="s">
        <v>673</v>
      </c>
      <c r="G84" t="s">
        <v>15</v>
      </c>
      <c r="H84" t="s">
        <v>672</v>
      </c>
      <c r="J84">
        <v>2</v>
      </c>
      <c r="K84" t="s">
        <v>9</v>
      </c>
      <c r="L84" t="s">
        <v>17</v>
      </c>
      <c r="M84" t="s">
        <v>18</v>
      </c>
      <c r="N84" t="s">
        <v>19</v>
      </c>
      <c r="O84">
        <v>182</v>
      </c>
      <c r="Q84">
        <v>1143</v>
      </c>
      <c r="R84">
        <v>148</v>
      </c>
      <c r="S84">
        <v>4.25</v>
      </c>
      <c r="T84">
        <v>4.7859999999999996</v>
      </c>
      <c r="U84">
        <v>7.12</v>
      </c>
      <c r="V84">
        <v>4857.3599999999997</v>
      </c>
      <c r="W84">
        <v>1051</v>
      </c>
      <c r="X84">
        <v>1.3332999999999999</v>
      </c>
      <c r="Y84">
        <v>795</v>
      </c>
      <c r="Z84">
        <v>6.11</v>
      </c>
      <c r="AJ84">
        <v>2</v>
      </c>
      <c r="AK84">
        <v>18</v>
      </c>
      <c r="AM84">
        <v>0</v>
      </c>
      <c r="AO84" t="s">
        <v>674</v>
      </c>
      <c r="AT84">
        <v>69</v>
      </c>
      <c r="AV84">
        <v>84.8</v>
      </c>
      <c r="AW84" t="s">
        <v>6</v>
      </c>
      <c r="AX84" t="s">
        <v>6</v>
      </c>
      <c r="AY84" t="s">
        <v>6</v>
      </c>
      <c r="AZ84" t="s">
        <v>6</v>
      </c>
      <c r="BA84" t="s">
        <v>6</v>
      </c>
      <c r="BB84" t="s">
        <v>6</v>
      </c>
      <c r="BC84" t="s">
        <v>6</v>
      </c>
      <c r="BD84" t="s">
        <v>6</v>
      </c>
      <c r="BE84" t="s">
        <v>6</v>
      </c>
      <c r="BF84" t="s">
        <v>6</v>
      </c>
      <c r="BG84" t="s">
        <v>6</v>
      </c>
      <c r="BH84" t="s">
        <v>6</v>
      </c>
      <c r="BI84" t="s">
        <v>6</v>
      </c>
      <c r="BJ84" t="s">
        <v>6</v>
      </c>
      <c r="BN84">
        <v>726.12729999999999</v>
      </c>
      <c r="BO84">
        <v>2075</v>
      </c>
      <c r="BP84">
        <v>0</v>
      </c>
      <c r="BQ84">
        <v>62</v>
      </c>
      <c r="BR84">
        <v>62</v>
      </c>
      <c r="BS84">
        <v>62.43</v>
      </c>
      <c r="BT84">
        <v>0</v>
      </c>
      <c r="BV84">
        <v>6</v>
      </c>
      <c r="BW84" t="s">
        <v>655</v>
      </c>
      <c r="BX84">
        <v>0.27933340000000001</v>
      </c>
      <c r="BY84">
        <v>17.438780000000001</v>
      </c>
      <c r="BZ84">
        <v>0</v>
      </c>
      <c r="CA84">
        <v>1</v>
      </c>
      <c r="CB84">
        <v>0.6</v>
      </c>
      <c r="CC84" s="3">
        <v>7.1269159999999998E-2</v>
      </c>
      <c r="CD84">
        <v>2.875</v>
      </c>
      <c r="CE84">
        <v>2.5</v>
      </c>
      <c r="CF84">
        <v>18</v>
      </c>
      <c r="CG84">
        <v>6</v>
      </c>
      <c r="CH84">
        <v>0</v>
      </c>
      <c r="CI84">
        <v>62.43</v>
      </c>
      <c r="CJ84">
        <v>1040.588</v>
      </c>
    </row>
    <row r="85" spans="1:88">
      <c r="A85">
        <v>83</v>
      </c>
      <c r="B85" t="s">
        <v>13</v>
      </c>
      <c r="C85" t="s">
        <v>1</v>
      </c>
      <c r="D85" t="s">
        <v>127</v>
      </c>
      <c r="E85" t="s">
        <v>2</v>
      </c>
      <c r="F85" t="s">
        <v>129</v>
      </c>
      <c r="G85" t="s">
        <v>106</v>
      </c>
      <c r="H85" t="s">
        <v>130</v>
      </c>
      <c r="J85">
        <v>2</v>
      </c>
      <c r="K85" t="s">
        <v>146</v>
      </c>
      <c r="L85" t="s">
        <v>122</v>
      </c>
      <c r="M85" t="s">
        <v>4</v>
      </c>
      <c r="N85" t="s">
        <v>5</v>
      </c>
      <c r="O85">
        <v>107</v>
      </c>
      <c r="Q85">
        <v>324</v>
      </c>
      <c r="R85">
        <v>72</v>
      </c>
      <c r="S85">
        <v>4.25</v>
      </c>
      <c r="T85">
        <v>2.9710000000000001</v>
      </c>
      <c r="U85">
        <v>6.07</v>
      </c>
      <c r="V85">
        <v>1375.34</v>
      </c>
      <c r="W85">
        <v>435</v>
      </c>
      <c r="X85">
        <v>1.3332999999999999</v>
      </c>
      <c r="Y85">
        <v>320</v>
      </c>
      <c r="Z85">
        <v>4.3</v>
      </c>
      <c r="AJ85">
        <v>2</v>
      </c>
      <c r="AK85">
        <v>18</v>
      </c>
      <c r="AM85">
        <v>0</v>
      </c>
      <c r="AO85" t="s">
        <v>134</v>
      </c>
      <c r="AT85">
        <v>42</v>
      </c>
      <c r="AV85">
        <v>39</v>
      </c>
      <c r="AW85">
        <v>0</v>
      </c>
      <c r="AX85">
        <v>0</v>
      </c>
      <c r="AY85">
        <v>44.5</v>
      </c>
      <c r="AZ85">
        <v>3.75</v>
      </c>
      <c r="BA85">
        <v>0</v>
      </c>
      <c r="BB85">
        <v>0</v>
      </c>
      <c r="BC85">
        <v>45</v>
      </c>
      <c r="BN85">
        <v>185.4667</v>
      </c>
      <c r="BO85">
        <v>3017</v>
      </c>
      <c r="BP85">
        <v>0</v>
      </c>
      <c r="BQ85">
        <v>36</v>
      </c>
      <c r="BR85">
        <v>36</v>
      </c>
      <c r="BS85">
        <v>36.340000000000003</v>
      </c>
      <c r="BT85">
        <v>0</v>
      </c>
      <c r="BV85">
        <v>0</v>
      </c>
      <c r="BW85" t="s">
        <v>655</v>
      </c>
      <c r="BX85">
        <v>0.17</v>
      </c>
      <c r="BY85">
        <v>6.1778000000000004</v>
      </c>
      <c r="BZ85">
        <v>0</v>
      </c>
      <c r="CA85">
        <v>1</v>
      </c>
      <c r="CB85">
        <v>0.6</v>
      </c>
      <c r="CC85" s="3">
        <v>7.1269159999999998E-2</v>
      </c>
      <c r="CD85">
        <v>2.875</v>
      </c>
      <c r="CE85">
        <v>2.5</v>
      </c>
      <c r="CF85">
        <v>18</v>
      </c>
      <c r="CG85">
        <v>6</v>
      </c>
      <c r="CH85">
        <v>0</v>
      </c>
      <c r="CI85">
        <v>36.340000000000003</v>
      </c>
      <c r="CJ85">
        <v>278.41649999999998</v>
      </c>
    </row>
    <row r="86" spans="1:88">
      <c r="A86">
        <v>84</v>
      </c>
      <c r="B86" t="s">
        <v>13</v>
      </c>
      <c r="C86" t="s">
        <v>1</v>
      </c>
      <c r="D86" t="s">
        <v>320</v>
      </c>
      <c r="E86" t="s">
        <v>178</v>
      </c>
      <c r="F86" t="s">
        <v>321</v>
      </c>
      <c r="G86" t="s">
        <v>106</v>
      </c>
      <c r="H86" t="s">
        <v>322</v>
      </c>
      <c r="J86">
        <v>2</v>
      </c>
      <c r="K86" t="s">
        <v>146</v>
      </c>
      <c r="L86" t="s">
        <v>127</v>
      </c>
      <c r="M86" t="s">
        <v>179</v>
      </c>
      <c r="N86" t="s">
        <v>180</v>
      </c>
      <c r="O86">
        <v>95</v>
      </c>
      <c r="Q86">
        <v>142</v>
      </c>
      <c r="R86">
        <v>35</v>
      </c>
      <c r="S86">
        <v>4.25</v>
      </c>
      <c r="T86">
        <v>2.649</v>
      </c>
      <c r="U86">
        <v>5.81</v>
      </c>
      <c r="V86">
        <v>604.47</v>
      </c>
      <c r="W86">
        <v>201</v>
      </c>
      <c r="X86">
        <v>1.3332999999999999</v>
      </c>
      <c r="Y86">
        <v>152</v>
      </c>
      <c r="Z86">
        <v>3.98</v>
      </c>
      <c r="AJ86">
        <v>2</v>
      </c>
      <c r="AK86">
        <v>18</v>
      </c>
      <c r="AM86">
        <v>0</v>
      </c>
      <c r="AO86" t="s">
        <v>323</v>
      </c>
      <c r="AT86">
        <v>38</v>
      </c>
      <c r="AV86">
        <v>18.600000000000001</v>
      </c>
      <c r="AW86">
        <v>0</v>
      </c>
      <c r="AX86">
        <v>0</v>
      </c>
      <c r="AY86">
        <v>16.75</v>
      </c>
      <c r="AZ86">
        <v>2.5</v>
      </c>
      <c r="BA86">
        <v>0</v>
      </c>
      <c r="BB86">
        <v>0</v>
      </c>
      <c r="BC86">
        <v>13</v>
      </c>
      <c r="BN86">
        <v>85.600009999999997</v>
      </c>
      <c r="BO86">
        <v>14162</v>
      </c>
      <c r="BP86">
        <v>0</v>
      </c>
      <c r="BQ86">
        <v>32</v>
      </c>
      <c r="BR86">
        <v>32</v>
      </c>
      <c r="BS86">
        <v>32.17</v>
      </c>
      <c r="BT86">
        <v>0</v>
      </c>
      <c r="BV86">
        <v>0</v>
      </c>
      <c r="BW86" t="s">
        <v>655</v>
      </c>
      <c r="BX86">
        <v>0.17</v>
      </c>
      <c r="BY86">
        <v>5.4688999999999997</v>
      </c>
      <c r="BZ86">
        <v>0</v>
      </c>
      <c r="CA86">
        <v>1</v>
      </c>
      <c r="CB86">
        <v>0.6</v>
      </c>
      <c r="CC86" s="3">
        <v>7.1269159999999998E-2</v>
      </c>
      <c r="CD86">
        <v>2.875</v>
      </c>
      <c r="CE86">
        <v>2.5</v>
      </c>
      <c r="CF86">
        <v>18</v>
      </c>
      <c r="CG86">
        <v>6</v>
      </c>
      <c r="CH86">
        <v>0</v>
      </c>
      <c r="CI86">
        <v>32.17</v>
      </c>
      <c r="CJ86">
        <v>118.07550000000001</v>
      </c>
    </row>
    <row r="87" spans="1:88">
      <c r="A87">
        <v>85</v>
      </c>
      <c r="B87" t="s">
        <v>0</v>
      </c>
      <c r="C87" t="s">
        <v>1</v>
      </c>
      <c r="D87" t="s">
        <v>2</v>
      </c>
      <c r="E87" t="s">
        <v>177</v>
      </c>
      <c r="F87" t="s">
        <v>154</v>
      </c>
      <c r="G87" t="s">
        <v>106</v>
      </c>
      <c r="H87" t="s">
        <v>217</v>
      </c>
      <c r="J87">
        <v>2</v>
      </c>
      <c r="K87" t="s">
        <v>146</v>
      </c>
      <c r="L87" t="s">
        <v>235</v>
      </c>
      <c r="M87" t="s">
        <v>152</v>
      </c>
      <c r="N87" t="s">
        <v>127</v>
      </c>
      <c r="O87">
        <v>112</v>
      </c>
      <c r="Q87">
        <v>313</v>
      </c>
      <c r="R87">
        <v>67</v>
      </c>
      <c r="S87">
        <v>4.25</v>
      </c>
      <c r="T87">
        <v>3.1019999999999999</v>
      </c>
      <c r="U87">
        <v>6.14</v>
      </c>
      <c r="V87">
        <v>1328.59</v>
      </c>
      <c r="W87">
        <v>412</v>
      </c>
      <c r="X87">
        <v>1.3332999999999999</v>
      </c>
      <c r="Y87">
        <v>300</v>
      </c>
      <c r="Z87">
        <v>4.43</v>
      </c>
      <c r="AJ87">
        <v>2</v>
      </c>
      <c r="AK87">
        <v>18</v>
      </c>
      <c r="AM87">
        <v>0</v>
      </c>
      <c r="AO87" t="s">
        <v>218</v>
      </c>
      <c r="AT87">
        <v>44</v>
      </c>
      <c r="AV87">
        <v>36.1</v>
      </c>
      <c r="AW87">
        <v>0</v>
      </c>
      <c r="AX87">
        <v>0</v>
      </c>
      <c r="AY87">
        <v>32.375</v>
      </c>
      <c r="AZ87">
        <v>3.625</v>
      </c>
      <c r="BA87">
        <v>0</v>
      </c>
      <c r="BB87">
        <v>0</v>
      </c>
      <c r="BC87">
        <v>31</v>
      </c>
      <c r="BN87">
        <v>171.2</v>
      </c>
      <c r="BO87">
        <v>3540</v>
      </c>
      <c r="BP87">
        <v>0</v>
      </c>
      <c r="BQ87">
        <v>38</v>
      </c>
      <c r="BR87">
        <v>38</v>
      </c>
      <c r="BS87">
        <v>38.08</v>
      </c>
      <c r="BT87">
        <v>0</v>
      </c>
      <c r="BV87">
        <v>0</v>
      </c>
      <c r="BW87" t="s">
        <v>655</v>
      </c>
      <c r="BX87">
        <v>0.17</v>
      </c>
      <c r="BY87">
        <v>6.4736010000000004</v>
      </c>
      <c r="BZ87">
        <v>0</v>
      </c>
      <c r="CA87">
        <v>1</v>
      </c>
      <c r="CB87">
        <v>0.6</v>
      </c>
      <c r="CC87" s="3">
        <v>7.1269159999999998E-2</v>
      </c>
      <c r="CD87">
        <v>2.875</v>
      </c>
      <c r="CE87">
        <v>2.5</v>
      </c>
      <c r="CF87">
        <v>18</v>
      </c>
      <c r="CG87">
        <v>6</v>
      </c>
      <c r="CH87">
        <v>0</v>
      </c>
      <c r="CI87">
        <v>38.08</v>
      </c>
      <c r="CJ87">
        <v>270.036</v>
      </c>
    </row>
    <row r="88" spans="1:88">
      <c r="A88">
        <v>86</v>
      </c>
      <c r="B88" t="s">
        <v>13</v>
      </c>
      <c r="C88" t="s">
        <v>1</v>
      </c>
      <c r="D88" t="s">
        <v>365</v>
      </c>
      <c r="E88" t="s">
        <v>366</v>
      </c>
      <c r="F88" t="s">
        <v>367</v>
      </c>
      <c r="G88" t="s">
        <v>106</v>
      </c>
      <c r="H88" t="s">
        <v>368</v>
      </c>
      <c r="J88">
        <v>2</v>
      </c>
      <c r="K88" t="s">
        <v>146</v>
      </c>
      <c r="L88" t="s">
        <v>268</v>
      </c>
      <c r="M88" t="s">
        <v>370</v>
      </c>
      <c r="N88" t="s">
        <v>217</v>
      </c>
      <c r="O88">
        <v>103</v>
      </c>
      <c r="Q88">
        <v>136</v>
      </c>
      <c r="R88">
        <v>31</v>
      </c>
      <c r="S88">
        <v>4.25</v>
      </c>
      <c r="T88">
        <v>2.8650000000000002</v>
      </c>
      <c r="U88">
        <v>5.96</v>
      </c>
      <c r="V88">
        <v>577.05999999999995</v>
      </c>
      <c r="W88">
        <v>185</v>
      </c>
      <c r="X88">
        <v>1.3332999999999999</v>
      </c>
      <c r="Y88">
        <v>138</v>
      </c>
      <c r="Z88">
        <v>4.1900000000000004</v>
      </c>
      <c r="AJ88">
        <v>2</v>
      </c>
      <c r="AK88">
        <v>18</v>
      </c>
      <c r="AM88">
        <v>0</v>
      </c>
      <c r="AO88" t="s">
        <v>371</v>
      </c>
      <c r="AT88">
        <v>41</v>
      </c>
      <c r="AV88">
        <v>16.5</v>
      </c>
      <c r="AW88">
        <v>0</v>
      </c>
      <c r="AX88">
        <v>0</v>
      </c>
      <c r="AY88">
        <v>18.5</v>
      </c>
      <c r="AZ88">
        <v>2.625</v>
      </c>
      <c r="BA88">
        <v>0</v>
      </c>
      <c r="BB88">
        <v>0</v>
      </c>
      <c r="BC88">
        <v>14</v>
      </c>
      <c r="BN88">
        <v>74.900009999999995</v>
      </c>
      <c r="BO88">
        <v>18497</v>
      </c>
      <c r="BP88">
        <v>0</v>
      </c>
      <c r="BQ88">
        <v>35</v>
      </c>
      <c r="BR88">
        <v>35</v>
      </c>
      <c r="BS88">
        <v>34.950000000000003</v>
      </c>
      <c r="BT88">
        <v>0</v>
      </c>
      <c r="BV88">
        <v>0</v>
      </c>
      <c r="BW88" t="s">
        <v>655</v>
      </c>
      <c r="BX88">
        <v>0.17</v>
      </c>
      <c r="BY88">
        <v>5.9414999999999996</v>
      </c>
      <c r="BZ88">
        <v>0</v>
      </c>
      <c r="CA88">
        <v>1</v>
      </c>
      <c r="CB88">
        <v>0.6</v>
      </c>
      <c r="CC88" s="3">
        <v>7.1269159999999998E-2</v>
      </c>
      <c r="CD88">
        <v>2.875</v>
      </c>
      <c r="CE88">
        <v>2.5</v>
      </c>
      <c r="CF88">
        <v>18</v>
      </c>
      <c r="CG88">
        <v>6</v>
      </c>
      <c r="CH88">
        <v>0</v>
      </c>
      <c r="CI88">
        <v>34.950000000000003</v>
      </c>
      <c r="CJ88">
        <v>113.334</v>
      </c>
    </row>
    <row r="89" spans="1:88">
      <c r="A89">
        <v>87</v>
      </c>
      <c r="B89" t="s">
        <v>13</v>
      </c>
      <c r="C89" t="s">
        <v>1</v>
      </c>
      <c r="D89" t="s">
        <v>334</v>
      </c>
      <c r="E89" t="s">
        <v>283</v>
      </c>
      <c r="F89" t="s">
        <v>372</v>
      </c>
      <c r="G89" t="s">
        <v>106</v>
      </c>
      <c r="H89" t="s">
        <v>373</v>
      </c>
      <c r="J89">
        <v>2</v>
      </c>
      <c r="K89" t="s">
        <v>146</v>
      </c>
      <c r="L89" t="s">
        <v>2</v>
      </c>
      <c r="M89" t="s">
        <v>374</v>
      </c>
      <c r="N89" t="s">
        <v>375</v>
      </c>
      <c r="O89">
        <v>87</v>
      </c>
      <c r="Q89">
        <v>173</v>
      </c>
      <c r="R89">
        <v>44</v>
      </c>
      <c r="S89">
        <v>4.25</v>
      </c>
      <c r="T89">
        <v>2.4289999999999998</v>
      </c>
      <c r="U89">
        <v>5.66</v>
      </c>
      <c r="V89">
        <v>736.65</v>
      </c>
      <c r="W89">
        <v>251</v>
      </c>
      <c r="X89">
        <v>1.3332999999999999</v>
      </c>
      <c r="Y89">
        <v>196</v>
      </c>
      <c r="Z89">
        <v>3.76</v>
      </c>
      <c r="AJ89">
        <v>2</v>
      </c>
      <c r="AK89">
        <v>18</v>
      </c>
      <c r="AM89">
        <v>0</v>
      </c>
      <c r="AO89" t="s">
        <v>376</v>
      </c>
      <c r="AT89">
        <v>36</v>
      </c>
      <c r="AV89">
        <v>24.8</v>
      </c>
      <c r="AW89">
        <v>0</v>
      </c>
      <c r="AX89">
        <v>0</v>
      </c>
      <c r="AY89">
        <v>33</v>
      </c>
      <c r="AZ89">
        <v>2.875</v>
      </c>
      <c r="BA89">
        <v>0</v>
      </c>
      <c r="BB89">
        <v>0</v>
      </c>
      <c r="BC89">
        <v>29</v>
      </c>
      <c r="BN89">
        <v>115.91670000000001</v>
      </c>
      <c r="BO89">
        <v>7723</v>
      </c>
      <c r="BP89">
        <v>0</v>
      </c>
      <c r="BQ89">
        <v>29</v>
      </c>
      <c r="BR89">
        <v>29</v>
      </c>
      <c r="BS89">
        <v>29.39</v>
      </c>
      <c r="BT89">
        <v>0</v>
      </c>
      <c r="BV89">
        <v>0</v>
      </c>
      <c r="BW89" t="s">
        <v>655</v>
      </c>
      <c r="BX89">
        <v>0.17</v>
      </c>
      <c r="BY89">
        <v>4.9962999999999997</v>
      </c>
      <c r="BZ89">
        <v>0</v>
      </c>
      <c r="CA89">
        <v>1</v>
      </c>
      <c r="CB89">
        <v>0.6</v>
      </c>
      <c r="CC89" s="3">
        <v>7.1269159999999998E-2</v>
      </c>
      <c r="CD89">
        <v>2.875</v>
      </c>
      <c r="CE89">
        <v>2.5</v>
      </c>
      <c r="CF89">
        <v>18</v>
      </c>
      <c r="CG89">
        <v>6</v>
      </c>
      <c r="CH89">
        <v>0</v>
      </c>
      <c r="CI89">
        <v>29.39</v>
      </c>
      <c r="CJ89">
        <v>143.48009999999999</v>
      </c>
    </row>
    <row r="90" spans="1:88">
      <c r="A90">
        <v>88</v>
      </c>
      <c r="B90" t="s">
        <v>0</v>
      </c>
      <c r="C90" t="s">
        <v>1</v>
      </c>
      <c r="D90" t="s">
        <v>377</v>
      </c>
      <c r="E90" t="s">
        <v>221</v>
      </c>
      <c r="F90" t="s">
        <v>378</v>
      </c>
      <c r="G90" t="s">
        <v>15</v>
      </c>
      <c r="H90" t="s">
        <v>377</v>
      </c>
      <c r="J90">
        <v>2</v>
      </c>
      <c r="K90" t="s">
        <v>9</v>
      </c>
      <c r="L90" t="s">
        <v>307</v>
      </c>
      <c r="M90" t="s">
        <v>379</v>
      </c>
      <c r="N90" t="s">
        <v>2</v>
      </c>
      <c r="O90">
        <v>104</v>
      </c>
      <c r="Q90">
        <v>718</v>
      </c>
      <c r="R90">
        <v>155</v>
      </c>
      <c r="S90">
        <v>4.25</v>
      </c>
      <c r="T90">
        <v>2.8919999999999999</v>
      </c>
      <c r="U90">
        <v>6</v>
      </c>
      <c r="V90">
        <v>3050.14</v>
      </c>
      <c r="W90">
        <v>931</v>
      </c>
      <c r="X90">
        <v>1.3332999999999999</v>
      </c>
      <c r="Y90">
        <v>723</v>
      </c>
      <c r="Z90">
        <v>4.22</v>
      </c>
      <c r="AJ90">
        <v>2</v>
      </c>
      <c r="AK90">
        <v>18</v>
      </c>
      <c r="AM90">
        <v>0</v>
      </c>
      <c r="AO90" t="s">
        <v>380</v>
      </c>
      <c r="AT90">
        <v>41</v>
      </c>
      <c r="AV90">
        <v>89.2</v>
      </c>
      <c r="AW90">
        <v>0.5</v>
      </c>
      <c r="AX90">
        <v>5.625</v>
      </c>
      <c r="AY90">
        <v>38.375</v>
      </c>
      <c r="AZ90">
        <v>4.25</v>
      </c>
      <c r="BA90">
        <v>467.01</v>
      </c>
      <c r="BB90">
        <v>4.9800000000000004</v>
      </c>
      <c r="BC90">
        <v>69</v>
      </c>
      <c r="BD90">
        <v>0.375</v>
      </c>
      <c r="BE90">
        <v>3.75</v>
      </c>
      <c r="BF90">
        <v>25.25</v>
      </c>
      <c r="BG90">
        <v>3.125</v>
      </c>
      <c r="BH90">
        <v>255.77</v>
      </c>
      <c r="BI90">
        <v>4.21</v>
      </c>
      <c r="BJ90">
        <v>22</v>
      </c>
      <c r="BL90">
        <v>722.78</v>
      </c>
      <c r="BM90">
        <v>91</v>
      </c>
      <c r="BN90">
        <v>764.01220000000001</v>
      </c>
      <c r="BO90">
        <v>1874</v>
      </c>
      <c r="BP90">
        <v>0</v>
      </c>
      <c r="BQ90">
        <v>35</v>
      </c>
      <c r="BR90">
        <v>35</v>
      </c>
      <c r="BS90">
        <v>35.299999999999997</v>
      </c>
      <c r="BT90">
        <v>0</v>
      </c>
      <c r="BV90">
        <v>6</v>
      </c>
      <c r="BW90" t="s">
        <v>655</v>
      </c>
      <c r="BX90">
        <v>0.27933330000000001</v>
      </c>
      <c r="BY90">
        <v>9.8604660000000006</v>
      </c>
      <c r="BZ90">
        <v>0</v>
      </c>
      <c r="CA90">
        <v>1</v>
      </c>
      <c r="CB90">
        <v>0.6</v>
      </c>
      <c r="CC90" s="3">
        <v>7.1269159999999998E-2</v>
      </c>
      <c r="CD90">
        <v>2.875</v>
      </c>
      <c r="CE90">
        <v>2.5</v>
      </c>
      <c r="CF90">
        <v>18</v>
      </c>
      <c r="CG90">
        <v>6</v>
      </c>
      <c r="CH90">
        <v>0</v>
      </c>
      <c r="CI90">
        <v>35.299999999999997</v>
      </c>
      <c r="CJ90">
        <v>618.57259999999997</v>
      </c>
    </row>
    <row r="91" spans="1:88">
      <c r="A91">
        <v>89</v>
      </c>
      <c r="B91" t="s">
        <v>0</v>
      </c>
      <c r="C91" t="s">
        <v>1</v>
      </c>
      <c r="D91" t="s">
        <v>133</v>
      </c>
      <c r="E91" t="s">
        <v>133</v>
      </c>
      <c r="F91" t="s">
        <v>298</v>
      </c>
      <c r="G91" t="s">
        <v>106</v>
      </c>
      <c r="H91" t="s">
        <v>257</v>
      </c>
      <c r="J91">
        <v>2</v>
      </c>
      <c r="K91" t="s">
        <v>146</v>
      </c>
      <c r="L91" t="s">
        <v>353</v>
      </c>
      <c r="M91" t="s">
        <v>194</v>
      </c>
      <c r="N91" t="s">
        <v>195</v>
      </c>
      <c r="O91">
        <v>143</v>
      </c>
      <c r="Q91">
        <v>529</v>
      </c>
      <c r="R91">
        <v>88</v>
      </c>
      <c r="S91">
        <v>4.25</v>
      </c>
      <c r="T91">
        <v>3.88</v>
      </c>
      <c r="U91">
        <v>6.6</v>
      </c>
      <c r="V91">
        <v>2249.61</v>
      </c>
      <c r="W91">
        <v>579</v>
      </c>
      <c r="X91">
        <v>1.3332999999999999</v>
      </c>
      <c r="Y91">
        <v>432</v>
      </c>
      <c r="Z91">
        <v>5.21</v>
      </c>
      <c r="AJ91">
        <v>2</v>
      </c>
      <c r="AK91">
        <v>18</v>
      </c>
      <c r="AM91">
        <v>0</v>
      </c>
      <c r="AO91" t="s">
        <v>301</v>
      </c>
      <c r="AT91">
        <v>55</v>
      </c>
      <c r="AV91">
        <v>49.1</v>
      </c>
      <c r="AW91">
        <v>0.46875</v>
      </c>
      <c r="AX91">
        <v>3.75</v>
      </c>
      <c r="AY91">
        <v>53.625</v>
      </c>
      <c r="AZ91">
        <v>4.875</v>
      </c>
      <c r="BA91">
        <v>378.27</v>
      </c>
      <c r="BB91">
        <v>5.21</v>
      </c>
      <c r="BC91">
        <v>58</v>
      </c>
      <c r="BD91">
        <v>0.25</v>
      </c>
      <c r="BE91">
        <v>2.75</v>
      </c>
      <c r="BF91">
        <v>21.5</v>
      </c>
      <c r="BG91">
        <v>2.625</v>
      </c>
      <c r="BH91">
        <v>53.51</v>
      </c>
      <c r="BI91">
        <v>6.41</v>
      </c>
      <c r="BJ91">
        <v>9</v>
      </c>
      <c r="BL91">
        <v>431.78</v>
      </c>
      <c r="BM91">
        <v>66</v>
      </c>
      <c r="BN91">
        <v>235.40010000000001</v>
      </c>
      <c r="BO91">
        <v>1873</v>
      </c>
      <c r="BP91">
        <v>0</v>
      </c>
      <c r="BQ91">
        <v>49</v>
      </c>
      <c r="BR91">
        <v>49</v>
      </c>
      <c r="BS91">
        <v>48.86</v>
      </c>
      <c r="BT91">
        <v>0</v>
      </c>
      <c r="BV91">
        <v>0</v>
      </c>
      <c r="BW91" t="s">
        <v>655</v>
      </c>
      <c r="BX91">
        <v>0.17</v>
      </c>
      <c r="BY91">
        <v>8.3062000000000005</v>
      </c>
      <c r="BZ91">
        <v>0</v>
      </c>
      <c r="CA91">
        <v>1</v>
      </c>
      <c r="CB91">
        <v>0.6</v>
      </c>
      <c r="CC91" s="3">
        <v>7.1269159999999998E-2</v>
      </c>
      <c r="CD91">
        <v>2.875</v>
      </c>
      <c r="CE91">
        <v>2.5</v>
      </c>
      <c r="CF91">
        <v>18</v>
      </c>
      <c r="CG91">
        <v>6</v>
      </c>
      <c r="CH91">
        <v>0</v>
      </c>
      <c r="CI91">
        <v>48.86</v>
      </c>
      <c r="CJ91">
        <v>471.83960000000002</v>
      </c>
    </row>
    <row r="92" spans="1:88">
      <c r="A92">
        <v>90</v>
      </c>
      <c r="B92" t="s">
        <v>13</v>
      </c>
      <c r="C92" t="s">
        <v>1</v>
      </c>
      <c r="D92" t="s">
        <v>2</v>
      </c>
      <c r="E92" t="s">
        <v>153</v>
      </c>
      <c r="F92" t="s">
        <v>154</v>
      </c>
      <c r="G92" t="s">
        <v>106</v>
      </c>
      <c r="H92" t="s">
        <v>217</v>
      </c>
      <c r="J92">
        <v>2</v>
      </c>
      <c r="K92" t="s">
        <v>146</v>
      </c>
      <c r="L92" t="s">
        <v>195</v>
      </c>
      <c r="M92" t="s">
        <v>306</v>
      </c>
      <c r="N92" t="s">
        <v>158</v>
      </c>
      <c r="O92">
        <v>126</v>
      </c>
      <c r="Q92">
        <v>348</v>
      </c>
      <c r="R92">
        <v>67</v>
      </c>
      <c r="S92">
        <v>4.25</v>
      </c>
      <c r="T92">
        <v>3.46</v>
      </c>
      <c r="U92">
        <v>6.26</v>
      </c>
      <c r="V92">
        <v>1478.91</v>
      </c>
      <c r="W92">
        <v>420</v>
      </c>
      <c r="X92">
        <v>1.3332999999999999</v>
      </c>
      <c r="Y92">
        <v>309</v>
      </c>
      <c r="Z92">
        <v>4.79</v>
      </c>
      <c r="AJ92">
        <v>2</v>
      </c>
      <c r="AK92">
        <v>18</v>
      </c>
      <c r="AM92">
        <v>0</v>
      </c>
      <c r="AO92" t="s">
        <v>218</v>
      </c>
      <c r="AT92">
        <v>49</v>
      </c>
      <c r="AV92">
        <v>36.1</v>
      </c>
      <c r="AW92">
        <v>0</v>
      </c>
      <c r="AX92">
        <v>0</v>
      </c>
      <c r="AY92">
        <v>46.125</v>
      </c>
      <c r="AZ92">
        <v>4.25</v>
      </c>
      <c r="BA92">
        <v>0</v>
      </c>
      <c r="BB92">
        <v>0</v>
      </c>
      <c r="BC92">
        <v>47</v>
      </c>
      <c r="BN92">
        <v>171.2</v>
      </c>
      <c r="BO92">
        <v>3540</v>
      </c>
      <c r="BP92">
        <v>0</v>
      </c>
      <c r="BQ92">
        <v>43</v>
      </c>
      <c r="BR92">
        <v>43</v>
      </c>
      <c r="BS92">
        <v>42.95</v>
      </c>
      <c r="BT92">
        <v>0</v>
      </c>
      <c r="BV92">
        <v>0</v>
      </c>
      <c r="BW92" t="s">
        <v>655</v>
      </c>
      <c r="BX92">
        <v>0.17</v>
      </c>
      <c r="BY92">
        <v>7.301501</v>
      </c>
      <c r="BZ92">
        <v>0</v>
      </c>
      <c r="CA92">
        <v>1</v>
      </c>
      <c r="CB92">
        <v>0.6</v>
      </c>
      <c r="CC92" s="3">
        <v>7.1269159999999998E-2</v>
      </c>
      <c r="CD92">
        <v>2.875</v>
      </c>
      <c r="CE92">
        <v>2.5</v>
      </c>
      <c r="CF92">
        <v>18</v>
      </c>
      <c r="CG92">
        <v>6</v>
      </c>
      <c r="CH92">
        <v>0</v>
      </c>
      <c r="CI92">
        <v>42.95</v>
      </c>
      <c r="CJ92">
        <v>304.57049999999998</v>
      </c>
    </row>
    <row r="93" spans="1:88">
      <c r="A93">
        <v>91</v>
      </c>
      <c r="B93" t="s">
        <v>0</v>
      </c>
      <c r="C93" t="s">
        <v>1</v>
      </c>
      <c r="D93" t="s">
        <v>143</v>
      </c>
      <c r="E93" t="s">
        <v>197</v>
      </c>
      <c r="F93" t="s">
        <v>144</v>
      </c>
      <c r="G93" t="s">
        <v>106</v>
      </c>
      <c r="H93" t="s">
        <v>145</v>
      </c>
      <c r="J93">
        <v>2</v>
      </c>
      <c r="K93" t="s">
        <v>146</v>
      </c>
      <c r="L93" t="s">
        <v>199</v>
      </c>
      <c r="M93" t="s">
        <v>200</v>
      </c>
      <c r="N93" t="s">
        <v>201</v>
      </c>
      <c r="O93">
        <v>173</v>
      </c>
      <c r="Q93">
        <v>687</v>
      </c>
      <c r="R93">
        <v>95</v>
      </c>
      <c r="S93">
        <v>4.25</v>
      </c>
      <c r="T93">
        <v>4.5830000000000002</v>
      </c>
      <c r="U93">
        <v>6.97</v>
      </c>
      <c r="V93">
        <v>2919.7</v>
      </c>
      <c r="W93">
        <v>659</v>
      </c>
      <c r="X93">
        <v>1.3332999999999999</v>
      </c>
      <c r="Y93">
        <v>494</v>
      </c>
      <c r="Z93">
        <v>5.91</v>
      </c>
      <c r="AJ93">
        <v>2</v>
      </c>
      <c r="AK93">
        <v>18</v>
      </c>
      <c r="AM93">
        <v>0</v>
      </c>
      <c r="AO93" t="s">
        <v>149</v>
      </c>
      <c r="AT93">
        <v>65</v>
      </c>
      <c r="AV93">
        <v>53.5</v>
      </c>
      <c r="AW93">
        <v>0.4375</v>
      </c>
      <c r="AX93">
        <v>3.75</v>
      </c>
      <c r="AY93">
        <v>52.375</v>
      </c>
      <c r="AZ93">
        <v>5.125</v>
      </c>
      <c r="BA93">
        <v>271.70999999999998</v>
      </c>
      <c r="BB93">
        <v>6.05</v>
      </c>
      <c r="BC93">
        <v>53</v>
      </c>
      <c r="BD93">
        <v>0.40625</v>
      </c>
      <c r="BE93">
        <v>3.75</v>
      </c>
      <c r="BF93">
        <v>43.75</v>
      </c>
      <c r="BG93">
        <v>4.75</v>
      </c>
      <c r="BH93">
        <v>222.31</v>
      </c>
      <c r="BI93">
        <v>5.95</v>
      </c>
      <c r="BJ93">
        <v>42</v>
      </c>
      <c r="BL93">
        <v>494.02</v>
      </c>
      <c r="BM93">
        <v>94</v>
      </c>
      <c r="BN93">
        <v>256.80009999999999</v>
      </c>
      <c r="BO93">
        <v>1574</v>
      </c>
      <c r="BP93">
        <v>0</v>
      </c>
      <c r="BQ93">
        <v>59</v>
      </c>
      <c r="BR93">
        <v>59</v>
      </c>
      <c r="BS93">
        <v>59.3</v>
      </c>
      <c r="BT93">
        <v>0</v>
      </c>
      <c r="BV93">
        <v>0</v>
      </c>
      <c r="BW93" t="s">
        <v>655</v>
      </c>
      <c r="BX93">
        <v>0.17</v>
      </c>
      <c r="BY93">
        <v>10.081</v>
      </c>
      <c r="BZ93">
        <v>0</v>
      </c>
      <c r="CA93">
        <v>1</v>
      </c>
      <c r="CB93">
        <v>0.6</v>
      </c>
      <c r="CC93" s="3">
        <v>7.1269159999999998E-2</v>
      </c>
      <c r="CD93">
        <v>2.875</v>
      </c>
      <c r="CE93">
        <v>2.5</v>
      </c>
      <c r="CF93">
        <v>18</v>
      </c>
      <c r="CG93">
        <v>6</v>
      </c>
      <c r="CH93">
        <v>0</v>
      </c>
      <c r="CI93">
        <v>59.3</v>
      </c>
      <c r="CJ93">
        <v>623.37350000000004</v>
      </c>
    </row>
    <row r="94" spans="1:88">
      <c r="A94">
        <v>92</v>
      </c>
      <c r="B94" t="s">
        <v>13</v>
      </c>
      <c r="C94" t="s">
        <v>1</v>
      </c>
      <c r="D94" t="s">
        <v>8</v>
      </c>
      <c r="E94" t="s">
        <v>133</v>
      </c>
      <c r="F94" t="s">
        <v>246</v>
      </c>
      <c r="G94" t="s">
        <v>15</v>
      </c>
      <c r="H94" t="s">
        <v>247</v>
      </c>
      <c r="J94">
        <v>2</v>
      </c>
      <c r="K94" t="s">
        <v>108</v>
      </c>
      <c r="L94" t="s">
        <v>353</v>
      </c>
      <c r="M94" t="s">
        <v>194</v>
      </c>
      <c r="N94" t="s">
        <v>195</v>
      </c>
      <c r="O94">
        <v>143</v>
      </c>
      <c r="Q94">
        <v>761</v>
      </c>
      <c r="R94">
        <v>124</v>
      </c>
      <c r="S94">
        <v>4.25</v>
      </c>
      <c r="T94">
        <v>3.88</v>
      </c>
      <c r="U94">
        <v>6.6</v>
      </c>
      <c r="V94">
        <v>3236.29</v>
      </c>
      <c r="W94">
        <v>816</v>
      </c>
      <c r="X94">
        <v>1.3332999999999999</v>
      </c>
      <c r="Y94">
        <v>621</v>
      </c>
      <c r="Z94">
        <v>5.21</v>
      </c>
      <c r="AJ94">
        <v>2</v>
      </c>
      <c r="AK94">
        <v>18</v>
      </c>
      <c r="AM94">
        <v>0</v>
      </c>
      <c r="AO94" t="s">
        <v>250</v>
      </c>
      <c r="AT94">
        <v>55</v>
      </c>
      <c r="AV94">
        <v>71.099999999999994</v>
      </c>
      <c r="AW94" t="s">
        <v>6</v>
      </c>
      <c r="AX94" t="s">
        <v>6</v>
      </c>
      <c r="AY94" t="s">
        <v>6</v>
      </c>
      <c r="AZ94" t="s">
        <v>6</v>
      </c>
      <c r="BA94" t="s">
        <v>6</v>
      </c>
      <c r="BB94" t="s">
        <v>6</v>
      </c>
      <c r="BC94" t="s">
        <v>6</v>
      </c>
      <c r="BD94" t="s">
        <v>6</v>
      </c>
      <c r="BE94" t="s">
        <v>6</v>
      </c>
      <c r="BF94" t="s">
        <v>6</v>
      </c>
      <c r="BG94" t="s">
        <v>6</v>
      </c>
      <c r="BH94" t="s">
        <v>6</v>
      </c>
      <c r="BI94" t="s">
        <v>6</v>
      </c>
      <c r="BJ94" t="s">
        <v>6</v>
      </c>
      <c r="BN94">
        <v>606.1585</v>
      </c>
      <c r="BO94">
        <v>2977</v>
      </c>
      <c r="BP94">
        <v>0</v>
      </c>
      <c r="BQ94">
        <v>49</v>
      </c>
      <c r="BR94">
        <v>49</v>
      </c>
      <c r="BS94">
        <v>48.86</v>
      </c>
      <c r="BT94">
        <v>0</v>
      </c>
      <c r="BV94">
        <v>0</v>
      </c>
      <c r="BW94" t="s">
        <v>655</v>
      </c>
      <c r="BX94">
        <v>0.17</v>
      </c>
      <c r="BY94">
        <v>8.3062000000000005</v>
      </c>
      <c r="BZ94">
        <v>0</v>
      </c>
      <c r="CA94">
        <v>1</v>
      </c>
      <c r="CB94">
        <v>0.6</v>
      </c>
      <c r="CC94" s="3">
        <v>7.1269159999999998E-2</v>
      </c>
      <c r="CD94">
        <v>2.875</v>
      </c>
      <c r="CE94">
        <v>2.5</v>
      </c>
      <c r="CF94">
        <v>18</v>
      </c>
      <c r="CG94">
        <v>6</v>
      </c>
      <c r="CH94">
        <v>0</v>
      </c>
      <c r="CI94">
        <v>48.86</v>
      </c>
      <c r="CJ94">
        <v>682.07799999999997</v>
      </c>
    </row>
    <row r="95" spans="1:88">
      <c r="A95">
        <v>93</v>
      </c>
      <c r="B95" t="s">
        <v>13</v>
      </c>
      <c r="C95" t="s">
        <v>1</v>
      </c>
      <c r="D95" t="s">
        <v>381</v>
      </c>
      <c r="E95" t="s">
        <v>382</v>
      </c>
      <c r="F95" t="s">
        <v>132</v>
      </c>
      <c r="G95" t="s">
        <v>106</v>
      </c>
      <c r="H95" t="s">
        <v>340</v>
      </c>
      <c r="J95">
        <v>2</v>
      </c>
      <c r="K95" t="s">
        <v>146</v>
      </c>
      <c r="L95" t="s">
        <v>229</v>
      </c>
      <c r="M95" t="s">
        <v>318</v>
      </c>
      <c r="N95" t="s">
        <v>366</v>
      </c>
      <c r="O95">
        <v>100</v>
      </c>
      <c r="Q95">
        <v>371</v>
      </c>
      <c r="R95">
        <v>85</v>
      </c>
      <c r="S95">
        <v>4.25</v>
      </c>
      <c r="T95">
        <v>2.7850000000000001</v>
      </c>
      <c r="U95">
        <v>5.92</v>
      </c>
      <c r="V95">
        <v>1577.98</v>
      </c>
      <c r="W95">
        <v>506</v>
      </c>
      <c r="X95">
        <v>1.3332999999999999</v>
      </c>
      <c r="Y95">
        <v>384</v>
      </c>
      <c r="Z95">
        <v>4.1100000000000003</v>
      </c>
      <c r="AJ95">
        <v>2</v>
      </c>
      <c r="AK95">
        <v>18</v>
      </c>
      <c r="AM95">
        <v>0</v>
      </c>
      <c r="AO95" t="s">
        <v>359</v>
      </c>
      <c r="AT95">
        <v>40</v>
      </c>
      <c r="AV95">
        <v>47.7</v>
      </c>
      <c r="AW95">
        <v>0</v>
      </c>
      <c r="AX95">
        <v>0</v>
      </c>
      <c r="AY95">
        <v>37</v>
      </c>
      <c r="AZ95">
        <v>3.625</v>
      </c>
      <c r="BA95">
        <v>0</v>
      </c>
      <c r="BB95">
        <v>0</v>
      </c>
      <c r="BC95">
        <v>38</v>
      </c>
      <c r="BN95">
        <v>228.26669999999999</v>
      </c>
      <c r="BO95">
        <v>1992</v>
      </c>
      <c r="BP95">
        <v>0</v>
      </c>
      <c r="BQ95">
        <v>34</v>
      </c>
      <c r="BR95">
        <v>34</v>
      </c>
      <c r="BS95">
        <v>33.909999999999997</v>
      </c>
      <c r="BT95">
        <v>0</v>
      </c>
      <c r="BV95">
        <v>0</v>
      </c>
      <c r="BW95" t="s">
        <v>655</v>
      </c>
      <c r="BX95">
        <v>0.17</v>
      </c>
      <c r="BY95">
        <v>5.7647000000000004</v>
      </c>
      <c r="BZ95">
        <v>0</v>
      </c>
      <c r="CA95">
        <v>1</v>
      </c>
      <c r="CB95">
        <v>0.6</v>
      </c>
      <c r="CC95" s="3">
        <v>7.1269159999999998E-2</v>
      </c>
      <c r="CD95">
        <v>2.875</v>
      </c>
      <c r="CE95">
        <v>2.5</v>
      </c>
      <c r="CF95">
        <v>18</v>
      </c>
      <c r="CG95">
        <v>6</v>
      </c>
      <c r="CH95">
        <v>0</v>
      </c>
      <c r="CI95">
        <v>33.909999999999997</v>
      </c>
      <c r="CJ95">
        <v>317.80090000000001</v>
      </c>
    </row>
    <row r="96" spans="1:88">
      <c r="A96">
        <v>94</v>
      </c>
      <c r="B96" t="s">
        <v>13</v>
      </c>
      <c r="C96" t="s">
        <v>1</v>
      </c>
      <c r="D96" t="s">
        <v>341</v>
      </c>
      <c r="E96" t="s">
        <v>330</v>
      </c>
      <c r="F96" t="s">
        <v>343</v>
      </c>
      <c r="G96" t="s">
        <v>106</v>
      </c>
      <c r="H96" t="s">
        <v>344</v>
      </c>
      <c r="J96">
        <v>2</v>
      </c>
      <c r="K96" t="s">
        <v>146</v>
      </c>
      <c r="L96" t="s">
        <v>279</v>
      </c>
      <c r="M96" t="s">
        <v>360</v>
      </c>
      <c r="N96" t="s">
        <v>381</v>
      </c>
      <c r="O96">
        <v>136</v>
      </c>
      <c r="Q96">
        <v>285</v>
      </c>
      <c r="R96">
        <v>48</v>
      </c>
      <c r="S96">
        <v>4.25</v>
      </c>
      <c r="T96">
        <v>3.7090000000000001</v>
      </c>
      <c r="U96">
        <v>6.45</v>
      </c>
      <c r="V96">
        <v>1211.76</v>
      </c>
      <c r="W96">
        <v>312</v>
      </c>
      <c r="X96">
        <v>1.3332999999999999</v>
      </c>
      <c r="Y96">
        <v>240</v>
      </c>
      <c r="Z96">
        <v>5.04</v>
      </c>
      <c r="AJ96">
        <v>2</v>
      </c>
      <c r="AK96">
        <v>18</v>
      </c>
      <c r="AM96">
        <v>0</v>
      </c>
      <c r="AO96" t="s">
        <v>347</v>
      </c>
      <c r="AT96">
        <v>53</v>
      </c>
      <c r="AV96">
        <v>27.4</v>
      </c>
      <c r="AW96">
        <v>0</v>
      </c>
      <c r="AX96">
        <v>0</v>
      </c>
      <c r="AY96">
        <v>40.5</v>
      </c>
      <c r="AZ96">
        <v>4.125</v>
      </c>
      <c r="BA96">
        <v>0</v>
      </c>
      <c r="BB96">
        <v>0</v>
      </c>
      <c r="BC96">
        <v>38</v>
      </c>
      <c r="BN96">
        <v>128.4</v>
      </c>
      <c r="BO96">
        <v>6294</v>
      </c>
      <c r="BP96">
        <v>0</v>
      </c>
      <c r="BQ96">
        <v>46</v>
      </c>
      <c r="BR96">
        <v>46</v>
      </c>
      <c r="BS96">
        <v>46.43</v>
      </c>
      <c r="BT96">
        <v>0</v>
      </c>
      <c r="BV96">
        <v>0</v>
      </c>
      <c r="BW96" t="s">
        <v>655</v>
      </c>
      <c r="BX96">
        <v>0.17</v>
      </c>
      <c r="BY96">
        <v>7.8931009999999997</v>
      </c>
      <c r="BZ96">
        <v>0</v>
      </c>
      <c r="CA96">
        <v>1</v>
      </c>
      <c r="CB96">
        <v>0.6</v>
      </c>
      <c r="CC96" s="3">
        <v>7.1269159999999998E-2</v>
      </c>
      <c r="CD96">
        <v>2.875</v>
      </c>
      <c r="CE96">
        <v>2.5</v>
      </c>
      <c r="CF96">
        <v>18</v>
      </c>
      <c r="CG96">
        <v>6</v>
      </c>
      <c r="CH96">
        <v>0</v>
      </c>
      <c r="CI96">
        <v>46.43</v>
      </c>
      <c r="CJ96">
        <v>249.83150000000001</v>
      </c>
    </row>
    <row r="97" spans="1:88">
      <c r="A97">
        <v>95</v>
      </c>
      <c r="B97" t="s">
        <v>13</v>
      </c>
      <c r="C97" t="s">
        <v>1</v>
      </c>
      <c r="D97" t="s">
        <v>259</v>
      </c>
      <c r="E97" t="s">
        <v>113</v>
      </c>
      <c r="F97" t="s">
        <v>301</v>
      </c>
      <c r="G97" t="s">
        <v>106</v>
      </c>
      <c r="H97" t="s">
        <v>128</v>
      </c>
      <c r="J97">
        <v>2</v>
      </c>
      <c r="K97" t="s">
        <v>146</v>
      </c>
      <c r="L97" t="s">
        <v>116</v>
      </c>
      <c r="M97" t="s">
        <v>117</v>
      </c>
      <c r="N97" t="s">
        <v>14</v>
      </c>
      <c r="O97">
        <v>179</v>
      </c>
      <c r="Q97">
        <v>643</v>
      </c>
      <c r="R97">
        <v>87</v>
      </c>
      <c r="S97">
        <v>4.25</v>
      </c>
      <c r="T97">
        <v>4.7190000000000003</v>
      </c>
      <c r="U97">
        <v>7.05</v>
      </c>
      <c r="V97">
        <v>2732.62</v>
      </c>
      <c r="W97">
        <v>610</v>
      </c>
      <c r="X97">
        <v>1.3332999999999999</v>
      </c>
      <c r="Y97">
        <v>452</v>
      </c>
      <c r="Z97">
        <v>6.05</v>
      </c>
      <c r="AJ97">
        <v>2</v>
      </c>
      <c r="AK97">
        <v>18</v>
      </c>
      <c r="AM97">
        <v>0</v>
      </c>
      <c r="AO97" t="s">
        <v>132</v>
      </c>
      <c r="AT97">
        <v>68</v>
      </c>
      <c r="AV97">
        <v>48.4</v>
      </c>
      <c r="AW97" t="s">
        <v>6</v>
      </c>
      <c r="AX97" t="s">
        <v>6</v>
      </c>
      <c r="AY97" t="s">
        <v>6</v>
      </c>
      <c r="AZ97" t="s">
        <v>6</v>
      </c>
      <c r="BA97" t="s">
        <v>6</v>
      </c>
      <c r="BB97" t="s">
        <v>6</v>
      </c>
      <c r="BC97" t="s">
        <v>6</v>
      </c>
      <c r="BD97" t="s">
        <v>6</v>
      </c>
      <c r="BE97" t="s">
        <v>6</v>
      </c>
      <c r="BF97" t="s">
        <v>6</v>
      </c>
      <c r="BG97" t="s">
        <v>6</v>
      </c>
      <c r="BH97" t="s">
        <v>6</v>
      </c>
      <c r="BI97" t="s">
        <v>6</v>
      </c>
      <c r="BJ97" t="s">
        <v>6</v>
      </c>
      <c r="BN97">
        <v>231.83340000000001</v>
      </c>
      <c r="BO97">
        <v>1931</v>
      </c>
      <c r="BP97">
        <v>0</v>
      </c>
      <c r="BQ97">
        <v>61</v>
      </c>
      <c r="BR97">
        <v>61</v>
      </c>
      <c r="BS97">
        <v>61.39</v>
      </c>
      <c r="BT97">
        <v>0</v>
      </c>
      <c r="BV97">
        <v>0</v>
      </c>
      <c r="BW97" t="s">
        <v>655</v>
      </c>
      <c r="BX97">
        <v>0.17</v>
      </c>
      <c r="BY97">
        <v>10.436299999999999</v>
      </c>
      <c r="BZ97">
        <v>0</v>
      </c>
      <c r="CA97">
        <v>1</v>
      </c>
      <c r="CB97">
        <v>0.6</v>
      </c>
      <c r="CC97" s="3">
        <v>7.1269159999999998E-2</v>
      </c>
      <c r="CD97">
        <v>2.875</v>
      </c>
      <c r="CE97">
        <v>2.5</v>
      </c>
      <c r="CF97">
        <v>18</v>
      </c>
      <c r="CG97">
        <v>6</v>
      </c>
      <c r="CH97">
        <v>0</v>
      </c>
      <c r="CI97">
        <v>61.39</v>
      </c>
      <c r="CJ97">
        <v>584.09100000000001</v>
      </c>
    </row>
    <row r="98" spans="1:88">
      <c r="A98">
        <v>96</v>
      </c>
      <c r="B98" t="s">
        <v>13</v>
      </c>
      <c r="C98" t="s">
        <v>1</v>
      </c>
      <c r="D98" t="s">
        <v>172</v>
      </c>
      <c r="E98" t="s">
        <v>103</v>
      </c>
      <c r="F98" t="s">
        <v>359</v>
      </c>
      <c r="G98" t="s">
        <v>106</v>
      </c>
      <c r="H98" t="s">
        <v>330</v>
      </c>
      <c r="J98">
        <v>2</v>
      </c>
      <c r="K98" t="s">
        <v>146</v>
      </c>
      <c r="L98" t="s">
        <v>455</v>
      </c>
      <c r="M98" t="s">
        <v>315</v>
      </c>
      <c r="N98" t="s">
        <v>316</v>
      </c>
      <c r="O98">
        <v>167</v>
      </c>
      <c r="Q98">
        <v>585</v>
      </c>
      <c r="R98">
        <v>84</v>
      </c>
      <c r="S98">
        <v>4.25</v>
      </c>
      <c r="T98">
        <v>4.4459999999999997</v>
      </c>
      <c r="U98">
        <v>6.86</v>
      </c>
      <c r="V98">
        <v>2485.1</v>
      </c>
      <c r="W98">
        <v>578</v>
      </c>
      <c r="X98">
        <v>1.3332999999999999</v>
      </c>
      <c r="Y98">
        <v>431</v>
      </c>
      <c r="Z98">
        <v>5.77</v>
      </c>
      <c r="AJ98">
        <v>2</v>
      </c>
      <c r="AK98">
        <v>18</v>
      </c>
      <c r="AM98">
        <v>0</v>
      </c>
      <c r="AO98" t="s">
        <v>360</v>
      </c>
      <c r="AT98">
        <v>63</v>
      </c>
      <c r="AV98">
        <v>47</v>
      </c>
      <c r="AW98">
        <v>0.46875</v>
      </c>
      <c r="AX98">
        <v>3.75</v>
      </c>
      <c r="AY98">
        <v>59.375</v>
      </c>
      <c r="AZ98">
        <v>5.375</v>
      </c>
      <c r="BA98">
        <v>341.56</v>
      </c>
      <c r="BB98">
        <v>5.77</v>
      </c>
      <c r="BC98">
        <v>64</v>
      </c>
      <c r="BD98">
        <v>0.3125</v>
      </c>
      <c r="BE98">
        <v>2.75</v>
      </c>
      <c r="BF98">
        <v>40.375</v>
      </c>
      <c r="BG98">
        <v>3.625</v>
      </c>
      <c r="BH98">
        <v>89.13</v>
      </c>
      <c r="BI98">
        <v>7.17</v>
      </c>
      <c r="BJ98">
        <v>21</v>
      </c>
      <c r="BL98">
        <v>430.69</v>
      </c>
      <c r="BM98">
        <v>85</v>
      </c>
      <c r="BN98">
        <v>224.70009999999999</v>
      </c>
      <c r="BO98">
        <v>2055</v>
      </c>
      <c r="BP98">
        <v>0</v>
      </c>
      <c r="BQ98">
        <v>57</v>
      </c>
      <c r="BR98">
        <v>57</v>
      </c>
      <c r="BS98">
        <v>57.21</v>
      </c>
      <c r="BT98">
        <v>0</v>
      </c>
      <c r="BV98">
        <v>0</v>
      </c>
      <c r="BW98" t="s">
        <v>655</v>
      </c>
      <c r="BX98">
        <v>0.17</v>
      </c>
      <c r="BY98">
        <v>9.7257010000000008</v>
      </c>
      <c r="BZ98">
        <v>0</v>
      </c>
      <c r="CA98">
        <v>1</v>
      </c>
      <c r="CB98">
        <v>0.6</v>
      </c>
      <c r="CC98" s="3">
        <v>7.1269159999999998E-2</v>
      </c>
      <c r="CD98">
        <v>2.875</v>
      </c>
      <c r="CE98">
        <v>2.5</v>
      </c>
      <c r="CF98">
        <v>18</v>
      </c>
      <c r="CG98">
        <v>6</v>
      </c>
      <c r="CH98">
        <v>0</v>
      </c>
      <c r="CI98">
        <v>57.21</v>
      </c>
      <c r="CJ98">
        <v>528.01149999999996</v>
      </c>
    </row>
    <row r="99" spans="1:88">
      <c r="A99">
        <v>97</v>
      </c>
      <c r="B99" t="s">
        <v>0</v>
      </c>
      <c r="C99" t="s">
        <v>1</v>
      </c>
      <c r="D99" t="s">
        <v>113</v>
      </c>
      <c r="E99" t="s">
        <v>3</v>
      </c>
      <c r="F99" t="s">
        <v>262</v>
      </c>
      <c r="G99" t="s">
        <v>106</v>
      </c>
      <c r="H99" t="s">
        <v>263</v>
      </c>
      <c r="J99">
        <v>2</v>
      </c>
      <c r="K99" t="s">
        <v>108</v>
      </c>
      <c r="L99" t="s">
        <v>363</v>
      </c>
      <c r="M99" t="s">
        <v>383</v>
      </c>
      <c r="N99" t="s">
        <v>119</v>
      </c>
      <c r="O99">
        <v>125</v>
      </c>
      <c r="Q99">
        <v>591</v>
      </c>
      <c r="R99">
        <v>109</v>
      </c>
      <c r="S99">
        <v>4.25</v>
      </c>
      <c r="T99">
        <v>3.4350000000000001</v>
      </c>
      <c r="U99">
        <v>6.26</v>
      </c>
      <c r="V99">
        <v>2513.62</v>
      </c>
      <c r="W99">
        <v>680</v>
      </c>
      <c r="X99">
        <v>1.3332999999999999</v>
      </c>
      <c r="Y99">
        <v>528</v>
      </c>
      <c r="Z99">
        <v>4.76</v>
      </c>
      <c r="AJ99">
        <v>2</v>
      </c>
      <c r="AK99">
        <v>18</v>
      </c>
      <c r="AM99">
        <v>0</v>
      </c>
      <c r="AO99" t="s">
        <v>266</v>
      </c>
      <c r="AT99">
        <v>49</v>
      </c>
      <c r="AV99">
        <v>62.3</v>
      </c>
      <c r="AW99">
        <v>0.46875</v>
      </c>
      <c r="AX99">
        <v>3.75</v>
      </c>
      <c r="AY99">
        <v>49</v>
      </c>
      <c r="AZ99">
        <v>4.5</v>
      </c>
      <c r="BA99">
        <v>414.03</v>
      </c>
      <c r="BB99">
        <v>4.76</v>
      </c>
      <c r="BC99">
        <v>53</v>
      </c>
      <c r="BD99">
        <v>0.3125</v>
      </c>
      <c r="BE99">
        <v>2.75</v>
      </c>
      <c r="BF99">
        <v>31.5</v>
      </c>
      <c r="BG99">
        <v>3</v>
      </c>
      <c r="BH99">
        <v>114.04</v>
      </c>
      <c r="BI99">
        <v>5.6</v>
      </c>
      <c r="BJ99">
        <v>17</v>
      </c>
      <c r="BL99">
        <v>528.07000000000005</v>
      </c>
      <c r="BM99">
        <v>69</v>
      </c>
      <c r="BN99">
        <v>299.60000000000002</v>
      </c>
      <c r="BO99">
        <v>1156</v>
      </c>
      <c r="BP99">
        <v>0</v>
      </c>
      <c r="BQ99">
        <v>43</v>
      </c>
      <c r="BR99">
        <v>43</v>
      </c>
      <c r="BS99">
        <v>42.6</v>
      </c>
      <c r="BT99">
        <v>0</v>
      </c>
      <c r="BV99">
        <v>0</v>
      </c>
      <c r="BW99" t="s">
        <v>655</v>
      </c>
      <c r="BX99">
        <v>0.17</v>
      </c>
      <c r="BY99">
        <v>7.242</v>
      </c>
      <c r="BZ99">
        <v>0</v>
      </c>
      <c r="CA99">
        <v>1</v>
      </c>
      <c r="CB99">
        <v>0.6</v>
      </c>
      <c r="CC99" s="3">
        <v>7.1269159999999998E-2</v>
      </c>
      <c r="CD99">
        <v>2.875</v>
      </c>
      <c r="CE99">
        <v>2.5</v>
      </c>
      <c r="CF99">
        <v>18</v>
      </c>
      <c r="CG99">
        <v>6</v>
      </c>
      <c r="CH99">
        <v>0</v>
      </c>
      <c r="CI99">
        <v>42.6</v>
      </c>
      <c r="CJ99">
        <v>521.82380000000001</v>
      </c>
    </row>
    <row r="100" spans="1:88">
      <c r="A100">
        <v>98</v>
      </c>
      <c r="B100" t="s">
        <v>0</v>
      </c>
      <c r="C100" t="s">
        <v>1</v>
      </c>
      <c r="D100" t="s">
        <v>2</v>
      </c>
      <c r="E100" t="s">
        <v>381</v>
      </c>
      <c r="F100" t="s">
        <v>154</v>
      </c>
      <c r="G100" t="s">
        <v>106</v>
      </c>
      <c r="H100" t="s">
        <v>217</v>
      </c>
      <c r="J100">
        <v>2</v>
      </c>
      <c r="K100" t="s">
        <v>146</v>
      </c>
      <c r="L100" t="s">
        <v>267</v>
      </c>
      <c r="M100" t="s">
        <v>384</v>
      </c>
      <c r="N100" t="s">
        <v>257</v>
      </c>
      <c r="O100">
        <v>139</v>
      </c>
      <c r="Q100">
        <v>381</v>
      </c>
      <c r="R100">
        <v>67</v>
      </c>
      <c r="S100">
        <v>4.25</v>
      </c>
      <c r="T100">
        <v>3.7829999999999999</v>
      </c>
      <c r="U100">
        <v>6.52</v>
      </c>
      <c r="V100">
        <v>1618.39</v>
      </c>
      <c r="W100">
        <v>437</v>
      </c>
      <c r="X100">
        <v>1.3332999999999999</v>
      </c>
      <c r="Y100">
        <v>317</v>
      </c>
      <c r="Z100">
        <v>5.1100000000000003</v>
      </c>
      <c r="AJ100">
        <v>2</v>
      </c>
      <c r="AK100">
        <v>18</v>
      </c>
      <c r="AM100">
        <v>0</v>
      </c>
      <c r="AO100" t="s">
        <v>218</v>
      </c>
      <c r="AT100">
        <v>54</v>
      </c>
      <c r="AV100">
        <v>36.1</v>
      </c>
      <c r="AW100">
        <v>0</v>
      </c>
      <c r="AX100">
        <v>0</v>
      </c>
      <c r="AY100">
        <v>44.875</v>
      </c>
      <c r="AZ100">
        <v>4.5</v>
      </c>
      <c r="BA100">
        <v>0</v>
      </c>
      <c r="BB100">
        <v>0</v>
      </c>
      <c r="BC100">
        <v>45</v>
      </c>
      <c r="BN100">
        <v>171.2</v>
      </c>
      <c r="BO100">
        <v>3540</v>
      </c>
      <c r="BP100">
        <v>0</v>
      </c>
      <c r="BQ100">
        <v>47</v>
      </c>
      <c r="BR100">
        <v>47</v>
      </c>
      <c r="BS100">
        <v>47.47</v>
      </c>
      <c r="BT100">
        <v>0</v>
      </c>
      <c r="BV100">
        <v>0</v>
      </c>
      <c r="BW100" t="s">
        <v>655</v>
      </c>
      <c r="BX100">
        <v>0.17</v>
      </c>
      <c r="BY100">
        <v>8.0699009999999998</v>
      </c>
      <c r="BZ100">
        <v>0</v>
      </c>
      <c r="CA100">
        <v>1</v>
      </c>
      <c r="CB100">
        <v>0.6</v>
      </c>
      <c r="CC100" s="3">
        <v>7.1269159999999998E-2</v>
      </c>
      <c r="CD100">
        <v>2.875</v>
      </c>
      <c r="CE100">
        <v>2.5</v>
      </c>
      <c r="CF100">
        <v>18</v>
      </c>
      <c r="CG100">
        <v>6</v>
      </c>
      <c r="CH100">
        <v>0</v>
      </c>
      <c r="CI100">
        <v>47.47</v>
      </c>
      <c r="CJ100">
        <v>336.62310000000002</v>
      </c>
    </row>
    <row r="101" spans="1:88">
      <c r="A101">
        <v>99</v>
      </c>
      <c r="B101" t="s">
        <v>0</v>
      </c>
      <c r="C101" t="s">
        <v>1</v>
      </c>
      <c r="D101" t="s">
        <v>224</v>
      </c>
      <c r="E101" t="s">
        <v>139</v>
      </c>
      <c r="F101" t="s">
        <v>355</v>
      </c>
      <c r="G101" t="s">
        <v>106</v>
      </c>
      <c r="H101" t="s">
        <v>356</v>
      </c>
      <c r="J101">
        <v>2</v>
      </c>
      <c r="K101" t="s">
        <v>146</v>
      </c>
      <c r="L101" t="s">
        <v>158</v>
      </c>
      <c r="M101" t="s">
        <v>385</v>
      </c>
      <c r="N101" t="s">
        <v>177</v>
      </c>
      <c r="O101">
        <v>109</v>
      </c>
      <c r="Q101">
        <v>221</v>
      </c>
      <c r="R101">
        <v>46</v>
      </c>
      <c r="S101">
        <v>4.25</v>
      </c>
      <c r="T101">
        <v>3.024</v>
      </c>
      <c r="U101">
        <v>6.11</v>
      </c>
      <c r="V101">
        <v>939.2</v>
      </c>
      <c r="W101">
        <v>281</v>
      </c>
      <c r="X101">
        <v>1.3332999999999999</v>
      </c>
      <c r="Y101">
        <v>216</v>
      </c>
      <c r="Z101">
        <v>4.3499999999999996</v>
      </c>
      <c r="AJ101">
        <v>2</v>
      </c>
      <c r="AK101">
        <v>18</v>
      </c>
      <c r="AM101">
        <v>0</v>
      </c>
      <c r="AO101" t="s">
        <v>333</v>
      </c>
      <c r="AT101">
        <v>43</v>
      </c>
      <c r="AV101">
        <v>25.9</v>
      </c>
      <c r="AW101">
        <v>0</v>
      </c>
      <c r="AX101">
        <v>0</v>
      </c>
      <c r="AY101">
        <v>29.875</v>
      </c>
      <c r="AZ101">
        <v>3.25</v>
      </c>
      <c r="BA101">
        <v>0</v>
      </c>
      <c r="BB101">
        <v>0</v>
      </c>
      <c r="BC101">
        <v>26</v>
      </c>
      <c r="BN101">
        <v>121.2667</v>
      </c>
      <c r="BO101">
        <v>7056</v>
      </c>
      <c r="BP101">
        <v>0</v>
      </c>
      <c r="BQ101">
        <v>37</v>
      </c>
      <c r="BR101">
        <v>37</v>
      </c>
      <c r="BS101">
        <v>37.04</v>
      </c>
      <c r="BT101">
        <v>0</v>
      </c>
      <c r="BV101">
        <v>0</v>
      </c>
      <c r="BW101" t="s">
        <v>655</v>
      </c>
      <c r="BX101">
        <v>0.17</v>
      </c>
      <c r="BY101">
        <v>6.2968000000000002</v>
      </c>
      <c r="BZ101">
        <v>0</v>
      </c>
      <c r="CA101">
        <v>1</v>
      </c>
      <c r="CB101">
        <v>0.6</v>
      </c>
      <c r="CC101" s="3">
        <v>7.1269159999999998E-2</v>
      </c>
      <c r="CD101">
        <v>2.875</v>
      </c>
      <c r="CE101">
        <v>2.5</v>
      </c>
      <c r="CF101">
        <v>18</v>
      </c>
      <c r="CG101">
        <v>6</v>
      </c>
      <c r="CH101">
        <v>0</v>
      </c>
      <c r="CI101">
        <v>37.04</v>
      </c>
      <c r="CJ101">
        <v>188.74639999999999</v>
      </c>
    </row>
    <row r="102" spans="1:88">
      <c r="A102">
        <v>100</v>
      </c>
      <c r="B102" t="s">
        <v>0</v>
      </c>
      <c r="C102" t="s">
        <v>1</v>
      </c>
      <c r="D102" t="s">
        <v>123</v>
      </c>
      <c r="E102" t="s">
        <v>150</v>
      </c>
      <c r="F102" t="s">
        <v>118</v>
      </c>
      <c r="G102" t="s">
        <v>106</v>
      </c>
      <c r="H102" t="s">
        <v>386</v>
      </c>
      <c r="J102">
        <v>2</v>
      </c>
      <c r="K102" t="s">
        <v>108</v>
      </c>
      <c r="L102" t="s">
        <v>96</v>
      </c>
      <c r="M102" t="s">
        <v>159</v>
      </c>
      <c r="N102" t="s">
        <v>130</v>
      </c>
      <c r="O102">
        <v>111</v>
      </c>
      <c r="Q102">
        <v>543</v>
      </c>
      <c r="R102">
        <v>111</v>
      </c>
      <c r="S102">
        <v>4.25</v>
      </c>
      <c r="T102">
        <v>3.0760000000000001</v>
      </c>
      <c r="U102">
        <v>6.14</v>
      </c>
      <c r="V102">
        <v>2308.4699999999998</v>
      </c>
      <c r="W102">
        <v>681</v>
      </c>
      <c r="X102">
        <v>1.3332999999999999</v>
      </c>
      <c r="Y102">
        <v>525</v>
      </c>
      <c r="Z102">
        <v>4.4000000000000004</v>
      </c>
      <c r="AJ102">
        <v>2</v>
      </c>
      <c r="AK102">
        <v>18</v>
      </c>
      <c r="AM102">
        <v>0</v>
      </c>
      <c r="AO102" t="s">
        <v>357</v>
      </c>
      <c r="AT102">
        <v>44</v>
      </c>
      <c r="AV102">
        <v>63.8</v>
      </c>
      <c r="AW102">
        <v>0.46875</v>
      </c>
      <c r="AX102">
        <v>3.75</v>
      </c>
      <c r="AY102">
        <v>45.25</v>
      </c>
      <c r="AZ102">
        <v>4.125</v>
      </c>
      <c r="BA102">
        <v>447.91</v>
      </c>
      <c r="BB102">
        <v>4.4000000000000004</v>
      </c>
      <c r="BC102">
        <v>49</v>
      </c>
      <c r="BD102">
        <v>0.25</v>
      </c>
      <c r="BE102">
        <v>2.75</v>
      </c>
      <c r="BF102">
        <v>15</v>
      </c>
      <c r="BG102">
        <v>2.25</v>
      </c>
      <c r="BH102">
        <v>76.739999999999995</v>
      </c>
      <c r="BI102">
        <v>4.46</v>
      </c>
      <c r="BJ102">
        <v>7</v>
      </c>
      <c r="BL102">
        <v>524.65</v>
      </c>
      <c r="BM102">
        <v>55</v>
      </c>
      <c r="BN102">
        <v>306.73340000000002</v>
      </c>
      <c r="BO102">
        <v>1103</v>
      </c>
      <c r="BP102">
        <v>0</v>
      </c>
      <c r="BQ102">
        <v>38</v>
      </c>
      <c r="BR102">
        <v>38</v>
      </c>
      <c r="BS102">
        <v>37.729999999999997</v>
      </c>
      <c r="BT102">
        <v>0</v>
      </c>
      <c r="BV102">
        <v>0</v>
      </c>
      <c r="BW102" t="s">
        <v>655</v>
      </c>
      <c r="BX102">
        <v>0.17</v>
      </c>
      <c r="BY102">
        <v>6.4141000000000004</v>
      </c>
      <c r="BZ102">
        <v>0</v>
      </c>
      <c r="CA102">
        <v>1</v>
      </c>
      <c r="CB102">
        <v>0.6</v>
      </c>
      <c r="CC102" s="3">
        <v>7.1269159999999998E-2</v>
      </c>
      <c r="CD102">
        <v>2.875</v>
      </c>
      <c r="CE102">
        <v>2.5</v>
      </c>
      <c r="CF102">
        <v>18</v>
      </c>
      <c r="CG102">
        <v>6</v>
      </c>
      <c r="CH102">
        <v>0</v>
      </c>
      <c r="CI102">
        <v>37.729999999999997</v>
      </c>
      <c r="CJ102">
        <v>472.92529999999999</v>
      </c>
    </row>
    <row r="103" spans="1:88">
      <c r="A103">
        <v>101</v>
      </c>
      <c r="B103" t="s">
        <v>0</v>
      </c>
      <c r="C103" t="s">
        <v>1</v>
      </c>
      <c r="D103" t="s">
        <v>12</v>
      </c>
      <c r="E103" t="s">
        <v>272</v>
      </c>
      <c r="F103" t="s">
        <v>387</v>
      </c>
      <c r="G103" t="s">
        <v>15</v>
      </c>
      <c r="H103" t="s">
        <v>388</v>
      </c>
      <c r="J103">
        <v>2</v>
      </c>
      <c r="K103" t="s">
        <v>108</v>
      </c>
      <c r="L103" t="s">
        <v>255</v>
      </c>
      <c r="M103" t="s">
        <v>269</v>
      </c>
      <c r="N103" t="s">
        <v>353</v>
      </c>
      <c r="O103">
        <v>160</v>
      </c>
      <c r="Q103">
        <v>858</v>
      </c>
      <c r="R103">
        <v>125</v>
      </c>
      <c r="S103">
        <v>4.25</v>
      </c>
      <c r="T103">
        <v>4.2839999999999998</v>
      </c>
      <c r="U103">
        <v>6.75</v>
      </c>
      <c r="V103">
        <v>3646.16</v>
      </c>
      <c r="W103">
        <v>847</v>
      </c>
      <c r="X103">
        <v>1.3332999999999999</v>
      </c>
      <c r="Y103">
        <v>650</v>
      </c>
      <c r="Z103">
        <v>5.61</v>
      </c>
      <c r="AJ103">
        <v>2</v>
      </c>
      <c r="AK103">
        <v>18</v>
      </c>
      <c r="AM103">
        <v>0</v>
      </c>
      <c r="AO103" t="s">
        <v>389</v>
      </c>
      <c r="AT103">
        <v>61</v>
      </c>
      <c r="AV103">
        <v>72.099999999999994</v>
      </c>
      <c r="AW103" t="s">
        <v>6</v>
      </c>
      <c r="AX103" t="s">
        <v>6</v>
      </c>
      <c r="AY103" t="s">
        <v>6</v>
      </c>
      <c r="AZ103" t="s">
        <v>6</v>
      </c>
      <c r="BA103" t="s">
        <v>6</v>
      </c>
      <c r="BB103" t="s">
        <v>6</v>
      </c>
      <c r="BC103" t="s">
        <v>6</v>
      </c>
      <c r="BD103" t="s">
        <v>6</v>
      </c>
      <c r="BE103" t="s">
        <v>6</v>
      </c>
      <c r="BF103" t="s">
        <v>6</v>
      </c>
      <c r="BG103" t="s">
        <v>6</v>
      </c>
      <c r="BH103" t="s">
        <v>6</v>
      </c>
      <c r="BI103" t="s">
        <v>6</v>
      </c>
      <c r="BJ103" t="s">
        <v>6</v>
      </c>
      <c r="BN103">
        <v>615.62959999999998</v>
      </c>
      <c r="BO103">
        <v>2886</v>
      </c>
      <c r="BP103">
        <v>0</v>
      </c>
      <c r="BQ103">
        <v>55</v>
      </c>
      <c r="BR103">
        <v>55</v>
      </c>
      <c r="BS103">
        <v>54.78</v>
      </c>
      <c r="BT103">
        <v>0</v>
      </c>
      <c r="BV103">
        <v>0</v>
      </c>
      <c r="BW103" t="s">
        <v>655</v>
      </c>
      <c r="BX103">
        <v>0.17</v>
      </c>
      <c r="BY103">
        <v>9.3125999999999998</v>
      </c>
      <c r="BZ103">
        <v>0</v>
      </c>
      <c r="CA103">
        <v>1</v>
      </c>
      <c r="CB103">
        <v>0.6</v>
      </c>
      <c r="CC103" s="3">
        <v>7.1269159999999998E-2</v>
      </c>
      <c r="CD103">
        <v>2.875</v>
      </c>
      <c r="CE103">
        <v>2.5</v>
      </c>
      <c r="CF103">
        <v>18</v>
      </c>
      <c r="CG103">
        <v>6</v>
      </c>
      <c r="CH103">
        <v>0</v>
      </c>
      <c r="CI103">
        <v>54.78</v>
      </c>
      <c r="CJ103">
        <v>776.43269999999995</v>
      </c>
    </row>
    <row r="104" spans="1:88">
      <c r="A104">
        <v>102</v>
      </c>
      <c r="B104" t="s">
        <v>0</v>
      </c>
      <c r="C104" t="s">
        <v>1</v>
      </c>
      <c r="D104" t="s">
        <v>293</v>
      </c>
      <c r="E104" t="s">
        <v>113</v>
      </c>
      <c r="F104" t="s">
        <v>294</v>
      </c>
      <c r="G104" t="s">
        <v>106</v>
      </c>
      <c r="H104" t="s">
        <v>295</v>
      </c>
      <c r="J104">
        <v>2</v>
      </c>
      <c r="K104" t="s">
        <v>146</v>
      </c>
      <c r="L104" t="s">
        <v>116</v>
      </c>
      <c r="M104" t="s">
        <v>117</v>
      </c>
      <c r="N104" t="s">
        <v>14</v>
      </c>
      <c r="O104">
        <v>179</v>
      </c>
      <c r="Q104">
        <v>690</v>
      </c>
      <c r="R104">
        <v>92</v>
      </c>
      <c r="S104">
        <v>4.25</v>
      </c>
      <c r="T104">
        <v>4.7190000000000003</v>
      </c>
      <c r="U104">
        <v>7.05</v>
      </c>
      <c r="V104">
        <v>2933.98</v>
      </c>
      <c r="W104">
        <v>651</v>
      </c>
      <c r="X104">
        <v>1.3332999999999999</v>
      </c>
      <c r="Y104">
        <v>485</v>
      </c>
      <c r="Z104">
        <v>6.05</v>
      </c>
      <c r="AJ104">
        <v>2</v>
      </c>
      <c r="AK104">
        <v>18</v>
      </c>
      <c r="AM104">
        <v>0</v>
      </c>
      <c r="AO104" t="s">
        <v>296</v>
      </c>
      <c r="AT104">
        <v>68</v>
      </c>
      <c r="AV104">
        <v>52</v>
      </c>
      <c r="AW104">
        <v>0.4375</v>
      </c>
      <c r="AX104">
        <v>3.75</v>
      </c>
      <c r="AY104">
        <v>53.375</v>
      </c>
      <c r="AZ104">
        <v>5.25</v>
      </c>
      <c r="BA104">
        <v>266.72000000000003</v>
      </c>
      <c r="BB104">
        <v>6.16</v>
      </c>
      <c r="BC104">
        <v>54</v>
      </c>
      <c r="BD104">
        <v>0.40625</v>
      </c>
      <c r="BE104">
        <v>3.75</v>
      </c>
      <c r="BF104">
        <v>44.625</v>
      </c>
      <c r="BG104">
        <v>4.875</v>
      </c>
      <c r="BH104">
        <v>218.23</v>
      </c>
      <c r="BI104">
        <v>6.06</v>
      </c>
      <c r="BJ104">
        <v>42</v>
      </c>
      <c r="BL104">
        <v>484.95</v>
      </c>
      <c r="BM104">
        <v>96</v>
      </c>
      <c r="BN104">
        <v>249.66669999999999</v>
      </c>
      <c r="BO104">
        <v>1665</v>
      </c>
      <c r="BP104">
        <v>0</v>
      </c>
      <c r="BQ104">
        <v>61</v>
      </c>
      <c r="BR104">
        <v>61</v>
      </c>
      <c r="BS104">
        <v>61.39</v>
      </c>
      <c r="BT104">
        <v>0</v>
      </c>
      <c r="BV104">
        <v>0</v>
      </c>
      <c r="BW104" t="s">
        <v>655</v>
      </c>
      <c r="BX104">
        <v>0.17</v>
      </c>
      <c r="BY104">
        <v>10.436299999999999</v>
      </c>
      <c r="BZ104">
        <v>0</v>
      </c>
      <c r="CA104">
        <v>1</v>
      </c>
      <c r="CB104">
        <v>0.6</v>
      </c>
      <c r="CC104" s="3">
        <v>7.1269159999999998E-2</v>
      </c>
      <c r="CD104">
        <v>2.875</v>
      </c>
      <c r="CE104">
        <v>2.5</v>
      </c>
      <c r="CF104">
        <v>18</v>
      </c>
      <c r="CG104">
        <v>6</v>
      </c>
      <c r="CH104">
        <v>0</v>
      </c>
      <c r="CI104">
        <v>61.39</v>
      </c>
      <c r="CJ104">
        <v>627.84310000000005</v>
      </c>
    </row>
    <row r="105" spans="1:88">
      <c r="A105">
        <v>103</v>
      </c>
      <c r="B105" t="s">
        <v>0</v>
      </c>
      <c r="C105" t="s">
        <v>1</v>
      </c>
      <c r="D105" t="s">
        <v>197</v>
      </c>
      <c r="E105" t="s">
        <v>96</v>
      </c>
      <c r="F105" t="s">
        <v>390</v>
      </c>
      <c r="G105" t="s">
        <v>106</v>
      </c>
      <c r="H105" t="s">
        <v>391</v>
      </c>
      <c r="J105">
        <v>2</v>
      </c>
      <c r="K105" t="s">
        <v>108</v>
      </c>
      <c r="L105" t="s">
        <v>293</v>
      </c>
      <c r="M105" t="s">
        <v>100</v>
      </c>
      <c r="N105" t="s">
        <v>101</v>
      </c>
      <c r="O105">
        <v>131</v>
      </c>
      <c r="Q105">
        <v>596</v>
      </c>
      <c r="R105">
        <v>105</v>
      </c>
      <c r="S105">
        <v>4.25</v>
      </c>
      <c r="T105">
        <v>3.5859999999999999</v>
      </c>
      <c r="U105">
        <v>6.37</v>
      </c>
      <c r="V105">
        <v>2533.5100000000002</v>
      </c>
      <c r="W105">
        <v>670</v>
      </c>
      <c r="X105">
        <v>1.3332999999999999</v>
      </c>
      <c r="Y105">
        <v>516</v>
      </c>
      <c r="Z105">
        <v>4.91</v>
      </c>
      <c r="AJ105">
        <v>2</v>
      </c>
      <c r="AK105">
        <v>18</v>
      </c>
      <c r="AM105">
        <v>0</v>
      </c>
      <c r="AO105" t="s">
        <v>392</v>
      </c>
      <c r="AT105">
        <v>51</v>
      </c>
      <c r="AV105">
        <v>60.2</v>
      </c>
      <c r="AW105">
        <v>0.46875</v>
      </c>
      <c r="AX105">
        <v>3.75</v>
      </c>
      <c r="AY105">
        <v>50.5</v>
      </c>
      <c r="AZ105">
        <v>4.625</v>
      </c>
      <c r="BA105">
        <v>401.38</v>
      </c>
      <c r="BB105">
        <v>4.91</v>
      </c>
      <c r="BC105">
        <v>54</v>
      </c>
      <c r="BD105">
        <v>0.3125</v>
      </c>
      <c r="BE105">
        <v>2.75</v>
      </c>
      <c r="BF105">
        <v>31.375</v>
      </c>
      <c r="BG105">
        <v>3</v>
      </c>
      <c r="BH105">
        <v>114.59</v>
      </c>
      <c r="BI105">
        <v>5.57</v>
      </c>
      <c r="BJ105">
        <v>17</v>
      </c>
      <c r="BL105">
        <v>515.97</v>
      </c>
      <c r="BM105">
        <v>70</v>
      </c>
      <c r="BN105">
        <v>288.90010000000001</v>
      </c>
      <c r="BO105">
        <v>1243</v>
      </c>
      <c r="BP105">
        <v>0</v>
      </c>
      <c r="BQ105">
        <v>45</v>
      </c>
      <c r="BR105">
        <v>45</v>
      </c>
      <c r="BS105">
        <v>44.69</v>
      </c>
      <c r="BT105">
        <v>0</v>
      </c>
      <c r="BV105">
        <v>0</v>
      </c>
      <c r="BW105" t="s">
        <v>655</v>
      </c>
      <c r="BX105">
        <v>0.17</v>
      </c>
      <c r="BY105">
        <v>7.5972999999999997</v>
      </c>
      <c r="BZ105">
        <v>0</v>
      </c>
      <c r="CA105">
        <v>1</v>
      </c>
      <c r="CB105">
        <v>0.6</v>
      </c>
      <c r="CC105" s="3">
        <v>7.1269159999999998E-2</v>
      </c>
      <c r="CD105">
        <v>2.875</v>
      </c>
      <c r="CE105">
        <v>2.5</v>
      </c>
      <c r="CF105">
        <v>18</v>
      </c>
      <c r="CG105">
        <v>6</v>
      </c>
      <c r="CH105">
        <v>0</v>
      </c>
      <c r="CI105">
        <v>44.69</v>
      </c>
      <c r="CJ105">
        <v>528.31500000000005</v>
      </c>
    </row>
    <row r="106" spans="1:88">
      <c r="A106">
        <v>104</v>
      </c>
      <c r="B106" t="s">
        <v>0</v>
      </c>
      <c r="C106" t="s">
        <v>1</v>
      </c>
      <c r="D106" t="s">
        <v>393</v>
      </c>
      <c r="E106" t="s">
        <v>113</v>
      </c>
      <c r="F106" t="s">
        <v>394</v>
      </c>
      <c r="G106" t="s">
        <v>106</v>
      </c>
      <c r="H106" t="s">
        <v>395</v>
      </c>
      <c r="J106">
        <v>2</v>
      </c>
      <c r="K106" t="s">
        <v>108</v>
      </c>
      <c r="L106" t="s">
        <v>116</v>
      </c>
      <c r="M106" t="s">
        <v>117</v>
      </c>
      <c r="N106" t="s">
        <v>14</v>
      </c>
      <c r="O106">
        <v>179</v>
      </c>
      <c r="Q106">
        <v>777</v>
      </c>
      <c r="R106">
        <v>103</v>
      </c>
      <c r="S106">
        <v>4.25</v>
      </c>
      <c r="T106">
        <v>4.7190000000000003</v>
      </c>
      <c r="U106">
        <v>7.05</v>
      </c>
      <c r="V106">
        <v>3304.03</v>
      </c>
      <c r="W106">
        <v>725</v>
      </c>
      <c r="X106">
        <v>1.3332999999999999</v>
      </c>
      <c r="Y106">
        <v>546</v>
      </c>
      <c r="Z106">
        <v>6.05</v>
      </c>
      <c r="AJ106">
        <v>2</v>
      </c>
      <c r="AK106">
        <v>18</v>
      </c>
      <c r="AM106">
        <v>0</v>
      </c>
      <c r="AO106" t="s">
        <v>105</v>
      </c>
      <c r="AT106">
        <v>68</v>
      </c>
      <c r="AV106">
        <v>58.7</v>
      </c>
      <c r="AW106">
        <v>0.4375</v>
      </c>
      <c r="AX106">
        <v>3.75</v>
      </c>
      <c r="AY106">
        <v>52.125</v>
      </c>
      <c r="AZ106">
        <v>5.25</v>
      </c>
      <c r="BA106">
        <v>273.06</v>
      </c>
      <c r="BB106">
        <v>6.02</v>
      </c>
      <c r="BC106">
        <v>53</v>
      </c>
      <c r="BD106">
        <v>0.4375</v>
      </c>
      <c r="BE106">
        <v>3.75</v>
      </c>
      <c r="BF106">
        <v>52.125</v>
      </c>
      <c r="BG106">
        <v>5.25</v>
      </c>
      <c r="BH106">
        <v>273.06</v>
      </c>
      <c r="BI106">
        <v>6.02</v>
      </c>
      <c r="BJ106">
        <v>53</v>
      </c>
      <c r="BL106">
        <v>546.12</v>
      </c>
      <c r="BM106">
        <v>105</v>
      </c>
      <c r="BN106">
        <v>281.76670000000001</v>
      </c>
      <c r="BO106">
        <v>1307</v>
      </c>
      <c r="BP106">
        <v>0</v>
      </c>
      <c r="BQ106">
        <v>61</v>
      </c>
      <c r="BR106">
        <v>61</v>
      </c>
      <c r="BS106">
        <v>61.39</v>
      </c>
      <c r="BT106">
        <v>0</v>
      </c>
      <c r="BV106">
        <v>0</v>
      </c>
      <c r="BW106" t="s">
        <v>655</v>
      </c>
      <c r="BX106">
        <v>0.17</v>
      </c>
      <c r="BY106">
        <v>10.436299999999999</v>
      </c>
      <c r="BZ106">
        <v>0</v>
      </c>
      <c r="CA106">
        <v>1</v>
      </c>
      <c r="CB106">
        <v>0.6</v>
      </c>
      <c r="CC106" s="3">
        <v>7.1269159999999998E-2</v>
      </c>
      <c r="CD106">
        <v>2.875</v>
      </c>
      <c r="CE106">
        <v>2.5</v>
      </c>
      <c r="CF106">
        <v>18</v>
      </c>
      <c r="CG106">
        <v>6</v>
      </c>
      <c r="CH106">
        <v>0</v>
      </c>
      <c r="CI106">
        <v>61.39</v>
      </c>
      <c r="CJ106">
        <v>708.23770000000002</v>
      </c>
    </row>
    <row r="107" spans="1:88">
      <c r="A107">
        <v>105</v>
      </c>
      <c r="B107" t="s">
        <v>13</v>
      </c>
      <c r="C107" t="s">
        <v>1</v>
      </c>
      <c r="D107" t="s">
        <v>143</v>
      </c>
      <c r="E107" t="s">
        <v>208</v>
      </c>
      <c r="F107" t="s">
        <v>144</v>
      </c>
      <c r="G107" t="s">
        <v>106</v>
      </c>
      <c r="H107" t="s">
        <v>145</v>
      </c>
      <c r="J107">
        <v>2</v>
      </c>
      <c r="K107" t="s">
        <v>146</v>
      </c>
      <c r="L107" t="s">
        <v>95</v>
      </c>
      <c r="M107" t="s">
        <v>396</v>
      </c>
      <c r="N107" t="s">
        <v>397</v>
      </c>
      <c r="O107">
        <v>209</v>
      </c>
      <c r="Q107">
        <v>821</v>
      </c>
      <c r="R107">
        <v>102</v>
      </c>
      <c r="S107">
        <v>4.25</v>
      </c>
      <c r="T107">
        <v>5.375</v>
      </c>
      <c r="U107">
        <v>7.42</v>
      </c>
      <c r="V107">
        <v>3488.1</v>
      </c>
      <c r="W107">
        <v>753</v>
      </c>
      <c r="X107">
        <v>1.5</v>
      </c>
      <c r="Y107">
        <v>508</v>
      </c>
      <c r="Z107">
        <v>6.87</v>
      </c>
      <c r="AJ107">
        <v>2</v>
      </c>
      <c r="AK107">
        <v>18</v>
      </c>
      <c r="AM107">
        <v>0</v>
      </c>
      <c r="AO107" t="s">
        <v>149</v>
      </c>
      <c r="AT107">
        <v>78</v>
      </c>
      <c r="AV107">
        <v>53.5</v>
      </c>
      <c r="AW107">
        <v>0.46875</v>
      </c>
      <c r="AX107">
        <v>3.75</v>
      </c>
      <c r="AY107">
        <v>72.625</v>
      </c>
      <c r="AZ107">
        <v>6.5</v>
      </c>
      <c r="BA107">
        <v>279.24</v>
      </c>
      <c r="BB107">
        <v>7.05</v>
      </c>
      <c r="BC107">
        <v>78</v>
      </c>
      <c r="BD107">
        <v>0.4375</v>
      </c>
      <c r="BE107">
        <v>3.75</v>
      </c>
      <c r="BF107">
        <v>62.25</v>
      </c>
      <c r="BG107">
        <v>6</v>
      </c>
      <c r="BH107">
        <v>228.48</v>
      </c>
      <c r="BI107">
        <v>7.2</v>
      </c>
      <c r="BJ107">
        <v>63</v>
      </c>
      <c r="BL107">
        <v>507.72</v>
      </c>
      <c r="BM107">
        <v>140</v>
      </c>
      <c r="BN107">
        <v>256.80009999999999</v>
      </c>
      <c r="BO107">
        <v>1574</v>
      </c>
      <c r="BP107">
        <v>0</v>
      </c>
      <c r="BQ107">
        <v>72</v>
      </c>
      <c r="BR107">
        <v>72</v>
      </c>
      <c r="BS107">
        <v>71.819999999999993</v>
      </c>
      <c r="BT107">
        <v>0</v>
      </c>
      <c r="BV107">
        <v>0</v>
      </c>
      <c r="BW107" t="s">
        <v>655</v>
      </c>
      <c r="BX107">
        <v>0.17</v>
      </c>
      <c r="BY107">
        <v>12.2094</v>
      </c>
      <c r="BZ107">
        <v>0</v>
      </c>
      <c r="CA107">
        <v>1</v>
      </c>
      <c r="CB107">
        <v>0.6</v>
      </c>
      <c r="CC107" s="3">
        <v>7.1269159999999998E-2</v>
      </c>
      <c r="CD107">
        <v>2.875</v>
      </c>
      <c r="CE107">
        <v>2.5</v>
      </c>
      <c r="CF107">
        <v>18</v>
      </c>
      <c r="CG107">
        <v>6</v>
      </c>
      <c r="CH107">
        <v>0</v>
      </c>
      <c r="CI107">
        <v>71.819999999999993</v>
      </c>
      <c r="CJ107">
        <v>754.98620000000005</v>
      </c>
    </row>
    <row r="108" spans="1:88">
      <c r="A108">
        <v>106</v>
      </c>
      <c r="B108" t="s">
        <v>0</v>
      </c>
      <c r="C108" t="s">
        <v>1</v>
      </c>
      <c r="D108" t="s">
        <v>366</v>
      </c>
      <c r="E108" t="s">
        <v>133</v>
      </c>
      <c r="F108" t="s">
        <v>379</v>
      </c>
      <c r="G108" t="s">
        <v>106</v>
      </c>
      <c r="H108" t="s">
        <v>228</v>
      </c>
      <c r="J108">
        <v>2</v>
      </c>
      <c r="K108" t="s">
        <v>146</v>
      </c>
      <c r="L108" t="s">
        <v>353</v>
      </c>
      <c r="M108" t="s">
        <v>194</v>
      </c>
      <c r="N108" t="s">
        <v>195</v>
      </c>
      <c r="O108">
        <v>143</v>
      </c>
      <c r="Q108">
        <v>376</v>
      </c>
      <c r="R108">
        <v>65</v>
      </c>
      <c r="S108">
        <v>4.25</v>
      </c>
      <c r="T108">
        <v>3.88</v>
      </c>
      <c r="U108">
        <v>6.6</v>
      </c>
      <c r="V108">
        <v>1595.91</v>
      </c>
      <c r="W108">
        <v>428</v>
      </c>
      <c r="X108">
        <v>1.5</v>
      </c>
      <c r="Y108">
        <v>297</v>
      </c>
      <c r="Z108">
        <v>5.38</v>
      </c>
      <c r="AJ108">
        <v>2</v>
      </c>
      <c r="AK108">
        <v>18</v>
      </c>
      <c r="AM108">
        <v>0</v>
      </c>
      <c r="AO108" t="s">
        <v>230</v>
      </c>
      <c r="AT108">
        <v>55</v>
      </c>
      <c r="AV108">
        <v>34.6</v>
      </c>
      <c r="AW108">
        <v>0</v>
      </c>
      <c r="AX108">
        <v>0</v>
      </c>
      <c r="AY108">
        <v>48</v>
      </c>
      <c r="AZ108">
        <v>4.75</v>
      </c>
      <c r="BA108">
        <v>0</v>
      </c>
      <c r="BB108">
        <v>0</v>
      </c>
      <c r="BC108">
        <v>49</v>
      </c>
      <c r="BN108">
        <v>164.0667</v>
      </c>
      <c r="BO108">
        <v>3855</v>
      </c>
      <c r="BP108">
        <v>0</v>
      </c>
      <c r="BQ108">
        <v>49</v>
      </c>
      <c r="BR108">
        <v>49</v>
      </c>
      <c r="BS108">
        <v>48.86</v>
      </c>
      <c r="BT108">
        <v>0</v>
      </c>
      <c r="BV108">
        <v>0</v>
      </c>
      <c r="BW108" t="s">
        <v>655</v>
      </c>
      <c r="BX108">
        <v>0.17</v>
      </c>
      <c r="BY108">
        <v>8.3062000000000005</v>
      </c>
      <c r="BZ108">
        <v>0</v>
      </c>
      <c r="CA108">
        <v>1</v>
      </c>
      <c r="CB108">
        <v>0.6</v>
      </c>
      <c r="CC108" s="3">
        <v>7.1269159999999998E-2</v>
      </c>
      <c r="CD108">
        <v>2.875</v>
      </c>
      <c r="CE108">
        <v>2.5</v>
      </c>
      <c r="CF108">
        <v>18</v>
      </c>
      <c r="CG108">
        <v>6</v>
      </c>
      <c r="CH108">
        <v>0</v>
      </c>
      <c r="CI108">
        <v>48.86</v>
      </c>
      <c r="CJ108">
        <v>332.55110000000002</v>
      </c>
    </row>
    <row r="109" spans="1:88">
      <c r="A109">
        <v>107</v>
      </c>
      <c r="B109" t="s">
        <v>13</v>
      </c>
      <c r="C109" t="s">
        <v>1</v>
      </c>
      <c r="D109" t="s">
        <v>341</v>
      </c>
      <c r="E109" t="s">
        <v>178</v>
      </c>
      <c r="F109" t="s">
        <v>343</v>
      </c>
      <c r="G109" t="s">
        <v>106</v>
      </c>
      <c r="H109" t="s">
        <v>344</v>
      </c>
      <c r="J109">
        <v>2</v>
      </c>
      <c r="K109" t="s">
        <v>146</v>
      </c>
      <c r="L109" t="s">
        <v>127</v>
      </c>
      <c r="M109" t="s">
        <v>179</v>
      </c>
      <c r="N109" t="s">
        <v>180</v>
      </c>
      <c r="O109">
        <v>95</v>
      </c>
      <c r="Q109">
        <v>206</v>
      </c>
      <c r="R109">
        <v>48</v>
      </c>
      <c r="S109">
        <v>4.25</v>
      </c>
      <c r="T109">
        <v>2.649</v>
      </c>
      <c r="U109">
        <v>5.81</v>
      </c>
      <c r="V109">
        <v>875.33</v>
      </c>
      <c r="W109">
        <v>281</v>
      </c>
      <c r="X109">
        <v>1.3332999999999999</v>
      </c>
      <c r="Y109">
        <v>220</v>
      </c>
      <c r="Z109">
        <v>3.98</v>
      </c>
      <c r="AJ109">
        <v>2</v>
      </c>
      <c r="AK109">
        <v>18</v>
      </c>
      <c r="AM109">
        <v>0</v>
      </c>
      <c r="AO109" t="s">
        <v>347</v>
      </c>
      <c r="AT109">
        <v>38</v>
      </c>
      <c r="AV109">
        <v>27.4</v>
      </c>
      <c r="AW109">
        <v>0</v>
      </c>
      <c r="AX109">
        <v>0</v>
      </c>
      <c r="AY109">
        <v>29.375</v>
      </c>
      <c r="AZ109">
        <v>3</v>
      </c>
      <c r="BA109">
        <v>0</v>
      </c>
      <c r="BB109">
        <v>0</v>
      </c>
      <c r="BC109">
        <v>26</v>
      </c>
      <c r="BN109">
        <v>128.4</v>
      </c>
      <c r="BO109">
        <v>6294</v>
      </c>
      <c r="BP109">
        <v>0</v>
      </c>
      <c r="BQ109">
        <v>32</v>
      </c>
      <c r="BR109">
        <v>32</v>
      </c>
      <c r="BS109">
        <v>32.17</v>
      </c>
      <c r="BT109">
        <v>0</v>
      </c>
      <c r="BV109">
        <v>0</v>
      </c>
      <c r="BW109" t="s">
        <v>655</v>
      </c>
      <c r="BX109">
        <v>0.17</v>
      </c>
      <c r="BY109">
        <v>5.4688999999999997</v>
      </c>
      <c r="BZ109">
        <v>0</v>
      </c>
      <c r="CA109">
        <v>1</v>
      </c>
      <c r="CB109">
        <v>0.6</v>
      </c>
      <c r="CC109" s="3">
        <v>7.1269159999999998E-2</v>
      </c>
      <c r="CD109">
        <v>2.875</v>
      </c>
      <c r="CE109">
        <v>2.5</v>
      </c>
      <c r="CF109">
        <v>18</v>
      </c>
      <c r="CG109">
        <v>6</v>
      </c>
      <c r="CH109">
        <v>0</v>
      </c>
      <c r="CI109">
        <v>32.17</v>
      </c>
      <c r="CJ109">
        <v>173.101</v>
      </c>
    </row>
    <row r="110" spans="1:88">
      <c r="A110">
        <v>108</v>
      </c>
      <c r="B110" t="s">
        <v>13</v>
      </c>
      <c r="C110" t="s">
        <v>1</v>
      </c>
      <c r="D110" t="s">
        <v>133</v>
      </c>
      <c r="E110" t="s">
        <v>2</v>
      </c>
      <c r="F110" t="s">
        <v>298</v>
      </c>
      <c r="G110" t="s">
        <v>106</v>
      </c>
      <c r="H110" t="s">
        <v>257</v>
      </c>
      <c r="J110">
        <v>2</v>
      </c>
      <c r="K110" t="s">
        <v>146</v>
      </c>
      <c r="L110" t="s">
        <v>122</v>
      </c>
      <c r="M110" t="s">
        <v>4</v>
      </c>
      <c r="N110" t="s">
        <v>5</v>
      </c>
      <c r="O110">
        <v>107</v>
      </c>
      <c r="Q110">
        <v>406</v>
      </c>
      <c r="R110">
        <v>88</v>
      </c>
      <c r="S110">
        <v>4.25</v>
      </c>
      <c r="T110">
        <v>2.9710000000000001</v>
      </c>
      <c r="U110">
        <v>6.07</v>
      </c>
      <c r="V110">
        <v>1726.73</v>
      </c>
      <c r="W110">
        <v>533</v>
      </c>
      <c r="X110">
        <v>1.3332999999999999</v>
      </c>
      <c r="Y110">
        <v>402</v>
      </c>
      <c r="Z110">
        <v>4.3</v>
      </c>
      <c r="AJ110">
        <v>2</v>
      </c>
      <c r="AK110">
        <v>18</v>
      </c>
      <c r="AM110">
        <v>0</v>
      </c>
      <c r="AO110" t="s">
        <v>301</v>
      </c>
      <c r="AT110">
        <v>42</v>
      </c>
      <c r="AV110">
        <v>49.1</v>
      </c>
      <c r="AW110">
        <v>0</v>
      </c>
      <c r="AX110">
        <v>0</v>
      </c>
      <c r="AY110">
        <v>50.5</v>
      </c>
      <c r="AZ110">
        <v>4</v>
      </c>
      <c r="BA110">
        <v>0</v>
      </c>
      <c r="BB110">
        <v>0</v>
      </c>
      <c r="BC110">
        <v>54</v>
      </c>
      <c r="BN110">
        <v>235.40010000000001</v>
      </c>
      <c r="BO110">
        <v>1873</v>
      </c>
      <c r="BP110">
        <v>0</v>
      </c>
      <c r="BQ110">
        <v>36</v>
      </c>
      <c r="BR110">
        <v>36</v>
      </c>
      <c r="BS110">
        <v>36.340000000000003</v>
      </c>
      <c r="BT110">
        <v>0</v>
      </c>
      <c r="BV110">
        <v>0</v>
      </c>
      <c r="BW110" t="s">
        <v>655</v>
      </c>
      <c r="BX110">
        <v>0.17</v>
      </c>
      <c r="BY110">
        <v>6.1778000000000004</v>
      </c>
      <c r="BZ110">
        <v>0</v>
      </c>
      <c r="CA110">
        <v>1</v>
      </c>
      <c r="CB110">
        <v>0.6</v>
      </c>
      <c r="CC110" s="3">
        <v>7.1269159999999998E-2</v>
      </c>
      <c r="CD110">
        <v>2.875</v>
      </c>
      <c r="CE110">
        <v>2.5</v>
      </c>
      <c r="CF110">
        <v>18</v>
      </c>
      <c r="CG110">
        <v>6</v>
      </c>
      <c r="CH110">
        <v>0</v>
      </c>
      <c r="CI110">
        <v>36.340000000000003</v>
      </c>
      <c r="CJ110">
        <v>350.93430000000001</v>
      </c>
    </row>
    <row r="111" spans="1:88">
      <c r="A111">
        <v>109</v>
      </c>
      <c r="B111" t="s">
        <v>0</v>
      </c>
      <c r="C111" t="s">
        <v>1</v>
      </c>
      <c r="D111" t="s">
        <v>104</v>
      </c>
      <c r="E111" t="s">
        <v>317</v>
      </c>
      <c r="F111" t="s">
        <v>337</v>
      </c>
      <c r="G111" t="s">
        <v>106</v>
      </c>
      <c r="H111" t="s">
        <v>398</v>
      </c>
      <c r="J111">
        <v>2</v>
      </c>
      <c r="K111" t="s">
        <v>108</v>
      </c>
      <c r="L111" t="s">
        <v>169</v>
      </c>
      <c r="M111" t="s">
        <v>400</v>
      </c>
      <c r="N111" t="s">
        <v>228</v>
      </c>
      <c r="O111">
        <v>99</v>
      </c>
      <c r="Q111">
        <v>512</v>
      </c>
      <c r="R111">
        <v>116</v>
      </c>
      <c r="S111">
        <v>4.25</v>
      </c>
      <c r="T111">
        <v>2.758</v>
      </c>
      <c r="U111">
        <v>5.88</v>
      </c>
      <c r="V111">
        <v>2176.9699999999998</v>
      </c>
      <c r="W111">
        <v>682</v>
      </c>
      <c r="X111">
        <v>1.3332999999999999</v>
      </c>
      <c r="Y111">
        <v>532</v>
      </c>
      <c r="Z111">
        <v>4.09</v>
      </c>
      <c r="AJ111">
        <v>2</v>
      </c>
      <c r="AK111">
        <v>18</v>
      </c>
      <c r="AM111">
        <v>0</v>
      </c>
      <c r="AO111" t="s">
        <v>170</v>
      </c>
      <c r="AT111">
        <v>40</v>
      </c>
      <c r="AV111">
        <v>66.7</v>
      </c>
      <c r="AW111">
        <v>0.46875</v>
      </c>
      <c r="AX111">
        <v>3.75</v>
      </c>
      <c r="AY111">
        <v>42.125</v>
      </c>
      <c r="AZ111">
        <v>3.875</v>
      </c>
      <c r="BA111">
        <v>481.86</v>
      </c>
      <c r="BB111">
        <v>4.09</v>
      </c>
      <c r="BC111">
        <v>45</v>
      </c>
      <c r="BD111">
        <v>0.25</v>
      </c>
      <c r="BE111">
        <v>2.75</v>
      </c>
      <c r="BF111">
        <v>22.75</v>
      </c>
      <c r="BG111">
        <v>2</v>
      </c>
      <c r="BH111">
        <v>50.4</v>
      </c>
      <c r="BI111">
        <v>6.81</v>
      </c>
      <c r="BJ111">
        <v>10</v>
      </c>
      <c r="BL111">
        <v>532.26</v>
      </c>
      <c r="BM111">
        <v>55</v>
      </c>
      <c r="BN111">
        <v>321.00009999999997</v>
      </c>
      <c r="BO111">
        <v>1007</v>
      </c>
      <c r="BP111">
        <v>0</v>
      </c>
      <c r="BQ111">
        <v>34</v>
      </c>
      <c r="BR111">
        <v>34</v>
      </c>
      <c r="BS111">
        <v>33.56</v>
      </c>
      <c r="BT111">
        <v>0</v>
      </c>
      <c r="BV111">
        <v>0</v>
      </c>
      <c r="BW111" t="s">
        <v>655</v>
      </c>
      <c r="BX111">
        <v>0.17</v>
      </c>
      <c r="BY111">
        <v>5.7051999999999996</v>
      </c>
      <c r="BZ111">
        <v>0</v>
      </c>
      <c r="CA111">
        <v>1</v>
      </c>
      <c r="CB111">
        <v>0.6</v>
      </c>
      <c r="CC111" s="3">
        <v>7.1269159999999998E-2</v>
      </c>
      <c r="CD111">
        <v>2.875</v>
      </c>
      <c r="CE111">
        <v>2.5</v>
      </c>
      <c r="CF111">
        <v>18</v>
      </c>
      <c r="CG111">
        <v>6</v>
      </c>
      <c r="CH111">
        <v>0</v>
      </c>
      <c r="CI111">
        <v>33.56</v>
      </c>
      <c r="CJ111">
        <v>439.79090000000002</v>
      </c>
    </row>
    <row r="112" spans="1:88">
      <c r="A112">
        <v>110</v>
      </c>
      <c r="B112" t="s">
        <v>13</v>
      </c>
      <c r="C112" t="s">
        <v>1</v>
      </c>
      <c r="D112" t="s">
        <v>96</v>
      </c>
      <c r="E112" t="s">
        <v>219</v>
      </c>
      <c r="F112" t="s">
        <v>198</v>
      </c>
      <c r="G112" t="s">
        <v>106</v>
      </c>
      <c r="H112" t="s">
        <v>162</v>
      </c>
      <c r="J112">
        <v>2</v>
      </c>
      <c r="K112" t="s">
        <v>146</v>
      </c>
      <c r="L112" t="s">
        <v>369</v>
      </c>
      <c r="M112" t="s">
        <v>220</v>
      </c>
      <c r="N112" t="s">
        <v>221</v>
      </c>
      <c r="O112">
        <v>101</v>
      </c>
      <c r="Q112">
        <v>352</v>
      </c>
      <c r="R112">
        <v>81</v>
      </c>
      <c r="S112">
        <v>4.25</v>
      </c>
      <c r="T112">
        <v>2.8119999999999998</v>
      </c>
      <c r="U112">
        <v>5.92</v>
      </c>
      <c r="V112">
        <v>1496.8</v>
      </c>
      <c r="W112">
        <v>479</v>
      </c>
      <c r="X112">
        <v>1.3332999999999999</v>
      </c>
      <c r="Y112">
        <v>362</v>
      </c>
      <c r="Z112">
        <v>4.1399999999999997</v>
      </c>
      <c r="AJ112">
        <v>2</v>
      </c>
      <c r="AK112">
        <v>18</v>
      </c>
      <c r="AM112">
        <v>0</v>
      </c>
      <c r="AO112" t="s">
        <v>166</v>
      </c>
      <c r="AT112">
        <v>40</v>
      </c>
      <c r="AV112">
        <v>44.8</v>
      </c>
      <c r="AW112">
        <v>0</v>
      </c>
      <c r="AX112">
        <v>0</v>
      </c>
      <c r="AY112">
        <v>39.375</v>
      </c>
      <c r="AZ112">
        <v>3.625</v>
      </c>
      <c r="BA112">
        <v>0</v>
      </c>
      <c r="BB112">
        <v>0</v>
      </c>
      <c r="BC112">
        <v>40</v>
      </c>
      <c r="BN112">
        <v>214</v>
      </c>
      <c r="BO112">
        <v>2266</v>
      </c>
      <c r="BP112">
        <v>0</v>
      </c>
      <c r="BQ112">
        <v>34</v>
      </c>
      <c r="BR112">
        <v>34</v>
      </c>
      <c r="BS112">
        <v>34.26</v>
      </c>
      <c r="BT112">
        <v>0</v>
      </c>
      <c r="BV112">
        <v>0</v>
      </c>
      <c r="BW112" t="s">
        <v>655</v>
      </c>
      <c r="BX112">
        <v>0.17</v>
      </c>
      <c r="BY112">
        <v>5.8242000000000003</v>
      </c>
      <c r="BZ112">
        <v>0</v>
      </c>
      <c r="CA112">
        <v>1</v>
      </c>
      <c r="CB112">
        <v>0.6</v>
      </c>
      <c r="CC112" s="3">
        <v>7.1269159999999998E-2</v>
      </c>
      <c r="CD112">
        <v>2.875</v>
      </c>
      <c r="CE112">
        <v>2.5</v>
      </c>
      <c r="CF112">
        <v>18</v>
      </c>
      <c r="CG112">
        <v>6</v>
      </c>
      <c r="CH112">
        <v>0</v>
      </c>
      <c r="CI112">
        <v>34.26</v>
      </c>
      <c r="CJ112">
        <v>301.54759999999999</v>
      </c>
    </row>
    <row r="113" spans="1:88">
      <c r="A113">
        <v>111</v>
      </c>
      <c r="B113" t="s">
        <v>13</v>
      </c>
      <c r="C113" t="s">
        <v>1</v>
      </c>
      <c r="D113" t="s">
        <v>302</v>
      </c>
      <c r="E113" t="s">
        <v>99</v>
      </c>
      <c r="F113" t="s">
        <v>401</v>
      </c>
      <c r="G113" t="s">
        <v>15</v>
      </c>
      <c r="H113" t="s">
        <v>402</v>
      </c>
      <c r="J113">
        <v>2</v>
      </c>
      <c r="K113" t="s">
        <v>108</v>
      </c>
      <c r="L113" t="s">
        <v>393</v>
      </c>
      <c r="M113" t="s">
        <v>184</v>
      </c>
      <c r="N113" t="s">
        <v>185</v>
      </c>
      <c r="O113">
        <v>149</v>
      </c>
      <c r="Q113">
        <v>799</v>
      </c>
      <c r="R113">
        <v>125</v>
      </c>
      <c r="S113">
        <v>4.25</v>
      </c>
      <c r="T113">
        <v>4.024</v>
      </c>
      <c r="U113">
        <v>6.71</v>
      </c>
      <c r="V113">
        <v>3395.7</v>
      </c>
      <c r="W113">
        <v>838</v>
      </c>
      <c r="X113">
        <v>1.3332999999999999</v>
      </c>
      <c r="Y113">
        <v>635</v>
      </c>
      <c r="Z113">
        <v>5.35</v>
      </c>
      <c r="AJ113">
        <v>2</v>
      </c>
      <c r="AK113">
        <v>18</v>
      </c>
      <c r="AM113">
        <v>0</v>
      </c>
      <c r="AO113" t="s">
        <v>246</v>
      </c>
      <c r="AT113">
        <v>57</v>
      </c>
      <c r="AV113">
        <v>71.8</v>
      </c>
      <c r="AW113" t="s">
        <v>6</v>
      </c>
      <c r="AX113" t="s">
        <v>6</v>
      </c>
      <c r="AY113" t="s">
        <v>6</v>
      </c>
      <c r="AZ113" t="s">
        <v>6</v>
      </c>
      <c r="BA113" t="s">
        <v>6</v>
      </c>
      <c r="BB113" t="s">
        <v>6</v>
      </c>
      <c r="BC113" t="s">
        <v>6</v>
      </c>
      <c r="BD113" t="s">
        <v>6</v>
      </c>
      <c r="BE113" t="s">
        <v>6</v>
      </c>
      <c r="BF113" t="s">
        <v>6</v>
      </c>
      <c r="BG113" t="s">
        <v>6</v>
      </c>
      <c r="BH113" t="s">
        <v>6</v>
      </c>
      <c r="BI113" t="s">
        <v>6</v>
      </c>
      <c r="BJ113" t="s">
        <v>6</v>
      </c>
      <c r="BN113">
        <v>612.47260000000006</v>
      </c>
      <c r="BO113">
        <v>2916</v>
      </c>
      <c r="BP113">
        <v>0</v>
      </c>
      <c r="BQ113">
        <v>51</v>
      </c>
      <c r="BR113">
        <v>51</v>
      </c>
      <c r="BS113">
        <v>50.95</v>
      </c>
      <c r="BT113">
        <v>0</v>
      </c>
      <c r="BV113">
        <v>0</v>
      </c>
      <c r="BW113" t="s">
        <v>655</v>
      </c>
      <c r="BX113">
        <v>0.17</v>
      </c>
      <c r="BY113">
        <v>8.6615000000000002</v>
      </c>
      <c r="BZ113">
        <v>0</v>
      </c>
      <c r="CA113">
        <v>1</v>
      </c>
      <c r="CB113">
        <v>0.6</v>
      </c>
      <c r="CC113" s="3">
        <v>7.1269159999999998E-2</v>
      </c>
      <c r="CD113">
        <v>2.875</v>
      </c>
      <c r="CE113">
        <v>2.5</v>
      </c>
      <c r="CF113">
        <v>18</v>
      </c>
      <c r="CG113">
        <v>6</v>
      </c>
      <c r="CH113">
        <v>0</v>
      </c>
      <c r="CI113">
        <v>50.95</v>
      </c>
      <c r="CJ113">
        <v>718.51649999999995</v>
      </c>
    </row>
    <row r="114" spans="1:88">
      <c r="A114">
        <v>112</v>
      </c>
      <c r="B114" t="s">
        <v>0</v>
      </c>
      <c r="C114" t="s">
        <v>1</v>
      </c>
      <c r="D114" t="s">
        <v>167</v>
      </c>
      <c r="E114" t="s">
        <v>169</v>
      </c>
      <c r="F114" t="s">
        <v>403</v>
      </c>
      <c r="G114" t="s">
        <v>106</v>
      </c>
      <c r="H114" t="s">
        <v>235</v>
      </c>
      <c r="J114">
        <v>2</v>
      </c>
      <c r="K114" t="s">
        <v>146</v>
      </c>
      <c r="L114" t="s">
        <v>381</v>
      </c>
      <c r="M114" t="s">
        <v>173</v>
      </c>
      <c r="N114" t="s">
        <v>174</v>
      </c>
      <c r="O114">
        <v>119</v>
      </c>
      <c r="Q114">
        <v>415</v>
      </c>
      <c r="R114">
        <v>82</v>
      </c>
      <c r="S114">
        <v>4.25</v>
      </c>
      <c r="T114">
        <v>3.2829999999999999</v>
      </c>
      <c r="U114">
        <v>6.15</v>
      </c>
      <c r="V114">
        <v>1763.15</v>
      </c>
      <c r="W114">
        <v>504</v>
      </c>
      <c r="X114">
        <v>1.3332999999999999</v>
      </c>
      <c r="Y114">
        <v>382</v>
      </c>
      <c r="Z114">
        <v>4.6100000000000003</v>
      </c>
      <c r="AJ114">
        <v>2</v>
      </c>
      <c r="AK114">
        <v>18</v>
      </c>
      <c r="AM114">
        <v>0</v>
      </c>
      <c r="AO114" t="s">
        <v>198</v>
      </c>
      <c r="AT114">
        <v>47</v>
      </c>
      <c r="AV114">
        <v>45.5</v>
      </c>
      <c r="AW114">
        <v>0</v>
      </c>
      <c r="AX114">
        <v>0</v>
      </c>
      <c r="AY114">
        <v>53</v>
      </c>
      <c r="AZ114">
        <v>4.375</v>
      </c>
      <c r="BA114">
        <v>0</v>
      </c>
      <c r="BB114">
        <v>0</v>
      </c>
      <c r="BC114">
        <v>57</v>
      </c>
      <c r="BN114">
        <v>217.5667</v>
      </c>
      <c r="BO114">
        <v>2192</v>
      </c>
      <c r="BP114">
        <v>0</v>
      </c>
      <c r="BQ114">
        <v>41</v>
      </c>
      <c r="BR114">
        <v>41</v>
      </c>
      <c r="BS114">
        <v>40.520000000000003</v>
      </c>
      <c r="BT114">
        <v>0</v>
      </c>
      <c r="BV114">
        <v>0</v>
      </c>
      <c r="BW114" t="s">
        <v>655</v>
      </c>
      <c r="BX114">
        <v>0.17</v>
      </c>
      <c r="BY114">
        <v>6.8883999999999999</v>
      </c>
      <c r="BZ114">
        <v>0</v>
      </c>
      <c r="CA114">
        <v>1</v>
      </c>
      <c r="CB114">
        <v>0.6</v>
      </c>
      <c r="CC114" s="3">
        <v>7.1269159999999998E-2</v>
      </c>
      <c r="CD114">
        <v>2.875</v>
      </c>
      <c r="CE114">
        <v>2.5</v>
      </c>
      <c r="CF114">
        <v>18</v>
      </c>
      <c r="CG114">
        <v>6</v>
      </c>
      <c r="CH114">
        <v>0</v>
      </c>
      <c r="CI114">
        <v>40.520000000000003</v>
      </c>
      <c r="CJ114">
        <v>362.42219999999998</v>
      </c>
    </row>
    <row r="115" spans="1:88">
      <c r="A115">
        <v>113</v>
      </c>
      <c r="B115" t="s">
        <v>0</v>
      </c>
      <c r="C115" t="s">
        <v>1</v>
      </c>
      <c r="D115" t="s">
        <v>8</v>
      </c>
      <c r="E115" t="s">
        <v>8</v>
      </c>
      <c r="F115" t="s">
        <v>246</v>
      </c>
      <c r="G115" t="s">
        <v>15</v>
      </c>
      <c r="H115" t="s">
        <v>247</v>
      </c>
      <c r="J115">
        <v>2</v>
      </c>
      <c r="K115" t="s">
        <v>108</v>
      </c>
      <c r="L115" t="s">
        <v>10</v>
      </c>
      <c r="M115" t="s">
        <v>11</v>
      </c>
      <c r="N115" t="s">
        <v>12</v>
      </c>
      <c r="O115">
        <v>203</v>
      </c>
      <c r="Q115">
        <v>1056</v>
      </c>
      <c r="R115">
        <v>135</v>
      </c>
      <c r="S115">
        <v>4.25</v>
      </c>
      <c r="T115">
        <v>5.2460000000000004</v>
      </c>
      <c r="U115">
        <v>7.35</v>
      </c>
      <c r="V115">
        <v>4489.57</v>
      </c>
      <c r="W115">
        <v>991</v>
      </c>
      <c r="X115">
        <v>1.5</v>
      </c>
      <c r="Y115">
        <v>666</v>
      </c>
      <c r="Z115">
        <v>6.74</v>
      </c>
      <c r="AJ115">
        <v>2</v>
      </c>
      <c r="AK115">
        <v>18</v>
      </c>
      <c r="AM115">
        <v>0</v>
      </c>
      <c r="AO115" t="s">
        <v>250</v>
      </c>
      <c r="AT115">
        <v>76</v>
      </c>
      <c r="AV115">
        <v>71.099999999999994</v>
      </c>
      <c r="AW115" t="s">
        <v>6</v>
      </c>
      <c r="AX115" t="s">
        <v>6</v>
      </c>
      <c r="AY115" t="s">
        <v>6</v>
      </c>
      <c r="AZ115" t="s">
        <v>6</v>
      </c>
      <c r="BA115" t="s">
        <v>6</v>
      </c>
      <c r="BB115" t="s">
        <v>6</v>
      </c>
      <c r="BC115" t="s">
        <v>6</v>
      </c>
      <c r="BD115" t="s">
        <v>6</v>
      </c>
      <c r="BE115" t="s">
        <v>6</v>
      </c>
      <c r="BF115" t="s">
        <v>6</v>
      </c>
      <c r="BG115" t="s">
        <v>6</v>
      </c>
      <c r="BH115" t="s">
        <v>6</v>
      </c>
      <c r="BI115" t="s">
        <v>6</v>
      </c>
      <c r="BJ115" t="s">
        <v>6</v>
      </c>
      <c r="BN115">
        <v>606.1585</v>
      </c>
      <c r="BO115">
        <v>2977</v>
      </c>
      <c r="BP115">
        <v>0</v>
      </c>
      <c r="BQ115">
        <v>70</v>
      </c>
      <c r="BR115">
        <v>70</v>
      </c>
      <c r="BS115">
        <v>69.730009999999993</v>
      </c>
      <c r="BT115">
        <v>0</v>
      </c>
      <c r="BV115">
        <v>0</v>
      </c>
      <c r="BW115" t="s">
        <v>655</v>
      </c>
      <c r="BX115">
        <v>0.17</v>
      </c>
      <c r="BY115">
        <v>11.854100000000001</v>
      </c>
      <c r="BZ115">
        <v>0</v>
      </c>
      <c r="CA115">
        <v>1</v>
      </c>
      <c r="CB115">
        <v>0.6</v>
      </c>
      <c r="CC115" s="3">
        <v>7.1269159999999998E-2</v>
      </c>
      <c r="CD115">
        <v>2.875</v>
      </c>
      <c r="CE115">
        <v>2.5</v>
      </c>
      <c r="CF115">
        <v>18</v>
      </c>
      <c r="CG115">
        <v>6</v>
      </c>
      <c r="CH115">
        <v>0</v>
      </c>
      <c r="CI115">
        <v>69.730009999999993</v>
      </c>
      <c r="CJ115">
        <v>973.42010000000005</v>
      </c>
    </row>
    <row r="116" spans="1:88">
      <c r="A116">
        <v>114</v>
      </c>
      <c r="B116" t="s">
        <v>0</v>
      </c>
      <c r="C116" t="s">
        <v>1</v>
      </c>
      <c r="D116" t="s">
        <v>283</v>
      </c>
      <c r="E116" t="s">
        <v>317</v>
      </c>
      <c r="F116" t="s">
        <v>243</v>
      </c>
      <c r="G116" t="s">
        <v>106</v>
      </c>
      <c r="H116" t="s">
        <v>284</v>
      </c>
      <c r="J116">
        <v>2</v>
      </c>
      <c r="K116" t="s">
        <v>146</v>
      </c>
      <c r="L116" t="s">
        <v>169</v>
      </c>
      <c r="M116" t="s">
        <v>400</v>
      </c>
      <c r="N116" t="s">
        <v>228</v>
      </c>
      <c r="O116">
        <v>99</v>
      </c>
      <c r="Q116">
        <v>225</v>
      </c>
      <c r="R116">
        <v>51</v>
      </c>
      <c r="S116">
        <v>4.25</v>
      </c>
      <c r="T116">
        <v>2.758</v>
      </c>
      <c r="U116">
        <v>5.88</v>
      </c>
      <c r="V116">
        <v>954.97</v>
      </c>
      <c r="W116">
        <v>298</v>
      </c>
      <c r="X116">
        <v>1.3332999999999999</v>
      </c>
      <c r="Y116">
        <v>233</v>
      </c>
      <c r="Z116">
        <v>4.09</v>
      </c>
      <c r="AJ116">
        <v>2</v>
      </c>
      <c r="AK116">
        <v>18</v>
      </c>
      <c r="AM116">
        <v>0</v>
      </c>
      <c r="AO116" t="s">
        <v>285</v>
      </c>
      <c r="AT116">
        <v>40</v>
      </c>
      <c r="AV116">
        <v>28.8</v>
      </c>
      <c r="AW116">
        <v>0</v>
      </c>
      <c r="AX116">
        <v>0</v>
      </c>
      <c r="AY116">
        <v>27.625</v>
      </c>
      <c r="AZ116">
        <v>3.125</v>
      </c>
      <c r="BA116">
        <v>0</v>
      </c>
      <c r="BB116">
        <v>0</v>
      </c>
      <c r="BC116">
        <v>24</v>
      </c>
      <c r="BN116">
        <v>135.5334</v>
      </c>
      <c r="BO116">
        <v>5649</v>
      </c>
      <c r="BP116">
        <v>0</v>
      </c>
      <c r="BQ116">
        <v>34</v>
      </c>
      <c r="BR116">
        <v>34</v>
      </c>
      <c r="BS116">
        <v>33.56</v>
      </c>
      <c r="BT116">
        <v>0</v>
      </c>
      <c r="BV116">
        <v>0</v>
      </c>
      <c r="BW116" t="s">
        <v>655</v>
      </c>
      <c r="BX116">
        <v>0.17</v>
      </c>
      <c r="BY116">
        <v>5.7051999999999996</v>
      </c>
      <c r="BZ116">
        <v>0</v>
      </c>
      <c r="CA116">
        <v>1</v>
      </c>
      <c r="CB116">
        <v>0.6</v>
      </c>
      <c r="CC116" s="3">
        <v>7.1269159999999998E-2</v>
      </c>
      <c r="CD116">
        <v>2.875</v>
      </c>
      <c r="CE116">
        <v>2.5</v>
      </c>
      <c r="CF116">
        <v>18</v>
      </c>
      <c r="CG116">
        <v>6</v>
      </c>
      <c r="CH116">
        <v>0</v>
      </c>
      <c r="CI116">
        <v>33.56</v>
      </c>
      <c r="CJ116">
        <v>190.14750000000001</v>
      </c>
    </row>
    <row r="117" spans="1:88">
      <c r="A117">
        <v>115</v>
      </c>
      <c r="B117" t="s">
        <v>13</v>
      </c>
      <c r="C117" t="s">
        <v>1</v>
      </c>
      <c r="D117" t="s">
        <v>169</v>
      </c>
      <c r="E117" t="s">
        <v>231</v>
      </c>
      <c r="F117" t="s">
        <v>404</v>
      </c>
      <c r="G117" t="s">
        <v>106</v>
      </c>
      <c r="H117" t="s">
        <v>190</v>
      </c>
      <c r="J117">
        <v>2</v>
      </c>
      <c r="K117" t="s">
        <v>146</v>
      </c>
      <c r="L117" t="s">
        <v>3</v>
      </c>
      <c r="M117" t="s">
        <v>405</v>
      </c>
      <c r="N117" t="s">
        <v>151</v>
      </c>
      <c r="O117">
        <v>105</v>
      </c>
      <c r="Q117">
        <v>330</v>
      </c>
      <c r="R117">
        <v>74</v>
      </c>
      <c r="S117">
        <v>4.25</v>
      </c>
      <c r="T117">
        <v>2.9180000000000001</v>
      </c>
      <c r="U117">
        <v>6</v>
      </c>
      <c r="V117">
        <v>1401.73</v>
      </c>
      <c r="W117">
        <v>444</v>
      </c>
      <c r="X117">
        <v>1.3332999999999999</v>
      </c>
      <c r="Y117">
        <v>330</v>
      </c>
      <c r="Z117">
        <v>4.25</v>
      </c>
      <c r="AJ117">
        <v>2</v>
      </c>
      <c r="AK117">
        <v>18</v>
      </c>
      <c r="AM117">
        <v>0</v>
      </c>
      <c r="AO117" t="s">
        <v>406</v>
      </c>
      <c r="AT117">
        <v>42</v>
      </c>
      <c r="AV117">
        <v>40.4</v>
      </c>
      <c r="AW117">
        <v>0</v>
      </c>
      <c r="AX117">
        <v>0</v>
      </c>
      <c r="AY117">
        <v>43.125</v>
      </c>
      <c r="AZ117">
        <v>3.75</v>
      </c>
      <c r="BA117">
        <v>0</v>
      </c>
      <c r="BB117">
        <v>0</v>
      </c>
      <c r="BC117">
        <v>44</v>
      </c>
      <c r="BN117">
        <v>192.6</v>
      </c>
      <c r="BO117">
        <v>2797</v>
      </c>
      <c r="BP117">
        <v>0</v>
      </c>
      <c r="BQ117">
        <v>36</v>
      </c>
      <c r="BR117">
        <v>36</v>
      </c>
      <c r="BS117">
        <v>35.65</v>
      </c>
      <c r="BT117">
        <v>0</v>
      </c>
      <c r="BV117">
        <v>0</v>
      </c>
      <c r="BW117" t="s">
        <v>655</v>
      </c>
      <c r="BX117">
        <v>0.17</v>
      </c>
      <c r="BY117">
        <v>6.0605000000000002</v>
      </c>
      <c r="BZ117">
        <v>0</v>
      </c>
      <c r="CA117">
        <v>1</v>
      </c>
      <c r="CB117">
        <v>0.6</v>
      </c>
      <c r="CC117" s="3">
        <v>7.1269159999999998E-2</v>
      </c>
      <c r="CD117">
        <v>2.875</v>
      </c>
      <c r="CE117">
        <v>2.5</v>
      </c>
      <c r="CF117">
        <v>18</v>
      </c>
      <c r="CG117">
        <v>6</v>
      </c>
      <c r="CH117">
        <v>0</v>
      </c>
      <c r="CI117">
        <v>35.65</v>
      </c>
      <c r="CJ117">
        <v>283.29309999999998</v>
      </c>
    </row>
    <row r="118" spans="1:88">
      <c r="A118">
        <v>116</v>
      </c>
      <c r="B118" t="s">
        <v>0</v>
      </c>
      <c r="C118" t="s">
        <v>1</v>
      </c>
      <c r="D118" t="s">
        <v>151</v>
      </c>
      <c r="E118" t="s">
        <v>346</v>
      </c>
      <c r="F118" t="s">
        <v>385</v>
      </c>
      <c r="G118" t="s">
        <v>106</v>
      </c>
      <c r="H118" t="s">
        <v>2</v>
      </c>
      <c r="J118">
        <v>2</v>
      </c>
      <c r="K118" t="s">
        <v>146</v>
      </c>
      <c r="L118" t="s">
        <v>177</v>
      </c>
      <c r="M118" t="s">
        <v>407</v>
      </c>
      <c r="N118" t="s">
        <v>178</v>
      </c>
      <c r="O118">
        <v>92</v>
      </c>
      <c r="Q118">
        <v>265</v>
      </c>
      <c r="R118">
        <v>68</v>
      </c>
      <c r="S118">
        <v>4.25</v>
      </c>
      <c r="T118">
        <v>2.5670000000000002</v>
      </c>
      <c r="U118">
        <v>5.73</v>
      </c>
      <c r="V118">
        <v>1125.1400000000001</v>
      </c>
      <c r="W118">
        <v>388</v>
      </c>
      <c r="X118">
        <v>1.3332999999999999</v>
      </c>
      <c r="Y118">
        <v>288</v>
      </c>
      <c r="Z118">
        <v>3.9</v>
      </c>
      <c r="AJ118">
        <v>2</v>
      </c>
      <c r="AK118">
        <v>18</v>
      </c>
      <c r="AM118">
        <v>0</v>
      </c>
      <c r="AO118" t="s">
        <v>4</v>
      </c>
      <c r="AT118">
        <v>37</v>
      </c>
      <c r="AV118">
        <v>36.4</v>
      </c>
      <c r="AW118">
        <v>0</v>
      </c>
      <c r="AX118">
        <v>0</v>
      </c>
      <c r="AY118">
        <v>33.75</v>
      </c>
      <c r="AZ118">
        <v>3.125</v>
      </c>
      <c r="BA118">
        <v>0</v>
      </c>
      <c r="BB118">
        <v>0</v>
      </c>
      <c r="BC118">
        <v>32</v>
      </c>
      <c r="BN118">
        <v>172.98339999999999</v>
      </c>
      <c r="BO118">
        <v>3468</v>
      </c>
      <c r="BP118">
        <v>0</v>
      </c>
      <c r="BQ118">
        <v>31</v>
      </c>
      <c r="BR118">
        <v>31</v>
      </c>
      <c r="BS118">
        <v>31.13</v>
      </c>
      <c r="BT118">
        <v>0</v>
      </c>
      <c r="BV118">
        <v>0</v>
      </c>
      <c r="BW118" t="s">
        <v>655</v>
      </c>
      <c r="BX118">
        <v>0.17</v>
      </c>
      <c r="BY118">
        <v>5.2920999999999996</v>
      </c>
      <c r="BZ118">
        <v>0</v>
      </c>
      <c r="CA118">
        <v>1</v>
      </c>
      <c r="CB118">
        <v>0.6</v>
      </c>
      <c r="CC118" s="3">
        <v>7.1269159999999998E-2</v>
      </c>
      <c r="CD118">
        <v>2.875</v>
      </c>
      <c r="CE118">
        <v>2.5</v>
      </c>
      <c r="CF118">
        <v>18</v>
      </c>
      <c r="CG118">
        <v>6</v>
      </c>
      <c r="CH118">
        <v>0</v>
      </c>
      <c r="CI118">
        <v>31.13</v>
      </c>
      <c r="CJ118">
        <v>222.97020000000001</v>
      </c>
    </row>
    <row r="119" spans="1:88">
      <c r="A119">
        <v>117</v>
      </c>
      <c r="B119" t="s">
        <v>13</v>
      </c>
      <c r="C119" t="s">
        <v>1</v>
      </c>
      <c r="D119" t="s">
        <v>178</v>
      </c>
      <c r="E119" t="s">
        <v>143</v>
      </c>
      <c r="F119" t="s">
        <v>408</v>
      </c>
      <c r="G119" t="s">
        <v>106</v>
      </c>
      <c r="H119" t="s">
        <v>141</v>
      </c>
      <c r="J119">
        <v>2</v>
      </c>
      <c r="K119" t="s">
        <v>146</v>
      </c>
      <c r="L119" t="s">
        <v>297</v>
      </c>
      <c r="M119" t="s">
        <v>206</v>
      </c>
      <c r="N119" t="s">
        <v>131</v>
      </c>
      <c r="O119">
        <v>155</v>
      </c>
      <c r="Q119">
        <v>372</v>
      </c>
      <c r="R119">
        <v>60</v>
      </c>
      <c r="S119">
        <v>4.25</v>
      </c>
      <c r="T119">
        <v>4.1660000000000004</v>
      </c>
      <c r="U119">
        <v>6.78</v>
      </c>
      <c r="V119">
        <v>1579</v>
      </c>
      <c r="W119">
        <v>408</v>
      </c>
      <c r="X119">
        <v>1.5</v>
      </c>
      <c r="Y119">
        <v>279</v>
      </c>
      <c r="Z119">
        <v>5.66</v>
      </c>
      <c r="AJ119">
        <v>2</v>
      </c>
      <c r="AK119">
        <v>18</v>
      </c>
      <c r="AM119">
        <v>0</v>
      </c>
      <c r="AO119" t="s">
        <v>409</v>
      </c>
      <c r="AT119">
        <v>59</v>
      </c>
      <c r="AV119">
        <v>31.7</v>
      </c>
      <c r="AW119">
        <v>0</v>
      </c>
      <c r="AX119">
        <v>0</v>
      </c>
      <c r="AY119">
        <v>51</v>
      </c>
      <c r="AZ119">
        <v>5</v>
      </c>
      <c r="BA119">
        <v>0</v>
      </c>
      <c r="BB119">
        <v>0</v>
      </c>
      <c r="BC119">
        <v>52</v>
      </c>
      <c r="BN119">
        <v>149.80000000000001</v>
      </c>
      <c r="BO119">
        <v>4624</v>
      </c>
      <c r="BP119">
        <v>0</v>
      </c>
      <c r="BQ119">
        <v>53</v>
      </c>
      <c r="BR119">
        <v>53</v>
      </c>
      <c r="BS119">
        <v>53.04</v>
      </c>
      <c r="BT119">
        <v>0</v>
      </c>
      <c r="BV119">
        <v>0</v>
      </c>
      <c r="BW119" t="s">
        <v>655</v>
      </c>
      <c r="BX119">
        <v>0.17</v>
      </c>
      <c r="BY119">
        <v>9.0167999999999999</v>
      </c>
      <c r="BZ119">
        <v>0</v>
      </c>
      <c r="CA119">
        <v>1</v>
      </c>
      <c r="CB119">
        <v>0.6</v>
      </c>
      <c r="CC119" s="3">
        <v>7.1269159999999998E-2</v>
      </c>
      <c r="CD119">
        <v>2.875</v>
      </c>
      <c r="CE119">
        <v>2.5</v>
      </c>
      <c r="CF119">
        <v>18</v>
      </c>
      <c r="CG119">
        <v>6</v>
      </c>
      <c r="CH119">
        <v>0</v>
      </c>
      <c r="CI119">
        <v>53.04</v>
      </c>
      <c r="CJ119">
        <v>330.76010000000002</v>
      </c>
    </row>
    <row r="120" spans="1:88">
      <c r="A120">
        <v>118</v>
      </c>
      <c r="B120" t="s">
        <v>0</v>
      </c>
      <c r="C120" t="s">
        <v>1</v>
      </c>
      <c r="D120" t="s">
        <v>96</v>
      </c>
      <c r="E120" t="s">
        <v>101</v>
      </c>
      <c r="F120" t="s">
        <v>198</v>
      </c>
      <c r="G120" t="s">
        <v>106</v>
      </c>
      <c r="H120" t="s">
        <v>162</v>
      </c>
      <c r="J120">
        <v>2</v>
      </c>
      <c r="K120" t="s">
        <v>146</v>
      </c>
      <c r="L120" t="s">
        <v>145</v>
      </c>
      <c r="M120" t="s">
        <v>403</v>
      </c>
      <c r="N120" t="s">
        <v>172</v>
      </c>
      <c r="O120">
        <v>134</v>
      </c>
      <c r="Q120">
        <v>455</v>
      </c>
      <c r="R120">
        <v>81</v>
      </c>
      <c r="S120">
        <v>4.25</v>
      </c>
      <c r="T120">
        <v>3.66</v>
      </c>
      <c r="U120">
        <v>6.41</v>
      </c>
      <c r="V120">
        <v>1934.13</v>
      </c>
      <c r="W120">
        <v>518</v>
      </c>
      <c r="X120">
        <v>1.3332999999999999</v>
      </c>
      <c r="Y120">
        <v>388</v>
      </c>
      <c r="Z120">
        <v>4.99</v>
      </c>
      <c r="AJ120">
        <v>2</v>
      </c>
      <c r="AK120">
        <v>18</v>
      </c>
      <c r="AM120">
        <v>0</v>
      </c>
      <c r="AO120" t="s">
        <v>166</v>
      </c>
      <c r="AT120">
        <v>52</v>
      </c>
      <c r="AV120">
        <v>44.8</v>
      </c>
      <c r="AW120">
        <v>0</v>
      </c>
      <c r="AX120">
        <v>0</v>
      </c>
      <c r="AY120">
        <v>52.25</v>
      </c>
      <c r="AZ120">
        <v>4.625</v>
      </c>
      <c r="BA120">
        <v>0</v>
      </c>
      <c r="BB120">
        <v>0</v>
      </c>
      <c r="BC120">
        <v>56</v>
      </c>
      <c r="BN120">
        <v>214</v>
      </c>
      <c r="BO120">
        <v>2266</v>
      </c>
      <c r="BP120">
        <v>0</v>
      </c>
      <c r="BQ120">
        <v>46</v>
      </c>
      <c r="BR120">
        <v>46</v>
      </c>
      <c r="BS120">
        <v>45.73</v>
      </c>
      <c r="BT120">
        <v>0</v>
      </c>
      <c r="BV120">
        <v>0</v>
      </c>
      <c r="BW120" t="s">
        <v>655</v>
      </c>
      <c r="BX120">
        <v>0.17</v>
      </c>
      <c r="BY120">
        <v>7.7740999999999998</v>
      </c>
      <c r="BZ120">
        <v>0</v>
      </c>
      <c r="CA120">
        <v>1</v>
      </c>
      <c r="CB120">
        <v>0.6</v>
      </c>
      <c r="CC120" s="3">
        <v>7.1269159999999998E-2</v>
      </c>
      <c r="CD120">
        <v>2.875</v>
      </c>
      <c r="CE120">
        <v>2.5</v>
      </c>
      <c r="CF120">
        <v>18</v>
      </c>
      <c r="CG120">
        <v>6</v>
      </c>
      <c r="CH120">
        <v>0</v>
      </c>
      <c r="CI120">
        <v>45.73</v>
      </c>
      <c r="CJ120">
        <v>402.50360000000001</v>
      </c>
    </row>
    <row r="121" spans="1:88">
      <c r="A121">
        <v>119</v>
      </c>
      <c r="B121" t="s">
        <v>13</v>
      </c>
      <c r="C121" t="s">
        <v>1</v>
      </c>
      <c r="D121" t="s">
        <v>267</v>
      </c>
      <c r="E121" t="s">
        <v>181</v>
      </c>
      <c r="F121" t="s">
        <v>269</v>
      </c>
      <c r="G121" t="s">
        <v>106</v>
      </c>
      <c r="H121" t="s">
        <v>131</v>
      </c>
      <c r="J121">
        <v>2</v>
      </c>
      <c r="K121" t="s">
        <v>146</v>
      </c>
      <c r="L121" t="s">
        <v>202</v>
      </c>
      <c r="M121" t="s">
        <v>313</v>
      </c>
      <c r="N121" t="s">
        <v>314</v>
      </c>
      <c r="O121">
        <v>161</v>
      </c>
      <c r="Q121">
        <v>660</v>
      </c>
      <c r="R121">
        <v>97</v>
      </c>
      <c r="S121">
        <v>4.25</v>
      </c>
      <c r="T121">
        <v>4.3070000000000004</v>
      </c>
      <c r="U121">
        <v>6.75</v>
      </c>
      <c r="V121">
        <v>2803.34</v>
      </c>
      <c r="W121">
        <v>654</v>
      </c>
      <c r="X121">
        <v>1.3332999999999999</v>
      </c>
      <c r="Y121">
        <v>497</v>
      </c>
      <c r="Z121">
        <v>5.64</v>
      </c>
      <c r="AJ121">
        <v>2</v>
      </c>
      <c r="AK121">
        <v>18</v>
      </c>
      <c r="AM121">
        <v>0</v>
      </c>
      <c r="AO121" t="s">
        <v>271</v>
      </c>
      <c r="AT121">
        <v>61</v>
      </c>
      <c r="AV121">
        <v>54.9</v>
      </c>
      <c r="AW121" t="s">
        <v>6</v>
      </c>
      <c r="AX121" t="s">
        <v>6</v>
      </c>
      <c r="AY121" t="s">
        <v>6</v>
      </c>
      <c r="AZ121" t="s">
        <v>6</v>
      </c>
      <c r="BA121" t="s">
        <v>6</v>
      </c>
      <c r="BB121" t="s">
        <v>6</v>
      </c>
      <c r="BC121" t="s">
        <v>6</v>
      </c>
      <c r="BD121" t="s">
        <v>6</v>
      </c>
      <c r="BE121" t="s">
        <v>6</v>
      </c>
      <c r="BF121" t="s">
        <v>6</v>
      </c>
      <c r="BG121" t="s">
        <v>6</v>
      </c>
      <c r="BH121" t="s">
        <v>6</v>
      </c>
      <c r="BI121" t="s">
        <v>6</v>
      </c>
      <c r="BJ121" t="s">
        <v>6</v>
      </c>
      <c r="BN121">
        <v>263.93340000000001</v>
      </c>
      <c r="BO121">
        <v>1490</v>
      </c>
      <c r="BP121">
        <v>0</v>
      </c>
      <c r="BQ121">
        <v>55</v>
      </c>
      <c r="BR121">
        <v>55</v>
      </c>
      <c r="BS121">
        <v>55.13</v>
      </c>
      <c r="BT121">
        <v>0</v>
      </c>
      <c r="BV121">
        <v>0</v>
      </c>
      <c r="BW121" t="s">
        <v>655</v>
      </c>
      <c r="BX121">
        <v>0.17</v>
      </c>
      <c r="BY121">
        <v>9.3720999999999997</v>
      </c>
      <c r="BZ121">
        <v>0</v>
      </c>
      <c r="CA121">
        <v>1</v>
      </c>
      <c r="CB121">
        <v>0.6</v>
      </c>
      <c r="CC121" s="3">
        <v>7.1269159999999998E-2</v>
      </c>
      <c r="CD121">
        <v>2.875</v>
      </c>
      <c r="CE121">
        <v>2.5</v>
      </c>
      <c r="CF121">
        <v>18</v>
      </c>
      <c r="CG121">
        <v>6</v>
      </c>
      <c r="CH121">
        <v>0</v>
      </c>
      <c r="CI121">
        <v>55.13</v>
      </c>
      <c r="CJ121">
        <v>595.25400000000002</v>
      </c>
    </row>
    <row r="122" spans="1:88">
      <c r="A122">
        <v>120</v>
      </c>
      <c r="B122" t="s">
        <v>0</v>
      </c>
      <c r="C122" t="s">
        <v>1</v>
      </c>
      <c r="D122" t="s">
        <v>231</v>
      </c>
      <c r="E122" t="s">
        <v>169</v>
      </c>
      <c r="F122" t="s">
        <v>218</v>
      </c>
      <c r="G122" t="s">
        <v>106</v>
      </c>
      <c r="H122" t="s">
        <v>221</v>
      </c>
      <c r="J122">
        <v>2</v>
      </c>
      <c r="K122" t="s">
        <v>146</v>
      </c>
      <c r="L122" t="s">
        <v>381</v>
      </c>
      <c r="M122" t="s">
        <v>173</v>
      </c>
      <c r="N122" t="s">
        <v>174</v>
      </c>
      <c r="O122">
        <v>119</v>
      </c>
      <c r="Q122">
        <v>324</v>
      </c>
      <c r="R122">
        <v>66</v>
      </c>
      <c r="S122">
        <v>4.25</v>
      </c>
      <c r="T122">
        <v>3.2829999999999999</v>
      </c>
      <c r="U122">
        <v>6.15</v>
      </c>
      <c r="V122">
        <v>1376.32</v>
      </c>
      <c r="W122">
        <v>405</v>
      </c>
      <c r="X122">
        <v>1.3332999999999999</v>
      </c>
      <c r="Y122">
        <v>299</v>
      </c>
      <c r="Z122">
        <v>4.6100000000000003</v>
      </c>
      <c r="AJ122">
        <v>2</v>
      </c>
      <c r="AK122">
        <v>18</v>
      </c>
      <c r="AM122">
        <v>0</v>
      </c>
      <c r="AO122" t="s">
        <v>379</v>
      </c>
      <c r="AT122">
        <v>47</v>
      </c>
      <c r="AV122">
        <v>35.299999999999997</v>
      </c>
      <c r="AW122">
        <v>0</v>
      </c>
      <c r="AX122">
        <v>0</v>
      </c>
      <c r="AY122">
        <v>47.625</v>
      </c>
      <c r="AZ122">
        <v>4</v>
      </c>
      <c r="BA122">
        <v>0</v>
      </c>
      <c r="BB122">
        <v>0</v>
      </c>
      <c r="BC122">
        <v>48</v>
      </c>
      <c r="BN122">
        <v>167.63339999999999</v>
      </c>
      <c r="BO122">
        <v>3693</v>
      </c>
      <c r="BP122">
        <v>0</v>
      </c>
      <c r="BQ122">
        <v>41</v>
      </c>
      <c r="BR122">
        <v>41</v>
      </c>
      <c r="BS122">
        <v>40.520000000000003</v>
      </c>
      <c r="BT122">
        <v>0</v>
      </c>
      <c r="BV122">
        <v>0</v>
      </c>
      <c r="BW122" t="s">
        <v>655</v>
      </c>
      <c r="BX122">
        <v>0.17</v>
      </c>
      <c r="BY122">
        <v>6.8883999999999999</v>
      </c>
      <c r="BZ122">
        <v>0</v>
      </c>
      <c r="CA122">
        <v>1</v>
      </c>
      <c r="CB122">
        <v>0.6</v>
      </c>
      <c r="CC122" s="3">
        <v>7.1269159999999998E-2</v>
      </c>
      <c r="CD122">
        <v>2.875</v>
      </c>
      <c r="CE122">
        <v>2.5</v>
      </c>
      <c r="CF122">
        <v>18</v>
      </c>
      <c r="CG122">
        <v>6</v>
      </c>
      <c r="CH122">
        <v>0</v>
      </c>
      <c r="CI122">
        <v>40.520000000000003</v>
      </c>
      <c r="CJ122">
        <v>281.56310000000002</v>
      </c>
    </row>
    <row r="123" spans="1:88">
      <c r="A123">
        <v>121</v>
      </c>
      <c r="B123" t="s">
        <v>13</v>
      </c>
      <c r="C123" t="s">
        <v>1</v>
      </c>
      <c r="D123" t="s">
        <v>272</v>
      </c>
      <c r="E123" t="s">
        <v>131</v>
      </c>
      <c r="F123" t="s">
        <v>273</v>
      </c>
      <c r="G123" t="s">
        <v>106</v>
      </c>
      <c r="H123" t="s">
        <v>274</v>
      </c>
      <c r="J123">
        <v>2</v>
      </c>
      <c r="K123" t="s">
        <v>108</v>
      </c>
      <c r="L123" t="s">
        <v>300</v>
      </c>
      <c r="M123" t="s">
        <v>271</v>
      </c>
      <c r="N123" t="s">
        <v>181</v>
      </c>
      <c r="O123">
        <v>158</v>
      </c>
      <c r="Q123">
        <v>654</v>
      </c>
      <c r="R123">
        <v>98</v>
      </c>
      <c r="S123">
        <v>4.25</v>
      </c>
      <c r="T123">
        <v>4.2370000000000001</v>
      </c>
      <c r="U123">
        <v>6.86</v>
      </c>
      <c r="V123">
        <v>2779.03</v>
      </c>
      <c r="W123">
        <v>670</v>
      </c>
      <c r="X123">
        <v>1.3332999999999999</v>
      </c>
      <c r="Y123">
        <v>499</v>
      </c>
      <c r="Z123">
        <v>5.57</v>
      </c>
      <c r="AJ123">
        <v>2</v>
      </c>
      <c r="AK123">
        <v>18</v>
      </c>
      <c r="AM123">
        <v>0</v>
      </c>
      <c r="AO123" t="s">
        <v>275</v>
      </c>
      <c r="AT123">
        <v>60</v>
      </c>
      <c r="AV123">
        <v>55.4</v>
      </c>
      <c r="AW123" t="s">
        <v>6</v>
      </c>
      <c r="AX123" t="s">
        <v>6</v>
      </c>
      <c r="AY123" t="s">
        <v>6</v>
      </c>
      <c r="AZ123" t="s">
        <v>6</v>
      </c>
      <c r="BA123" t="s">
        <v>6</v>
      </c>
      <c r="BB123" t="s">
        <v>6</v>
      </c>
      <c r="BC123" t="s">
        <v>6</v>
      </c>
      <c r="BD123" t="s">
        <v>6</v>
      </c>
      <c r="BE123" t="s">
        <v>6</v>
      </c>
      <c r="BF123" t="s">
        <v>6</v>
      </c>
      <c r="BG123" t="s">
        <v>6</v>
      </c>
      <c r="BH123" t="s">
        <v>6</v>
      </c>
      <c r="BI123" t="s">
        <v>6</v>
      </c>
      <c r="BJ123" t="s">
        <v>6</v>
      </c>
      <c r="BN123">
        <v>265.7167</v>
      </c>
      <c r="BO123">
        <v>1470</v>
      </c>
      <c r="BP123">
        <v>0</v>
      </c>
      <c r="BQ123">
        <v>54</v>
      </c>
      <c r="BR123">
        <v>54</v>
      </c>
      <c r="BS123">
        <v>54.08</v>
      </c>
      <c r="BT123">
        <v>0</v>
      </c>
      <c r="BV123">
        <v>0</v>
      </c>
      <c r="BW123" t="s">
        <v>655</v>
      </c>
      <c r="BX123">
        <v>0.17</v>
      </c>
      <c r="BY123">
        <v>9.1936009999999992</v>
      </c>
      <c r="BZ123">
        <v>0</v>
      </c>
      <c r="CA123">
        <v>1</v>
      </c>
      <c r="CB123">
        <v>0.6</v>
      </c>
      <c r="CC123" s="3">
        <v>7.1269159999999998E-2</v>
      </c>
      <c r="CD123">
        <v>2.875</v>
      </c>
      <c r="CE123">
        <v>2.5</v>
      </c>
      <c r="CF123">
        <v>18</v>
      </c>
      <c r="CG123">
        <v>6</v>
      </c>
      <c r="CH123">
        <v>0</v>
      </c>
      <c r="CI123">
        <v>54.08</v>
      </c>
      <c r="CJ123">
        <v>589.21630000000005</v>
      </c>
    </row>
    <row r="124" spans="1:88">
      <c r="A124">
        <v>122</v>
      </c>
      <c r="B124" t="s">
        <v>0</v>
      </c>
      <c r="C124" t="s">
        <v>1</v>
      </c>
      <c r="D124" t="s">
        <v>178</v>
      </c>
      <c r="E124" t="s">
        <v>169</v>
      </c>
      <c r="F124" t="s">
        <v>408</v>
      </c>
      <c r="G124" t="s">
        <v>106</v>
      </c>
      <c r="H124" t="s">
        <v>141</v>
      </c>
      <c r="J124">
        <v>2</v>
      </c>
      <c r="K124" t="s">
        <v>146</v>
      </c>
      <c r="L124" t="s">
        <v>381</v>
      </c>
      <c r="M124" t="s">
        <v>173</v>
      </c>
      <c r="N124" t="s">
        <v>174</v>
      </c>
      <c r="O124">
        <v>119</v>
      </c>
      <c r="Q124">
        <v>291</v>
      </c>
      <c r="R124">
        <v>60</v>
      </c>
      <c r="S124">
        <v>4.25</v>
      </c>
      <c r="T124">
        <v>3.2829999999999999</v>
      </c>
      <c r="U124">
        <v>6.15</v>
      </c>
      <c r="V124">
        <v>1238.1500000000001</v>
      </c>
      <c r="W124">
        <v>370</v>
      </c>
      <c r="X124">
        <v>1.3332999999999999</v>
      </c>
      <c r="Y124">
        <v>269</v>
      </c>
      <c r="Z124">
        <v>4.6100000000000003</v>
      </c>
      <c r="AJ124">
        <v>2</v>
      </c>
      <c r="AK124">
        <v>18</v>
      </c>
      <c r="AM124">
        <v>0</v>
      </c>
      <c r="AO124" t="s">
        <v>409</v>
      </c>
      <c r="AT124">
        <v>47</v>
      </c>
      <c r="AV124">
        <v>31.7</v>
      </c>
      <c r="AW124">
        <v>0</v>
      </c>
      <c r="AX124">
        <v>0</v>
      </c>
      <c r="AY124">
        <v>36.25</v>
      </c>
      <c r="AZ124">
        <v>3.75</v>
      </c>
      <c r="BA124">
        <v>0</v>
      </c>
      <c r="BB124">
        <v>0</v>
      </c>
      <c r="BC124">
        <v>34</v>
      </c>
      <c r="BN124">
        <v>149.80000000000001</v>
      </c>
      <c r="BO124">
        <v>4624</v>
      </c>
      <c r="BP124">
        <v>0</v>
      </c>
      <c r="BQ124">
        <v>41</v>
      </c>
      <c r="BR124">
        <v>41</v>
      </c>
      <c r="BS124">
        <v>40.520000000000003</v>
      </c>
      <c r="BT124">
        <v>0</v>
      </c>
      <c r="BV124">
        <v>0</v>
      </c>
      <c r="BW124" t="s">
        <v>655</v>
      </c>
      <c r="BX124">
        <v>0.17</v>
      </c>
      <c r="BY124">
        <v>6.8883999999999999</v>
      </c>
      <c r="BZ124">
        <v>0</v>
      </c>
      <c r="CA124">
        <v>1</v>
      </c>
      <c r="CB124">
        <v>0.6</v>
      </c>
      <c r="CC124" s="3">
        <v>7.1269159999999998E-2</v>
      </c>
      <c r="CD124">
        <v>2.875</v>
      </c>
      <c r="CE124">
        <v>2.5</v>
      </c>
      <c r="CF124">
        <v>18</v>
      </c>
      <c r="CG124">
        <v>6</v>
      </c>
      <c r="CH124">
        <v>0</v>
      </c>
      <c r="CI124">
        <v>40.520000000000003</v>
      </c>
      <c r="CJ124">
        <v>252.6848</v>
      </c>
    </row>
    <row r="125" spans="1:88">
      <c r="A125">
        <v>123</v>
      </c>
      <c r="B125" t="s">
        <v>0</v>
      </c>
      <c r="C125" t="s">
        <v>1</v>
      </c>
      <c r="D125" t="s">
        <v>111</v>
      </c>
      <c r="E125" t="s">
        <v>113</v>
      </c>
      <c r="F125" t="s">
        <v>156</v>
      </c>
      <c r="G125" t="s">
        <v>15</v>
      </c>
      <c r="H125" t="s">
        <v>157</v>
      </c>
      <c r="J125">
        <v>2</v>
      </c>
      <c r="K125" t="s">
        <v>108</v>
      </c>
      <c r="L125" t="s">
        <v>116</v>
      </c>
      <c r="M125" t="s">
        <v>117</v>
      </c>
      <c r="N125" t="s">
        <v>14</v>
      </c>
      <c r="O125">
        <v>179</v>
      </c>
      <c r="Q125">
        <v>896</v>
      </c>
      <c r="R125">
        <v>118</v>
      </c>
      <c r="S125">
        <v>4.25</v>
      </c>
      <c r="T125">
        <v>4.7190000000000003</v>
      </c>
      <c r="U125">
        <v>7.05</v>
      </c>
      <c r="V125">
        <v>3807.49</v>
      </c>
      <c r="W125">
        <v>831</v>
      </c>
      <c r="X125">
        <v>1.3332999999999999</v>
      </c>
      <c r="Y125">
        <v>629</v>
      </c>
      <c r="Z125">
        <v>6.05</v>
      </c>
      <c r="AJ125">
        <v>2</v>
      </c>
      <c r="AK125">
        <v>18</v>
      </c>
      <c r="AM125">
        <v>0</v>
      </c>
      <c r="AO125" t="s">
        <v>160</v>
      </c>
      <c r="AT125">
        <v>68</v>
      </c>
      <c r="AV125">
        <v>67.8</v>
      </c>
      <c r="AW125" t="s">
        <v>6</v>
      </c>
      <c r="AX125" t="s">
        <v>6</v>
      </c>
      <c r="AY125" t="s">
        <v>6</v>
      </c>
      <c r="AZ125" t="s">
        <v>6</v>
      </c>
      <c r="BA125" t="s">
        <v>6</v>
      </c>
      <c r="BB125" t="s">
        <v>6</v>
      </c>
      <c r="BC125" t="s">
        <v>6</v>
      </c>
      <c r="BD125" t="s">
        <v>6</v>
      </c>
      <c r="BE125" t="s">
        <v>6</v>
      </c>
      <c r="BF125" t="s">
        <v>6</v>
      </c>
      <c r="BG125" t="s">
        <v>6</v>
      </c>
      <c r="BH125" t="s">
        <v>6</v>
      </c>
      <c r="BI125" t="s">
        <v>6</v>
      </c>
      <c r="BJ125" t="s">
        <v>6</v>
      </c>
      <c r="BN125">
        <v>577.74480000000005</v>
      </c>
      <c r="BO125">
        <v>3277</v>
      </c>
      <c r="BP125">
        <v>0</v>
      </c>
      <c r="BQ125">
        <v>61</v>
      </c>
      <c r="BR125">
        <v>61</v>
      </c>
      <c r="BS125">
        <v>61.39</v>
      </c>
      <c r="BT125">
        <v>0</v>
      </c>
      <c r="BV125">
        <v>0</v>
      </c>
      <c r="BW125" t="s">
        <v>655</v>
      </c>
      <c r="BX125">
        <v>0.17</v>
      </c>
      <c r="BY125">
        <v>10.436299999999999</v>
      </c>
      <c r="BZ125">
        <v>0</v>
      </c>
      <c r="CA125">
        <v>1</v>
      </c>
      <c r="CB125">
        <v>0.6</v>
      </c>
      <c r="CC125" s="3">
        <v>7.1269159999999998E-2</v>
      </c>
      <c r="CD125">
        <v>2.875</v>
      </c>
      <c r="CE125">
        <v>2.5</v>
      </c>
      <c r="CF125">
        <v>18</v>
      </c>
      <c r="CG125">
        <v>6</v>
      </c>
      <c r="CH125">
        <v>0</v>
      </c>
      <c r="CI125">
        <v>61.39</v>
      </c>
      <c r="CJ125">
        <v>817.61800000000005</v>
      </c>
    </row>
    <row r="126" spans="1:88">
      <c r="A126">
        <v>124</v>
      </c>
      <c r="B126" t="s">
        <v>0</v>
      </c>
      <c r="C126" t="s">
        <v>1</v>
      </c>
      <c r="D126" t="s">
        <v>255</v>
      </c>
      <c r="E126" t="s">
        <v>113</v>
      </c>
      <c r="F126" t="s">
        <v>196</v>
      </c>
      <c r="G126" t="s">
        <v>214</v>
      </c>
      <c r="H126" t="s">
        <v>410</v>
      </c>
      <c r="J126">
        <v>2</v>
      </c>
      <c r="K126" t="s">
        <v>108</v>
      </c>
      <c r="L126" t="s">
        <v>116</v>
      </c>
      <c r="M126" t="s">
        <v>117</v>
      </c>
      <c r="N126" t="s">
        <v>14</v>
      </c>
      <c r="O126">
        <v>179</v>
      </c>
      <c r="Q126">
        <v>830</v>
      </c>
      <c r="R126">
        <v>109</v>
      </c>
      <c r="S126">
        <v>4.25</v>
      </c>
      <c r="T126">
        <v>4.7190000000000003</v>
      </c>
      <c r="U126">
        <v>7.05</v>
      </c>
      <c r="V126">
        <v>3525.58</v>
      </c>
      <c r="W126">
        <v>770</v>
      </c>
      <c r="X126">
        <v>1.3332999999999999</v>
      </c>
      <c r="Y126">
        <v>583</v>
      </c>
      <c r="Z126">
        <v>6.05</v>
      </c>
      <c r="AJ126">
        <v>2</v>
      </c>
      <c r="AK126">
        <v>18</v>
      </c>
      <c r="AM126">
        <v>0</v>
      </c>
      <c r="AO126" t="s">
        <v>411</v>
      </c>
      <c r="AT126">
        <v>68</v>
      </c>
      <c r="AV126">
        <v>62.7</v>
      </c>
      <c r="AW126">
        <v>0.46875</v>
      </c>
      <c r="AX126">
        <v>3.75</v>
      </c>
      <c r="AY126">
        <v>63.25</v>
      </c>
      <c r="AZ126">
        <v>5.625</v>
      </c>
      <c r="BA126">
        <v>320.5</v>
      </c>
      <c r="BB126">
        <v>6.14</v>
      </c>
      <c r="BC126">
        <v>68</v>
      </c>
      <c r="BD126">
        <v>0.4375</v>
      </c>
      <c r="BE126">
        <v>3.75</v>
      </c>
      <c r="BF126">
        <v>54.25</v>
      </c>
      <c r="BG126">
        <v>5.25</v>
      </c>
      <c r="BH126">
        <v>262.24</v>
      </c>
      <c r="BI126">
        <v>6.27</v>
      </c>
      <c r="BJ126">
        <v>55</v>
      </c>
      <c r="BL126">
        <v>582.74</v>
      </c>
      <c r="BM126">
        <v>122</v>
      </c>
      <c r="BN126">
        <v>303.91829999999999</v>
      </c>
      <c r="BO126">
        <v>1410</v>
      </c>
      <c r="BP126">
        <v>0</v>
      </c>
      <c r="BQ126">
        <v>61</v>
      </c>
      <c r="BR126">
        <v>61</v>
      </c>
      <c r="BS126">
        <v>61.39</v>
      </c>
      <c r="BT126">
        <v>0</v>
      </c>
      <c r="BV126">
        <v>0</v>
      </c>
      <c r="BW126" t="s">
        <v>655</v>
      </c>
      <c r="BX126">
        <v>0.17</v>
      </c>
      <c r="BY126">
        <v>10.436299999999999</v>
      </c>
      <c r="BZ126">
        <v>0</v>
      </c>
      <c r="CA126">
        <v>1</v>
      </c>
      <c r="CB126">
        <v>0.6</v>
      </c>
      <c r="CC126" s="3">
        <v>7.1269159999999998E-2</v>
      </c>
      <c r="CD126">
        <v>2.875</v>
      </c>
      <c r="CE126">
        <v>2.5</v>
      </c>
      <c r="CF126">
        <v>18</v>
      </c>
      <c r="CG126">
        <v>6</v>
      </c>
      <c r="CH126">
        <v>0</v>
      </c>
      <c r="CI126">
        <v>61.39</v>
      </c>
      <c r="CJ126">
        <v>756.36500000000001</v>
      </c>
    </row>
    <row r="127" spans="1:88">
      <c r="A127">
        <v>125</v>
      </c>
      <c r="B127" t="s">
        <v>13</v>
      </c>
      <c r="C127" t="s">
        <v>1</v>
      </c>
      <c r="D127" t="s">
        <v>338</v>
      </c>
      <c r="E127" t="s">
        <v>279</v>
      </c>
      <c r="F127" t="s">
        <v>360</v>
      </c>
      <c r="G127" t="s">
        <v>106</v>
      </c>
      <c r="H127" t="s">
        <v>101</v>
      </c>
      <c r="J127">
        <v>2</v>
      </c>
      <c r="K127" t="s">
        <v>146</v>
      </c>
      <c r="L127" t="s">
        <v>201</v>
      </c>
      <c r="M127" t="s">
        <v>144</v>
      </c>
      <c r="N127" t="s">
        <v>267</v>
      </c>
      <c r="O127">
        <v>156</v>
      </c>
      <c r="Q127">
        <v>541</v>
      </c>
      <c r="R127">
        <v>83</v>
      </c>
      <c r="S127">
        <v>4.25</v>
      </c>
      <c r="T127">
        <v>4.1900000000000004</v>
      </c>
      <c r="U127">
        <v>6.82</v>
      </c>
      <c r="V127">
        <v>2297.12</v>
      </c>
      <c r="W127">
        <v>567</v>
      </c>
      <c r="X127">
        <v>1.3332999999999999</v>
      </c>
      <c r="Y127">
        <v>416</v>
      </c>
      <c r="Z127">
        <v>5.52</v>
      </c>
      <c r="AJ127">
        <v>2</v>
      </c>
      <c r="AK127">
        <v>18</v>
      </c>
      <c r="AM127">
        <v>0</v>
      </c>
      <c r="AO127" t="s">
        <v>403</v>
      </c>
      <c r="AT127">
        <v>60</v>
      </c>
      <c r="AV127">
        <v>46.2</v>
      </c>
      <c r="AW127">
        <v>0.46875</v>
      </c>
      <c r="AX127">
        <v>3.75</v>
      </c>
      <c r="AY127">
        <v>56.75</v>
      </c>
      <c r="AZ127">
        <v>5.125</v>
      </c>
      <c r="BA127">
        <v>357.03</v>
      </c>
      <c r="BB127">
        <v>5.52</v>
      </c>
      <c r="BC127">
        <v>61</v>
      </c>
      <c r="BD127">
        <v>0.25</v>
      </c>
      <c r="BE127">
        <v>2.75</v>
      </c>
      <c r="BF127">
        <v>19.375</v>
      </c>
      <c r="BG127">
        <v>2.75</v>
      </c>
      <c r="BH127">
        <v>59.11</v>
      </c>
      <c r="BI127">
        <v>5.8</v>
      </c>
      <c r="BJ127">
        <v>8</v>
      </c>
      <c r="BL127">
        <v>416.14</v>
      </c>
      <c r="BM127">
        <v>69</v>
      </c>
      <c r="BN127">
        <v>221.13339999999999</v>
      </c>
      <c r="BO127">
        <v>2122</v>
      </c>
      <c r="BP127">
        <v>0</v>
      </c>
      <c r="BQ127">
        <v>53</v>
      </c>
      <c r="BR127">
        <v>53</v>
      </c>
      <c r="BS127">
        <v>53.39</v>
      </c>
      <c r="BT127">
        <v>0</v>
      </c>
      <c r="BV127">
        <v>0</v>
      </c>
      <c r="BW127" t="s">
        <v>655</v>
      </c>
      <c r="BX127">
        <v>0.17</v>
      </c>
      <c r="BY127">
        <v>9.0762990000000006</v>
      </c>
      <c r="BZ127">
        <v>0</v>
      </c>
      <c r="CA127">
        <v>1</v>
      </c>
      <c r="CB127">
        <v>0.6</v>
      </c>
      <c r="CC127" s="3">
        <v>7.1269159999999998E-2</v>
      </c>
      <c r="CD127">
        <v>2.875</v>
      </c>
      <c r="CE127">
        <v>2.5</v>
      </c>
      <c r="CF127">
        <v>18</v>
      </c>
      <c r="CG127">
        <v>6</v>
      </c>
      <c r="CH127">
        <v>0</v>
      </c>
      <c r="CI127">
        <v>53.39</v>
      </c>
      <c r="CJ127">
        <v>485.14519999999999</v>
      </c>
    </row>
    <row r="128" spans="1:88">
      <c r="A128">
        <v>126</v>
      </c>
      <c r="B128" t="s">
        <v>0</v>
      </c>
      <c r="C128" t="s">
        <v>1</v>
      </c>
      <c r="D128" t="s">
        <v>221</v>
      </c>
      <c r="E128" t="s">
        <v>167</v>
      </c>
      <c r="F128" t="s">
        <v>405</v>
      </c>
      <c r="G128" t="s">
        <v>106</v>
      </c>
      <c r="H128" t="s">
        <v>366</v>
      </c>
      <c r="J128">
        <v>2</v>
      </c>
      <c r="K128" t="s">
        <v>146</v>
      </c>
      <c r="L128" t="s">
        <v>207</v>
      </c>
      <c r="M128" t="s">
        <v>327</v>
      </c>
      <c r="N128" t="s">
        <v>330</v>
      </c>
      <c r="O128">
        <v>133</v>
      </c>
      <c r="Q128">
        <v>355</v>
      </c>
      <c r="R128">
        <v>65</v>
      </c>
      <c r="S128">
        <v>4.25</v>
      </c>
      <c r="T128">
        <v>3.6349999999999998</v>
      </c>
      <c r="U128">
        <v>6.41</v>
      </c>
      <c r="V128">
        <v>1508.32</v>
      </c>
      <c r="W128">
        <v>419</v>
      </c>
      <c r="X128">
        <v>1.3332999999999999</v>
      </c>
      <c r="Y128">
        <v>304</v>
      </c>
      <c r="Z128">
        <v>4.96</v>
      </c>
      <c r="AJ128">
        <v>2</v>
      </c>
      <c r="AK128">
        <v>18</v>
      </c>
      <c r="AM128">
        <v>0</v>
      </c>
      <c r="AO128" t="s">
        <v>370</v>
      </c>
      <c r="AT128">
        <v>52</v>
      </c>
      <c r="AV128">
        <v>35</v>
      </c>
      <c r="AW128">
        <v>0</v>
      </c>
      <c r="AX128">
        <v>0</v>
      </c>
      <c r="AY128">
        <v>46.75</v>
      </c>
      <c r="AZ128">
        <v>4.375</v>
      </c>
      <c r="BA128">
        <v>0</v>
      </c>
      <c r="BB128">
        <v>0</v>
      </c>
      <c r="BC128">
        <v>47</v>
      </c>
      <c r="BN128">
        <v>165.85</v>
      </c>
      <c r="BO128">
        <v>3773</v>
      </c>
      <c r="BP128">
        <v>0</v>
      </c>
      <c r="BQ128">
        <v>45</v>
      </c>
      <c r="BR128">
        <v>45</v>
      </c>
      <c r="BS128">
        <v>45.39</v>
      </c>
      <c r="BT128">
        <v>0</v>
      </c>
      <c r="BV128">
        <v>0</v>
      </c>
      <c r="BW128" t="s">
        <v>655</v>
      </c>
      <c r="BX128">
        <v>0.17</v>
      </c>
      <c r="BY128">
        <v>7.7163000000000004</v>
      </c>
      <c r="BZ128">
        <v>0</v>
      </c>
      <c r="CA128">
        <v>1</v>
      </c>
      <c r="CB128">
        <v>0.6</v>
      </c>
      <c r="CC128" s="3">
        <v>7.1269159999999998E-2</v>
      </c>
      <c r="CD128">
        <v>2.875</v>
      </c>
      <c r="CE128">
        <v>2.5</v>
      </c>
      <c r="CF128">
        <v>18</v>
      </c>
      <c r="CG128">
        <v>6</v>
      </c>
      <c r="CH128">
        <v>0</v>
      </c>
      <c r="CI128">
        <v>45.39</v>
      </c>
      <c r="CJ128">
        <v>312.16849999999999</v>
      </c>
    </row>
    <row r="129" spans="1:88">
      <c r="A129">
        <v>127</v>
      </c>
      <c r="B129" t="s">
        <v>13</v>
      </c>
      <c r="C129" t="s">
        <v>1</v>
      </c>
      <c r="D129" t="s">
        <v>366</v>
      </c>
      <c r="E129" t="s">
        <v>267</v>
      </c>
      <c r="F129" t="s">
        <v>379</v>
      </c>
      <c r="G129" t="s">
        <v>106</v>
      </c>
      <c r="H129" t="s">
        <v>228</v>
      </c>
      <c r="J129">
        <v>2</v>
      </c>
      <c r="K129" t="s">
        <v>146</v>
      </c>
      <c r="L129" t="s">
        <v>113</v>
      </c>
      <c r="M129" t="s">
        <v>232</v>
      </c>
      <c r="N129" t="s">
        <v>258</v>
      </c>
      <c r="O129">
        <v>159</v>
      </c>
      <c r="Q129">
        <v>414</v>
      </c>
      <c r="R129">
        <v>65</v>
      </c>
      <c r="S129">
        <v>4.25</v>
      </c>
      <c r="T129">
        <v>4.26</v>
      </c>
      <c r="U129">
        <v>6.75</v>
      </c>
      <c r="V129">
        <v>1761.07</v>
      </c>
      <c r="W129">
        <v>437</v>
      </c>
      <c r="X129">
        <v>1.3332999999999999</v>
      </c>
      <c r="Y129">
        <v>315</v>
      </c>
      <c r="Z129">
        <v>5.59</v>
      </c>
      <c r="AJ129">
        <v>2</v>
      </c>
      <c r="AK129">
        <v>18</v>
      </c>
      <c r="AM129">
        <v>0</v>
      </c>
      <c r="AO129" t="s">
        <v>230</v>
      </c>
      <c r="AT129">
        <v>61</v>
      </c>
      <c r="AV129">
        <v>34.6</v>
      </c>
      <c r="AW129">
        <v>0</v>
      </c>
      <c r="AX129">
        <v>0</v>
      </c>
      <c r="AY129">
        <v>64.375</v>
      </c>
      <c r="AZ129">
        <v>5.25</v>
      </c>
      <c r="BA129">
        <v>0</v>
      </c>
      <c r="BB129">
        <v>0</v>
      </c>
      <c r="BC129">
        <v>69</v>
      </c>
      <c r="BN129">
        <v>164.0667</v>
      </c>
      <c r="BO129">
        <v>3855</v>
      </c>
      <c r="BP129">
        <v>0</v>
      </c>
      <c r="BQ129">
        <v>54</v>
      </c>
      <c r="BR129">
        <v>54</v>
      </c>
      <c r="BS129">
        <v>54.43</v>
      </c>
      <c r="BT129">
        <v>0</v>
      </c>
      <c r="BV129">
        <v>0</v>
      </c>
      <c r="BW129" t="s">
        <v>655</v>
      </c>
      <c r="BX129">
        <v>0.17</v>
      </c>
      <c r="BY129">
        <v>9.2531009999999991</v>
      </c>
      <c r="BZ129">
        <v>0</v>
      </c>
      <c r="CA129">
        <v>1</v>
      </c>
      <c r="CB129">
        <v>0.6</v>
      </c>
      <c r="CC129" s="3">
        <v>7.1269159999999998E-2</v>
      </c>
      <c r="CD129">
        <v>2.875</v>
      </c>
      <c r="CE129">
        <v>2.5</v>
      </c>
      <c r="CF129">
        <v>18</v>
      </c>
      <c r="CG129">
        <v>6</v>
      </c>
      <c r="CH129">
        <v>0</v>
      </c>
      <c r="CI129">
        <v>54.43</v>
      </c>
      <c r="CJ129">
        <v>370.46170000000001</v>
      </c>
    </row>
    <row r="130" spans="1:88">
      <c r="A130">
        <v>128</v>
      </c>
      <c r="B130" t="s">
        <v>0</v>
      </c>
      <c r="C130" t="s">
        <v>1</v>
      </c>
      <c r="D130" t="s">
        <v>324</v>
      </c>
      <c r="E130" t="s">
        <v>176</v>
      </c>
      <c r="F130" t="s">
        <v>325</v>
      </c>
      <c r="G130" t="s">
        <v>15</v>
      </c>
      <c r="H130" t="s">
        <v>324</v>
      </c>
      <c r="J130">
        <v>2</v>
      </c>
      <c r="K130" t="s">
        <v>9</v>
      </c>
      <c r="L130" t="s">
        <v>167</v>
      </c>
      <c r="M130" t="s">
        <v>226</v>
      </c>
      <c r="N130" t="s">
        <v>227</v>
      </c>
      <c r="O130">
        <v>113</v>
      </c>
      <c r="Q130">
        <v>755</v>
      </c>
      <c r="R130">
        <v>151</v>
      </c>
      <c r="S130">
        <v>4.25</v>
      </c>
      <c r="T130">
        <v>3.1280000000000001</v>
      </c>
      <c r="U130">
        <v>6.18</v>
      </c>
      <c r="V130">
        <v>3207.85</v>
      </c>
      <c r="W130">
        <v>935</v>
      </c>
      <c r="X130">
        <v>1.3332999999999999</v>
      </c>
      <c r="Y130">
        <v>719</v>
      </c>
      <c r="Z130">
        <v>4.46</v>
      </c>
      <c r="AJ130">
        <v>2</v>
      </c>
      <c r="AK130">
        <v>18</v>
      </c>
      <c r="AM130">
        <v>0</v>
      </c>
      <c r="AO130" t="s">
        <v>326</v>
      </c>
      <c r="AT130">
        <v>45</v>
      </c>
      <c r="AV130">
        <v>87</v>
      </c>
      <c r="AW130" t="s">
        <v>6</v>
      </c>
      <c r="AX130" t="s">
        <v>6</v>
      </c>
      <c r="AY130" t="s">
        <v>6</v>
      </c>
      <c r="AZ130" t="s">
        <v>6</v>
      </c>
      <c r="BA130" t="s">
        <v>6</v>
      </c>
      <c r="BB130" t="s">
        <v>6</v>
      </c>
      <c r="BC130" t="s">
        <v>6</v>
      </c>
      <c r="BD130" t="s">
        <v>6</v>
      </c>
      <c r="BE130" t="s">
        <v>6</v>
      </c>
      <c r="BF130" t="s">
        <v>6</v>
      </c>
      <c r="BG130" t="s">
        <v>6</v>
      </c>
      <c r="BH130" t="s">
        <v>6</v>
      </c>
      <c r="BI130" t="s">
        <v>6</v>
      </c>
      <c r="BJ130" t="s">
        <v>6</v>
      </c>
      <c r="BN130">
        <v>745.06970000000001</v>
      </c>
      <c r="BO130">
        <v>1970</v>
      </c>
      <c r="BP130">
        <v>0</v>
      </c>
      <c r="BQ130">
        <v>38</v>
      </c>
      <c r="BR130">
        <v>38</v>
      </c>
      <c r="BS130">
        <v>38.43</v>
      </c>
      <c r="BT130">
        <v>0</v>
      </c>
      <c r="BV130">
        <v>6</v>
      </c>
      <c r="BW130" t="s">
        <v>655</v>
      </c>
      <c r="BX130">
        <v>0.27933340000000001</v>
      </c>
      <c r="BY130">
        <v>10.734780000000001</v>
      </c>
      <c r="BZ130">
        <v>0</v>
      </c>
      <c r="CA130">
        <v>1</v>
      </c>
      <c r="CB130">
        <v>0.6</v>
      </c>
      <c r="CC130" s="3">
        <v>7.1269159999999998E-2</v>
      </c>
      <c r="CD130">
        <v>2.875</v>
      </c>
      <c r="CE130">
        <v>2.5</v>
      </c>
      <c r="CF130">
        <v>18</v>
      </c>
      <c r="CG130">
        <v>6</v>
      </c>
      <c r="CH130">
        <v>0</v>
      </c>
      <c r="CI130">
        <v>38.43</v>
      </c>
      <c r="CJ130">
        <v>656.9873</v>
      </c>
    </row>
    <row r="131" spans="1:88">
      <c r="A131">
        <v>129</v>
      </c>
      <c r="B131" t="s">
        <v>0</v>
      </c>
      <c r="C131" t="s">
        <v>1</v>
      </c>
      <c r="D131" t="s">
        <v>373</v>
      </c>
      <c r="E131" t="s">
        <v>136</v>
      </c>
      <c r="F131" t="s">
        <v>335</v>
      </c>
      <c r="G131" t="s">
        <v>106</v>
      </c>
      <c r="H131" t="s">
        <v>412</v>
      </c>
      <c r="J131">
        <v>2</v>
      </c>
      <c r="K131" t="s">
        <v>146</v>
      </c>
      <c r="L131" t="s">
        <v>150</v>
      </c>
      <c r="M131" t="s">
        <v>140</v>
      </c>
      <c r="N131" t="s">
        <v>141</v>
      </c>
      <c r="O131">
        <v>91</v>
      </c>
      <c r="Q131">
        <v>178</v>
      </c>
      <c r="R131">
        <v>44</v>
      </c>
      <c r="S131">
        <v>4.25</v>
      </c>
      <c r="T131">
        <v>2.54</v>
      </c>
      <c r="U131">
        <v>5.73</v>
      </c>
      <c r="V131">
        <v>755.65</v>
      </c>
      <c r="W131">
        <v>251</v>
      </c>
      <c r="X131">
        <v>1.3332999999999999</v>
      </c>
      <c r="Y131">
        <v>195</v>
      </c>
      <c r="Z131">
        <v>3.87</v>
      </c>
      <c r="AJ131">
        <v>2</v>
      </c>
      <c r="AK131">
        <v>18</v>
      </c>
      <c r="AM131">
        <v>0</v>
      </c>
      <c r="AO131" t="s">
        <v>413</v>
      </c>
      <c r="AT131">
        <v>37</v>
      </c>
      <c r="AV131">
        <v>24.5</v>
      </c>
      <c r="AW131">
        <v>0</v>
      </c>
      <c r="AX131">
        <v>0</v>
      </c>
      <c r="AY131">
        <v>33.125</v>
      </c>
      <c r="AZ131">
        <v>2.875</v>
      </c>
      <c r="BA131">
        <v>0</v>
      </c>
      <c r="BB131">
        <v>0</v>
      </c>
      <c r="BC131">
        <v>29</v>
      </c>
      <c r="BN131">
        <v>114.13339999999999</v>
      </c>
      <c r="BO131">
        <v>7966</v>
      </c>
      <c r="BP131">
        <v>0</v>
      </c>
      <c r="BQ131">
        <v>31</v>
      </c>
      <c r="BR131">
        <v>31</v>
      </c>
      <c r="BS131">
        <v>30.78</v>
      </c>
      <c r="BT131">
        <v>0</v>
      </c>
      <c r="BV131">
        <v>0</v>
      </c>
      <c r="BW131" t="s">
        <v>655</v>
      </c>
      <c r="BX131">
        <v>0.17</v>
      </c>
      <c r="BY131">
        <v>5.2325999999999997</v>
      </c>
      <c r="BZ131">
        <v>0</v>
      </c>
      <c r="CA131">
        <v>1</v>
      </c>
      <c r="CB131">
        <v>0.6</v>
      </c>
      <c r="CC131" s="3">
        <v>7.1269159999999998E-2</v>
      </c>
      <c r="CD131">
        <v>2.875</v>
      </c>
      <c r="CE131">
        <v>2.5</v>
      </c>
      <c r="CF131">
        <v>18</v>
      </c>
      <c r="CG131">
        <v>6</v>
      </c>
      <c r="CH131">
        <v>0</v>
      </c>
      <c r="CI131">
        <v>30.78</v>
      </c>
      <c r="CJ131">
        <v>148.07239999999999</v>
      </c>
    </row>
    <row r="132" spans="1:88">
      <c r="A132">
        <v>130</v>
      </c>
      <c r="B132" t="s">
        <v>13</v>
      </c>
      <c r="C132" t="s">
        <v>1</v>
      </c>
      <c r="D132" t="s">
        <v>172</v>
      </c>
      <c r="E132" t="s">
        <v>338</v>
      </c>
      <c r="F132" t="s">
        <v>359</v>
      </c>
      <c r="G132" t="s">
        <v>106</v>
      </c>
      <c r="H132" t="s">
        <v>330</v>
      </c>
      <c r="J132">
        <v>2</v>
      </c>
      <c r="K132" t="s">
        <v>146</v>
      </c>
      <c r="L132" t="s">
        <v>143</v>
      </c>
      <c r="M132" t="s">
        <v>339</v>
      </c>
      <c r="N132" t="s">
        <v>340</v>
      </c>
      <c r="O132">
        <v>135</v>
      </c>
      <c r="Q132">
        <v>480</v>
      </c>
      <c r="R132">
        <v>84</v>
      </c>
      <c r="S132">
        <v>4.25</v>
      </c>
      <c r="T132">
        <v>3.6850000000000001</v>
      </c>
      <c r="U132">
        <v>6.45</v>
      </c>
      <c r="V132">
        <v>2040.51</v>
      </c>
      <c r="W132">
        <v>544</v>
      </c>
      <c r="X132">
        <v>1.3332999999999999</v>
      </c>
      <c r="Y132">
        <v>407</v>
      </c>
      <c r="Z132">
        <v>5.01</v>
      </c>
      <c r="AJ132">
        <v>2</v>
      </c>
      <c r="AK132">
        <v>18</v>
      </c>
      <c r="AM132">
        <v>0</v>
      </c>
      <c r="AO132" t="s">
        <v>360</v>
      </c>
      <c r="AT132">
        <v>52</v>
      </c>
      <c r="AV132">
        <v>47</v>
      </c>
      <c r="AW132">
        <v>0.46875</v>
      </c>
      <c r="AX132">
        <v>3.75</v>
      </c>
      <c r="AY132">
        <v>51.5</v>
      </c>
      <c r="AZ132">
        <v>4.75</v>
      </c>
      <c r="BA132">
        <v>393.37</v>
      </c>
      <c r="BB132">
        <v>5.01</v>
      </c>
      <c r="BC132">
        <v>55</v>
      </c>
      <c r="BD132">
        <v>0.1875</v>
      </c>
      <c r="BE132">
        <v>2.75</v>
      </c>
      <c r="BF132">
        <v>19.125</v>
      </c>
      <c r="BG132">
        <v>1.875</v>
      </c>
      <c r="BH132">
        <v>13.91</v>
      </c>
      <c r="BI132">
        <v>10.9</v>
      </c>
      <c r="BJ132">
        <v>6</v>
      </c>
      <c r="BL132">
        <v>407.28</v>
      </c>
      <c r="BM132">
        <v>61</v>
      </c>
      <c r="BN132">
        <v>224.70009999999999</v>
      </c>
      <c r="BO132">
        <v>2055</v>
      </c>
      <c r="BP132">
        <v>0</v>
      </c>
      <c r="BQ132">
        <v>46</v>
      </c>
      <c r="BR132">
        <v>46</v>
      </c>
      <c r="BS132">
        <v>46.08</v>
      </c>
      <c r="BT132">
        <v>0</v>
      </c>
      <c r="BV132">
        <v>0</v>
      </c>
      <c r="BW132" t="s">
        <v>655</v>
      </c>
      <c r="BX132">
        <v>0.17</v>
      </c>
      <c r="BY132">
        <v>7.8336009999999998</v>
      </c>
      <c r="BZ132">
        <v>0</v>
      </c>
      <c r="CA132">
        <v>1</v>
      </c>
      <c r="CB132">
        <v>0.6</v>
      </c>
      <c r="CC132" s="3">
        <v>7.1269159999999998E-2</v>
      </c>
      <c r="CD132">
        <v>2.875</v>
      </c>
      <c r="CE132">
        <v>2.5</v>
      </c>
      <c r="CF132">
        <v>18</v>
      </c>
      <c r="CG132">
        <v>6</v>
      </c>
      <c r="CH132">
        <v>0</v>
      </c>
      <c r="CI132">
        <v>46.08</v>
      </c>
      <c r="CJ132">
        <v>425.28879999999998</v>
      </c>
    </row>
    <row r="133" spans="1:88">
      <c r="A133">
        <v>131</v>
      </c>
      <c r="B133" t="s">
        <v>0</v>
      </c>
      <c r="C133" t="s">
        <v>1</v>
      </c>
      <c r="D133" t="s">
        <v>3</v>
      </c>
      <c r="E133" t="s">
        <v>3</v>
      </c>
      <c r="F133" t="s">
        <v>306</v>
      </c>
      <c r="G133" t="s">
        <v>106</v>
      </c>
      <c r="H133" t="s">
        <v>307</v>
      </c>
      <c r="J133">
        <v>2</v>
      </c>
      <c r="K133" t="s">
        <v>146</v>
      </c>
      <c r="L133" t="s">
        <v>363</v>
      </c>
      <c r="M133" t="s">
        <v>383</v>
      </c>
      <c r="N133" t="s">
        <v>119</v>
      </c>
      <c r="O133">
        <v>125</v>
      </c>
      <c r="Q133">
        <v>407</v>
      </c>
      <c r="R133">
        <v>77</v>
      </c>
      <c r="S133">
        <v>4.25</v>
      </c>
      <c r="T133">
        <v>3.4350000000000001</v>
      </c>
      <c r="U133">
        <v>6.26</v>
      </c>
      <c r="V133">
        <v>1728.13</v>
      </c>
      <c r="W133">
        <v>485</v>
      </c>
      <c r="X133">
        <v>1.3332999999999999</v>
      </c>
      <c r="Y133">
        <v>363</v>
      </c>
      <c r="Z133">
        <v>4.76</v>
      </c>
      <c r="AJ133">
        <v>2</v>
      </c>
      <c r="AK133">
        <v>18</v>
      </c>
      <c r="AM133">
        <v>0</v>
      </c>
      <c r="AO133" t="s">
        <v>308</v>
      </c>
      <c r="AT133">
        <v>49</v>
      </c>
      <c r="AV133">
        <v>42.6</v>
      </c>
      <c r="AW133">
        <v>0</v>
      </c>
      <c r="AX133">
        <v>0</v>
      </c>
      <c r="AY133">
        <v>55.875</v>
      </c>
      <c r="AZ133">
        <v>4.5</v>
      </c>
      <c r="BA133">
        <v>0</v>
      </c>
      <c r="BB133">
        <v>0</v>
      </c>
      <c r="BC133">
        <v>60</v>
      </c>
      <c r="BN133">
        <v>203.3</v>
      </c>
      <c r="BO133">
        <v>2511</v>
      </c>
      <c r="BP133">
        <v>0</v>
      </c>
      <c r="BQ133">
        <v>43</v>
      </c>
      <c r="BR133">
        <v>43</v>
      </c>
      <c r="BS133">
        <v>42.6</v>
      </c>
      <c r="BT133">
        <v>0</v>
      </c>
      <c r="BV133">
        <v>0</v>
      </c>
      <c r="BW133" t="s">
        <v>655</v>
      </c>
      <c r="BX133">
        <v>0.17</v>
      </c>
      <c r="BY133">
        <v>7.242</v>
      </c>
      <c r="BZ133">
        <v>0</v>
      </c>
      <c r="CA133">
        <v>1</v>
      </c>
      <c r="CB133">
        <v>0.6</v>
      </c>
      <c r="CC133" s="3">
        <v>7.1269159999999998E-2</v>
      </c>
      <c r="CD133">
        <v>2.875</v>
      </c>
      <c r="CE133">
        <v>2.5</v>
      </c>
      <c r="CF133">
        <v>18</v>
      </c>
      <c r="CG133">
        <v>6</v>
      </c>
      <c r="CH133">
        <v>0</v>
      </c>
      <c r="CI133">
        <v>42.6</v>
      </c>
      <c r="CJ133">
        <v>356.73779999999999</v>
      </c>
    </row>
    <row r="134" spans="1:88">
      <c r="A134">
        <v>132</v>
      </c>
      <c r="B134" t="s">
        <v>0</v>
      </c>
      <c r="C134" t="s">
        <v>1</v>
      </c>
      <c r="D134" t="s">
        <v>151</v>
      </c>
      <c r="E134" t="s">
        <v>96</v>
      </c>
      <c r="F134" t="s">
        <v>385</v>
      </c>
      <c r="G134" t="s">
        <v>106</v>
      </c>
      <c r="H134" t="s">
        <v>2</v>
      </c>
      <c r="J134">
        <v>2</v>
      </c>
      <c r="K134" t="s">
        <v>146</v>
      </c>
      <c r="L134" t="s">
        <v>293</v>
      </c>
      <c r="M134" t="s">
        <v>100</v>
      </c>
      <c r="N134" t="s">
        <v>101</v>
      </c>
      <c r="O134">
        <v>131</v>
      </c>
      <c r="Q134">
        <v>364</v>
      </c>
      <c r="R134">
        <v>68</v>
      </c>
      <c r="S134">
        <v>4.25</v>
      </c>
      <c r="T134">
        <v>3.5859999999999999</v>
      </c>
      <c r="U134">
        <v>6.37</v>
      </c>
      <c r="V134">
        <v>1547.72</v>
      </c>
      <c r="W134">
        <v>431</v>
      </c>
      <c r="X134">
        <v>1.3332999999999999</v>
      </c>
      <c r="Y134">
        <v>315</v>
      </c>
      <c r="Z134">
        <v>4.91</v>
      </c>
      <c r="AJ134">
        <v>2</v>
      </c>
      <c r="AK134">
        <v>18</v>
      </c>
      <c r="AM134">
        <v>0</v>
      </c>
      <c r="AO134" t="s">
        <v>4</v>
      </c>
      <c r="AT134">
        <v>51</v>
      </c>
      <c r="AV134">
        <v>36.4</v>
      </c>
      <c r="AW134">
        <v>0</v>
      </c>
      <c r="AX134">
        <v>0</v>
      </c>
      <c r="AY134">
        <v>45.125</v>
      </c>
      <c r="AZ134">
        <v>4.25</v>
      </c>
      <c r="BA134">
        <v>0</v>
      </c>
      <c r="BB134">
        <v>0</v>
      </c>
      <c r="BC134">
        <v>46</v>
      </c>
      <c r="BN134">
        <v>172.98339999999999</v>
      </c>
      <c r="BO134">
        <v>3468</v>
      </c>
      <c r="BP134">
        <v>0</v>
      </c>
      <c r="BQ134">
        <v>45</v>
      </c>
      <c r="BR134">
        <v>45</v>
      </c>
      <c r="BS134">
        <v>44.69</v>
      </c>
      <c r="BT134">
        <v>0</v>
      </c>
      <c r="BV134">
        <v>0</v>
      </c>
      <c r="BW134" t="s">
        <v>655</v>
      </c>
      <c r="BX134">
        <v>0.17</v>
      </c>
      <c r="BY134">
        <v>7.5972999999999997</v>
      </c>
      <c r="BZ134">
        <v>0</v>
      </c>
      <c r="CA134">
        <v>1</v>
      </c>
      <c r="CB134">
        <v>0.6</v>
      </c>
      <c r="CC134" s="3">
        <v>7.1269159999999998E-2</v>
      </c>
      <c r="CD134">
        <v>2.875</v>
      </c>
      <c r="CE134">
        <v>2.5</v>
      </c>
      <c r="CF134">
        <v>18</v>
      </c>
      <c r="CG134">
        <v>6</v>
      </c>
      <c r="CH134">
        <v>0</v>
      </c>
      <c r="CI134">
        <v>44.69</v>
      </c>
      <c r="CJ134">
        <v>320.09429999999998</v>
      </c>
    </row>
    <row r="135" spans="1:88">
      <c r="A135">
        <v>133</v>
      </c>
      <c r="B135" t="s">
        <v>0</v>
      </c>
      <c r="C135" t="s">
        <v>1</v>
      </c>
      <c r="D135" t="s">
        <v>675</v>
      </c>
      <c r="E135" t="s">
        <v>8</v>
      </c>
      <c r="F135" t="s">
        <v>414</v>
      </c>
      <c r="G135" t="s">
        <v>20</v>
      </c>
      <c r="H135" t="s">
        <v>675</v>
      </c>
      <c r="J135">
        <v>2</v>
      </c>
      <c r="K135" t="s">
        <v>9</v>
      </c>
      <c r="L135" t="s">
        <v>10</v>
      </c>
      <c r="M135" t="s">
        <v>11</v>
      </c>
      <c r="N135" t="s">
        <v>12</v>
      </c>
      <c r="O135">
        <v>203</v>
      </c>
      <c r="Q135">
        <v>1304</v>
      </c>
      <c r="R135">
        <v>166</v>
      </c>
      <c r="S135">
        <v>4.25</v>
      </c>
      <c r="T135">
        <v>5.2460000000000004</v>
      </c>
      <c r="U135">
        <v>7.35</v>
      </c>
      <c r="V135">
        <v>5541.83</v>
      </c>
      <c r="W135">
        <v>1219</v>
      </c>
      <c r="X135">
        <v>1.5</v>
      </c>
      <c r="Y135">
        <v>822</v>
      </c>
      <c r="Z135">
        <v>6.74</v>
      </c>
      <c r="AJ135">
        <v>2</v>
      </c>
      <c r="AK135">
        <v>18</v>
      </c>
      <c r="AM135">
        <v>0</v>
      </c>
      <c r="AO135" t="s">
        <v>676</v>
      </c>
      <c r="AT135">
        <v>76</v>
      </c>
      <c r="AV135">
        <v>87.4</v>
      </c>
      <c r="AW135" t="s">
        <v>6</v>
      </c>
      <c r="AX135" t="s">
        <v>6</v>
      </c>
      <c r="AY135" t="s">
        <v>6</v>
      </c>
      <c r="AZ135" t="s">
        <v>6</v>
      </c>
      <c r="BA135" t="s">
        <v>6</v>
      </c>
      <c r="BB135" t="s">
        <v>6</v>
      </c>
      <c r="BC135" t="s">
        <v>6</v>
      </c>
      <c r="BD135" t="s">
        <v>6</v>
      </c>
      <c r="BE135" t="s">
        <v>6</v>
      </c>
      <c r="BF135" t="s">
        <v>6</v>
      </c>
      <c r="BG135" t="s">
        <v>6</v>
      </c>
      <c r="BH135" t="s">
        <v>6</v>
      </c>
      <c r="BI135" t="s">
        <v>6</v>
      </c>
      <c r="BJ135" t="s">
        <v>6</v>
      </c>
      <c r="BN135">
        <v>655.65060000000005</v>
      </c>
      <c r="BO135">
        <v>2786</v>
      </c>
      <c r="BP135">
        <v>0</v>
      </c>
      <c r="BQ135">
        <v>70</v>
      </c>
      <c r="BR135">
        <v>70</v>
      </c>
      <c r="BS135">
        <v>69.730009999999993</v>
      </c>
      <c r="BT135">
        <v>0</v>
      </c>
      <c r="BV135">
        <v>6</v>
      </c>
      <c r="BW135" t="s">
        <v>655</v>
      </c>
      <c r="BX135">
        <v>0.27933340000000001</v>
      </c>
      <c r="BY135">
        <v>19.477920000000001</v>
      </c>
      <c r="BZ135">
        <v>0</v>
      </c>
      <c r="CA135">
        <v>1</v>
      </c>
      <c r="CB135">
        <v>0.6</v>
      </c>
      <c r="CC135" s="3">
        <v>7.1269159999999998E-2</v>
      </c>
      <c r="CD135">
        <v>2.875</v>
      </c>
      <c r="CE135">
        <v>2.5</v>
      </c>
      <c r="CF135">
        <v>18</v>
      </c>
      <c r="CG135">
        <v>6</v>
      </c>
      <c r="CH135">
        <v>0</v>
      </c>
      <c r="CI135">
        <v>69.730009999999993</v>
      </c>
      <c r="CJ135">
        <v>1197.0519999999999</v>
      </c>
    </row>
    <row r="136" spans="1:88">
      <c r="A136">
        <v>134</v>
      </c>
      <c r="B136" t="s">
        <v>13</v>
      </c>
      <c r="C136" t="s">
        <v>1</v>
      </c>
      <c r="D136" t="s">
        <v>212</v>
      </c>
      <c r="E136" t="s">
        <v>113</v>
      </c>
      <c r="F136" t="s">
        <v>213</v>
      </c>
      <c r="G136" t="s">
        <v>15</v>
      </c>
      <c r="H136" t="s">
        <v>215</v>
      </c>
      <c r="J136">
        <v>2</v>
      </c>
      <c r="K136" t="s">
        <v>108</v>
      </c>
      <c r="L136" t="s">
        <v>116</v>
      </c>
      <c r="M136" t="s">
        <v>117</v>
      </c>
      <c r="N136" t="s">
        <v>14</v>
      </c>
      <c r="O136">
        <v>179</v>
      </c>
      <c r="Q136">
        <v>901</v>
      </c>
      <c r="R136">
        <v>119</v>
      </c>
      <c r="S136">
        <v>4.25</v>
      </c>
      <c r="T136">
        <v>4.7190000000000003</v>
      </c>
      <c r="U136">
        <v>7.05</v>
      </c>
      <c r="V136">
        <v>3827.59</v>
      </c>
      <c r="W136">
        <v>836</v>
      </c>
      <c r="X136">
        <v>1.3332999999999999</v>
      </c>
      <c r="Y136">
        <v>633</v>
      </c>
      <c r="Z136">
        <v>6.05</v>
      </c>
      <c r="AJ136">
        <v>2</v>
      </c>
      <c r="AK136">
        <v>18</v>
      </c>
      <c r="AM136">
        <v>0</v>
      </c>
      <c r="AO136" t="s">
        <v>216</v>
      </c>
      <c r="AT136">
        <v>68</v>
      </c>
      <c r="AV136">
        <v>68.099999999999994</v>
      </c>
      <c r="AW136" t="s">
        <v>6</v>
      </c>
      <c r="AX136" t="s">
        <v>6</v>
      </c>
      <c r="AY136" t="s">
        <v>6</v>
      </c>
      <c r="AZ136" t="s">
        <v>6</v>
      </c>
      <c r="BA136" t="s">
        <v>6</v>
      </c>
      <c r="BB136" t="s">
        <v>6</v>
      </c>
      <c r="BC136" t="s">
        <v>6</v>
      </c>
      <c r="BD136" t="s">
        <v>6</v>
      </c>
      <c r="BE136" t="s">
        <v>6</v>
      </c>
      <c r="BF136" t="s">
        <v>6</v>
      </c>
      <c r="BG136" t="s">
        <v>6</v>
      </c>
      <c r="BH136" t="s">
        <v>6</v>
      </c>
      <c r="BI136" t="s">
        <v>6</v>
      </c>
      <c r="BJ136" t="s">
        <v>6</v>
      </c>
      <c r="BN136">
        <v>580.90189999999996</v>
      </c>
      <c r="BO136">
        <v>3242</v>
      </c>
      <c r="BP136">
        <v>0</v>
      </c>
      <c r="BQ136">
        <v>61</v>
      </c>
      <c r="BR136">
        <v>61</v>
      </c>
      <c r="BS136">
        <v>61.39</v>
      </c>
      <c r="BT136">
        <v>0</v>
      </c>
      <c r="BV136">
        <v>0</v>
      </c>
      <c r="BW136" t="s">
        <v>655</v>
      </c>
      <c r="BX136">
        <v>0.17</v>
      </c>
      <c r="BY136">
        <v>10.436299999999999</v>
      </c>
      <c r="BZ136">
        <v>0</v>
      </c>
      <c r="CA136">
        <v>1</v>
      </c>
      <c r="CB136">
        <v>0.6</v>
      </c>
      <c r="CC136" s="3">
        <v>7.1269159999999998E-2</v>
      </c>
      <c r="CD136">
        <v>2.875</v>
      </c>
      <c r="CE136">
        <v>2.5</v>
      </c>
      <c r="CF136">
        <v>18</v>
      </c>
      <c r="CG136">
        <v>6</v>
      </c>
      <c r="CH136">
        <v>0</v>
      </c>
      <c r="CI136">
        <v>61.39</v>
      </c>
      <c r="CJ136">
        <v>821.99329999999998</v>
      </c>
    </row>
    <row r="137" spans="1:88">
      <c r="A137">
        <v>135</v>
      </c>
      <c r="B137" t="s">
        <v>0</v>
      </c>
      <c r="C137" t="s">
        <v>1</v>
      </c>
      <c r="D137" t="s">
        <v>123</v>
      </c>
      <c r="E137" t="s">
        <v>133</v>
      </c>
      <c r="F137" t="s">
        <v>118</v>
      </c>
      <c r="G137" t="s">
        <v>106</v>
      </c>
      <c r="H137" t="s">
        <v>386</v>
      </c>
      <c r="J137">
        <v>2</v>
      </c>
      <c r="K137" t="s">
        <v>108</v>
      </c>
      <c r="L137" t="s">
        <v>353</v>
      </c>
      <c r="M137" t="s">
        <v>194</v>
      </c>
      <c r="N137" t="s">
        <v>195</v>
      </c>
      <c r="O137">
        <v>143</v>
      </c>
      <c r="Q137">
        <v>685</v>
      </c>
      <c r="R137">
        <v>111</v>
      </c>
      <c r="S137">
        <v>4.25</v>
      </c>
      <c r="T137">
        <v>3.88</v>
      </c>
      <c r="U137">
        <v>6.6</v>
      </c>
      <c r="V137">
        <v>2909.46</v>
      </c>
      <c r="W137">
        <v>732</v>
      </c>
      <c r="X137">
        <v>1.3332999999999999</v>
      </c>
      <c r="Y137">
        <v>558</v>
      </c>
      <c r="Z137">
        <v>5.21</v>
      </c>
      <c r="AJ137">
        <v>2</v>
      </c>
      <c r="AK137">
        <v>18</v>
      </c>
      <c r="AM137">
        <v>0</v>
      </c>
      <c r="AO137" t="s">
        <v>357</v>
      </c>
      <c r="AT137">
        <v>55</v>
      </c>
      <c r="AV137">
        <v>63.8</v>
      </c>
      <c r="AW137">
        <v>0.4375</v>
      </c>
      <c r="AX137">
        <v>3.75</v>
      </c>
      <c r="AY137">
        <v>46.375</v>
      </c>
      <c r="AZ137">
        <v>4.5</v>
      </c>
      <c r="BA137">
        <v>307.13</v>
      </c>
      <c r="BB137">
        <v>5.35</v>
      </c>
      <c r="BC137">
        <v>47</v>
      </c>
      <c r="BD137">
        <v>0.40625</v>
      </c>
      <c r="BE137">
        <v>3.75</v>
      </c>
      <c r="BF137">
        <v>38.75</v>
      </c>
      <c r="BG137">
        <v>4.25</v>
      </c>
      <c r="BH137">
        <v>251.3</v>
      </c>
      <c r="BI137">
        <v>5.27</v>
      </c>
      <c r="BJ137">
        <v>37</v>
      </c>
      <c r="BL137">
        <v>558.42999999999995</v>
      </c>
      <c r="BM137">
        <v>83</v>
      </c>
      <c r="BN137">
        <v>306.73340000000002</v>
      </c>
      <c r="BO137">
        <v>1103</v>
      </c>
      <c r="BP137">
        <v>0</v>
      </c>
      <c r="BQ137">
        <v>49</v>
      </c>
      <c r="BR137">
        <v>49</v>
      </c>
      <c r="BS137">
        <v>48.86</v>
      </c>
      <c r="BT137">
        <v>0</v>
      </c>
      <c r="BV137">
        <v>0</v>
      </c>
      <c r="BW137" t="s">
        <v>655</v>
      </c>
      <c r="BX137">
        <v>0.17</v>
      </c>
      <c r="BY137">
        <v>8.3062000000000005</v>
      </c>
      <c r="BZ137">
        <v>0</v>
      </c>
      <c r="CA137">
        <v>1</v>
      </c>
      <c r="CB137">
        <v>0.6</v>
      </c>
      <c r="CC137" s="3">
        <v>7.1269159999999998E-2</v>
      </c>
      <c r="CD137">
        <v>2.875</v>
      </c>
      <c r="CE137">
        <v>2.5</v>
      </c>
      <c r="CF137">
        <v>18</v>
      </c>
      <c r="CG137">
        <v>6</v>
      </c>
      <c r="CH137">
        <v>0</v>
      </c>
      <c r="CI137">
        <v>48.86</v>
      </c>
      <c r="CJ137">
        <v>612.43380000000002</v>
      </c>
    </row>
    <row r="138" spans="1:88">
      <c r="A138">
        <v>136</v>
      </c>
      <c r="B138" t="s">
        <v>0</v>
      </c>
      <c r="C138" t="s">
        <v>1</v>
      </c>
      <c r="D138" t="s">
        <v>19</v>
      </c>
      <c r="E138" t="s">
        <v>104</v>
      </c>
      <c r="F138" t="s">
        <v>114</v>
      </c>
      <c r="G138" t="s">
        <v>214</v>
      </c>
      <c r="H138" t="s">
        <v>115</v>
      </c>
      <c r="J138">
        <v>2</v>
      </c>
      <c r="K138" t="s">
        <v>108</v>
      </c>
      <c r="L138" t="s">
        <v>109</v>
      </c>
      <c r="M138" t="s">
        <v>110</v>
      </c>
      <c r="N138" t="s">
        <v>111</v>
      </c>
      <c r="O138">
        <v>191</v>
      </c>
      <c r="Q138">
        <v>907</v>
      </c>
      <c r="R138">
        <v>112</v>
      </c>
      <c r="S138">
        <v>4.25</v>
      </c>
      <c r="T138">
        <v>4.9850000000000003</v>
      </c>
      <c r="U138">
        <v>7.27</v>
      </c>
      <c r="V138">
        <v>3853.9</v>
      </c>
      <c r="W138">
        <v>816</v>
      </c>
      <c r="X138">
        <v>1.3332999999999999</v>
      </c>
      <c r="Y138">
        <v>611</v>
      </c>
      <c r="Z138">
        <v>6.31</v>
      </c>
      <c r="AJ138">
        <v>2</v>
      </c>
      <c r="AK138">
        <v>18</v>
      </c>
      <c r="AM138">
        <v>0</v>
      </c>
      <c r="AO138" t="s">
        <v>118</v>
      </c>
      <c r="AT138">
        <v>72</v>
      </c>
      <c r="AV138">
        <v>64.5</v>
      </c>
      <c r="AW138">
        <v>0.46875</v>
      </c>
      <c r="AX138">
        <v>3.75</v>
      </c>
      <c r="AY138">
        <v>66.375</v>
      </c>
      <c r="AZ138">
        <v>5.875</v>
      </c>
      <c r="BA138">
        <v>305.38</v>
      </c>
      <c r="BB138">
        <v>6.45</v>
      </c>
      <c r="BC138">
        <v>71</v>
      </c>
      <c r="BD138">
        <v>0.46875</v>
      </c>
      <c r="BE138">
        <v>3.75</v>
      </c>
      <c r="BF138">
        <v>66.375</v>
      </c>
      <c r="BG138">
        <v>5.875</v>
      </c>
      <c r="BH138">
        <v>305.38</v>
      </c>
      <c r="BI138">
        <v>6.45</v>
      </c>
      <c r="BJ138">
        <v>71</v>
      </c>
      <c r="BL138">
        <v>610.76</v>
      </c>
      <c r="BM138">
        <v>142</v>
      </c>
      <c r="BN138">
        <v>312.91000000000003</v>
      </c>
      <c r="BO138">
        <v>1330</v>
      </c>
      <c r="BP138">
        <v>0</v>
      </c>
      <c r="BQ138">
        <v>66</v>
      </c>
      <c r="BR138">
        <v>66</v>
      </c>
      <c r="BS138">
        <v>65.56</v>
      </c>
      <c r="BT138">
        <v>0</v>
      </c>
      <c r="BV138">
        <v>0</v>
      </c>
      <c r="BW138" t="s">
        <v>655</v>
      </c>
      <c r="BX138">
        <v>0.17</v>
      </c>
      <c r="BY138">
        <v>11.145200000000001</v>
      </c>
      <c r="BZ138">
        <v>0</v>
      </c>
      <c r="CA138">
        <v>1</v>
      </c>
      <c r="CB138">
        <v>0.6</v>
      </c>
      <c r="CC138" s="3">
        <v>7.1269159999999998E-2</v>
      </c>
      <c r="CD138">
        <v>2.875</v>
      </c>
      <c r="CE138">
        <v>2.5</v>
      </c>
      <c r="CF138">
        <v>18</v>
      </c>
      <c r="CG138">
        <v>6</v>
      </c>
      <c r="CH138">
        <v>0</v>
      </c>
      <c r="CI138">
        <v>65.56</v>
      </c>
      <c r="CJ138">
        <v>831.10410000000002</v>
      </c>
    </row>
    <row r="139" spans="1:88">
      <c r="A139">
        <v>137</v>
      </c>
      <c r="B139" t="s">
        <v>13</v>
      </c>
      <c r="C139" t="s">
        <v>1</v>
      </c>
      <c r="D139" t="s">
        <v>139</v>
      </c>
      <c r="E139" t="s">
        <v>96</v>
      </c>
      <c r="F139" t="s">
        <v>155</v>
      </c>
      <c r="G139" t="s">
        <v>106</v>
      </c>
      <c r="H139" t="s">
        <v>151</v>
      </c>
      <c r="J139">
        <v>2</v>
      </c>
      <c r="K139" t="s">
        <v>146</v>
      </c>
      <c r="L139" t="s">
        <v>293</v>
      </c>
      <c r="M139" t="s">
        <v>100</v>
      </c>
      <c r="N139" t="s">
        <v>101</v>
      </c>
      <c r="O139">
        <v>131</v>
      </c>
      <c r="Q139">
        <v>368</v>
      </c>
      <c r="R139">
        <v>68</v>
      </c>
      <c r="S139">
        <v>4.25</v>
      </c>
      <c r="T139">
        <v>3.5859999999999999</v>
      </c>
      <c r="U139">
        <v>6.37</v>
      </c>
      <c r="V139">
        <v>1562.76</v>
      </c>
      <c r="W139">
        <v>435</v>
      </c>
      <c r="X139">
        <v>1.3332999999999999</v>
      </c>
      <c r="Y139">
        <v>318</v>
      </c>
      <c r="Z139">
        <v>4.91</v>
      </c>
      <c r="AJ139">
        <v>2</v>
      </c>
      <c r="AK139">
        <v>18</v>
      </c>
      <c r="AM139">
        <v>0</v>
      </c>
      <c r="AO139" t="s">
        <v>154</v>
      </c>
      <c r="AT139">
        <v>51</v>
      </c>
      <c r="AV139">
        <v>36.799999999999997</v>
      </c>
      <c r="AW139">
        <v>0</v>
      </c>
      <c r="AX139">
        <v>0</v>
      </c>
      <c r="AY139">
        <v>44.75</v>
      </c>
      <c r="AZ139">
        <v>4.25</v>
      </c>
      <c r="BA139">
        <v>0</v>
      </c>
      <c r="BB139">
        <v>0</v>
      </c>
      <c r="BC139">
        <v>45</v>
      </c>
      <c r="BN139">
        <v>174.76669999999999</v>
      </c>
      <c r="BO139">
        <v>3397</v>
      </c>
      <c r="BP139">
        <v>0</v>
      </c>
      <c r="BQ139">
        <v>45</v>
      </c>
      <c r="BR139">
        <v>45</v>
      </c>
      <c r="BS139">
        <v>44.69</v>
      </c>
      <c r="BT139">
        <v>0</v>
      </c>
      <c r="BV139">
        <v>0</v>
      </c>
      <c r="BW139" t="s">
        <v>655</v>
      </c>
      <c r="BX139">
        <v>0.17</v>
      </c>
      <c r="BY139">
        <v>7.5972999999999997</v>
      </c>
      <c r="BZ139">
        <v>0</v>
      </c>
      <c r="CA139">
        <v>1</v>
      </c>
      <c r="CB139">
        <v>0.6</v>
      </c>
      <c r="CC139" s="3">
        <v>7.1269159999999998E-2</v>
      </c>
      <c r="CD139">
        <v>2.875</v>
      </c>
      <c r="CE139">
        <v>2.5</v>
      </c>
      <c r="CF139">
        <v>18</v>
      </c>
      <c r="CG139">
        <v>6</v>
      </c>
      <c r="CH139">
        <v>0</v>
      </c>
      <c r="CI139">
        <v>44.69</v>
      </c>
      <c r="CJ139">
        <v>323.27940000000001</v>
      </c>
    </row>
    <row r="140" spans="1:88">
      <c r="A140">
        <v>138</v>
      </c>
      <c r="B140" t="s">
        <v>0</v>
      </c>
      <c r="C140" t="s">
        <v>1</v>
      </c>
      <c r="D140" t="s">
        <v>302</v>
      </c>
      <c r="E140" t="s">
        <v>104</v>
      </c>
      <c r="F140" t="s">
        <v>401</v>
      </c>
      <c r="G140" t="s">
        <v>15</v>
      </c>
      <c r="H140" t="s">
        <v>402</v>
      </c>
      <c r="J140">
        <v>2</v>
      </c>
      <c r="K140" t="s">
        <v>108</v>
      </c>
      <c r="L140" t="s">
        <v>109</v>
      </c>
      <c r="M140" t="s">
        <v>110</v>
      </c>
      <c r="N140" t="s">
        <v>111</v>
      </c>
      <c r="O140">
        <v>191</v>
      </c>
      <c r="Q140">
        <v>1008</v>
      </c>
      <c r="R140">
        <v>125</v>
      </c>
      <c r="S140">
        <v>4.25</v>
      </c>
      <c r="T140">
        <v>4.9850000000000003</v>
      </c>
      <c r="U140">
        <v>7.27</v>
      </c>
      <c r="V140">
        <v>4281.91</v>
      </c>
      <c r="W140">
        <v>908</v>
      </c>
      <c r="X140">
        <v>1.3332999999999999</v>
      </c>
      <c r="Y140">
        <v>679</v>
      </c>
      <c r="Z140">
        <v>6.31</v>
      </c>
      <c r="AJ140">
        <v>2</v>
      </c>
      <c r="AK140">
        <v>18</v>
      </c>
      <c r="AM140">
        <v>0</v>
      </c>
      <c r="AO140" t="s">
        <v>246</v>
      </c>
      <c r="AT140">
        <v>72</v>
      </c>
      <c r="AV140">
        <v>71.8</v>
      </c>
      <c r="AW140" t="s">
        <v>6</v>
      </c>
      <c r="AX140" t="s">
        <v>6</v>
      </c>
      <c r="AY140" t="s">
        <v>6</v>
      </c>
      <c r="AZ140" t="s">
        <v>6</v>
      </c>
      <c r="BA140" t="s">
        <v>6</v>
      </c>
      <c r="BB140" t="s">
        <v>6</v>
      </c>
      <c r="BC140" t="s">
        <v>6</v>
      </c>
      <c r="BD140" t="s">
        <v>6</v>
      </c>
      <c r="BE140" t="s">
        <v>6</v>
      </c>
      <c r="BF140" t="s">
        <v>6</v>
      </c>
      <c r="BG140" t="s">
        <v>6</v>
      </c>
      <c r="BH140" t="s">
        <v>6</v>
      </c>
      <c r="BI140" t="s">
        <v>6</v>
      </c>
      <c r="BJ140" t="s">
        <v>6</v>
      </c>
      <c r="BN140">
        <v>612.47260000000006</v>
      </c>
      <c r="BO140">
        <v>2916</v>
      </c>
      <c r="BP140">
        <v>0</v>
      </c>
      <c r="BQ140">
        <v>66</v>
      </c>
      <c r="BR140">
        <v>66</v>
      </c>
      <c r="BS140">
        <v>65.56</v>
      </c>
      <c r="BT140">
        <v>0</v>
      </c>
      <c r="BV140">
        <v>0</v>
      </c>
      <c r="BW140" t="s">
        <v>655</v>
      </c>
      <c r="BX140">
        <v>0.17</v>
      </c>
      <c r="BY140">
        <v>11.145200000000001</v>
      </c>
      <c r="BZ140">
        <v>0</v>
      </c>
      <c r="CA140">
        <v>1</v>
      </c>
      <c r="CB140">
        <v>0.6</v>
      </c>
      <c r="CC140" s="3">
        <v>7.1269159999999998E-2</v>
      </c>
      <c r="CD140">
        <v>2.875</v>
      </c>
      <c r="CE140">
        <v>2.5</v>
      </c>
      <c r="CF140">
        <v>18</v>
      </c>
      <c r="CG140">
        <v>6</v>
      </c>
      <c r="CH140">
        <v>0</v>
      </c>
      <c r="CI140">
        <v>65.56</v>
      </c>
      <c r="CJ140">
        <v>924.55219999999997</v>
      </c>
    </row>
    <row r="141" spans="1:88">
      <c r="A141">
        <v>139</v>
      </c>
      <c r="B141" t="s">
        <v>0</v>
      </c>
      <c r="C141" t="s">
        <v>1</v>
      </c>
      <c r="D141" t="s">
        <v>2</v>
      </c>
      <c r="E141" t="s">
        <v>3</v>
      </c>
      <c r="F141" t="s">
        <v>154</v>
      </c>
      <c r="G141" t="s">
        <v>106</v>
      </c>
      <c r="H141" t="s">
        <v>217</v>
      </c>
      <c r="J141">
        <v>2</v>
      </c>
      <c r="K141" t="s">
        <v>146</v>
      </c>
      <c r="L141" t="s">
        <v>363</v>
      </c>
      <c r="M141" t="s">
        <v>383</v>
      </c>
      <c r="N141" t="s">
        <v>119</v>
      </c>
      <c r="O141">
        <v>125</v>
      </c>
      <c r="Q141">
        <v>345</v>
      </c>
      <c r="R141">
        <v>67</v>
      </c>
      <c r="S141">
        <v>4.25</v>
      </c>
      <c r="T141">
        <v>3.4350000000000001</v>
      </c>
      <c r="U141">
        <v>6.26</v>
      </c>
      <c r="V141">
        <v>1468.12</v>
      </c>
      <c r="W141">
        <v>420</v>
      </c>
      <c r="X141">
        <v>1.3332999999999999</v>
      </c>
      <c r="Y141">
        <v>308</v>
      </c>
      <c r="Z141">
        <v>4.76</v>
      </c>
      <c r="AJ141">
        <v>2</v>
      </c>
      <c r="AK141">
        <v>18</v>
      </c>
      <c r="AM141">
        <v>0</v>
      </c>
      <c r="AO141" t="s">
        <v>218</v>
      </c>
      <c r="AT141">
        <v>49</v>
      </c>
      <c r="AV141">
        <v>36.1</v>
      </c>
      <c r="AW141">
        <v>0</v>
      </c>
      <c r="AX141">
        <v>0</v>
      </c>
      <c r="AY141">
        <v>46.125</v>
      </c>
      <c r="AZ141">
        <v>4.125</v>
      </c>
      <c r="BA141">
        <v>0</v>
      </c>
      <c r="BB141">
        <v>0</v>
      </c>
      <c r="BC141">
        <v>47</v>
      </c>
      <c r="BN141">
        <v>171.2</v>
      </c>
      <c r="BO141">
        <v>3540</v>
      </c>
      <c r="BP141">
        <v>0</v>
      </c>
      <c r="BQ141">
        <v>43</v>
      </c>
      <c r="BR141">
        <v>43</v>
      </c>
      <c r="BS141">
        <v>42.6</v>
      </c>
      <c r="BT141">
        <v>0</v>
      </c>
      <c r="BV141">
        <v>0</v>
      </c>
      <c r="BW141" t="s">
        <v>655</v>
      </c>
      <c r="BX141">
        <v>0.17</v>
      </c>
      <c r="BY141">
        <v>7.242</v>
      </c>
      <c r="BZ141">
        <v>0</v>
      </c>
      <c r="CA141">
        <v>1</v>
      </c>
      <c r="CB141">
        <v>0.6</v>
      </c>
      <c r="CC141" s="3">
        <v>7.1269159999999998E-2</v>
      </c>
      <c r="CD141">
        <v>2.875</v>
      </c>
      <c r="CE141">
        <v>2.5</v>
      </c>
      <c r="CF141">
        <v>18</v>
      </c>
      <c r="CG141">
        <v>6</v>
      </c>
      <c r="CH141">
        <v>0</v>
      </c>
      <c r="CI141">
        <v>42.6</v>
      </c>
      <c r="CJ141">
        <v>302.08850000000001</v>
      </c>
    </row>
    <row r="142" spans="1:88">
      <c r="A142">
        <v>140</v>
      </c>
      <c r="B142" t="s">
        <v>0</v>
      </c>
      <c r="C142" t="s">
        <v>1</v>
      </c>
      <c r="D142" t="s">
        <v>363</v>
      </c>
      <c r="E142" t="s">
        <v>113</v>
      </c>
      <c r="F142" t="s">
        <v>256</v>
      </c>
      <c r="G142" t="s">
        <v>106</v>
      </c>
      <c r="H142" t="s">
        <v>364</v>
      </c>
      <c r="J142">
        <v>2</v>
      </c>
      <c r="K142" t="s">
        <v>146</v>
      </c>
      <c r="L142" t="s">
        <v>116</v>
      </c>
      <c r="M142" t="s">
        <v>117</v>
      </c>
      <c r="N142" t="s">
        <v>14</v>
      </c>
      <c r="O142">
        <v>179</v>
      </c>
      <c r="Q142">
        <v>662</v>
      </c>
      <c r="R142">
        <v>89</v>
      </c>
      <c r="S142">
        <v>4.25</v>
      </c>
      <c r="T142">
        <v>4.7190000000000003</v>
      </c>
      <c r="U142">
        <v>7.05</v>
      </c>
      <c r="V142">
        <v>2813.2</v>
      </c>
      <c r="W142">
        <v>627</v>
      </c>
      <c r="X142">
        <v>1.3332999999999999</v>
      </c>
      <c r="Y142">
        <v>465</v>
      </c>
      <c r="Z142">
        <v>6.05</v>
      </c>
      <c r="AJ142">
        <v>2</v>
      </c>
      <c r="AK142">
        <v>18</v>
      </c>
      <c r="AM142">
        <v>0</v>
      </c>
      <c r="AO142" t="s">
        <v>298</v>
      </c>
      <c r="AT142">
        <v>68</v>
      </c>
      <c r="AV142">
        <v>49.9</v>
      </c>
      <c r="AW142" t="s">
        <v>6</v>
      </c>
      <c r="AX142" t="s">
        <v>6</v>
      </c>
      <c r="AY142" t="s">
        <v>6</v>
      </c>
      <c r="AZ142" t="s">
        <v>6</v>
      </c>
      <c r="BA142" t="s">
        <v>6</v>
      </c>
      <c r="BB142" t="s">
        <v>6</v>
      </c>
      <c r="BC142" t="s">
        <v>6</v>
      </c>
      <c r="BD142" t="s">
        <v>6</v>
      </c>
      <c r="BE142" t="s">
        <v>6</v>
      </c>
      <c r="BF142" t="s">
        <v>6</v>
      </c>
      <c r="BG142" t="s">
        <v>6</v>
      </c>
      <c r="BH142" t="s">
        <v>6</v>
      </c>
      <c r="BI142" t="s">
        <v>6</v>
      </c>
      <c r="BJ142" t="s">
        <v>6</v>
      </c>
      <c r="BN142">
        <v>238.9667</v>
      </c>
      <c r="BO142">
        <v>1817</v>
      </c>
      <c r="BP142">
        <v>0</v>
      </c>
      <c r="BQ142">
        <v>61</v>
      </c>
      <c r="BR142">
        <v>61</v>
      </c>
      <c r="BS142">
        <v>61.39</v>
      </c>
      <c r="BT142">
        <v>0</v>
      </c>
      <c r="BV142">
        <v>0</v>
      </c>
      <c r="BW142" t="s">
        <v>655</v>
      </c>
      <c r="BX142">
        <v>0.17</v>
      </c>
      <c r="BY142">
        <v>10.436299999999999</v>
      </c>
      <c r="BZ142">
        <v>0</v>
      </c>
      <c r="CA142">
        <v>1</v>
      </c>
      <c r="CB142">
        <v>0.6</v>
      </c>
      <c r="CC142" s="3">
        <v>7.1269159999999998E-2</v>
      </c>
      <c r="CD142">
        <v>2.875</v>
      </c>
      <c r="CE142">
        <v>2.5</v>
      </c>
      <c r="CF142">
        <v>18</v>
      </c>
      <c r="CG142">
        <v>6</v>
      </c>
      <c r="CH142">
        <v>0</v>
      </c>
      <c r="CI142">
        <v>61.39</v>
      </c>
      <c r="CJ142">
        <v>601.59190000000001</v>
      </c>
    </row>
    <row r="143" spans="1:88">
      <c r="A143">
        <v>141</v>
      </c>
      <c r="B143" t="s">
        <v>0</v>
      </c>
      <c r="C143" t="s">
        <v>1</v>
      </c>
      <c r="D143" t="s">
        <v>276</v>
      </c>
      <c r="E143" t="s">
        <v>197</v>
      </c>
      <c r="F143" t="s">
        <v>415</v>
      </c>
      <c r="G143" t="s">
        <v>15</v>
      </c>
      <c r="H143" t="s">
        <v>416</v>
      </c>
      <c r="J143">
        <v>2</v>
      </c>
      <c r="K143" t="s">
        <v>108</v>
      </c>
      <c r="L143" t="s">
        <v>199</v>
      </c>
      <c r="M143" t="s">
        <v>200</v>
      </c>
      <c r="N143" t="s">
        <v>201</v>
      </c>
      <c r="O143">
        <v>173</v>
      </c>
      <c r="Q143">
        <v>895</v>
      </c>
      <c r="R143">
        <v>122</v>
      </c>
      <c r="S143">
        <v>4.25</v>
      </c>
      <c r="T143">
        <v>4.5830000000000002</v>
      </c>
      <c r="U143">
        <v>6.97</v>
      </c>
      <c r="V143">
        <v>3804.72</v>
      </c>
      <c r="W143">
        <v>848</v>
      </c>
      <c r="X143">
        <v>1.3332999999999999</v>
      </c>
      <c r="Y143">
        <v>644</v>
      </c>
      <c r="Z143">
        <v>5.91</v>
      </c>
      <c r="AJ143">
        <v>2</v>
      </c>
      <c r="AK143">
        <v>18</v>
      </c>
      <c r="AM143">
        <v>0</v>
      </c>
      <c r="AO143" t="s">
        <v>417</v>
      </c>
      <c r="AT143">
        <v>65</v>
      </c>
      <c r="AV143">
        <v>70</v>
      </c>
      <c r="AW143" t="s">
        <v>6</v>
      </c>
      <c r="AX143" t="s">
        <v>6</v>
      </c>
      <c r="AY143" t="s">
        <v>6</v>
      </c>
      <c r="AZ143" t="s">
        <v>6</v>
      </c>
      <c r="BA143" t="s">
        <v>6</v>
      </c>
      <c r="BB143" t="s">
        <v>6</v>
      </c>
      <c r="BC143" t="s">
        <v>6</v>
      </c>
      <c r="BD143" t="s">
        <v>6</v>
      </c>
      <c r="BE143" t="s">
        <v>6</v>
      </c>
      <c r="BF143" t="s">
        <v>6</v>
      </c>
      <c r="BG143" t="s">
        <v>6</v>
      </c>
      <c r="BH143" t="s">
        <v>6</v>
      </c>
      <c r="BI143" t="s">
        <v>6</v>
      </c>
      <c r="BJ143" t="s">
        <v>6</v>
      </c>
      <c r="BN143">
        <v>596.68719999999996</v>
      </c>
      <c r="BO143">
        <v>3072</v>
      </c>
      <c r="BP143">
        <v>0</v>
      </c>
      <c r="BQ143">
        <v>59</v>
      </c>
      <c r="BR143">
        <v>59</v>
      </c>
      <c r="BS143">
        <v>59.3</v>
      </c>
      <c r="BT143">
        <v>0</v>
      </c>
      <c r="BV143">
        <v>0</v>
      </c>
      <c r="BW143" t="s">
        <v>655</v>
      </c>
      <c r="BX143">
        <v>0.17</v>
      </c>
      <c r="BY143">
        <v>10.081</v>
      </c>
      <c r="BZ143">
        <v>0</v>
      </c>
      <c r="CA143">
        <v>1</v>
      </c>
      <c r="CB143">
        <v>0.6</v>
      </c>
      <c r="CC143" s="3">
        <v>7.1269159999999998E-2</v>
      </c>
      <c r="CD143">
        <v>2.875</v>
      </c>
      <c r="CE143">
        <v>2.5</v>
      </c>
      <c r="CF143">
        <v>18</v>
      </c>
      <c r="CG143">
        <v>6</v>
      </c>
      <c r="CH143">
        <v>0</v>
      </c>
      <c r="CI143">
        <v>59.3</v>
      </c>
      <c r="CJ143">
        <v>815.14</v>
      </c>
    </row>
    <row r="144" spans="1:88">
      <c r="A144">
        <v>142</v>
      </c>
      <c r="B144" t="s">
        <v>0</v>
      </c>
      <c r="C144" t="s">
        <v>1</v>
      </c>
      <c r="D144" t="s">
        <v>17</v>
      </c>
      <c r="E144" t="s">
        <v>158</v>
      </c>
      <c r="F144" t="s">
        <v>418</v>
      </c>
      <c r="G144" t="s">
        <v>214</v>
      </c>
      <c r="H144" t="s">
        <v>419</v>
      </c>
      <c r="J144">
        <v>2</v>
      </c>
      <c r="K144" t="s">
        <v>108</v>
      </c>
      <c r="L144" t="s">
        <v>99</v>
      </c>
      <c r="M144" t="s">
        <v>121</v>
      </c>
      <c r="N144" t="s">
        <v>235</v>
      </c>
      <c r="O144">
        <v>129</v>
      </c>
      <c r="Q144">
        <v>689</v>
      </c>
      <c r="R144">
        <v>123</v>
      </c>
      <c r="S144">
        <v>4.25</v>
      </c>
      <c r="T144">
        <v>3.536</v>
      </c>
      <c r="U144">
        <v>6.33</v>
      </c>
      <c r="V144">
        <v>2929.52</v>
      </c>
      <c r="W144">
        <v>778</v>
      </c>
      <c r="X144">
        <v>1.3332999999999999</v>
      </c>
      <c r="Y144">
        <v>603</v>
      </c>
      <c r="Z144">
        <v>4.8600000000000003</v>
      </c>
      <c r="AJ144">
        <v>2</v>
      </c>
      <c r="AK144">
        <v>18</v>
      </c>
      <c r="AM144">
        <v>0</v>
      </c>
      <c r="AO144" t="s">
        <v>415</v>
      </c>
      <c r="AT144">
        <v>50</v>
      </c>
      <c r="AV144">
        <v>70.7</v>
      </c>
      <c r="AW144">
        <v>0.4375</v>
      </c>
      <c r="AX144">
        <v>3.75</v>
      </c>
      <c r="AY144">
        <v>42.875</v>
      </c>
      <c r="AZ144">
        <v>4.25</v>
      </c>
      <c r="BA144">
        <v>331.52</v>
      </c>
      <c r="BB144">
        <v>4.96</v>
      </c>
      <c r="BC144">
        <v>43</v>
      </c>
      <c r="BD144">
        <v>0.40625</v>
      </c>
      <c r="BE144">
        <v>3.75</v>
      </c>
      <c r="BF144">
        <v>35.875</v>
      </c>
      <c r="BG144">
        <v>4</v>
      </c>
      <c r="BH144">
        <v>271.26</v>
      </c>
      <c r="BI144">
        <v>4.88</v>
      </c>
      <c r="BJ144">
        <v>34</v>
      </c>
      <c r="BL144">
        <v>602.78</v>
      </c>
      <c r="BM144">
        <v>77</v>
      </c>
      <c r="BN144">
        <v>343.48169999999999</v>
      </c>
      <c r="BO144">
        <v>1104</v>
      </c>
      <c r="BP144">
        <v>0</v>
      </c>
      <c r="BQ144">
        <v>44</v>
      </c>
      <c r="BR144">
        <v>44</v>
      </c>
      <c r="BS144">
        <v>44</v>
      </c>
      <c r="BT144">
        <v>0</v>
      </c>
      <c r="BV144">
        <v>0</v>
      </c>
      <c r="BW144" t="s">
        <v>655</v>
      </c>
      <c r="BX144">
        <v>0.17</v>
      </c>
      <c r="BY144">
        <v>7.48</v>
      </c>
      <c r="BZ144">
        <v>0</v>
      </c>
      <c r="CA144">
        <v>1</v>
      </c>
      <c r="CB144">
        <v>0.6</v>
      </c>
      <c r="CC144" s="3">
        <v>7.1269159999999998E-2</v>
      </c>
      <c r="CD144">
        <v>2.875</v>
      </c>
      <c r="CE144">
        <v>2.5</v>
      </c>
      <c r="CF144">
        <v>18</v>
      </c>
      <c r="CG144">
        <v>6</v>
      </c>
      <c r="CH144">
        <v>0</v>
      </c>
      <c r="CI144">
        <v>44</v>
      </c>
      <c r="CJ144">
        <v>611.09739999999999</v>
      </c>
    </row>
    <row r="145" spans="1:88">
      <c r="A145">
        <v>143</v>
      </c>
      <c r="B145" t="s">
        <v>0</v>
      </c>
      <c r="C145" t="s">
        <v>1</v>
      </c>
      <c r="D145" t="s">
        <v>420</v>
      </c>
      <c r="E145" t="s">
        <v>272</v>
      </c>
      <c r="F145" t="s">
        <v>421</v>
      </c>
      <c r="G145" t="s">
        <v>15</v>
      </c>
      <c r="H145" t="s">
        <v>420</v>
      </c>
      <c r="J145">
        <v>2</v>
      </c>
      <c r="K145" t="s">
        <v>9</v>
      </c>
      <c r="L145" t="s">
        <v>255</v>
      </c>
      <c r="M145" t="s">
        <v>269</v>
      </c>
      <c r="N145" t="s">
        <v>353</v>
      </c>
      <c r="O145">
        <v>160</v>
      </c>
      <c r="Q145">
        <v>988</v>
      </c>
      <c r="R145">
        <v>144</v>
      </c>
      <c r="S145">
        <v>4.25</v>
      </c>
      <c r="T145">
        <v>4.2839999999999998</v>
      </c>
      <c r="U145">
        <v>6.75</v>
      </c>
      <c r="V145">
        <v>4197.55</v>
      </c>
      <c r="W145">
        <v>971</v>
      </c>
      <c r="X145">
        <v>1.3332999999999999</v>
      </c>
      <c r="Y145">
        <v>748</v>
      </c>
      <c r="Z145">
        <v>5.61</v>
      </c>
      <c r="AJ145">
        <v>2</v>
      </c>
      <c r="AK145">
        <v>18</v>
      </c>
      <c r="AM145">
        <v>0</v>
      </c>
      <c r="AO145" t="s">
        <v>422</v>
      </c>
      <c r="AT145">
        <v>61</v>
      </c>
      <c r="AV145">
        <v>82.7</v>
      </c>
      <c r="AW145" t="s">
        <v>6</v>
      </c>
      <c r="AX145" t="s">
        <v>6</v>
      </c>
      <c r="AY145" t="s">
        <v>6</v>
      </c>
      <c r="AZ145" t="s">
        <v>6</v>
      </c>
      <c r="BA145" t="s">
        <v>6</v>
      </c>
      <c r="BB145" t="s">
        <v>6</v>
      </c>
      <c r="BC145" t="s">
        <v>6</v>
      </c>
      <c r="BD145" t="s">
        <v>6</v>
      </c>
      <c r="BE145" t="s">
        <v>6</v>
      </c>
      <c r="BF145" t="s">
        <v>6</v>
      </c>
      <c r="BG145" t="s">
        <v>6</v>
      </c>
      <c r="BH145" t="s">
        <v>6</v>
      </c>
      <c r="BI145" t="s">
        <v>6</v>
      </c>
      <c r="BJ145" t="s">
        <v>6</v>
      </c>
      <c r="BN145">
        <v>707.1848</v>
      </c>
      <c r="BO145">
        <v>2187</v>
      </c>
      <c r="BP145">
        <v>0</v>
      </c>
      <c r="BQ145">
        <v>55</v>
      </c>
      <c r="BR145">
        <v>55</v>
      </c>
      <c r="BS145">
        <v>54.78</v>
      </c>
      <c r="BT145">
        <v>0</v>
      </c>
      <c r="BV145">
        <v>6</v>
      </c>
      <c r="BW145" t="s">
        <v>655</v>
      </c>
      <c r="BX145">
        <v>0.27933340000000001</v>
      </c>
      <c r="BY145">
        <v>15.301880000000001</v>
      </c>
      <c r="BZ145">
        <v>0</v>
      </c>
      <c r="CA145">
        <v>1</v>
      </c>
      <c r="CB145">
        <v>0.6</v>
      </c>
      <c r="CC145" s="3">
        <v>7.1269159999999998E-2</v>
      </c>
      <c r="CD145">
        <v>2.875</v>
      </c>
      <c r="CE145">
        <v>2.5</v>
      </c>
      <c r="CF145">
        <v>18</v>
      </c>
      <c r="CG145">
        <v>6</v>
      </c>
      <c r="CH145">
        <v>0</v>
      </c>
      <c r="CI145">
        <v>54.78</v>
      </c>
      <c r="CJ145">
        <v>889.65229999999997</v>
      </c>
    </row>
    <row r="146" spans="1:88">
      <c r="A146">
        <v>144</v>
      </c>
      <c r="B146" t="s">
        <v>0</v>
      </c>
      <c r="C146" t="s">
        <v>1</v>
      </c>
      <c r="D146" t="s">
        <v>280</v>
      </c>
      <c r="E146" t="s">
        <v>104</v>
      </c>
      <c r="F146" t="s">
        <v>102</v>
      </c>
      <c r="G146" t="s">
        <v>15</v>
      </c>
      <c r="H146" t="s">
        <v>423</v>
      </c>
      <c r="J146">
        <v>2</v>
      </c>
      <c r="K146" t="s">
        <v>108</v>
      </c>
      <c r="L146" t="s">
        <v>109</v>
      </c>
      <c r="M146" t="s">
        <v>110</v>
      </c>
      <c r="N146" t="s">
        <v>111</v>
      </c>
      <c r="O146">
        <v>191</v>
      </c>
      <c r="Q146">
        <v>1118</v>
      </c>
      <c r="R146">
        <v>139</v>
      </c>
      <c r="S146">
        <v>4.25</v>
      </c>
      <c r="T146">
        <v>4.9850000000000003</v>
      </c>
      <c r="U146">
        <v>7.27</v>
      </c>
      <c r="V146">
        <v>4752.7700000000004</v>
      </c>
      <c r="W146">
        <v>1009</v>
      </c>
      <c r="X146">
        <v>1.3332999999999999</v>
      </c>
      <c r="Y146">
        <v>753</v>
      </c>
      <c r="Z146">
        <v>6.31</v>
      </c>
      <c r="AJ146">
        <v>2</v>
      </c>
      <c r="AK146">
        <v>18</v>
      </c>
      <c r="AM146">
        <v>0</v>
      </c>
      <c r="AO146" t="s">
        <v>424</v>
      </c>
      <c r="AT146">
        <v>72</v>
      </c>
      <c r="AV146">
        <v>79.8</v>
      </c>
      <c r="AW146" t="s">
        <v>6</v>
      </c>
      <c r="AX146" t="s">
        <v>6</v>
      </c>
      <c r="AY146" t="s">
        <v>6</v>
      </c>
      <c r="AZ146" t="s">
        <v>6</v>
      </c>
      <c r="BA146" t="s">
        <v>6</v>
      </c>
      <c r="BB146" t="s">
        <v>6</v>
      </c>
      <c r="BC146" t="s">
        <v>6</v>
      </c>
      <c r="BD146" t="s">
        <v>6</v>
      </c>
      <c r="BE146" t="s">
        <v>6</v>
      </c>
      <c r="BF146" t="s">
        <v>6</v>
      </c>
      <c r="BG146" t="s">
        <v>6</v>
      </c>
      <c r="BH146" t="s">
        <v>6</v>
      </c>
      <c r="BI146" t="s">
        <v>6</v>
      </c>
      <c r="BJ146" t="s">
        <v>6</v>
      </c>
      <c r="BN146">
        <v>681.92830000000004</v>
      </c>
      <c r="BO146">
        <v>2352</v>
      </c>
      <c r="BP146">
        <v>0</v>
      </c>
      <c r="BQ146">
        <v>66</v>
      </c>
      <c r="BR146">
        <v>66</v>
      </c>
      <c r="BS146">
        <v>65.56</v>
      </c>
      <c r="BT146">
        <v>0</v>
      </c>
      <c r="BV146">
        <v>0</v>
      </c>
      <c r="BW146" t="s">
        <v>655</v>
      </c>
      <c r="BX146">
        <v>0.17</v>
      </c>
      <c r="BY146">
        <v>11.145200000000001</v>
      </c>
      <c r="BZ146">
        <v>0</v>
      </c>
      <c r="CA146">
        <v>1</v>
      </c>
      <c r="CB146">
        <v>0.6</v>
      </c>
      <c r="CC146" s="3">
        <v>7.1269159999999998E-2</v>
      </c>
      <c r="CD146">
        <v>2.875</v>
      </c>
      <c r="CE146">
        <v>2.5</v>
      </c>
      <c r="CF146">
        <v>18</v>
      </c>
      <c r="CG146">
        <v>6</v>
      </c>
      <c r="CH146">
        <v>0</v>
      </c>
      <c r="CI146">
        <v>65.56</v>
      </c>
      <c r="CJ146">
        <v>1027.345</v>
      </c>
    </row>
    <row r="147" spans="1:88">
      <c r="A147">
        <v>145</v>
      </c>
      <c r="B147" t="s">
        <v>0</v>
      </c>
      <c r="C147" t="s">
        <v>1</v>
      </c>
      <c r="D147" t="s">
        <v>8</v>
      </c>
      <c r="E147" t="s">
        <v>181</v>
      </c>
      <c r="F147" t="s">
        <v>246</v>
      </c>
      <c r="G147" t="s">
        <v>15</v>
      </c>
      <c r="H147" t="s">
        <v>247</v>
      </c>
      <c r="J147">
        <v>2</v>
      </c>
      <c r="K147" t="s">
        <v>108</v>
      </c>
      <c r="L147" t="s">
        <v>202</v>
      </c>
      <c r="M147" t="s">
        <v>313</v>
      </c>
      <c r="N147" t="s">
        <v>314</v>
      </c>
      <c r="O147">
        <v>161</v>
      </c>
      <c r="Q147">
        <v>850</v>
      </c>
      <c r="R147">
        <v>124</v>
      </c>
      <c r="S147">
        <v>4.25</v>
      </c>
      <c r="T147">
        <v>4.3070000000000004</v>
      </c>
      <c r="U147">
        <v>6.75</v>
      </c>
      <c r="V147">
        <v>3612.79</v>
      </c>
      <c r="W147">
        <v>834</v>
      </c>
      <c r="X147">
        <v>1.3332999999999999</v>
      </c>
      <c r="Y147">
        <v>641</v>
      </c>
      <c r="Z147">
        <v>5.64</v>
      </c>
      <c r="AJ147">
        <v>2</v>
      </c>
      <c r="AK147">
        <v>18</v>
      </c>
      <c r="AM147">
        <v>0</v>
      </c>
      <c r="AO147" t="s">
        <v>250</v>
      </c>
      <c r="AT147">
        <v>61</v>
      </c>
      <c r="AV147">
        <v>71.099999999999994</v>
      </c>
      <c r="AW147" t="s">
        <v>6</v>
      </c>
      <c r="AX147" t="s">
        <v>6</v>
      </c>
      <c r="AY147" t="s">
        <v>6</v>
      </c>
      <c r="AZ147" t="s">
        <v>6</v>
      </c>
      <c r="BA147" t="s">
        <v>6</v>
      </c>
      <c r="BB147" t="s">
        <v>6</v>
      </c>
      <c r="BC147" t="s">
        <v>6</v>
      </c>
      <c r="BD147" t="s">
        <v>6</v>
      </c>
      <c r="BE147" t="s">
        <v>6</v>
      </c>
      <c r="BF147" t="s">
        <v>6</v>
      </c>
      <c r="BG147" t="s">
        <v>6</v>
      </c>
      <c r="BH147" t="s">
        <v>6</v>
      </c>
      <c r="BI147" t="s">
        <v>6</v>
      </c>
      <c r="BJ147" t="s">
        <v>6</v>
      </c>
      <c r="BN147">
        <v>606.1585</v>
      </c>
      <c r="BO147">
        <v>2977</v>
      </c>
      <c r="BP147">
        <v>0</v>
      </c>
      <c r="BQ147">
        <v>55</v>
      </c>
      <c r="BR147">
        <v>55</v>
      </c>
      <c r="BS147">
        <v>55.13</v>
      </c>
      <c r="BT147">
        <v>0</v>
      </c>
      <c r="BV147">
        <v>0</v>
      </c>
      <c r="BW147" t="s">
        <v>655</v>
      </c>
      <c r="BX147">
        <v>0.17</v>
      </c>
      <c r="BY147">
        <v>9.3720999999999997</v>
      </c>
      <c r="BZ147">
        <v>0</v>
      </c>
      <c r="CA147">
        <v>1</v>
      </c>
      <c r="CB147">
        <v>0.6</v>
      </c>
      <c r="CC147" s="3">
        <v>7.1269159999999998E-2</v>
      </c>
      <c r="CD147">
        <v>2.875</v>
      </c>
      <c r="CE147">
        <v>2.5</v>
      </c>
      <c r="CF147">
        <v>18</v>
      </c>
      <c r="CG147">
        <v>6</v>
      </c>
      <c r="CH147">
        <v>0</v>
      </c>
      <c r="CI147">
        <v>55.13</v>
      </c>
      <c r="CJ147">
        <v>769.60630000000003</v>
      </c>
    </row>
    <row r="148" spans="1:88">
      <c r="A148">
        <v>146</v>
      </c>
      <c r="B148" t="s">
        <v>13</v>
      </c>
      <c r="C148" t="s">
        <v>1</v>
      </c>
      <c r="D148" t="s">
        <v>2</v>
      </c>
      <c r="E148" t="s">
        <v>167</v>
      </c>
      <c r="F148" t="s">
        <v>154</v>
      </c>
      <c r="G148" t="s">
        <v>106</v>
      </c>
      <c r="H148" t="s">
        <v>217</v>
      </c>
      <c r="J148">
        <v>2</v>
      </c>
      <c r="K148" t="s">
        <v>146</v>
      </c>
      <c r="L148" t="s">
        <v>207</v>
      </c>
      <c r="M148" t="s">
        <v>327</v>
      </c>
      <c r="N148" t="s">
        <v>330</v>
      </c>
      <c r="O148">
        <v>133</v>
      </c>
      <c r="Q148">
        <v>366</v>
      </c>
      <c r="R148">
        <v>67</v>
      </c>
      <c r="S148">
        <v>4.25</v>
      </c>
      <c r="T148">
        <v>3.6349999999999998</v>
      </c>
      <c r="U148">
        <v>6.41</v>
      </c>
      <c r="V148">
        <v>1554.18</v>
      </c>
      <c r="W148">
        <v>430</v>
      </c>
      <c r="X148">
        <v>1.3332999999999999</v>
      </c>
      <c r="Y148">
        <v>313</v>
      </c>
      <c r="Z148">
        <v>4.96</v>
      </c>
      <c r="AJ148">
        <v>2</v>
      </c>
      <c r="AK148">
        <v>18</v>
      </c>
      <c r="AM148">
        <v>0</v>
      </c>
      <c r="AO148" t="s">
        <v>218</v>
      </c>
      <c r="AT148">
        <v>52</v>
      </c>
      <c r="AV148">
        <v>36.1</v>
      </c>
      <c r="AW148">
        <v>0</v>
      </c>
      <c r="AX148">
        <v>0</v>
      </c>
      <c r="AY148">
        <v>45.375</v>
      </c>
      <c r="AZ148">
        <v>4.375</v>
      </c>
      <c r="BA148">
        <v>0</v>
      </c>
      <c r="BB148">
        <v>0</v>
      </c>
      <c r="BC148">
        <v>46</v>
      </c>
      <c r="BN148">
        <v>171.2</v>
      </c>
      <c r="BO148">
        <v>3540</v>
      </c>
      <c r="BP148">
        <v>0</v>
      </c>
      <c r="BQ148">
        <v>45</v>
      </c>
      <c r="BR148">
        <v>45</v>
      </c>
      <c r="BS148">
        <v>45.39</v>
      </c>
      <c r="BT148">
        <v>0</v>
      </c>
      <c r="BV148">
        <v>0</v>
      </c>
      <c r="BW148" t="s">
        <v>655</v>
      </c>
      <c r="BX148">
        <v>0.17</v>
      </c>
      <c r="BY148">
        <v>7.7163000000000004</v>
      </c>
      <c r="BZ148">
        <v>0</v>
      </c>
      <c r="CA148">
        <v>1</v>
      </c>
      <c r="CB148">
        <v>0.6</v>
      </c>
      <c r="CC148" s="3">
        <v>7.1269159999999998E-2</v>
      </c>
      <c r="CD148">
        <v>2.875</v>
      </c>
      <c r="CE148">
        <v>2.5</v>
      </c>
      <c r="CF148">
        <v>18</v>
      </c>
      <c r="CG148">
        <v>6</v>
      </c>
      <c r="CH148">
        <v>0</v>
      </c>
      <c r="CI148">
        <v>45.39</v>
      </c>
      <c r="CJ148">
        <v>321.8732</v>
      </c>
    </row>
    <row r="149" spans="1:88">
      <c r="A149">
        <v>147</v>
      </c>
      <c r="B149" t="s">
        <v>0</v>
      </c>
      <c r="C149" t="s">
        <v>1</v>
      </c>
      <c r="D149" t="s">
        <v>143</v>
      </c>
      <c r="E149" t="s">
        <v>14</v>
      </c>
      <c r="F149" t="s">
        <v>144</v>
      </c>
      <c r="G149" t="s">
        <v>106</v>
      </c>
      <c r="H149" t="s">
        <v>145</v>
      </c>
      <c r="J149">
        <v>2</v>
      </c>
      <c r="K149" t="s">
        <v>146</v>
      </c>
      <c r="L149" t="s">
        <v>17</v>
      </c>
      <c r="M149" t="s">
        <v>18</v>
      </c>
      <c r="N149" t="s">
        <v>19</v>
      </c>
      <c r="O149">
        <v>182</v>
      </c>
      <c r="Q149">
        <v>720</v>
      </c>
      <c r="R149">
        <v>95</v>
      </c>
      <c r="S149">
        <v>4.25</v>
      </c>
      <c r="T149">
        <v>4.7859999999999996</v>
      </c>
      <c r="U149">
        <v>7.12</v>
      </c>
      <c r="V149">
        <v>3061.78</v>
      </c>
      <c r="W149">
        <v>674</v>
      </c>
      <c r="X149">
        <v>1.3332999999999999</v>
      </c>
      <c r="Y149">
        <v>501</v>
      </c>
      <c r="Z149">
        <v>6.11</v>
      </c>
      <c r="AJ149">
        <v>2</v>
      </c>
      <c r="AK149">
        <v>18</v>
      </c>
      <c r="AM149">
        <v>0</v>
      </c>
      <c r="AO149" t="s">
        <v>149</v>
      </c>
      <c r="AT149">
        <v>69</v>
      </c>
      <c r="AV149">
        <v>53.5</v>
      </c>
      <c r="AW149" t="s">
        <v>6</v>
      </c>
      <c r="AX149" t="s">
        <v>6</v>
      </c>
      <c r="AY149" t="s">
        <v>6</v>
      </c>
      <c r="AZ149" t="s">
        <v>6</v>
      </c>
      <c r="BA149" t="s">
        <v>6</v>
      </c>
      <c r="BB149" t="s">
        <v>6</v>
      </c>
      <c r="BC149" t="s">
        <v>6</v>
      </c>
      <c r="BD149" t="s">
        <v>6</v>
      </c>
      <c r="BE149" t="s">
        <v>6</v>
      </c>
      <c r="BF149" t="s">
        <v>6</v>
      </c>
      <c r="BG149" t="s">
        <v>6</v>
      </c>
      <c r="BH149" t="s">
        <v>6</v>
      </c>
      <c r="BI149" t="s">
        <v>6</v>
      </c>
      <c r="BJ149" t="s">
        <v>6</v>
      </c>
      <c r="BN149">
        <v>256.80009999999999</v>
      </c>
      <c r="BO149">
        <v>1574</v>
      </c>
      <c r="BP149">
        <v>0</v>
      </c>
      <c r="BQ149">
        <v>62</v>
      </c>
      <c r="BR149">
        <v>62</v>
      </c>
      <c r="BS149">
        <v>62.43</v>
      </c>
      <c r="BT149">
        <v>0</v>
      </c>
      <c r="BV149">
        <v>0</v>
      </c>
      <c r="BW149" t="s">
        <v>655</v>
      </c>
      <c r="BX149">
        <v>0.17</v>
      </c>
      <c r="BY149">
        <v>10.613099999999999</v>
      </c>
      <c r="BZ149">
        <v>0</v>
      </c>
      <c r="CA149">
        <v>1</v>
      </c>
      <c r="CB149">
        <v>0.6</v>
      </c>
      <c r="CC149" s="3">
        <v>7.1269159999999998E-2</v>
      </c>
      <c r="CD149">
        <v>2.875</v>
      </c>
      <c r="CE149">
        <v>2.5</v>
      </c>
      <c r="CF149">
        <v>18</v>
      </c>
      <c r="CG149">
        <v>6</v>
      </c>
      <c r="CH149">
        <v>0</v>
      </c>
      <c r="CI149">
        <v>62.43</v>
      </c>
      <c r="CJ149">
        <v>656.27670000000001</v>
      </c>
    </row>
    <row r="150" spans="1:88">
      <c r="A150">
        <v>148</v>
      </c>
      <c r="B150" t="s">
        <v>0</v>
      </c>
      <c r="C150" t="s">
        <v>1</v>
      </c>
      <c r="D150" t="s">
        <v>139</v>
      </c>
      <c r="E150" t="s">
        <v>169</v>
      </c>
      <c r="F150" t="s">
        <v>155</v>
      </c>
      <c r="G150" t="s">
        <v>106</v>
      </c>
      <c r="H150" t="s">
        <v>151</v>
      </c>
      <c r="J150">
        <v>2</v>
      </c>
      <c r="K150" t="s">
        <v>146</v>
      </c>
      <c r="L150" t="s">
        <v>381</v>
      </c>
      <c r="M150" t="s">
        <v>173</v>
      </c>
      <c r="N150" t="s">
        <v>174</v>
      </c>
      <c r="O150">
        <v>119</v>
      </c>
      <c r="Q150">
        <v>337</v>
      </c>
      <c r="R150">
        <v>68</v>
      </c>
      <c r="S150">
        <v>4.25</v>
      </c>
      <c r="T150">
        <v>3.2829999999999999</v>
      </c>
      <c r="U150">
        <v>6.15</v>
      </c>
      <c r="V150">
        <v>1431.57</v>
      </c>
      <c r="W150">
        <v>420</v>
      </c>
      <c r="X150">
        <v>1.3332999999999999</v>
      </c>
      <c r="Y150">
        <v>311</v>
      </c>
      <c r="Z150">
        <v>4.6100000000000003</v>
      </c>
      <c r="AJ150">
        <v>2</v>
      </c>
      <c r="AK150">
        <v>18</v>
      </c>
      <c r="AM150">
        <v>0</v>
      </c>
      <c r="AO150" t="s">
        <v>154</v>
      </c>
      <c r="AT150">
        <v>47</v>
      </c>
      <c r="AV150">
        <v>36.799999999999997</v>
      </c>
      <c r="AW150">
        <v>0</v>
      </c>
      <c r="AX150">
        <v>0</v>
      </c>
      <c r="AY150">
        <v>45.875</v>
      </c>
      <c r="AZ150">
        <v>4</v>
      </c>
      <c r="BA150">
        <v>0</v>
      </c>
      <c r="BB150">
        <v>0</v>
      </c>
      <c r="BC150">
        <v>46</v>
      </c>
      <c r="BN150">
        <v>174.76669999999999</v>
      </c>
      <c r="BO150">
        <v>3397</v>
      </c>
      <c r="BP150">
        <v>0</v>
      </c>
      <c r="BQ150">
        <v>41</v>
      </c>
      <c r="BR150">
        <v>41</v>
      </c>
      <c r="BS150">
        <v>40.520000000000003</v>
      </c>
      <c r="BT150">
        <v>0</v>
      </c>
      <c r="BV150">
        <v>0</v>
      </c>
      <c r="BW150" t="s">
        <v>655</v>
      </c>
      <c r="BX150">
        <v>0.17</v>
      </c>
      <c r="BY150">
        <v>6.8883999999999999</v>
      </c>
      <c r="BZ150">
        <v>0</v>
      </c>
      <c r="CA150">
        <v>1</v>
      </c>
      <c r="CB150">
        <v>0.6</v>
      </c>
      <c r="CC150" s="3">
        <v>7.1269159999999998E-2</v>
      </c>
      <c r="CD150">
        <v>2.875</v>
      </c>
      <c r="CE150">
        <v>2.5</v>
      </c>
      <c r="CF150">
        <v>18</v>
      </c>
      <c r="CG150">
        <v>6</v>
      </c>
      <c r="CH150">
        <v>0</v>
      </c>
      <c r="CI150">
        <v>40.520000000000003</v>
      </c>
      <c r="CJ150">
        <v>293.11439999999999</v>
      </c>
    </row>
    <row r="151" spans="1:88">
      <c r="A151">
        <v>149</v>
      </c>
      <c r="B151" t="s">
        <v>13</v>
      </c>
      <c r="C151" t="s">
        <v>1</v>
      </c>
      <c r="D151" t="s">
        <v>381</v>
      </c>
      <c r="E151" t="s">
        <v>2</v>
      </c>
      <c r="F151" t="s">
        <v>132</v>
      </c>
      <c r="G151" t="s">
        <v>106</v>
      </c>
      <c r="H151" t="s">
        <v>340</v>
      </c>
      <c r="J151">
        <v>2</v>
      </c>
      <c r="K151" t="s">
        <v>146</v>
      </c>
      <c r="L151" t="s">
        <v>122</v>
      </c>
      <c r="M151" t="s">
        <v>4</v>
      </c>
      <c r="N151" t="s">
        <v>5</v>
      </c>
      <c r="O151">
        <v>107</v>
      </c>
      <c r="Q151">
        <v>394</v>
      </c>
      <c r="R151">
        <v>85</v>
      </c>
      <c r="S151">
        <v>4.25</v>
      </c>
      <c r="T151">
        <v>2.9710000000000001</v>
      </c>
      <c r="U151">
        <v>6.07</v>
      </c>
      <c r="V151">
        <v>1676.54</v>
      </c>
      <c r="W151">
        <v>519</v>
      </c>
      <c r="X151">
        <v>1.3332999999999999</v>
      </c>
      <c r="Y151">
        <v>390</v>
      </c>
      <c r="Z151">
        <v>4.3</v>
      </c>
      <c r="AJ151">
        <v>2</v>
      </c>
      <c r="AK151">
        <v>18</v>
      </c>
      <c r="AM151">
        <v>0</v>
      </c>
      <c r="AO151" t="s">
        <v>359</v>
      </c>
      <c r="AT151">
        <v>42</v>
      </c>
      <c r="AV151">
        <v>47.7</v>
      </c>
      <c r="AW151">
        <v>0</v>
      </c>
      <c r="AX151">
        <v>0</v>
      </c>
      <c r="AY151">
        <v>52</v>
      </c>
      <c r="AZ151">
        <v>4</v>
      </c>
      <c r="BA151">
        <v>0</v>
      </c>
      <c r="BB151">
        <v>0</v>
      </c>
      <c r="BC151">
        <v>56</v>
      </c>
      <c r="BN151">
        <v>228.26669999999999</v>
      </c>
      <c r="BO151">
        <v>1992</v>
      </c>
      <c r="BP151">
        <v>0</v>
      </c>
      <c r="BQ151">
        <v>36</v>
      </c>
      <c r="BR151">
        <v>36</v>
      </c>
      <c r="BS151">
        <v>36.340000000000003</v>
      </c>
      <c r="BT151">
        <v>0</v>
      </c>
      <c r="BV151">
        <v>0</v>
      </c>
      <c r="BW151" t="s">
        <v>655</v>
      </c>
      <c r="BX151">
        <v>0.17</v>
      </c>
      <c r="BY151">
        <v>6.1778000000000004</v>
      </c>
      <c r="BZ151">
        <v>0</v>
      </c>
      <c r="CA151">
        <v>1</v>
      </c>
      <c r="CB151">
        <v>0.6</v>
      </c>
      <c r="CC151" s="3">
        <v>7.1269159999999998E-2</v>
      </c>
      <c r="CD151">
        <v>2.875</v>
      </c>
      <c r="CE151">
        <v>2.5</v>
      </c>
      <c r="CF151">
        <v>18</v>
      </c>
      <c r="CG151">
        <v>6</v>
      </c>
      <c r="CH151">
        <v>0</v>
      </c>
      <c r="CI151">
        <v>36.340000000000003</v>
      </c>
      <c r="CJ151">
        <v>340.57459999999998</v>
      </c>
    </row>
    <row r="152" spans="1:88">
      <c r="A152">
        <v>150</v>
      </c>
      <c r="B152" t="s">
        <v>0</v>
      </c>
      <c r="C152" t="s">
        <v>1</v>
      </c>
      <c r="D152" t="s">
        <v>375</v>
      </c>
      <c r="E152" t="s">
        <v>176</v>
      </c>
      <c r="F152" t="s">
        <v>140</v>
      </c>
      <c r="G152" t="s">
        <v>106</v>
      </c>
      <c r="H152" t="s">
        <v>342</v>
      </c>
      <c r="J152">
        <v>2</v>
      </c>
      <c r="K152" t="s">
        <v>146</v>
      </c>
      <c r="L152" t="s">
        <v>167</v>
      </c>
      <c r="M152" t="s">
        <v>226</v>
      </c>
      <c r="N152" t="s">
        <v>227</v>
      </c>
      <c r="O152">
        <v>113</v>
      </c>
      <c r="Q152">
        <v>262</v>
      </c>
      <c r="R152">
        <v>52</v>
      </c>
      <c r="S152">
        <v>4.25</v>
      </c>
      <c r="T152">
        <v>3.1280000000000001</v>
      </c>
      <c r="U152">
        <v>6.18</v>
      </c>
      <c r="V152">
        <v>1115.32</v>
      </c>
      <c r="W152">
        <v>323</v>
      </c>
      <c r="X152">
        <v>1.3332999999999999</v>
      </c>
      <c r="Y152">
        <v>250</v>
      </c>
      <c r="Z152">
        <v>4.46</v>
      </c>
      <c r="AJ152">
        <v>2</v>
      </c>
      <c r="AK152">
        <v>18</v>
      </c>
      <c r="AM152">
        <v>0</v>
      </c>
      <c r="AO152" t="s">
        <v>345</v>
      </c>
      <c r="AT152">
        <v>45</v>
      </c>
      <c r="AV152">
        <v>29.9</v>
      </c>
      <c r="AW152">
        <v>0</v>
      </c>
      <c r="AX152">
        <v>0</v>
      </c>
      <c r="AY152">
        <v>38.875</v>
      </c>
      <c r="AZ152">
        <v>3.625</v>
      </c>
      <c r="BA152">
        <v>0</v>
      </c>
      <c r="BB152">
        <v>0</v>
      </c>
      <c r="BC152">
        <v>37</v>
      </c>
      <c r="BN152">
        <v>140.88339999999999</v>
      </c>
      <c r="BO152">
        <v>5228</v>
      </c>
      <c r="BP152">
        <v>0</v>
      </c>
      <c r="BQ152">
        <v>38</v>
      </c>
      <c r="BR152">
        <v>38</v>
      </c>
      <c r="BS152">
        <v>38.43</v>
      </c>
      <c r="BT152">
        <v>0</v>
      </c>
      <c r="BV152">
        <v>0</v>
      </c>
      <c r="BW152" t="s">
        <v>655</v>
      </c>
      <c r="BX152">
        <v>0.17</v>
      </c>
      <c r="BY152">
        <v>6.5331000000000001</v>
      </c>
      <c r="BZ152">
        <v>0</v>
      </c>
      <c r="CA152">
        <v>1</v>
      </c>
      <c r="CB152">
        <v>0.6</v>
      </c>
      <c r="CC152" s="3">
        <v>7.1269159999999998E-2</v>
      </c>
      <c r="CD152">
        <v>2.875</v>
      </c>
      <c r="CE152">
        <v>2.5</v>
      </c>
      <c r="CF152">
        <v>18</v>
      </c>
      <c r="CG152">
        <v>6</v>
      </c>
      <c r="CH152">
        <v>0</v>
      </c>
      <c r="CI152">
        <v>38.43</v>
      </c>
      <c r="CJ152">
        <v>225.9571</v>
      </c>
    </row>
    <row r="153" spans="1:88">
      <c r="A153">
        <v>151</v>
      </c>
      <c r="B153" t="s">
        <v>0</v>
      </c>
      <c r="C153" t="s">
        <v>1</v>
      </c>
      <c r="D153" t="s">
        <v>420</v>
      </c>
      <c r="E153" t="s">
        <v>176</v>
      </c>
      <c r="F153" t="s">
        <v>421</v>
      </c>
      <c r="G153" t="s">
        <v>15</v>
      </c>
      <c r="H153" t="s">
        <v>420</v>
      </c>
      <c r="J153">
        <v>2</v>
      </c>
      <c r="K153" t="s">
        <v>9</v>
      </c>
      <c r="L153" t="s">
        <v>167</v>
      </c>
      <c r="M153" t="s">
        <v>226</v>
      </c>
      <c r="N153" t="s">
        <v>227</v>
      </c>
      <c r="O153">
        <v>113</v>
      </c>
      <c r="Q153">
        <v>718</v>
      </c>
      <c r="R153">
        <v>144</v>
      </c>
      <c r="S153">
        <v>4.25</v>
      </c>
      <c r="T153">
        <v>3.1280000000000001</v>
      </c>
      <c r="U153">
        <v>6.18</v>
      </c>
      <c r="V153">
        <v>3049.63</v>
      </c>
      <c r="W153">
        <v>889</v>
      </c>
      <c r="X153">
        <v>1.3332999999999999</v>
      </c>
      <c r="Y153">
        <v>684</v>
      </c>
      <c r="Z153">
        <v>4.46</v>
      </c>
      <c r="AJ153">
        <v>2</v>
      </c>
      <c r="AK153">
        <v>18</v>
      </c>
      <c r="AM153">
        <v>0</v>
      </c>
      <c r="AO153" t="s">
        <v>422</v>
      </c>
      <c r="AT153">
        <v>45</v>
      </c>
      <c r="AV153">
        <v>82.7</v>
      </c>
      <c r="AW153">
        <v>0.5</v>
      </c>
      <c r="AX153">
        <v>5.625</v>
      </c>
      <c r="AY153">
        <v>40.625</v>
      </c>
      <c r="AZ153">
        <v>4.5</v>
      </c>
      <c r="BA153">
        <v>441.88</v>
      </c>
      <c r="BB153">
        <v>5.26</v>
      </c>
      <c r="BC153">
        <v>73</v>
      </c>
      <c r="BD153">
        <v>0.375</v>
      </c>
      <c r="BE153">
        <v>3.75</v>
      </c>
      <c r="BF153">
        <v>26.75</v>
      </c>
      <c r="BG153">
        <v>3.375</v>
      </c>
      <c r="BH153">
        <v>241.89</v>
      </c>
      <c r="BI153">
        <v>4.4400000000000004</v>
      </c>
      <c r="BJ153">
        <v>24</v>
      </c>
      <c r="BL153">
        <v>683.77</v>
      </c>
      <c r="BM153">
        <v>96</v>
      </c>
      <c r="BN153">
        <v>707.1848</v>
      </c>
      <c r="BO153">
        <v>2187</v>
      </c>
      <c r="BP153">
        <v>0</v>
      </c>
      <c r="BQ153">
        <v>38</v>
      </c>
      <c r="BR153">
        <v>38</v>
      </c>
      <c r="BS153">
        <v>38.43</v>
      </c>
      <c r="BT153">
        <v>0</v>
      </c>
      <c r="BV153">
        <v>6</v>
      </c>
      <c r="BW153" t="s">
        <v>655</v>
      </c>
      <c r="BX153">
        <v>0.27933340000000001</v>
      </c>
      <c r="BY153">
        <v>10.734780000000001</v>
      </c>
      <c r="BZ153">
        <v>0</v>
      </c>
      <c r="CA153">
        <v>1</v>
      </c>
      <c r="CB153">
        <v>0.6</v>
      </c>
      <c r="CC153" s="3">
        <v>7.1269159999999998E-2</v>
      </c>
      <c r="CD153">
        <v>2.875</v>
      </c>
      <c r="CE153">
        <v>2.5</v>
      </c>
      <c r="CF153">
        <v>18</v>
      </c>
      <c r="CG153">
        <v>6</v>
      </c>
      <c r="CH153">
        <v>0</v>
      </c>
      <c r="CI153">
        <v>38.43</v>
      </c>
      <c r="CJ153">
        <v>624.12090000000001</v>
      </c>
    </row>
    <row r="154" spans="1:88">
      <c r="A154">
        <v>152</v>
      </c>
      <c r="B154" t="s">
        <v>0</v>
      </c>
      <c r="C154" t="s">
        <v>1</v>
      </c>
      <c r="D154" t="s">
        <v>425</v>
      </c>
      <c r="E154" t="s">
        <v>8</v>
      </c>
      <c r="F154" t="s">
        <v>290</v>
      </c>
      <c r="G154" t="s">
        <v>15</v>
      </c>
      <c r="H154" t="s">
        <v>426</v>
      </c>
      <c r="J154">
        <v>2</v>
      </c>
      <c r="K154" t="s">
        <v>108</v>
      </c>
      <c r="L154" t="s">
        <v>10</v>
      </c>
      <c r="M154" t="s">
        <v>11</v>
      </c>
      <c r="N154" t="s">
        <v>12</v>
      </c>
      <c r="O154">
        <v>203</v>
      </c>
      <c r="Q154">
        <v>1120</v>
      </c>
      <c r="R154">
        <v>143</v>
      </c>
      <c r="S154">
        <v>4.25</v>
      </c>
      <c r="T154">
        <v>5.2460000000000004</v>
      </c>
      <c r="U154">
        <v>7.35</v>
      </c>
      <c r="V154">
        <v>4761.4799999999996</v>
      </c>
      <c r="W154">
        <v>1052</v>
      </c>
      <c r="X154">
        <v>1.5</v>
      </c>
      <c r="Y154">
        <v>706</v>
      </c>
      <c r="Z154">
        <v>6.74</v>
      </c>
      <c r="AJ154">
        <v>2</v>
      </c>
      <c r="AK154">
        <v>18</v>
      </c>
      <c r="AM154">
        <v>0</v>
      </c>
      <c r="AO154" t="s">
        <v>427</v>
      </c>
      <c r="AT154">
        <v>76</v>
      </c>
      <c r="AV154">
        <v>75.400000000000006</v>
      </c>
      <c r="AW154" t="s">
        <v>6</v>
      </c>
      <c r="AX154" t="s">
        <v>6</v>
      </c>
      <c r="AY154" t="s">
        <v>6</v>
      </c>
      <c r="AZ154" t="s">
        <v>6</v>
      </c>
      <c r="BA154" t="s">
        <v>6</v>
      </c>
      <c r="BB154" t="s">
        <v>6</v>
      </c>
      <c r="BC154" t="s">
        <v>6</v>
      </c>
      <c r="BD154" t="s">
        <v>6</v>
      </c>
      <c r="BE154" t="s">
        <v>6</v>
      </c>
      <c r="BF154" t="s">
        <v>6</v>
      </c>
      <c r="BG154" t="s">
        <v>6</v>
      </c>
      <c r="BH154" t="s">
        <v>6</v>
      </c>
      <c r="BI154" t="s">
        <v>6</v>
      </c>
      <c r="BJ154" t="s">
        <v>6</v>
      </c>
      <c r="BN154">
        <v>644.04330000000004</v>
      </c>
      <c r="BO154">
        <v>2637</v>
      </c>
      <c r="BP154">
        <v>0</v>
      </c>
      <c r="BQ154">
        <v>70</v>
      </c>
      <c r="BR154">
        <v>70</v>
      </c>
      <c r="BS154">
        <v>69.730009999999993</v>
      </c>
      <c r="BT154">
        <v>0</v>
      </c>
      <c r="BV154">
        <v>0</v>
      </c>
      <c r="BW154" t="s">
        <v>655</v>
      </c>
      <c r="BX154">
        <v>0.17</v>
      </c>
      <c r="BY154">
        <v>11.854100000000001</v>
      </c>
      <c r="BZ154">
        <v>0</v>
      </c>
      <c r="CA154">
        <v>1</v>
      </c>
      <c r="CB154">
        <v>0.6</v>
      </c>
      <c r="CC154" s="3">
        <v>7.1269159999999998E-2</v>
      </c>
      <c r="CD154">
        <v>2.875</v>
      </c>
      <c r="CE154">
        <v>2.5</v>
      </c>
      <c r="CF154">
        <v>18</v>
      </c>
      <c r="CG154">
        <v>6</v>
      </c>
      <c r="CH154">
        <v>0</v>
      </c>
      <c r="CI154">
        <v>69.730009999999993</v>
      </c>
      <c r="CJ154">
        <v>1033.0550000000001</v>
      </c>
    </row>
    <row r="155" spans="1:88">
      <c r="A155">
        <v>153</v>
      </c>
      <c r="B155" t="s">
        <v>0</v>
      </c>
      <c r="C155" t="s">
        <v>1</v>
      </c>
      <c r="D155" t="s">
        <v>104</v>
      </c>
      <c r="E155" t="s">
        <v>96</v>
      </c>
      <c r="F155" t="s">
        <v>337</v>
      </c>
      <c r="G155" t="s">
        <v>214</v>
      </c>
      <c r="H155" t="s">
        <v>398</v>
      </c>
      <c r="J155">
        <v>2</v>
      </c>
      <c r="K155" t="s">
        <v>108</v>
      </c>
      <c r="L155" t="s">
        <v>293</v>
      </c>
      <c r="M155" t="s">
        <v>100</v>
      </c>
      <c r="N155" t="s">
        <v>101</v>
      </c>
      <c r="O155">
        <v>131</v>
      </c>
      <c r="Q155">
        <v>660</v>
      </c>
      <c r="R155">
        <v>116</v>
      </c>
      <c r="S155">
        <v>4.25</v>
      </c>
      <c r="T155">
        <v>3.5859999999999999</v>
      </c>
      <c r="U155">
        <v>6.37</v>
      </c>
      <c r="V155">
        <v>2804.91</v>
      </c>
      <c r="W155">
        <v>739</v>
      </c>
      <c r="X155">
        <v>1.3332999999999999</v>
      </c>
      <c r="Y155">
        <v>571</v>
      </c>
      <c r="Z155">
        <v>4.91</v>
      </c>
      <c r="AJ155">
        <v>2</v>
      </c>
      <c r="AK155">
        <v>18</v>
      </c>
      <c r="AM155">
        <v>0</v>
      </c>
      <c r="AO155" t="s">
        <v>170</v>
      </c>
      <c r="AT155">
        <v>51</v>
      </c>
      <c r="AV155">
        <v>66.7</v>
      </c>
      <c r="AW155" t="s">
        <v>6</v>
      </c>
      <c r="AX155" t="s">
        <v>6</v>
      </c>
      <c r="AY155" t="s">
        <v>6</v>
      </c>
      <c r="AZ155" t="s">
        <v>6</v>
      </c>
      <c r="BA155" t="s">
        <v>6</v>
      </c>
      <c r="BB155" t="s">
        <v>6</v>
      </c>
      <c r="BC155" t="s">
        <v>6</v>
      </c>
      <c r="BD155" t="s">
        <v>6</v>
      </c>
      <c r="BE155" t="s">
        <v>6</v>
      </c>
      <c r="BF155" t="s">
        <v>6</v>
      </c>
      <c r="BG155" t="s">
        <v>6</v>
      </c>
      <c r="BH155" t="s">
        <v>6</v>
      </c>
      <c r="BI155" t="s">
        <v>6</v>
      </c>
      <c r="BJ155" t="s">
        <v>6</v>
      </c>
      <c r="BN155">
        <v>323.7</v>
      </c>
      <c r="BO155">
        <v>1242</v>
      </c>
      <c r="BP155">
        <v>0</v>
      </c>
      <c r="BQ155">
        <v>45</v>
      </c>
      <c r="BR155">
        <v>45</v>
      </c>
      <c r="BS155">
        <v>44.69</v>
      </c>
      <c r="BT155">
        <v>0</v>
      </c>
      <c r="BV155">
        <v>0</v>
      </c>
      <c r="BW155" t="s">
        <v>655</v>
      </c>
      <c r="BX155">
        <v>0.17</v>
      </c>
      <c r="BY155">
        <v>7.5972999999999997</v>
      </c>
      <c r="BZ155">
        <v>0</v>
      </c>
      <c r="CA155">
        <v>1</v>
      </c>
      <c r="CB155">
        <v>0.6</v>
      </c>
      <c r="CC155" s="3">
        <v>7.1269159999999998E-2</v>
      </c>
      <c r="CD155">
        <v>2.875</v>
      </c>
      <c r="CE155">
        <v>2.5</v>
      </c>
      <c r="CF155">
        <v>18</v>
      </c>
      <c r="CG155">
        <v>6</v>
      </c>
      <c r="CH155">
        <v>0</v>
      </c>
      <c r="CI155">
        <v>44.69</v>
      </c>
      <c r="CJ155">
        <v>585.64520000000005</v>
      </c>
    </row>
    <row r="156" spans="1:88">
      <c r="A156">
        <v>154</v>
      </c>
      <c r="B156" t="s">
        <v>0</v>
      </c>
      <c r="C156" t="s">
        <v>1</v>
      </c>
      <c r="D156" t="s">
        <v>109</v>
      </c>
      <c r="E156" t="s">
        <v>2</v>
      </c>
      <c r="F156" t="s">
        <v>428</v>
      </c>
      <c r="G156" t="s">
        <v>214</v>
      </c>
      <c r="H156" t="s">
        <v>429</v>
      </c>
      <c r="J156">
        <v>2</v>
      </c>
      <c r="K156" t="s">
        <v>108</v>
      </c>
      <c r="L156" t="s">
        <v>122</v>
      </c>
      <c r="M156" t="s">
        <v>4</v>
      </c>
      <c r="N156" t="s">
        <v>5</v>
      </c>
      <c r="O156">
        <v>107</v>
      </c>
      <c r="Q156">
        <v>608</v>
      </c>
      <c r="R156">
        <v>129</v>
      </c>
      <c r="S156">
        <v>4.25</v>
      </c>
      <c r="T156">
        <v>2.9710000000000001</v>
      </c>
      <c r="U156">
        <v>6.07</v>
      </c>
      <c r="V156">
        <v>2584.8000000000002</v>
      </c>
      <c r="W156">
        <v>781</v>
      </c>
      <c r="X156">
        <v>1.3332999999999999</v>
      </c>
      <c r="Y156">
        <v>601</v>
      </c>
      <c r="Z156">
        <v>4.3</v>
      </c>
      <c r="AJ156">
        <v>2</v>
      </c>
      <c r="AK156">
        <v>18</v>
      </c>
      <c r="AM156">
        <v>0</v>
      </c>
      <c r="AO156" t="s">
        <v>237</v>
      </c>
      <c r="AT156">
        <v>42</v>
      </c>
      <c r="AV156">
        <v>74</v>
      </c>
      <c r="AW156">
        <v>0.46875</v>
      </c>
      <c r="AX156">
        <v>3.75</v>
      </c>
      <c r="AY156">
        <v>44.25</v>
      </c>
      <c r="AZ156">
        <v>4</v>
      </c>
      <c r="BA156">
        <v>458.33</v>
      </c>
      <c r="BB156">
        <v>4.3</v>
      </c>
      <c r="BC156">
        <v>48</v>
      </c>
      <c r="BD156">
        <v>0.3125</v>
      </c>
      <c r="BE156">
        <v>2.75</v>
      </c>
      <c r="BF156">
        <v>25.125</v>
      </c>
      <c r="BG156">
        <v>2.625</v>
      </c>
      <c r="BH156">
        <v>142.78</v>
      </c>
      <c r="BI156">
        <v>4.46</v>
      </c>
      <c r="BJ156">
        <v>13</v>
      </c>
      <c r="BL156">
        <v>601.11</v>
      </c>
      <c r="BM156">
        <v>60</v>
      </c>
      <c r="BN156">
        <v>359.66669999999999</v>
      </c>
      <c r="BO156">
        <v>1006</v>
      </c>
      <c r="BP156">
        <v>0</v>
      </c>
      <c r="BQ156">
        <v>36</v>
      </c>
      <c r="BR156">
        <v>36</v>
      </c>
      <c r="BS156">
        <v>36.340000000000003</v>
      </c>
      <c r="BT156">
        <v>0</v>
      </c>
      <c r="BV156">
        <v>0</v>
      </c>
      <c r="BW156" t="s">
        <v>655</v>
      </c>
      <c r="BX156">
        <v>0.17</v>
      </c>
      <c r="BY156">
        <v>6.1778000000000004</v>
      </c>
      <c r="BZ156">
        <v>0</v>
      </c>
      <c r="CA156">
        <v>1</v>
      </c>
      <c r="CB156">
        <v>0.6</v>
      </c>
      <c r="CC156" s="3">
        <v>7.1269159999999998E-2</v>
      </c>
      <c r="CD156">
        <v>2.875</v>
      </c>
      <c r="CE156">
        <v>2.5</v>
      </c>
      <c r="CF156">
        <v>18</v>
      </c>
      <c r="CG156">
        <v>6</v>
      </c>
      <c r="CH156">
        <v>0</v>
      </c>
      <c r="CI156">
        <v>36.340000000000003</v>
      </c>
      <c r="CJ156">
        <v>528.02009999999996</v>
      </c>
    </row>
    <row r="157" spans="1:88">
      <c r="A157">
        <v>155</v>
      </c>
      <c r="B157" t="s">
        <v>13</v>
      </c>
      <c r="C157" t="s">
        <v>1</v>
      </c>
      <c r="D157" t="s">
        <v>399</v>
      </c>
      <c r="E157" t="s">
        <v>169</v>
      </c>
      <c r="F157" t="s">
        <v>406</v>
      </c>
      <c r="G157" t="s">
        <v>106</v>
      </c>
      <c r="H157" t="s">
        <v>227</v>
      </c>
      <c r="J157">
        <v>2</v>
      </c>
      <c r="K157" t="s">
        <v>146</v>
      </c>
      <c r="L157" t="s">
        <v>381</v>
      </c>
      <c r="M157" t="s">
        <v>173</v>
      </c>
      <c r="N157" t="s">
        <v>174</v>
      </c>
      <c r="O157">
        <v>119</v>
      </c>
      <c r="Q157">
        <v>363</v>
      </c>
      <c r="R157">
        <v>73</v>
      </c>
      <c r="S157">
        <v>4.25</v>
      </c>
      <c r="T157">
        <v>3.2829999999999999</v>
      </c>
      <c r="U157">
        <v>6.15</v>
      </c>
      <c r="V157">
        <v>1542.07</v>
      </c>
      <c r="W157">
        <v>448</v>
      </c>
      <c r="X157">
        <v>1.3332999999999999</v>
      </c>
      <c r="Y157">
        <v>335</v>
      </c>
      <c r="Z157">
        <v>4.6100000000000003</v>
      </c>
      <c r="AJ157">
        <v>2</v>
      </c>
      <c r="AK157">
        <v>18</v>
      </c>
      <c r="AM157">
        <v>0</v>
      </c>
      <c r="AO157" t="s">
        <v>129</v>
      </c>
      <c r="AT157">
        <v>47</v>
      </c>
      <c r="AV157">
        <v>39.700000000000003</v>
      </c>
      <c r="AW157">
        <v>0</v>
      </c>
      <c r="AX157">
        <v>0</v>
      </c>
      <c r="AY157">
        <v>42.5</v>
      </c>
      <c r="AZ157">
        <v>4</v>
      </c>
      <c r="BA157">
        <v>0</v>
      </c>
      <c r="BB157">
        <v>0</v>
      </c>
      <c r="BC157">
        <v>43</v>
      </c>
      <c r="BN157">
        <v>189.0334</v>
      </c>
      <c r="BO157">
        <v>2904</v>
      </c>
      <c r="BP157">
        <v>0</v>
      </c>
      <c r="BQ157">
        <v>41</v>
      </c>
      <c r="BR157">
        <v>41</v>
      </c>
      <c r="BS157">
        <v>40.520000000000003</v>
      </c>
      <c r="BT157">
        <v>0</v>
      </c>
      <c r="BV157">
        <v>0</v>
      </c>
      <c r="BW157" t="s">
        <v>655</v>
      </c>
      <c r="BX157">
        <v>0.17</v>
      </c>
      <c r="BY157">
        <v>6.8883999999999999</v>
      </c>
      <c r="BZ157">
        <v>0</v>
      </c>
      <c r="CA157">
        <v>1</v>
      </c>
      <c r="CB157">
        <v>0.6</v>
      </c>
      <c r="CC157" s="3">
        <v>7.1269159999999998E-2</v>
      </c>
      <c r="CD157">
        <v>2.875</v>
      </c>
      <c r="CE157">
        <v>2.5</v>
      </c>
      <c r="CF157">
        <v>18</v>
      </c>
      <c r="CG157">
        <v>6</v>
      </c>
      <c r="CH157">
        <v>0</v>
      </c>
      <c r="CI157">
        <v>40.520000000000003</v>
      </c>
      <c r="CJ157">
        <v>316.21699999999998</v>
      </c>
    </row>
    <row r="158" spans="1:88">
      <c r="A158">
        <v>156</v>
      </c>
      <c r="B158" t="s">
        <v>0</v>
      </c>
      <c r="C158" t="s">
        <v>1</v>
      </c>
      <c r="D158" t="s">
        <v>143</v>
      </c>
      <c r="E158" t="s">
        <v>178</v>
      </c>
      <c r="F158" t="s">
        <v>144</v>
      </c>
      <c r="G158" t="s">
        <v>106</v>
      </c>
      <c r="H158" t="s">
        <v>145</v>
      </c>
      <c r="J158">
        <v>2</v>
      </c>
      <c r="K158" t="s">
        <v>146</v>
      </c>
      <c r="L158" t="s">
        <v>127</v>
      </c>
      <c r="M158" t="s">
        <v>179</v>
      </c>
      <c r="N158" t="s">
        <v>180</v>
      </c>
      <c r="O158">
        <v>95</v>
      </c>
      <c r="Q158">
        <v>397</v>
      </c>
      <c r="R158">
        <v>95</v>
      </c>
      <c r="S158">
        <v>4.25</v>
      </c>
      <c r="T158">
        <v>2.649</v>
      </c>
      <c r="U158">
        <v>5.81</v>
      </c>
      <c r="V158">
        <v>1688.01</v>
      </c>
      <c r="W158">
        <v>550</v>
      </c>
      <c r="X158">
        <v>1.3332999999999999</v>
      </c>
      <c r="Y158">
        <v>424</v>
      </c>
      <c r="Z158">
        <v>3.98</v>
      </c>
      <c r="AJ158">
        <v>2</v>
      </c>
      <c r="AK158">
        <v>18</v>
      </c>
      <c r="AM158">
        <v>0</v>
      </c>
      <c r="AO158" t="s">
        <v>149</v>
      </c>
      <c r="AT158">
        <v>38</v>
      </c>
      <c r="AV158">
        <v>53.5</v>
      </c>
      <c r="AW158">
        <v>0</v>
      </c>
      <c r="AX158">
        <v>0</v>
      </c>
      <c r="AY158">
        <v>47.75</v>
      </c>
      <c r="AZ158">
        <v>3.75</v>
      </c>
      <c r="BA158">
        <v>0</v>
      </c>
      <c r="BB158">
        <v>0</v>
      </c>
      <c r="BC158">
        <v>51</v>
      </c>
      <c r="BN158">
        <v>256.80009999999999</v>
      </c>
      <c r="BO158">
        <v>1574</v>
      </c>
      <c r="BP158">
        <v>0</v>
      </c>
      <c r="BQ158">
        <v>32</v>
      </c>
      <c r="BR158">
        <v>32</v>
      </c>
      <c r="BS158">
        <v>32.17</v>
      </c>
      <c r="BT158">
        <v>0</v>
      </c>
      <c r="BV158">
        <v>0</v>
      </c>
      <c r="BW158" t="s">
        <v>655</v>
      </c>
      <c r="BX158">
        <v>0.17</v>
      </c>
      <c r="BY158">
        <v>5.4688999999999997</v>
      </c>
      <c r="BZ158">
        <v>0</v>
      </c>
      <c r="CA158">
        <v>1</v>
      </c>
      <c r="CB158">
        <v>0.6</v>
      </c>
      <c r="CC158" s="3">
        <v>7.1269159999999998E-2</v>
      </c>
      <c r="CD158">
        <v>2.875</v>
      </c>
      <c r="CE158">
        <v>2.5</v>
      </c>
      <c r="CF158">
        <v>18</v>
      </c>
      <c r="CG158">
        <v>6</v>
      </c>
      <c r="CH158">
        <v>0</v>
      </c>
      <c r="CI158">
        <v>32.17</v>
      </c>
      <c r="CJ158">
        <v>338.17750000000001</v>
      </c>
    </row>
    <row r="159" spans="1:88">
      <c r="A159">
        <v>157</v>
      </c>
      <c r="B159" t="s">
        <v>13</v>
      </c>
      <c r="C159" t="s">
        <v>1</v>
      </c>
      <c r="D159" t="s">
        <v>169</v>
      </c>
      <c r="E159" t="s">
        <v>169</v>
      </c>
      <c r="F159" t="s">
        <v>404</v>
      </c>
      <c r="G159" t="s">
        <v>106</v>
      </c>
      <c r="H159" t="s">
        <v>190</v>
      </c>
      <c r="J159">
        <v>2</v>
      </c>
      <c r="K159" t="s">
        <v>146</v>
      </c>
      <c r="L159" t="s">
        <v>381</v>
      </c>
      <c r="M159" t="s">
        <v>173</v>
      </c>
      <c r="N159" t="s">
        <v>174</v>
      </c>
      <c r="O159">
        <v>119</v>
      </c>
      <c r="Q159">
        <v>369</v>
      </c>
      <c r="R159">
        <v>74</v>
      </c>
      <c r="S159">
        <v>4.25</v>
      </c>
      <c r="T159">
        <v>3.2829999999999999</v>
      </c>
      <c r="U159">
        <v>6.15</v>
      </c>
      <c r="V159">
        <v>1569.73</v>
      </c>
      <c r="W159">
        <v>455</v>
      </c>
      <c r="X159">
        <v>1.3332999999999999</v>
      </c>
      <c r="Y159">
        <v>341</v>
      </c>
      <c r="Z159">
        <v>4.6100000000000003</v>
      </c>
      <c r="AJ159">
        <v>2</v>
      </c>
      <c r="AK159">
        <v>18</v>
      </c>
      <c r="AM159">
        <v>0</v>
      </c>
      <c r="AO159" t="s">
        <v>406</v>
      </c>
      <c r="AT159">
        <v>47</v>
      </c>
      <c r="AV159">
        <v>40.4</v>
      </c>
      <c r="AW159">
        <v>0</v>
      </c>
      <c r="AX159">
        <v>0</v>
      </c>
      <c r="AY159">
        <v>41.75</v>
      </c>
      <c r="AZ159">
        <v>4</v>
      </c>
      <c r="BA159">
        <v>0</v>
      </c>
      <c r="BB159">
        <v>0</v>
      </c>
      <c r="BC159">
        <v>42</v>
      </c>
      <c r="BN159">
        <v>192.6</v>
      </c>
      <c r="BO159">
        <v>2797</v>
      </c>
      <c r="BP159">
        <v>0</v>
      </c>
      <c r="BQ159">
        <v>41</v>
      </c>
      <c r="BR159">
        <v>41</v>
      </c>
      <c r="BS159">
        <v>40.520000000000003</v>
      </c>
      <c r="BT159">
        <v>0</v>
      </c>
      <c r="BV159">
        <v>0</v>
      </c>
      <c r="BW159" t="s">
        <v>655</v>
      </c>
      <c r="BX159">
        <v>0.17</v>
      </c>
      <c r="BY159">
        <v>6.8883999999999999</v>
      </c>
      <c r="BZ159">
        <v>0</v>
      </c>
      <c r="CA159">
        <v>1</v>
      </c>
      <c r="CB159">
        <v>0.6</v>
      </c>
      <c r="CC159" s="3">
        <v>7.1269159999999998E-2</v>
      </c>
      <c r="CD159">
        <v>2.875</v>
      </c>
      <c r="CE159">
        <v>2.5</v>
      </c>
      <c r="CF159">
        <v>18</v>
      </c>
      <c r="CG159">
        <v>6</v>
      </c>
      <c r="CH159">
        <v>0</v>
      </c>
      <c r="CI159">
        <v>40.520000000000003</v>
      </c>
      <c r="CJ159">
        <v>321.99259999999998</v>
      </c>
    </row>
    <row r="160" spans="1:88">
      <c r="A160">
        <v>158</v>
      </c>
      <c r="B160" t="s">
        <v>0</v>
      </c>
      <c r="C160" t="s">
        <v>1</v>
      </c>
      <c r="D160" t="s">
        <v>150</v>
      </c>
      <c r="E160" t="s">
        <v>430</v>
      </c>
      <c r="F160" t="s">
        <v>152</v>
      </c>
      <c r="G160" t="s">
        <v>106</v>
      </c>
      <c r="H160" t="s">
        <v>5</v>
      </c>
      <c r="J160">
        <v>2</v>
      </c>
      <c r="K160" t="s">
        <v>146</v>
      </c>
      <c r="L160" t="s">
        <v>448</v>
      </c>
      <c r="M160" t="s">
        <v>431</v>
      </c>
      <c r="N160" t="s">
        <v>242</v>
      </c>
      <c r="O160">
        <v>65</v>
      </c>
      <c r="Q160">
        <v>202</v>
      </c>
      <c r="R160">
        <v>69</v>
      </c>
      <c r="S160">
        <v>4.25</v>
      </c>
      <c r="T160">
        <v>1.794</v>
      </c>
      <c r="U160">
        <v>5.32</v>
      </c>
      <c r="V160">
        <v>856.54</v>
      </c>
      <c r="W160">
        <v>369</v>
      </c>
      <c r="X160">
        <v>1.3332999999999999</v>
      </c>
      <c r="Y160">
        <v>275</v>
      </c>
      <c r="Z160">
        <v>3.12</v>
      </c>
      <c r="AJ160">
        <v>2</v>
      </c>
      <c r="AK160">
        <v>18</v>
      </c>
      <c r="AM160">
        <v>0</v>
      </c>
      <c r="AO160" t="s">
        <v>155</v>
      </c>
      <c r="AT160">
        <v>28</v>
      </c>
      <c r="AV160">
        <v>37.5</v>
      </c>
      <c r="AW160">
        <v>0</v>
      </c>
      <c r="AX160">
        <v>0</v>
      </c>
      <c r="AY160">
        <v>23.5</v>
      </c>
      <c r="AZ160">
        <v>2.375</v>
      </c>
      <c r="BA160">
        <v>0</v>
      </c>
      <c r="BB160">
        <v>0</v>
      </c>
      <c r="BC160">
        <v>21</v>
      </c>
      <c r="BN160">
        <v>178.33340000000001</v>
      </c>
      <c r="BO160">
        <v>3263</v>
      </c>
      <c r="BP160">
        <v>0</v>
      </c>
      <c r="BQ160">
        <v>22</v>
      </c>
      <c r="BR160">
        <v>22</v>
      </c>
      <c r="BS160">
        <v>21.73</v>
      </c>
      <c r="BT160">
        <v>0</v>
      </c>
      <c r="BV160">
        <v>0</v>
      </c>
      <c r="BW160" t="s">
        <v>655</v>
      </c>
      <c r="BX160">
        <v>0.17</v>
      </c>
      <c r="BY160">
        <v>3.6941000000000002</v>
      </c>
      <c r="BZ160">
        <v>0</v>
      </c>
      <c r="CA160">
        <v>1</v>
      </c>
      <c r="CB160">
        <v>0.6</v>
      </c>
      <c r="CC160" s="3">
        <v>7.1269159999999998E-2</v>
      </c>
      <c r="CD160">
        <v>2.875</v>
      </c>
      <c r="CE160">
        <v>2.5</v>
      </c>
      <c r="CF160">
        <v>18</v>
      </c>
      <c r="CG160">
        <v>6</v>
      </c>
      <c r="CH160">
        <v>0</v>
      </c>
      <c r="CI160">
        <v>21.73</v>
      </c>
      <c r="CJ160">
        <v>160.28819999999999</v>
      </c>
    </row>
    <row r="161" spans="1:88">
      <c r="A161">
        <v>159</v>
      </c>
      <c r="B161" t="s">
        <v>0</v>
      </c>
      <c r="C161" t="s">
        <v>1</v>
      </c>
      <c r="D161" t="s">
        <v>432</v>
      </c>
      <c r="E161" t="s">
        <v>19</v>
      </c>
      <c r="F161" t="s">
        <v>677</v>
      </c>
      <c r="G161" t="s">
        <v>20</v>
      </c>
      <c r="H161" t="s">
        <v>432</v>
      </c>
      <c r="J161">
        <v>2</v>
      </c>
      <c r="K161" t="s">
        <v>9</v>
      </c>
      <c r="L161" t="s">
        <v>302</v>
      </c>
      <c r="M161" t="s">
        <v>433</v>
      </c>
      <c r="N161" t="s">
        <v>434</v>
      </c>
      <c r="O161">
        <v>185</v>
      </c>
      <c r="Q161">
        <v>1268</v>
      </c>
      <c r="R161">
        <v>161</v>
      </c>
      <c r="S161">
        <v>4.25</v>
      </c>
      <c r="T161">
        <v>4.8529999999999998</v>
      </c>
      <c r="U161">
        <v>7.16</v>
      </c>
      <c r="V161">
        <v>5389.17</v>
      </c>
      <c r="W161">
        <v>1156</v>
      </c>
      <c r="X161">
        <v>1.3332999999999999</v>
      </c>
      <c r="Y161">
        <v>872</v>
      </c>
      <c r="Z161">
        <v>6.18</v>
      </c>
      <c r="AJ161">
        <v>2</v>
      </c>
      <c r="AK161">
        <v>18</v>
      </c>
      <c r="AM161">
        <v>0</v>
      </c>
      <c r="AO161" t="s">
        <v>678</v>
      </c>
      <c r="AT161">
        <v>70</v>
      </c>
      <c r="AV161">
        <v>92.8</v>
      </c>
      <c r="AW161" t="s">
        <v>6</v>
      </c>
      <c r="AX161" t="s">
        <v>6</v>
      </c>
      <c r="AY161" t="s">
        <v>6</v>
      </c>
      <c r="AZ161" t="s">
        <v>6</v>
      </c>
      <c r="BA161" t="s">
        <v>6</v>
      </c>
      <c r="BB161" t="s">
        <v>6</v>
      </c>
      <c r="BC161" t="s">
        <v>6</v>
      </c>
      <c r="BD161" t="s">
        <v>6</v>
      </c>
      <c r="BE161" t="s">
        <v>6</v>
      </c>
      <c r="BF161" t="s">
        <v>6</v>
      </c>
      <c r="BG161" t="s">
        <v>6</v>
      </c>
      <c r="BH161" t="s">
        <v>6</v>
      </c>
      <c r="BI161" t="s">
        <v>6</v>
      </c>
      <c r="BJ161" t="s">
        <v>6</v>
      </c>
      <c r="BN161">
        <v>697.14750000000004</v>
      </c>
      <c r="BO161">
        <v>2464</v>
      </c>
      <c r="BP161">
        <v>0</v>
      </c>
      <c r="BQ161">
        <v>63</v>
      </c>
      <c r="BR161">
        <v>63</v>
      </c>
      <c r="BS161">
        <v>63.47</v>
      </c>
      <c r="BT161">
        <v>0</v>
      </c>
      <c r="BV161">
        <v>6</v>
      </c>
      <c r="BW161" t="s">
        <v>655</v>
      </c>
      <c r="BX161">
        <v>0.27933340000000001</v>
      </c>
      <c r="BY161">
        <v>17.729289999999999</v>
      </c>
      <c r="BZ161">
        <v>0</v>
      </c>
      <c r="CA161">
        <v>1</v>
      </c>
      <c r="CB161">
        <v>0.6</v>
      </c>
      <c r="CC161" s="3">
        <v>7.1269159999999998E-2</v>
      </c>
      <c r="CD161">
        <v>2.875</v>
      </c>
      <c r="CE161">
        <v>2.5</v>
      </c>
      <c r="CF161">
        <v>18</v>
      </c>
      <c r="CG161">
        <v>6</v>
      </c>
      <c r="CH161">
        <v>0</v>
      </c>
      <c r="CI161">
        <v>63.47</v>
      </c>
      <c r="CJ161">
        <v>1157.4390000000001</v>
      </c>
    </row>
    <row r="162" spans="1:88">
      <c r="A162">
        <v>160</v>
      </c>
      <c r="B162" t="s">
        <v>0</v>
      </c>
      <c r="C162" t="s">
        <v>1</v>
      </c>
      <c r="D162" t="s">
        <v>165</v>
      </c>
      <c r="E162" t="s">
        <v>103</v>
      </c>
      <c r="F162" t="s">
        <v>184</v>
      </c>
      <c r="G162" t="s">
        <v>106</v>
      </c>
      <c r="H162" t="s">
        <v>234</v>
      </c>
      <c r="J162">
        <v>2</v>
      </c>
      <c r="K162" t="s">
        <v>146</v>
      </c>
      <c r="L162" t="s">
        <v>455</v>
      </c>
      <c r="M162" t="s">
        <v>315</v>
      </c>
      <c r="N162" t="s">
        <v>316</v>
      </c>
      <c r="O162">
        <v>167</v>
      </c>
      <c r="Q162">
        <v>634</v>
      </c>
      <c r="R162">
        <v>91</v>
      </c>
      <c r="S162">
        <v>4.25</v>
      </c>
      <c r="T162">
        <v>4.4459999999999997</v>
      </c>
      <c r="U162">
        <v>6.86</v>
      </c>
      <c r="V162">
        <v>2692.71</v>
      </c>
      <c r="W162">
        <v>622</v>
      </c>
      <c r="X162">
        <v>1.3332999999999999</v>
      </c>
      <c r="Y162">
        <v>467</v>
      </c>
      <c r="Z162">
        <v>5.77</v>
      </c>
      <c r="AJ162">
        <v>2</v>
      </c>
      <c r="AK162">
        <v>18</v>
      </c>
      <c r="AM162">
        <v>0</v>
      </c>
      <c r="AO162" t="s">
        <v>435</v>
      </c>
      <c r="AT162">
        <v>63</v>
      </c>
      <c r="AV162">
        <v>51</v>
      </c>
      <c r="AW162" t="s">
        <v>6</v>
      </c>
      <c r="AX162" t="s">
        <v>6</v>
      </c>
      <c r="AY162" t="s">
        <v>6</v>
      </c>
      <c r="AZ162" t="s">
        <v>6</v>
      </c>
      <c r="BA162" t="s">
        <v>6</v>
      </c>
      <c r="BB162" t="s">
        <v>6</v>
      </c>
      <c r="BC162" t="s">
        <v>6</v>
      </c>
      <c r="BD162" t="s">
        <v>6</v>
      </c>
      <c r="BE162" t="s">
        <v>6</v>
      </c>
      <c r="BF162" t="s">
        <v>6</v>
      </c>
      <c r="BG162" t="s">
        <v>6</v>
      </c>
      <c r="BH162" t="s">
        <v>6</v>
      </c>
      <c r="BI162" t="s">
        <v>6</v>
      </c>
      <c r="BJ162" t="s">
        <v>6</v>
      </c>
      <c r="BN162">
        <v>244.3167</v>
      </c>
      <c r="BO162">
        <v>1738</v>
      </c>
      <c r="BP162">
        <v>0</v>
      </c>
      <c r="BQ162">
        <v>57</v>
      </c>
      <c r="BR162">
        <v>57</v>
      </c>
      <c r="BS162">
        <v>57.21</v>
      </c>
      <c r="BT162">
        <v>0</v>
      </c>
      <c r="BV162">
        <v>0</v>
      </c>
      <c r="BW162" t="s">
        <v>655</v>
      </c>
      <c r="BX162">
        <v>0.17</v>
      </c>
      <c r="BY162">
        <v>9.7257010000000008</v>
      </c>
      <c r="BZ162">
        <v>0</v>
      </c>
      <c r="CA162">
        <v>1</v>
      </c>
      <c r="CB162">
        <v>0.6</v>
      </c>
      <c r="CC162" s="3">
        <v>7.1269159999999998E-2</v>
      </c>
      <c r="CD162">
        <v>2.875</v>
      </c>
      <c r="CE162">
        <v>2.5</v>
      </c>
      <c r="CF162">
        <v>18</v>
      </c>
      <c r="CG162">
        <v>6</v>
      </c>
      <c r="CH162">
        <v>0</v>
      </c>
      <c r="CI162">
        <v>57.21</v>
      </c>
      <c r="CJ162">
        <v>572.86180000000002</v>
      </c>
    </row>
    <row r="163" spans="1:88">
      <c r="A163">
        <v>161</v>
      </c>
      <c r="B163" t="s">
        <v>0</v>
      </c>
      <c r="C163" t="s">
        <v>1</v>
      </c>
      <c r="D163" t="s">
        <v>94</v>
      </c>
      <c r="E163" t="s">
        <v>382</v>
      </c>
      <c r="F163" t="s">
        <v>436</v>
      </c>
      <c r="G163" t="s">
        <v>15</v>
      </c>
      <c r="H163" t="s">
        <v>94</v>
      </c>
      <c r="J163">
        <v>2</v>
      </c>
      <c r="K163" t="s">
        <v>9</v>
      </c>
      <c r="L163" t="s">
        <v>229</v>
      </c>
      <c r="M163" t="s">
        <v>318</v>
      </c>
      <c r="N163" t="s">
        <v>366</v>
      </c>
      <c r="O163">
        <v>100</v>
      </c>
      <c r="Q163">
        <v>635</v>
      </c>
      <c r="R163">
        <v>142</v>
      </c>
      <c r="S163">
        <v>4.25</v>
      </c>
      <c r="T163">
        <v>2.7850000000000001</v>
      </c>
      <c r="U163">
        <v>5.92</v>
      </c>
      <c r="V163">
        <v>2696.83</v>
      </c>
      <c r="W163">
        <v>840</v>
      </c>
      <c r="X163">
        <v>1.3332999999999999</v>
      </c>
      <c r="Y163">
        <v>656</v>
      </c>
      <c r="Z163">
        <v>4.1100000000000003</v>
      </c>
      <c r="AJ163">
        <v>2</v>
      </c>
      <c r="AK163">
        <v>18</v>
      </c>
      <c r="AM163">
        <v>0</v>
      </c>
      <c r="AO163" t="s">
        <v>437</v>
      </c>
      <c r="AT163">
        <v>40</v>
      </c>
      <c r="AV163">
        <v>81.599999999999994</v>
      </c>
      <c r="AW163" t="s">
        <v>6</v>
      </c>
      <c r="AX163" t="s">
        <v>6</v>
      </c>
      <c r="AY163" t="s">
        <v>6</v>
      </c>
      <c r="AZ163" t="s">
        <v>6</v>
      </c>
      <c r="BA163" t="s">
        <v>6</v>
      </c>
      <c r="BB163" t="s">
        <v>6</v>
      </c>
      <c r="BC163" t="s">
        <v>6</v>
      </c>
      <c r="BD163" t="s">
        <v>6</v>
      </c>
      <c r="BE163" t="s">
        <v>6</v>
      </c>
      <c r="BF163" t="s">
        <v>6</v>
      </c>
      <c r="BG163" t="s">
        <v>6</v>
      </c>
      <c r="BH163" t="s">
        <v>6</v>
      </c>
      <c r="BI163" t="s">
        <v>6</v>
      </c>
      <c r="BJ163" t="s">
        <v>6</v>
      </c>
      <c r="BN163">
        <v>697.71360000000004</v>
      </c>
      <c r="BO163">
        <v>2247</v>
      </c>
      <c r="BP163">
        <v>0</v>
      </c>
      <c r="BQ163">
        <v>34</v>
      </c>
      <c r="BR163">
        <v>34</v>
      </c>
      <c r="BS163">
        <v>33.909999999999997</v>
      </c>
      <c r="BT163">
        <v>0</v>
      </c>
      <c r="BV163">
        <v>6</v>
      </c>
      <c r="BW163" t="s">
        <v>655</v>
      </c>
      <c r="BX163">
        <v>0.27933340000000001</v>
      </c>
      <c r="BY163">
        <v>9.472194</v>
      </c>
      <c r="BZ163">
        <v>0</v>
      </c>
      <c r="CA163">
        <v>1</v>
      </c>
      <c r="CB163">
        <v>0.6</v>
      </c>
      <c r="CC163" s="3">
        <v>7.1269159999999998E-2</v>
      </c>
      <c r="CD163">
        <v>2.875</v>
      </c>
      <c r="CE163">
        <v>2.5</v>
      </c>
      <c r="CF163">
        <v>18</v>
      </c>
      <c r="CG163">
        <v>6</v>
      </c>
      <c r="CH163">
        <v>0</v>
      </c>
      <c r="CI163">
        <v>33.909999999999997</v>
      </c>
      <c r="CJ163">
        <v>543.46379999999999</v>
      </c>
    </row>
    <row r="164" spans="1:88">
      <c r="A164">
        <v>162</v>
      </c>
      <c r="B164" t="s">
        <v>0</v>
      </c>
      <c r="C164" t="s">
        <v>1</v>
      </c>
      <c r="D164" t="s">
        <v>187</v>
      </c>
      <c r="E164" t="s">
        <v>234</v>
      </c>
      <c r="F164" t="s">
        <v>188</v>
      </c>
      <c r="G164" t="s">
        <v>15</v>
      </c>
      <c r="H164" t="s">
        <v>187</v>
      </c>
      <c r="J164">
        <v>2</v>
      </c>
      <c r="K164" t="s">
        <v>9</v>
      </c>
      <c r="L164" t="s">
        <v>103</v>
      </c>
      <c r="M164" t="s">
        <v>435</v>
      </c>
      <c r="N164" t="s">
        <v>295</v>
      </c>
      <c r="O164">
        <v>147</v>
      </c>
      <c r="Q164">
        <v>925</v>
      </c>
      <c r="R164">
        <v>146</v>
      </c>
      <c r="S164">
        <v>4.25</v>
      </c>
      <c r="T164">
        <v>3.976</v>
      </c>
      <c r="U164">
        <v>6.67</v>
      </c>
      <c r="V164">
        <v>3930.52</v>
      </c>
      <c r="W164">
        <v>972</v>
      </c>
      <c r="X164">
        <v>1.3332999999999999</v>
      </c>
      <c r="Y164">
        <v>742</v>
      </c>
      <c r="Z164">
        <v>5.3</v>
      </c>
      <c r="AJ164">
        <v>2</v>
      </c>
      <c r="AK164">
        <v>18</v>
      </c>
      <c r="AM164">
        <v>0</v>
      </c>
      <c r="AO164" t="s">
        <v>191</v>
      </c>
      <c r="AT164">
        <v>56</v>
      </c>
      <c r="AV164">
        <v>83.8</v>
      </c>
      <c r="AW164" t="s">
        <v>6</v>
      </c>
      <c r="AX164" t="s">
        <v>6</v>
      </c>
      <c r="AY164" t="s">
        <v>6</v>
      </c>
      <c r="AZ164" t="s">
        <v>6</v>
      </c>
      <c r="BA164" t="s">
        <v>6</v>
      </c>
      <c r="BB164" t="s">
        <v>6</v>
      </c>
      <c r="BC164" t="s">
        <v>6</v>
      </c>
      <c r="BD164" t="s">
        <v>6</v>
      </c>
      <c r="BE164" t="s">
        <v>6</v>
      </c>
      <c r="BF164" t="s">
        <v>6</v>
      </c>
      <c r="BG164" t="s">
        <v>6</v>
      </c>
      <c r="BH164" t="s">
        <v>6</v>
      </c>
      <c r="BI164" t="s">
        <v>6</v>
      </c>
      <c r="BJ164" t="s">
        <v>6</v>
      </c>
      <c r="BN164">
        <v>716.65610000000004</v>
      </c>
      <c r="BO164">
        <v>2130</v>
      </c>
      <c r="BP164">
        <v>0</v>
      </c>
      <c r="BQ164">
        <v>50</v>
      </c>
      <c r="BR164">
        <v>50</v>
      </c>
      <c r="BS164">
        <v>50.26</v>
      </c>
      <c r="BT164">
        <v>0</v>
      </c>
      <c r="BV164">
        <v>6</v>
      </c>
      <c r="BW164" t="s">
        <v>655</v>
      </c>
      <c r="BX164">
        <v>0.27933330000000001</v>
      </c>
      <c r="BY164">
        <v>14.039289999999999</v>
      </c>
      <c r="BZ164">
        <v>0</v>
      </c>
      <c r="CA164">
        <v>1</v>
      </c>
      <c r="CB164">
        <v>0.6</v>
      </c>
      <c r="CC164" s="3">
        <v>7.1269159999999998E-2</v>
      </c>
      <c r="CD164">
        <v>2.875</v>
      </c>
      <c r="CE164">
        <v>2.5</v>
      </c>
      <c r="CF164">
        <v>18</v>
      </c>
      <c r="CG164">
        <v>6</v>
      </c>
      <c r="CH164">
        <v>0</v>
      </c>
      <c r="CI164">
        <v>50.26</v>
      </c>
      <c r="CJ164">
        <v>826.9914</v>
      </c>
    </row>
    <row r="165" spans="1:88">
      <c r="A165">
        <v>163</v>
      </c>
      <c r="B165" t="s">
        <v>0</v>
      </c>
      <c r="C165" t="s">
        <v>1</v>
      </c>
      <c r="D165" t="s">
        <v>96</v>
      </c>
      <c r="E165" t="s">
        <v>255</v>
      </c>
      <c r="F165" t="s">
        <v>198</v>
      </c>
      <c r="G165" t="s">
        <v>106</v>
      </c>
      <c r="H165" t="s">
        <v>162</v>
      </c>
      <c r="J165">
        <v>2</v>
      </c>
      <c r="K165" t="s">
        <v>146</v>
      </c>
      <c r="L165" t="s">
        <v>276</v>
      </c>
      <c r="M165" t="s">
        <v>277</v>
      </c>
      <c r="N165" t="s">
        <v>123</v>
      </c>
      <c r="O165">
        <v>180</v>
      </c>
      <c r="Q165">
        <v>599</v>
      </c>
      <c r="R165">
        <v>81</v>
      </c>
      <c r="S165">
        <v>4.25</v>
      </c>
      <c r="T165">
        <v>4.7409999999999997</v>
      </c>
      <c r="U165">
        <v>7.08</v>
      </c>
      <c r="V165">
        <v>2544.2199999999998</v>
      </c>
      <c r="W165">
        <v>572</v>
      </c>
      <c r="X165">
        <v>1.3332999999999999</v>
      </c>
      <c r="Y165">
        <v>419</v>
      </c>
      <c r="Z165">
        <v>6.07</v>
      </c>
      <c r="AJ165">
        <v>2</v>
      </c>
      <c r="AK165">
        <v>18</v>
      </c>
      <c r="AM165">
        <v>0</v>
      </c>
      <c r="AO165" t="s">
        <v>166</v>
      </c>
      <c r="AT165">
        <v>68</v>
      </c>
      <c r="AV165">
        <v>44.8</v>
      </c>
      <c r="AW165">
        <v>0.46875</v>
      </c>
      <c r="AX165">
        <v>3.75</v>
      </c>
      <c r="AY165">
        <v>62.375</v>
      </c>
      <c r="AZ165">
        <v>5.75</v>
      </c>
      <c r="BA165">
        <v>324.68</v>
      </c>
      <c r="BB165">
        <v>6.07</v>
      </c>
      <c r="BC165">
        <v>67</v>
      </c>
      <c r="BD165">
        <v>0.3125</v>
      </c>
      <c r="BE165">
        <v>2.75</v>
      </c>
      <c r="BF165">
        <v>38.125</v>
      </c>
      <c r="BG165">
        <v>3.75</v>
      </c>
      <c r="BH165">
        <v>94.46</v>
      </c>
      <c r="BI165">
        <v>6.76</v>
      </c>
      <c r="BJ165">
        <v>20</v>
      </c>
      <c r="BL165">
        <v>419.14</v>
      </c>
      <c r="BM165">
        <v>87</v>
      </c>
      <c r="BN165">
        <v>214</v>
      </c>
      <c r="BO165">
        <v>2266</v>
      </c>
      <c r="BP165">
        <v>0</v>
      </c>
      <c r="BQ165">
        <v>62</v>
      </c>
      <c r="BR165">
        <v>62</v>
      </c>
      <c r="BS165">
        <v>61.73</v>
      </c>
      <c r="BT165">
        <v>0</v>
      </c>
      <c r="BV165">
        <v>0</v>
      </c>
      <c r="BW165" t="s">
        <v>655</v>
      </c>
      <c r="BX165">
        <v>0.17</v>
      </c>
      <c r="BY165">
        <v>10.4941</v>
      </c>
      <c r="BZ165">
        <v>0</v>
      </c>
      <c r="CA165">
        <v>1</v>
      </c>
      <c r="CB165">
        <v>0.6</v>
      </c>
      <c r="CC165" s="3">
        <v>7.1269159999999998E-2</v>
      </c>
      <c r="CD165">
        <v>2.875</v>
      </c>
      <c r="CE165">
        <v>2.5</v>
      </c>
      <c r="CF165">
        <v>18</v>
      </c>
      <c r="CG165">
        <v>6</v>
      </c>
      <c r="CH165">
        <v>0</v>
      </c>
      <c r="CI165">
        <v>61.73</v>
      </c>
      <c r="CJ165">
        <v>543.33150000000001</v>
      </c>
    </row>
    <row r="166" spans="1:88">
      <c r="A166">
        <v>164</v>
      </c>
      <c r="B166" t="s">
        <v>0</v>
      </c>
      <c r="C166" t="s">
        <v>1</v>
      </c>
      <c r="D166" t="s">
        <v>679</v>
      </c>
      <c r="E166" t="s">
        <v>224</v>
      </c>
      <c r="F166" t="s">
        <v>680</v>
      </c>
      <c r="G166" t="s">
        <v>15</v>
      </c>
      <c r="H166" t="s">
        <v>679</v>
      </c>
      <c r="J166">
        <v>2</v>
      </c>
      <c r="K166" t="s">
        <v>9</v>
      </c>
      <c r="L166" t="s">
        <v>317</v>
      </c>
      <c r="M166" t="s">
        <v>225</v>
      </c>
      <c r="N166" t="s">
        <v>344</v>
      </c>
      <c r="O166">
        <v>79</v>
      </c>
      <c r="Q166">
        <v>622</v>
      </c>
      <c r="R166">
        <v>172</v>
      </c>
      <c r="S166">
        <v>4.25</v>
      </c>
      <c r="T166">
        <v>2.2029999999999998</v>
      </c>
      <c r="U166">
        <v>5.62</v>
      </c>
      <c r="V166">
        <v>2641.41</v>
      </c>
      <c r="W166">
        <v>964</v>
      </c>
      <c r="X166">
        <v>1.3332999999999999</v>
      </c>
      <c r="Y166">
        <v>748</v>
      </c>
      <c r="Z166">
        <v>3.53</v>
      </c>
      <c r="AJ166">
        <v>2</v>
      </c>
      <c r="AK166">
        <v>18</v>
      </c>
      <c r="AM166">
        <v>0</v>
      </c>
      <c r="AO166" t="s">
        <v>681</v>
      </c>
      <c r="AT166">
        <v>33</v>
      </c>
      <c r="AV166">
        <v>98.6</v>
      </c>
      <c r="AW166" t="s">
        <v>6</v>
      </c>
      <c r="AX166" t="s">
        <v>6</v>
      </c>
      <c r="AY166" t="s">
        <v>6</v>
      </c>
      <c r="AZ166" t="s">
        <v>6</v>
      </c>
      <c r="BA166" t="s">
        <v>6</v>
      </c>
      <c r="BB166" t="s">
        <v>6</v>
      </c>
      <c r="BC166" t="s">
        <v>6</v>
      </c>
      <c r="BD166" t="s">
        <v>6</v>
      </c>
      <c r="BE166" t="s">
        <v>6</v>
      </c>
      <c r="BF166" t="s">
        <v>6</v>
      </c>
      <c r="BG166" t="s">
        <v>6</v>
      </c>
      <c r="BH166" t="s">
        <v>6</v>
      </c>
      <c r="BI166" t="s">
        <v>6</v>
      </c>
      <c r="BJ166" t="s">
        <v>6</v>
      </c>
      <c r="BN166">
        <v>846.09619999999995</v>
      </c>
      <c r="BO166">
        <v>1528</v>
      </c>
      <c r="BP166">
        <v>0</v>
      </c>
      <c r="BQ166">
        <v>27</v>
      </c>
      <c r="BR166">
        <v>27</v>
      </c>
      <c r="BS166">
        <v>26.6</v>
      </c>
      <c r="BT166">
        <v>0</v>
      </c>
      <c r="BV166">
        <v>6</v>
      </c>
      <c r="BW166" t="s">
        <v>655</v>
      </c>
      <c r="BX166">
        <v>0.27933340000000001</v>
      </c>
      <c r="BY166">
        <v>7.4302679999999999</v>
      </c>
      <c r="BZ166">
        <v>0</v>
      </c>
      <c r="CA166">
        <v>1</v>
      </c>
      <c r="CB166">
        <v>0.6</v>
      </c>
      <c r="CC166" s="3">
        <v>7.1269159999999998E-2</v>
      </c>
      <c r="CD166">
        <v>2.875</v>
      </c>
      <c r="CE166">
        <v>2.5</v>
      </c>
      <c r="CF166">
        <v>18</v>
      </c>
      <c r="CG166">
        <v>6</v>
      </c>
      <c r="CH166">
        <v>0</v>
      </c>
      <c r="CI166">
        <v>26.6</v>
      </c>
      <c r="CJ166">
        <v>515.40959999999995</v>
      </c>
    </row>
    <row r="167" spans="1:88">
      <c r="A167">
        <v>165</v>
      </c>
      <c r="B167" t="s">
        <v>13</v>
      </c>
      <c r="C167" t="s">
        <v>1</v>
      </c>
      <c r="D167" t="s">
        <v>139</v>
      </c>
      <c r="E167" t="s">
        <v>5</v>
      </c>
      <c r="F167" t="s">
        <v>155</v>
      </c>
      <c r="G167" t="s">
        <v>106</v>
      </c>
      <c r="H167" t="s">
        <v>151</v>
      </c>
      <c r="J167">
        <v>2</v>
      </c>
      <c r="K167" t="s">
        <v>146</v>
      </c>
      <c r="L167" t="s">
        <v>162</v>
      </c>
      <c r="M167" t="s">
        <v>155</v>
      </c>
      <c r="N167" t="s">
        <v>176</v>
      </c>
      <c r="O167">
        <v>110</v>
      </c>
      <c r="Q167">
        <v>314</v>
      </c>
      <c r="R167">
        <v>68</v>
      </c>
      <c r="S167">
        <v>4.25</v>
      </c>
      <c r="T167">
        <v>3.05</v>
      </c>
      <c r="U167">
        <v>6.11</v>
      </c>
      <c r="V167">
        <v>1333.05</v>
      </c>
      <c r="W167">
        <v>417</v>
      </c>
      <c r="X167">
        <v>1.3332999999999999</v>
      </c>
      <c r="Y167">
        <v>304</v>
      </c>
      <c r="Z167">
        <v>4.38</v>
      </c>
      <c r="AJ167">
        <v>2</v>
      </c>
      <c r="AK167">
        <v>18</v>
      </c>
      <c r="AM167">
        <v>0</v>
      </c>
      <c r="AO167" t="s">
        <v>154</v>
      </c>
      <c r="AT167">
        <v>44</v>
      </c>
      <c r="AV167">
        <v>36.799999999999997</v>
      </c>
      <c r="AW167">
        <v>0</v>
      </c>
      <c r="AX167">
        <v>0</v>
      </c>
      <c r="AY167">
        <v>32</v>
      </c>
      <c r="AZ167">
        <v>3.5</v>
      </c>
      <c r="BA167">
        <v>0</v>
      </c>
      <c r="BB167">
        <v>0</v>
      </c>
      <c r="BC167">
        <v>30</v>
      </c>
      <c r="BN167">
        <v>174.76669999999999</v>
      </c>
      <c r="BO167">
        <v>3397</v>
      </c>
      <c r="BP167">
        <v>0</v>
      </c>
      <c r="BQ167">
        <v>37</v>
      </c>
      <c r="BR167">
        <v>37</v>
      </c>
      <c r="BS167">
        <v>37.39</v>
      </c>
      <c r="BT167">
        <v>0</v>
      </c>
      <c r="BV167">
        <v>0</v>
      </c>
      <c r="BW167" t="s">
        <v>655</v>
      </c>
      <c r="BX167">
        <v>0.17</v>
      </c>
      <c r="BY167">
        <v>6.3563000000000001</v>
      </c>
      <c r="BZ167">
        <v>0</v>
      </c>
      <c r="CA167">
        <v>1</v>
      </c>
      <c r="CB167">
        <v>0.6</v>
      </c>
      <c r="CC167" s="3">
        <v>7.1269159999999998E-2</v>
      </c>
      <c r="CD167">
        <v>2.875</v>
      </c>
      <c r="CE167">
        <v>2.5</v>
      </c>
      <c r="CF167">
        <v>18</v>
      </c>
      <c r="CG167">
        <v>6</v>
      </c>
      <c r="CH167">
        <v>0</v>
      </c>
      <c r="CI167">
        <v>37.39</v>
      </c>
      <c r="CJ167">
        <v>270.47250000000003</v>
      </c>
    </row>
    <row r="168" spans="1:88">
      <c r="A168">
        <v>166</v>
      </c>
      <c r="B168" t="s">
        <v>0</v>
      </c>
      <c r="C168" t="s">
        <v>1</v>
      </c>
      <c r="D168" t="s">
        <v>208</v>
      </c>
      <c r="E168" t="s">
        <v>439</v>
      </c>
      <c r="F168" t="s">
        <v>237</v>
      </c>
      <c r="G168" t="s">
        <v>15</v>
      </c>
      <c r="H168" t="s">
        <v>238</v>
      </c>
      <c r="J168">
        <v>2</v>
      </c>
      <c r="K168" t="s">
        <v>440</v>
      </c>
      <c r="L168" t="s">
        <v>682</v>
      </c>
      <c r="M168" t="s">
        <v>442</v>
      </c>
      <c r="N168" t="s">
        <v>443</v>
      </c>
      <c r="O168">
        <v>273</v>
      </c>
      <c r="Q168">
        <v>1443</v>
      </c>
      <c r="R168">
        <v>139</v>
      </c>
      <c r="S168">
        <v>4.25</v>
      </c>
      <c r="T168">
        <v>6.67</v>
      </c>
      <c r="U168">
        <v>8.2100000000000009</v>
      </c>
      <c r="V168">
        <v>6132.02</v>
      </c>
      <c r="W168">
        <v>1141</v>
      </c>
      <c r="X168">
        <v>1.5</v>
      </c>
      <c r="Y168">
        <v>751</v>
      </c>
      <c r="Z168">
        <v>8.17</v>
      </c>
      <c r="AJ168">
        <v>2</v>
      </c>
      <c r="AK168">
        <v>18</v>
      </c>
      <c r="AM168">
        <v>0</v>
      </c>
      <c r="AO168" t="s">
        <v>239</v>
      </c>
      <c r="AT168">
        <v>100</v>
      </c>
      <c r="AV168">
        <v>73.2</v>
      </c>
      <c r="AW168" t="s">
        <v>6</v>
      </c>
      <c r="AX168" t="s">
        <v>6</v>
      </c>
      <c r="AY168" t="s">
        <v>6</v>
      </c>
      <c r="AZ168" t="s">
        <v>6</v>
      </c>
      <c r="BA168" t="s">
        <v>6</v>
      </c>
      <c r="BB168" t="s">
        <v>6</v>
      </c>
      <c r="BC168" t="s">
        <v>6</v>
      </c>
      <c r="BD168" t="s">
        <v>6</v>
      </c>
      <c r="BE168" t="s">
        <v>6</v>
      </c>
      <c r="BF168" t="s">
        <v>6</v>
      </c>
      <c r="BG168" t="s">
        <v>6</v>
      </c>
      <c r="BH168" t="s">
        <v>6</v>
      </c>
      <c r="BI168" t="s">
        <v>6</v>
      </c>
      <c r="BJ168" t="s">
        <v>6</v>
      </c>
      <c r="BN168">
        <v>625.10090000000002</v>
      </c>
      <c r="BO168">
        <v>2799</v>
      </c>
      <c r="BP168">
        <v>0</v>
      </c>
      <c r="BQ168">
        <v>94</v>
      </c>
      <c r="BR168">
        <v>94</v>
      </c>
      <c r="BS168">
        <v>94.08</v>
      </c>
      <c r="BT168">
        <v>0</v>
      </c>
      <c r="BU168" t="s">
        <v>444</v>
      </c>
      <c r="BV168">
        <v>0</v>
      </c>
      <c r="BW168" t="s">
        <v>655</v>
      </c>
      <c r="BX168">
        <v>0.17</v>
      </c>
      <c r="BY168">
        <v>15.993600000000001</v>
      </c>
      <c r="BZ168">
        <v>0</v>
      </c>
      <c r="CA168">
        <v>1</v>
      </c>
      <c r="CB168">
        <v>0.6</v>
      </c>
      <c r="CC168" s="3">
        <v>7.1269159999999998E-2</v>
      </c>
      <c r="CD168">
        <v>2.875</v>
      </c>
      <c r="CE168">
        <v>2.5</v>
      </c>
      <c r="CF168">
        <v>18</v>
      </c>
      <c r="CG168">
        <v>6</v>
      </c>
      <c r="CH168">
        <v>0</v>
      </c>
      <c r="CI168">
        <v>94.08</v>
      </c>
      <c r="CJ168">
        <v>1353.5719999999999</v>
      </c>
    </row>
    <row r="169" spans="1:88">
      <c r="A169">
        <v>167</v>
      </c>
      <c r="B169" t="s">
        <v>0</v>
      </c>
      <c r="C169" t="s">
        <v>1</v>
      </c>
      <c r="D169" t="s">
        <v>430</v>
      </c>
      <c r="E169" t="s">
        <v>133</v>
      </c>
      <c r="F169" t="s">
        <v>445</v>
      </c>
      <c r="G169" t="s">
        <v>106</v>
      </c>
      <c r="H169" t="s">
        <v>446</v>
      </c>
      <c r="J169">
        <v>2</v>
      </c>
      <c r="K169" t="s">
        <v>146</v>
      </c>
      <c r="L169" t="s">
        <v>353</v>
      </c>
      <c r="M169" t="s">
        <v>194</v>
      </c>
      <c r="N169" t="s">
        <v>195</v>
      </c>
      <c r="O169">
        <v>143</v>
      </c>
      <c r="Q169">
        <v>229</v>
      </c>
      <c r="R169">
        <v>38</v>
      </c>
      <c r="S169">
        <v>4.25</v>
      </c>
      <c r="T169">
        <v>3.88</v>
      </c>
      <c r="U169">
        <v>6.6</v>
      </c>
      <c r="V169">
        <v>974.94</v>
      </c>
      <c r="W169">
        <v>251</v>
      </c>
      <c r="X169">
        <v>1.3332999999999999</v>
      </c>
      <c r="Y169">
        <v>187</v>
      </c>
      <c r="Z169">
        <v>5.21</v>
      </c>
      <c r="AJ169">
        <v>2</v>
      </c>
      <c r="AK169">
        <v>18</v>
      </c>
      <c r="AM169">
        <v>0</v>
      </c>
      <c r="AO169" t="s">
        <v>447</v>
      </c>
      <c r="AT169">
        <v>55</v>
      </c>
      <c r="AV169">
        <v>20.8</v>
      </c>
      <c r="AW169">
        <v>0</v>
      </c>
      <c r="AX169">
        <v>0</v>
      </c>
      <c r="AY169">
        <v>34.5</v>
      </c>
      <c r="AZ169">
        <v>3.875</v>
      </c>
      <c r="BA169">
        <v>0</v>
      </c>
      <c r="BB169">
        <v>0</v>
      </c>
      <c r="BC169">
        <v>31</v>
      </c>
      <c r="BN169">
        <v>96.300020000000004</v>
      </c>
      <c r="BO169">
        <v>11190</v>
      </c>
      <c r="BP169">
        <v>0</v>
      </c>
      <c r="BQ169">
        <v>49</v>
      </c>
      <c r="BR169">
        <v>49</v>
      </c>
      <c r="BS169">
        <v>48.86</v>
      </c>
      <c r="BT169">
        <v>0</v>
      </c>
      <c r="BV169">
        <v>0</v>
      </c>
      <c r="BW169" t="s">
        <v>655</v>
      </c>
      <c r="BX169">
        <v>0.17</v>
      </c>
      <c r="BY169">
        <v>8.3062000000000005</v>
      </c>
      <c r="BZ169">
        <v>0</v>
      </c>
      <c r="CA169">
        <v>1</v>
      </c>
      <c r="CB169">
        <v>0.6</v>
      </c>
      <c r="CC169" s="3">
        <v>7.1269159999999998E-2</v>
      </c>
      <c r="CD169">
        <v>2.875</v>
      </c>
      <c r="CE169">
        <v>2.5</v>
      </c>
      <c r="CF169">
        <v>18</v>
      </c>
      <c r="CG169">
        <v>6</v>
      </c>
      <c r="CH169">
        <v>0</v>
      </c>
      <c r="CI169">
        <v>48.86</v>
      </c>
      <c r="CJ169">
        <v>200.22710000000001</v>
      </c>
    </row>
    <row r="170" spans="1:88">
      <c r="A170">
        <v>168</v>
      </c>
      <c r="B170" t="s">
        <v>13</v>
      </c>
      <c r="C170" t="s">
        <v>1</v>
      </c>
      <c r="D170" t="s">
        <v>448</v>
      </c>
      <c r="E170" t="s">
        <v>151</v>
      </c>
      <c r="F170" t="s">
        <v>285</v>
      </c>
      <c r="G170" t="s">
        <v>106</v>
      </c>
      <c r="H170" t="s">
        <v>449</v>
      </c>
      <c r="J170">
        <v>2</v>
      </c>
      <c r="K170" t="s">
        <v>146</v>
      </c>
      <c r="L170" t="s">
        <v>119</v>
      </c>
      <c r="M170" t="s">
        <v>154</v>
      </c>
      <c r="N170" t="s">
        <v>150</v>
      </c>
      <c r="O170">
        <v>108</v>
      </c>
      <c r="Q170">
        <v>237</v>
      </c>
      <c r="R170">
        <v>49</v>
      </c>
      <c r="S170">
        <v>4.25</v>
      </c>
      <c r="T170">
        <v>2.9980000000000002</v>
      </c>
      <c r="U170">
        <v>6.07</v>
      </c>
      <c r="V170">
        <v>1007.29</v>
      </c>
      <c r="W170">
        <v>300</v>
      </c>
      <c r="X170">
        <v>1.3332999999999999</v>
      </c>
      <c r="Y170">
        <v>233</v>
      </c>
      <c r="Z170">
        <v>4.33</v>
      </c>
      <c r="AJ170">
        <v>2</v>
      </c>
      <c r="AK170">
        <v>18</v>
      </c>
      <c r="AM170">
        <v>0</v>
      </c>
      <c r="AO170" t="s">
        <v>343</v>
      </c>
      <c r="AT170">
        <v>43</v>
      </c>
      <c r="AV170">
        <v>28.1</v>
      </c>
      <c r="AW170">
        <v>0</v>
      </c>
      <c r="AX170">
        <v>0</v>
      </c>
      <c r="AY170">
        <v>27.75</v>
      </c>
      <c r="AZ170">
        <v>3.25</v>
      </c>
      <c r="BA170">
        <v>0</v>
      </c>
      <c r="BB170">
        <v>0</v>
      </c>
      <c r="BC170">
        <v>25</v>
      </c>
      <c r="BN170">
        <v>131.9667</v>
      </c>
      <c r="BO170">
        <v>5959</v>
      </c>
      <c r="BP170">
        <v>0</v>
      </c>
      <c r="BQ170">
        <v>37</v>
      </c>
      <c r="BR170">
        <v>37</v>
      </c>
      <c r="BS170">
        <v>36.69</v>
      </c>
      <c r="BT170">
        <v>0</v>
      </c>
      <c r="BV170">
        <v>0</v>
      </c>
      <c r="BW170" t="s">
        <v>655</v>
      </c>
      <c r="BX170">
        <v>0.17</v>
      </c>
      <c r="BY170">
        <v>6.2373000000000003</v>
      </c>
      <c r="BZ170">
        <v>0</v>
      </c>
      <c r="CA170">
        <v>1</v>
      </c>
      <c r="CB170">
        <v>0.6</v>
      </c>
      <c r="CC170" s="3">
        <v>7.1269159999999998E-2</v>
      </c>
      <c r="CD170">
        <v>2.875</v>
      </c>
      <c r="CE170">
        <v>2.5</v>
      </c>
      <c r="CF170">
        <v>18</v>
      </c>
      <c r="CG170">
        <v>6</v>
      </c>
      <c r="CH170">
        <v>0</v>
      </c>
      <c r="CI170">
        <v>36.69</v>
      </c>
      <c r="CJ170">
        <v>202.65209999999999</v>
      </c>
    </row>
    <row r="171" spans="1:88">
      <c r="A171">
        <v>169</v>
      </c>
      <c r="B171" t="s">
        <v>13</v>
      </c>
      <c r="C171" t="s">
        <v>1</v>
      </c>
      <c r="D171" t="s">
        <v>123</v>
      </c>
      <c r="E171" t="s">
        <v>104</v>
      </c>
      <c r="F171" t="s">
        <v>118</v>
      </c>
      <c r="G171" t="s">
        <v>214</v>
      </c>
      <c r="H171" t="s">
        <v>386</v>
      </c>
      <c r="J171">
        <v>2</v>
      </c>
      <c r="K171" t="s">
        <v>108</v>
      </c>
      <c r="L171" t="s">
        <v>109</v>
      </c>
      <c r="M171" t="s">
        <v>110</v>
      </c>
      <c r="N171" t="s">
        <v>111</v>
      </c>
      <c r="O171">
        <v>191</v>
      </c>
      <c r="Q171">
        <v>897</v>
      </c>
      <c r="R171">
        <v>111</v>
      </c>
      <c r="S171">
        <v>4.25</v>
      </c>
      <c r="T171">
        <v>4.9850000000000003</v>
      </c>
      <c r="U171">
        <v>7.27</v>
      </c>
      <c r="V171">
        <v>3811.14</v>
      </c>
      <c r="W171">
        <v>807</v>
      </c>
      <c r="X171">
        <v>1.3332999999999999</v>
      </c>
      <c r="Y171">
        <v>604</v>
      </c>
      <c r="Z171">
        <v>6.31</v>
      </c>
      <c r="AJ171">
        <v>2</v>
      </c>
      <c r="AK171">
        <v>18</v>
      </c>
      <c r="AM171">
        <v>0</v>
      </c>
      <c r="AO171" t="s">
        <v>357</v>
      </c>
      <c r="AT171">
        <v>72</v>
      </c>
      <c r="AV171">
        <v>63.8</v>
      </c>
      <c r="AW171">
        <v>0.46875</v>
      </c>
      <c r="AX171">
        <v>3.75</v>
      </c>
      <c r="AY171">
        <v>67.125</v>
      </c>
      <c r="AZ171">
        <v>5.875</v>
      </c>
      <c r="BA171">
        <v>301.99</v>
      </c>
      <c r="BB171">
        <v>6.52</v>
      </c>
      <c r="BC171">
        <v>72</v>
      </c>
      <c r="BD171">
        <v>0.46875</v>
      </c>
      <c r="BE171">
        <v>3.75</v>
      </c>
      <c r="BF171">
        <v>67.125</v>
      </c>
      <c r="BG171">
        <v>5.875</v>
      </c>
      <c r="BH171">
        <v>301.99</v>
      </c>
      <c r="BI171">
        <v>6.52</v>
      </c>
      <c r="BJ171">
        <v>72</v>
      </c>
      <c r="BL171">
        <v>603.98</v>
      </c>
      <c r="BM171">
        <v>144</v>
      </c>
      <c r="BN171">
        <v>309.31330000000003</v>
      </c>
      <c r="BO171">
        <v>1361</v>
      </c>
      <c r="BP171">
        <v>0</v>
      </c>
      <c r="BQ171">
        <v>66</v>
      </c>
      <c r="BR171">
        <v>66</v>
      </c>
      <c r="BS171">
        <v>65.56</v>
      </c>
      <c r="BT171">
        <v>0</v>
      </c>
      <c r="BV171">
        <v>0</v>
      </c>
      <c r="BW171" t="s">
        <v>655</v>
      </c>
      <c r="BX171">
        <v>0.17</v>
      </c>
      <c r="BY171">
        <v>11.145200000000001</v>
      </c>
      <c r="BZ171">
        <v>0</v>
      </c>
      <c r="CA171">
        <v>1</v>
      </c>
      <c r="CB171">
        <v>0.6</v>
      </c>
      <c r="CC171" s="3">
        <v>7.1269159999999998E-2</v>
      </c>
      <c r="CD171">
        <v>2.875</v>
      </c>
      <c r="CE171">
        <v>2.5</v>
      </c>
      <c r="CF171">
        <v>18</v>
      </c>
      <c r="CG171">
        <v>6</v>
      </c>
      <c r="CH171">
        <v>0</v>
      </c>
      <c r="CI171">
        <v>65.56</v>
      </c>
      <c r="CJ171">
        <v>821.75930000000005</v>
      </c>
    </row>
    <row r="172" spans="1:88">
      <c r="A172">
        <v>170</v>
      </c>
      <c r="B172" t="s">
        <v>13</v>
      </c>
      <c r="C172" t="s">
        <v>1</v>
      </c>
      <c r="D172" t="s">
        <v>282</v>
      </c>
      <c r="E172" t="s">
        <v>185</v>
      </c>
      <c r="F172" t="s">
        <v>450</v>
      </c>
      <c r="G172" t="s">
        <v>15</v>
      </c>
      <c r="H172" t="s">
        <v>451</v>
      </c>
      <c r="J172">
        <v>2</v>
      </c>
      <c r="K172" t="s">
        <v>108</v>
      </c>
      <c r="L172" t="s">
        <v>466</v>
      </c>
      <c r="M172" t="s">
        <v>294</v>
      </c>
      <c r="N172" t="s">
        <v>143</v>
      </c>
      <c r="O172">
        <v>152</v>
      </c>
      <c r="Q172">
        <v>834</v>
      </c>
      <c r="R172">
        <v>128</v>
      </c>
      <c r="S172">
        <v>4.25</v>
      </c>
      <c r="T172">
        <v>4.0949999999999998</v>
      </c>
      <c r="U172">
        <v>6.75</v>
      </c>
      <c r="V172">
        <v>3545.9</v>
      </c>
      <c r="W172">
        <v>864</v>
      </c>
      <c r="X172">
        <v>1.3332999999999999</v>
      </c>
      <c r="Y172">
        <v>654</v>
      </c>
      <c r="Z172">
        <v>5.42</v>
      </c>
      <c r="AJ172">
        <v>2</v>
      </c>
      <c r="AK172">
        <v>18</v>
      </c>
      <c r="AM172">
        <v>0</v>
      </c>
      <c r="AO172" t="s">
        <v>452</v>
      </c>
      <c r="AT172">
        <v>58</v>
      </c>
      <c r="AV172">
        <v>73.599999999999994</v>
      </c>
      <c r="AW172" t="s">
        <v>6</v>
      </c>
      <c r="AX172" t="s">
        <v>6</v>
      </c>
      <c r="AY172" t="s">
        <v>6</v>
      </c>
      <c r="AZ172" t="s">
        <v>6</v>
      </c>
      <c r="BA172" t="s">
        <v>6</v>
      </c>
      <c r="BB172" t="s">
        <v>6</v>
      </c>
      <c r="BC172" t="s">
        <v>6</v>
      </c>
      <c r="BD172" t="s">
        <v>6</v>
      </c>
      <c r="BE172" t="s">
        <v>6</v>
      </c>
      <c r="BF172" t="s">
        <v>6</v>
      </c>
      <c r="BG172" t="s">
        <v>6</v>
      </c>
      <c r="BH172" t="s">
        <v>6</v>
      </c>
      <c r="BI172" t="s">
        <v>6</v>
      </c>
      <c r="BJ172" t="s">
        <v>6</v>
      </c>
      <c r="BN172">
        <v>628.25800000000004</v>
      </c>
      <c r="BO172">
        <v>2771</v>
      </c>
      <c r="BP172">
        <v>0</v>
      </c>
      <c r="BQ172">
        <v>52</v>
      </c>
      <c r="BR172">
        <v>52</v>
      </c>
      <c r="BS172">
        <v>52</v>
      </c>
      <c r="BT172">
        <v>0</v>
      </c>
      <c r="BV172">
        <v>0</v>
      </c>
      <c r="BW172" t="s">
        <v>655</v>
      </c>
      <c r="BX172">
        <v>0.17</v>
      </c>
      <c r="BY172">
        <v>8.84</v>
      </c>
      <c r="BZ172">
        <v>0</v>
      </c>
      <c r="CA172">
        <v>1</v>
      </c>
      <c r="CB172">
        <v>0.6</v>
      </c>
      <c r="CC172" s="3">
        <v>7.1269159999999998E-2</v>
      </c>
      <c r="CD172">
        <v>2.875</v>
      </c>
      <c r="CE172">
        <v>2.5</v>
      </c>
      <c r="CF172">
        <v>18</v>
      </c>
      <c r="CG172">
        <v>6</v>
      </c>
      <c r="CH172">
        <v>0</v>
      </c>
      <c r="CI172">
        <v>52</v>
      </c>
      <c r="CJ172">
        <v>751.85400000000004</v>
      </c>
    </row>
    <row r="173" spans="1:88">
      <c r="A173">
        <v>171</v>
      </c>
      <c r="B173" t="s">
        <v>0</v>
      </c>
      <c r="C173" t="s">
        <v>1</v>
      </c>
      <c r="D173" t="s">
        <v>101</v>
      </c>
      <c r="E173" t="s">
        <v>346</v>
      </c>
      <c r="F173" t="s">
        <v>339</v>
      </c>
      <c r="G173" t="s">
        <v>106</v>
      </c>
      <c r="H173" t="s">
        <v>167</v>
      </c>
      <c r="J173">
        <v>2</v>
      </c>
      <c r="K173" t="s">
        <v>146</v>
      </c>
      <c r="L173" t="s">
        <v>177</v>
      </c>
      <c r="M173" t="s">
        <v>407</v>
      </c>
      <c r="N173" t="s">
        <v>178</v>
      </c>
      <c r="O173">
        <v>92</v>
      </c>
      <c r="Q173">
        <v>332</v>
      </c>
      <c r="R173">
        <v>83</v>
      </c>
      <c r="S173">
        <v>4.25</v>
      </c>
      <c r="T173">
        <v>2.5670000000000002</v>
      </c>
      <c r="U173">
        <v>5.73</v>
      </c>
      <c r="V173">
        <v>1410.36</v>
      </c>
      <c r="W173">
        <v>473</v>
      </c>
      <c r="X173">
        <v>1.3332999999999999</v>
      </c>
      <c r="Y173">
        <v>362</v>
      </c>
      <c r="Z173">
        <v>3.9</v>
      </c>
      <c r="AJ173">
        <v>2</v>
      </c>
      <c r="AK173">
        <v>18</v>
      </c>
      <c r="AM173">
        <v>0</v>
      </c>
      <c r="AO173" t="s">
        <v>327</v>
      </c>
      <c r="AT173">
        <v>37</v>
      </c>
      <c r="AV173">
        <v>45.9</v>
      </c>
      <c r="AW173">
        <v>0</v>
      </c>
      <c r="AX173">
        <v>0</v>
      </c>
      <c r="AY173">
        <v>39.375</v>
      </c>
      <c r="AZ173">
        <v>3.375</v>
      </c>
      <c r="BA173">
        <v>0</v>
      </c>
      <c r="BB173">
        <v>0</v>
      </c>
      <c r="BC173">
        <v>40</v>
      </c>
      <c r="BN173">
        <v>219.35</v>
      </c>
      <c r="BO173">
        <v>2157</v>
      </c>
      <c r="BP173">
        <v>0</v>
      </c>
      <c r="BQ173">
        <v>31</v>
      </c>
      <c r="BR173">
        <v>31</v>
      </c>
      <c r="BS173">
        <v>31.13</v>
      </c>
      <c r="BT173">
        <v>0</v>
      </c>
      <c r="BV173">
        <v>0</v>
      </c>
      <c r="BW173" t="s">
        <v>655</v>
      </c>
      <c r="BX173">
        <v>0.17</v>
      </c>
      <c r="BY173">
        <v>5.2920999999999996</v>
      </c>
      <c r="BZ173">
        <v>0</v>
      </c>
      <c r="CA173">
        <v>1</v>
      </c>
      <c r="CB173">
        <v>0.6</v>
      </c>
      <c r="CC173" s="3">
        <v>7.1269159999999998E-2</v>
      </c>
      <c r="CD173">
        <v>2.875</v>
      </c>
      <c r="CE173">
        <v>2.5</v>
      </c>
      <c r="CF173">
        <v>18</v>
      </c>
      <c r="CG173">
        <v>6</v>
      </c>
      <c r="CH173">
        <v>0</v>
      </c>
      <c r="CI173">
        <v>31.13</v>
      </c>
      <c r="CJ173">
        <v>280.654</v>
      </c>
    </row>
    <row r="174" spans="1:88">
      <c r="A174">
        <v>172</v>
      </c>
      <c r="B174" t="s">
        <v>0</v>
      </c>
      <c r="C174" t="s">
        <v>1</v>
      </c>
      <c r="D174" t="s">
        <v>338</v>
      </c>
      <c r="E174" t="s">
        <v>212</v>
      </c>
      <c r="F174" t="s">
        <v>360</v>
      </c>
      <c r="G174" t="s">
        <v>106</v>
      </c>
      <c r="H174" t="s">
        <v>101</v>
      </c>
      <c r="J174">
        <v>2</v>
      </c>
      <c r="K174" t="s">
        <v>146</v>
      </c>
      <c r="L174" t="s">
        <v>425</v>
      </c>
      <c r="M174" t="s">
        <v>453</v>
      </c>
      <c r="N174" t="s">
        <v>454</v>
      </c>
      <c r="O174">
        <v>195</v>
      </c>
      <c r="Q174">
        <v>666</v>
      </c>
      <c r="R174">
        <v>83</v>
      </c>
      <c r="S174">
        <v>4.25</v>
      </c>
      <c r="T174">
        <v>5.0730000000000004</v>
      </c>
      <c r="U174">
        <v>7.35</v>
      </c>
      <c r="V174">
        <v>2830.58</v>
      </c>
      <c r="W174">
        <v>611</v>
      </c>
      <c r="X174">
        <v>1.3332999999999999</v>
      </c>
      <c r="Y174">
        <v>442</v>
      </c>
      <c r="Z174">
        <v>6.4</v>
      </c>
      <c r="AJ174">
        <v>2</v>
      </c>
      <c r="AK174">
        <v>18</v>
      </c>
      <c r="AM174">
        <v>0</v>
      </c>
      <c r="AO174" t="s">
        <v>403</v>
      </c>
      <c r="AT174">
        <v>73</v>
      </c>
      <c r="AV174">
        <v>46.2</v>
      </c>
      <c r="AW174">
        <v>0.4375</v>
      </c>
      <c r="AX174">
        <v>3.75</v>
      </c>
      <c r="AY174">
        <v>58.5</v>
      </c>
      <c r="AZ174">
        <v>5.625</v>
      </c>
      <c r="BA174">
        <v>243.24</v>
      </c>
      <c r="BB174">
        <v>6.76</v>
      </c>
      <c r="BC174">
        <v>59</v>
      </c>
      <c r="BD174">
        <v>0.40625</v>
      </c>
      <c r="BE174">
        <v>3.75</v>
      </c>
      <c r="BF174">
        <v>48.875</v>
      </c>
      <c r="BG174">
        <v>5.25</v>
      </c>
      <c r="BH174">
        <v>199.02</v>
      </c>
      <c r="BI174">
        <v>6.65</v>
      </c>
      <c r="BJ174">
        <v>46</v>
      </c>
      <c r="BL174">
        <v>442.26</v>
      </c>
      <c r="BM174">
        <v>105</v>
      </c>
      <c r="BN174">
        <v>221.13339999999999</v>
      </c>
      <c r="BO174">
        <v>2122</v>
      </c>
      <c r="BP174">
        <v>0</v>
      </c>
      <c r="BQ174">
        <v>67</v>
      </c>
      <c r="BR174">
        <v>67</v>
      </c>
      <c r="BS174">
        <v>66.95</v>
      </c>
      <c r="BT174">
        <v>0</v>
      </c>
      <c r="BV174">
        <v>0</v>
      </c>
      <c r="BW174" t="s">
        <v>655</v>
      </c>
      <c r="BX174">
        <v>0.17</v>
      </c>
      <c r="BY174">
        <v>11.381500000000001</v>
      </c>
      <c r="BZ174">
        <v>0</v>
      </c>
      <c r="CA174">
        <v>1</v>
      </c>
      <c r="CB174">
        <v>0.6</v>
      </c>
      <c r="CC174" s="3">
        <v>7.1269159999999998E-2</v>
      </c>
      <c r="CD174">
        <v>2.875</v>
      </c>
      <c r="CE174">
        <v>2.5</v>
      </c>
      <c r="CF174">
        <v>18</v>
      </c>
      <c r="CG174">
        <v>6</v>
      </c>
      <c r="CH174">
        <v>0</v>
      </c>
      <c r="CI174">
        <v>66.95</v>
      </c>
      <c r="CJ174">
        <v>608.36249999999995</v>
      </c>
    </row>
    <row r="175" spans="1:88">
      <c r="A175">
        <v>173</v>
      </c>
      <c r="B175" t="s">
        <v>0</v>
      </c>
      <c r="C175" t="s">
        <v>1</v>
      </c>
      <c r="D175" t="s">
        <v>181</v>
      </c>
      <c r="E175" t="s">
        <v>2</v>
      </c>
      <c r="F175" t="s">
        <v>182</v>
      </c>
      <c r="G175" t="s">
        <v>106</v>
      </c>
      <c r="H175" t="s">
        <v>183</v>
      </c>
      <c r="J175">
        <v>2</v>
      </c>
      <c r="K175" t="s">
        <v>108</v>
      </c>
      <c r="L175" t="s">
        <v>122</v>
      </c>
      <c r="M175" t="s">
        <v>4</v>
      </c>
      <c r="N175" t="s">
        <v>5</v>
      </c>
      <c r="O175">
        <v>107</v>
      </c>
      <c r="Q175">
        <v>461</v>
      </c>
      <c r="R175">
        <v>98</v>
      </c>
      <c r="S175">
        <v>4.25</v>
      </c>
      <c r="T175">
        <v>2.9710000000000001</v>
      </c>
      <c r="U175">
        <v>6.07</v>
      </c>
      <c r="V175">
        <v>1957.33</v>
      </c>
      <c r="W175">
        <v>596</v>
      </c>
      <c r="X175">
        <v>1.3332999999999999</v>
      </c>
      <c r="Y175">
        <v>455</v>
      </c>
      <c r="Z175">
        <v>4.3</v>
      </c>
      <c r="AJ175">
        <v>2</v>
      </c>
      <c r="AK175">
        <v>18</v>
      </c>
      <c r="AM175">
        <v>0</v>
      </c>
      <c r="AO175" t="s">
        <v>186</v>
      </c>
      <c r="AT175">
        <v>42</v>
      </c>
      <c r="AV175">
        <v>55.8</v>
      </c>
      <c r="AW175">
        <v>0</v>
      </c>
      <c r="AX175">
        <v>0</v>
      </c>
      <c r="AY175">
        <v>44.5</v>
      </c>
      <c r="AZ175">
        <v>4</v>
      </c>
      <c r="BA175">
        <v>0</v>
      </c>
      <c r="BB175">
        <v>0</v>
      </c>
      <c r="BC175">
        <v>48</v>
      </c>
      <c r="BN175">
        <v>267.5</v>
      </c>
      <c r="BO175">
        <v>1450</v>
      </c>
      <c r="BP175">
        <v>0</v>
      </c>
      <c r="BQ175">
        <v>36</v>
      </c>
      <c r="BR175">
        <v>36</v>
      </c>
      <c r="BS175">
        <v>36.340000000000003</v>
      </c>
      <c r="BT175">
        <v>0</v>
      </c>
      <c r="BV175">
        <v>0</v>
      </c>
      <c r="BW175" t="s">
        <v>655</v>
      </c>
      <c r="BX175">
        <v>0.17</v>
      </c>
      <c r="BY175">
        <v>6.1778000000000004</v>
      </c>
      <c r="BZ175">
        <v>0</v>
      </c>
      <c r="CA175">
        <v>1</v>
      </c>
      <c r="CB175">
        <v>0.6</v>
      </c>
      <c r="CC175" s="3">
        <v>7.1269159999999998E-2</v>
      </c>
      <c r="CD175">
        <v>2.875</v>
      </c>
      <c r="CE175">
        <v>2.5</v>
      </c>
      <c r="CF175">
        <v>18</v>
      </c>
      <c r="CG175">
        <v>6</v>
      </c>
      <c r="CH175">
        <v>0</v>
      </c>
      <c r="CI175">
        <v>36.340000000000003</v>
      </c>
      <c r="CJ175">
        <v>398.52409999999998</v>
      </c>
    </row>
    <row r="176" spans="1:88">
      <c r="A176">
        <v>174</v>
      </c>
      <c r="B176" t="s">
        <v>0</v>
      </c>
      <c r="C176" t="s">
        <v>1</v>
      </c>
      <c r="D176" t="s">
        <v>143</v>
      </c>
      <c r="E176" t="s">
        <v>455</v>
      </c>
      <c r="F176" t="s">
        <v>144</v>
      </c>
      <c r="G176" t="s">
        <v>106</v>
      </c>
      <c r="H176" t="s">
        <v>145</v>
      </c>
      <c r="J176">
        <v>2</v>
      </c>
      <c r="K176" t="s">
        <v>146</v>
      </c>
      <c r="L176" t="s">
        <v>278</v>
      </c>
      <c r="M176" t="s">
        <v>456</v>
      </c>
      <c r="N176" t="s">
        <v>457</v>
      </c>
      <c r="O176">
        <v>187</v>
      </c>
      <c r="Q176">
        <v>739</v>
      </c>
      <c r="R176">
        <v>95</v>
      </c>
      <c r="S176">
        <v>4.25</v>
      </c>
      <c r="T176">
        <v>4.8970000000000002</v>
      </c>
      <c r="U176">
        <v>7.2</v>
      </c>
      <c r="V176">
        <v>3140.79</v>
      </c>
      <c r="W176">
        <v>681</v>
      </c>
      <c r="X176">
        <v>1.3332999999999999</v>
      </c>
      <c r="Y176">
        <v>504</v>
      </c>
      <c r="Z176">
        <v>6.23</v>
      </c>
      <c r="AJ176">
        <v>2</v>
      </c>
      <c r="AK176">
        <v>18</v>
      </c>
      <c r="AM176">
        <v>0</v>
      </c>
      <c r="AO176" t="s">
        <v>149</v>
      </c>
      <c r="AT176">
        <v>70</v>
      </c>
      <c r="AV176">
        <v>53.5</v>
      </c>
      <c r="AW176">
        <v>0.4375</v>
      </c>
      <c r="AX176">
        <v>3.75</v>
      </c>
      <c r="AY176">
        <v>56.5</v>
      </c>
      <c r="AZ176">
        <v>5.5</v>
      </c>
      <c r="BA176">
        <v>252.06</v>
      </c>
      <c r="BB176">
        <v>6.52</v>
      </c>
      <c r="BC176">
        <v>57</v>
      </c>
      <c r="BD176">
        <v>0.4375</v>
      </c>
      <c r="BE176">
        <v>3.75</v>
      </c>
      <c r="BF176">
        <v>56.5</v>
      </c>
      <c r="BG176">
        <v>5.5</v>
      </c>
      <c r="BH176">
        <v>252.06</v>
      </c>
      <c r="BI176">
        <v>6.52</v>
      </c>
      <c r="BJ176">
        <v>57</v>
      </c>
      <c r="BL176">
        <v>504.12</v>
      </c>
      <c r="BM176">
        <v>114</v>
      </c>
      <c r="BN176">
        <v>256.80009999999999</v>
      </c>
      <c r="BO176">
        <v>1574</v>
      </c>
      <c r="BP176">
        <v>0</v>
      </c>
      <c r="BQ176">
        <v>64</v>
      </c>
      <c r="BR176">
        <v>64</v>
      </c>
      <c r="BS176">
        <v>64.17</v>
      </c>
      <c r="BT176">
        <v>0</v>
      </c>
      <c r="BV176">
        <v>0</v>
      </c>
      <c r="BW176" t="s">
        <v>655</v>
      </c>
      <c r="BX176">
        <v>0.17</v>
      </c>
      <c r="BY176">
        <v>10.908899999999999</v>
      </c>
      <c r="BZ176">
        <v>0</v>
      </c>
      <c r="CA176">
        <v>1</v>
      </c>
      <c r="CB176">
        <v>0.6</v>
      </c>
      <c r="CC176" s="3">
        <v>7.1269159999999998E-2</v>
      </c>
      <c r="CD176">
        <v>2.875</v>
      </c>
      <c r="CE176">
        <v>2.5</v>
      </c>
      <c r="CF176">
        <v>18</v>
      </c>
      <c r="CG176">
        <v>6</v>
      </c>
      <c r="CH176">
        <v>0</v>
      </c>
      <c r="CI176">
        <v>64.17</v>
      </c>
      <c r="CJ176">
        <v>674.56780000000003</v>
      </c>
    </row>
    <row r="177" spans="1:88">
      <c r="A177">
        <v>175</v>
      </c>
      <c r="B177" t="s">
        <v>0</v>
      </c>
      <c r="C177" t="s">
        <v>1</v>
      </c>
      <c r="D177" t="s">
        <v>131</v>
      </c>
      <c r="E177" t="s">
        <v>113</v>
      </c>
      <c r="F177" t="s">
        <v>232</v>
      </c>
      <c r="G177" t="s">
        <v>106</v>
      </c>
      <c r="H177" t="s">
        <v>233</v>
      </c>
      <c r="J177">
        <v>2</v>
      </c>
      <c r="K177" t="s">
        <v>146</v>
      </c>
      <c r="L177" t="s">
        <v>116</v>
      </c>
      <c r="M177" t="s">
        <v>117</v>
      </c>
      <c r="N177" t="s">
        <v>14</v>
      </c>
      <c r="O177">
        <v>179</v>
      </c>
      <c r="Q177">
        <v>724</v>
      </c>
      <c r="R177">
        <v>96</v>
      </c>
      <c r="S177">
        <v>4.25</v>
      </c>
      <c r="T177">
        <v>4.7190000000000003</v>
      </c>
      <c r="U177">
        <v>7.05</v>
      </c>
      <c r="V177">
        <v>3075</v>
      </c>
      <c r="W177">
        <v>679</v>
      </c>
      <c r="X177">
        <v>1.3332999999999999</v>
      </c>
      <c r="Y177">
        <v>508</v>
      </c>
      <c r="Z177">
        <v>6.05</v>
      </c>
      <c r="AJ177">
        <v>2</v>
      </c>
      <c r="AK177">
        <v>18</v>
      </c>
      <c r="AM177">
        <v>0</v>
      </c>
      <c r="AO177" t="s">
        <v>236</v>
      </c>
      <c r="AT177">
        <v>68</v>
      </c>
      <c r="AV177">
        <v>54.6</v>
      </c>
      <c r="AW177" t="s">
        <v>6</v>
      </c>
      <c r="AX177" t="s">
        <v>6</v>
      </c>
      <c r="AY177" t="s">
        <v>6</v>
      </c>
      <c r="AZ177" t="s">
        <v>6</v>
      </c>
      <c r="BA177" t="s">
        <v>6</v>
      </c>
      <c r="BB177" t="s">
        <v>6</v>
      </c>
      <c r="BC177" t="s">
        <v>6</v>
      </c>
      <c r="BD177" t="s">
        <v>6</v>
      </c>
      <c r="BE177" t="s">
        <v>6</v>
      </c>
      <c r="BF177" t="s">
        <v>6</v>
      </c>
      <c r="BG177" t="s">
        <v>6</v>
      </c>
      <c r="BH177" t="s">
        <v>6</v>
      </c>
      <c r="BI177" t="s">
        <v>6</v>
      </c>
      <c r="BJ177" t="s">
        <v>6</v>
      </c>
      <c r="BN177">
        <v>262.14999999999998</v>
      </c>
      <c r="BO177">
        <v>1510</v>
      </c>
      <c r="BP177">
        <v>0</v>
      </c>
      <c r="BQ177">
        <v>61</v>
      </c>
      <c r="BR177">
        <v>61</v>
      </c>
      <c r="BS177">
        <v>61.39</v>
      </c>
      <c r="BT177">
        <v>0</v>
      </c>
      <c r="BV177">
        <v>0</v>
      </c>
      <c r="BW177" t="s">
        <v>655</v>
      </c>
      <c r="BX177">
        <v>0.17</v>
      </c>
      <c r="BY177">
        <v>10.436299999999999</v>
      </c>
      <c r="BZ177">
        <v>0</v>
      </c>
      <c r="CA177">
        <v>1</v>
      </c>
      <c r="CB177">
        <v>0.6</v>
      </c>
      <c r="CC177" s="3">
        <v>7.1269159999999998E-2</v>
      </c>
      <c r="CD177">
        <v>2.875</v>
      </c>
      <c r="CE177">
        <v>2.5</v>
      </c>
      <c r="CF177">
        <v>18</v>
      </c>
      <c r="CG177">
        <v>6</v>
      </c>
      <c r="CH177">
        <v>0</v>
      </c>
      <c r="CI177">
        <v>61.39</v>
      </c>
      <c r="CJ177">
        <v>658.46960000000001</v>
      </c>
    </row>
    <row r="178" spans="1:88">
      <c r="A178">
        <v>176</v>
      </c>
      <c r="B178" t="s">
        <v>0</v>
      </c>
      <c r="C178" t="s">
        <v>1</v>
      </c>
      <c r="D178" t="s">
        <v>278</v>
      </c>
      <c r="E178" t="s">
        <v>113</v>
      </c>
      <c r="F178" t="s">
        <v>239</v>
      </c>
      <c r="G178" t="s">
        <v>15</v>
      </c>
      <c r="H178" t="s">
        <v>458</v>
      </c>
      <c r="J178">
        <v>2</v>
      </c>
      <c r="K178" t="s">
        <v>108</v>
      </c>
      <c r="L178" t="s">
        <v>116</v>
      </c>
      <c r="M178" t="s">
        <v>117</v>
      </c>
      <c r="N178" t="s">
        <v>14</v>
      </c>
      <c r="O178">
        <v>179</v>
      </c>
      <c r="Q178">
        <v>957</v>
      </c>
      <c r="R178">
        <v>126</v>
      </c>
      <c r="S178">
        <v>4.25</v>
      </c>
      <c r="T178">
        <v>4.7190000000000003</v>
      </c>
      <c r="U178">
        <v>7.05</v>
      </c>
      <c r="V178">
        <v>4069.29</v>
      </c>
      <c r="W178">
        <v>889</v>
      </c>
      <c r="X178">
        <v>1.3332999999999999</v>
      </c>
      <c r="Y178">
        <v>673</v>
      </c>
      <c r="Z178">
        <v>6.05</v>
      </c>
      <c r="AJ178">
        <v>2</v>
      </c>
      <c r="AK178">
        <v>18</v>
      </c>
      <c r="AM178">
        <v>0</v>
      </c>
      <c r="AO178" t="s">
        <v>401</v>
      </c>
      <c r="AT178">
        <v>68</v>
      </c>
      <c r="AV178">
        <v>72.5</v>
      </c>
      <c r="AW178" t="s">
        <v>6</v>
      </c>
      <c r="AX178" t="s">
        <v>6</v>
      </c>
      <c r="AY178" t="s">
        <v>6</v>
      </c>
      <c r="AZ178" t="s">
        <v>6</v>
      </c>
      <c r="BA178" t="s">
        <v>6</v>
      </c>
      <c r="BB178" t="s">
        <v>6</v>
      </c>
      <c r="BC178" t="s">
        <v>6</v>
      </c>
      <c r="BD178" t="s">
        <v>6</v>
      </c>
      <c r="BE178" t="s">
        <v>6</v>
      </c>
      <c r="BF178" t="s">
        <v>6</v>
      </c>
      <c r="BG178" t="s">
        <v>6</v>
      </c>
      <c r="BH178" t="s">
        <v>6</v>
      </c>
      <c r="BI178" t="s">
        <v>6</v>
      </c>
      <c r="BJ178" t="s">
        <v>6</v>
      </c>
      <c r="BN178">
        <v>618.78679999999997</v>
      </c>
      <c r="BO178">
        <v>2857</v>
      </c>
      <c r="BP178">
        <v>0</v>
      </c>
      <c r="BQ178">
        <v>61</v>
      </c>
      <c r="BR178">
        <v>61</v>
      </c>
      <c r="BS178">
        <v>61.39</v>
      </c>
      <c r="BT178">
        <v>0</v>
      </c>
      <c r="BV178">
        <v>0</v>
      </c>
      <c r="BW178" t="s">
        <v>655</v>
      </c>
      <c r="BX178">
        <v>0.17</v>
      </c>
      <c r="BY178">
        <v>10.436299999999999</v>
      </c>
      <c r="BZ178">
        <v>0</v>
      </c>
      <c r="CA178">
        <v>1</v>
      </c>
      <c r="CB178">
        <v>0.6</v>
      </c>
      <c r="CC178" s="3">
        <v>7.1269159999999998E-2</v>
      </c>
      <c r="CD178">
        <v>2.875</v>
      </c>
      <c r="CE178">
        <v>2.5</v>
      </c>
      <c r="CF178">
        <v>18</v>
      </c>
      <c r="CG178">
        <v>6</v>
      </c>
      <c r="CH178">
        <v>0</v>
      </c>
      <c r="CI178">
        <v>61.39</v>
      </c>
      <c r="CJ178">
        <v>874.49580000000003</v>
      </c>
    </row>
    <row r="179" spans="1:88">
      <c r="A179">
        <v>177</v>
      </c>
      <c r="B179" t="s">
        <v>0</v>
      </c>
      <c r="C179" t="s">
        <v>1</v>
      </c>
      <c r="D179" t="s">
        <v>113</v>
      </c>
      <c r="E179" t="s">
        <v>2</v>
      </c>
      <c r="F179" t="s">
        <v>262</v>
      </c>
      <c r="G179" t="s">
        <v>106</v>
      </c>
      <c r="H179" t="s">
        <v>263</v>
      </c>
      <c r="J179">
        <v>2</v>
      </c>
      <c r="K179" t="s">
        <v>108</v>
      </c>
      <c r="L179" t="s">
        <v>122</v>
      </c>
      <c r="M179" t="s">
        <v>4</v>
      </c>
      <c r="N179" t="s">
        <v>5</v>
      </c>
      <c r="O179">
        <v>107</v>
      </c>
      <c r="Q179">
        <v>514</v>
      </c>
      <c r="R179">
        <v>109</v>
      </c>
      <c r="S179">
        <v>4.25</v>
      </c>
      <c r="T179">
        <v>2.9710000000000001</v>
      </c>
      <c r="U179">
        <v>6.07</v>
      </c>
      <c r="V179">
        <v>2183.2199999999998</v>
      </c>
      <c r="W179">
        <v>659</v>
      </c>
      <c r="X179">
        <v>1.3332999999999999</v>
      </c>
      <c r="Y179">
        <v>508</v>
      </c>
      <c r="Z179">
        <v>4.3</v>
      </c>
      <c r="AJ179">
        <v>2</v>
      </c>
      <c r="AK179">
        <v>18</v>
      </c>
      <c r="AM179">
        <v>0</v>
      </c>
      <c r="AO179" t="s">
        <v>266</v>
      </c>
      <c r="AT179">
        <v>42</v>
      </c>
      <c r="AV179">
        <v>62.3</v>
      </c>
      <c r="AW179">
        <v>0.46875</v>
      </c>
      <c r="AX179">
        <v>3.75</v>
      </c>
      <c r="AY179">
        <v>44.25</v>
      </c>
      <c r="AZ179">
        <v>4</v>
      </c>
      <c r="BA179">
        <v>458.33</v>
      </c>
      <c r="BB179">
        <v>4.3</v>
      </c>
      <c r="BC179">
        <v>48</v>
      </c>
      <c r="BD179">
        <v>0.25</v>
      </c>
      <c r="BE179">
        <v>2.75</v>
      </c>
      <c r="BF179">
        <v>23.25</v>
      </c>
      <c r="BG179">
        <v>2.125</v>
      </c>
      <c r="BH179">
        <v>49.39</v>
      </c>
      <c r="BI179">
        <v>6.95</v>
      </c>
      <c r="BJ179">
        <v>10</v>
      </c>
      <c r="BL179">
        <v>507.72</v>
      </c>
      <c r="BM179">
        <v>57</v>
      </c>
      <c r="BN179">
        <v>299.60000000000002</v>
      </c>
      <c r="BO179">
        <v>1156</v>
      </c>
      <c r="BP179">
        <v>0</v>
      </c>
      <c r="BQ179">
        <v>36</v>
      </c>
      <c r="BR179">
        <v>36</v>
      </c>
      <c r="BS179">
        <v>36.340000000000003</v>
      </c>
      <c r="BT179">
        <v>0</v>
      </c>
      <c r="BV179">
        <v>0</v>
      </c>
      <c r="BW179" t="s">
        <v>655</v>
      </c>
      <c r="BX179">
        <v>0.17</v>
      </c>
      <c r="BY179">
        <v>6.1778000000000004</v>
      </c>
      <c r="BZ179">
        <v>0</v>
      </c>
      <c r="CA179">
        <v>1</v>
      </c>
      <c r="CB179">
        <v>0.6</v>
      </c>
      <c r="CC179" s="3">
        <v>7.1269159999999998E-2</v>
      </c>
      <c r="CD179">
        <v>2.875</v>
      </c>
      <c r="CE179">
        <v>2.5</v>
      </c>
      <c r="CF179">
        <v>18</v>
      </c>
      <c r="CG179">
        <v>6</v>
      </c>
      <c r="CH179">
        <v>0</v>
      </c>
      <c r="CI179">
        <v>36.340000000000003</v>
      </c>
      <c r="CJ179">
        <v>445.14269999999999</v>
      </c>
    </row>
    <row r="180" spans="1:88">
      <c r="A180">
        <v>178</v>
      </c>
      <c r="B180" t="s">
        <v>0</v>
      </c>
      <c r="C180" t="s">
        <v>1</v>
      </c>
      <c r="D180" t="s">
        <v>459</v>
      </c>
      <c r="E180" t="s">
        <v>2</v>
      </c>
      <c r="F180" t="s">
        <v>389</v>
      </c>
      <c r="G180" t="s">
        <v>214</v>
      </c>
      <c r="H180" t="s">
        <v>460</v>
      </c>
      <c r="J180">
        <v>2</v>
      </c>
      <c r="K180" t="s">
        <v>108</v>
      </c>
      <c r="L180" t="s">
        <v>122</v>
      </c>
      <c r="M180" t="s">
        <v>4</v>
      </c>
      <c r="N180" t="s">
        <v>5</v>
      </c>
      <c r="O180">
        <v>107</v>
      </c>
      <c r="Q180">
        <v>588</v>
      </c>
      <c r="R180">
        <v>124</v>
      </c>
      <c r="S180">
        <v>4.25</v>
      </c>
      <c r="T180">
        <v>2.9710000000000001</v>
      </c>
      <c r="U180">
        <v>6.07</v>
      </c>
      <c r="V180">
        <v>2496.96</v>
      </c>
      <c r="W180">
        <v>754</v>
      </c>
      <c r="X180">
        <v>1.3332999999999999</v>
      </c>
      <c r="Y180">
        <v>581</v>
      </c>
      <c r="Z180">
        <v>4.3</v>
      </c>
      <c r="AJ180">
        <v>2</v>
      </c>
      <c r="AK180">
        <v>18</v>
      </c>
      <c r="AM180">
        <v>0</v>
      </c>
      <c r="AO180" t="s">
        <v>418</v>
      </c>
      <c r="AT180">
        <v>42</v>
      </c>
      <c r="AV180">
        <v>71.400000000000006</v>
      </c>
      <c r="AW180">
        <v>0.46875</v>
      </c>
      <c r="AX180">
        <v>3.75</v>
      </c>
      <c r="AY180">
        <v>44.25</v>
      </c>
      <c r="AZ180">
        <v>4</v>
      </c>
      <c r="BA180">
        <v>458.33</v>
      </c>
      <c r="BB180">
        <v>4.3</v>
      </c>
      <c r="BC180">
        <v>48</v>
      </c>
      <c r="BD180">
        <v>0.3125</v>
      </c>
      <c r="BE180">
        <v>2.75</v>
      </c>
      <c r="BF180">
        <v>29.375</v>
      </c>
      <c r="BG180">
        <v>2.625</v>
      </c>
      <c r="BH180">
        <v>122.35</v>
      </c>
      <c r="BI180">
        <v>5.22</v>
      </c>
      <c r="BJ180">
        <v>16</v>
      </c>
      <c r="BL180">
        <v>580.67999999999995</v>
      </c>
      <c r="BM180">
        <v>63</v>
      </c>
      <c r="BN180">
        <v>347.07839999999999</v>
      </c>
      <c r="BO180">
        <v>1081</v>
      </c>
      <c r="BP180">
        <v>0</v>
      </c>
      <c r="BQ180">
        <v>36</v>
      </c>
      <c r="BR180">
        <v>36</v>
      </c>
      <c r="BS180">
        <v>36.340000000000003</v>
      </c>
      <c r="BT180">
        <v>0</v>
      </c>
      <c r="BV180">
        <v>0</v>
      </c>
      <c r="BW180" t="s">
        <v>655</v>
      </c>
      <c r="BX180">
        <v>0.17</v>
      </c>
      <c r="BY180">
        <v>6.1778000000000004</v>
      </c>
      <c r="BZ180">
        <v>0</v>
      </c>
      <c r="CA180">
        <v>1</v>
      </c>
      <c r="CB180">
        <v>0.6</v>
      </c>
      <c r="CC180" s="3">
        <v>7.1269159999999998E-2</v>
      </c>
      <c r="CD180">
        <v>2.875</v>
      </c>
      <c r="CE180">
        <v>2.5</v>
      </c>
      <c r="CF180">
        <v>18</v>
      </c>
      <c r="CG180">
        <v>6</v>
      </c>
      <c r="CH180">
        <v>0</v>
      </c>
      <c r="CI180">
        <v>36.340000000000003</v>
      </c>
      <c r="CJ180">
        <v>509.89069999999998</v>
      </c>
    </row>
    <row r="181" spans="1:88">
      <c r="A181">
        <v>179</v>
      </c>
      <c r="B181" t="s">
        <v>13</v>
      </c>
      <c r="C181" t="s">
        <v>1</v>
      </c>
      <c r="D181" t="s">
        <v>399</v>
      </c>
      <c r="E181" t="s">
        <v>363</v>
      </c>
      <c r="F181" t="s">
        <v>406</v>
      </c>
      <c r="G181" t="s">
        <v>106</v>
      </c>
      <c r="H181" t="s">
        <v>227</v>
      </c>
      <c r="J181">
        <v>2</v>
      </c>
      <c r="K181" t="s">
        <v>146</v>
      </c>
      <c r="L181" t="s">
        <v>120</v>
      </c>
      <c r="M181" t="s">
        <v>461</v>
      </c>
      <c r="N181" t="s">
        <v>165</v>
      </c>
      <c r="O181">
        <v>145</v>
      </c>
      <c r="Q181">
        <v>435</v>
      </c>
      <c r="R181">
        <v>73</v>
      </c>
      <c r="S181">
        <v>4.25</v>
      </c>
      <c r="T181">
        <v>3.9279999999999999</v>
      </c>
      <c r="U181">
        <v>6.63</v>
      </c>
      <c r="V181">
        <v>1848.45</v>
      </c>
      <c r="W181">
        <v>483</v>
      </c>
      <c r="X181">
        <v>1.3332999999999999</v>
      </c>
      <c r="Y181">
        <v>351</v>
      </c>
      <c r="Z181">
        <v>5.26</v>
      </c>
      <c r="AJ181">
        <v>2</v>
      </c>
      <c r="AK181">
        <v>18</v>
      </c>
      <c r="AM181">
        <v>0</v>
      </c>
      <c r="AO181" t="s">
        <v>129</v>
      </c>
      <c r="AT181">
        <v>56</v>
      </c>
      <c r="AV181">
        <v>39.700000000000003</v>
      </c>
      <c r="AW181">
        <v>0</v>
      </c>
      <c r="AX181">
        <v>0</v>
      </c>
      <c r="AY181">
        <v>57.625</v>
      </c>
      <c r="AZ181">
        <v>4.875</v>
      </c>
      <c r="BA181">
        <v>0</v>
      </c>
      <c r="BB181">
        <v>0</v>
      </c>
      <c r="BC181">
        <v>62</v>
      </c>
      <c r="BN181">
        <v>189.0334</v>
      </c>
      <c r="BO181">
        <v>2904</v>
      </c>
      <c r="BP181">
        <v>0</v>
      </c>
      <c r="BQ181">
        <v>50</v>
      </c>
      <c r="BR181">
        <v>50</v>
      </c>
      <c r="BS181">
        <v>49.56</v>
      </c>
      <c r="BT181">
        <v>0</v>
      </c>
      <c r="BV181">
        <v>0</v>
      </c>
      <c r="BW181" t="s">
        <v>655</v>
      </c>
      <c r="BX181">
        <v>0.17</v>
      </c>
      <c r="BY181">
        <v>8.4252009999999995</v>
      </c>
      <c r="BZ181">
        <v>0</v>
      </c>
      <c r="CA181">
        <v>1</v>
      </c>
      <c r="CB181">
        <v>0.6</v>
      </c>
      <c r="CC181" s="3">
        <v>7.1269159999999998E-2</v>
      </c>
      <c r="CD181">
        <v>2.875</v>
      </c>
      <c r="CE181">
        <v>2.5</v>
      </c>
      <c r="CF181">
        <v>18</v>
      </c>
      <c r="CG181">
        <v>6</v>
      </c>
      <c r="CH181">
        <v>0</v>
      </c>
      <c r="CI181">
        <v>49.56</v>
      </c>
      <c r="CJ181">
        <v>386.76490000000001</v>
      </c>
    </row>
    <row r="182" spans="1:88">
      <c r="A182">
        <v>180</v>
      </c>
      <c r="B182" t="s">
        <v>13</v>
      </c>
      <c r="C182" t="s">
        <v>1</v>
      </c>
      <c r="D182" t="s">
        <v>317</v>
      </c>
      <c r="E182" t="s">
        <v>366</v>
      </c>
      <c r="F182" t="s">
        <v>318</v>
      </c>
      <c r="G182" t="s">
        <v>106</v>
      </c>
      <c r="H182" t="s">
        <v>180</v>
      </c>
      <c r="J182">
        <v>2</v>
      </c>
      <c r="K182" t="s">
        <v>146</v>
      </c>
      <c r="L182" t="s">
        <v>268</v>
      </c>
      <c r="M182" t="s">
        <v>370</v>
      </c>
      <c r="N182" t="s">
        <v>217</v>
      </c>
      <c r="O182">
        <v>103</v>
      </c>
      <c r="Q182">
        <v>267</v>
      </c>
      <c r="R182">
        <v>62</v>
      </c>
      <c r="S182">
        <v>4.25</v>
      </c>
      <c r="T182">
        <v>2.8650000000000002</v>
      </c>
      <c r="U182">
        <v>5.96</v>
      </c>
      <c r="V182">
        <v>1135</v>
      </c>
      <c r="W182">
        <v>372</v>
      </c>
      <c r="X182">
        <v>1.3332999999999999</v>
      </c>
      <c r="Y182">
        <v>271</v>
      </c>
      <c r="Z182">
        <v>4.1900000000000004</v>
      </c>
      <c r="AJ182">
        <v>2</v>
      </c>
      <c r="AK182">
        <v>18</v>
      </c>
      <c r="AM182">
        <v>0</v>
      </c>
      <c r="AO182" t="s">
        <v>319</v>
      </c>
      <c r="AT182">
        <v>41</v>
      </c>
      <c r="AV182">
        <v>33.200000000000003</v>
      </c>
      <c r="AW182">
        <v>0</v>
      </c>
      <c r="AX182">
        <v>0</v>
      </c>
      <c r="AY182">
        <v>35.875</v>
      </c>
      <c r="AZ182">
        <v>3.375</v>
      </c>
      <c r="BA182">
        <v>0</v>
      </c>
      <c r="BB182">
        <v>0</v>
      </c>
      <c r="BC182">
        <v>34</v>
      </c>
      <c r="BN182">
        <v>156.93340000000001</v>
      </c>
      <c r="BO182">
        <v>4213</v>
      </c>
      <c r="BP182">
        <v>0</v>
      </c>
      <c r="BQ182">
        <v>35</v>
      </c>
      <c r="BR182">
        <v>35</v>
      </c>
      <c r="BS182">
        <v>34.950000000000003</v>
      </c>
      <c r="BT182">
        <v>0</v>
      </c>
      <c r="BV182">
        <v>0</v>
      </c>
      <c r="BW182" t="s">
        <v>655</v>
      </c>
      <c r="BX182">
        <v>0.17</v>
      </c>
      <c r="BY182">
        <v>5.9414999999999996</v>
      </c>
      <c r="BZ182">
        <v>0</v>
      </c>
      <c r="CA182">
        <v>1</v>
      </c>
      <c r="CB182">
        <v>0.6</v>
      </c>
      <c r="CC182" s="3">
        <v>7.1269159999999998E-2</v>
      </c>
      <c r="CD182">
        <v>2.875</v>
      </c>
      <c r="CE182">
        <v>2.5</v>
      </c>
      <c r="CF182">
        <v>18</v>
      </c>
      <c r="CG182">
        <v>6</v>
      </c>
      <c r="CH182">
        <v>0</v>
      </c>
      <c r="CI182">
        <v>34.950000000000003</v>
      </c>
      <c r="CJ182">
        <v>227.9134</v>
      </c>
    </row>
    <row r="183" spans="1:88">
      <c r="A183">
        <v>181</v>
      </c>
      <c r="B183" t="s">
        <v>13</v>
      </c>
      <c r="C183" t="s">
        <v>1</v>
      </c>
      <c r="D183" t="s">
        <v>113</v>
      </c>
      <c r="E183" t="s">
        <v>96</v>
      </c>
      <c r="F183" t="s">
        <v>262</v>
      </c>
      <c r="G183" t="s">
        <v>106</v>
      </c>
      <c r="H183" t="s">
        <v>263</v>
      </c>
      <c r="J183">
        <v>2</v>
      </c>
      <c r="K183" t="s">
        <v>108</v>
      </c>
      <c r="L183" t="s">
        <v>293</v>
      </c>
      <c r="M183" t="s">
        <v>100</v>
      </c>
      <c r="N183" t="s">
        <v>101</v>
      </c>
      <c r="O183">
        <v>131</v>
      </c>
      <c r="Q183">
        <v>617</v>
      </c>
      <c r="R183">
        <v>109</v>
      </c>
      <c r="S183">
        <v>4.25</v>
      </c>
      <c r="T183">
        <v>3.5859999999999999</v>
      </c>
      <c r="U183">
        <v>6.37</v>
      </c>
      <c r="V183">
        <v>2623.95</v>
      </c>
      <c r="W183">
        <v>692</v>
      </c>
      <c r="X183">
        <v>1.3332999999999999</v>
      </c>
      <c r="Y183">
        <v>534</v>
      </c>
      <c r="Z183">
        <v>4.91</v>
      </c>
      <c r="AJ183">
        <v>2</v>
      </c>
      <c r="AK183">
        <v>18</v>
      </c>
      <c r="AM183">
        <v>0</v>
      </c>
      <c r="AO183" t="s">
        <v>266</v>
      </c>
      <c r="AT183">
        <v>51</v>
      </c>
      <c r="AV183">
        <v>62.3</v>
      </c>
      <c r="AW183">
        <v>0.40625</v>
      </c>
      <c r="AX183">
        <v>3.75</v>
      </c>
      <c r="AY183">
        <v>36.375</v>
      </c>
      <c r="AZ183">
        <v>4</v>
      </c>
      <c r="BA183">
        <v>267.2</v>
      </c>
      <c r="BB183">
        <v>4.95</v>
      </c>
      <c r="BC183">
        <v>35</v>
      </c>
      <c r="BD183">
        <v>0.40625</v>
      </c>
      <c r="BE183">
        <v>3.75</v>
      </c>
      <c r="BF183">
        <v>36.375</v>
      </c>
      <c r="BG183">
        <v>4</v>
      </c>
      <c r="BH183">
        <v>267.2</v>
      </c>
      <c r="BI183">
        <v>4.95</v>
      </c>
      <c r="BJ183">
        <v>35</v>
      </c>
      <c r="BL183">
        <v>534.4</v>
      </c>
      <c r="BM183">
        <v>69</v>
      </c>
      <c r="BN183">
        <v>299.60000000000002</v>
      </c>
      <c r="BO183">
        <v>1156</v>
      </c>
      <c r="BP183">
        <v>0</v>
      </c>
      <c r="BQ183">
        <v>45</v>
      </c>
      <c r="BR183">
        <v>45</v>
      </c>
      <c r="BS183">
        <v>44.69</v>
      </c>
      <c r="BT183">
        <v>0</v>
      </c>
      <c r="BV183">
        <v>0</v>
      </c>
      <c r="BW183" t="s">
        <v>655</v>
      </c>
      <c r="BX183">
        <v>0.17</v>
      </c>
      <c r="BY183">
        <v>7.5972999999999997</v>
      </c>
      <c r="BZ183">
        <v>0</v>
      </c>
      <c r="CA183">
        <v>1</v>
      </c>
      <c r="CB183">
        <v>0.6</v>
      </c>
      <c r="CC183" s="3">
        <v>7.1269159999999998E-2</v>
      </c>
      <c r="CD183">
        <v>2.875</v>
      </c>
      <c r="CE183">
        <v>2.5</v>
      </c>
      <c r="CF183">
        <v>18</v>
      </c>
      <c r="CG183">
        <v>6</v>
      </c>
      <c r="CH183">
        <v>0</v>
      </c>
      <c r="CI183">
        <v>44.69</v>
      </c>
      <c r="CJ183">
        <v>547.42510000000004</v>
      </c>
    </row>
    <row r="184" spans="1:88">
      <c r="A184">
        <v>182</v>
      </c>
      <c r="B184" t="s">
        <v>0</v>
      </c>
      <c r="C184" t="s">
        <v>1</v>
      </c>
      <c r="D184" t="s">
        <v>176</v>
      </c>
      <c r="E184" t="s">
        <v>143</v>
      </c>
      <c r="F184" t="s">
        <v>134</v>
      </c>
      <c r="G184" t="s">
        <v>106</v>
      </c>
      <c r="H184" t="s">
        <v>177</v>
      </c>
      <c r="J184">
        <v>2</v>
      </c>
      <c r="K184" t="s">
        <v>146</v>
      </c>
      <c r="L184" t="s">
        <v>297</v>
      </c>
      <c r="M184" t="s">
        <v>206</v>
      </c>
      <c r="N184" t="s">
        <v>131</v>
      </c>
      <c r="O184">
        <v>155</v>
      </c>
      <c r="Q184">
        <v>446</v>
      </c>
      <c r="R184">
        <v>71</v>
      </c>
      <c r="S184">
        <v>4.25</v>
      </c>
      <c r="T184">
        <v>4.1660000000000004</v>
      </c>
      <c r="U184">
        <v>6.78</v>
      </c>
      <c r="V184">
        <v>1895.92</v>
      </c>
      <c r="W184">
        <v>478</v>
      </c>
      <c r="X184">
        <v>1.3332999999999999</v>
      </c>
      <c r="Y184">
        <v>345</v>
      </c>
      <c r="Z184">
        <v>5.49</v>
      </c>
      <c r="AJ184">
        <v>2</v>
      </c>
      <c r="AK184">
        <v>18</v>
      </c>
      <c r="AM184">
        <v>0</v>
      </c>
      <c r="AO184" t="s">
        <v>152</v>
      </c>
      <c r="AT184">
        <v>59</v>
      </c>
      <c r="AV184">
        <v>38.200000000000003</v>
      </c>
      <c r="AW184">
        <v>0</v>
      </c>
      <c r="AX184">
        <v>0</v>
      </c>
      <c r="AY184">
        <v>58.75</v>
      </c>
      <c r="AZ184">
        <v>5.125</v>
      </c>
      <c r="BA184">
        <v>0</v>
      </c>
      <c r="BB184">
        <v>0</v>
      </c>
      <c r="BC184">
        <v>63</v>
      </c>
      <c r="BN184">
        <v>181.9</v>
      </c>
      <c r="BO184">
        <v>3136</v>
      </c>
      <c r="BP184">
        <v>0</v>
      </c>
      <c r="BQ184">
        <v>53</v>
      </c>
      <c r="BR184">
        <v>53</v>
      </c>
      <c r="BS184">
        <v>53.04</v>
      </c>
      <c r="BT184">
        <v>0</v>
      </c>
      <c r="BV184">
        <v>0</v>
      </c>
      <c r="BW184" t="s">
        <v>655</v>
      </c>
      <c r="BX184">
        <v>0.17</v>
      </c>
      <c r="BY184">
        <v>9.0167999999999999</v>
      </c>
      <c r="BZ184">
        <v>0</v>
      </c>
      <c r="CA184">
        <v>1</v>
      </c>
      <c r="CB184">
        <v>0.6</v>
      </c>
      <c r="CC184" s="3">
        <v>7.1269159999999998E-2</v>
      </c>
      <c r="CD184">
        <v>2.875</v>
      </c>
      <c r="CE184">
        <v>2.5</v>
      </c>
      <c r="CF184">
        <v>18</v>
      </c>
      <c r="CG184">
        <v>6</v>
      </c>
      <c r="CH184">
        <v>0</v>
      </c>
      <c r="CI184">
        <v>53.04</v>
      </c>
      <c r="CJ184">
        <v>398.8023</v>
      </c>
    </row>
    <row r="185" spans="1:88">
      <c r="A185">
        <v>183</v>
      </c>
      <c r="B185" t="s">
        <v>0</v>
      </c>
      <c r="C185" t="s">
        <v>1</v>
      </c>
      <c r="D185" t="s">
        <v>366</v>
      </c>
      <c r="E185" t="s">
        <v>2</v>
      </c>
      <c r="F185" t="s">
        <v>379</v>
      </c>
      <c r="G185" t="s">
        <v>106</v>
      </c>
      <c r="H185" t="s">
        <v>228</v>
      </c>
      <c r="J185">
        <v>2</v>
      </c>
      <c r="K185" t="s">
        <v>146</v>
      </c>
      <c r="L185" t="s">
        <v>122</v>
      </c>
      <c r="M185" t="s">
        <v>4</v>
      </c>
      <c r="N185" t="s">
        <v>5</v>
      </c>
      <c r="O185">
        <v>107</v>
      </c>
      <c r="Q185">
        <v>288</v>
      </c>
      <c r="R185">
        <v>65</v>
      </c>
      <c r="S185">
        <v>4.25</v>
      </c>
      <c r="T185">
        <v>2.9710000000000001</v>
      </c>
      <c r="U185">
        <v>6.07</v>
      </c>
      <c r="V185">
        <v>1224.72</v>
      </c>
      <c r="W185">
        <v>393</v>
      </c>
      <c r="X185">
        <v>1.3332999999999999</v>
      </c>
      <c r="Y185">
        <v>285</v>
      </c>
      <c r="Z185">
        <v>4.3</v>
      </c>
      <c r="AJ185">
        <v>2</v>
      </c>
      <c r="AK185">
        <v>18</v>
      </c>
      <c r="AM185">
        <v>0</v>
      </c>
      <c r="AO185" t="s">
        <v>230</v>
      </c>
      <c r="AT185">
        <v>42</v>
      </c>
      <c r="AV185">
        <v>34.6</v>
      </c>
      <c r="AW185">
        <v>0</v>
      </c>
      <c r="AX185">
        <v>0</v>
      </c>
      <c r="AY185">
        <v>34.125</v>
      </c>
      <c r="AZ185">
        <v>3.5</v>
      </c>
      <c r="BA185">
        <v>0</v>
      </c>
      <c r="BB185">
        <v>0</v>
      </c>
      <c r="BC185">
        <v>32</v>
      </c>
      <c r="BN185">
        <v>164.0667</v>
      </c>
      <c r="BO185">
        <v>3855</v>
      </c>
      <c r="BP185">
        <v>0</v>
      </c>
      <c r="BQ185">
        <v>36</v>
      </c>
      <c r="BR185">
        <v>36</v>
      </c>
      <c r="BS185">
        <v>36.340000000000003</v>
      </c>
      <c r="BT185">
        <v>0</v>
      </c>
      <c r="BV185">
        <v>0</v>
      </c>
      <c r="BW185" t="s">
        <v>655</v>
      </c>
      <c r="BX185">
        <v>0.17</v>
      </c>
      <c r="BY185">
        <v>6.1778000000000004</v>
      </c>
      <c r="BZ185">
        <v>0</v>
      </c>
      <c r="CA185">
        <v>1</v>
      </c>
      <c r="CB185">
        <v>0.6</v>
      </c>
      <c r="CC185" s="3">
        <v>7.1269159999999998E-2</v>
      </c>
      <c r="CD185">
        <v>2.875</v>
      </c>
      <c r="CE185">
        <v>2.5</v>
      </c>
      <c r="CF185">
        <v>18</v>
      </c>
      <c r="CG185">
        <v>6</v>
      </c>
      <c r="CH185">
        <v>0</v>
      </c>
      <c r="CI185">
        <v>36.340000000000003</v>
      </c>
      <c r="CJ185">
        <v>247.33750000000001</v>
      </c>
    </row>
    <row r="186" spans="1:88">
      <c r="A186">
        <v>184</v>
      </c>
      <c r="B186" t="s">
        <v>13</v>
      </c>
      <c r="C186" t="s">
        <v>1</v>
      </c>
      <c r="D186" t="s">
        <v>283</v>
      </c>
      <c r="E186" t="s">
        <v>317</v>
      </c>
      <c r="F186" t="s">
        <v>243</v>
      </c>
      <c r="G186" t="s">
        <v>106</v>
      </c>
      <c r="H186" t="s">
        <v>284</v>
      </c>
      <c r="J186">
        <v>2</v>
      </c>
      <c r="K186" t="s">
        <v>146</v>
      </c>
      <c r="L186" t="s">
        <v>169</v>
      </c>
      <c r="M186" t="s">
        <v>400</v>
      </c>
      <c r="N186" t="s">
        <v>228</v>
      </c>
      <c r="O186">
        <v>99</v>
      </c>
      <c r="Q186">
        <v>225</v>
      </c>
      <c r="R186">
        <v>51</v>
      </c>
      <c r="S186">
        <v>4.25</v>
      </c>
      <c r="T186">
        <v>2.758</v>
      </c>
      <c r="U186">
        <v>5.88</v>
      </c>
      <c r="V186">
        <v>954.97</v>
      </c>
      <c r="W186">
        <v>298</v>
      </c>
      <c r="X186">
        <v>1.3332999999999999</v>
      </c>
      <c r="Y186">
        <v>233</v>
      </c>
      <c r="Z186">
        <v>4.09</v>
      </c>
      <c r="AJ186">
        <v>2</v>
      </c>
      <c r="AK186">
        <v>18</v>
      </c>
      <c r="AM186">
        <v>0</v>
      </c>
      <c r="AO186" t="s">
        <v>285</v>
      </c>
      <c r="AT186">
        <v>40</v>
      </c>
      <c r="AV186">
        <v>28.8</v>
      </c>
      <c r="AW186">
        <v>0</v>
      </c>
      <c r="AX186">
        <v>0</v>
      </c>
      <c r="AY186">
        <v>27.625</v>
      </c>
      <c r="AZ186">
        <v>3.125</v>
      </c>
      <c r="BA186">
        <v>0</v>
      </c>
      <c r="BB186">
        <v>0</v>
      </c>
      <c r="BC186">
        <v>24</v>
      </c>
      <c r="BN186">
        <v>135.5334</v>
      </c>
      <c r="BO186">
        <v>5649</v>
      </c>
      <c r="BP186">
        <v>0</v>
      </c>
      <c r="BQ186">
        <v>34</v>
      </c>
      <c r="BR186">
        <v>34</v>
      </c>
      <c r="BS186">
        <v>33.56</v>
      </c>
      <c r="BT186">
        <v>0</v>
      </c>
      <c r="BV186">
        <v>0</v>
      </c>
      <c r="BW186" t="s">
        <v>655</v>
      </c>
      <c r="BX186">
        <v>0.17</v>
      </c>
      <c r="BY186">
        <v>5.7051999999999996</v>
      </c>
      <c r="BZ186">
        <v>0</v>
      </c>
      <c r="CA186">
        <v>1</v>
      </c>
      <c r="CB186">
        <v>0.6</v>
      </c>
      <c r="CC186" s="3">
        <v>7.1269159999999998E-2</v>
      </c>
      <c r="CD186">
        <v>2.875</v>
      </c>
      <c r="CE186">
        <v>2.5</v>
      </c>
      <c r="CF186">
        <v>18</v>
      </c>
      <c r="CG186">
        <v>6</v>
      </c>
      <c r="CH186">
        <v>0</v>
      </c>
      <c r="CI186">
        <v>33.56</v>
      </c>
      <c r="CJ186">
        <v>190.14750000000001</v>
      </c>
    </row>
    <row r="187" spans="1:88">
      <c r="A187">
        <v>185</v>
      </c>
      <c r="B187" t="s">
        <v>0</v>
      </c>
      <c r="C187" t="s">
        <v>1</v>
      </c>
      <c r="D187" t="s">
        <v>462</v>
      </c>
      <c r="E187" t="s">
        <v>181</v>
      </c>
      <c r="F187" t="s">
        <v>347</v>
      </c>
      <c r="G187" t="s">
        <v>106</v>
      </c>
      <c r="H187" t="s">
        <v>222</v>
      </c>
      <c r="J187">
        <v>2</v>
      </c>
      <c r="K187" t="s">
        <v>146</v>
      </c>
      <c r="L187" t="s">
        <v>202</v>
      </c>
      <c r="M187" t="s">
        <v>313</v>
      </c>
      <c r="N187" t="s">
        <v>314</v>
      </c>
      <c r="O187">
        <v>161</v>
      </c>
      <c r="Q187">
        <v>325</v>
      </c>
      <c r="R187">
        <v>47</v>
      </c>
      <c r="S187">
        <v>4.25</v>
      </c>
      <c r="T187">
        <v>4.3070000000000004</v>
      </c>
      <c r="U187">
        <v>6.75</v>
      </c>
      <c r="V187">
        <v>1380.48</v>
      </c>
      <c r="W187">
        <v>318</v>
      </c>
      <c r="X187">
        <v>1.3332999999999999</v>
      </c>
      <c r="Y187">
        <v>245</v>
      </c>
      <c r="Z187">
        <v>5.64</v>
      </c>
      <c r="AJ187">
        <v>2</v>
      </c>
      <c r="AK187">
        <v>18</v>
      </c>
      <c r="AM187">
        <v>0</v>
      </c>
      <c r="AO187" t="s">
        <v>355</v>
      </c>
      <c r="AT187">
        <v>61</v>
      </c>
      <c r="AV187">
        <v>26.6</v>
      </c>
      <c r="AW187">
        <v>0</v>
      </c>
      <c r="AX187">
        <v>0</v>
      </c>
      <c r="AY187">
        <v>58.125</v>
      </c>
      <c r="AZ187">
        <v>4.875</v>
      </c>
      <c r="BA187">
        <v>0</v>
      </c>
      <c r="BB187">
        <v>0</v>
      </c>
      <c r="BC187">
        <v>59</v>
      </c>
      <c r="BN187">
        <v>124.8334</v>
      </c>
      <c r="BO187">
        <v>6659</v>
      </c>
      <c r="BP187">
        <v>0</v>
      </c>
      <c r="BQ187">
        <v>55</v>
      </c>
      <c r="BR187">
        <v>55</v>
      </c>
      <c r="BS187">
        <v>55.13</v>
      </c>
      <c r="BT187">
        <v>0</v>
      </c>
      <c r="BV187">
        <v>0</v>
      </c>
      <c r="BW187" t="s">
        <v>655</v>
      </c>
      <c r="BX187">
        <v>0.17</v>
      </c>
      <c r="BY187">
        <v>9.3720999999999997</v>
      </c>
      <c r="BZ187">
        <v>0</v>
      </c>
      <c r="CA187">
        <v>1</v>
      </c>
      <c r="CB187">
        <v>0.6</v>
      </c>
      <c r="CC187" s="3">
        <v>7.1269159999999998E-2</v>
      </c>
      <c r="CD187">
        <v>2.875</v>
      </c>
      <c r="CE187">
        <v>2.5</v>
      </c>
      <c r="CF187">
        <v>18</v>
      </c>
      <c r="CG187">
        <v>6</v>
      </c>
      <c r="CH187">
        <v>0</v>
      </c>
      <c r="CI187">
        <v>55.13</v>
      </c>
      <c r="CJ187">
        <v>288.78660000000002</v>
      </c>
    </row>
    <row r="188" spans="1:88">
      <c r="A188">
        <v>186</v>
      </c>
      <c r="B188" t="s">
        <v>13</v>
      </c>
      <c r="C188" t="s">
        <v>1</v>
      </c>
      <c r="D188" t="s">
        <v>167</v>
      </c>
      <c r="E188" t="s">
        <v>399</v>
      </c>
      <c r="F188" t="s">
        <v>403</v>
      </c>
      <c r="G188" t="s">
        <v>106</v>
      </c>
      <c r="H188" t="s">
        <v>235</v>
      </c>
      <c r="J188">
        <v>2</v>
      </c>
      <c r="K188" t="s">
        <v>146</v>
      </c>
      <c r="L188" t="s">
        <v>172</v>
      </c>
      <c r="M188" t="s">
        <v>463</v>
      </c>
      <c r="N188" t="s">
        <v>229</v>
      </c>
      <c r="O188">
        <v>117</v>
      </c>
      <c r="Q188">
        <v>408</v>
      </c>
      <c r="R188">
        <v>82</v>
      </c>
      <c r="S188">
        <v>4.25</v>
      </c>
      <c r="T188">
        <v>3.2320000000000002</v>
      </c>
      <c r="U188">
        <v>6.26</v>
      </c>
      <c r="V188">
        <v>1736.04</v>
      </c>
      <c r="W188">
        <v>513</v>
      </c>
      <c r="X188">
        <v>1.3332999999999999</v>
      </c>
      <c r="Y188">
        <v>381</v>
      </c>
      <c r="Z188">
        <v>4.5599999999999996</v>
      </c>
      <c r="AJ188">
        <v>2</v>
      </c>
      <c r="AK188">
        <v>18</v>
      </c>
      <c r="AM188">
        <v>0</v>
      </c>
      <c r="AO188" t="s">
        <v>198</v>
      </c>
      <c r="AT188">
        <v>46</v>
      </c>
      <c r="AV188">
        <v>45.5</v>
      </c>
      <c r="AW188">
        <v>0</v>
      </c>
      <c r="AX188">
        <v>0</v>
      </c>
      <c r="AY188">
        <v>53.25</v>
      </c>
      <c r="AZ188">
        <v>4.25</v>
      </c>
      <c r="BA188">
        <v>0</v>
      </c>
      <c r="BB188">
        <v>0</v>
      </c>
      <c r="BC188">
        <v>57</v>
      </c>
      <c r="BN188">
        <v>217.5667</v>
      </c>
      <c r="BO188">
        <v>2192</v>
      </c>
      <c r="BP188">
        <v>0</v>
      </c>
      <c r="BQ188">
        <v>40</v>
      </c>
      <c r="BR188">
        <v>40</v>
      </c>
      <c r="BS188">
        <v>39.82</v>
      </c>
      <c r="BT188">
        <v>0</v>
      </c>
      <c r="BV188">
        <v>0</v>
      </c>
      <c r="BW188" t="s">
        <v>655</v>
      </c>
      <c r="BX188">
        <v>0.17</v>
      </c>
      <c r="BY188">
        <v>6.7694000000000001</v>
      </c>
      <c r="BZ188">
        <v>0</v>
      </c>
      <c r="CA188">
        <v>1</v>
      </c>
      <c r="CB188">
        <v>0.6</v>
      </c>
      <c r="CC188" s="3">
        <v>7.1269159999999998E-2</v>
      </c>
      <c r="CD188">
        <v>2.875</v>
      </c>
      <c r="CE188">
        <v>2.5</v>
      </c>
      <c r="CF188">
        <v>18</v>
      </c>
      <c r="CG188">
        <v>6</v>
      </c>
      <c r="CH188">
        <v>0</v>
      </c>
      <c r="CI188">
        <v>39.82</v>
      </c>
      <c r="CJ188">
        <v>356.16120000000001</v>
      </c>
    </row>
    <row r="189" spans="1:88">
      <c r="A189">
        <v>187</v>
      </c>
      <c r="B189" t="s">
        <v>0</v>
      </c>
      <c r="C189" t="s">
        <v>1</v>
      </c>
      <c r="D189" t="s">
        <v>425</v>
      </c>
      <c r="E189" t="s">
        <v>221</v>
      </c>
      <c r="F189" t="s">
        <v>290</v>
      </c>
      <c r="G189" t="s">
        <v>15</v>
      </c>
      <c r="H189" t="s">
        <v>426</v>
      </c>
      <c r="J189">
        <v>2</v>
      </c>
      <c r="K189" t="s">
        <v>108</v>
      </c>
      <c r="L189" t="s">
        <v>307</v>
      </c>
      <c r="M189" t="s">
        <v>379</v>
      </c>
      <c r="N189" t="s">
        <v>2</v>
      </c>
      <c r="O189">
        <v>104</v>
      </c>
      <c r="Q189">
        <v>604</v>
      </c>
      <c r="R189">
        <v>131</v>
      </c>
      <c r="S189">
        <v>4.25</v>
      </c>
      <c r="T189">
        <v>2.8919999999999999</v>
      </c>
      <c r="U189">
        <v>6</v>
      </c>
      <c r="V189">
        <v>2568.7800000000002</v>
      </c>
      <c r="W189">
        <v>787</v>
      </c>
      <c r="X189">
        <v>1.3332999999999999</v>
      </c>
      <c r="Y189">
        <v>609</v>
      </c>
      <c r="Z189">
        <v>4.22</v>
      </c>
      <c r="AJ189">
        <v>2</v>
      </c>
      <c r="AK189">
        <v>18</v>
      </c>
      <c r="AM189">
        <v>0</v>
      </c>
      <c r="AO189" t="s">
        <v>427</v>
      </c>
      <c r="AT189">
        <v>41</v>
      </c>
      <c r="AV189">
        <v>75.400000000000006</v>
      </c>
      <c r="AW189">
        <v>0.46875</v>
      </c>
      <c r="AX189">
        <v>5.625</v>
      </c>
      <c r="AY189">
        <v>27.625</v>
      </c>
      <c r="AZ189">
        <v>4</v>
      </c>
      <c r="BA189">
        <v>467.01</v>
      </c>
      <c r="BB189">
        <v>4.22</v>
      </c>
      <c r="BC189">
        <v>47</v>
      </c>
      <c r="BD189">
        <v>0.3125</v>
      </c>
      <c r="BE189">
        <v>3.75</v>
      </c>
      <c r="BF189">
        <v>18</v>
      </c>
      <c r="BG189">
        <v>2.625</v>
      </c>
      <c r="BH189">
        <v>141.69999999999999</v>
      </c>
      <c r="BI189">
        <v>4.51</v>
      </c>
      <c r="BJ189">
        <v>13</v>
      </c>
      <c r="BL189">
        <v>608.71</v>
      </c>
      <c r="BM189">
        <v>60</v>
      </c>
      <c r="BN189">
        <v>644.04330000000004</v>
      </c>
      <c r="BO189">
        <v>2637</v>
      </c>
      <c r="BP189">
        <v>0</v>
      </c>
      <c r="BQ189">
        <v>35</v>
      </c>
      <c r="BR189">
        <v>35</v>
      </c>
      <c r="BS189">
        <v>35.299999999999997</v>
      </c>
      <c r="BT189">
        <v>0</v>
      </c>
      <c r="BV189">
        <v>0</v>
      </c>
      <c r="BW189" t="s">
        <v>655</v>
      </c>
      <c r="BX189">
        <v>0.17</v>
      </c>
      <c r="BY189">
        <v>6.0010000000000003</v>
      </c>
      <c r="BZ189">
        <v>0</v>
      </c>
      <c r="CA189">
        <v>1</v>
      </c>
      <c r="CB189">
        <v>0.6</v>
      </c>
      <c r="CC189" s="3">
        <v>7.1269159999999998E-2</v>
      </c>
      <c r="CD189">
        <v>2.875</v>
      </c>
      <c r="CE189">
        <v>2.5</v>
      </c>
      <c r="CF189">
        <v>18</v>
      </c>
      <c r="CG189">
        <v>6</v>
      </c>
      <c r="CH189">
        <v>0</v>
      </c>
      <c r="CI189">
        <v>35.299999999999997</v>
      </c>
      <c r="CJ189">
        <v>522.97220000000004</v>
      </c>
    </row>
    <row r="190" spans="1:88">
      <c r="A190">
        <v>188</v>
      </c>
      <c r="B190" t="s">
        <v>0</v>
      </c>
      <c r="C190" t="s">
        <v>1</v>
      </c>
      <c r="D190" t="s">
        <v>96</v>
      </c>
      <c r="E190" t="s">
        <v>268</v>
      </c>
      <c r="F190" t="s">
        <v>198</v>
      </c>
      <c r="G190" t="s">
        <v>106</v>
      </c>
      <c r="H190" t="s">
        <v>162</v>
      </c>
      <c r="J190">
        <v>2</v>
      </c>
      <c r="K190" t="s">
        <v>146</v>
      </c>
      <c r="L190" t="s">
        <v>133</v>
      </c>
      <c r="M190" t="s">
        <v>270</v>
      </c>
      <c r="N190" t="s">
        <v>153</v>
      </c>
      <c r="O190">
        <v>123</v>
      </c>
      <c r="Q190">
        <v>421</v>
      </c>
      <c r="R190">
        <v>81</v>
      </c>
      <c r="S190">
        <v>4.25</v>
      </c>
      <c r="T190">
        <v>3.3849999999999998</v>
      </c>
      <c r="U190">
        <v>6.22</v>
      </c>
      <c r="V190">
        <v>1788.48</v>
      </c>
      <c r="W190">
        <v>503</v>
      </c>
      <c r="X190">
        <v>1.3332999999999999</v>
      </c>
      <c r="Y190">
        <v>380</v>
      </c>
      <c r="Z190">
        <v>4.71</v>
      </c>
      <c r="AJ190">
        <v>2</v>
      </c>
      <c r="AK190">
        <v>18</v>
      </c>
      <c r="AM190">
        <v>0</v>
      </c>
      <c r="AO190" t="s">
        <v>166</v>
      </c>
      <c r="AT190">
        <v>48</v>
      </c>
      <c r="AV190">
        <v>44.8</v>
      </c>
      <c r="AW190">
        <v>0</v>
      </c>
      <c r="AX190">
        <v>0</v>
      </c>
      <c r="AY190">
        <v>53.375</v>
      </c>
      <c r="AZ190">
        <v>4.375</v>
      </c>
      <c r="BA190">
        <v>0</v>
      </c>
      <c r="BB190">
        <v>0</v>
      </c>
      <c r="BC190">
        <v>57</v>
      </c>
      <c r="BN190">
        <v>214</v>
      </c>
      <c r="BO190">
        <v>2266</v>
      </c>
      <c r="BP190">
        <v>0</v>
      </c>
      <c r="BQ190">
        <v>42</v>
      </c>
      <c r="BR190">
        <v>42</v>
      </c>
      <c r="BS190">
        <v>41.91</v>
      </c>
      <c r="BT190">
        <v>0</v>
      </c>
      <c r="BV190">
        <v>0</v>
      </c>
      <c r="BW190" t="s">
        <v>655</v>
      </c>
      <c r="BX190">
        <v>0.17</v>
      </c>
      <c r="BY190">
        <v>7.1246999999999998</v>
      </c>
      <c r="BZ190">
        <v>0</v>
      </c>
      <c r="CA190">
        <v>1</v>
      </c>
      <c r="CB190">
        <v>0.6</v>
      </c>
      <c r="CC190" s="3">
        <v>7.1269159999999998E-2</v>
      </c>
      <c r="CD190">
        <v>2.875</v>
      </c>
      <c r="CE190">
        <v>2.5</v>
      </c>
      <c r="CF190">
        <v>18</v>
      </c>
      <c r="CG190">
        <v>6</v>
      </c>
      <c r="CH190">
        <v>0</v>
      </c>
      <c r="CI190">
        <v>41.91</v>
      </c>
      <c r="CJ190">
        <v>368.8809</v>
      </c>
    </row>
    <row r="191" spans="1:88">
      <c r="A191">
        <v>189</v>
      </c>
      <c r="B191" t="s">
        <v>0</v>
      </c>
      <c r="C191" t="s">
        <v>1</v>
      </c>
      <c r="D191" t="s">
        <v>233</v>
      </c>
      <c r="E191" t="s">
        <v>113</v>
      </c>
      <c r="F191" t="s">
        <v>271</v>
      </c>
      <c r="G191" t="s">
        <v>106</v>
      </c>
      <c r="H191" t="s">
        <v>279</v>
      </c>
      <c r="J191">
        <v>2</v>
      </c>
      <c r="K191" t="s">
        <v>146</v>
      </c>
      <c r="L191" t="s">
        <v>116</v>
      </c>
      <c r="M191" t="s">
        <v>117</v>
      </c>
      <c r="N191" t="s">
        <v>14</v>
      </c>
      <c r="O191">
        <v>179</v>
      </c>
      <c r="Q191">
        <v>719</v>
      </c>
      <c r="R191">
        <v>96</v>
      </c>
      <c r="S191">
        <v>4.25</v>
      </c>
      <c r="T191">
        <v>4.7190000000000003</v>
      </c>
      <c r="U191">
        <v>7.05</v>
      </c>
      <c r="V191">
        <v>3054.85</v>
      </c>
      <c r="W191">
        <v>675</v>
      </c>
      <c r="X191">
        <v>1.3332999999999999</v>
      </c>
      <c r="Y191">
        <v>505</v>
      </c>
      <c r="Z191">
        <v>6.05</v>
      </c>
      <c r="AJ191">
        <v>2</v>
      </c>
      <c r="AK191">
        <v>18</v>
      </c>
      <c r="AM191">
        <v>0</v>
      </c>
      <c r="AO191" t="s">
        <v>144</v>
      </c>
      <c r="AT191">
        <v>68</v>
      </c>
      <c r="AV191">
        <v>54.2</v>
      </c>
      <c r="AW191" t="s">
        <v>6</v>
      </c>
      <c r="AX191" t="s">
        <v>6</v>
      </c>
      <c r="AY191" t="s">
        <v>6</v>
      </c>
      <c r="AZ191" t="s">
        <v>6</v>
      </c>
      <c r="BA191" t="s">
        <v>6</v>
      </c>
      <c r="BB191" t="s">
        <v>6</v>
      </c>
      <c r="BC191" t="s">
        <v>6</v>
      </c>
      <c r="BD191" t="s">
        <v>6</v>
      </c>
      <c r="BE191" t="s">
        <v>6</v>
      </c>
      <c r="BF191" t="s">
        <v>6</v>
      </c>
      <c r="BG191" t="s">
        <v>6</v>
      </c>
      <c r="BH191" t="s">
        <v>6</v>
      </c>
      <c r="BI191" t="s">
        <v>6</v>
      </c>
      <c r="BJ191" t="s">
        <v>6</v>
      </c>
      <c r="BN191">
        <v>260.36669999999998</v>
      </c>
      <c r="BO191">
        <v>1531</v>
      </c>
      <c r="BP191">
        <v>0</v>
      </c>
      <c r="BQ191">
        <v>61</v>
      </c>
      <c r="BR191">
        <v>61</v>
      </c>
      <c r="BS191">
        <v>61.39</v>
      </c>
      <c r="BT191">
        <v>0</v>
      </c>
      <c r="BV191">
        <v>0</v>
      </c>
      <c r="BW191" t="s">
        <v>655</v>
      </c>
      <c r="BX191">
        <v>0.17</v>
      </c>
      <c r="BY191">
        <v>10.436299999999999</v>
      </c>
      <c r="BZ191">
        <v>0</v>
      </c>
      <c r="CA191">
        <v>1</v>
      </c>
      <c r="CB191">
        <v>0.6</v>
      </c>
      <c r="CC191" s="3">
        <v>7.1269159999999998E-2</v>
      </c>
      <c r="CD191">
        <v>2.875</v>
      </c>
      <c r="CE191">
        <v>2.5</v>
      </c>
      <c r="CF191">
        <v>18</v>
      </c>
      <c r="CG191">
        <v>6</v>
      </c>
      <c r="CH191">
        <v>0</v>
      </c>
      <c r="CI191">
        <v>61.39</v>
      </c>
      <c r="CJ191">
        <v>654.09439999999995</v>
      </c>
    </row>
    <row r="192" spans="1:88">
      <c r="A192">
        <v>190</v>
      </c>
      <c r="B192" t="s">
        <v>0</v>
      </c>
      <c r="C192" t="s">
        <v>1</v>
      </c>
      <c r="D192" t="s">
        <v>101</v>
      </c>
      <c r="E192" t="s">
        <v>96</v>
      </c>
      <c r="F192" t="s">
        <v>339</v>
      </c>
      <c r="G192" t="s">
        <v>106</v>
      </c>
      <c r="H192" t="s">
        <v>167</v>
      </c>
      <c r="J192">
        <v>2</v>
      </c>
      <c r="K192" t="s">
        <v>146</v>
      </c>
      <c r="L192" t="s">
        <v>293</v>
      </c>
      <c r="M192" t="s">
        <v>100</v>
      </c>
      <c r="N192" t="s">
        <v>101</v>
      </c>
      <c r="O192">
        <v>131</v>
      </c>
      <c r="Q192">
        <v>456</v>
      </c>
      <c r="R192">
        <v>83</v>
      </c>
      <c r="S192">
        <v>4.25</v>
      </c>
      <c r="T192">
        <v>3.5859999999999999</v>
      </c>
      <c r="U192">
        <v>6.37</v>
      </c>
      <c r="V192">
        <v>1939.74</v>
      </c>
      <c r="W192">
        <v>526</v>
      </c>
      <c r="X192">
        <v>1.3332999999999999</v>
      </c>
      <c r="Y192">
        <v>395</v>
      </c>
      <c r="Z192">
        <v>4.91</v>
      </c>
      <c r="AJ192">
        <v>2</v>
      </c>
      <c r="AK192">
        <v>18</v>
      </c>
      <c r="AM192">
        <v>0</v>
      </c>
      <c r="AO192" t="s">
        <v>327</v>
      </c>
      <c r="AT192">
        <v>51</v>
      </c>
      <c r="AV192">
        <v>45.9</v>
      </c>
      <c r="AW192">
        <v>0</v>
      </c>
      <c r="AX192">
        <v>0</v>
      </c>
      <c r="AY192">
        <v>51.375</v>
      </c>
      <c r="AZ192">
        <v>4.625</v>
      </c>
      <c r="BA192">
        <v>0</v>
      </c>
      <c r="BB192">
        <v>0</v>
      </c>
      <c r="BC192">
        <v>55</v>
      </c>
      <c r="BN192">
        <v>219.35</v>
      </c>
      <c r="BO192">
        <v>2157</v>
      </c>
      <c r="BP192">
        <v>0</v>
      </c>
      <c r="BQ192">
        <v>45</v>
      </c>
      <c r="BR192">
        <v>45</v>
      </c>
      <c r="BS192">
        <v>44.69</v>
      </c>
      <c r="BT192">
        <v>0</v>
      </c>
      <c r="BV192">
        <v>0</v>
      </c>
      <c r="BW192" t="s">
        <v>655</v>
      </c>
      <c r="BX192">
        <v>0.17</v>
      </c>
      <c r="BY192">
        <v>7.5972999999999997</v>
      </c>
      <c r="BZ192">
        <v>0</v>
      </c>
      <c r="CA192">
        <v>1</v>
      </c>
      <c r="CB192">
        <v>0.6</v>
      </c>
      <c r="CC192" s="3">
        <v>7.1269159999999998E-2</v>
      </c>
      <c r="CD192">
        <v>2.875</v>
      </c>
      <c r="CE192">
        <v>2.5</v>
      </c>
      <c r="CF192">
        <v>18</v>
      </c>
      <c r="CG192">
        <v>6</v>
      </c>
      <c r="CH192">
        <v>0</v>
      </c>
      <c r="CI192">
        <v>44.69</v>
      </c>
      <c r="CJ192">
        <v>402.90480000000002</v>
      </c>
    </row>
    <row r="193" spans="1:88">
      <c r="A193">
        <v>191</v>
      </c>
      <c r="B193" t="s">
        <v>13</v>
      </c>
      <c r="C193" t="s">
        <v>1</v>
      </c>
      <c r="D193" t="s">
        <v>177</v>
      </c>
      <c r="E193" t="s">
        <v>136</v>
      </c>
      <c r="F193" t="s">
        <v>226</v>
      </c>
      <c r="G193" t="s">
        <v>106</v>
      </c>
      <c r="H193" t="s">
        <v>150</v>
      </c>
      <c r="J193">
        <v>2</v>
      </c>
      <c r="K193" t="s">
        <v>146</v>
      </c>
      <c r="L193" t="s">
        <v>150</v>
      </c>
      <c r="M193" t="s">
        <v>140</v>
      </c>
      <c r="N193" t="s">
        <v>141</v>
      </c>
      <c r="O193">
        <v>91</v>
      </c>
      <c r="Q193">
        <v>272</v>
      </c>
      <c r="R193">
        <v>70</v>
      </c>
      <c r="S193">
        <v>4.25</v>
      </c>
      <c r="T193">
        <v>2.54</v>
      </c>
      <c r="U193">
        <v>5.73</v>
      </c>
      <c r="V193">
        <v>1157.69</v>
      </c>
      <c r="W193">
        <v>401</v>
      </c>
      <c r="X193">
        <v>1.3332999999999999</v>
      </c>
      <c r="Y193">
        <v>299</v>
      </c>
      <c r="Z193">
        <v>3.87</v>
      </c>
      <c r="AJ193">
        <v>2</v>
      </c>
      <c r="AK193">
        <v>18</v>
      </c>
      <c r="AM193">
        <v>0</v>
      </c>
      <c r="AO193" t="s">
        <v>159</v>
      </c>
      <c r="AT193">
        <v>37</v>
      </c>
      <c r="AV193">
        <v>37.9</v>
      </c>
      <c r="AW193">
        <v>0</v>
      </c>
      <c r="AX193">
        <v>0</v>
      </c>
      <c r="AY193">
        <v>32.5</v>
      </c>
      <c r="AZ193">
        <v>3.125</v>
      </c>
      <c r="BA193">
        <v>0</v>
      </c>
      <c r="BB193">
        <v>0</v>
      </c>
      <c r="BC193">
        <v>31</v>
      </c>
      <c r="BN193">
        <v>180.11670000000001</v>
      </c>
      <c r="BO193">
        <v>3199</v>
      </c>
      <c r="BP193">
        <v>0</v>
      </c>
      <c r="BQ193">
        <v>31</v>
      </c>
      <c r="BR193">
        <v>31</v>
      </c>
      <c r="BS193">
        <v>30.78</v>
      </c>
      <c r="BT193">
        <v>0</v>
      </c>
      <c r="BV193">
        <v>0</v>
      </c>
      <c r="BW193" t="s">
        <v>655</v>
      </c>
      <c r="BX193">
        <v>0.17</v>
      </c>
      <c r="BY193">
        <v>5.2325999999999997</v>
      </c>
      <c r="BZ193">
        <v>0</v>
      </c>
      <c r="CA193">
        <v>1</v>
      </c>
      <c r="CB193">
        <v>0.6</v>
      </c>
      <c r="CC193" s="3">
        <v>7.1269159999999998E-2</v>
      </c>
      <c r="CD193">
        <v>2.875</v>
      </c>
      <c r="CE193">
        <v>2.5</v>
      </c>
      <c r="CF193">
        <v>18</v>
      </c>
      <c r="CG193">
        <v>6</v>
      </c>
      <c r="CH193">
        <v>0</v>
      </c>
      <c r="CI193">
        <v>30.78</v>
      </c>
      <c r="CJ193">
        <v>229.238</v>
      </c>
    </row>
    <row r="194" spans="1:88">
      <c r="A194">
        <v>192</v>
      </c>
      <c r="B194" t="s">
        <v>0</v>
      </c>
      <c r="C194" t="s">
        <v>1</v>
      </c>
      <c r="D194" t="s">
        <v>99</v>
      </c>
      <c r="E194" t="s">
        <v>96</v>
      </c>
      <c r="F194" t="s">
        <v>296</v>
      </c>
      <c r="G194" t="s">
        <v>106</v>
      </c>
      <c r="H194" t="s">
        <v>165</v>
      </c>
      <c r="J194">
        <v>2</v>
      </c>
      <c r="K194" t="s">
        <v>146</v>
      </c>
      <c r="L194" t="s">
        <v>293</v>
      </c>
      <c r="M194" t="s">
        <v>100</v>
      </c>
      <c r="N194" t="s">
        <v>101</v>
      </c>
      <c r="O194">
        <v>131</v>
      </c>
      <c r="Q194">
        <v>510</v>
      </c>
      <c r="R194">
        <v>91</v>
      </c>
      <c r="S194">
        <v>4.25</v>
      </c>
      <c r="T194">
        <v>3.5859999999999999</v>
      </c>
      <c r="U194">
        <v>6.37</v>
      </c>
      <c r="V194">
        <v>2165.92</v>
      </c>
      <c r="W194">
        <v>581</v>
      </c>
      <c r="X194">
        <v>1.3332999999999999</v>
      </c>
      <c r="Y194">
        <v>441</v>
      </c>
      <c r="Z194">
        <v>4.91</v>
      </c>
      <c r="AJ194">
        <v>2</v>
      </c>
      <c r="AK194">
        <v>18</v>
      </c>
      <c r="AM194">
        <v>0</v>
      </c>
      <c r="AO194" t="s">
        <v>252</v>
      </c>
      <c r="AT194">
        <v>51</v>
      </c>
      <c r="AV194">
        <v>51.3</v>
      </c>
      <c r="AW194">
        <v>0.46875</v>
      </c>
      <c r="AX194">
        <v>3.75</v>
      </c>
      <c r="AY194">
        <v>50.5</v>
      </c>
      <c r="AZ194">
        <v>4.625</v>
      </c>
      <c r="BA194">
        <v>401.38</v>
      </c>
      <c r="BB194">
        <v>4.91</v>
      </c>
      <c r="BC194">
        <v>54</v>
      </c>
      <c r="BD194">
        <v>0.25</v>
      </c>
      <c r="BE194">
        <v>2.75</v>
      </c>
      <c r="BF194">
        <v>28.875</v>
      </c>
      <c r="BG194">
        <v>2.5</v>
      </c>
      <c r="BH194">
        <v>39.729999999999997</v>
      </c>
      <c r="BI194">
        <v>8.6400009999999998</v>
      </c>
      <c r="BJ194">
        <v>13</v>
      </c>
      <c r="BL194">
        <v>441.11</v>
      </c>
      <c r="BM194">
        <v>66</v>
      </c>
      <c r="BN194">
        <v>246.1</v>
      </c>
      <c r="BO194">
        <v>1713</v>
      </c>
      <c r="BP194">
        <v>0</v>
      </c>
      <c r="BQ194">
        <v>45</v>
      </c>
      <c r="BR194">
        <v>45</v>
      </c>
      <c r="BS194">
        <v>44.69</v>
      </c>
      <c r="BT194">
        <v>0</v>
      </c>
      <c r="BV194">
        <v>0</v>
      </c>
      <c r="BW194" t="s">
        <v>655</v>
      </c>
      <c r="BX194">
        <v>0.17</v>
      </c>
      <c r="BY194">
        <v>7.5972999999999997</v>
      </c>
      <c r="BZ194">
        <v>0</v>
      </c>
      <c r="CA194">
        <v>1</v>
      </c>
      <c r="CB194">
        <v>0.6</v>
      </c>
      <c r="CC194" s="3">
        <v>7.1269159999999998E-2</v>
      </c>
      <c r="CD194">
        <v>2.875</v>
      </c>
      <c r="CE194">
        <v>2.5</v>
      </c>
      <c r="CF194">
        <v>18</v>
      </c>
      <c r="CG194">
        <v>6</v>
      </c>
      <c r="CH194">
        <v>0</v>
      </c>
      <c r="CI194">
        <v>44.69</v>
      </c>
      <c r="CJ194">
        <v>450.68009999999998</v>
      </c>
    </row>
    <row r="195" spans="1:88">
      <c r="A195">
        <v>193</v>
      </c>
      <c r="B195" t="s">
        <v>13</v>
      </c>
      <c r="C195" t="s">
        <v>1</v>
      </c>
      <c r="D195" t="s">
        <v>272</v>
      </c>
      <c r="E195" t="s">
        <v>103</v>
      </c>
      <c r="F195" t="s">
        <v>273</v>
      </c>
      <c r="G195" t="s">
        <v>106</v>
      </c>
      <c r="H195" t="s">
        <v>274</v>
      </c>
      <c r="J195">
        <v>2</v>
      </c>
      <c r="K195" t="s">
        <v>108</v>
      </c>
      <c r="L195" t="s">
        <v>455</v>
      </c>
      <c r="M195" t="s">
        <v>315</v>
      </c>
      <c r="N195" t="s">
        <v>316</v>
      </c>
      <c r="O195">
        <v>167</v>
      </c>
      <c r="Q195">
        <v>689</v>
      </c>
      <c r="R195">
        <v>98</v>
      </c>
      <c r="S195">
        <v>4.25</v>
      </c>
      <c r="T195">
        <v>4.4459999999999997</v>
      </c>
      <c r="U195">
        <v>6.86</v>
      </c>
      <c r="V195">
        <v>2926.25</v>
      </c>
      <c r="W195">
        <v>670</v>
      </c>
      <c r="X195">
        <v>1.3332999999999999</v>
      </c>
      <c r="Y195">
        <v>507</v>
      </c>
      <c r="Z195">
        <v>5.77</v>
      </c>
      <c r="AJ195">
        <v>2</v>
      </c>
      <c r="AK195">
        <v>18</v>
      </c>
      <c r="AM195">
        <v>0</v>
      </c>
      <c r="AO195" t="s">
        <v>275</v>
      </c>
      <c r="AT195">
        <v>63</v>
      </c>
      <c r="AV195">
        <v>55.4</v>
      </c>
      <c r="AW195">
        <v>0.4375</v>
      </c>
      <c r="AX195">
        <v>3.75</v>
      </c>
      <c r="AY195">
        <v>51</v>
      </c>
      <c r="AZ195">
        <v>5</v>
      </c>
      <c r="BA195">
        <v>278.92</v>
      </c>
      <c r="BB195">
        <v>5.9</v>
      </c>
      <c r="BC195">
        <v>52</v>
      </c>
      <c r="BD195">
        <v>0.40625</v>
      </c>
      <c r="BE195">
        <v>3.75</v>
      </c>
      <c r="BF195">
        <v>42.625</v>
      </c>
      <c r="BG195">
        <v>4.625</v>
      </c>
      <c r="BH195">
        <v>228.22</v>
      </c>
      <c r="BI195">
        <v>5.8</v>
      </c>
      <c r="BJ195">
        <v>40</v>
      </c>
      <c r="BL195">
        <v>507.14</v>
      </c>
      <c r="BM195">
        <v>92</v>
      </c>
      <c r="BN195">
        <v>265.7167</v>
      </c>
      <c r="BO195">
        <v>1470</v>
      </c>
      <c r="BP195">
        <v>0</v>
      </c>
      <c r="BQ195">
        <v>57</v>
      </c>
      <c r="BR195">
        <v>57</v>
      </c>
      <c r="BS195">
        <v>57.21</v>
      </c>
      <c r="BT195">
        <v>0</v>
      </c>
      <c r="BV195">
        <v>0</v>
      </c>
      <c r="BW195" t="s">
        <v>655</v>
      </c>
      <c r="BX195">
        <v>0.17</v>
      </c>
      <c r="BY195">
        <v>9.7257010000000008</v>
      </c>
      <c r="BZ195">
        <v>0</v>
      </c>
      <c r="CA195">
        <v>1</v>
      </c>
      <c r="CB195">
        <v>0.6</v>
      </c>
      <c r="CC195" s="3">
        <v>7.1269159999999998E-2</v>
      </c>
      <c r="CD195">
        <v>2.875</v>
      </c>
      <c r="CE195">
        <v>2.5</v>
      </c>
      <c r="CF195">
        <v>18</v>
      </c>
      <c r="CG195">
        <v>6</v>
      </c>
      <c r="CH195">
        <v>0</v>
      </c>
      <c r="CI195">
        <v>57.21</v>
      </c>
      <c r="CJ195">
        <v>623.31849999999997</v>
      </c>
    </row>
    <row r="196" spans="1:88">
      <c r="A196">
        <v>194</v>
      </c>
      <c r="B196" t="s">
        <v>13</v>
      </c>
      <c r="C196" t="s">
        <v>1</v>
      </c>
      <c r="D196" t="s">
        <v>7</v>
      </c>
      <c r="E196" t="s">
        <v>113</v>
      </c>
      <c r="F196" t="s">
        <v>670</v>
      </c>
      <c r="G196" t="s">
        <v>20</v>
      </c>
      <c r="H196" t="s">
        <v>7</v>
      </c>
      <c r="J196">
        <v>2</v>
      </c>
      <c r="K196" t="s">
        <v>9</v>
      </c>
      <c r="L196" t="s">
        <v>116</v>
      </c>
      <c r="M196" t="s">
        <v>117</v>
      </c>
      <c r="N196" t="s">
        <v>14</v>
      </c>
      <c r="O196">
        <v>179</v>
      </c>
      <c r="Q196">
        <v>1286</v>
      </c>
      <c r="R196">
        <v>169</v>
      </c>
      <c r="S196">
        <v>4.25</v>
      </c>
      <c r="T196">
        <v>4.7190000000000003</v>
      </c>
      <c r="U196">
        <v>7.05</v>
      </c>
      <c r="V196">
        <v>5467.11</v>
      </c>
      <c r="W196">
        <v>1192</v>
      </c>
      <c r="X196">
        <v>1.3332999999999999</v>
      </c>
      <c r="Y196">
        <v>904</v>
      </c>
      <c r="Z196">
        <v>6.05</v>
      </c>
      <c r="AJ196">
        <v>2</v>
      </c>
      <c r="AK196">
        <v>18</v>
      </c>
      <c r="AM196">
        <v>0</v>
      </c>
      <c r="AO196" t="s">
        <v>671</v>
      </c>
      <c r="AT196">
        <v>68</v>
      </c>
      <c r="AV196">
        <v>97.2</v>
      </c>
      <c r="AW196" t="s">
        <v>6</v>
      </c>
      <c r="AX196" t="s">
        <v>6</v>
      </c>
      <c r="AY196" t="s">
        <v>6</v>
      </c>
      <c r="AZ196" t="s">
        <v>6</v>
      </c>
      <c r="BA196" t="s">
        <v>6</v>
      </c>
      <c r="BB196" t="s">
        <v>6</v>
      </c>
      <c r="BC196" t="s">
        <v>6</v>
      </c>
      <c r="BD196" t="s">
        <v>6</v>
      </c>
      <c r="BE196" t="s">
        <v>6</v>
      </c>
      <c r="BF196" t="s">
        <v>6</v>
      </c>
      <c r="BG196" t="s">
        <v>6</v>
      </c>
      <c r="BH196" t="s">
        <v>6</v>
      </c>
      <c r="BI196" t="s">
        <v>6</v>
      </c>
      <c r="BJ196" t="s">
        <v>6</v>
      </c>
      <c r="BN196">
        <v>730.34500000000003</v>
      </c>
      <c r="BO196">
        <v>2245</v>
      </c>
      <c r="BP196">
        <v>0</v>
      </c>
      <c r="BQ196">
        <v>61</v>
      </c>
      <c r="BR196">
        <v>61</v>
      </c>
      <c r="BS196">
        <v>61.39</v>
      </c>
      <c r="BT196">
        <v>0</v>
      </c>
      <c r="BV196">
        <v>6</v>
      </c>
      <c r="BW196" t="s">
        <v>655</v>
      </c>
      <c r="BX196">
        <v>0.27933330000000001</v>
      </c>
      <c r="BY196">
        <v>17.14827</v>
      </c>
      <c r="BZ196">
        <v>0</v>
      </c>
      <c r="CA196">
        <v>1</v>
      </c>
      <c r="CB196">
        <v>0.6</v>
      </c>
      <c r="CC196" s="3">
        <v>7.1269159999999998E-2</v>
      </c>
      <c r="CD196">
        <v>2.875</v>
      </c>
      <c r="CE196">
        <v>2.5</v>
      </c>
      <c r="CF196">
        <v>18</v>
      </c>
      <c r="CG196">
        <v>6</v>
      </c>
      <c r="CH196">
        <v>0</v>
      </c>
      <c r="CI196">
        <v>61.39</v>
      </c>
      <c r="CJ196">
        <v>1172.01</v>
      </c>
    </row>
    <row r="197" spans="1:88">
      <c r="A197">
        <v>195</v>
      </c>
      <c r="B197" t="s">
        <v>0</v>
      </c>
      <c r="C197" t="s">
        <v>1</v>
      </c>
      <c r="D197" t="s">
        <v>178</v>
      </c>
      <c r="E197" t="s">
        <v>464</v>
      </c>
      <c r="F197" t="s">
        <v>408</v>
      </c>
      <c r="G197" t="s">
        <v>106</v>
      </c>
      <c r="H197" t="s">
        <v>141</v>
      </c>
      <c r="J197">
        <v>2</v>
      </c>
      <c r="K197" t="s">
        <v>146</v>
      </c>
      <c r="L197" t="s">
        <v>227</v>
      </c>
      <c r="M197" t="s">
        <v>408</v>
      </c>
      <c r="N197" t="s">
        <v>317</v>
      </c>
      <c r="O197">
        <v>96</v>
      </c>
      <c r="Q197">
        <v>240</v>
      </c>
      <c r="R197">
        <v>60</v>
      </c>
      <c r="S197">
        <v>4.25</v>
      </c>
      <c r="T197">
        <v>2.677</v>
      </c>
      <c r="U197">
        <v>5.85</v>
      </c>
      <c r="V197">
        <v>1020.34</v>
      </c>
      <c r="W197">
        <v>352</v>
      </c>
      <c r="X197">
        <v>1.5</v>
      </c>
      <c r="Y197">
        <v>245</v>
      </c>
      <c r="Z197">
        <v>4.17</v>
      </c>
      <c r="AJ197">
        <v>2</v>
      </c>
      <c r="AK197">
        <v>18</v>
      </c>
      <c r="AM197">
        <v>0</v>
      </c>
      <c r="AO197" t="s">
        <v>409</v>
      </c>
      <c r="AT197">
        <v>39</v>
      </c>
      <c r="AV197">
        <v>31.7</v>
      </c>
      <c r="AW197">
        <v>0</v>
      </c>
      <c r="AX197">
        <v>0</v>
      </c>
      <c r="AY197">
        <v>26.375</v>
      </c>
      <c r="AZ197">
        <v>3.125</v>
      </c>
      <c r="BA197">
        <v>0</v>
      </c>
      <c r="BB197">
        <v>0</v>
      </c>
      <c r="BC197">
        <v>23</v>
      </c>
      <c r="BN197">
        <v>149.80000000000001</v>
      </c>
      <c r="BO197">
        <v>4624</v>
      </c>
      <c r="BP197">
        <v>0</v>
      </c>
      <c r="BQ197">
        <v>33</v>
      </c>
      <c r="BR197">
        <v>33</v>
      </c>
      <c r="BS197">
        <v>32.520000000000003</v>
      </c>
      <c r="BT197">
        <v>0</v>
      </c>
      <c r="BV197">
        <v>0</v>
      </c>
      <c r="BW197" t="s">
        <v>655</v>
      </c>
      <c r="BX197">
        <v>0.17</v>
      </c>
      <c r="BY197">
        <v>5.5284000000000004</v>
      </c>
      <c r="BZ197">
        <v>0</v>
      </c>
      <c r="CA197">
        <v>1</v>
      </c>
      <c r="CB197">
        <v>0.6</v>
      </c>
      <c r="CC197" s="3">
        <v>7.1269159999999998E-2</v>
      </c>
      <c r="CD197">
        <v>2.875</v>
      </c>
      <c r="CE197">
        <v>2.5</v>
      </c>
      <c r="CF197">
        <v>18</v>
      </c>
      <c r="CG197">
        <v>6</v>
      </c>
      <c r="CH197">
        <v>0</v>
      </c>
      <c r="CI197">
        <v>32.520000000000003</v>
      </c>
      <c r="CJ197">
        <v>202.79640000000001</v>
      </c>
    </row>
    <row r="198" spans="1:88">
      <c r="A198">
        <v>196</v>
      </c>
      <c r="B198" t="s">
        <v>13</v>
      </c>
      <c r="C198" t="s">
        <v>1</v>
      </c>
      <c r="D198" t="s">
        <v>341</v>
      </c>
      <c r="E198" t="s">
        <v>219</v>
      </c>
      <c r="F198" t="s">
        <v>343</v>
      </c>
      <c r="G198" t="s">
        <v>106</v>
      </c>
      <c r="H198" t="s">
        <v>344</v>
      </c>
      <c r="J198">
        <v>2</v>
      </c>
      <c r="K198" t="s">
        <v>146</v>
      </c>
      <c r="L198" t="s">
        <v>369</v>
      </c>
      <c r="M198" t="s">
        <v>220</v>
      </c>
      <c r="N198" t="s">
        <v>221</v>
      </c>
      <c r="O198">
        <v>101</v>
      </c>
      <c r="Q198">
        <v>218</v>
      </c>
      <c r="R198">
        <v>48</v>
      </c>
      <c r="S198">
        <v>4.25</v>
      </c>
      <c r="T198">
        <v>2.8119999999999998</v>
      </c>
      <c r="U198">
        <v>5.92</v>
      </c>
      <c r="V198">
        <v>924.67</v>
      </c>
      <c r="W198">
        <v>286</v>
      </c>
      <c r="X198">
        <v>1.3332999999999999</v>
      </c>
      <c r="Y198">
        <v>223</v>
      </c>
      <c r="Z198">
        <v>4.1399999999999997</v>
      </c>
      <c r="AJ198">
        <v>2</v>
      </c>
      <c r="AK198">
        <v>18</v>
      </c>
      <c r="AM198">
        <v>0</v>
      </c>
      <c r="AO198" t="s">
        <v>347</v>
      </c>
      <c r="AT198">
        <v>40</v>
      </c>
      <c r="AV198">
        <v>27.4</v>
      </c>
      <c r="AW198">
        <v>0</v>
      </c>
      <c r="AX198">
        <v>0</v>
      </c>
      <c r="AY198">
        <v>28.875</v>
      </c>
      <c r="AZ198">
        <v>3.125</v>
      </c>
      <c r="BA198">
        <v>0</v>
      </c>
      <c r="BB198">
        <v>0</v>
      </c>
      <c r="BC198">
        <v>26</v>
      </c>
      <c r="BN198">
        <v>128.4</v>
      </c>
      <c r="BO198">
        <v>6294</v>
      </c>
      <c r="BP198">
        <v>0</v>
      </c>
      <c r="BQ198">
        <v>34</v>
      </c>
      <c r="BR198">
        <v>34</v>
      </c>
      <c r="BS198">
        <v>34.26</v>
      </c>
      <c r="BT198">
        <v>0</v>
      </c>
      <c r="BV198">
        <v>0</v>
      </c>
      <c r="BW198" t="s">
        <v>655</v>
      </c>
      <c r="BX198">
        <v>0.17</v>
      </c>
      <c r="BY198">
        <v>5.8242000000000003</v>
      </c>
      <c r="BZ198">
        <v>0</v>
      </c>
      <c r="CA198">
        <v>1</v>
      </c>
      <c r="CB198">
        <v>0.6</v>
      </c>
      <c r="CC198" s="3">
        <v>7.1269159999999998E-2</v>
      </c>
      <c r="CD198">
        <v>2.875</v>
      </c>
      <c r="CE198">
        <v>2.5</v>
      </c>
      <c r="CF198">
        <v>18</v>
      </c>
      <c r="CG198">
        <v>6</v>
      </c>
      <c r="CH198">
        <v>0</v>
      </c>
      <c r="CI198">
        <v>34.26</v>
      </c>
      <c r="CJ198">
        <v>184.34690000000001</v>
      </c>
    </row>
    <row r="199" spans="1:88">
      <c r="A199">
        <v>197</v>
      </c>
      <c r="B199" t="s">
        <v>0</v>
      </c>
      <c r="C199" t="s">
        <v>1</v>
      </c>
      <c r="D199" t="s">
        <v>341</v>
      </c>
      <c r="E199" t="s">
        <v>366</v>
      </c>
      <c r="F199" t="s">
        <v>343</v>
      </c>
      <c r="G199" t="s">
        <v>106</v>
      </c>
      <c r="H199" t="s">
        <v>344</v>
      </c>
      <c r="J199">
        <v>2</v>
      </c>
      <c r="K199" t="s">
        <v>146</v>
      </c>
      <c r="L199" t="s">
        <v>268</v>
      </c>
      <c r="M199" t="s">
        <v>370</v>
      </c>
      <c r="N199" t="s">
        <v>217</v>
      </c>
      <c r="O199">
        <v>103</v>
      </c>
      <c r="Q199">
        <v>221</v>
      </c>
      <c r="R199">
        <v>48</v>
      </c>
      <c r="S199">
        <v>4.25</v>
      </c>
      <c r="T199">
        <v>2.8650000000000002</v>
      </c>
      <c r="U199">
        <v>5.96</v>
      </c>
      <c r="V199">
        <v>940.94</v>
      </c>
      <c r="W199">
        <v>288</v>
      </c>
      <c r="X199">
        <v>1.3332999999999999</v>
      </c>
      <c r="Y199">
        <v>225</v>
      </c>
      <c r="Z199">
        <v>4.1900000000000004</v>
      </c>
      <c r="AJ199">
        <v>2</v>
      </c>
      <c r="AK199">
        <v>18</v>
      </c>
      <c r="AM199">
        <v>0</v>
      </c>
      <c r="AO199" t="s">
        <v>347</v>
      </c>
      <c r="AT199">
        <v>41</v>
      </c>
      <c r="AV199">
        <v>27.4</v>
      </c>
      <c r="AW199">
        <v>0</v>
      </c>
      <c r="AX199">
        <v>0</v>
      </c>
      <c r="AY199">
        <v>28.75</v>
      </c>
      <c r="AZ199">
        <v>3.125</v>
      </c>
      <c r="BA199">
        <v>0</v>
      </c>
      <c r="BB199">
        <v>0</v>
      </c>
      <c r="BC199">
        <v>25</v>
      </c>
      <c r="BN199">
        <v>128.4</v>
      </c>
      <c r="BO199">
        <v>6294</v>
      </c>
      <c r="BP199">
        <v>0</v>
      </c>
      <c r="BQ199">
        <v>35</v>
      </c>
      <c r="BR199">
        <v>35</v>
      </c>
      <c r="BS199">
        <v>34.950000000000003</v>
      </c>
      <c r="BT199">
        <v>0</v>
      </c>
      <c r="BV199">
        <v>0</v>
      </c>
      <c r="BW199" t="s">
        <v>655</v>
      </c>
      <c r="BX199">
        <v>0.17</v>
      </c>
      <c r="BY199">
        <v>5.9414999999999996</v>
      </c>
      <c r="BZ199">
        <v>0</v>
      </c>
      <c r="CA199">
        <v>1</v>
      </c>
      <c r="CB199">
        <v>0.6</v>
      </c>
      <c r="CC199" s="3">
        <v>7.1269159999999998E-2</v>
      </c>
      <c r="CD199">
        <v>2.875</v>
      </c>
      <c r="CE199">
        <v>2.5</v>
      </c>
      <c r="CF199">
        <v>18</v>
      </c>
      <c r="CG199">
        <v>6</v>
      </c>
      <c r="CH199">
        <v>0</v>
      </c>
      <c r="CI199">
        <v>34.950000000000003</v>
      </c>
      <c r="CJ199">
        <v>188.05969999999999</v>
      </c>
    </row>
    <row r="200" spans="1:88">
      <c r="A200">
        <v>198</v>
      </c>
      <c r="B200" t="s">
        <v>0</v>
      </c>
      <c r="C200" t="s">
        <v>1</v>
      </c>
      <c r="D200" t="s">
        <v>143</v>
      </c>
      <c r="E200" t="s">
        <v>295</v>
      </c>
      <c r="F200" t="s">
        <v>144</v>
      </c>
      <c r="G200" t="s">
        <v>106</v>
      </c>
      <c r="H200" t="s">
        <v>145</v>
      </c>
      <c r="J200">
        <v>2</v>
      </c>
      <c r="K200" t="s">
        <v>146</v>
      </c>
      <c r="L200" t="s">
        <v>316</v>
      </c>
      <c r="M200" t="s">
        <v>296</v>
      </c>
      <c r="N200" t="s">
        <v>207</v>
      </c>
      <c r="O200">
        <v>150</v>
      </c>
      <c r="Q200">
        <v>602</v>
      </c>
      <c r="R200">
        <v>95</v>
      </c>
      <c r="S200">
        <v>4.25</v>
      </c>
      <c r="T200">
        <v>4.048</v>
      </c>
      <c r="U200">
        <v>6.71</v>
      </c>
      <c r="V200">
        <v>2556.5</v>
      </c>
      <c r="W200">
        <v>635</v>
      </c>
      <c r="X200">
        <v>1.3332999999999999</v>
      </c>
      <c r="Y200">
        <v>475</v>
      </c>
      <c r="Z200">
        <v>5.38</v>
      </c>
      <c r="AJ200">
        <v>2</v>
      </c>
      <c r="AK200">
        <v>18</v>
      </c>
      <c r="AM200">
        <v>0</v>
      </c>
      <c r="AO200" t="s">
        <v>149</v>
      </c>
      <c r="AT200">
        <v>57</v>
      </c>
      <c r="AV200">
        <v>53.5</v>
      </c>
      <c r="AW200">
        <v>0.46875</v>
      </c>
      <c r="AX200">
        <v>3.75</v>
      </c>
      <c r="AY200">
        <v>55.375</v>
      </c>
      <c r="AZ200">
        <v>5</v>
      </c>
      <c r="BA200">
        <v>366.32</v>
      </c>
      <c r="BB200">
        <v>5.38</v>
      </c>
      <c r="BC200">
        <v>59</v>
      </c>
      <c r="BD200">
        <v>0.3125</v>
      </c>
      <c r="BE200">
        <v>2.75</v>
      </c>
      <c r="BF200">
        <v>33</v>
      </c>
      <c r="BG200">
        <v>3.375</v>
      </c>
      <c r="BH200">
        <v>108.85</v>
      </c>
      <c r="BI200">
        <v>5.87</v>
      </c>
      <c r="BJ200">
        <v>18</v>
      </c>
      <c r="BL200">
        <v>475.17</v>
      </c>
      <c r="BM200">
        <v>76</v>
      </c>
      <c r="BN200">
        <v>256.80009999999999</v>
      </c>
      <c r="BO200">
        <v>1574</v>
      </c>
      <c r="BP200">
        <v>0</v>
      </c>
      <c r="BQ200">
        <v>51</v>
      </c>
      <c r="BR200">
        <v>51</v>
      </c>
      <c r="BS200">
        <v>51.3</v>
      </c>
      <c r="BT200">
        <v>0</v>
      </c>
      <c r="BV200">
        <v>0</v>
      </c>
      <c r="BW200" t="s">
        <v>655</v>
      </c>
      <c r="BX200">
        <v>0.17</v>
      </c>
      <c r="BY200">
        <v>8.7210000000000001</v>
      </c>
      <c r="BZ200">
        <v>0</v>
      </c>
      <c r="CA200">
        <v>1</v>
      </c>
      <c r="CB200">
        <v>0.6</v>
      </c>
      <c r="CC200" s="3">
        <v>7.1269159999999998E-2</v>
      </c>
      <c r="CD200">
        <v>2.875</v>
      </c>
      <c r="CE200">
        <v>2.5</v>
      </c>
      <c r="CF200">
        <v>18</v>
      </c>
      <c r="CG200">
        <v>6</v>
      </c>
      <c r="CH200">
        <v>0</v>
      </c>
      <c r="CI200">
        <v>51.3</v>
      </c>
      <c r="CJ200">
        <v>539.27589999999998</v>
      </c>
    </row>
    <row r="201" spans="1:88">
      <c r="A201">
        <v>199</v>
      </c>
      <c r="B201" t="s">
        <v>0</v>
      </c>
      <c r="C201" t="s">
        <v>1</v>
      </c>
      <c r="D201" t="s">
        <v>139</v>
      </c>
      <c r="E201" t="s">
        <v>293</v>
      </c>
      <c r="F201" t="s">
        <v>155</v>
      </c>
      <c r="G201" t="s">
        <v>106</v>
      </c>
      <c r="H201" t="s">
        <v>151</v>
      </c>
      <c r="J201">
        <v>2</v>
      </c>
      <c r="K201" t="s">
        <v>146</v>
      </c>
      <c r="L201" t="s">
        <v>552</v>
      </c>
      <c r="M201" t="s">
        <v>465</v>
      </c>
      <c r="N201" t="s">
        <v>145</v>
      </c>
      <c r="O201">
        <v>151</v>
      </c>
      <c r="Q201">
        <v>419</v>
      </c>
      <c r="R201">
        <v>68</v>
      </c>
      <c r="S201">
        <v>4.25</v>
      </c>
      <c r="T201">
        <v>4.0720000000000001</v>
      </c>
      <c r="U201">
        <v>6.75</v>
      </c>
      <c r="V201">
        <v>1781.77</v>
      </c>
      <c r="W201">
        <v>460</v>
      </c>
      <c r="X201">
        <v>1.5</v>
      </c>
      <c r="Y201">
        <v>320</v>
      </c>
      <c r="Z201">
        <v>5.57</v>
      </c>
      <c r="AJ201">
        <v>2</v>
      </c>
      <c r="AK201">
        <v>18</v>
      </c>
      <c r="AM201">
        <v>0</v>
      </c>
      <c r="AO201" t="s">
        <v>154</v>
      </c>
      <c r="AT201">
        <v>58</v>
      </c>
      <c r="AV201">
        <v>36.799999999999997</v>
      </c>
      <c r="AW201">
        <v>0</v>
      </c>
      <c r="AX201">
        <v>0</v>
      </c>
      <c r="AY201">
        <v>63.375</v>
      </c>
      <c r="AZ201">
        <v>5.25</v>
      </c>
      <c r="BA201">
        <v>0</v>
      </c>
      <c r="BB201">
        <v>0</v>
      </c>
      <c r="BC201">
        <v>68</v>
      </c>
      <c r="BN201">
        <v>174.76669999999999</v>
      </c>
      <c r="BO201">
        <v>3397</v>
      </c>
      <c r="BP201">
        <v>0</v>
      </c>
      <c r="BQ201">
        <v>52</v>
      </c>
      <c r="BR201">
        <v>52</v>
      </c>
      <c r="BS201">
        <v>51.65</v>
      </c>
      <c r="BT201">
        <v>0</v>
      </c>
      <c r="BV201">
        <v>0</v>
      </c>
      <c r="BW201" t="s">
        <v>655</v>
      </c>
      <c r="BX201">
        <v>0.17</v>
      </c>
      <c r="BY201">
        <v>8.7805009999999992</v>
      </c>
      <c r="BZ201">
        <v>0</v>
      </c>
      <c r="CA201">
        <v>1</v>
      </c>
      <c r="CB201">
        <v>0.6</v>
      </c>
      <c r="CC201" s="3">
        <v>7.1269159999999998E-2</v>
      </c>
      <c r="CD201">
        <v>2.875</v>
      </c>
      <c r="CE201">
        <v>2.5</v>
      </c>
      <c r="CF201">
        <v>18</v>
      </c>
      <c r="CG201">
        <v>6</v>
      </c>
      <c r="CH201">
        <v>0</v>
      </c>
      <c r="CI201">
        <v>51.65</v>
      </c>
      <c r="CJ201">
        <v>373.6268</v>
      </c>
    </row>
    <row r="202" spans="1:88">
      <c r="A202">
        <v>200</v>
      </c>
      <c r="B202" t="s">
        <v>0</v>
      </c>
      <c r="C202" t="s">
        <v>1</v>
      </c>
      <c r="D202" t="s">
        <v>356</v>
      </c>
      <c r="E202" t="s">
        <v>2</v>
      </c>
      <c r="F202" t="s">
        <v>225</v>
      </c>
      <c r="G202" t="s">
        <v>106</v>
      </c>
      <c r="H202" t="s">
        <v>332</v>
      </c>
      <c r="J202">
        <v>2</v>
      </c>
      <c r="K202" t="s">
        <v>146</v>
      </c>
      <c r="L202" t="s">
        <v>122</v>
      </c>
      <c r="M202" t="s">
        <v>4</v>
      </c>
      <c r="N202" t="s">
        <v>5</v>
      </c>
      <c r="O202">
        <v>107</v>
      </c>
      <c r="Q202">
        <v>214</v>
      </c>
      <c r="R202">
        <v>45</v>
      </c>
      <c r="S202">
        <v>4.25</v>
      </c>
      <c r="T202">
        <v>2.9710000000000001</v>
      </c>
      <c r="U202">
        <v>6.07</v>
      </c>
      <c r="V202">
        <v>910.98</v>
      </c>
      <c r="W202">
        <v>276</v>
      </c>
      <c r="X202">
        <v>1.3332999999999999</v>
      </c>
      <c r="Y202">
        <v>212</v>
      </c>
      <c r="Z202">
        <v>4.3</v>
      </c>
      <c r="AJ202">
        <v>2</v>
      </c>
      <c r="AK202">
        <v>18</v>
      </c>
      <c r="AM202">
        <v>0</v>
      </c>
      <c r="AO202" t="s">
        <v>372</v>
      </c>
      <c r="AT202">
        <v>42</v>
      </c>
      <c r="AV202">
        <v>25.5</v>
      </c>
      <c r="AW202">
        <v>0</v>
      </c>
      <c r="AX202">
        <v>0</v>
      </c>
      <c r="AY202">
        <v>30.5</v>
      </c>
      <c r="AZ202">
        <v>3.25</v>
      </c>
      <c r="BA202">
        <v>0</v>
      </c>
      <c r="BB202">
        <v>0</v>
      </c>
      <c r="BC202">
        <v>27</v>
      </c>
      <c r="BN202">
        <v>119.4834</v>
      </c>
      <c r="BO202">
        <v>7269</v>
      </c>
      <c r="BP202">
        <v>0</v>
      </c>
      <c r="BQ202">
        <v>36</v>
      </c>
      <c r="BR202">
        <v>36</v>
      </c>
      <c r="BS202">
        <v>36.340000000000003</v>
      </c>
      <c r="BT202">
        <v>0</v>
      </c>
      <c r="BV202">
        <v>0</v>
      </c>
      <c r="BW202" t="s">
        <v>655</v>
      </c>
      <c r="BX202">
        <v>0.17</v>
      </c>
      <c r="BY202">
        <v>6.1778000000000004</v>
      </c>
      <c r="BZ202">
        <v>0</v>
      </c>
      <c r="CA202">
        <v>1</v>
      </c>
      <c r="CB202">
        <v>0.6</v>
      </c>
      <c r="CC202" s="3">
        <v>7.1269159999999998E-2</v>
      </c>
      <c r="CD202">
        <v>2.875</v>
      </c>
      <c r="CE202">
        <v>2.5</v>
      </c>
      <c r="CF202">
        <v>18</v>
      </c>
      <c r="CG202">
        <v>6</v>
      </c>
      <c r="CH202">
        <v>0</v>
      </c>
      <c r="CI202">
        <v>36.340000000000003</v>
      </c>
      <c r="CJ202">
        <v>182.58940000000001</v>
      </c>
    </row>
    <row r="203" spans="1:88">
      <c r="A203">
        <v>201</v>
      </c>
      <c r="B203" t="s">
        <v>0</v>
      </c>
      <c r="C203" t="s">
        <v>1</v>
      </c>
      <c r="D203" t="s">
        <v>328</v>
      </c>
      <c r="E203" t="s">
        <v>133</v>
      </c>
      <c r="F203" t="s">
        <v>329</v>
      </c>
      <c r="G203" t="s">
        <v>15</v>
      </c>
      <c r="H203" t="s">
        <v>328</v>
      </c>
      <c r="J203">
        <v>2</v>
      </c>
      <c r="K203" t="s">
        <v>9</v>
      </c>
      <c r="L203" t="s">
        <v>353</v>
      </c>
      <c r="M203" t="s">
        <v>194</v>
      </c>
      <c r="N203" t="s">
        <v>195</v>
      </c>
      <c r="O203">
        <v>143</v>
      </c>
      <c r="Q203">
        <v>951</v>
      </c>
      <c r="R203">
        <v>154</v>
      </c>
      <c r="S203">
        <v>4.25</v>
      </c>
      <c r="T203">
        <v>3.88</v>
      </c>
      <c r="U203">
        <v>6.6</v>
      </c>
      <c r="V203">
        <v>4043.4</v>
      </c>
      <c r="W203">
        <v>1016</v>
      </c>
      <c r="X203">
        <v>1.3332999999999999</v>
      </c>
      <c r="Y203">
        <v>776</v>
      </c>
      <c r="Z203">
        <v>5.21</v>
      </c>
      <c r="AJ203">
        <v>2</v>
      </c>
      <c r="AK203">
        <v>18</v>
      </c>
      <c r="AM203">
        <v>0</v>
      </c>
      <c r="AO203" t="s">
        <v>331</v>
      </c>
      <c r="AT203">
        <v>55</v>
      </c>
      <c r="AV203">
        <v>88.5</v>
      </c>
      <c r="AW203" t="s">
        <v>6</v>
      </c>
      <c r="AX203" t="s">
        <v>6</v>
      </c>
      <c r="AY203" t="s">
        <v>6</v>
      </c>
      <c r="AZ203" t="s">
        <v>6</v>
      </c>
      <c r="BA203" t="s">
        <v>6</v>
      </c>
      <c r="BB203" t="s">
        <v>6</v>
      </c>
      <c r="BC203" t="s">
        <v>6</v>
      </c>
      <c r="BD203" t="s">
        <v>6</v>
      </c>
      <c r="BE203" t="s">
        <v>6</v>
      </c>
      <c r="BF203" t="s">
        <v>6</v>
      </c>
      <c r="BG203" t="s">
        <v>6</v>
      </c>
      <c r="BH203" t="s">
        <v>6</v>
      </c>
      <c r="BI203" t="s">
        <v>6</v>
      </c>
      <c r="BJ203" t="s">
        <v>6</v>
      </c>
      <c r="BN203">
        <v>757.69809999999995</v>
      </c>
      <c r="BO203">
        <v>1905</v>
      </c>
      <c r="BP203">
        <v>0</v>
      </c>
      <c r="BQ203">
        <v>49</v>
      </c>
      <c r="BR203">
        <v>49</v>
      </c>
      <c r="BS203">
        <v>48.86</v>
      </c>
      <c r="BT203">
        <v>0</v>
      </c>
      <c r="BV203">
        <v>6</v>
      </c>
      <c r="BW203" t="s">
        <v>655</v>
      </c>
      <c r="BX203">
        <v>0.27933340000000001</v>
      </c>
      <c r="BY203">
        <v>13.64823</v>
      </c>
      <c r="BZ203">
        <v>0</v>
      </c>
      <c r="CA203">
        <v>1</v>
      </c>
      <c r="CB203">
        <v>0.6</v>
      </c>
      <c r="CC203" s="3">
        <v>7.1269159999999998E-2</v>
      </c>
      <c r="CD203">
        <v>2.875</v>
      </c>
      <c r="CE203">
        <v>2.5</v>
      </c>
      <c r="CF203">
        <v>18</v>
      </c>
      <c r="CG203">
        <v>6</v>
      </c>
      <c r="CH203">
        <v>0</v>
      </c>
      <c r="CI203">
        <v>48.86</v>
      </c>
      <c r="CJ203">
        <v>849.2242</v>
      </c>
    </row>
    <row r="204" spans="1:88">
      <c r="A204">
        <v>202</v>
      </c>
      <c r="B204" t="s">
        <v>0</v>
      </c>
      <c r="C204" t="s">
        <v>1</v>
      </c>
      <c r="D204" t="s">
        <v>113</v>
      </c>
      <c r="E204" t="s">
        <v>202</v>
      </c>
      <c r="F204" t="s">
        <v>262</v>
      </c>
      <c r="G204" t="s">
        <v>214</v>
      </c>
      <c r="H204" t="s">
        <v>263</v>
      </c>
      <c r="J204">
        <v>2</v>
      </c>
      <c r="K204" t="s">
        <v>108</v>
      </c>
      <c r="L204" t="s">
        <v>203</v>
      </c>
      <c r="M204" t="s">
        <v>204</v>
      </c>
      <c r="N204" t="s">
        <v>205</v>
      </c>
      <c r="O204">
        <v>181</v>
      </c>
      <c r="Q204">
        <v>833</v>
      </c>
      <c r="R204">
        <v>109</v>
      </c>
      <c r="S204">
        <v>4.25</v>
      </c>
      <c r="T204">
        <v>4.7640000000000002</v>
      </c>
      <c r="U204">
        <v>7.08</v>
      </c>
      <c r="V204">
        <v>3541.82</v>
      </c>
      <c r="W204">
        <v>769</v>
      </c>
      <c r="X204">
        <v>1.3332999999999999</v>
      </c>
      <c r="Y204">
        <v>582</v>
      </c>
      <c r="Z204">
        <v>6.09</v>
      </c>
      <c r="AJ204">
        <v>2</v>
      </c>
      <c r="AK204">
        <v>18</v>
      </c>
      <c r="AM204">
        <v>0</v>
      </c>
      <c r="AO204" t="s">
        <v>266</v>
      </c>
      <c r="AT204">
        <v>68</v>
      </c>
      <c r="AV204">
        <v>62.3</v>
      </c>
      <c r="AW204">
        <v>0.46875</v>
      </c>
      <c r="AX204">
        <v>3.75</v>
      </c>
      <c r="AY204">
        <v>63.375</v>
      </c>
      <c r="AZ204">
        <v>5.75</v>
      </c>
      <c r="BA204">
        <v>319.86</v>
      </c>
      <c r="BB204">
        <v>6.16</v>
      </c>
      <c r="BC204">
        <v>68</v>
      </c>
      <c r="BD204">
        <v>0.4375</v>
      </c>
      <c r="BE204">
        <v>3.75</v>
      </c>
      <c r="BF204">
        <v>54.375</v>
      </c>
      <c r="BG204">
        <v>5.375</v>
      </c>
      <c r="BH204">
        <v>261.70999999999998</v>
      </c>
      <c r="BI204">
        <v>6.28</v>
      </c>
      <c r="BJ204">
        <v>55</v>
      </c>
      <c r="BL204">
        <v>581.57000000000005</v>
      </c>
      <c r="BM204">
        <v>123</v>
      </c>
      <c r="BN204">
        <v>302.12</v>
      </c>
      <c r="BO204">
        <v>1426</v>
      </c>
      <c r="BP204">
        <v>0</v>
      </c>
      <c r="BQ204">
        <v>62</v>
      </c>
      <c r="BR204">
        <v>62</v>
      </c>
      <c r="BS204">
        <v>62.08</v>
      </c>
      <c r="BT204">
        <v>0</v>
      </c>
      <c r="BV204">
        <v>0</v>
      </c>
      <c r="BW204" t="s">
        <v>655</v>
      </c>
      <c r="BX204">
        <v>0.17</v>
      </c>
      <c r="BY204">
        <v>10.553599999999999</v>
      </c>
      <c r="BZ204">
        <v>0</v>
      </c>
      <c r="CA204">
        <v>1</v>
      </c>
      <c r="CB204">
        <v>0.6</v>
      </c>
      <c r="CC204" s="3">
        <v>7.1269159999999998E-2</v>
      </c>
      <c r="CD204">
        <v>2.875</v>
      </c>
      <c r="CE204">
        <v>2.5</v>
      </c>
      <c r="CF204">
        <v>18</v>
      </c>
      <c r="CG204">
        <v>6</v>
      </c>
      <c r="CH204">
        <v>0</v>
      </c>
      <c r="CI204">
        <v>62.08</v>
      </c>
      <c r="CJ204">
        <v>760.44190000000003</v>
      </c>
    </row>
    <row r="205" spans="1:88">
      <c r="A205">
        <v>203</v>
      </c>
      <c r="B205" t="s">
        <v>0</v>
      </c>
      <c r="C205" t="s">
        <v>1</v>
      </c>
      <c r="D205" t="s">
        <v>267</v>
      </c>
      <c r="E205" t="s">
        <v>103</v>
      </c>
      <c r="F205" t="s">
        <v>269</v>
      </c>
      <c r="G205" t="s">
        <v>106</v>
      </c>
      <c r="H205" t="s">
        <v>131</v>
      </c>
      <c r="J205">
        <v>2</v>
      </c>
      <c r="K205" t="s">
        <v>146</v>
      </c>
      <c r="L205" t="s">
        <v>455</v>
      </c>
      <c r="M205" t="s">
        <v>315</v>
      </c>
      <c r="N205" t="s">
        <v>316</v>
      </c>
      <c r="O205">
        <v>167</v>
      </c>
      <c r="Q205">
        <v>682</v>
      </c>
      <c r="R205">
        <v>97</v>
      </c>
      <c r="S205">
        <v>4.25</v>
      </c>
      <c r="T205">
        <v>4.4459999999999997</v>
      </c>
      <c r="U205">
        <v>6.86</v>
      </c>
      <c r="V205">
        <v>2900.28</v>
      </c>
      <c r="W205">
        <v>665</v>
      </c>
      <c r="X205">
        <v>1.3332999999999999</v>
      </c>
      <c r="Y205">
        <v>503</v>
      </c>
      <c r="Z205">
        <v>5.77</v>
      </c>
      <c r="AJ205">
        <v>2</v>
      </c>
      <c r="AK205">
        <v>18</v>
      </c>
      <c r="AM205">
        <v>0</v>
      </c>
      <c r="AO205" t="s">
        <v>271</v>
      </c>
      <c r="AT205">
        <v>63</v>
      </c>
      <c r="AV205">
        <v>54.9</v>
      </c>
      <c r="AW205">
        <v>0.4375</v>
      </c>
      <c r="AX205">
        <v>3.75</v>
      </c>
      <c r="AY205">
        <v>51.5</v>
      </c>
      <c r="AZ205">
        <v>5</v>
      </c>
      <c r="BA205">
        <v>276.45</v>
      </c>
      <c r="BB205">
        <v>5.95</v>
      </c>
      <c r="BC205">
        <v>52</v>
      </c>
      <c r="BD205">
        <v>0.40625</v>
      </c>
      <c r="BE205">
        <v>3.75</v>
      </c>
      <c r="BF205">
        <v>43</v>
      </c>
      <c r="BG205">
        <v>4.625</v>
      </c>
      <c r="BH205">
        <v>226.19</v>
      </c>
      <c r="BI205">
        <v>5.85</v>
      </c>
      <c r="BJ205">
        <v>41</v>
      </c>
      <c r="BL205">
        <v>502.64</v>
      </c>
      <c r="BM205">
        <v>92</v>
      </c>
      <c r="BN205">
        <v>263.93340000000001</v>
      </c>
      <c r="BO205">
        <v>1490</v>
      </c>
      <c r="BP205">
        <v>0</v>
      </c>
      <c r="BQ205">
        <v>57</v>
      </c>
      <c r="BR205">
        <v>57</v>
      </c>
      <c r="BS205">
        <v>57.21</v>
      </c>
      <c r="BT205">
        <v>0</v>
      </c>
      <c r="BV205">
        <v>0</v>
      </c>
      <c r="BW205" t="s">
        <v>655</v>
      </c>
      <c r="BX205">
        <v>0.17</v>
      </c>
      <c r="BY205">
        <v>9.7257010000000008</v>
      </c>
      <c r="BZ205">
        <v>0</v>
      </c>
      <c r="CA205">
        <v>1</v>
      </c>
      <c r="CB205">
        <v>0.6</v>
      </c>
      <c r="CC205" s="3">
        <v>7.1269159999999998E-2</v>
      </c>
      <c r="CD205">
        <v>2.875</v>
      </c>
      <c r="CE205">
        <v>2.5</v>
      </c>
      <c r="CF205">
        <v>18</v>
      </c>
      <c r="CG205">
        <v>6</v>
      </c>
      <c r="CH205">
        <v>0</v>
      </c>
      <c r="CI205">
        <v>57.21</v>
      </c>
      <c r="CJ205">
        <v>617.71220000000005</v>
      </c>
    </row>
    <row r="206" spans="1:88">
      <c r="A206">
        <v>204</v>
      </c>
      <c r="B206" t="s">
        <v>0</v>
      </c>
      <c r="C206" t="s">
        <v>1</v>
      </c>
      <c r="D206" t="s">
        <v>177</v>
      </c>
      <c r="E206" t="s">
        <v>348</v>
      </c>
      <c r="F206" t="s">
        <v>226</v>
      </c>
      <c r="G206" t="s">
        <v>106</v>
      </c>
      <c r="H206" t="s">
        <v>150</v>
      </c>
      <c r="J206">
        <v>2</v>
      </c>
      <c r="K206" t="s">
        <v>146</v>
      </c>
      <c r="L206" t="s">
        <v>111</v>
      </c>
      <c r="M206" t="s">
        <v>351</v>
      </c>
      <c r="N206" t="s">
        <v>251</v>
      </c>
      <c r="O206">
        <v>174</v>
      </c>
      <c r="Q206">
        <v>492</v>
      </c>
      <c r="R206">
        <v>70</v>
      </c>
      <c r="S206">
        <v>4.25</v>
      </c>
      <c r="T206">
        <v>4.6059999999999999</v>
      </c>
      <c r="U206">
        <v>6.97</v>
      </c>
      <c r="V206">
        <v>2092.36</v>
      </c>
      <c r="W206">
        <v>487</v>
      </c>
      <c r="X206">
        <v>1.3332999999999999</v>
      </c>
      <c r="Y206">
        <v>353</v>
      </c>
      <c r="Z206">
        <v>5.93</v>
      </c>
      <c r="AJ206">
        <v>2</v>
      </c>
      <c r="AK206">
        <v>18</v>
      </c>
      <c r="AM206">
        <v>0</v>
      </c>
      <c r="AO206" t="s">
        <v>159</v>
      </c>
      <c r="AT206">
        <v>66</v>
      </c>
      <c r="AV206">
        <v>37.9</v>
      </c>
      <c r="AW206">
        <v>0.46875</v>
      </c>
      <c r="AX206">
        <v>3.75</v>
      </c>
      <c r="AY206">
        <v>61</v>
      </c>
      <c r="AZ206">
        <v>5.5</v>
      </c>
      <c r="BA206">
        <v>332.34</v>
      </c>
      <c r="BB206">
        <v>5.93</v>
      </c>
      <c r="BC206">
        <v>66</v>
      </c>
      <c r="BD206">
        <v>0.1875</v>
      </c>
      <c r="BE206">
        <v>2.75</v>
      </c>
      <c r="BF206">
        <v>13</v>
      </c>
      <c r="BG206">
        <v>2.25</v>
      </c>
      <c r="BH206">
        <v>20.5</v>
      </c>
      <c r="BI206">
        <v>7.4</v>
      </c>
      <c r="BJ206">
        <v>4</v>
      </c>
      <c r="BL206">
        <v>352.84</v>
      </c>
      <c r="BM206">
        <v>69</v>
      </c>
      <c r="BN206">
        <v>180.11670000000001</v>
      </c>
      <c r="BO206">
        <v>3199</v>
      </c>
      <c r="BP206">
        <v>0</v>
      </c>
      <c r="BQ206">
        <v>60</v>
      </c>
      <c r="BR206">
        <v>60</v>
      </c>
      <c r="BS206">
        <v>59.65</v>
      </c>
      <c r="BT206">
        <v>0</v>
      </c>
      <c r="BV206">
        <v>0</v>
      </c>
      <c r="BW206" t="s">
        <v>655</v>
      </c>
      <c r="BX206">
        <v>0.17</v>
      </c>
      <c r="BY206">
        <v>10.140499999999999</v>
      </c>
      <c r="BZ206">
        <v>0</v>
      </c>
      <c r="CA206">
        <v>1</v>
      </c>
      <c r="CB206">
        <v>0.6</v>
      </c>
      <c r="CC206" s="3">
        <v>7.1269159999999998E-2</v>
      </c>
      <c r="CD206">
        <v>2.875</v>
      </c>
      <c r="CE206">
        <v>2.5</v>
      </c>
      <c r="CF206">
        <v>18</v>
      </c>
      <c r="CG206">
        <v>6</v>
      </c>
      <c r="CH206">
        <v>0</v>
      </c>
      <c r="CI206">
        <v>59.65</v>
      </c>
      <c r="CJ206">
        <v>444.25099999999998</v>
      </c>
    </row>
    <row r="207" spans="1:88">
      <c r="A207">
        <v>205</v>
      </c>
      <c r="B207" t="s">
        <v>0</v>
      </c>
      <c r="C207" t="s">
        <v>1</v>
      </c>
      <c r="D207" t="s">
        <v>135</v>
      </c>
      <c r="E207" t="s">
        <v>2</v>
      </c>
      <c r="F207" t="s">
        <v>137</v>
      </c>
      <c r="G207" t="s">
        <v>106</v>
      </c>
      <c r="H207" t="s">
        <v>138</v>
      </c>
      <c r="J207">
        <v>2</v>
      </c>
      <c r="K207" t="s">
        <v>146</v>
      </c>
      <c r="L207" t="s">
        <v>122</v>
      </c>
      <c r="M207" t="s">
        <v>4</v>
      </c>
      <c r="N207" t="s">
        <v>5</v>
      </c>
      <c r="O207">
        <v>107</v>
      </c>
      <c r="Q207">
        <v>194</v>
      </c>
      <c r="R207">
        <v>41</v>
      </c>
      <c r="S207">
        <v>4.25</v>
      </c>
      <c r="T207">
        <v>2.9710000000000001</v>
      </c>
      <c r="U207">
        <v>6.07</v>
      </c>
      <c r="V207">
        <v>823.09</v>
      </c>
      <c r="W207">
        <v>251</v>
      </c>
      <c r="X207">
        <v>1.3332999999999999</v>
      </c>
      <c r="Y207">
        <v>191</v>
      </c>
      <c r="Z207">
        <v>4.3</v>
      </c>
      <c r="AJ207">
        <v>2</v>
      </c>
      <c r="AK207">
        <v>18</v>
      </c>
      <c r="AM207">
        <v>0</v>
      </c>
      <c r="AO207" t="s">
        <v>142</v>
      </c>
      <c r="AT207">
        <v>42</v>
      </c>
      <c r="AV207">
        <v>23</v>
      </c>
      <c r="AW207">
        <v>0</v>
      </c>
      <c r="AX207">
        <v>0</v>
      </c>
      <c r="AY207">
        <v>33.75</v>
      </c>
      <c r="AZ207">
        <v>3.25</v>
      </c>
      <c r="BA207">
        <v>0</v>
      </c>
      <c r="BB207">
        <v>0</v>
      </c>
      <c r="BC207">
        <v>30</v>
      </c>
      <c r="BN207">
        <v>107</v>
      </c>
      <c r="BO207">
        <v>9064</v>
      </c>
      <c r="BP207">
        <v>0</v>
      </c>
      <c r="BQ207">
        <v>36</v>
      </c>
      <c r="BR207">
        <v>36</v>
      </c>
      <c r="BS207">
        <v>36.340000000000003</v>
      </c>
      <c r="BT207">
        <v>0</v>
      </c>
      <c r="BV207">
        <v>0</v>
      </c>
      <c r="BW207" t="s">
        <v>655</v>
      </c>
      <c r="BX207">
        <v>0.17</v>
      </c>
      <c r="BY207">
        <v>6.1778000000000004</v>
      </c>
      <c r="BZ207">
        <v>0</v>
      </c>
      <c r="CA207">
        <v>1</v>
      </c>
      <c r="CB207">
        <v>0.6</v>
      </c>
      <c r="CC207" s="3">
        <v>7.1269159999999998E-2</v>
      </c>
      <c r="CD207">
        <v>2.875</v>
      </c>
      <c r="CE207">
        <v>2.5</v>
      </c>
      <c r="CF207">
        <v>18</v>
      </c>
      <c r="CG207">
        <v>6</v>
      </c>
      <c r="CH207">
        <v>0</v>
      </c>
      <c r="CI207">
        <v>36.340000000000003</v>
      </c>
      <c r="CJ207">
        <v>164.46</v>
      </c>
    </row>
    <row r="208" spans="1:88">
      <c r="A208">
        <v>206</v>
      </c>
      <c r="B208" t="s">
        <v>13</v>
      </c>
      <c r="C208" t="s">
        <v>1</v>
      </c>
      <c r="D208" t="s">
        <v>217</v>
      </c>
      <c r="E208" t="s">
        <v>145</v>
      </c>
      <c r="F208" t="s">
        <v>4</v>
      </c>
      <c r="G208" t="s">
        <v>106</v>
      </c>
      <c r="H208" t="s">
        <v>231</v>
      </c>
      <c r="J208">
        <v>2</v>
      </c>
      <c r="K208" t="s">
        <v>146</v>
      </c>
      <c r="L208" t="s">
        <v>348</v>
      </c>
      <c r="M208" t="s">
        <v>149</v>
      </c>
      <c r="N208" t="s">
        <v>233</v>
      </c>
      <c r="O208">
        <v>154</v>
      </c>
      <c r="Q208">
        <v>415</v>
      </c>
      <c r="R208">
        <v>67</v>
      </c>
      <c r="S208">
        <v>4.25</v>
      </c>
      <c r="T208">
        <v>4.1429999999999998</v>
      </c>
      <c r="U208">
        <v>6.78</v>
      </c>
      <c r="V208">
        <v>1762</v>
      </c>
      <c r="W208">
        <v>451</v>
      </c>
      <c r="X208">
        <v>1.5</v>
      </c>
      <c r="Y208">
        <v>312</v>
      </c>
      <c r="Z208">
        <v>5.64</v>
      </c>
      <c r="AJ208">
        <v>2</v>
      </c>
      <c r="AK208">
        <v>18</v>
      </c>
      <c r="AM208">
        <v>0</v>
      </c>
      <c r="AO208" t="s">
        <v>405</v>
      </c>
      <c r="AT208">
        <v>59</v>
      </c>
      <c r="AV208">
        <v>35.700000000000003</v>
      </c>
      <c r="AW208">
        <v>0</v>
      </c>
      <c r="AX208">
        <v>0</v>
      </c>
      <c r="AY208">
        <v>64.875</v>
      </c>
      <c r="AZ208">
        <v>5.25</v>
      </c>
      <c r="BA208">
        <v>0</v>
      </c>
      <c r="BB208">
        <v>0</v>
      </c>
      <c r="BC208">
        <v>70</v>
      </c>
      <c r="BN208">
        <v>169.41669999999999</v>
      </c>
      <c r="BO208">
        <v>3615</v>
      </c>
      <c r="BP208">
        <v>0</v>
      </c>
      <c r="BQ208">
        <v>53</v>
      </c>
      <c r="BR208">
        <v>53</v>
      </c>
      <c r="BS208">
        <v>52.69</v>
      </c>
      <c r="BT208">
        <v>0</v>
      </c>
      <c r="BV208">
        <v>0</v>
      </c>
      <c r="BW208" t="s">
        <v>655</v>
      </c>
      <c r="BX208">
        <v>0.17</v>
      </c>
      <c r="BY208">
        <v>8.9573</v>
      </c>
      <c r="BZ208">
        <v>0</v>
      </c>
      <c r="CA208">
        <v>1</v>
      </c>
      <c r="CB208">
        <v>0.6</v>
      </c>
      <c r="CC208" s="3">
        <v>7.1269159999999998E-2</v>
      </c>
      <c r="CD208">
        <v>2.875</v>
      </c>
      <c r="CE208">
        <v>2.5</v>
      </c>
      <c r="CF208">
        <v>18</v>
      </c>
      <c r="CG208">
        <v>6</v>
      </c>
      <c r="CH208">
        <v>0</v>
      </c>
      <c r="CI208">
        <v>52.69</v>
      </c>
      <c r="CJ208">
        <v>369.88440000000003</v>
      </c>
    </row>
    <row r="209" spans="1:88">
      <c r="A209">
        <v>207</v>
      </c>
      <c r="B209" t="s">
        <v>0</v>
      </c>
      <c r="C209" t="s">
        <v>1</v>
      </c>
      <c r="D209" t="s">
        <v>464</v>
      </c>
      <c r="E209" t="s">
        <v>2</v>
      </c>
      <c r="F209" t="s">
        <v>467</v>
      </c>
      <c r="G209" t="s">
        <v>106</v>
      </c>
      <c r="H209" t="s">
        <v>178</v>
      </c>
      <c r="J209">
        <v>2</v>
      </c>
      <c r="K209" t="s">
        <v>146</v>
      </c>
      <c r="L209" t="s">
        <v>122</v>
      </c>
      <c r="M209" t="s">
        <v>4</v>
      </c>
      <c r="N209" t="s">
        <v>5</v>
      </c>
      <c r="O209">
        <v>107</v>
      </c>
      <c r="Q209">
        <v>268</v>
      </c>
      <c r="R209">
        <v>61</v>
      </c>
      <c r="S209">
        <v>4.25</v>
      </c>
      <c r="T209">
        <v>2.9710000000000001</v>
      </c>
      <c r="U209">
        <v>6.07</v>
      </c>
      <c r="V209">
        <v>1136.8699999999999</v>
      </c>
      <c r="W209">
        <v>369</v>
      </c>
      <c r="X209">
        <v>1.5</v>
      </c>
      <c r="Y209">
        <v>254</v>
      </c>
      <c r="Z209">
        <v>4.47</v>
      </c>
      <c r="AJ209">
        <v>2</v>
      </c>
      <c r="AK209">
        <v>18</v>
      </c>
      <c r="AM209">
        <v>0</v>
      </c>
      <c r="AO209" t="s">
        <v>179</v>
      </c>
      <c r="AT209">
        <v>42</v>
      </c>
      <c r="AV209">
        <v>32.1</v>
      </c>
      <c r="AW209">
        <v>0</v>
      </c>
      <c r="AX209">
        <v>0</v>
      </c>
      <c r="AY209">
        <v>38.25</v>
      </c>
      <c r="AZ209">
        <v>3.625</v>
      </c>
      <c r="BA209">
        <v>0</v>
      </c>
      <c r="BB209">
        <v>0</v>
      </c>
      <c r="BC209">
        <v>36</v>
      </c>
      <c r="BN209">
        <v>151.58340000000001</v>
      </c>
      <c r="BO209">
        <v>4516</v>
      </c>
      <c r="BP209">
        <v>0</v>
      </c>
      <c r="BQ209">
        <v>36</v>
      </c>
      <c r="BR209">
        <v>36</v>
      </c>
      <c r="BS209">
        <v>36.340000000000003</v>
      </c>
      <c r="BT209">
        <v>0</v>
      </c>
      <c r="BV209">
        <v>0</v>
      </c>
      <c r="BW209" t="s">
        <v>655</v>
      </c>
      <c r="BX209">
        <v>0.17</v>
      </c>
      <c r="BY209">
        <v>6.1778000000000004</v>
      </c>
      <c r="BZ209">
        <v>0</v>
      </c>
      <c r="CA209">
        <v>1</v>
      </c>
      <c r="CB209">
        <v>0.6</v>
      </c>
      <c r="CC209" s="3">
        <v>7.1269159999999998E-2</v>
      </c>
      <c r="CD209">
        <v>2.875</v>
      </c>
      <c r="CE209">
        <v>2.5</v>
      </c>
      <c r="CF209">
        <v>18</v>
      </c>
      <c r="CG209">
        <v>6</v>
      </c>
      <c r="CH209">
        <v>0</v>
      </c>
      <c r="CI209">
        <v>36.340000000000003</v>
      </c>
      <c r="CJ209">
        <v>229.208</v>
      </c>
    </row>
    <row r="210" spans="1:88">
      <c r="A210">
        <v>208</v>
      </c>
      <c r="B210" t="s">
        <v>0</v>
      </c>
      <c r="C210" t="s">
        <v>1</v>
      </c>
      <c r="D210" t="s">
        <v>468</v>
      </c>
      <c r="E210" t="s">
        <v>96</v>
      </c>
      <c r="F210" t="s">
        <v>469</v>
      </c>
      <c r="G210" t="s">
        <v>15</v>
      </c>
      <c r="H210" t="s">
        <v>468</v>
      </c>
      <c r="J210">
        <v>2</v>
      </c>
      <c r="K210" t="s">
        <v>9</v>
      </c>
      <c r="L210" t="s">
        <v>293</v>
      </c>
      <c r="M210" t="s">
        <v>100</v>
      </c>
      <c r="N210" t="s">
        <v>101</v>
      </c>
      <c r="O210">
        <v>131</v>
      </c>
      <c r="Q210">
        <v>853</v>
      </c>
      <c r="R210">
        <v>149</v>
      </c>
      <c r="S210">
        <v>4.25</v>
      </c>
      <c r="T210">
        <v>3.5859999999999999</v>
      </c>
      <c r="U210">
        <v>6.37</v>
      </c>
      <c r="V210">
        <v>3624.86</v>
      </c>
      <c r="W210">
        <v>952</v>
      </c>
      <c r="X210">
        <v>1.3332999999999999</v>
      </c>
      <c r="Y210">
        <v>738</v>
      </c>
      <c r="Z210">
        <v>4.91</v>
      </c>
      <c r="AJ210">
        <v>2</v>
      </c>
      <c r="AK210">
        <v>18</v>
      </c>
      <c r="AM210">
        <v>0</v>
      </c>
      <c r="AO210" t="s">
        <v>21</v>
      </c>
      <c r="AT210">
        <v>51</v>
      </c>
      <c r="AV210">
        <v>85.9</v>
      </c>
      <c r="AW210" t="s">
        <v>6</v>
      </c>
      <c r="AX210" t="s">
        <v>6</v>
      </c>
      <c r="AY210" t="s">
        <v>6</v>
      </c>
      <c r="AZ210" t="s">
        <v>6</v>
      </c>
      <c r="BA210" t="s">
        <v>6</v>
      </c>
      <c r="BB210" t="s">
        <v>6</v>
      </c>
      <c r="BC210" t="s">
        <v>6</v>
      </c>
      <c r="BD210" t="s">
        <v>6</v>
      </c>
      <c r="BE210" t="s">
        <v>6</v>
      </c>
      <c r="BF210" t="s">
        <v>6</v>
      </c>
      <c r="BG210" t="s">
        <v>6</v>
      </c>
      <c r="BH210" t="s">
        <v>6</v>
      </c>
      <c r="BI210" t="s">
        <v>6</v>
      </c>
      <c r="BJ210" t="s">
        <v>6</v>
      </c>
      <c r="BN210">
        <v>735.59849999999994</v>
      </c>
      <c r="BO210">
        <v>2022</v>
      </c>
      <c r="BP210">
        <v>0</v>
      </c>
      <c r="BQ210">
        <v>45</v>
      </c>
      <c r="BR210">
        <v>45</v>
      </c>
      <c r="BS210">
        <v>44.69</v>
      </c>
      <c r="BT210">
        <v>0</v>
      </c>
      <c r="BV210">
        <v>6</v>
      </c>
      <c r="BW210" t="s">
        <v>655</v>
      </c>
      <c r="BX210">
        <v>0.27933340000000001</v>
      </c>
      <c r="BY210">
        <v>12.483409999999999</v>
      </c>
      <c r="BZ210">
        <v>0</v>
      </c>
      <c r="CA210">
        <v>1</v>
      </c>
      <c r="CB210">
        <v>0.6</v>
      </c>
      <c r="CC210" s="3">
        <v>7.1269159999999998E-2</v>
      </c>
      <c r="CD210">
        <v>2.875</v>
      </c>
      <c r="CE210">
        <v>2.5</v>
      </c>
      <c r="CF210">
        <v>18</v>
      </c>
      <c r="CG210">
        <v>6</v>
      </c>
      <c r="CH210">
        <v>0</v>
      </c>
      <c r="CI210">
        <v>44.69</v>
      </c>
      <c r="CJ210">
        <v>754.45129999999995</v>
      </c>
    </row>
    <row r="211" spans="1:88">
      <c r="A211">
        <v>209</v>
      </c>
      <c r="B211" t="s">
        <v>0</v>
      </c>
      <c r="C211" t="s">
        <v>1</v>
      </c>
      <c r="D211" t="s">
        <v>113</v>
      </c>
      <c r="E211" t="s">
        <v>470</v>
      </c>
      <c r="F211" t="s">
        <v>262</v>
      </c>
      <c r="G211" t="s">
        <v>15</v>
      </c>
      <c r="H211" t="s">
        <v>263</v>
      </c>
      <c r="J211">
        <v>2</v>
      </c>
      <c r="K211" t="s">
        <v>108</v>
      </c>
      <c r="L211" t="s">
        <v>471</v>
      </c>
      <c r="M211" t="s">
        <v>472</v>
      </c>
      <c r="N211" t="s">
        <v>473</v>
      </c>
      <c r="O211">
        <v>239</v>
      </c>
      <c r="Q211">
        <v>1084</v>
      </c>
      <c r="R211">
        <v>118</v>
      </c>
      <c r="S211">
        <v>4.25</v>
      </c>
      <c r="T211">
        <v>5.9980000000000002</v>
      </c>
      <c r="U211">
        <v>7.87</v>
      </c>
      <c r="V211">
        <v>4606.95</v>
      </c>
      <c r="W211">
        <v>931</v>
      </c>
      <c r="X211">
        <v>1.5</v>
      </c>
      <c r="Y211">
        <v>615</v>
      </c>
      <c r="Z211">
        <v>7.49</v>
      </c>
      <c r="AJ211">
        <v>2</v>
      </c>
      <c r="AK211">
        <v>18</v>
      </c>
      <c r="AM211">
        <v>0</v>
      </c>
      <c r="AO211" t="s">
        <v>266</v>
      </c>
      <c r="AT211">
        <v>88</v>
      </c>
      <c r="AV211">
        <v>62.3</v>
      </c>
      <c r="AW211" t="s">
        <v>6</v>
      </c>
      <c r="AX211" t="s">
        <v>6</v>
      </c>
      <c r="AY211" t="s">
        <v>6</v>
      </c>
      <c r="AZ211" t="s">
        <v>6</v>
      </c>
      <c r="BA211" t="s">
        <v>6</v>
      </c>
      <c r="BB211" t="s">
        <v>6</v>
      </c>
      <c r="BC211" t="s">
        <v>6</v>
      </c>
      <c r="BD211" t="s">
        <v>6</v>
      </c>
      <c r="BE211" t="s">
        <v>6</v>
      </c>
      <c r="BF211" t="s">
        <v>6</v>
      </c>
      <c r="BG211" t="s">
        <v>6</v>
      </c>
      <c r="BH211" t="s">
        <v>6</v>
      </c>
      <c r="BI211" t="s">
        <v>6</v>
      </c>
      <c r="BJ211" t="s">
        <v>6</v>
      </c>
      <c r="BN211">
        <v>530.38869999999997</v>
      </c>
      <c r="BO211">
        <v>3888</v>
      </c>
      <c r="BP211">
        <v>0</v>
      </c>
      <c r="BQ211">
        <v>82</v>
      </c>
      <c r="BR211">
        <v>82</v>
      </c>
      <c r="BS211">
        <v>82.26</v>
      </c>
      <c r="BT211">
        <v>0</v>
      </c>
      <c r="BV211">
        <v>0</v>
      </c>
      <c r="BW211" t="s">
        <v>655</v>
      </c>
      <c r="BX211">
        <v>0.17</v>
      </c>
      <c r="BY211">
        <v>13.9842</v>
      </c>
      <c r="BZ211">
        <v>0</v>
      </c>
      <c r="CA211">
        <v>1</v>
      </c>
      <c r="CB211">
        <v>0.6</v>
      </c>
      <c r="CC211" s="3">
        <v>7.1269159999999998E-2</v>
      </c>
      <c r="CD211">
        <v>2.875</v>
      </c>
      <c r="CE211">
        <v>2.5</v>
      </c>
      <c r="CF211">
        <v>18</v>
      </c>
      <c r="CG211">
        <v>6</v>
      </c>
      <c r="CH211">
        <v>0</v>
      </c>
      <c r="CI211">
        <v>82.26</v>
      </c>
      <c r="CJ211">
        <v>1007.634</v>
      </c>
    </row>
    <row r="212" spans="1:88">
      <c r="A212">
        <v>210</v>
      </c>
      <c r="B212" t="s">
        <v>0</v>
      </c>
      <c r="C212" t="s">
        <v>1</v>
      </c>
      <c r="D212" t="s">
        <v>169</v>
      </c>
      <c r="E212" t="s">
        <v>127</v>
      </c>
      <c r="F212" t="s">
        <v>404</v>
      </c>
      <c r="G212" t="s">
        <v>106</v>
      </c>
      <c r="H212" t="s">
        <v>190</v>
      </c>
      <c r="J212">
        <v>2</v>
      </c>
      <c r="K212" t="s">
        <v>146</v>
      </c>
      <c r="L212" t="s">
        <v>338</v>
      </c>
      <c r="M212" t="s">
        <v>189</v>
      </c>
      <c r="N212" t="s">
        <v>190</v>
      </c>
      <c r="O212">
        <v>115</v>
      </c>
      <c r="Q212">
        <v>358</v>
      </c>
      <c r="R212">
        <v>74</v>
      </c>
      <c r="S212">
        <v>4.25</v>
      </c>
      <c r="T212">
        <v>3.18</v>
      </c>
      <c r="U212">
        <v>6.22</v>
      </c>
      <c r="V212">
        <v>1521.75</v>
      </c>
      <c r="W212">
        <v>460</v>
      </c>
      <c r="X212">
        <v>1.3332999999999999</v>
      </c>
      <c r="Y212">
        <v>337</v>
      </c>
      <c r="Z212">
        <v>4.51</v>
      </c>
      <c r="AJ212">
        <v>2</v>
      </c>
      <c r="AK212">
        <v>18</v>
      </c>
      <c r="AM212">
        <v>0</v>
      </c>
      <c r="AO212" t="s">
        <v>406</v>
      </c>
      <c r="AT212">
        <v>45</v>
      </c>
      <c r="AV212">
        <v>40.4</v>
      </c>
      <c r="AW212">
        <v>0</v>
      </c>
      <c r="AX212">
        <v>0</v>
      </c>
      <c r="AY212">
        <v>42.125</v>
      </c>
      <c r="AZ212">
        <v>4</v>
      </c>
      <c r="BA212">
        <v>0</v>
      </c>
      <c r="BB212">
        <v>0</v>
      </c>
      <c r="BC212">
        <v>43</v>
      </c>
      <c r="BN212">
        <v>192.6</v>
      </c>
      <c r="BO212">
        <v>2797</v>
      </c>
      <c r="BP212">
        <v>0</v>
      </c>
      <c r="BQ212">
        <v>39</v>
      </c>
      <c r="BR212">
        <v>39</v>
      </c>
      <c r="BS212">
        <v>39.130000000000003</v>
      </c>
      <c r="BT212">
        <v>0</v>
      </c>
      <c r="BV212">
        <v>0</v>
      </c>
      <c r="BW212" t="s">
        <v>655</v>
      </c>
      <c r="BX212">
        <v>0.17</v>
      </c>
      <c r="BY212">
        <v>6.6520999999999999</v>
      </c>
      <c r="BZ212">
        <v>0</v>
      </c>
      <c r="CA212">
        <v>1</v>
      </c>
      <c r="CB212">
        <v>0.6</v>
      </c>
      <c r="CC212" s="3">
        <v>7.1269159999999998E-2</v>
      </c>
      <c r="CD212">
        <v>2.875</v>
      </c>
      <c r="CE212">
        <v>2.5</v>
      </c>
      <c r="CF212">
        <v>18</v>
      </c>
      <c r="CG212">
        <v>6</v>
      </c>
      <c r="CH212">
        <v>0</v>
      </c>
      <c r="CI212">
        <v>39.130000000000003</v>
      </c>
      <c r="CJ212">
        <v>310.947</v>
      </c>
    </row>
    <row r="213" spans="1:88">
      <c r="A213">
        <v>211</v>
      </c>
      <c r="B213" t="s">
        <v>13</v>
      </c>
      <c r="C213" t="s">
        <v>1</v>
      </c>
      <c r="D213" t="s">
        <v>231</v>
      </c>
      <c r="E213" t="s">
        <v>2</v>
      </c>
      <c r="F213" t="s">
        <v>218</v>
      </c>
      <c r="G213" t="s">
        <v>106</v>
      </c>
      <c r="H213" t="s">
        <v>221</v>
      </c>
      <c r="J213">
        <v>2</v>
      </c>
      <c r="K213" t="s">
        <v>146</v>
      </c>
      <c r="L213" t="s">
        <v>122</v>
      </c>
      <c r="M213" t="s">
        <v>4</v>
      </c>
      <c r="N213" t="s">
        <v>5</v>
      </c>
      <c r="O213">
        <v>107</v>
      </c>
      <c r="Q213">
        <v>294</v>
      </c>
      <c r="R213">
        <v>66</v>
      </c>
      <c r="S213">
        <v>4.25</v>
      </c>
      <c r="T213">
        <v>2.9710000000000001</v>
      </c>
      <c r="U213">
        <v>6.07</v>
      </c>
      <c r="V213">
        <v>1249.8399999999999</v>
      </c>
      <c r="W213">
        <v>400</v>
      </c>
      <c r="X213">
        <v>1.3332999999999999</v>
      </c>
      <c r="Y213">
        <v>291</v>
      </c>
      <c r="Z213">
        <v>4.3</v>
      </c>
      <c r="AJ213">
        <v>2</v>
      </c>
      <c r="AK213">
        <v>18</v>
      </c>
      <c r="AM213">
        <v>0</v>
      </c>
      <c r="AO213" t="s">
        <v>379</v>
      </c>
      <c r="AT213">
        <v>42</v>
      </c>
      <c r="AV213">
        <v>35.299999999999997</v>
      </c>
      <c r="AW213">
        <v>0</v>
      </c>
      <c r="AX213">
        <v>0</v>
      </c>
      <c r="AY213">
        <v>33.5</v>
      </c>
      <c r="AZ213">
        <v>3.5</v>
      </c>
      <c r="BA213">
        <v>0</v>
      </c>
      <c r="BB213">
        <v>0</v>
      </c>
      <c r="BC213">
        <v>32</v>
      </c>
      <c r="BN213">
        <v>167.63339999999999</v>
      </c>
      <c r="BO213">
        <v>3693</v>
      </c>
      <c r="BP213">
        <v>0</v>
      </c>
      <c r="BQ213">
        <v>36</v>
      </c>
      <c r="BR213">
        <v>36</v>
      </c>
      <c r="BS213">
        <v>36.340000000000003</v>
      </c>
      <c r="BT213">
        <v>0</v>
      </c>
      <c r="BV213">
        <v>0</v>
      </c>
      <c r="BW213" t="s">
        <v>655</v>
      </c>
      <c r="BX213">
        <v>0.17</v>
      </c>
      <c r="BY213">
        <v>6.1778000000000004</v>
      </c>
      <c r="BZ213">
        <v>0</v>
      </c>
      <c r="CA213">
        <v>1</v>
      </c>
      <c r="CB213">
        <v>0.6</v>
      </c>
      <c r="CC213" s="3">
        <v>7.1269159999999998E-2</v>
      </c>
      <c r="CD213">
        <v>2.875</v>
      </c>
      <c r="CE213">
        <v>2.5</v>
      </c>
      <c r="CF213">
        <v>18</v>
      </c>
      <c r="CG213">
        <v>6</v>
      </c>
      <c r="CH213">
        <v>0</v>
      </c>
      <c r="CI213">
        <v>36.340000000000003</v>
      </c>
      <c r="CJ213">
        <v>252.51730000000001</v>
      </c>
    </row>
    <row r="214" spans="1:88">
      <c r="A214">
        <v>212</v>
      </c>
      <c r="B214" t="s">
        <v>0</v>
      </c>
      <c r="C214" t="s">
        <v>1</v>
      </c>
      <c r="D214" t="s">
        <v>297</v>
      </c>
      <c r="E214" t="s">
        <v>393</v>
      </c>
      <c r="F214" t="s">
        <v>292</v>
      </c>
      <c r="G214" t="s">
        <v>106</v>
      </c>
      <c r="H214" t="s">
        <v>474</v>
      </c>
      <c r="J214">
        <v>2</v>
      </c>
      <c r="K214" t="s">
        <v>108</v>
      </c>
      <c r="L214" t="s">
        <v>168</v>
      </c>
      <c r="M214" t="s">
        <v>475</v>
      </c>
      <c r="N214" t="s">
        <v>466</v>
      </c>
      <c r="O214">
        <v>169</v>
      </c>
      <c r="Q214">
        <v>764</v>
      </c>
      <c r="R214">
        <v>106</v>
      </c>
      <c r="S214">
        <v>4.25</v>
      </c>
      <c r="T214">
        <v>4.492</v>
      </c>
      <c r="U214">
        <v>6.9</v>
      </c>
      <c r="V214">
        <v>3245.38</v>
      </c>
      <c r="W214">
        <v>733</v>
      </c>
      <c r="X214">
        <v>1.3332999999999999</v>
      </c>
      <c r="Y214">
        <v>558</v>
      </c>
      <c r="Z214">
        <v>5.82</v>
      </c>
      <c r="AJ214">
        <v>2</v>
      </c>
      <c r="AK214">
        <v>18</v>
      </c>
      <c r="AM214">
        <v>0</v>
      </c>
      <c r="AO214" t="s">
        <v>390</v>
      </c>
      <c r="AT214">
        <v>64</v>
      </c>
      <c r="AV214">
        <v>60.9</v>
      </c>
      <c r="AW214">
        <v>0.4375</v>
      </c>
      <c r="AX214">
        <v>3.75</v>
      </c>
      <c r="AY214">
        <v>51</v>
      </c>
      <c r="AZ214">
        <v>5.125</v>
      </c>
      <c r="BA214">
        <v>278.81</v>
      </c>
      <c r="BB214">
        <v>5.9</v>
      </c>
      <c r="BC214">
        <v>52</v>
      </c>
      <c r="BD214">
        <v>0.4375</v>
      </c>
      <c r="BE214">
        <v>3.75</v>
      </c>
      <c r="BF214">
        <v>51</v>
      </c>
      <c r="BG214">
        <v>5.125</v>
      </c>
      <c r="BH214">
        <v>278.81</v>
      </c>
      <c r="BI214">
        <v>5.9</v>
      </c>
      <c r="BJ214">
        <v>52</v>
      </c>
      <c r="BL214">
        <v>557.62</v>
      </c>
      <c r="BM214">
        <v>103</v>
      </c>
      <c r="BN214">
        <v>292.4667</v>
      </c>
      <c r="BO214">
        <v>1213</v>
      </c>
      <c r="BP214">
        <v>0</v>
      </c>
      <c r="BQ214">
        <v>58</v>
      </c>
      <c r="BR214">
        <v>58</v>
      </c>
      <c r="BS214">
        <v>57.91</v>
      </c>
      <c r="BT214">
        <v>0</v>
      </c>
      <c r="BV214">
        <v>0</v>
      </c>
      <c r="BW214" t="s">
        <v>655</v>
      </c>
      <c r="BX214">
        <v>0.17</v>
      </c>
      <c r="BY214">
        <v>9.8446999999999996</v>
      </c>
      <c r="BZ214">
        <v>0</v>
      </c>
      <c r="CA214">
        <v>1</v>
      </c>
      <c r="CB214">
        <v>0.6</v>
      </c>
      <c r="CC214" s="3">
        <v>7.1269159999999998E-2</v>
      </c>
      <c r="CD214">
        <v>2.875</v>
      </c>
      <c r="CE214">
        <v>2.5</v>
      </c>
      <c r="CF214">
        <v>18</v>
      </c>
      <c r="CG214">
        <v>6</v>
      </c>
      <c r="CH214">
        <v>0</v>
      </c>
      <c r="CI214">
        <v>57.91</v>
      </c>
      <c r="CJ214">
        <v>692.85310000000004</v>
      </c>
    </row>
    <row r="215" spans="1:88">
      <c r="A215">
        <v>213</v>
      </c>
      <c r="B215" t="s">
        <v>0</v>
      </c>
      <c r="C215" t="s">
        <v>1</v>
      </c>
      <c r="D215" t="s">
        <v>143</v>
      </c>
      <c r="E215" t="s">
        <v>143</v>
      </c>
      <c r="F215" t="s">
        <v>144</v>
      </c>
      <c r="G215" t="s">
        <v>106</v>
      </c>
      <c r="H215" t="s">
        <v>145</v>
      </c>
      <c r="J215">
        <v>2</v>
      </c>
      <c r="K215" t="s">
        <v>146</v>
      </c>
      <c r="L215" t="s">
        <v>297</v>
      </c>
      <c r="M215" t="s">
        <v>206</v>
      </c>
      <c r="N215" t="s">
        <v>131</v>
      </c>
      <c r="O215">
        <v>155</v>
      </c>
      <c r="Q215">
        <v>620</v>
      </c>
      <c r="R215">
        <v>95</v>
      </c>
      <c r="S215">
        <v>4.25</v>
      </c>
      <c r="T215">
        <v>4.1660000000000004</v>
      </c>
      <c r="U215">
        <v>6.78</v>
      </c>
      <c r="V215">
        <v>2635.51</v>
      </c>
      <c r="W215">
        <v>641</v>
      </c>
      <c r="X215">
        <v>1.3332999999999999</v>
      </c>
      <c r="Y215">
        <v>480</v>
      </c>
      <c r="Z215">
        <v>5.49</v>
      </c>
      <c r="AJ215">
        <v>2</v>
      </c>
      <c r="AK215">
        <v>18</v>
      </c>
      <c r="AM215">
        <v>0</v>
      </c>
      <c r="AO215" t="s">
        <v>149</v>
      </c>
      <c r="AT215">
        <v>59</v>
      </c>
      <c r="AV215">
        <v>53.5</v>
      </c>
      <c r="AW215">
        <v>0.40625</v>
      </c>
      <c r="AX215">
        <v>3.75</v>
      </c>
      <c r="AY215">
        <v>40.5</v>
      </c>
      <c r="AZ215">
        <v>4.5</v>
      </c>
      <c r="BA215">
        <v>240.02</v>
      </c>
      <c r="BB215">
        <v>5.51</v>
      </c>
      <c r="BC215">
        <v>38</v>
      </c>
      <c r="BD215">
        <v>0.40625</v>
      </c>
      <c r="BE215">
        <v>3.75</v>
      </c>
      <c r="BF215">
        <v>40.5</v>
      </c>
      <c r="BG215">
        <v>4.5</v>
      </c>
      <c r="BH215">
        <v>240.02</v>
      </c>
      <c r="BI215">
        <v>5.51</v>
      </c>
      <c r="BJ215">
        <v>38</v>
      </c>
      <c r="BL215">
        <v>480.04</v>
      </c>
      <c r="BM215">
        <v>76</v>
      </c>
      <c r="BN215">
        <v>256.80009999999999</v>
      </c>
      <c r="BO215">
        <v>1574</v>
      </c>
      <c r="BP215">
        <v>0</v>
      </c>
      <c r="BQ215">
        <v>53</v>
      </c>
      <c r="BR215">
        <v>53</v>
      </c>
      <c r="BS215">
        <v>53.04</v>
      </c>
      <c r="BT215">
        <v>0</v>
      </c>
      <c r="BV215">
        <v>0</v>
      </c>
      <c r="BW215" t="s">
        <v>655</v>
      </c>
      <c r="BX215">
        <v>0.17</v>
      </c>
      <c r="BY215">
        <v>9.0167999999999999</v>
      </c>
      <c r="BZ215">
        <v>0</v>
      </c>
      <c r="CA215">
        <v>1</v>
      </c>
      <c r="CB215">
        <v>0.6</v>
      </c>
      <c r="CC215" s="3">
        <v>7.1269159999999998E-2</v>
      </c>
      <c r="CD215">
        <v>2.875</v>
      </c>
      <c r="CE215">
        <v>2.5</v>
      </c>
      <c r="CF215">
        <v>18</v>
      </c>
      <c r="CG215">
        <v>6</v>
      </c>
      <c r="CH215">
        <v>0</v>
      </c>
      <c r="CI215">
        <v>53.04</v>
      </c>
      <c r="CJ215">
        <v>557.56709999999998</v>
      </c>
    </row>
    <row r="216" spans="1:88">
      <c r="A216">
        <v>214</v>
      </c>
      <c r="B216" t="s">
        <v>13</v>
      </c>
      <c r="C216" t="s">
        <v>1</v>
      </c>
      <c r="D216" t="s">
        <v>476</v>
      </c>
      <c r="E216" t="s">
        <v>103</v>
      </c>
      <c r="F216" t="s">
        <v>477</v>
      </c>
      <c r="G216" t="s">
        <v>106</v>
      </c>
      <c r="H216" t="s">
        <v>478</v>
      </c>
      <c r="J216">
        <v>2</v>
      </c>
      <c r="K216" t="s">
        <v>108</v>
      </c>
      <c r="L216" t="s">
        <v>455</v>
      </c>
      <c r="M216" t="s">
        <v>315</v>
      </c>
      <c r="N216" t="s">
        <v>316</v>
      </c>
      <c r="O216">
        <v>167</v>
      </c>
      <c r="Q216">
        <v>715</v>
      </c>
      <c r="R216">
        <v>101</v>
      </c>
      <c r="S216">
        <v>4.25</v>
      </c>
      <c r="T216">
        <v>4.4459999999999997</v>
      </c>
      <c r="U216">
        <v>6.86</v>
      </c>
      <c r="V216">
        <v>3039.47</v>
      </c>
      <c r="W216">
        <v>694</v>
      </c>
      <c r="X216">
        <v>1.3332999999999999</v>
      </c>
      <c r="Y216">
        <v>527</v>
      </c>
      <c r="Z216">
        <v>5.77</v>
      </c>
      <c r="AJ216">
        <v>2</v>
      </c>
      <c r="AK216">
        <v>18</v>
      </c>
      <c r="AM216">
        <v>0</v>
      </c>
      <c r="AO216" t="s">
        <v>479</v>
      </c>
      <c r="AT216">
        <v>63</v>
      </c>
      <c r="AV216">
        <v>57.6</v>
      </c>
      <c r="AW216" t="s">
        <v>6</v>
      </c>
      <c r="AX216" t="s">
        <v>6</v>
      </c>
      <c r="AY216" t="s">
        <v>6</v>
      </c>
      <c r="AZ216" t="s">
        <v>6</v>
      </c>
      <c r="BA216" t="s">
        <v>6</v>
      </c>
      <c r="BB216" t="s">
        <v>6</v>
      </c>
      <c r="BC216" t="s">
        <v>6</v>
      </c>
      <c r="BD216" t="s">
        <v>6</v>
      </c>
      <c r="BE216" t="s">
        <v>6</v>
      </c>
      <c r="BF216" t="s">
        <v>6</v>
      </c>
      <c r="BG216" t="s">
        <v>6</v>
      </c>
      <c r="BH216" t="s">
        <v>6</v>
      </c>
      <c r="BI216" t="s">
        <v>6</v>
      </c>
      <c r="BJ216" t="s">
        <v>6</v>
      </c>
      <c r="BN216">
        <v>276.41669999999999</v>
      </c>
      <c r="BO216">
        <v>1358</v>
      </c>
      <c r="BP216">
        <v>0</v>
      </c>
      <c r="BQ216">
        <v>57</v>
      </c>
      <c r="BR216">
        <v>57</v>
      </c>
      <c r="BS216">
        <v>57.21</v>
      </c>
      <c r="BT216">
        <v>0</v>
      </c>
      <c r="BV216">
        <v>0</v>
      </c>
      <c r="BW216" t="s">
        <v>655</v>
      </c>
      <c r="BX216">
        <v>0.17</v>
      </c>
      <c r="BY216">
        <v>9.7257010000000008</v>
      </c>
      <c r="BZ216">
        <v>0</v>
      </c>
      <c r="CA216">
        <v>1</v>
      </c>
      <c r="CB216">
        <v>0.6</v>
      </c>
      <c r="CC216" s="3">
        <v>7.1269159999999998E-2</v>
      </c>
      <c r="CD216">
        <v>2.875</v>
      </c>
      <c r="CE216">
        <v>2.5</v>
      </c>
      <c r="CF216">
        <v>18</v>
      </c>
      <c r="CG216">
        <v>6</v>
      </c>
      <c r="CH216">
        <v>0</v>
      </c>
      <c r="CI216">
        <v>57.21</v>
      </c>
      <c r="CJ216">
        <v>647.78240000000005</v>
      </c>
    </row>
    <row r="217" spans="1:88">
      <c r="A217">
        <v>215</v>
      </c>
      <c r="B217" t="s">
        <v>0</v>
      </c>
      <c r="C217" t="s">
        <v>1</v>
      </c>
      <c r="D217" t="s">
        <v>369</v>
      </c>
      <c r="E217" t="s">
        <v>369</v>
      </c>
      <c r="F217" t="s">
        <v>312</v>
      </c>
      <c r="G217" t="s">
        <v>106</v>
      </c>
      <c r="H217" t="s">
        <v>229</v>
      </c>
      <c r="J217">
        <v>2</v>
      </c>
      <c r="K217" t="s">
        <v>146</v>
      </c>
      <c r="L217" t="s">
        <v>259</v>
      </c>
      <c r="M217" t="s">
        <v>480</v>
      </c>
      <c r="N217" t="s">
        <v>307</v>
      </c>
      <c r="O217">
        <v>121</v>
      </c>
      <c r="Q217">
        <v>382</v>
      </c>
      <c r="R217">
        <v>75</v>
      </c>
      <c r="S217">
        <v>4.25</v>
      </c>
      <c r="T217">
        <v>3.3340000000000001</v>
      </c>
      <c r="U217">
        <v>6.22</v>
      </c>
      <c r="V217">
        <v>1621.54</v>
      </c>
      <c r="W217">
        <v>467</v>
      </c>
      <c r="X217">
        <v>1.3332999999999999</v>
      </c>
      <c r="Y217">
        <v>348</v>
      </c>
      <c r="Z217">
        <v>4.66</v>
      </c>
      <c r="AJ217">
        <v>2</v>
      </c>
      <c r="AK217">
        <v>18</v>
      </c>
      <c r="AM217">
        <v>0</v>
      </c>
      <c r="AO217" t="s">
        <v>404</v>
      </c>
      <c r="AT217">
        <v>47</v>
      </c>
      <c r="AV217">
        <v>41.1</v>
      </c>
      <c r="AW217">
        <v>0</v>
      </c>
      <c r="AX217">
        <v>0</v>
      </c>
      <c r="AY217">
        <v>40.875</v>
      </c>
      <c r="AZ217">
        <v>4.125</v>
      </c>
      <c r="BA217">
        <v>0</v>
      </c>
      <c r="BB217">
        <v>0</v>
      </c>
      <c r="BC217">
        <v>41</v>
      </c>
      <c r="BN217">
        <v>196.16669999999999</v>
      </c>
      <c r="BO217">
        <v>2697</v>
      </c>
      <c r="BP217">
        <v>0</v>
      </c>
      <c r="BQ217">
        <v>41</v>
      </c>
      <c r="BR217">
        <v>41</v>
      </c>
      <c r="BS217">
        <v>41.21</v>
      </c>
      <c r="BT217">
        <v>0</v>
      </c>
      <c r="BV217">
        <v>0</v>
      </c>
      <c r="BW217" t="s">
        <v>655</v>
      </c>
      <c r="BX217">
        <v>0.17</v>
      </c>
      <c r="BY217">
        <v>7.0057</v>
      </c>
      <c r="BZ217">
        <v>0</v>
      </c>
      <c r="CA217">
        <v>1</v>
      </c>
      <c r="CB217">
        <v>0.6</v>
      </c>
      <c r="CC217" s="3">
        <v>7.1269159999999998E-2</v>
      </c>
      <c r="CD217">
        <v>2.875</v>
      </c>
      <c r="CE217">
        <v>2.5</v>
      </c>
      <c r="CF217">
        <v>18</v>
      </c>
      <c r="CG217">
        <v>6</v>
      </c>
      <c r="CH217">
        <v>0</v>
      </c>
      <c r="CI217">
        <v>41.21</v>
      </c>
      <c r="CJ217">
        <v>333.34969999999998</v>
      </c>
    </row>
    <row r="218" spans="1:88">
      <c r="A218">
        <v>216</v>
      </c>
      <c r="B218" t="s">
        <v>0</v>
      </c>
      <c r="C218" t="s">
        <v>1</v>
      </c>
      <c r="D218" t="s">
        <v>257</v>
      </c>
      <c r="E218" t="s">
        <v>448</v>
      </c>
      <c r="F218" t="s">
        <v>194</v>
      </c>
      <c r="G218" t="s">
        <v>106</v>
      </c>
      <c r="H218" t="s">
        <v>259</v>
      </c>
      <c r="J218">
        <v>2</v>
      </c>
      <c r="K218" t="s">
        <v>146</v>
      </c>
      <c r="L218" t="s">
        <v>231</v>
      </c>
      <c r="M218" t="s">
        <v>481</v>
      </c>
      <c r="N218" t="s">
        <v>241</v>
      </c>
      <c r="O218">
        <v>85</v>
      </c>
      <c r="Q218">
        <v>329</v>
      </c>
      <c r="R218">
        <v>87</v>
      </c>
      <c r="S218">
        <v>4.25</v>
      </c>
      <c r="T218">
        <v>2.3730000000000002</v>
      </c>
      <c r="U218">
        <v>5.62</v>
      </c>
      <c r="V218">
        <v>1397.01</v>
      </c>
      <c r="W218">
        <v>490</v>
      </c>
      <c r="X218">
        <v>1.3332999999999999</v>
      </c>
      <c r="Y218">
        <v>378</v>
      </c>
      <c r="Z218">
        <v>3.7</v>
      </c>
      <c r="AJ218">
        <v>2</v>
      </c>
      <c r="AK218">
        <v>18</v>
      </c>
      <c r="AM218">
        <v>0</v>
      </c>
      <c r="AO218" t="s">
        <v>261</v>
      </c>
      <c r="AT218">
        <v>35</v>
      </c>
      <c r="AV218">
        <v>48.8</v>
      </c>
      <c r="AW218">
        <v>0</v>
      </c>
      <c r="AX218">
        <v>0</v>
      </c>
      <c r="AY218">
        <v>37.625</v>
      </c>
      <c r="AZ218">
        <v>3.25</v>
      </c>
      <c r="BA218">
        <v>0</v>
      </c>
      <c r="BB218">
        <v>0</v>
      </c>
      <c r="BC218">
        <v>38</v>
      </c>
      <c r="BN218">
        <v>233.61670000000001</v>
      </c>
      <c r="BO218">
        <v>1901</v>
      </c>
      <c r="BP218">
        <v>0</v>
      </c>
      <c r="BQ218">
        <v>29</v>
      </c>
      <c r="BR218">
        <v>29</v>
      </c>
      <c r="BS218">
        <v>28.69</v>
      </c>
      <c r="BT218">
        <v>0</v>
      </c>
      <c r="BV218">
        <v>0</v>
      </c>
      <c r="BW218" t="s">
        <v>655</v>
      </c>
      <c r="BX218">
        <v>0.17</v>
      </c>
      <c r="BY218">
        <v>4.8773010000000001</v>
      </c>
      <c r="BZ218">
        <v>0</v>
      </c>
      <c r="CA218">
        <v>1</v>
      </c>
      <c r="CB218">
        <v>0.6</v>
      </c>
      <c r="CC218" s="3">
        <v>7.1269159999999998E-2</v>
      </c>
      <c r="CD218">
        <v>2.875</v>
      </c>
      <c r="CE218">
        <v>2.5</v>
      </c>
      <c r="CF218">
        <v>18</v>
      </c>
      <c r="CG218">
        <v>6</v>
      </c>
      <c r="CH218">
        <v>0</v>
      </c>
      <c r="CI218">
        <v>28.69</v>
      </c>
      <c r="CJ218">
        <v>275.0138</v>
      </c>
    </row>
    <row r="219" spans="1:88">
      <c r="A219">
        <v>217</v>
      </c>
      <c r="B219" t="s">
        <v>13</v>
      </c>
      <c r="C219" t="s">
        <v>1</v>
      </c>
      <c r="D219" t="s">
        <v>207</v>
      </c>
      <c r="E219" t="s">
        <v>399</v>
      </c>
      <c r="F219" t="s">
        <v>149</v>
      </c>
      <c r="G219" t="s">
        <v>106</v>
      </c>
      <c r="H219" t="s">
        <v>185</v>
      </c>
      <c r="J219">
        <v>2</v>
      </c>
      <c r="K219" t="s">
        <v>146</v>
      </c>
      <c r="L219" t="s">
        <v>172</v>
      </c>
      <c r="M219" t="s">
        <v>463</v>
      </c>
      <c r="N219" t="s">
        <v>229</v>
      </c>
      <c r="O219">
        <v>117</v>
      </c>
      <c r="Q219">
        <v>472</v>
      </c>
      <c r="R219">
        <v>93</v>
      </c>
      <c r="S219">
        <v>4.25</v>
      </c>
      <c r="T219">
        <v>3.2320000000000002</v>
      </c>
      <c r="U219">
        <v>6.26</v>
      </c>
      <c r="V219">
        <v>2008.08</v>
      </c>
      <c r="W219">
        <v>585</v>
      </c>
      <c r="X219">
        <v>1.3332999999999999</v>
      </c>
      <c r="Y219">
        <v>440</v>
      </c>
      <c r="Z219">
        <v>4.5599999999999996</v>
      </c>
      <c r="AJ219">
        <v>2</v>
      </c>
      <c r="AK219">
        <v>18</v>
      </c>
      <c r="AM219">
        <v>0</v>
      </c>
      <c r="AO219" t="s">
        <v>294</v>
      </c>
      <c r="AT219">
        <v>46</v>
      </c>
      <c r="AV219">
        <v>52.8</v>
      </c>
      <c r="AW219">
        <v>0.46875</v>
      </c>
      <c r="AX219">
        <v>3.75</v>
      </c>
      <c r="AY219">
        <v>46.875</v>
      </c>
      <c r="AZ219">
        <v>4.25</v>
      </c>
      <c r="BA219">
        <v>432.19</v>
      </c>
      <c r="BB219">
        <v>4.5599999999999996</v>
      </c>
      <c r="BC219">
        <v>50</v>
      </c>
      <c r="BD219">
        <v>0.1875</v>
      </c>
      <c r="BE219">
        <v>2.75</v>
      </c>
      <c r="BF219">
        <v>32.5</v>
      </c>
      <c r="BG219">
        <v>1.75</v>
      </c>
      <c r="BH219">
        <v>8.16</v>
      </c>
      <c r="BI219">
        <v>18.59</v>
      </c>
      <c r="BJ219">
        <v>11</v>
      </c>
      <c r="BL219">
        <v>440.35</v>
      </c>
      <c r="BM219">
        <v>61</v>
      </c>
      <c r="BN219">
        <v>253.23339999999999</v>
      </c>
      <c r="BO219">
        <v>1618</v>
      </c>
      <c r="BP219">
        <v>0</v>
      </c>
      <c r="BQ219">
        <v>40</v>
      </c>
      <c r="BR219">
        <v>40</v>
      </c>
      <c r="BS219">
        <v>39.82</v>
      </c>
      <c r="BT219">
        <v>0</v>
      </c>
      <c r="BV219">
        <v>0</v>
      </c>
      <c r="BW219" t="s">
        <v>655</v>
      </c>
      <c r="BX219">
        <v>0.17</v>
      </c>
      <c r="BY219">
        <v>6.7694000000000001</v>
      </c>
      <c r="BZ219">
        <v>0</v>
      </c>
      <c r="CA219">
        <v>1</v>
      </c>
      <c r="CB219">
        <v>0.6</v>
      </c>
      <c r="CC219" s="3">
        <v>7.1269159999999998E-2</v>
      </c>
      <c r="CD219">
        <v>2.875</v>
      </c>
      <c r="CE219">
        <v>2.5</v>
      </c>
      <c r="CF219">
        <v>18</v>
      </c>
      <c r="CG219">
        <v>6</v>
      </c>
      <c r="CH219">
        <v>0</v>
      </c>
      <c r="CI219">
        <v>39.82</v>
      </c>
      <c r="CJ219">
        <v>412.92</v>
      </c>
    </row>
    <row r="220" spans="1:88">
      <c r="A220">
        <v>218</v>
      </c>
      <c r="B220" t="s">
        <v>0</v>
      </c>
      <c r="C220" t="s">
        <v>1</v>
      </c>
      <c r="D220" t="s">
        <v>683</v>
      </c>
      <c r="E220" t="s">
        <v>143</v>
      </c>
      <c r="F220" t="s">
        <v>684</v>
      </c>
      <c r="G220" t="s">
        <v>20</v>
      </c>
      <c r="H220" t="s">
        <v>683</v>
      </c>
      <c r="J220">
        <v>2</v>
      </c>
      <c r="K220" t="s">
        <v>9</v>
      </c>
      <c r="L220" t="s">
        <v>297</v>
      </c>
      <c r="M220" t="s">
        <v>206</v>
      </c>
      <c r="N220" t="s">
        <v>131</v>
      </c>
      <c r="O220">
        <v>155</v>
      </c>
      <c r="Q220">
        <v>1145</v>
      </c>
      <c r="R220">
        <v>172</v>
      </c>
      <c r="S220">
        <v>4.25</v>
      </c>
      <c r="T220">
        <v>4.1660000000000004</v>
      </c>
      <c r="U220">
        <v>6.78</v>
      </c>
      <c r="V220">
        <v>4867.7700000000004</v>
      </c>
      <c r="W220">
        <v>1167</v>
      </c>
      <c r="X220">
        <v>1.3332999999999999</v>
      </c>
      <c r="Y220">
        <v>887</v>
      </c>
      <c r="Z220">
        <v>5.49</v>
      </c>
      <c r="AJ220">
        <v>2</v>
      </c>
      <c r="AK220">
        <v>18</v>
      </c>
      <c r="AM220">
        <v>0</v>
      </c>
      <c r="AO220" t="s">
        <v>685</v>
      </c>
      <c r="AT220">
        <v>59</v>
      </c>
      <c r="AV220">
        <v>99</v>
      </c>
      <c r="AW220" t="s">
        <v>6</v>
      </c>
      <c r="AX220" t="s">
        <v>6</v>
      </c>
      <c r="AY220" t="s">
        <v>6</v>
      </c>
      <c r="AZ220" t="s">
        <v>6</v>
      </c>
      <c r="BA220" t="s">
        <v>6</v>
      </c>
      <c r="BB220" t="s">
        <v>6</v>
      </c>
      <c r="BC220" t="s">
        <v>6</v>
      </c>
      <c r="BD220" t="s">
        <v>6</v>
      </c>
      <c r="BE220" t="s">
        <v>6</v>
      </c>
      <c r="BF220" t="s">
        <v>6</v>
      </c>
      <c r="BG220" t="s">
        <v>6</v>
      </c>
      <c r="BH220" t="s">
        <v>6</v>
      </c>
      <c r="BI220" t="s">
        <v>6</v>
      </c>
      <c r="BJ220" t="s">
        <v>6</v>
      </c>
      <c r="BN220">
        <v>744.17729999999995</v>
      </c>
      <c r="BO220">
        <v>2162</v>
      </c>
      <c r="BP220">
        <v>0</v>
      </c>
      <c r="BQ220">
        <v>53</v>
      </c>
      <c r="BR220">
        <v>53</v>
      </c>
      <c r="BS220">
        <v>53.04</v>
      </c>
      <c r="BT220">
        <v>0</v>
      </c>
      <c r="BV220">
        <v>6</v>
      </c>
      <c r="BW220" t="s">
        <v>655</v>
      </c>
      <c r="BX220">
        <v>0.27933340000000001</v>
      </c>
      <c r="BY220">
        <v>14.81584</v>
      </c>
      <c r="BZ220">
        <v>0</v>
      </c>
      <c r="CA220">
        <v>1</v>
      </c>
      <c r="CB220">
        <v>0.6</v>
      </c>
      <c r="CC220" s="3">
        <v>7.1269159999999998E-2</v>
      </c>
      <c r="CD220">
        <v>2.875</v>
      </c>
      <c r="CE220">
        <v>2.5</v>
      </c>
      <c r="CF220">
        <v>18</v>
      </c>
      <c r="CG220">
        <v>6</v>
      </c>
      <c r="CH220">
        <v>0</v>
      </c>
      <c r="CI220">
        <v>53.04</v>
      </c>
      <c r="CJ220">
        <v>1031.499</v>
      </c>
    </row>
    <row r="221" spans="1:88">
      <c r="A221">
        <v>219</v>
      </c>
      <c r="B221" t="s">
        <v>0</v>
      </c>
      <c r="C221" t="s">
        <v>1</v>
      </c>
      <c r="D221" t="s">
        <v>672</v>
      </c>
      <c r="E221" t="s">
        <v>7</v>
      </c>
      <c r="F221" t="s">
        <v>673</v>
      </c>
      <c r="G221" t="s">
        <v>20</v>
      </c>
      <c r="H221" t="s">
        <v>672</v>
      </c>
      <c r="J221">
        <v>2</v>
      </c>
      <c r="K221" t="s">
        <v>9</v>
      </c>
      <c r="L221" t="s">
        <v>441</v>
      </c>
      <c r="M221" t="s">
        <v>482</v>
      </c>
      <c r="N221" t="s">
        <v>483</v>
      </c>
      <c r="O221">
        <v>275</v>
      </c>
      <c r="Q221">
        <v>1691</v>
      </c>
      <c r="R221">
        <v>161</v>
      </c>
      <c r="S221">
        <v>4.25</v>
      </c>
      <c r="T221">
        <v>6.7089999999999996</v>
      </c>
      <c r="U221">
        <v>8.25</v>
      </c>
      <c r="V221">
        <v>7187.43</v>
      </c>
      <c r="W221">
        <v>1328</v>
      </c>
      <c r="X221">
        <v>1.5</v>
      </c>
      <c r="Y221">
        <v>877</v>
      </c>
      <c r="Z221">
        <v>8.1999999999999993</v>
      </c>
      <c r="AJ221">
        <v>2</v>
      </c>
      <c r="AK221">
        <v>18</v>
      </c>
      <c r="AM221">
        <v>0</v>
      </c>
      <c r="AO221" t="s">
        <v>674</v>
      </c>
      <c r="AT221">
        <v>101</v>
      </c>
      <c r="AV221">
        <v>84.8</v>
      </c>
      <c r="AW221" t="s">
        <v>6</v>
      </c>
      <c r="AX221" t="s">
        <v>6</v>
      </c>
      <c r="AY221" t="s">
        <v>6</v>
      </c>
      <c r="AZ221" t="s">
        <v>6</v>
      </c>
      <c r="BA221" t="s">
        <v>6</v>
      </c>
      <c r="BB221" t="s">
        <v>6</v>
      </c>
      <c r="BC221" t="s">
        <v>6</v>
      </c>
      <c r="BD221" t="s">
        <v>6</v>
      </c>
      <c r="BE221" t="s">
        <v>6</v>
      </c>
      <c r="BF221" t="s">
        <v>6</v>
      </c>
      <c r="BG221" t="s">
        <v>6</v>
      </c>
      <c r="BH221" t="s">
        <v>6</v>
      </c>
      <c r="BI221" t="s">
        <v>6</v>
      </c>
      <c r="BJ221" t="s">
        <v>6</v>
      </c>
      <c r="BN221">
        <v>636.28530000000001</v>
      </c>
      <c r="BO221">
        <v>2958</v>
      </c>
      <c r="BP221">
        <v>0</v>
      </c>
      <c r="BQ221">
        <v>95</v>
      </c>
      <c r="BR221">
        <v>95</v>
      </c>
      <c r="BS221">
        <v>94.78</v>
      </c>
      <c r="BT221">
        <v>0</v>
      </c>
      <c r="BV221">
        <v>6</v>
      </c>
      <c r="BW221" t="s">
        <v>655</v>
      </c>
      <c r="BX221">
        <v>0.27933340000000001</v>
      </c>
      <c r="BY221">
        <v>26.47522</v>
      </c>
      <c r="BZ221">
        <v>0</v>
      </c>
      <c r="CA221">
        <v>1</v>
      </c>
      <c r="CB221">
        <v>0.6</v>
      </c>
      <c r="CC221" s="3">
        <v>7.1269159999999998E-2</v>
      </c>
      <c r="CD221">
        <v>2.875</v>
      </c>
      <c r="CE221">
        <v>2.5</v>
      </c>
      <c r="CF221">
        <v>18</v>
      </c>
      <c r="CG221">
        <v>6</v>
      </c>
      <c r="CH221">
        <v>0</v>
      </c>
      <c r="CI221">
        <v>94.78</v>
      </c>
      <c r="CJ221">
        <v>1579.8</v>
      </c>
    </row>
    <row r="222" spans="1:88">
      <c r="A222">
        <v>220</v>
      </c>
      <c r="B222" t="s">
        <v>0</v>
      </c>
      <c r="C222" t="s">
        <v>1</v>
      </c>
      <c r="D222" t="s">
        <v>342</v>
      </c>
      <c r="E222" t="s">
        <v>2</v>
      </c>
      <c r="F222" t="s">
        <v>484</v>
      </c>
      <c r="G222" t="s">
        <v>106</v>
      </c>
      <c r="H222" t="s">
        <v>241</v>
      </c>
      <c r="J222">
        <v>2</v>
      </c>
      <c r="K222" t="s">
        <v>146</v>
      </c>
      <c r="L222" t="s">
        <v>122</v>
      </c>
      <c r="M222" t="s">
        <v>4</v>
      </c>
      <c r="N222" t="s">
        <v>5</v>
      </c>
      <c r="O222">
        <v>107</v>
      </c>
      <c r="Q222">
        <v>247</v>
      </c>
      <c r="R222">
        <v>52</v>
      </c>
      <c r="S222">
        <v>4.25</v>
      </c>
      <c r="T222">
        <v>2.9710000000000001</v>
      </c>
      <c r="U222">
        <v>6.07</v>
      </c>
      <c r="V222">
        <v>1049.02</v>
      </c>
      <c r="W222">
        <v>314</v>
      </c>
      <c r="X222">
        <v>1.3332999999999999</v>
      </c>
      <c r="Y222">
        <v>244</v>
      </c>
      <c r="Z222">
        <v>4.3</v>
      </c>
      <c r="AJ222">
        <v>2</v>
      </c>
      <c r="AK222">
        <v>18</v>
      </c>
      <c r="AM222">
        <v>0</v>
      </c>
      <c r="AO222" t="s">
        <v>243</v>
      </c>
      <c r="AT222">
        <v>42</v>
      </c>
      <c r="AV222">
        <v>29.5</v>
      </c>
      <c r="AW222">
        <v>0</v>
      </c>
      <c r="AX222">
        <v>0</v>
      </c>
      <c r="AY222">
        <v>26.5</v>
      </c>
      <c r="AZ222">
        <v>3.25</v>
      </c>
      <c r="BA222">
        <v>0</v>
      </c>
      <c r="BB222">
        <v>0</v>
      </c>
      <c r="BC222">
        <v>23</v>
      </c>
      <c r="BN222">
        <v>139.1</v>
      </c>
      <c r="BO222">
        <v>5363</v>
      </c>
      <c r="BP222">
        <v>0</v>
      </c>
      <c r="BQ222">
        <v>36</v>
      </c>
      <c r="BR222">
        <v>36</v>
      </c>
      <c r="BS222">
        <v>36.340000000000003</v>
      </c>
      <c r="BT222">
        <v>0</v>
      </c>
      <c r="BV222">
        <v>0</v>
      </c>
      <c r="BW222" t="s">
        <v>655</v>
      </c>
      <c r="BX222">
        <v>0.17</v>
      </c>
      <c r="BY222">
        <v>6.1778000000000004</v>
      </c>
      <c r="BZ222">
        <v>0</v>
      </c>
      <c r="CA222">
        <v>1</v>
      </c>
      <c r="CB222">
        <v>0.6</v>
      </c>
      <c r="CC222" s="3">
        <v>7.1269159999999998E-2</v>
      </c>
      <c r="CD222">
        <v>2.875</v>
      </c>
      <c r="CE222">
        <v>2.5</v>
      </c>
      <c r="CF222">
        <v>18</v>
      </c>
      <c r="CG222">
        <v>6</v>
      </c>
      <c r="CH222">
        <v>0</v>
      </c>
      <c r="CI222">
        <v>36.340000000000003</v>
      </c>
      <c r="CJ222">
        <v>211.07859999999999</v>
      </c>
    </row>
    <row r="223" spans="1:88">
      <c r="A223">
        <v>221</v>
      </c>
      <c r="B223" t="s">
        <v>0</v>
      </c>
      <c r="C223" t="s">
        <v>1</v>
      </c>
      <c r="D223" t="s">
        <v>300</v>
      </c>
      <c r="E223" t="s">
        <v>104</v>
      </c>
      <c r="F223" t="s">
        <v>411</v>
      </c>
      <c r="G223" t="s">
        <v>214</v>
      </c>
      <c r="H223" t="s">
        <v>485</v>
      </c>
      <c r="J223">
        <v>2</v>
      </c>
      <c r="K223" t="s">
        <v>108</v>
      </c>
      <c r="L223" t="s">
        <v>109</v>
      </c>
      <c r="M223" t="s">
        <v>110</v>
      </c>
      <c r="N223" t="s">
        <v>111</v>
      </c>
      <c r="O223">
        <v>191</v>
      </c>
      <c r="Q223">
        <v>872</v>
      </c>
      <c r="R223">
        <v>108</v>
      </c>
      <c r="S223">
        <v>4.25</v>
      </c>
      <c r="T223">
        <v>4.9850000000000003</v>
      </c>
      <c r="U223">
        <v>7.27</v>
      </c>
      <c r="V223">
        <v>3704.13</v>
      </c>
      <c r="W223">
        <v>785</v>
      </c>
      <c r="X223">
        <v>1.3332999999999999</v>
      </c>
      <c r="Y223">
        <v>587</v>
      </c>
      <c r="Z223">
        <v>6.31</v>
      </c>
      <c r="AJ223">
        <v>2</v>
      </c>
      <c r="AK223">
        <v>18</v>
      </c>
      <c r="AM223">
        <v>0</v>
      </c>
      <c r="AO223" t="s">
        <v>486</v>
      </c>
      <c r="AT223">
        <v>72</v>
      </c>
      <c r="AV223">
        <v>62</v>
      </c>
      <c r="AW223" t="s">
        <v>6</v>
      </c>
      <c r="AX223" t="s">
        <v>6</v>
      </c>
      <c r="AY223" t="s">
        <v>6</v>
      </c>
      <c r="AZ223" t="s">
        <v>6</v>
      </c>
      <c r="BA223" t="s">
        <v>6</v>
      </c>
      <c r="BB223" t="s">
        <v>6</v>
      </c>
      <c r="BC223" t="s">
        <v>6</v>
      </c>
      <c r="BD223" t="s">
        <v>6</v>
      </c>
      <c r="BE223" t="s">
        <v>6</v>
      </c>
      <c r="BF223" t="s">
        <v>6</v>
      </c>
      <c r="BG223" t="s">
        <v>6</v>
      </c>
      <c r="BH223" t="s">
        <v>6</v>
      </c>
      <c r="BI223" t="s">
        <v>6</v>
      </c>
      <c r="BJ223" t="s">
        <v>6</v>
      </c>
      <c r="BN223">
        <v>300.32170000000002</v>
      </c>
      <c r="BO223">
        <v>1443</v>
      </c>
      <c r="BP223">
        <v>0</v>
      </c>
      <c r="BQ223">
        <v>66</v>
      </c>
      <c r="BR223">
        <v>66</v>
      </c>
      <c r="BS223">
        <v>65.56</v>
      </c>
      <c r="BT223">
        <v>0</v>
      </c>
      <c r="BV223">
        <v>0</v>
      </c>
      <c r="BW223" t="s">
        <v>655</v>
      </c>
      <c r="BX223">
        <v>0.17</v>
      </c>
      <c r="BY223">
        <v>11.145200000000001</v>
      </c>
      <c r="BZ223">
        <v>0</v>
      </c>
      <c r="CA223">
        <v>1</v>
      </c>
      <c r="CB223">
        <v>0.6</v>
      </c>
      <c r="CC223" s="3">
        <v>7.1269159999999998E-2</v>
      </c>
      <c r="CD223">
        <v>2.875</v>
      </c>
      <c r="CE223">
        <v>2.5</v>
      </c>
      <c r="CF223">
        <v>18</v>
      </c>
      <c r="CG223">
        <v>6</v>
      </c>
      <c r="CH223">
        <v>0</v>
      </c>
      <c r="CI223">
        <v>65.56</v>
      </c>
      <c r="CJ223">
        <v>798.39729999999997</v>
      </c>
    </row>
    <row r="224" spans="1:88">
      <c r="A224">
        <v>222</v>
      </c>
      <c r="B224" t="s">
        <v>0</v>
      </c>
      <c r="C224" t="s">
        <v>1</v>
      </c>
      <c r="D224" t="s">
        <v>2</v>
      </c>
      <c r="E224" t="s">
        <v>2</v>
      </c>
      <c r="F224" t="s">
        <v>154</v>
      </c>
      <c r="G224" t="s">
        <v>106</v>
      </c>
      <c r="H224" t="s">
        <v>217</v>
      </c>
      <c r="J224">
        <v>2</v>
      </c>
      <c r="K224" t="s">
        <v>146</v>
      </c>
      <c r="L224" t="s">
        <v>122</v>
      </c>
      <c r="M224" t="s">
        <v>4</v>
      </c>
      <c r="N224" t="s">
        <v>5</v>
      </c>
      <c r="O224">
        <v>107</v>
      </c>
      <c r="Q224">
        <v>300</v>
      </c>
      <c r="R224">
        <v>67</v>
      </c>
      <c r="S224">
        <v>4.25</v>
      </c>
      <c r="T224">
        <v>2.9710000000000001</v>
      </c>
      <c r="U224">
        <v>6.07</v>
      </c>
      <c r="V224">
        <v>1274.9100000000001</v>
      </c>
      <c r="W224">
        <v>407</v>
      </c>
      <c r="X224">
        <v>1.3332999999999999</v>
      </c>
      <c r="Y224">
        <v>296</v>
      </c>
      <c r="Z224">
        <v>4.3</v>
      </c>
      <c r="AJ224">
        <v>2</v>
      </c>
      <c r="AK224">
        <v>18</v>
      </c>
      <c r="AM224">
        <v>0</v>
      </c>
      <c r="AO224" t="s">
        <v>218</v>
      </c>
      <c r="AT224">
        <v>42</v>
      </c>
      <c r="AV224">
        <v>36.1</v>
      </c>
      <c r="AW224">
        <v>0</v>
      </c>
      <c r="AX224">
        <v>0</v>
      </c>
      <c r="AY224">
        <v>32.75</v>
      </c>
      <c r="AZ224">
        <v>3.5</v>
      </c>
      <c r="BA224">
        <v>0</v>
      </c>
      <c r="BB224">
        <v>0</v>
      </c>
      <c r="BC224">
        <v>31</v>
      </c>
      <c r="BN224">
        <v>171.2</v>
      </c>
      <c r="BO224">
        <v>3540</v>
      </c>
      <c r="BP224">
        <v>0</v>
      </c>
      <c r="BQ224">
        <v>36</v>
      </c>
      <c r="BR224">
        <v>36</v>
      </c>
      <c r="BS224">
        <v>36.340000000000003</v>
      </c>
      <c r="BT224">
        <v>0</v>
      </c>
      <c r="BV224">
        <v>0</v>
      </c>
      <c r="BW224" t="s">
        <v>655</v>
      </c>
      <c r="BX224">
        <v>0.17</v>
      </c>
      <c r="BY224">
        <v>6.1778000000000004</v>
      </c>
      <c r="BZ224">
        <v>0</v>
      </c>
      <c r="CA224">
        <v>1</v>
      </c>
      <c r="CB224">
        <v>0.6</v>
      </c>
      <c r="CC224" s="3">
        <v>7.1269159999999998E-2</v>
      </c>
      <c r="CD224">
        <v>2.875</v>
      </c>
      <c r="CE224">
        <v>2.5</v>
      </c>
      <c r="CF224">
        <v>18</v>
      </c>
      <c r="CG224">
        <v>6</v>
      </c>
      <c r="CH224">
        <v>0</v>
      </c>
      <c r="CI224">
        <v>36.340000000000003</v>
      </c>
      <c r="CJ224">
        <v>257.69720000000001</v>
      </c>
    </row>
    <row r="225" spans="1:88">
      <c r="A225">
        <v>223</v>
      </c>
      <c r="B225" t="s">
        <v>13</v>
      </c>
      <c r="C225" t="s">
        <v>1</v>
      </c>
      <c r="D225" t="s">
        <v>234</v>
      </c>
      <c r="E225" t="s">
        <v>228</v>
      </c>
      <c r="F225" t="s">
        <v>252</v>
      </c>
      <c r="G225" t="s">
        <v>106</v>
      </c>
      <c r="H225" t="s">
        <v>195</v>
      </c>
      <c r="J225">
        <v>2</v>
      </c>
      <c r="K225" t="s">
        <v>146</v>
      </c>
      <c r="L225" t="s">
        <v>174</v>
      </c>
      <c r="M225" t="s">
        <v>230</v>
      </c>
      <c r="N225" t="s">
        <v>231</v>
      </c>
      <c r="O225">
        <v>102</v>
      </c>
      <c r="Q225">
        <v>401</v>
      </c>
      <c r="R225">
        <v>90</v>
      </c>
      <c r="S225">
        <v>4.25</v>
      </c>
      <c r="T225">
        <v>2.8380000000000001</v>
      </c>
      <c r="U225">
        <v>5.96</v>
      </c>
      <c r="V225">
        <v>1702.12</v>
      </c>
      <c r="W225">
        <v>537</v>
      </c>
      <c r="X225">
        <v>1.3332999999999999</v>
      </c>
      <c r="Y225">
        <v>408</v>
      </c>
      <c r="Z225">
        <v>4.17</v>
      </c>
      <c r="AJ225">
        <v>2</v>
      </c>
      <c r="AK225">
        <v>18</v>
      </c>
      <c r="AM225">
        <v>0</v>
      </c>
      <c r="AO225" t="s">
        <v>256</v>
      </c>
      <c r="AT225">
        <v>41</v>
      </c>
      <c r="AV225">
        <v>50.6</v>
      </c>
      <c r="AW225">
        <v>0</v>
      </c>
      <c r="AX225">
        <v>0</v>
      </c>
      <c r="AY225">
        <v>49.625</v>
      </c>
      <c r="AZ225">
        <v>3.875</v>
      </c>
      <c r="BA225">
        <v>0</v>
      </c>
      <c r="BB225">
        <v>0</v>
      </c>
      <c r="BC225">
        <v>53</v>
      </c>
      <c r="BN225">
        <v>242.5334</v>
      </c>
      <c r="BO225">
        <v>1764</v>
      </c>
      <c r="BP225">
        <v>0</v>
      </c>
      <c r="BQ225">
        <v>35</v>
      </c>
      <c r="BR225">
        <v>35</v>
      </c>
      <c r="BS225">
        <v>34.6</v>
      </c>
      <c r="BT225">
        <v>0</v>
      </c>
      <c r="BV225">
        <v>0</v>
      </c>
      <c r="BW225" t="s">
        <v>655</v>
      </c>
      <c r="BX225">
        <v>0.17</v>
      </c>
      <c r="BY225">
        <v>5.8819999999999997</v>
      </c>
      <c r="BZ225">
        <v>0</v>
      </c>
      <c r="CA225">
        <v>1</v>
      </c>
      <c r="CB225">
        <v>0.6</v>
      </c>
      <c r="CC225" s="3">
        <v>7.1269159999999998E-2</v>
      </c>
      <c r="CD225">
        <v>2.875</v>
      </c>
      <c r="CE225">
        <v>2.5</v>
      </c>
      <c r="CF225">
        <v>18</v>
      </c>
      <c r="CG225">
        <v>6</v>
      </c>
      <c r="CH225">
        <v>0</v>
      </c>
      <c r="CI225">
        <v>34.6</v>
      </c>
      <c r="CJ225">
        <v>343.9948</v>
      </c>
    </row>
    <row r="226" spans="1:88">
      <c r="A226">
        <v>224</v>
      </c>
      <c r="B226" t="s">
        <v>13</v>
      </c>
      <c r="C226" t="s">
        <v>1</v>
      </c>
      <c r="D226" t="s">
        <v>448</v>
      </c>
      <c r="E226" t="s">
        <v>96</v>
      </c>
      <c r="F226" t="s">
        <v>285</v>
      </c>
      <c r="G226" t="s">
        <v>106</v>
      </c>
      <c r="H226" t="s">
        <v>449</v>
      </c>
      <c r="J226">
        <v>2</v>
      </c>
      <c r="K226" t="s">
        <v>146</v>
      </c>
      <c r="L226" t="s">
        <v>293</v>
      </c>
      <c r="M226" t="s">
        <v>100</v>
      </c>
      <c r="N226" t="s">
        <v>101</v>
      </c>
      <c r="O226">
        <v>131</v>
      </c>
      <c r="Q226">
        <v>283</v>
      </c>
      <c r="R226">
        <v>49</v>
      </c>
      <c r="S226">
        <v>4.25</v>
      </c>
      <c r="T226">
        <v>3.5859999999999999</v>
      </c>
      <c r="U226">
        <v>6.37</v>
      </c>
      <c r="V226">
        <v>1200.8800000000001</v>
      </c>
      <c r="W226">
        <v>315</v>
      </c>
      <c r="X226">
        <v>1.3332999999999999</v>
      </c>
      <c r="Y226">
        <v>245</v>
      </c>
      <c r="Z226">
        <v>4.91</v>
      </c>
      <c r="AJ226">
        <v>2</v>
      </c>
      <c r="AK226">
        <v>18</v>
      </c>
      <c r="AM226">
        <v>0</v>
      </c>
      <c r="AO226" t="s">
        <v>343</v>
      </c>
      <c r="AT226">
        <v>51</v>
      </c>
      <c r="AV226">
        <v>28.1</v>
      </c>
      <c r="AW226">
        <v>0</v>
      </c>
      <c r="AX226">
        <v>0</v>
      </c>
      <c r="AY226">
        <v>39.75</v>
      </c>
      <c r="AZ226">
        <v>4</v>
      </c>
      <c r="BA226">
        <v>0</v>
      </c>
      <c r="BB226">
        <v>0</v>
      </c>
      <c r="BC226">
        <v>38</v>
      </c>
      <c r="BN226">
        <v>131.9667</v>
      </c>
      <c r="BO226">
        <v>5959</v>
      </c>
      <c r="BP226">
        <v>0</v>
      </c>
      <c r="BQ226">
        <v>45</v>
      </c>
      <c r="BR226">
        <v>45</v>
      </c>
      <c r="BS226">
        <v>44.69</v>
      </c>
      <c r="BT226">
        <v>0</v>
      </c>
      <c r="BV226">
        <v>0</v>
      </c>
      <c r="BW226" t="s">
        <v>655</v>
      </c>
      <c r="BX226">
        <v>0.17</v>
      </c>
      <c r="BY226">
        <v>7.5972999999999997</v>
      </c>
      <c r="BZ226">
        <v>0</v>
      </c>
      <c r="CA226">
        <v>1</v>
      </c>
      <c r="CB226">
        <v>0.6</v>
      </c>
      <c r="CC226" s="3">
        <v>7.1269159999999998E-2</v>
      </c>
      <c r="CD226">
        <v>2.875</v>
      </c>
      <c r="CE226">
        <v>2.5</v>
      </c>
      <c r="CF226">
        <v>18</v>
      </c>
      <c r="CG226">
        <v>6</v>
      </c>
      <c r="CH226">
        <v>0</v>
      </c>
      <c r="CI226">
        <v>44.69</v>
      </c>
      <c r="CJ226">
        <v>246.8389</v>
      </c>
    </row>
    <row r="227" spans="1:88">
      <c r="A227">
        <v>225</v>
      </c>
      <c r="B227" t="s">
        <v>0</v>
      </c>
      <c r="C227" t="s">
        <v>1</v>
      </c>
      <c r="D227" t="s">
        <v>341</v>
      </c>
      <c r="E227" t="s">
        <v>139</v>
      </c>
      <c r="F227" t="s">
        <v>343</v>
      </c>
      <c r="G227" t="s">
        <v>106</v>
      </c>
      <c r="H227" t="s">
        <v>344</v>
      </c>
      <c r="J227">
        <v>2</v>
      </c>
      <c r="K227" t="s">
        <v>146</v>
      </c>
      <c r="L227" t="s">
        <v>158</v>
      </c>
      <c r="M227" t="s">
        <v>385</v>
      </c>
      <c r="N227" t="s">
        <v>177</v>
      </c>
      <c r="O227">
        <v>109</v>
      </c>
      <c r="Q227">
        <v>233</v>
      </c>
      <c r="R227">
        <v>48</v>
      </c>
      <c r="S227">
        <v>4.25</v>
      </c>
      <c r="T227">
        <v>3.024</v>
      </c>
      <c r="U227">
        <v>6.11</v>
      </c>
      <c r="V227">
        <v>990.25</v>
      </c>
      <c r="W227">
        <v>295</v>
      </c>
      <c r="X227">
        <v>1.3332999999999999</v>
      </c>
      <c r="Y227">
        <v>228</v>
      </c>
      <c r="Z227">
        <v>4.3499999999999996</v>
      </c>
      <c r="AJ227">
        <v>2</v>
      </c>
      <c r="AK227">
        <v>18</v>
      </c>
      <c r="AM227">
        <v>0</v>
      </c>
      <c r="AO227" t="s">
        <v>347</v>
      </c>
      <c r="AT227">
        <v>43</v>
      </c>
      <c r="AV227">
        <v>27.4</v>
      </c>
      <c r="AW227">
        <v>0</v>
      </c>
      <c r="AX227">
        <v>0</v>
      </c>
      <c r="AY227">
        <v>28.375</v>
      </c>
      <c r="AZ227">
        <v>3.25</v>
      </c>
      <c r="BA227">
        <v>0</v>
      </c>
      <c r="BB227">
        <v>0</v>
      </c>
      <c r="BC227">
        <v>25</v>
      </c>
      <c r="BN227">
        <v>128.4</v>
      </c>
      <c r="BO227">
        <v>6294</v>
      </c>
      <c r="BP227">
        <v>0</v>
      </c>
      <c r="BQ227">
        <v>37</v>
      </c>
      <c r="BR227">
        <v>37</v>
      </c>
      <c r="BS227">
        <v>37.04</v>
      </c>
      <c r="BT227">
        <v>0</v>
      </c>
      <c r="BV227">
        <v>0</v>
      </c>
      <c r="BW227" t="s">
        <v>655</v>
      </c>
      <c r="BX227">
        <v>0.17</v>
      </c>
      <c r="BY227">
        <v>6.2968000000000002</v>
      </c>
      <c r="BZ227">
        <v>0</v>
      </c>
      <c r="CA227">
        <v>1</v>
      </c>
      <c r="CB227">
        <v>0.6</v>
      </c>
      <c r="CC227" s="3">
        <v>7.1269159999999998E-2</v>
      </c>
      <c r="CD227">
        <v>2.875</v>
      </c>
      <c r="CE227">
        <v>2.5</v>
      </c>
      <c r="CF227">
        <v>18</v>
      </c>
      <c r="CG227">
        <v>6</v>
      </c>
      <c r="CH227">
        <v>0</v>
      </c>
      <c r="CI227">
        <v>37.04</v>
      </c>
      <c r="CJ227">
        <v>199.3056</v>
      </c>
    </row>
    <row r="228" spans="1:88">
      <c r="A228">
        <v>226</v>
      </c>
      <c r="B228" t="s">
        <v>13</v>
      </c>
      <c r="C228" t="s">
        <v>1</v>
      </c>
      <c r="D228" t="s">
        <v>487</v>
      </c>
      <c r="E228" t="s">
        <v>233</v>
      </c>
      <c r="F228" t="s">
        <v>488</v>
      </c>
      <c r="G228" t="s">
        <v>15</v>
      </c>
      <c r="H228" t="s">
        <v>487</v>
      </c>
      <c r="J228">
        <v>2</v>
      </c>
      <c r="K228" t="s">
        <v>9</v>
      </c>
      <c r="L228" t="s">
        <v>251</v>
      </c>
      <c r="M228" t="s">
        <v>236</v>
      </c>
      <c r="N228" t="s">
        <v>272</v>
      </c>
      <c r="O228">
        <v>157</v>
      </c>
      <c r="Q228">
        <v>1012</v>
      </c>
      <c r="R228">
        <v>150</v>
      </c>
      <c r="S228">
        <v>4.25</v>
      </c>
      <c r="T228">
        <v>4.2130000000000001</v>
      </c>
      <c r="U228">
        <v>6.82</v>
      </c>
      <c r="V228">
        <v>4302.0200000000004</v>
      </c>
      <c r="W228">
        <v>1024</v>
      </c>
      <c r="X228">
        <v>1.3332999999999999</v>
      </c>
      <c r="Y228">
        <v>777</v>
      </c>
      <c r="Z228">
        <v>5.54</v>
      </c>
      <c r="AJ228">
        <v>2</v>
      </c>
      <c r="AK228">
        <v>18</v>
      </c>
      <c r="AM228">
        <v>0</v>
      </c>
      <c r="AO228" t="s">
        <v>489</v>
      </c>
      <c r="AT228">
        <v>60</v>
      </c>
      <c r="AV228">
        <v>86.3</v>
      </c>
      <c r="AW228" t="s">
        <v>6</v>
      </c>
      <c r="AX228" t="s">
        <v>6</v>
      </c>
      <c r="AY228" t="s">
        <v>6</v>
      </c>
      <c r="AZ228" t="s">
        <v>6</v>
      </c>
      <c r="BA228" t="s">
        <v>6</v>
      </c>
      <c r="BB228" t="s">
        <v>6</v>
      </c>
      <c r="BC228" t="s">
        <v>6</v>
      </c>
      <c r="BD228" t="s">
        <v>6</v>
      </c>
      <c r="BE228" t="s">
        <v>6</v>
      </c>
      <c r="BF228" t="s">
        <v>6</v>
      </c>
      <c r="BG228" t="s">
        <v>6</v>
      </c>
      <c r="BH228" t="s">
        <v>6</v>
      </c>
      <c r="BI228" t="s">
        <v>6</v>
      </c>
      <c r="BJ228" t="s">
        <v>6</v>
      </c>
      <c r="BN228">
        <v>738.75559999999996</v>
      </c>
      <c r="BO228">
        <v>2004</v>
      </c>
      <c r="BP228">
        <v>0</v>
      </c>
      <c r="BQ228">
        <v>54</v>
      </c>
      <c r="BR228">
        <v>54</v>
      </c>
      <c r="BS228">
        <v>53.73</v>
      </c>
      <c r="BT228">
        <v>0</v>
      </c>
      <c r="BV228">
        <v>6</v>
      </c>
      <c r="BW228" t="s">
        <v>655</v>
      </c>
      <c r="BX228">
        <v>0.27933340000000001</v>
      </c>
      <c r="BY228">
        <v>15.00858</v>
      </c>
      <c r="BZ228">
        <v>0</v>
      </c>
      <c r="CA228">
        <v>1</v>
      </c>
      <c r="CB228">
        <v>0.6</v>
      </c>
      <c r="CC228" s="3">
        <v>7.1269159999999998E-2</v>
      </c>
      <c r="CD228">
        <v>2.875</v>
      </c>
      <c r="CE228">
        <v>2.5</v>
      </c>
      <c r="CF228">
        <v>18</v>
      </c>
      <c r="CG228">
        <v>6</v>
      </c>
      <c r="CH228">
        <v>0</v>
      </c>
      <c r="CI228">
        <v>53.73</v>
      </c>
      <c r="CJ228">
        <v>910.89269999999999</v>
      </c>
    </row>
    <row r="229" spans="1:88">
      <c r="A229">
        <v>227</v>
      </c>
      <c r="B229" t="s">
        <v>0</v>
      </c>
      <c r="C229" t="s">
        <v>1</v>
      </c>
      <c r="D229" t="s">
        <v>287</v>
      </c>
      <c r="E229" t="s">
        <v>169</v>
      </c>
      <c r="F229" t="s">
        <v>288</v>
      </c>
      <c r="G229" t="s">
        <v>15</v>
      </c>
      <c r="H229" t="s">
        <v>289</v>
      </c>
      <c r="J229">
        <v>2</v>
      </c>
      <c r="K229" t="s">
        <v>108</v>
      </c>
      <c r="L229" t="s">
        <v>381</v>
      </c>
      <c r="M229" t="s">
        <v>173</v>
      </c>
      <c r="N229" t="s">
        <v>174</v>
      </c>
      <c r="O229">
        <v>119</v>
      </c>
      <c r="Q229">
        <v>689</v>
      </c>
      <c r="R229">
        <v>132</v>
      </c>
      <c r="S229">
        <v>4.25</v>
      </c>
      <c r="T229">
        <v>3.2829999999999999</v>
      </c>
      <c r="U229">
        <v>6.15</v>
      </c>
      <c r="V229">
        <v>2928.88</v>
      </c>
      <c r="W229">
        <v>815</v>
      </c>
      <c r="X229">
        <v>1.3332999999999999</v>
      </c>
      <c r="Y229">
        <v>635</v>
      </c>
      <c r="Z229">
        <v>4.6100000000000003</v>
      </c>
      <c r="AJ229">
        <v>2</v>
      </c>
      <c r="AK229">
        <v>18</v>
      </c>
      <c r="AM229">
        <v>0</v>
      </c>
      <c r="AO229" t="s">
        <v>290</v>
      </c>
      <c r="AT229">
        <v>47</v>
      </c>
      <c r="AV229">
        <v>76.099999999999994</v>
      </c>
      <c r="AW229">
        <v>0.5</v>
      </c>
      <c r="AX229">
        <v>5.625</v>
      </c>
      <c r="AY229">
        <v>35.5</v>
      </c>
      <c r="AZ229">
        <v>4.625</v>
      </c>
      <c r="BA229">
        <v>504.81</v>
      </c>
      <c r="BB229">
        <v>4.6100000000000003</v>
      </c>
      <c r="BC229">
        <v>64</v>
      </c>
      <c r="BD229">
        <v>0.3125</v>
      </c>
      <c r="BE229">
        <v>3.75</v>
      </c>
      <c r="BF229">
        <v>19.5</v>
      </c>
      <c r="BG229">
        <v>2.875</v>
      </c>
      <c r="BH229">
        <v>130.52000000000001</v>
      </c>
      <c r="BI229">
        <v>4.8899999999999997</v>
      </c>
      <c r="BJ229">
        <v>15</v>
      </c>
      <c r="BL229">
        <v>635.33000000000004</v>
      </c>
      <c r="BM229">
        <v>78</v>
      </c>
      <c r="BN229">
        <v>650.35749999999996</v>
      </c>
      <c r="BO229">
        <v>2586</v>
      </c>
      <c r="BP229">
        <v>0</v>
      </c>
      <c r="BQ229">
        <v>41</v>
      </c>
      <c r="BR229">
        <v>41</v>
      </c>
      <c r="BS229">
        <v>40.520000000000003</v>
      </c>
      <c r="BT229">
        <v>0</v>
      </c>
      <c r="BV229">
        <v>0</v>
      </c>
      <c r="BW229" t="s">
        <v>655</v>
      </c>
      <c r="BX229">
        <v>0.17</v>
      </c>
      <c r="BY229">
        <v>6.8883999999999999</v>
      </c>
      <c r="BZ229">
        <v>0</v>
      </c>
      <c r="CA229">
        <v>1</v>
      </c>
      <c r="CB229">
        <v>0.6</v>
      </c>
      <c r="CC229" s="3">
        <v>7.1269159999999998E-2</v>
      </c>
      <c r="CD229">
        <v>2.875</v>
      </c>
      <c r="CE229">
        <v>2.5</v>
      </c>
      <c r="CF229">
        <v>18</v>
      </c>
      <c r="CG229">
        <v>6</v>
      </c>
      <c r="CH229">
        <v>0</v>
      </c>
      <c r="CI229">
        <v>40.520000000000003</v>
      </c>
      <c r="CJ229">
        <v>606.08249999999998</v>
      </c>
    </row>
    <row r="230" spans="1:88">
      <c r="A230">
        <v>228</v>
      </c>
      <c r="B230" t="s">
        <v>13</v>
      </c>
      <c r="C230" t="s">
        <v>1</v>
      </c>
      <c r="D230" t="s">
        <v>316</v>
      </c>
      <c r="E230" t="s">
        <v>366</v>
      </c>
      <c r="F230" t="s">
        <v>349</v>
      </c>
      <c r="G230" t="s">
        <v>106</v>
      </c>
      <c r="H230" t="s">
        <v>350</v>
      </c>
      <c r="J230">
        <v>2</v>
      </c>
      <c r="K230" t="s">
        <v>108</v>
      </c>
      <c r="L230" t="s">
        <v>268</v>
      </c>
      <c r="M230" t="s">
        <v>370</v>
      </c>
      <c r="N230" t="s">
        <v>217</v>
      </c>
      <c r="O230">
        <v>103</v>
      </c>
      <c r="Q230">
        <v>471</v>
      </c>
      <c r="R230">
        <v>103</v>
      </c>
      <c r="S230">
        <v>4.25</v>
      </c>
      <c r="T230">
        <v>2.8650000000000002</v>
      </c>
      <c r="U230">
        <v>5.96</v>
      </c>
      <c r="V230">
        <v>2000.68</v>
      </c>
      <c r="W230">
        <v>616</v>
      </c>
      <c r="X230">
        <v>1.3332999999999999</v>
      </c>
      <c r="Y230">
        <v>477</v>
      </c>
      <c r="Z230">
        <v>4.1900000000000004</v>
      </c>
      <c r="AJ230">
        <v>2</v>
      </c>
      <c r="AK230">
        <v>18</v>
      </c>
      <c r="AM230">
        <v>0</v>
      </c>
      <c r="AO230" t="s">
        <v>352</v>
      </c>
      <c r="AT230">
        <v>41</v>
      </c>
      <c r="AV230">
        <v>59.1</v>
      </c>
      <c r="AW230">
        <v>0.3125</v>
      </c>
      <c r="AX230">
        <v>3.75</v>
      </c>
      <c r="AY230">
        <v>16.75</v>
      </c>
      <c r="AZ230">
        <v>2.625</v>
      </c>
      <c r="BA230">
        <v>152.55000000000001</v>
      </c>
      <c r="BB230">
        <v>4.1900000000000004</v>
      </c>
      <c r="BC230">
        <v>13</v>
      </c>
      <c r="BD230">
        <v>0.4375</v>
      </c>
      <c r="BE230">
        <v>3.75</v>
      </c>
      <c r="BF230">
        <v>43.75</v>
      </c>
      <c r="BG230">
        <v>3.625</v>
      </c>
      <c r="BH230">
        <v>324.93</v>
      </c>
      <c r="BI230">
        <v>5.0599999999999996</v>
      </c>
      <c r="BJ230">
        <v>44</v>
      </c>
      <c r="BL230">
        <v>477.48</v>
      </c>
      <c r="BM230">
        <v>56</v>
      </c>
      <c r="BN230">
        <v>283.55009999999999</v>
      </c>
      <c r="BO230">
        <v>1291</v>
      </c>
      <c r="BP230">
        <v>0</v>
      </c>
      <c r="BQ230">
        <v>35</v>
      </c>
      <c r="BR230">
        <v>35</v>
      </c>
      <c r="BS230">
        <v>34.950000000000003</v>
      </c>
      <c r="BT230">
        <v>0</v>
      </c>
      <c r="BV230">
        <v>0</v>
      </c>
      <c r="BW230" t="s">
        <v>655</v>
      </c>
      <c r="BX230">
        <v>0.17</v>
      </c>
      <c r="BY230">
        <v>5.9414999999999996</v>
      </c>
      <c r="BZ230">
        <v>0</v>
      </c>
      <c r="CA230">
        <v>1</v>
      </c>
      <c r="CB230">
        <v>0.6</v>
      </c>
      <c r="CC230" s="3">
        <v>7.1269159999999998E-2</v>
      </c>
      <c r="CD230">
        <v>2.875</v>
      </c>
      <c r="CE230">
        <v>2.5</v>
      </c>
      <c r="CF230">
        <v>18</v>
      </c>
      <c r="CG230">
        <v>6</v>
      </c>
      <c r="CH230">
        <v>0</v>
      </c>
      <c r="CI230">
        <v>34.950000000000003</v>
      </c>
      <c r="CJ230">
        <v>405.69830000000002</v>
      </c>
    </row>
    <row r="231" spans="1:88">
      <c r="A231">
        <v>229</v>
      </c>
      <c r="B231" t="s">
        <v>13</v>
      </c>
      <c r="C231" t="s">
        <v>1</v>
      </c>
      <c r="D231" t="s">
        <v>5</v>
      </c>
      <c r="E231" t="s">
        <v>2</v>
      </c>
      <c r="F231" t="s">
        <v>159</v>
      </c>
      <c r="G231" t="s">
        <v>106</v>
      </c>
      <c r="H231" t="s">
        <v>139</v>
      </c>
      <c r="J231">
        <v>2</v>
      </c>
      <c r="K231" t="s">
        <v>146</v>
      </c>
      <c r="L231" t="s">
        <v>122</v>
      </c>
      <c r="M231" t="s">
        <v>4</v>
      </c>
      <c r="N231" t="s">
        <v>5</v>
      </c>
      <c r="O231">
        <v>107</v>
      </c>
      <c r="Q231">
        <v>309</v>
      </c>
      <c r="R231">
        <v>69</v>
      </c>
      <c r="S231">
        <v>4.25</v>
      </c>
      <c r="T231">
        <v>2.9710000000000001</v>
      </c>
      <c r="U231">
        <v>6.07</v>
      </c>
      <c r="V231">
        <v>1312.57</v>
      </c>
      <c r="W231">
        <v>418</v>
      </c>
      <c r="X231">
        <v>1.3332999999999999</v>
      </c>
      <c r="Y231">
        <v>305</v>
      </c>
      <c r="Z231">
        <v>4.3</v>
      </c>
      <c r="AJ231">
        <v>2</v>
      </c>
      <c r="AK231">
        <v>18</v>
      </c>
      <c r="AM231">
        <v>0</v>
      </c>
      <c r="AO231" t="s">
        <v>385</v>
      </c>
      <c r="AT231">
        <v>42</v>
      </c>
      <c r="AV231">
        <v>37.200000000000003</v>
      </c>
      <c r="AW231">
        <v>0</v>
      </c>
      <c r="AX231">
        <v>0</v>
      </c>
      <c r="AY231">
        <v>31.875</v>
      </c>
      <c r="AZ231">
        <v>3.5</v>
      </c>
      <c r="BA231">
        <v>0</v>
      </c>
      <c r="BB231">
        <v>0</v>
      </c>
      <c r="BC231">
        <v>30</v>
      </c>
      <c r="BN231">
        <v>176.55</v>
      </c>
      <c r="BO231">
        <v>3329</v>
      </c>
      <c r="BP231">
        <v>0</v>
      </c>
      <c r="BQ231">
        <v>36</v>
      </c>
      <c r="BR231">
        <v>36</v>
      </c>
      <c r="BS231">
        <v>36.340000000000003</v>
      </c>
      <c r="BT231">
        <v>0</v>
      </c>
      <c r="BV231">
        <v>0</v>
      </c>
      <c r="BW231" t="s">
        <v>655</v>
      </c>
      <c r="BX231">
        <v>0.17</v>
      </c>
      <c r="BY231">
        <v>6.1778000000000004</v>
      </c>
      <c r="BZ231">
        <v>0</v>
      </c>
      <c r="CA231">
        <v>1</v>
      </c>
      <c r="CB231">
        <v>0.6</v>
      </c>
      <c r="CC231" s="3">
        <v>7.1269159999999998E-2</v>
      </c>
      <c r="CD231">
        <v>2.875</v>
      </c>
      <c r="CE231">
        <v>2.5</v>
      </c>
      <c r="CF231">
        <v>18</v>
      </c>
      <c r="CG231">
        <v>6</v>
      </c>
      <c r="CH231">
        <v>0</v>
      </c>
      <c r="CI231">
        <v>36.340000000000003</v>
      </c>
      <c r="CJ231">
        <v>265.46690000000001</v>
      </c>
    </row>
    <row r="232" spans="1:88">
      <c r="A232">
        <v>230</v>
      </c>
      <c r="B232" t="s">
        <v>0</v>
      </c>
      <c r="C232" t="s">
        <v>1</v>
      </c>
      <c r="D232" t="s">
        <v>8</v>
      </c>
      <c r="E232" t="s">
        <v>133</v>
      </c>
      <c r="F232" t="s">
        <v>246</v>
      </c>
      <c r="G232" t="s">
        <v>15</v>
      </c>
      <c r="H232" t="s">
        <v>247</v>
      </c>
      <c r="J232">
        <v>2</v>
      </c>
      <c r="K232" t="s">
        <v>108</v>
      </c>
      <c r="L232" t="s">
        <v>353</v>
      </c>
      <c r="M232" t="s">
        <v>194</v>
      </c>
      <c r="N232" t="s">
        <v>195</v>
      </c>
      <c r="O232">
        <v>143</v>
      </c>
      <c r="Q232">
        <v>761</v>
      </c>
      <c r="R232">
        <v>124</v>
      </c>
      <c r="S232">
        <v>4.25</v>
      </c>
      <c r="T232">
        <v>3.88</v>
      </c>
      <c r="U232">
        <v>6.6</v>
      </c>
      <c r="V232">
        <v>3236.29</v>
      </c>
      <c r="W232">
        <v>816</v>
      </c>
      <c r="X232">
        <v>1.3332999999999999</v>
      </c>
      <c r="Y232">
        <v>621</v>
      </c>
      <c r="Z232">
        <v>5.21</v>
      </c>
      <c r="AJ232">
        <v>2</v>
      </c>
      <c r="AK232">
        <v>18</v>
      </c>
      <c r="AM232">
        <v>0</v>
      </c>
      <c r="AO232" t="s">
        <v>250</v>
      </c>
      <c r="AT232">
        <v>55</v>
      </c>
      <c r="AV232">
        <v>71.099999999999994</v>
      </c>
      <c r="AW232" t="s">
        <v>6</v>
      </c>
      <c r="AX232" t="s">
        <v>6</v>
      </c>
      <c r="AY232" t="s">
        <v>6</v>
      </c>
      <c r="AZ232" t="s">
        <v>6</v>
      </c>
      <c r="BA232" t="s">
        <v>6</v>
      </c>
      <c r="BB232" t="s">
        <v>6</v>
      </c>
      <c r="BC232" t="s">
        <v>6</v>
      </c>
      <c r="BD232" t="s">
        <v>6</v>
      </c>
      <c r="BE232" t="s">
        <v>6</v>
      </c>
      <c r="BF232" t="s">
        <v>6</v>
      </c>
      <c r="BG232" t="s">
        <v>6</v>
      </c>
      <c r="BH232" t="s">
        <v>6</v>
      </c>
      <c r="BI232" t="s">
        <v>6</v>
      </c>
      <c r="BJ232" t="s">
        <v>6</v>
      </c>
      <c r="BN232">
        <v>606.1585</v>
      </c>
      <c r="BO232">
        <v>2977</v>
      </c>
      <c r="BP232">
        <v>0</v>
      </c>
      <c r="BQ232">
        <v>49</v>
      </c>
      <c r="BR232">
        <v>49</v>
      </c>
      <c r="BS232">
        <v>48.86</v>
      </c>
      <c r="BT232">
        <v>0</v>
      </c>
      <c r="BV232">
        <v>0</v>
      </c>
      <c r="BW232" t="s">
        <v>655</v>
      </c>
      <c r="BX232">
        <v>0.17</v>
      </c>
      <c r="BY232">
        <v>8.3062000000000005</v>
      </c>
      <c r="BZ232">
        <v>0</v>
      </c>
      <c r="CA232">
        <v>1</v>
      </c>
      <c r="CB232">
        <v>0.6</v>
      </c>
      <c r="CC232" s="3">
        <v>7.1269159999999998E-2</v>
      </c>
      <c r="CD232">
        <v>2.875</v>
      </c>
      <c r="CE232">
        <v>2.5</v>
      </c>
      <c r="CF232">
        <v>18</v>
      </c>
      <c r="CG232">
        <v>6</v>
      </c>
      <c r="CH232">
        <v>0</v>
      </c>
      <c r="CI232">
        <v>48.86</v>
      </c>
      <c r="CJ232">
        <v>682.07799999999997</v>
      </c>
    </row>
    <row r="233" spans="1:88">
      <c r="A233">
        <v>231</v>
      </c>
      <c r="B233" t="s">
        <v>13</v>
      </c>
      <c r="C233" t="s">
        <v>1</v>
      </c>
      <c r="D233" t="s">
        <v>2</v>
      </c>
      <c r="E233" t="s">
        <v>127</v>
      </c>
      <c r="F233" t="s">
        <v>154</v>
      </c>
      <c r="G233" t="s">
        <v>106</v>
      </c>
      <c r="H233" t="s">
        <v>217</v>
      </c>
      <c r="J233">
        <v>2</v>
      </c>
      <c r="K233" t="s">
        <v>146</v>
      </c>
      <c r="L233" t="s">
        <v>338</v>
      </c>
      <c r="M233" t="s">
        <v>189</v>
      </c>
      <c r="N233" t="s">
        <v>190</v>
      </c>
      <c r="O233">
        <v>115</v>
      </c>
      <c r="Q233">
        <v>320</v>
      </c>
      <c r="R233">
        <v>67</v>
      </c>
      <c r="S233">
        <v>4.25</v>
      </c>
      <c r="T233">
        <v>3.18</v>
      </c>
      <c r="U233">
        <v>6.22</v>
      </c>
      <c r="V233">
        <v>1361.02</v>
      </c>
      <c r="W233">
        <v>417</v>
      </c>
      <c r="X233">
        <v>1.3332999999999999</v>
      </c>
      <c r="Y233">
        <v>302</v>
      </c>
      <c r="Z233">
        <v>4.51</v>
      </c>
      <c r="AJ233">
        <v>2</v>
      </c>
      <c r="AK233">
        <v>18</v>
      </c>
      <c r="AM233">
        <v>0</v>
      </c>
      <c r="AO233" t="s">
        <v>218</v>
      </c>
      <c r="AT233">
        <v>45</v>
      </c>
      <c r="AV233">
        <v>36.1</v>
      </c>
      <c r="AW233">
        <v>0</v>
      </c>
      <c r="AX233">
        <v>0</v>
      </c>
      <c r="AY233">
        <v>47.125</v>
      </c>
      <c r="AZ233">
        <v>4</v>
      </c>
      <c r="BA233">
        <v>0</v>
      </c>
      <c r="BB233">
        <v>0</v>
      </c>
      <c r="BC233">
        <v>48</v>
      </c>
      <c r="BN233">
        <v>171.2</v>
      </c>
      <c r="BO233">
        <v>3540</v>
      </c>
      <c r="BP233">
        <v>0</v>
      </c>
      <c r="BQ233">
        <v>39</v>
      </c>
      <c r="BR233">
        <v>39</v>
      </c>
      <c r="BS233">
        <v>39.130000000000003</v>
      </c>
      <c r="BT233">
        <v>0</v>
      </c>
      <c r="BV233">
        <v>0</v>
      </c>
      <c r="BW233" t="s">
        <v>655</v>
      </c>
      <c r="BX233">
        <v>0.17</v>
      </c>
      <c r="BY233">
        <v>6.6520999999999999</v>
      </c>
      <c r="BZ233">
        <v>0</v>
      </c>
      <c r="CA233">
        <v>1</v>
      </c>
      <c r="CB233">
        <v>0.6</v>
      </c>
      <c r="CC233" s="3">
        <v>7.1269159999999998E-2</v>
      </c>
      <c r="CD233">
        <v>2.875</v>
      </c>
      <c r="CE233">
        <v>2.5</v>
      </c>
      <c r="CF233">
        <v>18</v>
      </c>
      <c r="CG233">
        <v>6</v>
      </c>
      <c r="CH233">
        <v>0</v>
      </c>
      <c r="CI233">
        <v>39.130000000000003</v>
      </c>
      <c r="CJ233">
        <v>277.48180000000002</v>
      </c>
    </row>
    <row r="234" spans="1:88">
      <c r="A234">
        <v>232</v>
      </c>
      <c r="B234" t="s">
        <v>0</v>
      </c>
      <c r="C234" t="s">
        <v>1</v>
      </c>
      <c r="D234" t="s">
        <v>375</v>
      </c>
      <c r="E234" t="s">
        <v>178</v>
      </c>
      <c r="F234" t="s">
        <v>140</v>
      </c>
      <c r="G234" t="s">
        <v>106</v>
      </c>
      <c r="H234" t="s">
        <v>342</v>
      </c>
      <c r="J234">
        <v>2</v>
      </c>
      <c r="K234" t="s">
        <v>146</v>
      </c>
      <c r="L234" t="s">
        <v>127</v>
      </c>
      <c r="M234" t="s">
        <v>179</v>
      </c>
      <c r="N234" t="s">
        <v>180</v>
      </c>
      <c r="O234">
        <v>95</v>
      </c>
      <c r="Q234">
        <v>225</v>
      </c>
      <c r="R234">
        <v>52</v>
      </c>
      <c r="S234">
        <v>4.25</v>
      </c>
      <c r="T234">
        <v>2.649</v>
      </c>
      <c r="U234">
        <v>5.81</v>
      </c>
      <c r="V234">
        <v>954.33</v>
      </c>
      <c r="W234">
        <v>304</v>
      </c>
      <c r="X234">
        <v>1.1666000000000001</v>
      </c>
      <c r="Y234">
        <v>250</v>
      </c>
      <c r="Z234">
        <v>3.81</v>
      </c>
      <c r="AJ234">
        <v>2</v>
      </c>
      <c r="AK234">
        <v>18</v>
      </c>
      <c r="AM234">
        <v>0</v>
      </c>
      <c r="AO234" t="s">
        <v>345</v>
      </c>
      <c r="AT234">
        <v>38</v>
      </c>
      <c r="AV234">
        <v>29.9</v>
      </c>
      <c r="AW234">
        <v>0</v>
      </c>
      <c r="AX234">
        <v>0</v>
      </c>
      <c r="AY234">
        <v>25.75</v>
      </c>
      <c r="AZ234">
        <v>2.875</v>
      </c>
      <c r="BA234">
        <v>0</v>
      </c>
      <c r="BB234">
        <v>0</v>
      </c>
      <c r="BC234">
        <v>23</v>
      </c>
      <c r="BN234">
        <v>140.88339999999999</v>
      </c>
      <c r="BO234">
        <v>5228</v>
      </c>
      <c r="BP234">
        <v>0</v>
      </c>
      <c r="BQ234">
        <v>32</v>
      </c>
      <c r="BR234">
        <v>32</v>
      </c>
      <c r="BS234">
        <v>32.17</v>
      </c>
      <c r="BT234">
        <v>0</v>
      </c>
      <c r="BV234">
        <v>0</v>
      </c>
      <c r="BW234" t="s">
        <v>655</v>
      </c>
      <c r="BX234">
        <v>0.17</v>
      </c>
      <c r="BY234">
        <v>5.4688999999999997</v>
      </c>
      <c r="BZ234">
        <v>0</v>
      </c>
      <c r="CA234">
        <v>1</v>
      </c>
      <c r="CB234">
        <v>0.6</v>
      </c>
      <c r="CC234" s="3">
        <v>7.1269159999999998E-2</v>
      </c>
      <c r="CD234">
        <v>2.875</v>
      </c>
      <c r="CE234">
        <v>2.5</v>
      </c>
      <c r="CF234">
        <v>18</v>
      </c>
      <c r="CG234">
        <v>6</v>
      </c>
      <c r="CH234">
        <v>0</v>
      </c>
      <c r="CI234">
        <v>32.17</v>
      </c>
      <c r="CJ234">
        <v>189.15010000000001</v>
      </c>
    </row>
    <row r="235" spans="1:88">
      <c r="A235">
        <v>233</v>
      </c>
      <c r="B235" t="s">
        <v>0</v>
      </c>
      <c r="C235" t="s">
        <v>1</v>
      </c>
      <c r="D235" t="s">
        <v>202</v>
      </c>
      <c r="E235" t="s">
        <v>113</v>
      </c>
      <c r="F235" t="s">
        <v>357</v>
      </c>
      <c r="G235" t="s">
        <v>214</v>
      </c>
      <c r="H235" t="s">
        <v>358</v>
      </c>
      <c r="J235">
        <v>2</v>
      </c>
      <c r="K235" t="s">
        <v>108</v>
      </c>
      <c r="L235" t="s">
        <v>116</v>
      </c>
      <c r="M235" t="s">
        <v>117</v>
      </c>
      <c r="N235" t="s">
        <v>14</v>
      </c>
      <c r="O235">
        <v>179</v>
      </c>
      <c r="Q235">
        <v>834</v>
      </c>
      <c r="R235">
        <v>110</v>
      </c>
      <c r="S235">
        <v>4.25</v>
      </c>
      <c r="T235">
        <v>4.7190000000000003</v>
      </c>
      <c r="U235">
        <v>7.05</v>
      </c>
      <c r="V235">
        <v>3545.69</v>
      </c>
      <c r="W235">
        <v>774</v>
      </c>
      <c r="X235">
        <v>1.3332999999999999</v>
      </c>
      <c r="Y235">
        <v>586</v>
      </c>
      <c r="Z235">
        <v>6.05</v>
      </c>
      <c r="AJ235">
        <v>2</v>
      </c>
      <c r="AK235">
        <v>18</v>
      </c>
      <c r="AM235">
        <v>0</v>
      </c>
      <c r="AO235" t="s">
        <v>262</v>
      </c>
      <c r="AT235">
        <v>68</v>
      </c>
      <c r="AV235">
        <v>63.1</v>
      </c>
      <c r="AW235">
        <v>0.46875</v>
      </c>
      <c r="AX235">
        <v>3.75</v>
      </c>
      <c r="AY235">
        <v>62.875</v>
      </c>
      <c r="AZ235">
        <v>5.625</v>
      </c>
      <c r="BA235">
        <v>322.33</v>
      </c>
      <c r="BB235">
        <v>6.11</v>
      </c>
      <c r="BC235">
        <v>68</v>
      </c>
      <c r="BD235">
        <v>0.4375</v>
      </c>
      <c r="BE235">
        <v>3.75</v>
      </c>
      <c r="BF235">
        <v>54</v>
      </c>
      <c r="BG235">
        <v>5.25</v>
      </c>
      <c r="BH235">
        <v>263.73</v>
      </c>
      <c r="BI235">
        <v>6.23</v>
      </c>
      <c r="BJ235">
        <v>55</v>
      </c>
      <c r="BL235">
        <v>586.05999999999995</v>
      </c>
      <c r="BM235">
        <v>122</v>
      </c>
      <c r="BN235">
        <v>305.7167</v>
      </c>
      <c r="BO235">
        <v>1393</v>
      </c>
      <c r="BP235">
        <v>0</v>
      </c>
      <c r="BQ235">
        <v>61</v>
      </c>
      <c r="BR235">
        <v>61</v>
      </c>
      <c r="BS235">
        <v>61.39</v>
      </c>
      <c r="BT235">
        <v>0</v>
      </c>
      <c r="BV235">
        <v>0</v>
      </c>
      <c r="BW235" t="s">
        <v>655</v>
      </c>
      <c r="BX235">
        <v>0.17</v>
      </c>
      <c r="BY235">
        <v>10.436299999999999</v>
      </c>
      <c r="BZ235">
        <v>0</v>
      </c>
      <c r="CA235">
        <v>1</v>
      </c>
      <c r="CB235">
        <v>0.6</v>
      </c>
      <c r="CC235" s="3">
        <v>7.1269159999999998E-2</v>
      </c>
      <c r="CD235">
        <v>2.875</v>
      </c>
      <c r="CE235">
        <v>2.5</v>
      </c>
      <c r="CF235">
        <v>18</v>
      </c>
      <c r="CG235">
        <v>6</v>
      </c>
      <c r="CH235">
        <v>0</v>
      </c>
      <c r="CI235">
        <v>61.39</v>
      </c>
      <c r="CJ235">
        <v>760.74019999999996</v>
      </c>
    </row>
    <row r="236" spans="1:88">
      <c r="A236">
        <v>234</v>
      </c>
      <c r="B236" t="s">
        <v>0</v>
      </c>
      <c r="C236" t="s">
        <v>1</v>
      </c>
      <c r="D236" t="s">
        <v>14</v>
      </c>
      <c r="E236" t="s">
        <v>268</v>
      </c>
      <c r="F236" t="s">
        <v>192</v>
      </c>
      <c r="G236" t="s">
        <v>106</v>
      </c>
      <c r="H236" t="s">
        <v>193</v>
      </c>
      <c r="J236">
        <v>2</v>
      </c>
      <c r="K236" t="s">
        <v>108</v>
      </c>
      <c r="L236" t="s">
        <v>133</v>
      </c>
      <c r="M236" t="s">
        <v>270</v>
      </c>
      <c r="N236" t="s">
        <v>153</v>
      </c>
      <c r="O236">
        <v>123</v>
      </c>
      <c r="Q236">
        <v>593</v>
      </c>
      <c r="R236">
        <v>110</v>
      </c>
      <c r="S236">
        <v>4.25</v>
      </c>
      <c r="T236">
        <v>3.3849999999999998</v>
      </c>
      <c r="U236">
        <v>6.22</v>
      </c>
      <c r="V236">
        <v>2519.9</v>
      </c>
      <c r="W236">
        <v>686</v>
      </c>
      <c r="X236">
        <v>1.3332999999999999</v>
      </c>
      <c r="Y236">
        <v>535</v>
      </c>
      <c r="Z236">
        <v>4.71</v>
      </c>
      <c r="AJ236">
        <v>2</v>
      </c>
      <c r="AK236">
        <v>18</v>
      </c>
      <c r="AM236">
        <v>0</v>
      </c>
      <c r="AO236" t="s">
        <v>196</v>
      </c>
      <c r="AT236">
        <v>48</v>
      </c>
      <c r="AV236">
        <v>63.4</v>
      </c>
      <c r="AW236">
        <v>0.46875</v>
      </c>
      <c r="AX236">
        <v>3.75</v>
      </c>
      <c r="AY236">
        <v>48.5</v>
      </c>
      <c r="AZ236">
        <v>4.375</v>
      </c>
      <c r="BA236">
        <v>418.43</v>
      </c>
      <c r="BB236">
        <v>4.71</v>
      </c>
      <c r="BC236">
        <v>52</v>
      </c>
      <c r="BD236">
        <v>0.3125</v>
      </c>
      <c r="BE236">
        <v>2.75</v>
      </c>
      <c r="BF236">
        <v>30.875</v>
      </c>
      <c r="BG236">
        <v>3</v>
      </c>
      <c r="BH236">
        <v>116.58</v>
      </c>
      <c r="BI236">
        <v>5.48</v>
      </c>
      <c r="BJ236">
        <v>16</v>
      </c>
      <c r="BL236">
        <v>535.01</v>
      </c>
      <c r="BM236">
        <v>68</v>
      </c>
      <c r="BN236">
        <v>304.95010000000002</v>
      </c>
      <c r="BO236">
        <v>1116</v>
      </c>
      <c r="BP236">
        <v>0</v>
      </c>
      <c r="BQ236">
        <v>42</v>
      </c>
      <c r="BR236">
        <v>42</v>
      </c>
      <c r="BS236">
        <v>41.91</v>
      </c>
      <c r="BT236">
        <v>0</v>
      </c>
      <c r="BV236">
        <v>0</v>
      </c>
      <c r="BW236" t="s">
        <v>655</v>
      </c>
      <c r="BX236">
        <v>0.17</v>
      </c>
      <c r="BY236">
        <v>7.1246999999999998</v>
      </c>
      <c r="BZ236">
        <v>0</v>
      </c>
      <c r="CA236">
        <v>1</v>
      </c>
      <c r="CB236">
        <v>0.6</v>
      </c>
      <c r="CC236" s="3">
        <v>7.1269159999999998E-2</v>
      </c>
      <c r="CD236">
        <v>2.875</v>
      </c>
      <c r="CE236">
        <v>2.5</v>
      </c>
      <c r="CF236">
        <v>18</v>
      </c>
      <c r="CG236">
        <v>6</v>
      </c>
      <c r="CH236">
        <v>0</v>
      </c>
      <c r="CI236">
        <v>41.91</v>
      </c>
      <c r="CJ236">
        <v>522.33240000000001</v>
      </c>
    </row>
    <row r="237" spans="1:88">
      <c r="A237">
        <v>235</v>
      </c>
      <c r="B237" t="s">
        <v>0</v>
      </c>
      <c r="C237" t="s">
        <v>1</v>
      </c>
      <c r="D237" t="s">
        <v>229</v>
      </c>
      <c r="E237" t="s">
        <v>293</v>
      </c>
      <c r="F237" t="s">
        <v>480</v>
      </c>
      <c r="G237" t="s">
        <v>106</v>
      </c>
      <c r="H237" t="s">
        <v>169</v>
      </c>
      <c r="J237">
        <v>2</v>
      </c>
      <c r="K237" t="s">
        <v>146</v>
      </c>
      <c r="L237" t="s">
        <v>552</v>
      </c>
      <c r="M237" t="s">
        <v>465</v>
      </c>
      <c r="N237" t="s">
        <v>145</v>
      </c>
      <c r="O237">
        <v>151</v>
      </c>
      <c r="Q237">
        <v>464</v>
      </c>
      <c r="R237">
        <v>75</v>
      </c>
      <c r="S237">
        <v>4.25</v>
      </c>
      <c r="T237">
        <v>4.0720000000000001</v>
      </c>
      <c r="U237">
        <v>6.75</v>
      </c>
      <c r="V237">
        <v>1970.81</v>
      </c>
      <c r="W237">
        <v>503</v>
      </c>
      <c r="X237">
        <v>1.3332999999999999</v>
      </c>
      <c r="Y237">
        <v>365</v>
      </c>
      <c r="Z237">
        <v>5.4</v>
      </c>
      <c r="AJ237">
        <v>2</v>
      </c>
      <c r="AK237">
        <v>18</v>
      </c>
      <c r="AM237">
        <v>0</v>
      </c>
      <c r="AO237" t="s">
        <v>173</v>
      </c>
      <c r="AT237">
        <v>58</v>
      </c>
      <c r="AV237">
        <v>40.799999999999997</v>
      </c>
      <c r="AW237">
        <v>0</v>
      </c>
      <c r="AX237">
        <v>0</v>
      </c>
      <c r="AY237">
        <v>55.5</v>
      </c>
      <c r="AZ237">
        <v>5.125</v>
      </c>
      <c r="BA237">
        <v>0</v>
      </c>
      <c r="BB237">
        <v>0</v>
      </c>
      <c r="BC237">
        <v>60</v>
      </c>
      <c r="BN237">
        <v>194.38339999999999</v>
      </c>
      <c r="BO237">
        <v>2746</v>
      </c>
      <c r="BP237">
        <v>0</v>
      </c>
      <c r="BQ237">
        <v>52</v>
      </c>
      <c r="BR237">
        <v>52</v>
      </c>
      <c r="BS237">
        <v>51.65</v>
      </c>
      <c r="BT237">
        <v>0</v>
      </c>
      <c r="BV237">
        <v>0</v>
      </c>
      <c r="BW237" t="s">
        <v>655</v>
      </c>
      <c r="BX237">
        <v>0.17</v>
      </c>
      <c r="BY237">
        <v>8.7805009999999992</v>
      </c>
      <c r="BZ237">
        <v>0</v>
      </c>
      <c r="CA237">
        <v>1</v>
      </c>
      <c r="CB237">
        <v>0.6</v>
      </c>
      <c r="CC237" s="3">
        <v>7.1269159999999998E-2</v>
      </c>
      <c r="CD237">
        <v>2.875</v>
      </c>
      <c r="CE237">
        <v>2.5</v>
      </c>
      <c r="CF237">
        <v>18</v>
      </c>
      <c r="CG237">
        <v>6</v>
      </c>
      <c r="CH237">
        <v>0</v>
      </c>
      <c r="CI237">
        <v>51.65</v>
      </c>
      <c r="CJ237">
        <v>414.11829999999998</v>
      </c>
    </row>
    <row r="238" spans="1:88">
      <c r="A238">
        <v>236</v>
      </c>
      <c r="B238" t="s">
        <v>0</v>
      </c>
      <c r="C238" t="s">
        <v>1</v>
      </c>
      <c r="D238" t="s">
        <v>340</v>
      </c>
      <c r="E238" t="s">
        <v>219</v>
      </c>
      <c r="F238" t="s">
        <v>384</v>
      </c>
      <c r="G238" t="s">
        <v>106</v>
      </c>
      <c r="H238" t="s">
        <v>172</v>
      </c>
      <c r="J238">
        <v>2</v>
      </c>
      <c r="K238" t="s">
        <v>146</v>
      </c>
      <c r="L238" t="s">
        <v>369</v>
      </c>
      <c r="M238" t="s">
        <v>220</v>
      </c>
      <c r="N238" t="s">
        <v>221</v>
      </c>
      <c r="O238">
        <v>101</v>
      </c>
      <c r="Q238">
        <v>372</v>
      </c>
      <c r="R238">
        <v>85</v>
      </c>
      <c r="S238">
        <v>4.25</v>
      </c>
      <c r="T238">
        <v>2.8119999999999998</v>
      </c>
      <c r="U238">
        <v>5.92</v>
      </c>
      <c r="V238">
        <v>1580.27</v>
      </c>
      <c r="W238">
        <v>502</v>
      </c>
      <c r="X238">
        <v>1.3332999999999999</v>
      </c>
      <c r="Y238">
        <v>382</v>
      </c>
      <c r="Z238">
        <v>4.1399999999999997</v>
      </c>
      <c r="AJ238">
        <v>2</v>
      </c>
      <c r="AK238">
        <v>18</v>
      </c>
      <c r="AM238">
        <v>0</v>
      </c>
      <c r="AO238" t="s">
        <v>490</v>
      </c>
      <c r="AT238">
        <v>40</v>
      </c>
      <c r="AV238">
        <v>47.3</v>
      </c>
      <c r="AW238">
        <v>0</v>
      </c>
      <c r="AX238">
        <v>0</v>
      </c>
      <c r="AY238">
        <v>37.25</v>
      </c>
      <c r="AZ238">
        <v>3.625</v>
      </c>
      <c r="BA238">
        <v>0</v>
      </c>
      <c r="BB238">
        <v>0</v>
      </c>
      <c r="BC238">
        <v>38</v>
      </c>
      <c r="BN238">
        <v>226.48339999999999</v>
      </c>
      <c r="BO238">
        <v>2023</v>
      </c>
      <c r="BP238">
        <v>0</v>
      </c>
      <c r="BQ238">
        <v>34</v>
      </c>
      <c r="BR238">
        <v>34</v>
      </c>
      <c r="BS238">
        <v>34.26</v>
      </c>
      <c r="BT238">
        <v>0</v>
      </c>
      <c r="BV238">
        <v>0</v>
      </c>
      <c r="BW238" t="s">
        <v>655</v>
      </c>
      <c r="BX238">
        <v>0.17</v>
      </c>
      <c r="BY238">
        <v>5.8242000000000003</v>
      </c>
      <c r="BZ238">
        <v>0</v>
      </c>
      <c r="CA238">
        <v>1</v>
      </c>
      <c r="CB238">
        <v>0.6</v>
      </c>
      <c r="CC238" s="3">
        <v>7.1269159999999998E-2</v>
      </c>
      <c r="CD238">
        <v>2.875</v>
      </c>
      <c r="CE238">
        <v>2.5</v>
      </c>
      <c r="CF238">
        <v>18</v>
      </c>
      <c r="CG238">
        <v>6</v>
      </c>
      <c r="CH238">
        <v>0</v>
      </c>
      <c r="CI238">
        <v>34.26</v>
      </c>
      <c r="CJ238">
        <v>318.63940000000002</v>
      </c>
    </row>
    <row r="239" spans="1:88">
      <c r="A239">
        <v>237</v>
      </c>
      <c r="B239" t="s">
        <v>13</v>
      </c>
      <c r="C239" t="s">
        <v>1</v>
      </c>
      <c r="D239" t="s">
        <v>207</v>
      </c>
      <c r="E239" t="s">
        <v>143</v>
      </c>
      <c r="F239" t="s">
        <v>149</v>
      </c>
      <c r="G239" t="s">
        <v>106</v>
      </c>
      <c r="H239" t="s">
        <v>185</v>
      </c>
      <c r="J239">
        <v>2</v>
      </c>
      <c r="K239" t="s">
        <v>146</v>
      </c>
      <c r="L239" t="s">
        <v>297</v>
      </c>
      <c r="M239" t="s">
        <v>206</v>
      </c>
      <c r="N239" t="s">
        <v>131</v>
      </c>
      <c r="O239">
        <v>155</v>
      </c>
      <c r="Q239">
        <v>612</v>
      </c>
      <c r="R239">
        <v>93</v>
      </c>
      <c r="S239">
        <v>4.25</v>
      </c>
      <c r="T239">
        <v>4.1660000000000004</v>
      </c>
      <c r="U239">
        <v>6.78</v>
      </c>
      <c r="V239">
        <v>2600.27</v>
      </c>
      <c r="W239">
        <v>634</v>
      </c>
      <c r="X239">
        <v>1.3332999999999999</v>
      </c>
      <c r="Y239">
        <v>474</v>
      </c>
      <c r="Z239">
        <v>5.49</v>
      </c>
      <c r="AJ239">
        <v>2</v>
      </c>
      <c r="AK239">
        <v>18</v>
      </c>
      <c r="AM239">
        <v>0</v>
      </c>
      <c r="AO239" t="s">
        <v>294</v>
      </c>
      <c r="AT239">
        <v>59</v>
      </c>
      <c r="AV239">
        <v>52.8</v>
      </c>
      <c r="AW239">
        <v>0.46875</v>
      </c>
      <c r="AX239">
        <v>3.75</v>
      </c>
      <c r="AY239">
        <v>56.5</v>
      </c>
      <c r="AZ239">
        <v>5.125</v>
      </c>
      <c r="BA239">
        <v>358.98</v>
      </c>
      <c r="BB239">
        <v>5.49</v>
      </c>
      <c r="BC239">
        <v>61</v>
      </c>
      <c r="BD239">
        <v>0.3125</v>
      </c>
      <c r="BE239">
        <v>2.75</v>
      </c>
      <c r="BF239">
        <v>31.375</v>
      </c>
      <c r="BG239">
        <v>3.375</v>
      </c>
      <c r="BH239">
        <v>114.65</v>
      </c>
      <c r="BI239">
        <v>5.57</v>
      </c>
      <c r="BJ239">
        <v>17</v>
      </c>
      <c r="BL239">
        <v>473.63</v>
      </c>
      <c r="BM239">
        <v>77</v>
      </c>
      <c r="BN239">
        <v>253.23339999999999</v>
      </c>
      <c r="BO239">
        <v>1618</v>
      </c>
      <c r="BP239">
        <v>0</v>
      </c>
      <c r="BQ239">
        <v>53</v>
      </c>
      <c r="BR239">
        <v>53</v>
      </c>
      <c r="BS239">
        <v>53.04</v>
      </c>
      <c r="BT239">
        <v>0</v>
      </c>
      <c r="BV239">
        <v>0</v>
      </c>
      <c r="BW239" t="s">
        <v>655</v>
      </c>
      <c r="BX239">
        <v>0.17</v>
      </c>
      <c r="BY239">
        <v>9.0167999999999999</v>
      </c>
      <c r="BZ239">
        <v>0</v>
      </c>
      <c r="CA239">
        <v>1</v>
      </c>
      <c r="CB239">
        <v>0.6</v>
      </c>
      <c r="CC239" s="3">
        <v>7.1269159999999998E-2</v>
      </c>
      <c r="CD239">
        <v>2.875</v>
      </c>
      <c r="CE239">
        <v>2.5</v>
      </c>
      <c r="CF239">
        <v>18</v>
      </c>
      <c r="CG239">
        <v>6</v>
      </c>
      <c r="CH239">
        <v>0</v>
      </c>
      <c r="CI239">
        <v>53.04</v>
      </c>
      <c r="CJ239">
        <v>550.00689999999997</v>
      </c>
    </row>
    <row r="240" spans="1:88">
      <c r="A240">
        <v>238</v>
      </c>
      <c r="B240" t="s">
        <v>13</v>
      </c>
      <c r="C240" t="s">
        <v>1</v>
      </c>
      <c r="D240" t="s">
        <v>233</v>
      </c>
      <c r="E240" t="s">
        <v>233</v>
      </c>
      <c r="F240" t="s">
        <v>271</v>
      </c>
      <c r="G240" t="s">
        <v>106</v>
      </c>
      <c r="H240" t="s">
        <v>279</v>
      </c>
      <c r="J240">
        <v>2</v>
      </c>
      <c r="K240" t="s">
        <v>146</v>
      </c>
      <c r="L240" t="s">
        <v>251</v>
      </c>
      <c r="M240" t="s">
        <v>236</v>
      </c>
      <c r="N240" t="s">
        <v>272</v>
      </c>
      <c r="O240">
        <v>157</v>
      </c>
      <c r="Q240">
        <v>636</v>
      </c>
      <c r="R240">
        <v>96</v>
      </c>
      <c r="S240">
        <v>4.25</v>
      </c>
      <c r="T240">
        <v>4.2130000000000001</v>
      </c>
      <c r="U240">
        <v>6.82</v>
      </c>
      <c r="V240">
        <v>2702.44</v>
      </c>
      <c r="W240">
        <v>653</v>
      </c>
      <c r="X240">
        <v>1.3332999999999999</v>
      </c>
      <c r="Y240">
        <v>488</v>
      </c>
      <c r="Z240">
        <v>5.54</v>
      </c>
      <c r="AJ240">
        <v>2</v>
      </c>
      <c r="AK240">
        <v>18</v>
      </c>
      <c r="AM240">
        <v>0</v>
      </c>
      <c r="AO240" t="s">
        <v>144</v>
      </c>
      <c r="AT240">
        <v>60</v>
      </c>
      <c r="AV240">
        <v>54.2</v>
      </c>
      <c r="AW240" t="s">
        <v>6</v>
      </c>
      <c r="AX240" t="s">
        <v>6</v>
      </c>
      <c r="AY240" t="s">
        <v>6</v>
      </c>
      <c r="AZ240" t="s">
        <v>6</v>
      </c>
      <c r="BA240" t="s">
        <v>6</v>
      </c>
      <c r="BB240" t="s">
        <v>6</v>
      </c>
      <c r="BC240" t="s">
        <v>6</v>
      </c>
      <c r="BD240" t="s">
        <v>6</v>
      </c>
      <c r="BE240" t="s">
        <v>6</v>
      </c>
      <c r="BF240" t="s">
        <v>6</v>
      </c>
      <c r="BG240" t="s">
        <v>6</v>
      </c>
      <c r="BH240" t="s">
        <v>6</v>
      </c>
      <c r="BI240" t="s">
        <v>6</v>
      </c>
      <c r="BJ240" t="s">
        <v>6</v>
      </c>
      <c r="BN240">
        <v>260.36669999999998</v>
      </c>
      <c r="BO240">
        <v>1531</v>
      </c>
      <c r="BP240">
        <v>0</v>
      </c>
      <c r="BQ240">
        <v>54</v>
      </c>
      <c r="BR240">
        <v>54</v>
      </c>
      <c r="BS240">
        <v>53.73</v>
      </c>
      <c r="BT240">
        <v>0</v>
      </c>
      <c r="BV240">
        <v>0</v>
      </c>
      <c r="BW240" t="s">
        <v>655</v>
      </c>
      <c r="BX240">
        <v>0.17</v>
      </c>
      <c r="BY240">
        <v>9.1341000000000001</v>
      </c>
      <c r="BZ240">
        <v>0</v>
      </c>
      <c r="CA240">
        <v>1</v>
      </c>
      <c r="CB240">
        <v>0.6</v>
      </c>
      <c r="CC240" s="3">
        <v>7.1269159999999998E-2</v>
      </c>
      <c r="CD240">
        <v>2.875</v>
      </c>
      <c r="CE240">
        <v>2.5</v>
      </c>
      <c r="CF240">
        <v>18</v>
      </c>
      <c r="CG240">
        <v>6</v>
      </c>
      <c r="CH240">
        <v>0</v>
      </c>
      <c r="CI240">
        <v>53.73</v>
      </c>
      <c r="CJ240">
        <v>572.47910000000002</v>
      </c>
    </row>
    <row r="241" spans="1:88">
      <c r="A241">
        <v>239</v>
      </c>
      <c r="B241" t="s">
        <v>13</v>
      </c>
      <c r="C241" t="s">
        <v>1</v>
      </c>
      <c r="D241" t="s">
        <v>133</v>
      </c>
      <c r="E241" t="s">
        <v>128</v>
      </c>
      <c r="F241" t="s">
        <v>298</v>
      </c>
      <c r="G241" t="s">
        <v>106</v>
      </c>
      <c r="H241" t="s">
        <v>257</v>
      </c>
      <c r="J241">
        <v>2</v>
      </c>
      <c r="K241" t="s">
        <v>146</v>
      </c>
      <c r="L241" t="s">
        <v>272</v>
      </c>
      <c r="M241" t="s">
        <v>132</v>
      </c>
      <c r="N241" t="s">
        <v>133</v>
      </c>
      <c r="O241">
        <v>140</v>
      </c>
      <c r="Q241">
        <v>519</v>
      </c>
      <c r="R241">
        <v>88</v>
      </c>
      <c r="S241">
        <v>4.25</v>
      </c>
      <c r="T241">
        <v>3.8069999999999999</v>
      </c>
      <c r="U241">
        <v>6.52</v>
      </c>
      <c r="V241">
        <v>2206.17</v>
      </c>
      <c r="W241">
        <v>572</v>
      </c>
      <c r="X241">
        <v>1.3332999999999999</v>
      </c>
      <c r="Y241">
        <v>429</v>
      </c>
      <c r="Z241">
        <v>5.14</v>
      </c>
      <c r="AJ241">
        <v>2</v>
      </c>
      <c r="AK241">
        <v>18</v>
      </c>
      <c r="AM241">
        <v>0</v>
      </c>
      <c r="AO241" t="s">
        <v>301</v>
      </c>
      <c r="AT241">
        <v>54</v>
      </c>
      <c r="AV241">
        <v>49.1</v>
      </c>
      <c r="AW241">
        <v>0.46875</v>
      </c>
      <c r="AX241">
        <v>3.75</v>
      </c>
      <c r="AY241">
        <v>52.875</v>
      </c>
      <c r="AZ241">
        <v>4.75</v>
      </c>
      <c r="BA241">
        <v>383.42</v>
      </c>
      <c r="BB241">
        <v>5.14</v>
      </c>
      <c r="BC241">
        <v>57</v>
      </c>
      <c r="BD241">
        <v>0.25</v>
      </c>
      <c r="BE241">
        <v>2.75</v>
      </c>
      <c r="BF241">
        <v>25.125</v>
      </c>
      <c r="BG241">
        <v>2.625</v>
      </c>
      <c r="BH241">
        <v>45.78</v>
      </c>
      <c r="BI241">
        <v>7.5</v>
      </c>
      <c r="BJ241">
        <v>11</v>
      </c>
      <c r="BL241">
        <v>429.2</v>
      </c>
      <c r="BM241">
        <v>67</v>
      </c>
      <c r="BN241">
        <v>235.40010000000001</v>
      </c>
      <c r="BO241">
        <v>1873</v>
      </c>
      <c r="BP241">
        <v>0</v>
      </c>
      <c r="BQ241">
        <v>48</v>
      </c>
      <c r="BR241">
        <v>48</v>
      </c>
      <c r="BS241">
        <v>47.82</v>
      </c>
      <c r="BT241">
        <v>0</v>
      </c>
      <c r="BV241">
        <v>0</v>
      </c>
      <c r="BW241" t="s">
        <v>655</v>
      </c>
      <c r="BX241">
        <v>0.17</v>
      </c>
      <c r="BY241">
        <v>8.1294000000000004</v>
      </c>
      <c r="BZ241">
        <v>0</v>
      </c>
      <c r="CA241">
        <v>1</v>
      </c>
      <c r="CB241">
        <v>0.6</v>
      </c>
      <c r="CC241" s="3">
        <v>7.1269159999999998E-2</v>
      </c>
      <c r="CD241">
        <v>2.875</v>
      </c>
      <c r="CE241">
        <v>2.5</v>
      </c>
      <c r="CF241">
        <v>18</v>
      </c>
      <c r="CG241">
        <v>6</v>
      </c>
      <c r="CH241">
        <v>0</v>
      </c>
      <c r="CI241">
        <v>47.82</v>
      </c>
      <c r="CJ241">
        <v>461.79640000000001</v>
      </c>
    </row>
    <row r="242" spans="1:88">
      <c r="A242">
        <v>240</v>
      </c>
      <c r="B242" t="s">
        <v>13</v>
      </c>
      <c r="C242" t="s">
        <v>1</v>
      </c>
      <c r="D242" t="s">
        <v>438</v>
      </c>
      <c r="E242" t="s">
        <v>491</v>
      </c>
      <c r="F242" t="s">
        <v>319</v>
      </c>
      <c r="G242" t="s">
        <v>106</v>
      </c>
      <c r="H242" t="s">
        <v>464</v>
      </c>
      <c r="J242">
        <v>2</v>
      </c>
      <c r="K242" t="s">
        <v>146</v>
      </c>
      <c r="L242" t="s">
        <v>537</v>
      </c>
      <c r="M242" t="s">
        <v>492</v>
      </c>
      <c r="N242" t="s">
        <v>493</v>
      </c>
      <c r="O242">
        <v>47</v>
      </c>
      <c r="Q242">
        <v>134</v>
      </c>
      <c r="R242">
        <v>61</v>
      </c>
      <c r="S242">
        <v>4.25</v>
      </c>
      <c r="T242">
        <v>1.2390000000000001</v>
      </c>
      <c r="U242">
        <v>5.0599999999999996</v>
      </c>
      <c r="V242">
        <v>568.55999999999995</v>
      </c>
      <c r="W242">
        <v>310</v>
      </c>
      <c r="X242">
        <v>1.5</v>
      </c>
      <c r="Y242">
        <v>208</v>
      </c>
      <c r="Z242">
        <v>2.73</v>
      </c>
      <c r="AJ242">
        <v>2</v>
      </c>
      <c r="AK242">
        <v>18</v>
      </c>
      <c r="AM242">
        <v>0</v>
      </c>
      <c r="AO242" t="s">
        <v>408</v>
      </c>
      <c r="AT242">
        <v>22</v>
      </c>
      <c r="AV242">
        <v>32.4</v>
      </c>
      <c r="AW242">
        <v>0</v>
      </c>
      <c r="AX242">
        <v>0</v>
      </c>
      <c r="AY242">
        <v>12.25</v>
      </c>
      <c r="AZ242">
        <v>1.75</v>
      </c>
      <c r="BA242">
        <v>0</v>
      </c>
      <c r="BB242">
        <v>0</v>
      </c>
      <c r="BC242">
        <v>9</v>
      </c>
      <c r="BN242">
        <v>153.36670000000001</v>
      </c>
      <c r="BO242">
        <v>4412</v>
      </c>
      <c r="BP242">
        <v>0</v>
      </c>
      <c r="BQ242">
        <v>15</v>
      </c>
      <c r="BR242">
        <v>15</v>
      </c>
      <c r="BS242">
        <v>15.47</v>
      </c>
      <c r="BT242">
        <v>0</v>
      </c>
      <c r="BV242">
        <v>0</v>
      </c>
      <c r="BW242" t="s">
        <v>655</v>
      </c>
      <c r="BX242">
        <v>0.17</v>
      </c>
      <c r="BY242">
        <v>2.6299000000000001</v>
      </c>
      <c r="BZ242">
        <v>0</v>
      </c>
      <c r="CA242">
        <v>1</v>
      </c>
      <c r="CB242">
        <v>0.6</v>
      </c>
      <c r="CC242" s="3">
        <v>7.1269159999999998E-2</v>
      </c>
      <c r="CD242">
        <v>2.875</v>
      </c>
      <c r="CE242">
        <v>2.5</v>
      </c>
      <c r="CF242">
        <v>18</v>
      </c>
      <c r="CG242">
        <v>6</v>
      </c>
      <c r="CH242">
        <v>0</v>
      </c>
      <c r="CI242">
        <v>15.47</v>
      </c>
      <c r="CJ242">
        <v>98.676779999999994</v>
      </c>
    </row>
    <row r="243" spans="1:88">
      <c r="A243">
        <v>241</v>
      </c>
      <c r="B243" t="s">
        <v>13</v>
      </c>
      <c r="C243" t="s">
        <v>1</v>
      </c>
      <c r="D243" t="s">
        <v>178</v>
      </c>
      <c r="E243" t="s">
        <v>169</v>
      </c>
      <c r="F243" t="s">
        <v>408</v>
      </c>
      <c r="G243" t="s">
        <v>106</v>
      </c>
      <c r="H243" t="s">
        <v>141</v>
      </c>
      <c r="J243">
        <v>2</v>
      </c>
      <c r="K243" t="s">
        <v>146</v>
      </c>
      <c r="L243" t="s">
        <v>381</v>
      </c>
      <c r="M243" t="s">
        <v>173</v>
      </c>
      <c r="N243" t="s">
        <v>174</v>
      </c>
      <c r="O243">
        <v>119</v>
      </c>
      <c r="Q243">
        <v>291</v>
      </c>
      <c r="R243">
        <v>60</v>
      </c>
      <c r="S243">
        <v>4.25</v>
      </c>
      <c r="T243">
        <v>3.2829999999999999</v>
      </c>
      <c r="U243">
        <v>6.15</v>
      </c>
      <c r="V243">
        <v>1238.1500000000001</v>
      </c>
      <c r="W243">
        <v>370</v>
      </c>
      <c r="X243">
        <v>1.3332999999999999</v>
      </c>
      <c r="Y243">
        <v>269</v>
      </c>
      <c r="Z243">
        <v>4.6100000000000003</v>
      </c>
      <c r="AJ243">
        <v>2</v>
      </c>
      <c r="AK243">
        <v>18</v>
      </c>
      <c r="AM243">
        <v>0</v>
      </c>
      <c r="AO243" t="s">
        <v>409</v>
      </c>
      <c r="AT243">
        <v>47</v>
      </c>
      <c r="AV243">
        <v>31.7</v>
      </c>
      <c r="AW243">
        <v>0</v>
      </c>
      <c r="AX243">
        <v>0</v>
      </c>
      <c r="AY243">
        <v>36.25</v>
      </c>
      <c r="AZ243">
        <v>3.75</v>
      </c>
      <c r="BA243">
        <v>0</v>
      </c>
      <c r="BB243">
        <v>0</v>
      </c>
      <c r="BC243">
        <v>34</v>
      </c>
      <c r="BN243">
        <v>149.80000000000001</v>
      </c>
      <c r="BO243">
        <v>4624</v>
      </c>
      <c r="BP243">
        <v>0</v>
      </c>
      <c r="BQ243">
        <v>41</v>
      </c>
      <c r="BR243">
        <v>41</v>
      </c>
      <c r="BS243">
        <v>40.520000000000003</v>
      </c>
      <c r="BT243">
        <v>0</v>
      </c>
      <c r="BV243">
        <v>0</v>
      </c>
      <c r="BW243" t="s">
        <v>655</v>
      </c>
      <c r="BX243">
        <v>0.17</v>
      </c>
      <c r="BY243">
        <v>6.8883999999999999</v>
      </c>
      <c r="BZ243">
        <v>0</v>
      </c>
      <c r="CA243">
        <v>1</v>
      </c>
      <c r="CB243">
        <v>0.6</v>
      </c>
      <c r="CC243" s="3">
        <v>7.1269159999999998E-2</v>
      </c>
      <c r="CD243">
        <v>2.875</v>
      </c>
      <c r="CE243">
        <v>2.5</v>
      </c>
      <c r="CF243">
        <v>18</v>
      </c>
      <c r="CG243">
        <v>6</v>
      </c>
      <c r="CH243">
        <v>0</v>
      </c>
      <c r="CI243">
        <v>40.520000000000003</v>
      </c>
      <c r="CJ243">
        <v>252.6848</v>
      </c>
    </row>
    <row r="244" spans="1:88">
      <c r="A244">
        <v>242</v>
      </c>
      <c r="B244" t="s">
        <v>0</v>
      </c>
      <c r="C244" t="s">
        <v>1</v>
      </c>
      <c r="D244" t="s">
        <v>434</v>
      </c>
      <c r="E244" t="s">
        <v>307</v>
      </c>
      <c r="F244" t="s">
        <v>494</v>
      </c>
      <c r="G244" t="s">
        <v>106</v>
      </c>
      <c r="H244" t="s">
        <v>495</v>
      </c>
      <c r="J244">
        <v>2</v>
      </c>
      <c r="K244" t="s">
        <v>108</v>
      </c>
      <c r="L244" t="s">
        <v>364</v>
      </c>
      <c r="M244" t="s">
        <v>308</v>
      </c>
      <c r="N244" t="s">
        <v>122</v>
      </c>
      <c r="O244">
        <v>124</v>
      </c>
      <c r="Q244">
        <v>618</v>
      </c>
      <c r="R244">
        <v>114</v>
      </c>
      <c r="S244">
        <v>4.25</v>
      </c>
      <c r="T244">
        <v>3.41</v>
      </c>
      <c r="U244">
        <v>6.22</v>
      </c>
      <c r="V244">
        <v>2624.75</v>
      </c>
      <c r="W244">
        <v>710</v>
      </c>
      <c r="X244">
        <v>1.3332999999999999</v>
      </c>
      <c r="Y244">
        <v>554</v>
      </c>
      <c r="Z244">
        <v>4.74</v>
      </c>
      <c r="AJ244">
        <v>2</v>
      </c>
      <c r="AK244">
        <v>18</v>
      </c>
      <c r="AM244">
        <v>0</v>
      </c>
      <c r="AO244" t="s">
        <v>496</v>
      </c>
      <c r="AT244">
        <v>48</v>
      </c>
      <c r="AV244">
        <v>65.599999999999994</v>
      </c>
      <c r="AW244">
        <v>0.40625</v>
      </c>
      <c r="AX244">
        <v>3.75</v>
      </c>
      <c r="AY244">
        <v>35.125</v>
      </c>
      <c r="AZ244">
        <v>3.875</v>
      </c>
      <c r="BA244">
        <v>276.87</v>
      </c>
      <c r="BB244">
        <v>4.78</v>
      </c>
      <c r="BC244">
        <v>33</v>
      </c>
      <c r="BD244">
        <v>0.40625</v>
      </c>
      <c r="BE244">
        <v>3.75</v>
      </c>
      <c r="BF244">
        <v>35.125</v>
      </c>
      <c r="BG244">
        <v>3.875</v>
      </c>
      <c r="BH244">
        <v>276.87</v>
      </c>
      <c r="BI244">
        <v>4.78</v>
      </c>
      <c r="BJ244">
        <v>33</v>
      </c>
      <c r="BL244">
        <v>553.74</v>
      </c>
      <c r="BM244">
        <v>66</v>
      </c>
      <c r="BN244">
        <v>315.65010000000001</v>
      </c>
      <c r="BO244">
        <v>1041</v>
      </c>
      <c r="BP244">
        <v>0</v>
      </c>
      <c r="BQ244">
        <v>42</v>
      </c>
      <c r="BR244">
        <v>42</v>
      </c>
      <c r="BS244">
        <v>42.26</v>
      </c>
      <c r="BT244">
        <v>0</v>
      </c>
      <c r="BV244">
        <v>0</v>
      </c>
      <c r="BW244" t="s">
        <v>655</v>
      </c>
      <c r="BX244">
        <v>0.17</v>
      </c>
      <c r="BY244">
        <v>7.1841999999999997</v>
      </c>
      <c r="BZ244">
        <v>0</v>
      </c>
      <c r="CA244">
        <v>1</v>
      </c>
      <c r="CB244">
        <v>0.6</v>
      </c>
      <c r="CC244" s="3">
        <v>7.1269159999999998E-2</v>
      </c>
      <c r="CD244">
        <v>2.875</v>
      </c>
      <c r="CE244">
        <v>2.5</v>
      </c>
      <c r="CF244">
        <v>18</v>
      </c>
      <c r="CG244">
        <v>6</v>
      </c>
      <c r="CH244">
        <v>0</v>
      </c>
      <c r="CI244">
        <v>42.26</v>
      </c>
      <c r="CJ244">
        <v>544.76559999999995</v>
      </c>
    </row>
    <row r="245" spans="1:88">
      <c r="A245">
        <v>243</v>
      </c>
      <c r="B245" t="s">
        <v>0</v>
      </c>
      <c r="C245" t="s">
        <v>1</v>
      </c>
      <c r="D245" t="s">
        <v>454</v>
      </c>
      <c r="E245" t="s">
        <v>381</v>
      </c>
      <c r="F245" t="s">
        <v>417</v>
      </c>
      <c r="G245" t="s">
        <v>214</v>
      </c>
      <c r="H245" t="s">
        <v>497</v>
      </c>
      <c r="J245">
        <v>2</v>
      </c>
      <c r="K245" t="s">
        <v>108</v>
      </c>
      <c r="L245" t="s">
        <v>267</v>
      </c>
      <c r="M245" t="s">
        <v>384</v>
      </c>
      <c r="N245" t="s">
        <v>257</v>
      </c>
      <c r="O245">
        <v>139</v>
      </c>
      <c r="Q245">
        <v>723</v>
      </c>
      <c r="R245">
        <v>120</v>
      </c>
      <c r="S245">
        <v>4.25</v>
      </c>
      <c r="T245">
        <v>3.7829999999999999</v>
      </c>
      <c r="U245">
        <v>6.52</v>
      </c>
      <c r="V245">
        <v>3073.17</v>
      </c>
      <c r="W245">
        <v>785</v>
      </c>
      <c r="X245">
        <v>1.3332999999999999</v>
      </c>
      <c r="Y245">
        <v>601</v>
      </c>
      <c r="Z245">
        <v>5.1100000000000003</v>
      </c>
      <c r="AJ245">
        <v>2</v>
      </c>
      <c r="AK245">
        <v>18</v>
      </c>
      <c r="AM245">
        <v>0</v>
      </c>
      <c r="AO245" t="s">
        <v>163</v>
      </c>
      <c r="AT245">
        <v>54</v>
      </c>
      <c r="AV245">
        <v>69.2</v>
      </c>
      <c r="AW245" t="s">
        <v>6</v>
      </c>
      <c r="AX245" t="s">
        <v>6</v>
      </c>
      <c r="AY245" t="s">
        <v>6</v>
      </c>
      <c r="AZ245" t="s">
        <v>6</v>
      </c>
      <c r="BA245" t="s">
        <v>6</v>
      </c>
      <c r="BB245" t="s">
        <v>6</v>
      </c>
      <c r="BC245" t="s">
        <v>6</v>
      </c>
      <c r="BD245" t="s">
        <v>6</v>
      </c>
      <c r="BE245" t="s">
        <v>6</v>
      </c>
      <c r="BF245" t="s">
        <v>6</v>
      </c>
      <c r="BG245" t="s">
        <v>6</v>
      </c>
      <c r="BH245" t="s">
        <v>6</v>
      </c>
      <c r="BI245" t="s">
        <v>6</v>
      </c>
      <c r="BJ245" t="s">
        <v>6</v>
      </c>
      <c r="BN245">
        <v>336.28829999999999</v>
      </c>
      <c r="BO245">
        <v>1151</v>
      </c>
      <c r="BP245">
        <v>0</v>
      </c>
      <c r="BQ245">
        <v>47</v>
      </c>
      <c r="BR245">
        <v>47</v>
      </c>
      <c r="BS245">
        <v>47.47</v>
      </c>
      <c r="BT245">
        <v>0</v>
      </c>
      <c r="BV245">
        <v>0</v>
      </c>
      <c r="BW245" t="s">
        <v>655</v>
      </c>
      <c r="BX245">
        <v>0.17</v>
      </c>
      <c r="BY245">
        <v>8.0699009999999998</v>
      </c>
      <c r="BZ245">
        <v>0</v>
      </c>
      <c r="CA245">
        <v>1</v>
      </c>
      <c r="CB245">
        <v>0.6</v>
      </c>
      <c r="CC245" s="3">
        <v>7.1269159999999998E-2</v>
      </c>
      <c r="CD245">
        <v>2.875</v>
      </c>
      <c r="CE245">
        <v>2.5</v>
      </c>
      <c r="CF245">
        <v>18</v>
      </c>
      <c r="CG245">
        <v>6</v>
      </c>
      <c r="CH245">
        <v>0</v>
      </c>
      <c r="CI245">
        <v>47.47</v>
      </c>
      <c r="CJ245">
        <v>645.75810000000001</v>
      </c>
    </row>
    <row r="246" spans="1:88">
      <c r="A246">
        <v>244</v>
      </c>
      <c r="B246" t="s">
        <v>13</v>
      </c>
      <c r="C246" t="s">
        <v>1</v>
      </c>
      <c r="D246" t="s">
        <v>199</v>
      </c>
      <c r="E246" t="s">
        <v>139</v>
      </c>
      <c r="F246" t="s">
        <v>216</v>
      </c>
      <c r="G246" t="s">
        <v>106</v>
      </c>
      <c r="H246" t="s">
        <v>336</v>
      </c>
      <c r="J246">
        <v>2</v>
      </c>
      <c r="K246" t="s">
        <v>108</v>
      </c>
      <c r="L246" t="s">
        <v>158</v>
      </c>
      <c r="M246" t="s">
        <v>385</v>
      </c>
      <c r="N246" t="s">
        <v>177</v>
      </c>
      <c r="O246">
        <v>109</v>
      </c>
      <c r="Q246">
        <v>564</v>
      </c>
      <c r="R246">
        <v>117</v>
      </c>
      <c r="S246">
        <v>4.25</v>
      </c>
      <c r="T246">
        <v>3.024</v>
      </c>
      <c r="U246">
        <v>6.11</v>
      </c>
      <c r="V246">
        <v>2398.87</v>
      </c>
      <c r="W246">
        <v>717</v>
      </c>
      <c r="X246">
        <v>1.3332999999999999</v>
      </c>
      <c r="Y246">
        <v>551</v>
      </c>
      <c r="Z246">
        <v>4.3499999999999996</v>
      </c>
      <c r="AJ246">
        <v>2</v>
      </c>
      <c r="AK246">
        <v>18</v>
      </c>
      <c r="AM246">
        <v>0</v>
      </c>
      <c r="AO246" t="s">
        <v>337</v>
      </c>
      <c r="AT246">
        <v>43</v>
      </c>
      <c r="AV246">
        <v>67.400000000000006</v>
      </c>
      <c r="AW246">
        <v>0.46875</v>
      </c>
      <c r="AX246">
        <v>3.75</v>
      </c>
      <c r="AY246">
        <v>44.75</v>
      </c>
      <c r="AZ246">
        <v>4.125</v>
      </c>
      <c r="BA246">
        <v>453.06</v>
      </c>
      <c r="BB246">
        <v>4.3499999999999996</v>
      </c>
      <c r="BC246">
        <v>48</v>
      </c>
      <c r="BD246">
        <v>0.3125</v>
      </c>
      <c r="BE246">
        <v>2.75</v>
      </c>
      <c r="BF246">
        <v>36.5</v>
      </c>
      <c r="BG246">
        <v>2.75</v>
      </c>
      <c r="BH246">
        <v>98.4</v>
      </c>
      <c r="BI246">
        <v>6.49</v>
      </c>
      <c r="BJ246">
        <v>19</v>
      </c>
      <c r="BL246">
        <v>551.46</v>
      </c>
      <c r="BM246">
        <v>67</v>
      </c>
      <c r="BN246">
        <v>324.56670000000003</v>
      </c>
      <c r="BO246">
        <v>985</v>
      </c>
      <c r="BP246">
        <v>0</v>
      </c>
      <c r="BQ246">
        <v>37</v>
      </c>
      <c r="BR246">
        <v>37</v>
      </c>
      <c r="BS246">
        <v>37.04</v>
      </c>
      <c r="BT246">
        <v>0</v>
      </c>
      <c r="BV246">
        <v>0</v>
      </c>
      <c r="BW246" t="s">
        <v>655</v>
      </c>
      <c r="BX246">
        <v>0.17</v>
      </c>
      <c r="BY246">
        <v>6.2968000000000002</v>
      </c>
      <c r="BZ246">
        <v>0</v>
      </c>
      <c r="CA246">
        <v>1</v>
      </c>
      <c r="CB246">
        <v>0.6</v>
      </c>
      <c r="CC246" s="3">
        <v>7.1269159999999998E-2</v>
      </c>
      <c r="CD246">
        <v>2.875</v>
      </c>
      <c r="CE246">
        <v>2.5</v>
      </c>
      <c r="CF246">
        <v>18</v>
      </c>
      <c r="CG246">
        <v>6</v>
      </c>
      <c r="CH246">
        <v>0</v>
      </c>
      <c r="CI246">
        <v>37.04</v>
      </c>
      <c r="CJ246">
        <v>490.6746</v>
      </c>
    </row>
    <row r="247" spans="1:88">
      <c r="A247">
        <v>245</v>
      </c>
      <c r="B247" t="s">
        <v>13</v>
      </c>
      <c r="C247" t="s">
        <v>1</v>
      </c>
      <c r="D247" t="s">
        <v>297</v>
      </c>
      <c r="E247" t="s">
        <v>268</v>
      </c>
      <c r="F247" t="s">
        <v>292</v>
      </c>
      <c r="G247" t="s">
        <v>106</v>
      </c>
      <c r="H247" t="s">
        <v>474</v>
      </c>
      <c r="J247">
        <v>2</v>
      </c>
      <c r="K247" t="s">
        <v>108</v>
      </c>
      <c r="L247" t="s">
        <v>133</v>
      </c>
      <c r="M247" t="s">
        <v>270</v>
      </c>
      <c r="N247" t="s">
        <v>153</v>
      </c>
      <c r="O247">
        <v>123</v>
      </c>
      <c r="Q247">
        <v>569</v>
      </c>
      <c r="R247">
        <v>106</v>
      </c>
      <c r="S247">
        <v>4.25</v>
      </c>
      <c r="T247">
        <v>3.3849999999999998</v>
      </c>
      <c r="U247">
        <v>6.22</v>
      </c>
      <c r="V247">
        <v>2420.2399999999998</v>
      </c>
      <c r="W247">
        <v>661</v>
      </c>
      <c r="X247">
        <v>1.3332999999999999</v>
      </c>
      <c r="Y247">
        <v>514</v>
      </c>
      <c r="Z247">
        <v>4.71</v>
      </c>
      <c r="AJ247">
        <v>2</v>
      </c>
      <c r="AK247">
        <v>18</v>
      </c>
      <c r="AM247">
        <v>0</v>
      </c>
      <c r="AO247" t="s">
        <v>390</v>
      </c>
      <c r="AT247">
        <v>48</v>
      </c>
      <c r="AV247">
        <v>60.9</v>
      </c>
      <c r="AW247">
        <v>0.46875</v>
      </c>
      <c r="AX247">
        <v>3.75</v>
      </c>
      <c r="AY247">
        <v>48.5</v>
      </c>
      <c r="AZ247">
        <v>4.375</v>
      </c>
      <c r="BA247">
        <v>418.43</v>
      </c>
      <c r="BB247">
        <v>4.71</v>
      </c>
      <c r="BC247">
        <v>52</v>
      </c>
      <c r="BD247">
        <v>0.3125</v>
      </c>
      <c r="BE247">
        <v>2.75</v>
      </c>
      <c r="BF247">
        <v>37.625</v>
      </c>
      <c r="BG247">
        <v>3</v>
      </c>
      <c r="BH247">
        <v>95.41001</v>
      </c>
      <c r="BI247">
        <v>6.69</v>
      </c>
      <c r="BJ247">
        <v>20</v>
      </c>
      <c r="BL247">
        <v>513.84</v>
      </c>
      <c r="BM247">
        <v>72</v>
      </c>
      <c r="BN247">
        <v>292.4667</v>
      </c>
      <c r="BO247">
        <v>1213</v>
      </c>
      <c r="BP247">
        <v>0</v>
      </c>
      <c r="BQ247">
        <v>42</v>
      </c>
      <c r="BR247">
        <v>42</v>
      </c>
      <c r="BS247">
        <v>41.91</v>
      </c>
      <c r="BT247">
        <v>0</v>
      </c>
      <c r="BV247">
        <v>0</v>
      </c>
      <c r="BW247" t="s">
        <v>655</v>
      </c>
      <c r="BX247">
        <v>0.17</v>
      </c>
      <c r="BY247">
        <v>7.1246999999999998</v>
      </c>
      <c r="BZ247">
        <v>0</v>
      </c>
      <c r="CA247">
        <v>1</v>
      </c>
      <c r="CB247">
        <v>0.6</v>
      </c>
      <c r="CC247" s="3">
        <v>7.1269159999999998E-2</v>
      </c>
      <c r="CD247">
        <v>2.875</v>
      </c>
      <c r="CE247">
        <v>2.5</v>
      </c>
      <c r="CF247">
        <v>18</v>
      </c>
      <c r="CG247">
        <v>6</v>
      </c>
      <c r="CH247">
        <v>0</v>
      </c>
      <c r="CI247">
        <v>41.91</v>
      </c>
      <c r="CJ247">
        <v>501.42419999999998</v>
      </c>
    </row>
    <row r="248" spans="1:88">
      <c r="A248">
        <v>246</v>
      </c>
      <c r="B248" t="s">
        <v>13</v>
      </c>
      <c r="C248" t="s">
        <v>1</v>
      </c>
      <c r="D248" t="s">
        <v>295</v>
      </c>
      <c r="E248" t="s">
        <v>454</v>
      </c>
      <c r="F248" t="s">
        <v>465</v>
      </c>
      <c r="G248" t="s">
        <v>106</v>
      </c>
      <c r="H248" t="s">
        <v>99</v>
      </c>
      <c r="J248">
        <v>2</v>
      </c>
      <c r="K248" t="s">
        <v>146</v>
      </c>
      <c r="L248" t="s">
        <v>245</v>
      </c>
      <c r="M248" t="s">
        <v>498</v>
      </c>
      <c r="N248" t="s">
        <v>203</v>
      </c>
      <c r="O248">
        <v>198</v>
      </c>
      <c r="Q248">
        <v>754</v>
      </c>
      <c r="R248">
        <v>92</v>
      </c>
      <c r="S248">
        <v>4.25</v>
      </c>
      <c r="T248">
        <v>5.1379999999999999</v>
      </c>
      <c r="U248">
        <v>7.38</v>
      </c>
      <c r="V248">
        <v>3203.94</v>
      </c>
      <c r="W248">
        <v>677</v>
      </c>
      <c r="X248">
        <v>1.3332999999999999</v>
      </c>
      <c r="Y248">
        <v>495</v>
      </c>
      <c r="Z248">
        <v>6.47</v>
      </c>
      <c r="AJ248">
        <v>2</v>
      </c>
      <c r="AK248">
        <v>18</v>
      </c>
      <c r="AM248">
        <v>0</v>
      </c>
      <c r="AO248" t="s">
        <v>184</v>
      </c>
      <c r="AT248">
        <v>74</v>
      </c>
      <c r="AV248">
        <v>51.7</v>
      </c>
      <c r="AW248">
        <v>0.4375</v>
      </c>
      <c r="AX248">
        <v>3.75</v>
      </c>
      <c r="AY248">
        <v>57.5</v>
      </c>
      <c r="AZ248">
        <v>5.625</v>
      </c>
      <c r="BA248">
        <v>247.59</v>
      </c>
      <c r="BB248">
        <v>6.64</v>
      </c>
      <c r="BC248">
        <v>58</v>
      </c>
      <c r="BD248">
        <v>0.4375</v>
      </c>
      <c r="BE248">
        <v>3.75</v>
      </c>
      <c r="BF248">
        <v>57.5</v>
      </c>
      <c r="BG248">
        <v>5.625</v>
      </c>
      <c r="BH248">
        <v>247.59</v>
      </c>
      <c r="BI248">
        <v>6.64</v>
      </c>
      <c r="BJ248">
        <v>58</v>
      </c>
      <c r="BL248">
        <v>495.18</v>
      </c>
      <c r="BM248">
        <v>116</v>
      </c>
      <c r="BN248">
        <v>247.88339999999999</v>
      </c>
      <c r="BO248">
        <v>1689</v>
      </c>
      <c r="BP248">
        <v>0</v>
      </c>
      <c r="BQ248">
        <v>68</v>
      </c>
      <c r="BR248">
        <v>68</v>
      </c>
      <c r="BS248">
        <v>68</v>
      </c>
      <c r="BT248">
        <v>0</v>
      </c>
      <c r="BV248">
        <v>0</v>
      </c>
      <c r="BW248" t="s">
        <v>655</v>
      </c>
      <c r="BX248">
        <v>0.17</v>
      </c>
      <c r="BY248">
        <v>11.56</v>
      </c>
      <c r="BZ248">
        <v>0</v>
      </c>
      <c r="CA248">
        <v>1</v>
      </c>
      <c r="CB248">
        <v>0.6</v>
      </c>
      <c r="CC248" s="3">
        <v>7.1269159999999998E-2</v>
      </c>
      <c r="CD248">
        <v>2.875</v>
      </c>
      <c r="CE248">
        <v>2.5</v>
      </c>
      <c r="CF248">
        <v>18</v>
      </c>
      <c r="CG248">
        <v>6</v>
      </c>
      <c r="CH248">
        <v>0</v>
      </c>
      <c r="CI248">
        <v>68</v>
      </c>
      <c r="CJ248">
        <v>690.59810000000004</v>
      </c>
    </row>
    <row r="249" spans="1:88">
      <c r="A249">
        <v>247</v>
      </c>
      <c r="B249" t="s">
        <v>0</v>
      </c>
      <c r="C249" t="s">
        <v>1</v>
      </c>
      <c r="D249" t="s">
        <v>181</v>
      </c>
      <c r="E249" t="s">
        <v>3</v>
      </c>
      <c r="F249" t="s">
        <v>182</v>
      </c>
      <c r="G249" t="s">
        <v>106</v>
      </c>
      <c r="H249" t="s">
        <v>183</v>
      </c>
      <c r="J249">
        <v>2</v>
      </c>
      <c r="K249" t="s">
        <v>108</v>
      </c>
      <c r="L249" t="s">
        <v>363</v>
      </c>
      <c r="M249" t="s">
        <v>383</v>
      </c>
      <c r="N249" t="s">
        <v>119</v>
      </c>
      <c r="O249">
        <v>125</v>
      </c>
      <c r="Q249">
        <v>530</v>
      </c>
      <c r="R249">
        <v>98</v>
      </c>
      <c r="S249">
        <v>4.25</v>
      </c>
      <c r="T249">
        <v>3.4350000000000001</v>
      </c>
      <c r="U249">
        <v>6.26</v>
      </c>
      <c r="V249">
        <v>2253.6</v>
      </c>
      <c r="W249">
        <v>615</v>
      </c>
      <c r="X249">
        <v>1.3332999999999999</v>
      </c>
      <c r="Y249">
        <v>473</v>
      </c>
      <c r="Z249">
        <v>4.76</v>
      </c>
      <c r="AJ249">
        <v>2</v>
      </c>
      <c r="AK249">
        <v>18</v>
      </c>
      <c r="AM249">
        <v>0</v>
      </c>
      <c r="AO249" t="s">
        <v>186</v>
      </c>
      <c r="AT249">
        <v>49</v>
      </c>
      <c r="AV249">
        <v>55.8</v>
      </c>
      <c r="AW249">
        <v>0.46875</v>
      </c>
      <c r="AX249">
        <v>3.75</v>
      </c>
      <c r="AY249">
        <v>49</v>
      </c>
      <c r="AZ249">
        <v>4.5</v>
      </c>
      <c r="BA249">
        <v>414.03</v>
      </c>
      <c r="BB249">
        <v>4.76</v>
      </c>
      <c r="BC249">
        <v>53</v>
      </c>
      <c r="BD249">
        <v>0.25</v>
      </c>
      <c r="BE249">
        <v>2.75</v>
      </c>
      <c r="BF249">
        <v>19.375</v>
      </c>
      <c r="BG249">
        <v>2.375</v>
      </c>
      <c r="BH249">
        <v>59.41</v>
      </c>
      <c r="BI249">
        <v>5.78</v>
      </c>
      <c r="BJ249">
        <v>8</v>
      </c>
      <c r="BL249">
        <v>473.44</v>
      </c>
      <c r="BM249">
        <v>60</v>
      </c>
      <c r="BN249">
        <v>267.5</v>
      </c>
      <c r="BO249">
        <v>1450</v>
      </c>
      <c r="BP249">
        <v>0</v>
      </c>
      <c r="BQ249">
        <v>43</v>
      </c>
      <c r="BR249">
        <v>43</v>
      </c>
      <c r="BS249">
        <v>42.6</v>
      </c>
      <c r="BT249">
        <v>0</v>
      </c>
      <c r="BV249">
        <v>0</v>
      </c>
      <c r="BW249" t="s">
        <v>655</v>
      </c>
      <c r="BX249">
        <v>0.17</v>
      </c>
      <c r="BY249">
        <v>7.242</v>
      </c>
      <c r="BZ249">
        <v>0</v>
      </c>
      <c r="CA249">
        <v>1</v>
      </c>
      <c r="CB249">
        <v>0.6</v>
      </c>
      <c r="CC249" s="3">
        <v>7.1269159999999998E-2</v>
      </c>
      <c r="CD249">
        <v>2.875</v>
      </c>
      <c r="CE249">
        <v>2.5</v>
      </c>
      <c r="CF249">
        <v>18</v>
      </c>
      <c r="CG249">
        <v>6</v>
      </c>
      <c r="CH249">
        <v>0</v>
      </c>
      <c r="CI249">
        <v>42.6</v>
      </c>
      <c r="CJ249">
        <v>467.1746</v>
      </c>
    </row>
    <row r="250" spans="1:88">
      <c r="A250">
        <v>248</v>
      </c>
      <c r="B250" t="s">
        <v>0</v>
      </c>
      <c r="C250" t="s">
        <v>1</v>
      </c>
      <c r="D250" t="s">
        <v>231</v>
      </c>
      <c r="E250" t="s">
        <v>231</v>
      </c>
      <c r="F250" t="s">
        <v>218</v>
      </c>
      <c r="G250" t="s">
        <v>106</v>
      </c>
      <c r="H250" t="s">
        <v>221</v>
      </c>
      <c r="J250">
        <v>2</v>
      </c>
      <c r="K250" t="s">
        <v>146</v>
      </c>
      <c r="L250" t="s">
        <v>3</v>
      </c>
      <c r="M250" t="s">
        <v>405</v>
      </c>
      <c r="N250" t="s">
        <v>151</v>
      </c>
      <c r="O250">
        <v>105</v>
      </c>
      <c r="Q250">
        <v>289</v>
      </c>
      <c r="R250">
        <v>66</v>
      </c>
      <c r="S250">
        <v>4.25</v>
      </c>
      <c r="T250">
        <v>2.9180000000000001</v>
      </c>
      <c r="U250">
        <v>6</v>
      </c>
      <c r="V250">
        <v>1228.97</v>
      </c>
      <c r="W250">
        <v>396</v>
      </c>
      <c r="X250">
        <v>1.3332999999999999</v>
      </c>
      <c r="Y250">
        <v>289</v>
      </c>
      <c r="Z250">
        <v>4.25</v>
      </c>
      <c r="AJ250">
        <v>2</v>
      </c>
      <c r="AK250">
        <v>18</v>
      </c>
      <c r="AM250">
        <v>0</v>
      </c>
      <c r="AO250" t="s">
        <v>379</v>
      </c>
      <c r="AT250">
        <v>42</v>
      </c>
      <c r="AV250">
        <v>35.299999999999997</v>
      </c>
      <c r="AW250">
        <v>0</v>
      </c>
      <c r="AX250">
        <v>0</v>
      </c>
      <c r="AY250">
        <v>33.625</v>
      </c>
      <c r="AZ250">
        <v>3.5</v>
      </c>
      <c r="BA250">
        <v>0</v>
      </c>
      <c r="BB250">
        <v>0</v>
      </c>
      <c r="BC250">
        <v>32</v>
      </c>
      <c r="BN250">
        <v>167.63339999999999</v>
      </c>
      <c r="BO250">
        <v>3693</v>
      </c>
      <c r="BP250">
        <v>0</v>
      </c>
      <c r="BQ250">
        <v>36</v>
      </c>
      <c r="BR250">
        <v>36</v>
      </c>
      <c r="BS250">
        <v>35.65</v>
      </c>
      <c r="BT250">
        <v>0</v>
      </c>
      <c r="BV250">
        <v>0</v>
      </c>
      <c r="BW250" t="s">
        <v>655</v>
      </c>
      <c r="BX250">
        <v>0.17</v>
      </c>
      <c r="BY250">
        <v>6.0605000000000002</v>
      </c>
      <c r="BZ250">
        <v>0</v>
      </c>
      <c r="CA250">
        <v>1</v>
      </c>
      <c r="CB250">
        <v>0.6</v>
      </c>
      <c r="CC250" s="3">
        <v>7.1269159999999998E-2</v>
      </c>
      <c r="CD250">
        <v>2.875</v>
      </c>
      <c r="CE250">
        <v>2.5</v>
      </c>
      <c r="CF250">
        <v>18</v>
      </c>
      <c r="CG250">
        <v>6</v>
      </c>
      <c r="CH250">
        <v>0</v>
      </c>
      <c r="CI250">
        <v>35.65</v>
      </c>
      <c r="CJ250">
        <v>247.7227</v>
      </c>
    </row>
    <row r="251" spans="1:88">
      <c r="A251">
        <v>249</v>
      </c>
      <c r="B251" t="s">
        <v>0</v>
      </c>
      <c r="C251" t="s">
        <v>1</v>
      </c>
      <c r="D251" t="s">
        <v>178</v>
      </c>
      <c r="E251" t="s">
        <v>219</v>
      </c>
      <c r="F251" t="s">
        <v>408</v>
      </c>
      <c r="G251" t="s">
        <v>106</v>
      </c>
      <c r="H251" t="s">
        <v>141</v>
      </c>
      <c r="J251">
        <v>2</v>
      </c>
      <c r="K251" t="s">
        <v>146</v>
      </c>
      <c r="L251" t="s">
        <v>369</v>
      </c>
      <c r="M251" t="s">
        <v>220</v>
      </c>
      <c r="N251" t="s">
        <v>221</v>
      </c>
      <c r="O251">
        <v>101</v>
      </c>
      <c r="Q251">
        <v>251</v>
      </c>
      <c r="R251">
        <v>60</v>
      </c>
      <c r="S251">
        <v>4.25</v>
      </c>
      <c r="T251">
        <v>2.8119999999999998</v>
      </c>
      <c r="U251">
        <v>5.92</v>
      </c>
      <c r="V251">
        <v>1067.72</v>
      </c>
      <c r="W251">
        <v>356</v>
      </c>
      <c r="X251">
        <v>1.3332999999999999</v>
      </c>
      <c r="Y251">
        <v>258</v>
      </c>
      <c r="Z251">
        <v>4.1399999999999997</v>
      </c>
      <c r="AJ251">
        <v>2</v>
      </c>
      <c r="AK251">
        <v>18</v>
      </c>
      <c r="AM251">
        <v>0</v>
      </c>
      <c r="AO251" t="s">
        <v>409</v>
      </c>
      <c r="AT251">
        <v>40</v>
      </c>
      <c r="AV251">
        <v>31.7</v>
      </c>
      <c r="AW251">
        <v>0</v>
      </c>
      <c r="AX251">
        <v>0</v>
      </c>
      <c r="AY251">
        <v>25</v>
      </c>
      <c r="AZ251">
        <v>3.125</v>
      </c>
      <c r="BA251">
        <v>0</v>
      </c>
      <c r="BB251">
        <v>0</v>
      </c>
      <c r="BC251">
        <v>22</v>
      </c>
      <c r="BN251">
        <v>149.80000000000001</v>
      </c>
      <c r="BO251">
        <v>4624</v>
      </c>
      <c r="BP251">
        <v>0</v>
      </c>
      <c r="BQ251">
        <v>34</v>
      </c>
      <c r="BR251">
        <v>34</v>
      </c>
      <c r="BS251">
        <v>34.26</v>
      </c>
      <c r="BT251">
        <v>0</v>
      </c>
      <c r="BV251">
        <v>0</v>
      </c>
      <c r="BW251" t="s">
        <v>655</v>
      </c>
      <c r="BX251">
        <v>0.17</v>
      </c>
      <c r="BY251">
        <v>5.8242000000000003</v>
      </c>
      <c r="BZ251">
        <v>0</v>
      </c>
      <c r="CA251">
        <v>1</v>
      </c>
      <c r="CB251">
        <v>0.6</v>
      </c>
      <c r="CC251" s="3">
        <v>7.1269159999999998E-2</v>
      </c>
      <c r="CD251">
        <v>2.875</v>
      </c>
      <c r="CE251">
        <v>2.5</v>
      </c>
      <c r="CF251">
        <v>18</v>
      </c>
      <c r="CG251">
        <v>6</v>
      </c>
      <c r="CH251">
        <v>0</v>
      </c>
      <c r="CI251">
        <v>34.26</v>
      </c>
      <c r="CJ251">
        <v>213.64709999999999</v>
      </c>
    </row>
    <row r="252" spans="1:88">
      <c r="A252">
        <v>250</v>
      </c>
      <c r="B252" t="s">
        <v>0</v>
      </c>
      <c r="C252" t="s">
        <v>1</v>
      </c>
      <c r="D252" t="s">
        <v>103</v>
      </c>
      <c r="E252" t="s">
        <v>143</v>
      </c>
      <c r="F252" t="s">
        <v>105</v>
      </c>
      <c r="G252" t="s">
        <v>106</v>
      </c>
      <c r="H252" t="s">
        <v>107</v>
      </c>
      <c r="J252">
        <v>2</v>
      </c>
      <c r="K252" t="s">
        <v>108</v>
      </c>
      <c r="L252" t="s">
        <v>297</v>
      </c>
      <c r="M252" t="s">
        <v>206</v>
      </c>
      <c r="N252" t="s">
        <v>131</v>
      </c>
      <c r="O252">
        <v>155</v>
      </c>
      <c r="Q252">
        <v>671</v>
      </c>
      <c r="R252">
        <v>102</v>
      </c>
      <c r="S252">
        <v>4.25</v>
      </c>
      <c r="T252">
        <v>4.1660000000000004</v>
      </c>
      <c r="U252">
        <v>6.78</v>
      </c>
      <c r="V252">
        <v>2853.4</v>
      </c>
      <c r="W252">
        <v>690</v>
      </c>
      <c r="X252">
        <v>1.3332999999999999</v>
      </c>
      <c r="Y252">
        <v>520</v>
      </c>
      <c r="Z252">
        <v>5.49</v>
      </c>
      <c r="AJ252">
        <v>2</v>
      </c>
      <c r="AK252">
        <v>18</v>
      </c>
      <c r="AM252">
        <v>0</v>
      </c>
      <c r="AO252" t="s">
        <v>112</v>
      </c>
      <c r="AT252">
        <v>59</v>
      </c>
      <c r="AV252">
        <v>58</v>
      </c>
      <c r="AW252">
        <v>0.4375</v>
      </c>
      <c r="AX252">
        <v>3.75</v>
      </c>
      <c r="AY252">
        <v>49.75</v>
      </c>
      <c r="AZ252">
        <v>4.75</v>
      </c>
      <c r="BA252">
        <v>285.85000000000002</v>
      </c>
      <c r="BB252">
        <v>5.75</v>
      </c>
      <c r="BC252">
        <v>50</v>
      </c>
      <c r="BD252">
        <v>0.40625</v>
      </c>
      <c r="BE252">
        <v>3.75</v>
      </c>
      <c r="BF252">
        <v>41.625</v>
      </c>
      <c r="BG252">
        <v>4.5</v>
      </c>
      <c r="BH252">
        <v>233.89</v>
      </c>
      <c r="BI252">
        <v>5.66</v>
      </c>
      <c r="BJ252">
        <v>39</v>
      </c>
      <c r="BL252">
        <v>519.74</v>
      </c>
      <c r="BM252">
        <v>89</v>
      </c>
      <c r="BN252">
        <v>278.20010000000002</v>
      </c>
      <c r="BO252">
        <v>1341</v>
      </c>
      <c r="BP252">
        <v>0</v>
      </c>
      <c r="BQ252">
        <v>53</v>
      </c>
      <c r="BR252">
        <v>53</v>
      </c>
      <c r="BS252">
        <v>53.04</v>
      </c>
      <c r="BT252">
        <v>0</v>
      </c>
      <c r="BV252">
        <v>0</v>
      </c>
      <c r="BW252" t="s">
        <v>655</v>
      </c>
      <c r="BX252">
        <v>0.17</v>
      </c>
      <c r="BY252">
        <v>9.0167999999999999</v>
      </c>
      <c r="BZ252">
        <v>0</v>
      </c>
      <c r="CA252">
        <v>1</v>
      </c>
      <c r="CB252">
        <v>0.6</v>
      </c>
      <c r="CC252" s="3">
        <v>7.1269159999999998E-2</v>
      </c>
      <c r="CD252">
        <v>2.875</v>
      </c>
      <c r="CE252">
        <v>2.5</v>
      </c>
      <c r="CF252">
        <v>18</v>
      </c>
      <c r="CG252">
        <v>6</v>
      </c>
      <c r="CH252">
        <v>0</v>
      </c>
      <c r="CI252">
        <v>53.04</v>
      </c>
      <c r="CJ252">
        <v>604.34609999999998</v>
      </c>
    </row>
    <row r="253" spans="1:88">
      <c r="A253">
        <v>251</v>
      </c>
      <c r="B253" t="s">
        <v>0</v>
      </c>
      <c r="C253" t="s">
        <v>1</v>
      </c>
      <c r="D253" t="s">
        <v>101</v>
      </c>
      <c r="E253" t="s">
        <v>233</v>
      </c>
      <c r="F253" t="s">
        <v>339</v>
      </c>
      <c r="G253" t="s">
        <v>106</v>
      </c>
      <c r="H253" t="s">
        <v>167</v>
      </c>
      <c r="J253">
        <v>2</v>
      </c>
      <c r="K253" t="s">
        <v>146</v>
      </c>
      <c r="L253" t="s">
        <v>251</v>
      </c>
      <c r="M253" t="s">
        <v>236</v>
      </c>
      <c r="N253" t="s">
        <v>272</v>
      </c>
      <c r="O253">
        <v>157</v>
      </c>
      <c r="Q253">
        <v>539</v>
      </c>
      <c r="R253">
        <v>83</v>
      </c>
      <c r="S253">
        <v>4.25</v>
      </c>
      <c r="T253">
        <v>4.2130000000000001</v>
      </c>
      <c r="U253">
        <v>6.82</v>
      </c>
      <c r="V253">
        <v>2292.62</v>
      </c>
      <c r="W253">
        <v>563</v>
      </c>
      <c r="X253">
        <v>1.3332999999999999</v>
      </c>
      <c r="Y253">
        <v>414</v>
      </c>
      <c r="Z253">
        <v>5.54</v>
      </c>
      <c r="AJ253">
        <v>2</v>
      </c>
      <c r="AK253">
        <v>18</v>
      </c>
      <c r="AM253">
        <v>0</v>
      </c>
      <c r="AO253" t="s">
        <v>327</v>
      </c>
      <c r="AT253">
        <v>60</v>
      </c>
      <c r="AV253">
        <v>45.9</v>
      </c>
      <c r="AW253">
        <v>0.46875</v>
      </c>
      <c r="AX253">
        <v>3.75</v>
      </c>
      <c r="AY253">
        <v>57</v>
      </c>
      <c r="AZ253">
        <v>5.25</v>
      </c>
      <c r="BA253">
        <v>355.74</v>
      </c>
      <c r="BB253">
        <v>5.54</v>
      </c>
      <c r="BC253">
        <v>61</v>
      </c>
      <c r="BD253">
        <v>0.25</v>
      </c>
      <c r="BE253">
        <v>2.75</v>
      </c>
      <c r="BF253">
        <v>19.75</v>
      </c>
      <c r="BG253">
        <v>2.75</v>
      </c>
      <c r="BH253">
        <v>58.09</v>
      </c>
      <c r="BI253">
        <v>5.91</v>
      </c>
      <c r="BJ253">
        <v>9</v>
      </c>
      <c r="BL253">
        <v>413.83</v>
      </c>
      <c r="BM253">
        <v>69</v>
      </c>
      <c r="BN253">
        <v>219.35</v>
      </c>
      <c r="BO253">
        <v>2157</v>
      </c>
      <c r="BP253">
        <v>0</v>
      </c>
      <c r="BQ253">
        <v>54</v>
      </c>
      <c r="BR253">
        <v>54</v>
      </c>
      <c r="BS253">
        <v>53.73</v>
      </c>
      <c r="BT253">
        <v>0</v>
      </c>
      <c r="BV253">
        <v>0</v>
      </c>
      <c r="BW253" t="s">
        <v>655</v>
      </c>
      <c r="BX253">
        <v>0.17</v>
      </c>
      <c r="BY253">
        <v>9.1341000000000001</v>
      </c>
      <c r="BZ253">
        <v>0</v>
      </c>
      <c r="CA253">
        <v>1</v>
      </c>
      <c r="CB253">
        <v>0.6</v>
      </c>
      <c r="CC253" s="3">
        <v>7.1269159999999998E-2</v>
      </c>
      <c r="CD253">
        <v>2.875</v>
      </c>
      <c r="CE253">
        <v>2.5</v>
      </c>
      <c r="CF253">
        <v>18</v>
      </c>
      <c r="CG253">
        <v>6</v>
      </c>
      <c r="CH253">
        <v>0</v>
      </c>
      <c r="CI253">
        <v>53.73</v>
      </c>
      <c r="CJ253">
        <v>484.40539999999999</v>
      </c>
    </row>
    <row r="254" spans="1:88">
      <c r="A254">
        <v>252</v>
      </c>
      <c r="B254" t="s">
        <v>13</v>
      </c>
      <c r="C254" t="s">
        <v>1</v>
      </c>
      <c r="D254" t="s">
        <v>96</v>
      </c>
      <c r="E254" t="s">
        <v>130</v>
      </c>
      <c r="F254" t="s">
        <v>198</v>
      </c>
      <c r="G254" t="s">
        <v>106</v>
      </c>
      <c r="H254" t="s">
        <v>162</v>
      </c>
      <c r="J254">
        <v>2</v>
      </c>
      <c r="K254" t="s">
        <v>146</v>
      </c>
      <c r="L254" t="s">
        <v>101</v>
      </c>
      <c r="M254" t="s">
        <v>134</v>
      </c>
      <c r="N254" t="s">
        <v>399</v>
      </c>
      <c r="O254">
        <v>114</v>
      </c>
      <c r="Q254">
        <v>393</v>
      </c>
      <c r="R254">
        <v>81</v>
      </c>
      <c r="S254">
        <v>4.25</v>
      </c>
      <c r="T254">
        <v>3.1539999999999999</v>
      </c>
      <c r="U254">
        <v>6.18</v>
      </c>
      <c r="V254">
        <v>1669.14</v>
      </c>
      <c r="W254">
        <v>500</v>
      </c>
      <c r="X254">
        <v>1.3332999999999999</v>
      </c>
      <c r="Y254">
        <v>373</v>
      </c>
      <c r="Z254">
        <v>4.4800000000000004</v>
      </c>
      <c r="AJ254">
        <v>2</v>
      </c>
      <c r="AK254">
        <v>18</v>
      </c>
      <c r="AM254">
        <v>0</v>
      </c>
      <c r="AO254" t="s">
        <v>166</v>
      </c>
      <c r="AT254">
        <v>45</v>
      </c>
      <c r="AV254">
        <v>44.8</v>
      </c>
      <c r="AW254">
        <v>0</v>
      </c>
      <c r="AX254">
        <v>0</v>
      </c>
      <c r="AY254">
        <v>38.25</v>
      </c>
      <c r="AZ254">
        <v>3.875</v>
      </c>
      <c r="BA254">
        <v>0</v>
      </c>
      <c r="BB254">
        <v>0</v>
      </c>
      <c r="BC254">
        <v>39</v>
      </c>
      <c r="BN254">
        <v>214</v>
      </c>
      <c r="BO254">
        <v>2266</v>
      </c>
      <c r="BP254">
        <v>0</v>
      </c>
      <c r="BQ254">
        <v>39</v>
      </c>
      <c r="BR254">
        <v>39</v>
      </c>
      <c r="BS254">
        <v>38.78</v>
      </c>
      <c r="BT254">
        <v>0</v>
      </c>
      <c r="BV254">
        <v>0</v>
      </c>
      <c r="BW254" t="s">
        <v>655</v>
      </c>
      <c r="BX254">
        <v>0.17</v>
      </c>
      <c r="BY254">
        <v>6.5926</v>
      </c>
      <c r="BZ254">
        <v>0</v>
      </c>
      <c r="CA254">
        <v>1</v>
      </c>
      <c r="CB254">
        <v>0.6</v>
      </c>
      <c r="CC254" s="3">
        <v>7.1269159999999998E-2</v>
      </c>
      <c r="CD254">
        <v>2.875</v>
      </c>
      <c r="CE254">
        <v>2.5</v>
      </c>
      <c r="CF254">
        <v>18</v>
      </c>
      <c r="CG254">
        <v>6</v>
      </c>
      <c r="CH254">
        <v>0</v>
      </c>
      <c r="CI254">
        <v>38.78</v>
      </c>
      <c r="CJ254">
        <v>341.33150000000001</v>
      </c>
    </row>
    <row r="255" spans="1:88">
      <c r="A255">
        <v>253</v>
      </c>
      <c r="B255" t="s">
        <v>0</v>
      </c>
      <c r="C255" t="s">
        <v>1</v>
      </c>
      <c r="D255" t="s">
        <v>272</v>
      </c>
      <c r="E255" t="s">
        <v>341</v>
      </c>
      <c r="F255" t="s">
        <v>273</v>
      </c>
      <c r="G255" t="s">
        <v>106</v>
      </c>
      <c r="H255" t="s">
        <v>274</v>
      </c>
      <c r="J255">
        <v>2</v>
      </c>
      <c r="K255" t="s">
        <v>108</v>
      </c>
      <c r="L255" t="s">
        <v>366</v>
      </c>
      <c r="M255" t="s">
        <v>499</v>
      </c>
      <c r="N255" t="s">
        <v>284</v>
      </c>
      <c r="O255">
        <v>83</v>
      </c>
      <c r="Q255">
        <v>365</v>
      </c>
      <c r="R255">
        <v>98</v>
      </c>
      <c r="S255">
        <v>4.25</v>
      </c>
      <c r="T255">
        <v>2.3170000000000002</v>
      </c>
      <c r="U255">
        <v>5.55</v>
      </c>
      <c r="V255">
        <v>1552.56</v>
      </c>
      <c r="W255">
        <v>542</v>
      </c>
      <c r="X255">
        <v>1.3332999999999999</v>
      </c>
      <c r="Y255">
        <v>425</v>
      </c>
      <c r="Z255">
        <v>3.65</v>
      </c>
      <c r="AJ255">
        <v>2</v>
      </c>
      <c r="AK255">
        <v>18</v>
      </c>
      <c r="AM255">
        <v>0</v>
      </c>
      <c r="AO255" t="s">
        <v>275</v>
      </c>
      <c r="AT255">
        <v>34</v>
      </c>
      <c r="AV255">
        <v>55.4</v>
      </c>
      <c r="AW255">
        <v>0</v>
      </c>
      <c r="AX255">
        <v>0</v>
      </c>
      <c r="AY255">
        <v>33.5</v>
      </c>
      <c r="AZ255">
        <v>3.25</v>
      </c>
      <c r="BA255">
        <v>0</v>
      </c>
      <c r="BB255">
        <v>0</v>
      </c>
      <c r="BC255">
        <v>34</v>
      </c>
      <c r="BN255">
        <v>265.7167</v>
      </c>
      <c r="BO255">
        <v>1470</v>
      </c>
      <c r="BP255">
        <v>0</v>
      </c>
      <c r="BQ255">
        <v>28</v>
      </c>
      <c r="BR255">
        <v>28</v>
      </c>
      <c r="BS255">
        <v>28</v>
      </c>
      <c r="BT255">
        <v>0</v>
      </c>
      <c r="BV255">
        <v>0</v>
      </c>
      <c r="BW255" t="s">
        <v>655</v>
      </c>
      <c r="BX255">
        <v>0.17</v>
      </c>
      <c r="BY255">
        <v>4.76</v>
      </c>
      <c r="BZ255">
        <v>0</v>
      </c>
      <c r="CA255">
        <v>1</v>
      </c>
      <c r="CB255">
        <v>0.6</v>
      </c>
      <c r="CC255" s="3">
        <v>7.1269159999999998E-2</v>
      </c>
      <c r="CD255">
        <v>2.875</v>
      </c>
      <c r="CE255">
        <v>2.5</v>
      </c>
      <c r="CF255">
        <v>18</v>
      </c>
      <c r="CG255">
        <v>6</v>
      </c>
      <c r="CH255">
        <v>0</v>
      </c>
      <c r="CI255">
        <v>28</v>
      </c>
      <c r="CJ255">
        <v>305.06760000000003</v>
      </c>
    </row>
    <row r="256" spans="1:88">
      <c r="A256">
        <v>254</v>
      </c>
      <c r="B256" t="s">
        <v>0</v>
      </c>
      <c r="C256" t="s">
        <v>1</v>
      </c>
      <c r="D256" t="s">
        <v>279</v>
      </c>
      <c r="E256" t="s">
        <v>113</v>
      </c>
      <c r="F256" t="s">
        <v>236</v>
      </c>
      <c r="G256" t="s">
        <v>106</v>
      </c>
      <c r="H256" t="s">
        <v>143</v>
      </c>
      <c r="J256">
        <v>2</v>
      </c>
      <c r="K256" t="s">
        <v>146</v>
      </c>
      <c r="L256" t="s">
        <v>116</v>
      </c>
      <c r="M256" t="s">
        <v>117</v>
      </c>
      <c r="N256" t="s">
        <v>14</v>
      </c>
      <c r="O256">
        <v>179</v>
      </c>
      <c r="Q256">
        <v>714</v>
      </c>
      <c r="R256">
        <v>95</v>
      </c>
      <c r="S256">
        <v>4.25</v>
      </c>
      <c r="T256">
        <v>4.7190000000000003</v>
      </c>
      <c r="U256">
        <v>7.05</v>
      </c>
      <c r="V256">
        <v>3034.71</v>
      </c>
      <c r="W256">
        <v>671</v>
      </c>
      <c r="X256">
        <v>1.3332999999999999</v>
      </c>
      <c r="Y256">
        <v>502</v>
      </c>
      <c r="Z256">
        <v>6.05</v>
      </c>
      <c r="AJ256">
        <v>2</v>
      </c>
      <c r="AK256">
        <v>18</v>
      </c>
      <c r="AM256">
        <v>0</v>
      </c>
      <c r="AO256" t="s">
        <v>206</v>
      </c>
      <c r="AT256">
        <v>68</v>
      </c>
      <c r="AV256">
        <v>53.9</v>
      </c>
      <c r="AW256">
        <v>0.4375</v>
      </c>
      <c r="AX256">
        <v>3.75</v>
      </c>
      <c r="AY256">
        <v>51.625</v>
      </c>
      <c r="AZ256">
        <v>5.25</v>
      </c>
      <c r="BA256">
        <v>275.88</v>
      </c>
      <c r="BB256">
        <v>5.96</v>
      </c>
      <c r="BC256">
        <v>52</v>
      </c>
      <c r="BD256">
        <v>0.4375</v>
      </c>
      <c r="BE256">
        <v>3.75</v>
      </c>
      <c r="BF256">
        <v>63</v>
      </c>
      <c r="BG256">
        <v>5.25</v>
      </c>
      <c r="BH256">
        <v>225.72</v>
      </c>
      <c r="BI256">
        <v>7.29</v>
      </c>
      <c r="BJ256">
        <v>64</v>
      </c>
      <c r="BL256">
        <v>501.6</v>
      </c>
      <c r="BM256">
        <v>115</v>
      </c>
      <c r="BN256">
        <v>258.58339999999998</v>
      </c>
      <c r="BO256">
        <v>1552</v>
      </c>
      <c r="BP256">
        <v>0</v>
      </c>
      <c r="BQ256">
        <v>61</v>
      </c>
      <c r="BR256">
        <v>61</v>
      </c>
      <c r="BS256">
        <v>61.39</v>
      </c>
      <c r="BT256">
        <v>0</v>
      </c>
      <c r="BV256">
        <v>0</v>
      </c>
      <c r="BW256" t="s">
        <v>655</v>
      </c>
      <c r="BX256">
        <v>0.17</v>
      </c>
      <c r="BY256">
        <v>10.436299999999999</v>
      </c>
      <c r="BZ256">
        <v>0</v>
      </c>
      <c r="CA256">
        <v>1</v>
      </c>
      <c r="CB256">
        <v>0.6</v>
      </c>
      <c r="CC256" s="3">
        <v>7.1269159999999998E-2</v>
      </c>
      <c r="CD256">
        <v>2.875</v>
      </c>
      <c r="CE256">
        <v>2.5</v>
      </c>
      <c r="CF256">
        <v>18</v>
      </c>
      <c r="CG256">
        <v>6</v>
      </c>
      <c r="CH256">
        <v>0</v>
      </c>
      <c r="CI256">
        <v>61.39</v>
      </c>
      <c r="CJ256">
        <v>649.7192</v>
      </c>
    </row>
    <row r="257" spans="1:88">
      <c r="A257">
        <v>255</v>
      </c>
      <c r="B257" t="s">
        <v>0</v>
      </c>
      <c r="C257" t="s">
        <v>1</v>
      </c>
      <c r="D257" t="s">
        <v>96</v>
      </c>
      <c r="E257" t="s">
        <v>267</v>
      </c>
      <c r="F257" t="s">
        <v>198</v>
      </c>
      <c r="G257" t="s">
        <v>106</v>
      </c>
      <c r="H257" t="s">
        <v>162</v>
      </c>
      <c r="J257">
        <v>2</v>
      </c>
      <c r="K257" t="s">
        <v>146</v>
      </c>
      <c r="L257" t="s">
        <v>113</v>
      </c>
      <c r="M257" t="s">
        <v>232</v>
      </c>
      <c r="N257" t="s">
        <v>258</v>
      </c>
      <c r="O257">
        <v>159</v>
      </c>
      <c r="Q257">
        <v>533</v>
      </c>
      <c r="R257">
        <v>81</v>
      </c>
      <c r="S257">
        <v>4.25</v>
      </c>
      <c r="T257">
        <v>4.26</v>
      </c>
      <c r="U257">
        <v>6.75</v>
      </c>
      <c r="V257">
        <v>2265.88</v>
      </c>
      <c r="W257">
        <v>546</v>
      </c>
      <c r="X257">
        <v>1.3332999999999999</v>
      </c>
      <c r="Y257">
        <v>405</v>
      </c>
      <c r="Z257">
        <v>5.59</v>
      </c>
      <c r="AJ257">
        <v>2</v>
      </c>
      <c r="AK257">
        <v>18</v>
      </c>
      <c r="AM257">
        <v>0</v>
      </c>
      <c r="AO257" t="s">
        <v>166</v>
      </c>
      <c r="AT257">
        <v>61</v>
      </c>
      <c r="AV257">
        <v>44.8</v>
      </c>
      <c r="AW257">
        <v>0.46875</v>
      </c>
      <c r="AX257">
        <v>3.75</v>
      </c>
      <c r="AY257">
        <v>57.5</v>
      </c>
      <c r="AZ257">
        <v>5.25</v>
      </c>
      <c r="BA257">
        <v>352.56</v>
      </c>
      <c r="BB257">
        <v>5.59</v>
      </c>
      <c r="BC257">
        <v>62</v>
      </c>
      <c r="BD257">
        <v>0.25</v>
      </c>
      <c r="BE257">
        <v>2.75</v>
      </c>
      <c r="BF257">
        <v>21.75</v>
      </c>
      <c r="BG257">
        <v>2.75</v>
      </c>
      <c r="BH257">
        <v>52.78</v>
      </c>
      <c r="BI257">
        <v>6.5</v>
      </c>
      <c r="BJ257">
        <v>9</v>
      </c>
      <c r="BL257">
        <v>405.34</v>
      </c>
      <c r="BM257">
        <v>71</v>
      </c>
      <c r="BN257">
        <v>214</v>
      </c>
      <c r="BO257">
        <v>2266</v>
      </c>
      <c r="BP257">
        <v>0</v>
      </c>
      <c r="BQ257">
        <v>54</v>
      </c>
      <c r="BR257">
        <v>54</v>
      </c>
      <c r="BS257">
        <v>54.43</v>
      </c>
      <c r="BT257">
        <v>0</v>
      </c>
      <c r="BV257">
        <v>0</v>
      </c>
      <c r="BW257" t="s">
        <v>655</v>
      </c>
      <c r="BX257">
        <v>0.17</v>
      </c>
      <c r="BY257">
        <v>9.2531009999999991</v>
      </c>
      <c r="BZ257">
        <v>0</v>
      </c>
      <c r="CA257">
        <v>1</v>
      </c>
      <c r="CB257">
        <v>0.6</v>
      </c>
      <c r="CC257" s="3">
        <v>7.1269159999999998E-2</v>
      </c>
      <c r="CD257">
        <v>2.875</v>
      </c>
      <c r="CE257">
        <v>2.5</v>
      </c>
      <c r="CF257">
        <v>18</v>
      </c>
      <c r="CG257">
        <v>6</v>
      </c>
      <c r="CH257">
        <v>0</v>
      </c>
      <c r="CI257">
        <v>54.43</v>
      </c>
      <c r="CJ257">
        <v>479.0788</v>
      </c>
    </row>
    <row r="258" spans="1:88">
      <c r="A258">
        <v>256</v>
      </c>
      <c r="B258" t="s">
        <v>0</v>
      </c>
      <c r="C258" t="s">
        <v>1</v>
      </c>
      <c r="D258" t="s">
        <v>229</v>
      </c>
      <c r="E258" t="s">
        <v>119</v>
      </c>
      <c r="F258" t="s">
        <v>480</v>
      </c>
      <c r="G258" t="s">
        <v>106</v>
      </c>
      <c r="H258" t="s">
        <v>169</v>
      </c>
      <c r="J258">
        <v>2</v>
      </c>
      <c r="K258" t="s">
        <v>146</v>
      </c>
      <c r="L258" t="s">
        <v>165</v>
      </c>
      <c r="M258" t="s">
        <v>286</v>
      </c>
      <c r="N258" t="s">
        <v>96</v>
      </c>
      <c r="O258">
        <v>128</v>
      </c>
      <c r="Q258">
        <v>398</v>
      </c>
      <c r="R258">
        <v>75</v>
      </c>
      <c r="S258">
        <v>4.25</v>
      </c>
      <c r="T258">
        <v>3.5110000000000001</v>
      </c>
      <c r="U258">
        <v>6.3</v>
      </c>
      <c r="V258">
        <v>1692.43</v>
      </c>
      <c r="W258">
        <v>470</v>
      </c>
      <c r="X258">
        <v>1.3332999999999999</v>
      </c>
      <c r="Y258">
        <v>350</v>
      </c>
      <c r="Z258">
        <v>4.84</v>
      </c>
      <c r="AJ258">
        <v>2</v>
      </c>
      <c r="AK258">
        <v>18</v>
      </c>
      <c r="AM258">
        <v>0</v>
      </c>
      <c r="AO258" t="s">
        <v>173</v>
      </c>
      <c r="AT258">
        <v>50</v>
      </c>
      <c r="AV258">
        <v>40.799999999999997</v>
      </c>
      <c r="AW258">
        <v>0</v>
      </c>
      <c r="AX258">
        <v>0</v>
      </c>
      <c r="AY258">
        <v>58</v>
      </c>
      <c r="AZ258">
        <v>4.5</v>
      </c>
      <c r="BA258">
        <v>0</v>
      </c>
      <c r="BB258">
        <v>0</v>
      </c>
      <c r="BC258">
        <v>62</v>
      </c>
      <c r="BN258">
        <v>194.38339999999999</v>
      </c>
      <c r="BO258">
        <v>2746</v>
      </c>
      <c r="BP258">
        <v>0</v>
      </c>
      <c r="BQ258">
        <v>44</v>
      </c>
      <c r="BR258">
        <v>44</v>
      </c>
      <c r="BS258">
        <v>43.65</v>
      </c>
      <c r="BT258">
        <v>0</v>
      </c>
      <c r="BV258">
        <v>0</v>
      </c>
      <c r="BW258" t="s">
        <v>655</v>
      </c>
      <c r="BX258">
        <v>0.17</v>
      </c>
      <c r="BY258">
        <v>7.4205009999999998</v>
      </c>
      <c r="BZ258">
        <v>0</v>
      </c>
      <c r="CA258">
        <v>1</v>
      </c>
      <c r="CB258">
        <v>0.6</v>
      </c>
      <c r="CC258" s="3">
        <v>7.1269159999999998E-2</v>
      </c>
      <c r="CD258">
        <v>2.875</v>
      </c>
      <c r="CE258">
        <v>2.5</v>
      </c>
      <c r="CF258">
        <v>18</v>
      </c>
      <c r="CG258">
        <v>6</v>
      </c>
      <c r="CH258">
        <v>0</v>
      </c>
      <c r="CI258">
        <v>43.65</v>
      </c>
      <c r="CJ258">
        <v>349.97609999999997</v>
      </c>
    </row>
    <row r="259" spans="1:88">
      <c r="A259">
        <v>257</v>
      </c>
      <c r="B259" t="s">
        <v>0</v>
      </c>
      <c r="C259" t="s">
        <v>1</v>
      </c>
      <c r="D259" t="s">
        <v>234</v>
      </c>
      <c r="E259" t="s">
        <v>169</v>
      </c>
      <c r="F259" t="s">
        <v>252</v>
      </c>
      <c r="G259" t="s">
        <v>106</v>
      </c>
      <c r="H259" t="s">
        <v>195</v>
      </c>
      <c r="J259">
        <v>2</v>
      </c>
      <c r="K259" t="s">
        <v>146</v>
      </c>
      <c r="L259" t="s">
        <v>381</v>
      </c>
      <c r="M259" t="s">
        <v>173</v>
      </c>
      <c r="N259" t="s">
        <v>174</v>
      </c>
      <c r="O259">
        <v>119</v>
      </c>
      <c r="Q259">
        <v>460</v>
      </c>
      <c r="R259">
        <v>90</v>
      </c>
      <c r="S259">
        <v>4.25</v>
      </c>
      <c r="T259">
        <v>3.2829999999999999</v>
      </c>
      <c r="U259">
        <v>6.15</v>
      </c>
      <c r="V259">
        <v>1956.57</v>
      </c>
      <c r="W259">
        <v>554</v>
      </c>
      <c r="X259">
        <v>1.3332999999999999</v>
      </c>
      <c r="Y259">
        <v>424</v>
      </c>
      <c r="Z259">
        <v>4.6100000000000003</v>
      </c>
      <c r="AJ259">
        <v>2</v>
      </c>
      <c r="AK259">
        <v>18</v>
      </c>
      <c r="AM259">
        <v>0</v>
      </c>
      <c r="AO259" t="s">
        <v>256</v>
      </c>
      <c r="AT259">
        <v>47</v>
      </c>
      <c r="AV259">
        <v>50.6</v>
      </c>
      <c r="AW259">
        <v>0</v>
      </c>
      <c r="AX259">
        <v>0</v>
      </c>
      <c r="AY259">
        <v>47.75</v>
      </c>
      <c r="AZ259">
        <v>4.375</v>
      </c>
      <c r="BA259">
        <v>0</v>
      </c>
      <c r="BB259">
        <v>0</v>
      </c>
      <c r="BC259">
        <v>51</v>
      </c>
      <c r="BN259">
        <v>242.5334</v>
      </c>
      <c r="BO259">
        <v>1764</v>
      </c>
      <c r="BP259">
        <v>0</v>
      </c>
      <c r="BQ259">
        <v>41</v>
      </c>
      <c r="BR259">
        <v>41</v>
      </c>
      <c r="BS259">
        <v>40.520000000000003</v>
      </c>
      <c r="BT259">
        <v>0</v>
      </c>
      <c r="BV259">
        <v>0</v>
      </c>
      <c r="BW259" t="s">
        <v>655</v>
      </c>
      <c r="BX259">
        <v>0.17</v>
      </c>
      <c r="BY259">
        <v>6.8883999999999999</v>
      </c>
      <c r="BZ259">
        <v>0</v>
      </c>
      <c r="CA259">
        <v>1</v>
      </c>
      <c r="CB259">
        <v>0.6</v>
      </c>
      <c r="CC259" s="3">
        <v>7.1269159999999998E-2</v>
      </c>
      <c r="CD259">
        <v>2.875</v>
      </c>
      <c r="CE259">
        <v>2.5</v>
      </c>
      <c r="CF259">
        <v>18</v>
      </c>
      <c r="CG259">
        <v>6</v>
      </c>
      <c r="CH259">
        <v>0</v>
      </c>
      <c r="CI259">
        <v>40.520000000000003</v>
      </c>
      <c r="CJ259">
        <v>402.85180000000003</v>
      </c>
    </row>
    <row r="260" spans="1:88">
      <c r="A260">
        <v>258</v>
      </c>
      <c r="B260" t="s">
        <v>13</v>
      </c>
      <c r="C260" t="s">
        <v>1</v>
      </c>
      <c r="D260" t="s">
        <v>143</v>
      </c>
      <c r="E260" t="s">
        <v>96</v>
      </c>
      <c r="F260" t="s">
        <v>144</v>
      </c>
      <c r="G260" t="s">
        <v>106</v>
      </c>
      <c r="H260" t="s">
        <v>145</v>
      </c>
      <c r="J260">
        <v>2</v>
      </c>
      <c r="K260" t="s">
        <v>146</v>
      </c>
      <c r="L260" t="s">
        <v>293</v>
      </c>
      <c r="M260" t="s">
        <v>100</v>
      </c>
      <c r="N260" t="s">
        <v>101</v>
      </c>
      <c r="O260">
        <v>131</v>
      </c>
      <c r="Q260">
        <v>531</v>
      </c>
      <c r="R260">
        <v>95</v>
      </c>
      <c r="S260">
        <v>4.25</v>
      </c>
      <c r="T260">
        <v>3.5859999999999999</v>
      </c>
      <c r="U260">
        <v>6.37</v>
      </c>
      <c r="V260">
        <v>2256.4</v>
      </c>
      <c r="W260">
        <v>603</v>
      </c>
      <c r="X260">
        <v>1.3332999999999999</v>
      </c>
      <c r="Y260">
        <v>460</v>
      </c>
      <c r="Z260">
        <v>4.91</v>
      </c>
      <c r="AJ260">
        <v>2</v>
      </c>
      <c r="AK260">
        <v>18</v>
      </c>
      <c r="AM260">
        <v>0</v>
      </c>
      <c r="AO260" t="s">
        <v>149</v>
      </c>
      <c r="AT260">
        <v>51</v>
      </c>
      <c r="AV260">
        <v>53.5</v>
      </c>
      <c r="AW260">
        <v>0.46875</v>
      </c>
      <c r="AX260">
        <v>3.75</v>
      </c>
      <c r="AY260">
        <v>50.5</v>
      </c>
      <c r="AZ260">
        <v>4.625</v>
      </c>
      <c r="BA260">
        <v>401.38</v>
      </c>
      <c r="BB260">
        <v>4.91</v>
      </c>
      <c r="BC260">
        <v>54</v>
      </c>
      <c r="BD260">
        <v>0.25</v>
      </c>
      <c r="BE260">
        <v>2.75</v>
      </c>
      <c r="BF260">
        <v>19.75</v>
      </c>
      <c r="BG260">
        <v>2.5</v>
      </c>
      <c r="BH260">
        <v>58.16</v>
      </c>
      <c r="BI260">
        <v>5.9</v>
      </c>
      <c r="BJ260">
        <v>9</v>
      </c>
      <c r="BL260">
        <v>459.54</v>
      </c>
      <c r="BM260">
        <v>62</v>
      </c>
      <c r="BN260">
        <v>256.80009999999999</v>
      </c>
      <c r="BO260">
        <v>1574</v>
      </c>
      <c r="BP260">
        <v>0</v>
      </c>
      <c r="BQ260">
        <v>45</v>
      </c>
      <c r="BR260">
        <v>45</v>
      </c>
      <c r="BS260">
        <v>44.69</v>
      </c>
      <c r="BT260">
        <v>0</v>
      </c>
      <c r="BV260">
        <v>0</v>
      </c>
      <c r="BW260" t="s">
        <v>655</v>
      </c>
      <c r="BX260">
        <v>0.17</v>
      </c>
      <c r="BY260">
        <v>7.5972999999999997</v>
      </c>
      <c r="BZ260">
        <v>0</v>
      </c>
      <c r="CA260">
        <v>1</v>
      </c>
      <c r="CB260">
        <v>0.6</v>
      </c>
      <c r="CC260" s="3">
        <v>7.1269159999999998E-2</v>
      </c>
      <c r="CD260">
        <v>2.875</v>
      </c>
      <c r="CE260">
        <v>2.5</v>
      </c>
      <c r="CF260">
        <v>18</v>
      </c>
      <c r="CG260">
        <v>6</v>
      </c>
      <c r="CH260">
        <v>0</v>
      </c>
      <c r="CI260">
        <v>44.69</v>
      </c>
      <c r="CJ260">
        <v>469.79020000000003</v>
      </c>
    </row>
    <row r="261" spans="1:88">
      <c r="A261">
        <v>259</v>
      </c>
      <c r="B261" t="s">
        <v>0</v>
      </c>
      <c r="C261" t="s">
        <v>1</v>
      </c>
      <c r="D261" t="s">
        <v>295</v>
      </c>
      <c r="E261" t="s">
        <v>169</v>
      </c>
      <c r="F261" t="s">
        <v>465</v>
      </c>
      <c r="G261" t="s">
        <v>106</v>
      </c>
      <c r="H261" t="s">
        <v>99</v>
      </c>
      <c r="J261">
        <v>2</v>
      </c>
      <c r="K261" t="s">
        <v>146</v>
      </c>
      <c r="L261" t="s">
        <v>381</v>
      </c>
      <c r="M261" t="s">
        <v>173</v>
      </c>
      <c r="N261" t="s">
        <v>174</v>
      </c>
      <c r="O261">
        <v>119</v>
      </c>
      <c r="Q261">
        <v>470</v>
      </c>
      <c r="R261">
        <v>92</v>
      </c>
      <c r="S261">
        <v>4.25</v>
      </c>
      <c r="T261">
        <v>3.2829999999999999</v>
      </c>
      <c r="U261">
        <v>6.15</v>
      </c>
      <c r="V261">
        <v>1998.01</v>
      </c>
      <c r="W261">
        <v>564</v>
      </c>
      <c r="X261">
        <v>1.3332999999999999</v>
      </c>
      <c r="Y261">
        <v>433</v>
      </c>
      <c r="Z261">
        <v>4.6100000000000003</v>
      </c>
      <c r="AJ261">
        <v>2</v>
      </c>
      <c r="AK261">
        <v>18</v>
      </c>
      <c r="AM261">
        <v>0</v>
      </c>
      <c r="AO261" t="s">
        <v>184</v>
      </c>
      <c r="AT261">
        <v>47</v>
      </c>
      <c r="AV261">
        <v>51.7</v>
      </c>
      <c r="AW261">
        <v>0</v>
      </c>
      <c r="AX261">
        <v>0</v>
      </c>
      <c r="AY261">
        <v>46.75</v>
      </c>
      <c r="AZ261">
        <v>4.375</v>
      </c>
      <c r="BA261">
        <v>0</v>
      </c>
      <c r="BB261">
        <v>0</v>
      </c>
      <c r="BC261">
        <v>50</v>
      </c>
      <c r="BN261">
        <v>247.88339999999999</v>
      </c>
      <c r="BO261">
        <v>1689</v>
      </c>
      <c r="BP261">
        <v>0</v>
      </c>
      <c r="BQ261">
        <v>41</v>
      </c>
      <c r="BR261">
        <v>41</v>
      </c>
      <c r="BS261">
        <v>40.520000000000003</v>
      </c>
      <c r="BT261">
        <v>0</v>
      </c>
      <c r="BV261">
        <v>0</v>
      </c>
      <c r="BW261" t="s">
        <v>655</v>
      </c>
      <c r="BX261">
        <v>0.17</v>
      </c>
      <c r="BY261">
        <v>6.8883999999999999</v>
      </c>
      <c r="BZ261">
        <v>0</v>
      </c>
      <c r="CA261">
        <v>1</v>
      </c>
      <c r="CB261">
        <v>0.6</v>
      </c>
      <c r="CC261" s="3">
        <v>7.1269159999999998E-2</v>
      </c>
      <c r="CD261">
        <v>2.875</v>
      </c>
      <c r="CE261">
        <v>2.5</v>
      </c>
      <c r="CF261">
        <v>18</v>
      </c>
      <c r="CG261">
        <v>6</v>
      </c>
      <c r="CH261">
        <v>0</v>
      </c>
      <c r="CI261">
        <v>40.520000000000003</v>
      </c>
      <c r="CJ261">
        <v>411.51519999999999</v>
      </c>
    </row>
    <row r="262" spans="1:88">
      <c r="A262">
        <v>260</v>
      </c>
      <c r="B262" t="s">
        <v>0</v>
      </c>
      <c r="C262" t="s">
        <v>1</v>
      </c>
      <c r="D262" t="s">
        <v>169</v>
      </c>
      <c r="E262" t="s">
        <v>123</v>
      </c>
      <c r="F262" t="s">
        <v>404</v>
      </c>
      <c r="G262" t="s">
        <v>106</v>
      </c>
      <c r="H262" t="s">
        <v>190</v>
      </c>
      <c r="J262">
        <v>2</v>
      </c>
      <c r="K262" t="s">
        <v>146</v>
      </c>
      <c r="L262" t="s">
        <v>8</v>
      </c>
      <c r="M262" t="s">
        <v>147</v>
      </c>
      <c r="N262" t="s">
        <v>148</v>
      </c>
      <c r="O262">
        <v>183</v>
      </c>
      <c r="Q262">
        <v>550</v>
      </c>
      <c r="R262">
        <v>74</v>
      </c>
      <c r="S262">
        <v>4.25</v>
      </c>
      <c r="T262">
        <v>4.8079999999999998</v>
      </c>
      <c r="U262">
        <v>7.12</v>
      </c>
      <c r="V262">
        <v>2337.58</v>
      </c>
      <c r="W262">
        <v>527</v>
      </c>
      <c r="X262">
        <v>1.3332999999999999</v>
      </c>
      <c r="Y262">
        <v>381</v>
      </c>
      <c r="Z262">
        <v>6.14</v>
      </c>
      <c r="AJ262">
        <v>2</v>
      </c>
      <c r="AK262">
        <v>18</v>
      </c>
      <c r="AM262">
        <v>0</v>
      </c>
      <c r="AO262" t="s">
        <v>406</v>
      </c>
      <c r="AT262">
        <v>69</v>
      </c>
      <c r="AV262">
        <v>40.4</v>
      </c>
      <c r="AW262">
        <v>0.40625</v>
      </c>
      <c r="AX262">
        <v>3.75</v>
      </c>
      <c r="AY262">
        <v>46.5</v>
      </c>
      <c r="AZ262">
        <v>5</v>
      </c>
      <c r="BA262">
        <v>209.39</v>
      </c>
      <c r="BB262">
        <v>6.32</v>
      </c>
      <c r="BC262">
        <v>44</v>
      </c>
      <c r="BD262">
        <v>0.375</v>
      </c>
      <c r="BE262">
        <v>3.75</v>
      </c>
      <c r="BF262">
        <v>37.75</v>
      </c>
      <c r="BG262">
        <v>4.625</v>
      </c>
      <c r="BH262">
        <v>171.32</v>
      </c>
      <c r="BI262">
        <v>6.28</v>
      </c>
      <c r="BJ262">
        <v>33</v>
      </c>
      <c r="BL262">
        <v>380.71</v>
      </c>
      <c r="BM262">
        <v>77</v>
      </c>
      <c r="BN262">
        <v>192.6</v>
      </c>
      <c r="BO262">
        <v>2797</v>
      </c>
      <c r="BP262">
        <v>0</v>
      </c>
      <c r="BQ262">
        <v>63</v>
      </c>
      <c r="BR262">
        <v>63</v>
      </c>
      <c r="BS262">
        <v>62.78</v>
      </c>
      <c r="BT262">
        <v>0</v>
      </c>
      <c r="BV262">
        <v>0</v>
      </c>
      <c r="BW262" t="s">
        <v>655</v>
      </c>
      <c r="BX262">
        <v>0.17</v>
      </c>
      <c r="BY262">
        <v>10.672599999999999</v>
      </c>
      <c r="BZ262">
        <v>0</v>
      </c>
      <c r="CA262">
        <v>1</v>
      </c>
      <c r="CB262">
        <v>0.6</v>
      </c>
      <c r="CC262" s="3">
        <v>7.1269159999999998E-2</v>
      </c>
      <c r="CD262">
        <v>2.875</v>
      </c>
      <c r="CE262">
        <v>2.5</v>
      </c>
      <c r="CF262">
        <v>18</v>
      </c>
      <c r="CG262">
        <v>6</v>
      </c>
      <c r="CH262">
        <v>0</v>
      </c>
      <c r="CI262">
        <v>62.78</v>
      </c>
      <c r="CJ262">
        <v>498.88200000000001</v>
      </c>
    </row>
    <row r="263" spans="1:88">
      <c r="A263">
        <v>261</v>
      </c>
      <c r="B263" t="s">
        <v>13</v>
      </c>
      <c r="C263" t="s">
        <v>1</v>
      </c>
      <c r="D263" t="s">
        <v>234</v>
      </c>
      <c r="E263" t="s">
        <v>113</v>
      </c>
      <c r="F263" t="s">
        <v>252</v>
      </c>
      <c r="G263" t="s">
        <v>106</v>
      </c>
      <c r="H263" t="s">
        <v>195</v>
      </c>
      <c r="J263">
        <v>2</v>
      </c>
      <c r="K263" t="s">
        <v>146</v>
      </c>
      <c r="L263" t="s">
        <v>116</v>
      </c>
      <c r="M263" t="s">
        <v>117</v>
      </c>
      <c r="N263" t="s">
        <v>14</v>
      </c>
      <c r="O263">
        <v>179</v>
      </c>
      <c r="Q263">
        <v>671</v>
      </c>
      <c r="R263">
        <v>90</v>
      </c>
      <c r="S263">
        <v>4.25</v>
      </c>
      <c r="T263">
        <v>4.7190000000000003</v>
      </c>
      <c r="U263">
        <v>7.05</v>
      </c>
      <c r="V263">
        <v>2853.45</v>
      </c>
      <c r="W263">
        <v>635</v>
      </c>
      <c r="X263">
        <v>1.3332999999999999</v>
      </c>
      <c r="Y263">
        <v>472</v>
      </c>
      <c r="Z263">
        <v>6.05</v>
      </c>
      <c r="AJ263">
        <v>2</v>
      </c>
      <c r="AK263">
        <v>18</v>
      </c>
      <c r="AM263">
        <v>0</v>
      </c>
      <c r="AO263" t="s">
        <v>256</v>
      </c>
      <c r="AT263">
        <v>68</v>
      </c>
      <c r="AV263">
        <v>50.6</v>
      </c>
      <c r="AW263">
        <v>0.4375</v>
      </c>
      <c r="AX263">
        <v>3.75</v>
      </c>
      <c r="AY263">
        <v>54.875</v>
      </c>
      <c r="AZ263">
        <v>5.25</v>
      </c>
      <c r="BA263">
        <v>259.39999999999998</v>
      </c>
      <c r="BB263">
        <v>6.34</v>
      </c>
      <c r="BC263">
        <v>56</v>
      </c>
      <c r="BD263">
        <v>0.40625</v>
      </c>
      <c r="BE263">
        <v>3.75</v>
      </c>
      <c r="BF263">
        <v>45.875</v>
      </c>
      <c r="BG263">
        <v>4.875</v>
      </c>
      <c r="BH263">
        <v>212.24</v>
      </c>
      <c r="BI263">
        <v>6.24</v>
      </c>
      <c r="BJ263">
        <v>43</v>
      </c>
      <c r="BL263">
        <v>471.64</v>
      </c>
      <c r="BM263">
        <v>98</v>
      </c>
      <c r="BN263">
        <v>242.5334</v>
      </c>
      <c r="BO263">
        <v>1764</v>
      </c>
      <c r="BP263">
        <v>0</v>
      </c>
      <c r="BQ263">
        <v>61</v>
      </c>
      <c r="BR263">
        <v>61</v>
      </c>
      <c r="BS263">
        <v>61.39</v>
      </c>
      <c r="BT263">
        <v>0</v>
      </c>
      <c r="BV263">
        <v>0</v>
      </c>
      <c r="BW263" t="s">
        <v>655</v>
      </c>
      <c r="BX263">
        <v>0.17</v>
      </c>
      <c r="BY263">
        <v>10.436299999999999</v>
      </c>
      <c r="BZ263">
        <v>0</v>
      </c>
      <c r="CA263">
        <v>1</v>
      </c>
      <c r="CB263">
        <v>0.6</v>
      </c>
      <c r="CC263" s="3">
        <v>7.1269159999999998E-2</v>
      </c>
      <c r="CD263">
        <v>2.875</v>
      </c>
      <c r="CE263">
        <v>2.5</v>
      </c>
      <c r="CF263">
        <v>18</v>
      </c>
      <c r="CG263">
        <v>6</v>
      </c>
      <c r="CH263">
        <v>0</v>
      </c>
      <c r="CI263">
        <v>61.39</v>
      </c>
      <c r="CJ263">
        <v>610.34230000000002</v>
      </c>
    </row>
    <row r="264" spans="1:88">
      <c r="A264">
        <v>262</v>
      </c>
      <c r="B264" t="s">
        <v>0</v>
      </c>
      <c r="C264" t="s">
        <v>1</v>
      </c>
      <c r="D264" t="s">
        <v>341</v>
      </c>
      <c r="E264" t="s">
        <v>320</v>
      </c>
      <c r="F264" t="s">
        <v>343</v>
      </c>
      <c r="G264" t="s">
        <v>106</v>
      </c>
      <c r="H264" t="s">
        <v>344</v>
      </c>
      <c r="J264">
        <v>2</v>
      </c>
      <c r="K264" t="s">
        <v>146</v>
      </c>
      <c r="L264" t="s">
        <v>224</v>
      </c>
      <c r="M264" t="s">
        <v>500</v>
      </c>
      <c r="N264" t="s">
        <v>501</v>
      </c>
      <c r="O264">
        <v>59</v>
      </c>
      <c r="Q264">
        <v>136</v>
      </c>
      <c r="R264">
        <v>48</v>
      </c>
      <c r="S264">
        <v>4.25</v>
      </c>
      <c r="T264">
        <v>1.613</v>
      </c>
      <c r="U264">
        <v>5.17</v>
      </c>
      <c r="V264">
        <v>579.99</v>
      </c>
      <c r="W264">
        <v>250</v>
      </c>
      <c r="X264">
        <v>1.1666000000000001</v>
      </c>
      <c r="Y264">
        <v>209</v>
      </c>
      <c r="Z264">
        <v>2.77</v>
      </c>
      <c r="AJ264">
        <v>2</v>
      </c>
      <c r="AK264">
        <v>18</v>
      </c>
      <c r="AM264">
        <v>0</v>
      </c>
      <c r="AO264" t="s">
        <v>347</v>
      </c>
      <c r="AT264">
        <v>26</v>
      </c>
      <c r="AV264">
        <v>27.4</v>
      </c>
      <c r="AW264">
        <v>0</v>
      </c>
      <c r="AX264">
        <v>0</v>
      </c>
      <c r="AY264">
        <v>12.125</v>
      </c>
      <c r="AZ264">
        <v>1.75</v>
      </c>
      <c r="BA264">
        <v>0</v>
      </c>
      <c r="BB264">
        <v>0</v>
      </c>
      <c r="BC264">
        <v>9</v>
      </c>
      <c r="BN264">
        <v>128.4</v>
      </c>
      <c r="BO264">
        <v>6294</v>
      </c>
      <c r="BP264">
        <v>0</v>
      </c>
      <c r="BQ264">
        <v>20</v>
      </c>
      <c r="BR264">
        <v>20</v>
      </c>
      <c r="BS264">
        <v>19.649999999999999</v>
      </c>
      <c r="BT264">
        <v>0</v>
      </c>
      <c r="BV264">
        <v>0</v>
      </c>
      <c r="BW264" t="s">
        <v>655</v>
      </c>
      <c r="BX264">
        <v>0.17</v>
      </c>
      <c r="BY264">
        <v>3.3405</v>
      </c>
      <c r="BZ264">
        <v>0</v>
      </c>
      <c r="CA264">
        <v>1</v>
      </c>
      <c r="CB264">
        <v>0.6</v>
      </c>
      <c r="CC264" s="3">
        <v>7.1269159999999998E-2</v>
      </c>
      <c r="CD264">
        <v>2.875</v>
      </c>
      <c r="CE264">
        <v>2.5</v>
      </c>
      <c r="CF264">
        <v>18</v>
      </c>
      <c r="CG264">
        <v>6</v>
      </c>
      <c r="CH264">
        <v>0</v>
      </c>
      <c r="CI264">
        <v>19.649999999999999</v>
      </c>
      <c r="CJ264">
        <v>105.73309999999999</v>
      </c>
    </row>
    <row r="265" spans="1:88">
      <c r="A265">
        <v>263</v>
      </c>
      <c r="B265" t="s">
        <v>13</v>
      </c>
      <c r="C265" t="s">
        <v>1</v>
      </c>
      <c r="D265" t="s">
        <v>283</v>
      </c>
      <c r="E265" t="s">
        <v>438</v>
      </c>
      <c r="F265" t="s">
        <v>243</v>
      </c>
      <c r="G265" t="s">
        <v>106</v>
      </c>
      <c r="H265" t="s">
        <v>284</v>
      </c>
      <c r="J265">
        <v>2</v>
      </c>
      <c r="K265" t="s">
        <v>146</v>
      </c>
      <c r="L265" t="s">
        <v>399</v>
      </c>
      <c r="M265" t="s">
        <v>467</v>
      </c>
      <c r="N265" t="s">
        <v>382</v>
      </c>
      <c r="O265">
        <v>97</v>
      </c>
      <c r="Q265">
        <v>221</v>
      </c>
      <c r="R265">
        <v>51</v>
      </c>
      <c r="S265">
        <v>4.25</v>
      </c>
      <c r="T265">
        <v>2.7040000000000002</v>
      </c>
      <c r="U265">
        <v>5.85</v>
      </c>
      <c r="V265">
        <v>937.59</v>
      </c>
      <c r="W265">
        <v>296</v>
      </c>
      <c r="X265">
        <v>1.3332999999999999</v>
      </c>
      <c r="Y265">
        <v>233</v>
      </c>
      <c r="Z265">
        <v>4.03</v>
      </c>
      <c r="AJ265">
        <v>2</v>
      </c>
      <c r="AK265">
        <v>18</v>
      </c>
      <c r="AM265">
        <v>0</v>
      </c>
      <c r="AO265" t="s">
        <v>285</v>
      </c>
      <c r="AT265">
        <v>39</v>
      </c>
      <c r="AV265">
        <v>28.8</v>
      </c>
      <c r="AW265">
        <v>0</v>
      </c>
      <c r="AX265">
        <v>0</v>
      </c>
      <c r="AY265">
        <v>27.75</v>
      </c>
      <c r="AZ265">
        <v>3</v>
      </c>
      <c r="BA265">
        <v>0</v>
      </c>
      <c r="BB265">
        <v>0</v>
      </c>
      <c r="BC265">
        <v>25</v>
      </c>
      <c r="BN265">
        <v>135.5334</v>
      </c>
      <c r="BO265">
        <v>5649</v>
      </c>
      <c r="BP265">
        <v>0</v>
      </c>
      <c r="BQ265">
        <v>33</v>
      </c>
      <c r="BR265">
        <v>33</v>
      </c>
      <c r="BS265">
        <v>32.86</v>
      </c>
      <c r="BT265">
        <v>0</v>
      </c>
      <c r="BV265">
        <v>0</v>
      </c>
      <c r="BW265" t="s">
        <v>655</v>
      </c>
      <c r="BX265">
        <v>0.17</v>
      </c>
      <c r="BY265">
        <v>5.5861999999999998</v>
      </c>
      <c r="BZ265">
        <v>0</v>
      </c>
      <c r="CA265">
        <v>1</v>
      </c>
      <c r="CB265">
        <v>0.6</v>
      </c>
      <c r="CC265" s="3">
        <v>7.1269159999999998E-2</v>
      </c>
      <c r="CD265">
        <v>2.875</v>
      </c>
      <c r="CE265">
        <v>2.5</v>
      </c>
      <c r="CF265">
        <v>18</v>
      </c>
      <c r="CG265">
        <v>6</v>
      </c>
      <c r="CH265">
        <v>0</v>
      </c>
      <c r="CI265">
        <v>32.86</v>
      </c>
      <c r="CJ265">
        <v>186.1814</v>
      </c>
    </row>
    <row r="266" spans="1:88">
      <c r="A266">
        <v>264</v>
      </c>
      <c r="B266" t="s">
        <v>0</v>
      </c>
      <c r="C266" t="s">
        <v>1</v>
      </c>
      <c r="D266" t="s">
        <v>177</v>
      </c>
      <c r="E266" t="s">
        <v>96</v>
      </c>
      <c r="F266" t="s">
        <v>226</v>
      </c>
      <c r="G266" t="s">
        <v>106</v>
      </c>
      <c r="H266" t="s">
        <v>150</v>
      </c>
      <c r="J266">
        <v>2</v>
      </c>
      <c r="K266" t="s">
        <v>146</v>
      </c>
      <c r="L266" t="s">
        <v>293</v>
      </c>
      <c r="M266" t="s">
        <v>100</v>
      </c>
      <c r="N266" t="s">
        <v>101</v>
      </c>
      <c r="O266">
        <v>131</v>
      </c>
      <c r="Q266">
        <v>378</v>
      </c>
      <c r="R266">
        <v>70</v>
      </c>
      <c r="S266">
        <v>4.25</v>
      </c>
      <c r="T266">
        <v>3.5859999999999999</v>
      </c>
      <c r="U266">
        <v>6.37</v>
      </c>
      <c r="V266">
        <v>1608.02</v>
      </c>
      <c r="W266">
        <v>446</v>
      </c>
      <c r="X266">
        <v>1.3332999999999999</v>
      </c>
      <c r="Y266">
        <v>327</v>
      </c>
      <c r="Z266">
        <v>4.91</v>
      </c>
      <c r="AJ266">
        <v>2</v>
      </c>
      <c r="AK266">
        <v>18</v>
      </c>
      <c r="AM266">
        <v>0</v>
      </c>
      <c r="AO266" t="s">
        <v>159</v>
      </c>
      <c r="AT266">
        <v>51</v>
      </c>
      <c r="AV266">
        <v>37.9</v>
      </c>
      <c r="AW266">
        <v>0</v>
      </c>
      <c r="AX266">
        <v>0</v>
      </c>
      <c r="AY266">
        <v>43.5</v>
      </c>
      <c r="AZ266">
        <v>4.25</v>
      </c>
      <c r="BA266">
        <v>0</v>
      </c>
      <c r="BB266">
        <v>0</v>
      </c>
      <c r="BC266">
        <v>44</v>
      </c>
      <c r="BN266">
        <v>180.11670000000001</v>
      </c>
      <c r="BO266">
        <v>3199</v>
      </c>
      <c r="BP266">
        <v>0</v>
      </c>
      <c r="BQ266">
        <v>45</v>
      </c>
      <c r="BR266">
        <v>45</v>
      </c>
      <c r="BS266">
        <v>44.69</v>
      </c>
      <c r="BT266">
        <v>0</v>
      </c>
      <c r="BV266">
        <v>0</v>
      </c>
      <c r="BW266" t="s">
        <v>655</v>
      </c>
      <c r="BX266">
        <v>0.17</v>
      </c>
      <c r="BY266">
        <v>7.5972999999999997</v>
      </c>
      <c r="BZ266">
        <v>0</v>
      </c>
      <c r="CA266">
        <v>1</v>
      </c>
      <c r="CB266">
        <v>0.6</v>
      </c>
      <c r="CC266" s="3">
        <v>7.1269159999999998E-2</v>
      </c>
      <c r="CD266">
        <v>2.875</v>
      </c>
      <c r="CE266">
        <v>2.5</v>
      </c>
      <c r="CF266">
        <v>18</v>
      </c>
      <c r="CG266">
        <v>6</v>
      </c>
      <c r="CH266">
        <v>0</v>
      </c>
      <c r="CI266">
        <v>44.69</v>
      </c>
      <c r="CJ266">
        <v>332.83449999999999</v>
      </c>
    </row>
    <row r="267" spans="1:88">
      <c r="A267">
        <v>265</v>
      </c>
      <c r="B267" t="s">
        <v>0</v>
      </c>
      <c r="C267" t="s">
        <v>1</v>
      </c>
      <c r="D267" t="s">
        <v>502</v>
      </c>
      <c r="E267" t="s">
        <v>459</v>
      </c>
      <c r="F267" t="s">
        <v>503</v>
      </c>
      <c r="G267" t="s">
        <v>20</v>
      </c>
      <c r="H267" t="s">
        <v>502</v>
      </c>
      <c r="J267">
        <v>2</v>
      </c>
      <c r="K267" t="s">
        <v>9</v>
      </c>
      <c r="L267" t="s">
        <v>686</v>
      </c>
      <c r="M267" t="s">
        <v>687</v>
      </c>
      <c r="N267" t="s">
        <v>278</v>
      </c>
      <c r="O267">
        <v>204</v>
      </c>
      <c r="Q267">
        <v>1331</v>
      </c>
      <c r="R267">
        <v>169</v>
      </c>
      <c r="S267">
        <v>4.25</v>
      </c>
      <c r="T267">
        <v>5.2679999999999998</v>
      </c>
      <c r="U267">
        <v>7.35</v>
      </c>
      <c r="V267">
        <v>5658.83</v>
      </c>
      <c r="W267">
        <v>1239</v>
      </c>
      <c r="X267">
        <v>1.5</v>
      </c>
      <c r="Y267">
        <v>837</v>
      </c>
      <c r="Z267">
        <v>6.76</v>
      </c>
      <c r="AJ267">
        <v>2</v>
      </c>
      <c r="AK267">
        <v>18</v>
      </c>
      <c r="AM267">
        <v>0</v>
      </c>
      <c r="AO267" t="s">
        <v>504</v>
      </c>
      <c r="AT267">
        <v>76</v>
      </c>
      <c r="AV267">
        <v>88.8</v>
      </c>
      <c r="AW267" t="s">
        <v>6</v>
      </c>
      <c r="AX267" t="s">
        <v>6</v>
      </c>
      <c r="AY267" t="s">
        <v>6</v>
      </c>
      <c r="AZ267" t="s">
        <v>6</v>
      </c>
      <c r="BA267" t="s">
        <v>6</v>
      </c>
      <c r="BB267" t="s">
        <v>6</v>
      </c>
      <c r="BC267" t="s">
        <v>6</v>
      </c>
      <c r="BD267" t="s">
        <v>6</v>
      </c>
      <c r="BE267" t="s">
        <v>6</v>
      </c>
      <c r="BF267" t="s">
        <v>6</v>
      </c>
      <c r="BG267" t="s">
        <v>6</v>
      </c>
      <c r="BH267" t="s">
        <v>6</v>
      </c>
      <c r="BI267" t="s">
        <v>6</v>
      </c>
      <c r="BJ267" t="s">
        <v>6</v>
      </c>
      <c r="BN267">
        <v>666.7165</v>
      </c>
      <c r="BO267">
        <v>2694</v>
      </c>
      <c r="BP267">
        <v>0</v>
      </c>
      <c r="BQ267">
        <v>70</v>
      </c>
      <c r="BR267">
        <v>70</v>
      </c>
      <c r="BS267">
        <v>70.08</v>
      </c>
      <c r="BT267">
        <v>0</v>
      </c>
      <c r="BV267">
        <v>6</v>
      </c>
      <c r="BW267" t="s">
        <v>655</v>
      </c>
      <c r="BX267">
        <v>0.27933330000000001</v>
      </c>
      <c r="BY267">
        <v>19.575679999999998</v>
      </c>
      <c r="BZ267">
        <v>0</v>
      </c>
      <c r="CA267">
        <v>1</v>
      </c>
      <c r="CB267">
        <v>0.6</v>
      </c>
      <c r="CC267" s="3">
        <v>7.1269159999999998E-2</v>
      </c>
      <c r="CD267">
        <v>2.875</v>
      </c>
      <c r="CE267">
        <v>2.5</v>
      </c>
      <c r="CF267">
        <v>18</v>
      </c>
      <c r="CG267">
        <v>6</v>
      </c>
      <c r="CH267">
        <v>0</v>
      </c>
      <c r="CI267">
        <v>70.08</v>
      </c>
      <c r="CJ267">
        <v>1223.039</v>
      </c>
    </row>
    <row r="268" spans="1:88">
      <c r="A268">
        <v>266</v>
      </c>
      <c r="B268" t="s">
        <v>0</v>
      </c>
      <c r="C268" t="s">
        <v>1</v>
      </c>
      <c r="D268" t="s">
        <v>5</v>
      </c>
      <c r="E268" t="s">
        <v>96</v>
      </c>
      <c r="F268" t="s">
        <v>159</v>
      </c>
      <c r="G268" t="s">
        <v>106</v>
      </c>
      <c r="H268" t="s">
        <v>139</v>
      </c>
      <c r="J268">
        <v>2</v>
      </c>
      <c r="K268" t="s">
        <v>146</v>
      </c>
      <c r="L268" t="s">
        <v>293</v>
      </c>
      <c r="M268" t="s">
        <v>100</v>
      </c>
      <c r="N268" t="s">
        <v>101</v>
      </c>
      <c r="O268">
        <v>131</v>
      </c>
      <c r="Q268">
        <v>371</v>
      </c>
      <c r="R268">
        <v>69</v>
      </c>
      <c r="S268">
        <v>4.25</v>
      </c>
      <c r="T268">
        <v>3.5859999999999999</v>
      </c>
      <c r="U268">
        <v>6.37</v>
      </c>
      <c r="V268">
        <v>1577.85</v>
      </c>
      <c r="W268">
        <v>438</v>
      </c>
      <c r="X268">
        <v>1.3332999999999999</v>
      </c>
      <c r="Y268">
        <v>321</v>
      </c>
      <c r="Z268">
        <v>4.91</v>
      </c>
      <c r="AJ268">
        <v>2</v>
      </c>
      <c r="AK268">
        <v>18</v>
      </c>
      <c r="AM268">
        <v>0</v>
      </c>
      <c r="AO268" t="s">
        <v>385</v>
      </c>
      <c r="AT268">
        <v>51</v>
      </c>
      <c r="AV268">
        <v>37.200000000000003</v>
      </c>
      <c r="AW268">
        <v>0</v>
      </c>
      <c r="AX268">
        <v>0</v>
      </c>
      <c r="AY268">
        <v>44.25</v>
      </c>
      <c r="AZ268">
        <v>4.25</v>
      </c>
      <c r="BA268">
        <v>0</v>
      </c>
      <c r="BB268">
        <v>0</v>
      </c>
      <c r="BC268">
        <v>45</v>
      </c>
      <c r="BN268">
        <v>176.55</v>
      </c>
      <c r="BO268">
        <v>3329</v>
      </c>
      <c r="BP268">
        <v>0</v>
      </c>
      <c r="BQ268">
        <v>45</v>
      </c>
      <c r="BR268">
        <v>45</v>
      </c>
      <c r="BS268">
        <v>44.69</v>
      </c>
      <c r="BT268">
        <v>0</v>
      </c>
      <c r="BV268">
        <v>0</v>
      </c>
      <c r="BW268" t="s">
        <v>655</v>
      </c>
      <c r="BX268">
        <v>0.17</v>
      </c>
      <c r="BY268">
        <v>7.5972999999999997</v>
      </c>
      <c r="BZ268">
        <v>0</v>
      </c>
      <c r="CA268">
        <v>1</v>
      </c>
      <c r="CB268">
        <v>0.6</v>
      </c>
      <c r="CC268" s="3">
        <v>7.1269159999999998E-2</v>
      </c>
      <c r="CD268">
        <v>2.875</v>
      </c>
      <c r="CE268">
        <v>2.5</v>
      </c>
      <c r="CF268">
        <v>18</v>
      </c>
      <c r="CG268">
        <v>6</v>
      </c>
      <c r="CH268">
        <v>0</v>
      </c>
      <c r="CI268">
        <v>44.69</v>
      </c>
      <c r="CJ268">
        <v>326.46440000000001</v>
      </c>
    </row>
    <row r="269" spans="1:88">
      <c r="A269">
        <v>267</v>
      </c>
      <c r="B269" t="s">
        <v>13</v>
      </c>
      <c r="C269" t="s">
        <v>1</v>
      </c>
      <c r="D269" t="s">
        <v>505</v>
      </c>
      <c r="E269" t="s">
        <v>438</v>
      </c>
      <c r="F269" t="s">
        <v>506</v>
      </c>
      <c r="G269" t="s">
        <v>106</v>
      </c>
      <c r="H269" t="s">
        <v>507</v>
      </c>
      <c r="J269">
        <v>2</v>
      </c>
      <c r="K269" t="s">
        <v>146</v>
      </c>
      <c r="L269" t="s">
        <v>399</v>
      </c>
      <c r="M269" t="s">
        <v>467</v>
      </c>
      <c r="N269" t="s">
        <v>382</v>
      </c>
      <c r="O269">
        <v>97</v>
      </c>
      <c r="Q269">
        <v>137</v>
      </c>
      <c r="R269">
        <v>33</v>
      </c>
      <c r="S269">
        <v>4.25</v>
      </c>
      <c r="T269">
        <v>2.7040000000000002</v>
      </c>
      <c r="U269">
        <v>5.85</v>
      </c>
      <c r="V269">
        <v>581.23</v>
      </c>
      <c r="W269">
        <v>192</v>
      </c>
      <c r="X269">
        <v>1.3332999999999999</v>
      </c>
      <c r="Y269">
        <v>144</v>
      </c>
      <c r="Z269">
        <v>4.03</v>
      </c>
      <c r="AJ269">
        <v>2</v>
      </c>
      <c r="AK269">
        <v>18</v>
      </c>
      <c r="AM269">
        <v>0</v>
      </c>
      <c r="AO269" t="s">
        <v>508</v>
      </c>
      <c r="AT269">
        <v>39</v>
      </c>
      <c r="AV269">
        <v>17.600000000000001</v>
      </c>
      <c r="AW269">
        <v>0</v>
      </c>
      <c r="AX269">
        <v>0</v>
      </c>
      <c r="AY269">
        <v>17.625</v>
      </c>
      <c r="AZ269">
        <v>2.5</v>
      </c>
      <c r="BA269">
        <v>0</v>
      </c>
      <c r="BB269">
        <v>0</v>
      </c>
      <c r="BC269">
        <v>13</v>
      </c>
      <c r="BN269">
        <v>80.250010000000003</v>
      </c>
      <c r="BO269">
        <v>16113</v>
      </c>
      <c r="BP269">
        <v>0</v>
      </c>
      <c r="BQ269">
        <v>33</v>
      </c>
      <c r="BR269">
        <v>33</v>
      </c>
      <c r="BS269">
        <v>32.86</v>
      </c>
      <c r="BT269">
        <v>0</v>
      </c>
      <c r="BV269">
        <v>0</v>
      </c>
      <c r="BW269" t="s">
        <v>655</v>
      </c>
      <c r="BX269">
        <v>0.17</v>
      </c>
      <c r="BY269">
        <v>5.5861999999999998</v>
      </c>
      <c r="BZ269">
        <v>0</v>
      </c>
      <c r="CA269">
        <v>1</v>
      </c>
      <c r="CB269">
        <v>0.6</v>
      </c>
      <c r="CC269" s="3">
        <v>7.1269159999999998E-2</v>
      </c>
      <c r="CD269">
        <v>2.875</v>
      </c>
      <c r="CE269">
        <v>2.5</v>
      </c>
      <c r="CF269">
        <v>18</v>
      </c>
      <c r="CG269">
        <v>6</v>
      </c>
      <c r="CH269">
        <v>0</v>
      </c>
      <c r="CI269">
        <v>32.86</v>
      </c>
      <c r="CJ269">
        <v>113.58240000000001</v>
      </c>
    </row>
    <row r="270" spans="1:88">
      <c r="A270">
        <v>268</v>
      </c>
      <c r="B270" t="s">
        <v>0</v>
      </c>
      <c r="C270" t="s">
        <v>1</v>
      </c>
      <c r="D270" t="s">
        <v>377</v>
      </c>
      <c r="E270" t="s">
        <v>96</v>
      </c>
      <c r="F270" t="s">
        <v>378</v>
      </c>
      <c r="G270" t="s">
        <v>15</v>
      </c>
      <c r="H270" t="s">
        <v>377</v>
      </c>
      <c r="J270">
        <v>2</v>
      </c>
      <c r="K270" t="s">
        <v>9</v>
      </c>
      <c r="L270" t="s">
        <v>293</v>
      </c>
      <c r="M270" t="s">
        <v>100</v>
      </c>
      <c r="N270" t="s">
        <v>101</v>
      </c>
      <c r="O270">
        <v>131</v>
      </c>
      <c r="Q270">
        <v>885</v>
      </c>
      <c r="R270">
        <v>155</v>
      </c>
      <c r="S270">
        <v>4.25</v>
      </c>
      <c r="T270">
        <v>3.5859999999999999</v>
      </c>
      <c r="U270">
        <v>6.37</v>
      </c>
      <c r="V270">
        <v>3760.57</v>
      </c>
      <c r="W270">
        <v>988</v>
      </c>
      <c r="X270">
        <v>1.3332999999999999</v>
      </c>
      <c r="Y270">
        <v>766</v>
      </c>
      <c r="Z270">
        <v>4.91</v>
      </c>
      <c r="AJ270">
        <v>2</v>
      </c>
      <c r="AK270">
        <v>18</v>
      </c>
      <c r="AM270">
        <v>0</v>
      </c>
      <c r="AO270" t="s">
        <v>380</v>
      </c>
      <c r="AT270">
        <v>51</v>
      </c>
      <c r="AV270">
        <v>89.2</v>
      </c>
      <c r="AW270" t="s">
        <v>6</v>
      </c>
      <c r="AX270" t="s">
        <v>6</v>
      </c>
      <c r="AY270" t="s">
        <v>6</v>
      </c>
      <c r="AZ270" t="s">
        <v>6</v>
      </c>
      <c r="BA270" t="s">
        <v>6</v>
      </c>
      <c r="BB270" t="s">
        <v>6</v>
      </c>
      <c r="BC270" t="s">
        <v>6</v>
      </c>
      <c r="BD270" t="s">
        <v>6</v>
      </c>
      <c r="BE270" t="s">
        <v>6</v>
      </c>
      <c r="BF270" t="s">
        <v>6</v>
      </c>
      <c r="BG270" t="s">
        <v>6</v>
      </c>
      <c r="BH270" t="s">
        <v>6</v>
      </c>
      <c r="BI270" t="s">
        <v>6</v>
      </c>
      <c r="BJ270" t="s">
        <v>6</v>
      </c>
      <c r="BN270">
        <v>764.01220000000001</v>
      </c>
      <c r="BO270">
        <v>1874</v>
      </c>
      <c r="BP270">
        <v>0</v>
      </c>
      <c r="BQ270">
        <v>45</v>
      </c>
      <c r="BR270">
        <v>45</v>
      </c>
      <c r="BS270">
        <v>44.69</v>
      </c>
      <c r="BT270">
        <v>0</v>
      </c>
      <c r="BV270">
        <v>6</v>
      </c>
      <c r="BW270" t="s">
        <v>655</v>
      </c>
      <c r="BX270">
        <v>0.27933340000000001</v>
      </c>
      <c r="BY270">
        <v>12.483409999999999</v>
      </c>
      <c r="BZ270">
        <v>0</v>
      </c>
      <c r="CA270">
        <v>1</v>
      </c>
      <c r="CB270">
        <v>0.6</v>
      </c>
      <c r="CC270" s="3">
        <v>7.1269159999999998E-2</v>
      </c>
      <c r="CD270">
        <v>2.875</v>
      </c>
      <c r="CE270">
        <v>2.5</v>
      </c>
      <c r="CF270">
        <v>18</v>
      </c>
      <c r="CG270">
        <v>6</v>
      </c>
      <c r="CH270">
        <v>0</v>
      </c>
      <c r="CI270">
        <v>44.69</v>
      </c>
      <c r="CJ270">
        <v>783.1164</v>
      </c>
    </row>
    <row r="271" spans="1:88">
      <c r="A271">
        <v>269</v>
      </c>
      <c r="B271" t="s">
        <v>0</v>
      </c>
      <c r="C271" t="s">
        <v>1</v>
      </c>
      <c r="D271" t="s">
        <v>425</v>
      </c>
      <c r="E271" t="s">
        <v>103</v>
      </c>
      <c r="F271" t="s">
        <v>290</v>
      </c>
      <c r="G271" t="s">
        <v>15</v>
      </c>
      <c r="H271" t="s">
        <v>426</v>
      </c>
      <c r="J271">
        <v>2</v>
      </c>
      <c r="K271" t="s">
        <v>108</v>
      </c>
      <c r="L271" t="s">
        <v>455</v>
      </c>
      <c r="M271" t="s">
        <v>315</v>
      </c>
      <c r="N271" t="s">
        <v>316</v>
      </c>
      <c r="O271">
        <v>167</v>
      </c>
      <c r="Q271">
        <v>933</v>
      </c>
      <c r="R271">
        <v>131</v>
      </c>
      <c r="S271">
        <v>4.25</v>
      </c>
      <c r="T271">
        <v>4.4459999999999997</v>
      </c>
      <c r="U271">
        <v>6.86</v>
      </c>
      <c r="V271">
        <v>3964.14</v>
      </c>
      <c r="W271">
        <v>900</v>
      </c>
      <c r="X271">
        <v>1.3332999999999999</v>
      </c>
      <c r="Y271">
        <v>687</v>
      </c>
      <c r="Z271">
        <v>5.77</v>
      </c>
      <c r="AJ271">
        <v>2</v>
      </c>
      <c r="AK271">
        <v>18</v>
      </c>
      <c r="AM271">
        <v>0</v>
      </c>
      <c r="AO271" t="s">
        <v>427</v>
      </c>
      <c r="AT271">
        <v>63</v>
      </c>
      <c r="AV271">
        <v>75.400000000000006</v>
      </c>
      <c r="AW271" t="s">
        <v>6</v>
      </c>
      <c r="AX271" t="s">
        <v>6</v>
      </c>
      <c r="AY271" t="s">
        <v>6</v>
      </c>
      <c r="AZ271" t="s">
        <v>6</v>
      </c>
      <c r="BA271" t="s">
        <v>6</v>
      </c>
      <c r="BB271" t="s">
        <v>6</v>
      </c>
      <c r="BC271" t="s">
        <v>6</v>
      </c>
      <c r="BD271" t="s">
        <v>6</v>
      </c>
      <c r="BE271" t="s">
        <v>6</v>
      </c>
      <c r="BF271" t="s">
        <v>6</v>
      </c>
      <c r="BG271" t="s">
        <v>6</v>
      </c>
      <c r="BH271" t="s">
        <v>6</v>
      </c>
      <c r="BI271" t="s">
        <v>6</v>
      </c>
      <c r="BJ271" t="s">
        <v>6</v>
      </c>
      <c r="BN271">
        <v>644.04330000000004</v>
      </c>
      <c r="BO271">
        <v>2637</v>
      </c>
      <c r="BP271">
        <v>0</v>
      </c>
      <c r="BQ271">
        <v>57</v>
      </c>
      <c r="BR271">
        <v>57</v>
      </c>
      <c r="BS271">
        <v>57.21</v>
      </c>
      <c r="BT271">
        <v>0</v>
      </c>
      <c r="BV271">
        <v>0</v>
      </c>
      <c r="BW271" t="s">
        <v>655</v>
      </c>
      <c r="BX271">
        <v>0.17</v>
      </c>
      <c r="BY271">
        <v>9.7257010000000008</v>
      </c>
      <c r="BZ271">
        <v>0</v>
      </c>
      <c r="CA271">
        <v>1</v>
      </c>
      <c r="CB271">
        <v>0.6</v>
      </c>
      <c r="CC271" s="3">
        <v>7.1269159999999998E-2</v>
      </c>
      <c r="CD271">
        <v>2.875</v>
      </c>
      <c r="CE271">
        <v>2.5</v>
      </c>
      <c r="CF271">
        <v>18</v>
      </c>
      <c r="CG271">
        <v>6</v>
      </c>
      <c r="CH271">
        <v>0</v>
      </c>
      <c r="CI271">
        <v>57.21</v>
      </c>
      <c r="CJ271">
        <v>847.57039999999995</v>
      </c>
    </row>
    <row r="272" spans="1:88">
      <c r="A272">
        <v>270</v>
      </c>
      <c r="B272" t="s">
        <v>0</v>
      </c>
      <c r="C272" t="s">
        <v>1</v>
      </c>
      <c r="D272" t="s">
        <v>14</v>
      </c>
      <c r="E272" t="s">
        <v>185</v>
      </c>
      <c r="F272" t="s">
        <v>192</v>
      </c>
      <c r="G272" t="s">
        <v>106</v>
      </c>
      <c r="H272" t="s">
        <v>193</v>
      </c>
      <c r="J272">
        <v>2</v>
      </c>
      <c r="K272" t="s">
        <v>108</v>
      </c>
      <c r="L272" t="s">
        <v>466</v>
      </c>
      <c r="M272" t="s">
        <v>294</v>
      </c>
      <c r="N272" t="s">
        <v>143</v>
      </c>
      <c r="O272">
        <v>152</v>
      </c>
      <c r="Q272">
        <v>720</v>
      </c>
      <c r="R272">
        <v>110</v>
      </c>
      <c r="S272">
        <v>4.25</v>
      </c>
      <c r="T272">
        <v>4.0949999999999998</v>
      </c>
      <c r="U272">
        <v>6.75</v>
      </c>
      <c r="V272">
        <v>3061.65</v>
      </c>
      <c r="W272">
        <v>745</v>
      </c>
      <c r="X272">
        <v>1.3332999999999999</v>
      </c>
      <c r="Y272">
        <v>565</v>
      </c>
      <c r="Z272">
        <v>5.42</v>
      </c>
      <c r="AJ272">
        <v>2</v>
      </c>
      <c r="AK272">
        <v>18</v>
      </c>
      <c r="AM272">
        <v>0</v>
      </c>
      <c r="AO272" t="s">
        <v>196</v>
      </c>
      <c r="AT272">
        <v>58</v>
      </c>
      <c r="AV272">
        <v>63.4</v>
      </c>
      <c r="AW272" t="s">
        <v>6</v>
      </c>
      <c r="AX272" t="s">
        <v>6</v>
      </c>
      <c r="AY272" t="s">
        <v>6</v>
      </c>
      <c r="AZ272" t="s">
        <v>6</v>
      </c>
      <c r="BA272" t="s">
        <v>6</v>
      </c>
      <c r="BB272" t="s">
        <v>6</v>
      </c>
      <c r="BC272" t="s">
        <v>6</v>
      </c>
      <c r="BD272" t="s">
        <v>6</v>
      </c>
      <c r="BE272" t="s">
        <v>6</v>
      </c>
      <c r="BF272" t="s">
        <v>6</v>
      </c>
      <c r="BG272" t="s">
        <v>6</v>
      </c>
      <c r="BH272" t="s">
        <v>6</v>
      </c>
      <c r="BI272" t="s">
        <v>6</v>
      </c>
      <c r="BJ272" t="s">
        <v>6</v>
      </c>
      <c r="BN272">
        <v>304.95010000000002</v>
      </c>
      <c r="BO272">
        <v>1116</v>
      </c>
      <c r="BP272">
        <v>0</v>
      </c>
      <c r="BQ272">
        <v>52</v>
      </c>
      <c r="BR272">
        <v>52</v>
      </c>
      <c r="BS272">
        <v>52</v>
      </c>
      <c r="BT272">
        <v>0</v>
      </c>
      <c r="BV272">
        <v>0</v>
      </c>
      <c r="BW272" t="s">
        <v>655</v>
      </c>
      <c r="BX272">
        <v>0.17</v>
      </c>
      <c r="BY272">
        <v>8.84</v>
      </c>
      <c r="BZ272">
        <v>0</v>
      </c>
      <c r="CA272">
        <v>1</v>
      </c>
      <c r="CB272">
        <v>0.6</v>
      </c>
      <c r="CC272" s="3">
        <v>7.1269159999999998E-2</v>
      </c>
      <c r="CD272">
        <v>2.875</v>
      </c>
      <c r="CE272">
        <v>2.5</v>
      </c>
      <c r="CF272">
        <v>18</v>
      </c>
      <c r="CG272">
        <v>6</v>
      </c>
      <c r="CH272">
        <v>0</v>
      </c>
      <c r="CI272">
        <v>52</v>
      </c>
      <c r="CJ272">
        <v>648.08609999999999</v>
      </c>
    </row>
    <row r="273" spans="1:88">
      <c r="A273">
        <v>271</v>
      </c>
      <c r="B273" t="s">
        <v>13</v>
      </c>
      <c r="C273" t="s">
        <v>1</v>
      </c>
      <c r="D273" t="s">
        <v>338</v>
      </c>
      <c r="E273" t="s">
        <v>181</v>
      </c>
      <c r="F273" t="s">
        <v>360</v>
      </c>
      <c r="G273" t="s">
        <v>106</v>
      </c>
      <c r="H273" t="s">
        <v>101</v>
      </c>
      <c r="J273">
        <v>2</v>
      </c>
      <c r="K273" t="s">
        <v>146</v>
      </c>
      <c r="L273" t="s">
        <v>202</v>
      </c>
      <c r="M273" t="s">
        <v>313</v>
      </c>
      <c r="N273" t="s">
        <v>314</v>
      </c>
      <c r="O273">
        <v>161</v>
      </c>
      <c r="Q273">
        <v>557</v>
      </c>
      <c r="R273">
        <v>83</v>
      </c>
      <c r="S273">
        <v>4.25</v>
      </c>
      <c r="T273">
        <v>4.3070000000000004</v>
      </c>
      <c r="U273">
        <v>6.75</v>
      </c>
      <c r="V273">
        <v>2365.54</v>
      </c>
      <c r="W273">
        <v>561</v>
      </c>
      <c r="X273">
        <v>1.3332999999999999</v>
      </c>
      <c r="Y273">
        <v>419</v>
      </c>
      <c r="Z273">
        <v>5.64</v>
      </c>
      <c r="AJ273">
        <v>2</v>
      </c>
      <c r="AK273">
        <v>18</v>
      </c>
      <c r="AM273">
        <v>0</v>
      </c>
      <c r="AO273" t="s">
        <v>403</v>
      </c>
      <c r="AT273">
        <v>61</v>
      </c>
      <c r="AV273">
        <v>46.2</v>
      </c>
      <c r="AW273">
        <v>0.46875</v>
      </c>
      <c r="AX273">
        <v>3.75</v>
      </c>
      <c r="AY273">
        <v>58</v>
      </c>
      <c r="AZ273">
        <v>5.25</v>
      </c>
      <c r="BA273">
        <v>349.43</v>
      </c>
      <c r="BB273">
        <v>5.64</v>
      </c>
      <c r="BC273">
        <v>62</v>
      </c>
      <c r="BD273">
        <v>0.3125</v>
      </c>
      <c r="BE273">
        <v>2.75</v>
      </c>
      <c r="BF273">
        <v>51.375</v>
      </c>
      <c r="BG273">
        <v>3.5</v>
      </c>
      <c r="BH273">
        <v>69.989999999999995</v>
      </c>
      <c r="BI273">
        <v>9.1300000000000008</v>
      </c>
      <c r="BJ273">
        <v>27</v>
      </c>
      <c r="BL273">
        <v>419.42</v>
      </c>
      <c r="BM273">
        <v>89</v>
      </c>
      <c r="BN273">
        <v>221.13339999999999</v>
      </c>
      <c r="BO273">
        <v>2122</v>
      </c>
      <c r="BP273">
        <v>0</v>
      </c>
      <c r="BQ273">
        <v>55</v>
      </c>
      <c r="BR273">
        <v>55</v>
      </c>
      <c r="BS273">
        <v>55.13</v>
      </c>
      <c r="BT273">
        <v>0</v>
      </c>
      <c r="BV273">
        <v>0</v>
      </c>
      <c r="BW273" t="s">
        <v>655</v>
      </c>
      <c r="BX273">
        <v>0.17</v>
      </c>
      <c r="BY273">
        <v>9.3720999999999997</v>
      </c>
      <c r="BZ273">
        <v>0</v>
      </c>
      <c r="CA273">
        <v>1</v>
      </c>
      <c r="CB273">
        <v>0.6</v>
      </c>
      <c r="CC273" s="3">
        <v>7.1269159999999998E-2</v>
      </c>
      <c r="CD273">
        <v>2.875</v>
      </c>
      <c r="CE273">
        <v>2.5</v>
      </c>
      <c r="CF273">
        <v>18</v>
      </c>
      <c r="CG273">
        <v>6</v>
      </c>
      <c r="CH273">
        <v>0</v>
      </c>
      <c r="CI273">
        <v>55.13</v>
      </c>
      <c r="CJ273">
        <v>500.9563</v>
      </c>
    </row>
    <row r="274" spans="1:88">
      <c r="A274">
        <v>272</v>
      </c>
      <c r="B274" t="s">
        <v>13</v>
      </c>
      <c r="C274" t="s">
        <v>1</v>
      </c>
      <c r="D274" t="s">
        <v>143</v>
      </c>
      <c r="E274" t="s">
        <v>267</v>
      </c>
      <c r="F274" t="s">
        <v>144</v>
      </c>
      <c r="G274" t="s">
        <v>106</v>
      </c>
      <c r="H274" t="s">
        <v>145</v>
      </c>
      <c r="J274">
        <v>2</v>
      </c>
      <c r="K274" t="s">
        <v>146</v>
      </c>
      <c r="L274" t="s">
        <v>113</v>
      </c>
      <c r="M274" t="s">
        <v>232</v>
      </c>
      <c r="N274" t="s">
        <v>258</v>
      </c>
      <c r="O274">
        <v>159</v>
      </c>
      <c r="Q274">
        <v>635</v>
      </c>
      <c r="R274">
        <v>95</v>
      </c>
      <c r="S274">
        <v>4.25</v>
      </c>
      <c r="T274">
        <v>4.26</v>
      </c>
      <c r="U274">
        <v>6.75</v>
      </c>
      <c r="V274">
        <v>2698.62</v>
      </c>
      <c r="W274">
        <v>639</v>
      </c>
      <c r="X274">
        <v>1.3332999999999999</v>
      </c>
      <c r="Y274">
        <v>483</v>
      </c>
      <c r="Z274">
        <v>5.59</v>
      </c>
      <c r="AJ274">
        <v>2</v>
      </c>
      <c r="AK274">
        <v>18</v>
      </c>
      <c r="AM274">
        <v>0</v>
      </c>
      <c r="AO274" t="s">
        <v>149</v>
      </c>
      <c r="AT274">
        <v>61</v>
      </c>
      <c r="AV274">
        <v>53.5</v>
      </c>
      <c r="AW274" t="s">
        <v>6</v>
      </c>
      <c r="AX274" t="s">
        <v>6</v>
      </c>
      <c r="AY274" t="s">
        <v>6</v>
      </c>
      <c r="AZ274" t="s">
        <v>6</v>
      </c>
      <c r="BA274" t="s">
        <v>6</v>
      </c>
      <c r="BB274" t="s">
        <v>6</v>
      </c>
      <c r="BC274" t="s">
        <v>6</v>
      </c>
      <c r="BD274" t="s">
        <v>6</v>
      </c>
      <c r="BE274" t="s">
        <v>6</v>
      </c>
      <c r="BF274" t="s">
        <v>6</v>
      </c>
      <c r="BG274" t="s">
        <v>6</v>
      </c>
      <c r="BH274" t="s">
        <v>6</v>
      </c>
      <c r="BI274" t="s">
        <v>6</v>
      </c>
      <c r="BJ274" t="s">
        <v>6</v>
      </c>
      <c r="BN274">
        <v>256.80009999999999</v>
      </c>
      <c r="BO274">
        <v>1574</v>
      </c>
      <c r="BP274">
        <v>0</v>
      </c>
      <c r="BQ274">
        <v>54</v>
      </c>
      <c r="BR274">
        <v>54</v>
      </c>
      <c r="BS274">
        <v>54.43</v>
      </c>
      <c r="BT274">
        <v>0</v>
      </c>
      <c r="BV274">
        <v>0</v>
      </c>
      <c r="BW274" t="s">
        <v>655</v>
      </c>
      <c r="BX274">
        <v>0.17</v>
      </c>
      <c r="BY274">
        <v>9.2531009999999991</v>
      </c>
      <c r="BZ274">
        <v>0</v>
      </c>
      <c r="CA274">
        <v>1</v>
      </c>
      <c r="CB274">
        <v>0.6</v>
      </c>
      <c r="CC274" s="3">
        <v>7.1269159999999998E-2</v>
      </c>
      <c r="CD274">
        <v>2.875</v>
      </c>
      <c r="CE274">
        <v>2.5</v>
      </c>
      <c r="CF274">
        <v>18</v>
      </c>
      <c r="CG274">
        <v>6</v>
      </c>
      <c r="CH274">
        <v>0</v>
      </c>
      <c r="CI274">
        <v>54.43</v>
      </c>
      <c r="CJ274">
        <v>572.17909999999995</v>
      </c>
    </row>
    <row r="275" spans="1:88">
      <c r="A275">
        <v>273</v>
      </c>
      <c r="B275" t="s">
        <v>0</v>
      </c>
      <c r="C275" t="s">
        <v>1</v>
      </c>
      <c r="D275" t="s">
        <v>139</v>
      </c>
      <c r="E275" t="s">
        <v>172</v>
      </c>
      <c r="F275" t="s">
        <v>155</v>
      </c>
      <c r="G275" t="s">
        <v>106</v>
      </c>
      <c r="H275" t="s">
        <v>151</v>
      </c>
      <c r="J275">
        <v>2</v>
      </c>
      <c r="K275" t="s">
        <v>146</v>
      </c>
      <c r="L275" t="s">
        <v>233</v>
      </c>
      <c r="M275" t="s">
        <v>490</v>
      </c>
      <c r="N275" t="s">
        <v>128</v>
      </c>
      <c r="O275">
        <v>137</v>
      </c>
      <c r="Q275">
        <v>383</v>
      </c>
      <c r="R275">
        <v>68</v>
      </c>
      <c r="S275">
        <v>4.25</v>
      </c>
      <c r="T275">
        <v>3.734</v>
      </c>
      <c r="U275">
        <v>6.48</v>
      </c>
      <c r="V275">
        <v>1628.55</v>
      </c>
      <c r="W275">
        <v>442</v>
      </c>
      <c r="X275">
        <v>1.3332999999999999</v>
      </c>
      <c r="Y275">
        <v>322</v>
      </c>
      <c r="Z275">
        <v>5.0599999999999996</v>
      </c>
      <c r="AJ275">
        <v>2</v>
      </c>
      <c r="AK275">
        <v>18</v>
      </c>
      <c r="AM275">
        <v>0</v>
      </c>
      <c r="AO275" t="s">
        <v>154</v>
      </c>
      <c r="AT275">
        <v>53</v>
      </c>
      <c r="AV275">
        <v>36.799999999999997</v>
      </c>
      <c r="AW275">
        <v>0</v>
      </c>
      <c r="AX275">
        <v>0</v>
      </c>
      <c r="AY275">
        <v>44.25</v>
      </c>
      <c r="AZ275">
        <v>4.375</v>
      </c>
      <c r="BA275">
        <v>0</v>
      </c>
      <c r="BB275">
        <v>0</v>
      </c>
      <c r="BC275">
        <v>45</v>
      </c>
      <c r="BN275">
        <v>174.76669999999999</v>
      </c>
      <c r="BO275">
        <v>3397</v>
      </c>
      <c r="BP275">
        <v>0</v>
      </c>
      <c r="BQ275">
        <v>47</v>
      </c>
      <c r="BR275">
        <v>47</v>
      </c>
      <c r="BS275">
        <v>46.78</v>
      </c>
      <c r="BT275">
        <v>0</v>
      </c>
      <c r="BV275">
        <v>0</v>
      </c>
      <c r="BW275" t="s">
        <v>655</v>
      </c>
      <c r="BX275">
        <v>0.17</v>
      </c>
      <c r="BY275">
        <v>7.9526000000000003</v>
      </c>
      <c r="BZ275">
        <v>0</v>
      </c>
      <c r="CA275">
        <v>1</v>
      </c>
      <c r="CB275">
        <v>0.6</v>
      </c>
      <c r="CC275" s="3">
        <v>7.1269159999999998E-2</v>
      </c>
      <c r="CD275">
        <v>2.875</v>
      </c>
      <c r="CE275">
        <v>2.5</v>
      </c>
      <c r="CF275">
        <v>18</v>
      </c>
      <c r="CG275">
        <v>6</v>
      </c>
      <c r="CH275">
        <v>0</v>
      </c>
      <c r="CI275">
        <v>46.78</v>
      </c>
      <c r="CJ275">
        <v>338.3981</v>
      </c>
    </row>
    <row r="276" spans="1:88">
      <c r="A276">
        <v>274</v>
      </c>
      <c r="B276" t="s">
        <v>0</v>
      </c>
      <c r="C276" t="s">
        <v>1</v>
      </c>
      <c r="D276" t="s">
        <v>113</v>
      </c>
      <c r="E276" t="s">
        <v>353</v>
      </c>
      <c r="F276" t="s">
        <v>262</v>
      </c>
      <c r="G276" t="s">
        <v>106</v>
      </c>
      <c r="H276" t="s">
        <v>263</v>
      </c>
      <c r="J276">
        <v>2</v>
      </c>
      <c r="K276" t="s">
        <v>108</v>
      </c>
      <c r="L276" t="s">
        <v>123</v>
      </c>
      <c r="M276" t="s">
        <v>509</v>
      </c>
      <c r="N276" t="s">
        <v>476</v>
      </c>
      <c r="O276">
        <v>163</v>
      </c>
      <c r="Q276">
        <v>756</v>
      </c>
      <c r="R276">
        <v>109</v>
      </c>
      <c r="S276">
        <v>4.25</v>
      </c>
      <c r="T276">
        <v>4.3529999999999998</v>
      </c>
      <c r="U276">
        <v>6.82</v>
      </c>
      <c r="V276">
        <v>3211.42</v>
      </c>
      <c r="W276">
        <v>741</v>
      </c>
      <c r="X276">
        <v>1.3332999999999999</v>
      </c>
      <c r="Y276">
        <v>565</v>
      </c>
      <c r="Z276">
        <v>5.68</v>
      </c>
      <c r="AJ276">
        <v>2</v>
      </c>
      <c r="AK276">
        <v>18</v>
      </c>
      <c r="AM276">
        <v>0</v>
      </c>
      <c r="AO276" t="s">
        <v>266</v>
      </c>
      <c r="AT276">
        <v>62</v>
      </c>
      <c r="AV276">
        <v>62.3</v>
      </c>
      <c r="AW276">
        <v>0.4375</v>
      </c>
      <c r="AX276">
        <v>3.75</v>
      </c>
      <c r="AY276">
        <v>50.375</v>
      </c>
      <c r="AZ276">
        <v>5</v>
      </c>
      <c r="BA276">
        <v>282.69</v>
      </c>
      <c r="BB276">
        <v>5.82</v>
      </c>
      <c r="BC276">
        <v>51</v>
      </c>
      <c r="BD276">
        <v>0.4375</v>
      </c>
      <c r="BE276">
        <v>3.75</v>
      </c>
      <c r="BF276">
        <v>50.375</v>
      </c>
      <c r="BG276">
        <v>5</v>
      </c>
      <c r="BH276">
        <v>282.69</v>
      </c>
      <c r="BI276">
        <v>5.82</v>
      </c>
      <c r="BJ276">
        <v>51</v>
      </c>
      <c r="BL276">
        <v>565.38</v>
      </c>
      <c r="BM276">
        <v>101</v>
      </c>
      <c r="BN276">
        <v>299.60000000000002</v>
      </c>
      <c r="BO276">
        <v>1156</v>
      </c>
      <c r="BP276">
        <v>0</v>
      </c>
      <c r="BQ276">
        <v>56</v>
      </c>
      <c r="BR276">
        <v>56</v>
      </c>
      <c r="BS276">
        <v>55.82</v>
      </c>
      <c r="BT276">
        <v>0</v>
      </c>
      <c r="BV276">
        <v>0</v>
      </c>
      <c r="BW276" t="s">
        <v>655</v>
      </c>
      <c r="BX276">
        <v>0.17</v>
      </c>
      <c r="BY276">
        <v>9.4893999999999998</v>
      </c>
      <c r="BZ276">
        <v>0</v>
      </c>
      <c r="CA276">
        <v>1</v>
      </c>
      <c r="CB276">
        <v>0.6</v>
      </c>
      <c r="CC276" s="3">
        <v>7.1269159999999998E-2</v>
      </c>
      <c r="CD276">
        <v>2.875</v>
      </c>
      <c r="CE276">
        <v>2.5</v>
      </c>
      <c r="CF276">
        <v>18</v>
      </c>
      <c r="CG276">
        <v>6</v>
      </c>
      <c r="CH276">
        <v>0</v>
      </c>
      <c r="CI276">
        <v>55.82</v>
      </c>
      <c r="CJ276">
        <v>683.76080000000002</v>
      </c>
    </row>
    <row r="277" spans="1:88">
      <c r="A277">
        <v>275</v>
      </c>
      <c r="B277" t="s">
        <v>0</v>
      </c>
      <c r="C277" t="s">
        <v>1</v>
      </c>
      <c r="D277" t="s">
        <v>267</v>
      </c>
      <c r="E277" t="s">
        <v>202</v>
      </c>
      <c r="F277" t="s">
        <v>269</v>
      </c>
      <c r="G277" t="s">
        <v>106</v>
      </c>
      <c r="H277" t="s">
        <v>131</v>
      </c>
      <c r="J277">
        <v>2</v>
      </c>
      <c r="K277" t="s">
        <v>146</v>
      </c>
      <c r="L277" t="s">
        <v>203</v>
      </c>
      <c r="M277" t="s">
        <v>204</v>
      </c>
      <c r="N277" t="s">
        <v>205</v>
      </c>
      <c r="O277">
        <v>181</v>
      </c>
      <c r="Q277">
        <v>736</v>
      </c>
      <c r="R277">
        <v>97</v>
      </c>
      <c r="S277">
        <v>4.25</v>
      </c>
      <c r="T277">
        <v>4.7640000000000002</v>
      </c>
      <c r="U277">
        <v>7.08</v>
      </c>
      <c r="V277">
        <v>3127.27</v>
      </c>
      <c r="W277">
        <v>686</v>
      </c>
      <c r="X277">
        <v>1.3332999999999999</v>
      </c>
      <c r="Y277">
        <v>514</v>
      </c>
      <c r="Z277">
        <v>6.09</v>
      </c>
      <c r="AJ277">
        <v>2</v>
      </c>
      <c r="AK277">
        <v>18</v>
      </c>
      <c r="AM277">
        <v>0</v>
      </c>
      <c r="AO277" t="s">
        <v>271</v>
      </c>
      <c r="AT277">
        <v>68</v>
      </c>
      <c r="AV277">
        <v>54.9</v>
      </c>
      <c r="AW277">
        <v>0.4375</v>
      </c>
      <c r="AX277">
        <v>3.75</v>
      </c>
      <c r="AY277">
        <v>55.375</v>
      </c>
      <c r="AZ277">
        <v>5.375</v>
      </c>
      <c r="BA277">
        <v>256.75</v>
      </c>
      <c r="BB277">
        <v>6.4</v>
      </c>
      <c r="BC277">
        <v>56</v>
      </c>
      <c r="BD277">
        <v>0.4375</v>
      </c>
      <c r="BE277">
        <v>3.75</v>
      </c>
      <c r="BF277">
        <v>55.375</v>
      </c>
      <c r="BG277">
        <v>5.375</v>
      </c>
      <c r="BH277">
        <v>256.75</v>
      </c>
      <c r="BI277">
        <v>6.4</v>
      </c>
      <c r="BJ277">
        <v>56</v>
      </c>
      <c r="BL277">
        <v>513.5</v>
      </c>
      <c r="BM277">
        <v>112</v>
      </c>
      <c r="BN277">
        <v>263.93340000000001</v>
      </c>
      <c r="BO277">
        <v>1490</v>
      </c>
      <c r="BP277">
        <v>0</v>
      </c>
      <c r="BQ277">
        <v>62</v>
      </c>
      <c r="BR277">
        <v>62</v>
      </c>
      <c r="BS277">
        <v>62.08</v>
      </c>
      <c r="BT277">
        <v>0</v>
      </c>
      <c r="BV277">
        <v>0</v>
      </c>
      <c r="BW277" t="s">
        <v>655</v>
      </c>
      <c r="BX277">
        <v>0.17</v>
      </c>
      <c r="BY277">
        <v>10.553599999999999</v>
      </c>
      <c r="BZ277">
        <v>0</v>
      </c>
      <c r="CA277">
        <v>1</v>
      </c>
      <c r="CB277">
        <v>0.6</v>
      </c>
      <c r="CC277" s="3">
        <v>7.1269159999999998E-2</v>
      </c>
      <c r="CD277">
        <v>2.875</v>
      </c>
      <c r="CE277">
        <v>2.5</v>
      </c>
      <c r="CF277">
        <v>18</v>
      </c>
      <c r="CG277">
        <v>6</v>
      </c>
      <c r="CH277">
        <v>0</v>
      </c>
      <c r="CI277">
        <v>62.08</v>
      </c>
      <c r="CJ277">
        <v>670.29499999999996</v>
      </c>
    </row>
    <row r="278" spans="1:88">
      <c r="A278">
        <v>276</v>
      </c>
      <c r="B278" t="s">
        <v>0</v>
      </c>
      <c r="C278" t="s">
        <v>1</v>
      </c>
      <c r="D278" t="s">
        <v>229</v>
      </c>
      <c r="E278" t="s">
        <v>169</v>
      </c>
      <c r="F278" t="s">
        <v>480</v>
      </c>
      <c r="G278" t="s">
        <v>106</v>
      </c>
      <c r="H278" t="s">
        <v>169</v>
      </c>
      <c r="J278">
        <v>2</v>
      </c>
      <c r="K278" t="s">
        <v>146</v>
      </c>
      <c r="L278" t="s">
        <v>381</v>
      </c>
      <c r="M278" t="s">
        <v>173</v>
      </c>
      <c r="N278" t="s">
        <v>174</v>
      </c>
      <c r="O278">
        <v>119</v>
      </c>
      <c r="Q278">
        <v>373</v>
      </c>
      <c r="R278">
        <v>75</v>
      </c>
      <c r="S278">
        <v>4.25</v>
      </c>
      <c r="T278">
        <v>3.2829999999999999</v>
      </c>
      <c r="U278">
        <v>6.15</v>
      </c>
      <c r="V278">
        <v>1583.5</v>
      </c>
      <c r="W278">
        <v>458</v>
      </c>
      <c r="X278">
        <v>1.3332999999999999</v>
      </c>
      <c r="Y278">
        <v>343</v>
      </c>
      <c r="Z278">
        <v>4.6100000000000003</v>
      </c>
      <c r="AJ278">
        <v>2</v>
      </c>
      <c r="AK278">
        <v>18</v>
      </c>
      <c r="AM278">
        <v>0</v>
      </c>
      <c r="AO278" t="s">
        <v>173</v>
      </c>
      <c r="AT278">
        <v>47</v>
      </c>
      <c r="AV278">
        <v>40.799999999999997</v>
      </c>
      <c r="AW278">
        <v>0</v>
      </c>
      <c r="AX278">
        <v>0</v>
      </c>
      <c r="AY278">
        <v>41.375</v>
      </c>
      <c r="AZ278">
        <v>4</v>
      </c>
      <c r="BA278">
        <v>0</v>
      </c>
      <c r="BB278">
        <v>0</v>
      </c>
      <c r="BC278">
        <v>42</v>
      </c>
      <c r="BN278">
        <v>194.38339999999999</v>
      </c>
      <c r="BO278">
        <v>2746</v>
      </c>
      <c r="BP278">
        <v>0</v>
      </c>
      <c r="BQ278">
        <v>41</v>
      </c>
      <c r="BR278">
        <v>41</v>
      </c>
      <c r="BS278">
        <v>40.520000000000003</v>
      </c>
      <c r="BT278">
        <v>0</v>
      </c>
      <c r="BV278">
        <v>0</v>
      </c>
      <c r="BW278" t="s">
        <v>655</v>
      </c>
      <c r="BX278">
        <v>0.17</v>
      </c>
      <c r="BY278">
        <v>6.8883999999999999</v>
      </c>
      <c r="BZ278">
        <v>0</v>
      </c>
      <c r="CA278">
        <v>1</v>
      </c>
      <c r="CB278">
        <v>0.6</v>
      </c>
      <c r="CC278" s="3">
        <v>7.1269159999999998E-2</v>
      </c>
      <c r="CD278">
        <v>2.875</v>
      </c>
      <c r="CE278">
        <v>2.5</v>
      </c>
      <c r="CF278">
        <v>18</v>
      </c>
      <c r="CG278">
        <v>6</v>
      </c>
      <c r="CH278">
        <v>0</v>
      </c>
      <c r="CI278">
        <v>40.520000000000003</v>
      </c>
      <c r="CJ278">
        <v>324.88040000000001</v>
      </c>
    </row>
    <row r="279" spans="1:88">
      <c r="A279">
        <v>277</v>
      </c>
      <c r="B279" t="s">
        <v>13</v>
      </c>
      <c r="C279" t="s">
        <v>1</v>
      </c>
      <c r="D279" t="s">
        <v>202</v>
      </c>
      <c r="E279" t="s">
        <v>123</v>
      </c>
      <c r="F279" t="s">
        <v>357</v>
      </c>
      <c r="G279" t="s">
        <v>214</v>
      </c>
      <c r="H279" t="s">
        <v>358</v>
      </c>
      <c r="J279">
        <v>2</v>
      </c>
      <c r="K279" t="s">
        <v>108</v>
      </c>
      <c r="L279" t="s">
        <v>8</v>
      </c>
      <c r="M279" t="s">
        <v>147</v>
      </c>
      <c r="N279" t="s">
        <v>148</v>
      </c>
      <c r="O279">
        <v>183</v>
      </c>
      <c r="Q279">
        <v>852</v>
      </c>
      <c r="R279">
        <v>110</v>
      </c>
      <c r="S279">
        <v>4.25</v>
      </c>
      <c r="T279">
        <v>4.8079999999999998</v>
      </c>
      <c r="U279">
        <v>7.12</v>
      </c>
      <c r="V279">
        <v>3619.89</v>
      </c>
      <c r="W279">
        <v>781</v>
      </c>
      <c r="X279">
        <v>1.3332999999999999</v>
      </c>
      <c r="Y279">
        <v>590</v>
      </c>
      <c r="Z279">
        <v>6.14</v>
      </c>
      <c r="AJ279">
        <v>2</v>
      </c>
      <c r="AK279">
        <v>18</v>
      </c>
      <c r="AM279">
        <v>0</v>
      </c>
      <c r="AO279" t="s">
        <v>262</v>
      </c>
      <c r="AT279">
        <v>69</v>
      </c>
      <c r="AV279">
        <v>63.1</v>
      </c>
      <c r="AW279">
        <v>0.46875</v>
      </c>
      <c r="AX279">
        <v>3.75</v>
      </c>
      <c r="AY279">
        <v>62.5</v>
      </c>
      <c r="AZ279">
        <v>5.75</v>
      </c>
      <c r="BA279">
        <v>324.25</v>
      </c>
      <c r="BB279">
        <v>6.07</v>
      </c>
      <c r="BC279">
        <v>67</v>
      </c>
      <c r="BD279">
        <v>0.4375</v>
      </c>
      <c r="BE279">
        <v>3.75</v>
      </c>
      <c r="BF279">
        <v>53.625</v>
      </c>
      <c r="BG279">
        <v>5.375</v>
      </c>
      <c r="BH279">
        <v>265.29000000000002</v>
      </c>
      <c r="BI279">
        <v>6.2</v>
      </c>
      <c r="BJ279">
        <v>54</v>
      </c>
      <c r="BL279">
        <v>589.54010000000005</v>
      </c>
      <c r="BM279">
        <v>121</v>
      </c>
      <c r="BN279">
        <v>305.7167</v>
      </c>
      <c r="BO279">
        <v>1393</v>
      </c>
      <c r="BP279">
        <v>0</v>
      </c>
      <c r="BQ279">
        <v>63</v>
      </c>
      <c r="BR279">
        <v>63</v>
      </c>
      <c r="BS279">
        <v>62.78</v>
      </c>
      <c r="BT279">
        <v>0</v>
      </c>
      <c r="BV279">
        <v>0</v>
      </c>
      <c r="BW279" t="s">
        <v>655</v>
      </c>
      <c r="BX279">
        <v>0.17</v>
      </c>
      <c r="BY279">
        <v>10.672599999999999</v>
      </c>
      <c r="BZ279">
        <v>0</v>
      </c>
      <c r="CA279">
        <v>1</v>
      </c>
      <c r="CB279">
        <v>0.6</v>
      </c>
      <c r="CC279" s="3">
        <v>7.1269159999999998E-2</v>
      </c>
      <c r="CD279">
        <v>2.875</v>
      </c>
      <c r="CE279">
        <v>2.5</v>
      </c>
      <c r="CF279">
        <v>18</v>
      </c>
      <c r="CG279">
        <v>6</v>
      </c>
      <c r="CH279">
        <v>0</v>
      </c>
      <c r="CI279">
        <v>62.78</v>
      </c>
      <c r="CJ279">
        <v>777.96500000000003</v>
      </c>
    </row>
    <row r="280" spans="1:88">
      <c r="A280">
        <v>278</v>
      </c>
      <c r="B280" t="s">
        <v>13</v>
      </c>
      <c r="C280" t="s">
        <v>1</v>
      </c>
      <c r="D280" t="s">
        <v>113</v>
      </c>
      <c r="E280" t="s">
        <v>133</v>
      </c>
      <c r="F280" t="s">
        <v>262</v>
      </c>
      <c r="G280" t="s">
        <v>106</v>
      </c>
      <c r="H280" t="s">
        <v>263</v>
      </c>
      <c r="J280">
        <v>2</v>
      </c>
      <c r="K280" t="s">
        <v>108</v>
      </c>
      <c r="L280" t="s">
        <v>353</v>
      </c>
      <c r="M280" t="s">
        <v>194</v>
      </c>
      <c r="N280" t="s">
        <v>195</v>
      </c>
      <c r="O280">
        <v>143</v>
      </c>
      <c r="Q280">
        <v>669</v>
      </c>
      <c r="R280">
        <v>109</v>
      </c>
      <c r="S280">
        <v>4.25</v>
      </c>
      <c r="T280">
        <v>3.88</v>
      </c>
      <c r="U280">
        <v>6.6</v>
      </c>
      <c r="V280">
        <v>2844.05</v>
      </c>
      <c r="W280">
        <v>717</v>
      </c>
      <c r="X280">
        <v>1.3332999999999999</v>
      </c>
      <c r="Y280">
        <v>546</v>
      </c>
      <c r="Z280">
        <v>5.21</v>
      </c>
      <c r="AJ280">
        <v>2</v>
      </c>
      <c r="AK280">
        <v>18</v>
      </c>
      <c r="AM280">
        <v>0</v>
      </c>
      <c r="AO280" t="s">
        <v>266</v>
      </c>
      <c r="AT280">
        <v>55</v>
      </c>
      <c r="AV280">
        <v>62.3</v>
      </c>
      <c r="AW280">
        <v>0.4375</v>
      </c>
      <c r="AX280">
        <v>3.75</v>
      </c>
      <c r="AY280">
        <v>47.375</v>
      </c>
      <c r="AZ280">
        <v>4.5</v>
      </c>
      <c r="BA280">
        <v>300.23</v>
      </c>
      <c r="BB280">
        <v>5.48</v>
      </c>
      <c r="BC280">
        <v>48</v>
      </c>
      <c r="BD280">
        <v>0.40625</v>
      </c>
      <c r="BE280">
        <v>3.75</v>
      </c>
      <c r="BF280">
        <v>39.625</v>
      </c>
      <c r="BG280">
        <v>4.25</v>
      </c>
      <c r="BH280">
        <v>245.65</v>
      </c>
      <c r="BI280">
        <v>5.39</v>
      </c>
      <c r="BJ280">
        <v>38</v>
      </c>
      <c r="BL280">
        <v>545.88</v>
      </c>
      <c r="BM280">
        <v>85</v>
      </c>
      <c r="BN280">
        <v>299.60000000000002</v>
      </c>
      <c r="BO280">
        <v>1156</v>
      </c>
      <c r="BP280">
        <v>0</v>
      </c>
      <c r="BQ280">
        <v>49</v>
      </c>
      <c r="BR280">
        <v>49</v>
      </c>
      <c r="BS280">
        <v>48.86</v>
      </c>
      <c r="BT280">
        <v>0</v>
      </c>
      <c r="BV280">
        <v>0</v>
      </c>
      <c r="BW280" t="s">
        <v>655</v>
      </c>
      <c r="BX280">
        <v>0.17</v>
      </c>
      <c r="BY280">
        <v>8.3062000000000005</v>
      </c>
      <c r="BZ280">
        <v>0</v>
      </c>
      <c r="CA280">
        <v>1</v>
      </c>
      <c r="CB280">
        <v>0.6</v>
      </c>
      <c r="CC280" s="3">
        <v>7.1269159999999998E-2</v>
      </c>
      <c r="CD280">
        <v>2.875</v>
      </c>
      <c r="CE280">
        <v>2.5</v>
      </c>
      <c r="CF280">
        <v>18</v>
      </c>
      <c r="CG280">
        <v>6</v>
      </c>
      <c r="CH280">
        <v>0</v>
      </c>
      <c r="CI280">
        <v>48.86</v>
      </c>
      <c r="CJ280">
        <v>598.505</v>
      </c>
    </row>
    <row r="281" spans="1:88">
      <c r="A281">
        <v>279</v>
      </c>
      <c r="B281" t="s">
        <v>13</v>
      </c>
      <c r="C281" t="s">
        <v>1</v>
      </c>
      <c r="D281" t="s">
        <v>278</v>
      </c>
      <c r="E281" t="s">
        <v>104</v>
      </c>
      <c r="F281" t="s">
        <v>239</v>
      </c>
      <c r="G281" t="s">
        <v>15</v>
      </c>
      <c r="H281" t="s">
        <v>458</v>
      </c>
      <c r="J281">
        <v>2</v>
      </c>
      <c r="K281" t="s">
        <v>108</v>
      </c>
      <c r="L281" t="s">
        <v>109</v>
      </c>
      <c r="M281" t="s">
        <v>110</v>
      </c>
      <c r="N281" t="s">
        <v>111</v>
      </c>
      <c r="O281">
        <v>191</v>
      </c>
      <c r="Q281">
        <v>1018</v>
      </c>
      <c r="R281">
        <v>126</v>
      </c>
      <c r="S281">
        <v>4.25</v>
      </c>
      <c r="T281">
        <v>4.9850000000000003</v>
      </c>
      <c r="U281">
        <v>7.27</v>
      </c>
      <c r="V281">
        <v>4324.75</v>
      </c>
      <c r="W281">
        <v>917</v>
      </c>
      <c r="X281">
        <v>1.3332999999999999</v>
      </c>
      <c r="Y281">
        <v>685</v>
      </c>
      <c r="Z281">
        <v>6.31</v>
      </c>
      <c r="AJ281">
        <v>2</v>
      </c>
      <c r="AK281">
        <v>18</v>
      </c>
      <c r="AM281">
        <v>0</v>
      </c>
      <c r="AO281" t="s">
        <v>401</v>
      </c>
      <c r="AT281">
        <v>72</v>
      </c>
      <c r="AV281">
        <v>72.5</v>
      </c>
      <c r="AW281" t="s">
        <v>6</v>
      </c>
      <c r="AX281" t="s">
        <v>6</v>
      </c>
      <c r="AY281" t="s">
        <v>6</v>
      </c>
      <c r="AZ281" t="s">
        <v>6</v>
      </c>
      <c r="BA281" t="s">
        <v>6</v>
      </c>
      <c r="BB281" t="s">
        <v>6</v>
      </c>
      <c r="BC281" t="s">
        <v>6</v>
      </c>
      <c r="BD281" t="s">
        <v>6</v>
      </c>
      <c r="BE281" t="s">
        <v>6</v>
      </c>
      <c r="BF281" t="s">
        <v>6</v>
      </c>
      <c r="BG281" t="s">
        <v>6</v>
      </c>
      <c r="BH281" t="s">
        <v>6</v>
      </c>
      <c r="BI281" t="s">
        <v>6</v>
      </c>
      <c r="BJ281" t="s">
        <v>6</v>
      </c>
      <c r="BN281">
        <v>618.78679999999997</v>
      </c>
      <c r="BO281">
        <v>2857</v>
      </c>
      <c r="BP281">
        <v>0</v>
      </c>
      <c r="BQ281">
        <v>66</v>
      </c>
      <c r="BR281">
        <v>66</v>
      </c>
      <c r="BS281">
        <v>65.56</v>
      </c>
      <c r="BT281">
        <v>0</v>
      </c>
      <c r="BV281">
        <v>0</v>
      </c>
      <c r="BW281" t="s">
        <v>655</v>
      </c>
      <c r="BX281">
        <v>0.17</v>
      </c>
      <c r="BY281">
        <v>11.145200000000001</v>
      </c>
      <c r="BZ281">
        <v>0</v>
      </c>
      <c r="CA281">
        <v>1</v>
      </c>
      <c r="CB281">
        <v>0.6</v>
      </c>
      <c r="CC281" s="3">
        <v>7.1269159999999998E-2</v>
      </c>
      <c r="CD281">
        <v>2.875</v>
      </c>
      <c r="CE281">
        <v>2.5</v>
      </c>
      <c r="CF281">
        <v>18</v>
      </c>
      <c r="CG281">
        <v>6</v>
      </c>
      <c r="CH281">
        <v>0</v>
      </c>
      <c r="CI281">
        <v>65.56</v>
      </c>
      <c r="CJ281">
        <v>933.89710000000002</v>
      </c>
    </row>
    <row r="282" spans="1:88">
      <c r="A282">
        <v>280</v>
      </c>
      <c r="B282" t="s">
        <v>13</v>
      </c>
      <c r="C282" t="s">
        <v>1</v>
      </c>
      <c r="D282" t="s">
        <v>510</v>
      </c>
      <c r="E282" t="s">
        <v>169</v>
      </c>
      <c r="F282" t="s">
        <v>409</v>
      </c>
      <c r="G282" t="s">
        <v>106</v>
      </c>
      <c r="H282" t="s">
        <v>346</v>
      </c>
      <c r="J282">
        <v>2</v>
      </c>
      <c r="K282" t="s">
        <v>146</v>
      </c>
      <c r="L282" t="s">
        <v>381</v>
      </c>
      <c r="M282" t="s">
        <v>173</v>
      </c>
      <c r="N282" t="s">
        <v>174</v>
      </c>
      <c r="O282">
        <v>119</v>
      </c>
      <c r="Q282">
        <v>285</v>
      </c>
      <c r="R282">
        <v>54</v>
      </c>
      <c r="S282">
        <v>4.25</v>
      </c>
      <c r="T282">
        <v>3.2829999999999999</v>
      </c>
      <c r="U282">
        <v>6.15</v>
      </c>
      <c r="V282">
        <v>1210.48</v>
      </c>
      <c r="W282">
        <v>332</v>
      </c>
      <c r="X282">
        <v>1.3332999999999999</v>
      </c>
      <c r="Y282">
        <v>263</v>
      </c>
      <c r="Z282">
        <v>4.6100000000000003</v>
      </c>
      <c r="AJ282">
        <v>2</v>
      </c>
      <c r="AK282">
        <v>18</v>
      </c>
      <c r="AM282">
        <v>0</v>
      </c>
      <c r="AO282" t="s">
        <v>407</v>
      </c>
      <c r="AT282">
        <v>47</v>
      </c>
      <c r="AV282">
        <v>31</v>
      </c>
      <c r="AW282">
        <v>0</v>
      </c>
      <c r="AX282">
        <v>0</v>
      </c>
      <c r="AY282">
        <v>37</v>
      </c>
      <c r="AZ282">
        <v>3.75</v>
      </c>
      <c r="BA282">
        <v>0</v>
      </c>
      <c r="BB282">
        <v>0</v>
      </c>
      <c r="BC282">
        <v>35</v>
      </c>
      <c r="BN282">
        <v>146.23339999999999</v>
      </c>
      <c r="BO282">
        <v>4853</v>
      </c>
      <c r="BP282">
        <v>0</v>
      </c>
      <c r="BQ282">
        <v>41</v>
      </c>
      <c r="BR282">
        <v>41</v>
      </c>
      <c r="BS282">
        <v>40.520000000000003</v>
      </c>
      <c r="BT282">
        <v>0</v>
      </c>
      <c r="BV282">
        <v>0</v>
      </c>
      <c r="BW282" t="s">
        <v>655</v>
      </c>
      <c r="BX282">
        <v>0.17</v>
      </c>
      <c r="BY282">
        <v>6.8883999999999999</v>
      </c>
      <c r="BZ282">
        <v>0</v>
      </c>
      <c r="CA282">
        <v>1</v>
      </c>
      <c r="CB282">
        <v>0.6</v>
      </c>
      <c r="CC282" s="3">
        <v>7.1269159999999998E-2</v>
      </c>
      <c r="CD282">
        <v>2.875</v>
      </c>
      <c r="CE282">
        <v>2.5</v>
      </c>
      <c r="CF282">
        <v>18</v>
      </c>
      <c r="CG282">
        <v>6</v>
      </c>
      <c r="CH282">
        <v>0</v>
      </c>
      <c r="CI282">
        <v>40.520000000000003</v>
      </c>
      <c r="CJ282">
        <v>246.9091</v>
      </c>
    </row>
    <row r="283" spans="1:88">
      <c r="A283">
        <v>281</v>
      </c>
      <c r="B283" t="s">
        <v>0</v>
      </c>
      <c r="C283" t="s">
        <v>1</v>
      </c>
      <c r="D283" t="s">
        <v>234</v>
      </c>
      <c r="E283" t="s">
        <v>120</v>
      </c>
      <c r="F283" t="s">
        <v>252</v>
      </c>
      <c r="G283" t="s">
        <v>106</v>
      </c>
      <c r="H283" t="s">
        <v>195</v>
      </c>
      <c r="J283">
        <v>2</v>
      </c>
      <c r="K283" t="s">
        <v>146</v>
      </c>
      <c r="L283" t="s">
        <v>19</v>
      </c>
      <c r="M283" t="s">
        <v>124</v>
      </c>
      <c r="N283" t="s">
        <v>125</v>
      </c>
      <c r="O283">
        <v>165</v>
      </c>
      <c r="Q283">
        <v>622</v>
      </c>
      <c r="R283">
        <v>90</v>
      </c>
      <c r="S283">
        <v>4.25</v>
      </c>
      <c r="T283">
        <v>4.4000000000000004</v>
      </c>
      <c r="U283">
        <v>6.82</v>
      </c>
      <c r="V283">
        <v>2644.18</v>
      </c>
      <c r="W283">
        <v>614</v>
      </c>
      <c r="X283">
        <v>1.3332999999999999</v>
      </c>
      <c r="Y283">
        <v>461</v>
      </c>
      <c r="Z283">
        <v>5.73</v>
      </c>
      <c r="AJ283">
        <v>2</v>
      </c>
      <c r="AK283">
        <v>18</v>
      </c>
      <c r="AM283">
        <v>0</v>
      </c>
      <c r="AO283" t="s">
        <v>256</v>
      </c>
      <c r="AT283">
        <v>63</v>
      </c>
      <c r="AV283">
        <v>50.6</v>
      </c>
      <c r="AW283">
        <v>0.40625</v>
      </c>
      <c r="AX283">
        <v>3.75</v>
      </c>
      <c r="AY283">
        <v>42.125</v>
      </c>
      <c r="AZ283">
        <v>4.625</v>
      </c>
      <c r="BA283">
        <v>230.73</v>
      </c>
      <c r="BB283">
        <v>5.74</v>
      </c>
      <c r="BC283">
        <v>40</v>
      </c>
      <c r="BD283">
        <v>0.40625</v>
      </c>
      <c r="BE283">
        <v>3.75</v>
      </c>
      <c r="BF283">
        <v>42.125</v>
      </c>
      <c r="BG283">
        <v>4.625</v>
      </c>
      <c r="BH283">
        <v>230.73</v>
      </c>
      <c r="BI283">
        <v>5.74</v>
      </c>
      <c r="BJ283">
        <v>40</v>
      </c>
      <c r="BL283">
        <v>461.46</v>
      </c>
      <c r="BM283">
        <v>79</v>
      </c>
      <c r="BN283">
        <v>242.5334</v>
      </c>
      <c r="BO283">
        <v>1764</v>
      </c>
      <c r="BP283">
        <v>0</v>
      </c>
      <c r="BQ283">
        <v>57</v>
      </c>
      <c r="BR283">
        <v>57</v>
      </c>
      <c r="BS283">
        <v>56.52</v>
      </c>
      <c r="BT283">
        <v>0</v>
      </c>
      <c r="BV283">
        <v>0</v>
      </c>
      <c r="BW283" t="s">
        <v>655</v>
      </c>
      <c r="BX283">
        <v>0.17</v>
      </c>
      <c r="BY283">
        <v>9.6084010000000006</v>
      </c>
      <c r="BZ283">
        <v>0</v>
      </c>
      <c r="CA283">
        <v>1</v>
      </c>
      <c r="CB283">
        <v>0.6</v>
      </c>
      <c r="CC283" s="3">
        <v>7.1269159999999998E-2</v>
      </c>
      <c r="CD283">
        <v>2.875</v>
      </c>
      <c r="CE283">
        <v>2.5</v>
      </c>
      <c r="CF283">
        <v>18</v>
      </c>
      <c r="CG283">
        <v>6</v>
      </c>
      <c r="CH283">
        <v>0</v>
      </c>
      <c r="CI283">
        <v>56.52</v>
      </c>
      <c r="CJ283">
        <v>561.92449999999997</v>
      </c>
    </row>
    <row r="284" spans="1:88">
      <c r="A284">
        <v>282</v>
      </c>
      <c r="B284" t="s">
        <v>13</v>
      </c>
      <c r="C284" t="s">
        <v>1</v>
      </c>
      <c r="D284" t="s">
        <v>363</v>
      </c>
      <c r="E284" t="s">
        <v>268</v>
      </c>
      <c r="F284" t="s">
        <v>256</v>
      </c>
      <c r="G284" t="s">
        <v>106</v>
      </c>
      <c r="H284" t="s">
        <v>364</v>
      </c>
      <c r="J284">
        <v>2</v>
      </c>
      <c r="K284" t="s">
        <v>146</v>
      </c>
      <c r="L284" t="s">
        <v>133</v>
      </c>
      <c r="M284" t="s">
        <v>270</v>
      </c>
      <c r="N284" t="s">
        <v>153</v>
      </c>
      <c r="O284">
        <v>123</v>
      </c>
      <c r="Q284">
        <v>468</v>
      </c>
      <c r="R284">
        <v>89</v>
      </c>
      <c r="S284">
        <v>4.25</v>
      </c>
      <c r="T284">
        <v>3.3849999999999998</v>
      </c>
      <c r="U284">
        <v>6.22</v>
      </c>
      <c r="V284">
        <v>1987.85</v>
      </c>
      <c r="W284">
        <v>553</v>
      </c>
      <c r="X284">
        <v>1.3332999999999999</v>
      </c>
      <c r="Y284">
        <v>422</v>
      </c>
      <c r="Z284">
        <v>4.71</v>
      </c>
      <c r="AJ284">
        <v>2</v>
      </c>
      <c r="AK284">
        <v>18</v>
      </c>
      <c r="AM284">
        <v>0</v>
      </c>
      <c r="AO284" t="s">
        <v>298</v>
      </c>
      <c r="AT284">
        <v>48</v>
      </c>
      <c r="AV284">
        <v>49.9</v>
      </c>
      <c r="AW284">
        <v>0</v>
      </c>
      <c r="AX284">
        <v>0</v>
      </c>
      <c r="AY284">
        <v>48</v>
      </c>
      <c r="AZ284">
        <v>4.375</v>
      </c>
      <c r="BA284">
        <v>0</v>
      </c>
      <c r="BB284">
        <v>0</v>
      </c>
      <c r="BC284">
        <v>52</v>
      </c>
      <c r="BN284">
        <v>238.9667</v>
      </c>
      <c r="BO284">
        <v>1817</v>
      </c>
      <c r="BP284">
        <v>0</v>
      </c>
      <c r="BQ284">
        <v>42</v>
      </c>
      <c r="BR284">
        <v>42</v>
      </c>
      <c r="BS284">
        <v>41.91</v>
      </c>
      <c r="BT284">
        <v>0</v>
      </c>
      <c r="BV284">
        <v>0</v>
      </c>
      <c r="BW284" t="s">
        <v>655</v>
      </c>
      <c r="BX284">
        <v>0.17</v>
      </c>
      <c r="BY284">
        <v>7.1246999999999998</v>
      </c>
      <c r="BZ284">
        <v>0</v>
      </c>
      <c r="CA284">
        <v>1</v>
      </c>
      <c r="CB284">
        <v>0.6</v>
      </c>
      <c r="CC284" s="3">
        <v>7.1269159999999998E-2</v>
      </c>
      <c r="CD284">
        <v>2.875</v>
      </c>
      <c r="CE284">
        <v>2.5</v>
      </c>
      <c r="CF284">
        <v>18</v>
      </c>
      <c r="CG284">
        <v>6</v>
      </c>
      <c r="CH284">
        <v>0</v>
      </c>
      <c r="CI284">
        <v>41.91</v>
      </c>
      <c r="CJ284">
        <v>410.69740000000002</v>
      </c>
    </row>
    <row r="285" spans="1:88">
      <c r="A285">
        <v>283</v>
      </c>
      <c r="B285" t="s">
        <v>0</v>
      </c>
      <c r="C285" t="s">
        <v>1</v>
      </c>
      <c r="D285" t="s">
        <v>425</v>
      </c>
      <c r="E285" t="s">
        <v>2</v>
      </c>
      <c r="F285" t="s">
        <v>290</v>
      </c>
      <c r="G285" t="s">
        <v>15</v>
      </c>
      <c r="H285" t="s">
        <v>426</v>
      </c>
      <c r="J285">
        <v>2</v>
      </c>
      <c r="K285" t="s">
        <v>108</v>
      </c>
      <c r="L285" t="s">
        <v>122</v>
      </c>
      <c r="M285" t="s">
        <v>4</v>
      </c>
      <c r="N285" t="s">
        <v>5</v>
      </c>
      <c r="O285">
        <v>107</v>
      </c>
      <c r="Q285">
        <v>620</v>
      </c>
      <c r="R285">
        <v>131</v>
      </c>
      <c r="S285">
        <v>4.25</v>
      </c>
      <c r="T285">
        <v>2.9710000000000001</v>
      </c>
      <c r="U285">
        <v>6.07</v>
      </c>
      <c r="V285">
        <v>2635</v>
      </c>
      <c r="W285">
        <v>796</v>
      </c>
      <c r="X285">
        <v>1.3332999999999999</v>
      </c>
      <c r="Y285">
        <v>613</v>
      </c>
      <c r="Z285">
        <v>4.3</v>
      </c>
      <c r="AJ285">
        <v>2</v>
      </c>
      <c r="AK285">
        <v>18</v>
      </c>
      <c r="AM285">
        <v>0</v>
      </c>
      <c r="AO285" t="s">
        <v>427</v>
      </c>
      <c r="AT285">
        <v>42</v>
      </c>
      <c r="AV285">
        <v>75.400000000000006</v>
      </c>
      <c r="AW285" t="s">
        <v>6</v>
      </c>
      <c r="AX285" t="s">
        <v>6</v>
      </c>
      <c r="AY285" t="s">
        <v>6</v>
      </c>
      <c r="AZ285" t="s">
        <v>6</v>
      </c>
      <c r="BA285" t="s">
        <v>6</v>
      </c>
      <c r="BB285" t="s">
        <v>6</v>
      </c>
      <c r="BC285" t="s">
        <v>6</v>
      </c>
      <c r="BD285" t="s">
        <v>6</v>
      </c>
      <c r="BE285" t="s">
        <v>6</v>
      </c>
      <c r="BF285" t="s">
        <v>6</v>
      </c>
      <c r="BG285" t="s">
        <v>6</v>
      </c>
      <c r="BH285" t="s">
        <v>6</v>
      </c>
      <c r="BI285" t="s">
        <v>6</v>
      </c>
      <c r="BJ285" t="s">
        <v>6</v>
      </c>
      <c r="BN285">
        <v>644.04330000000004</v>
      </c>
      <c r="BO285">
        <v>2637</v>
      </c>
      <c r="BP285">
        <v>0</v>
      </c>
      <c r="BQ285">
        <v>36</v>
      </c>
      <c r="BR285">
        <v>36</v>
      </c>
      <c r="BS285">
        <v>36.340000000000003</v>
      </c>
      <c r="BT285">
        <v>0</v>
      </c>
      <c r="BV285">
        <v>0</v>
      </c>
      <c r="BW285" t="s">
        <v>655</v>
      </c>
      <c r="BX285">
        <v>0.17</v>
      </c>
      <c r="BY285">
        <v>6.1778000000000004</v>
      </c>
      <c r="BZ285">
        <v>0</v>
      </c>
      <c r="CA285">
        <v>1</v>
      </c>
      <c r="CB285">
        <v>0.6</v>
      </c>
      <c r="CC285" s="3">
        <v>7.1269159999999998E-2</v>
      </c>
      <c r="CD285">
        <v>2.875</v>
      </c>
      <c r="CE285">
        <v>2.5</v>
      </c>
      <c r="CF285">
        <v>18</v>
      </c>
      <c r="CG285">
        <v>6</v>
      </c>
      <c r="CH285">
        <v>0</v>
      </c>
      <c r="CI285">
        <v>36.340000000000003</v>
      </c>
      <c r="CJ285">
        <v>538.37990000000002</v>
      </c>
    </row>
    <row r="286" spans="1:88">
      <c r="A286">
        <v>284</v>
      </c>
      <c r="B286" t="s">
        <v>13</v>
      </c>
      <c r="C286" t="s">
        <v>1</v>
      </c>
      <c r="D286" t="s">
        <v>139</v>
      </c>
      <c r="E286" t="s">
        <v>330</v>
      </c>
      <c r="F286" t="s">
        <v>155</v>
      </c>
      <c r="G286" t="s">
        <v>106</v>
      </c>
      <c r="H286" t="s">
        <v>151</v>
      </c>
      <c r="J286">
        <v>2</v>
      </c>
      <c r="K286" t="s">
        <v>146</v>
      </c>
      <c r="L286" t="s">
        <v>279</v>
      </c>
      <c r="M286" t="s">
        <v>360</v>
      </c>
      <c r="N286" t="s">
        <v>381</v>
      </c>
      <c r="O286">
        <v>136</v>
      </c>
      <c r="Q286">
        <v>381</v>
      </c>
      <c r="R286">
        <v>68</v>
      </c>
      <c r="S286">
        <v>4.25</v>
      </c>
      <c r="T286">
        <v>3.7090000000000001</v>
      </c>
      <c r="U286">
        <v>6.45</v>
      </c>
      <c r="V286">
        <v>1617.5</v>
      </c>
      <c r="W286">
        <v>440</v>
      </c>
      <c r="X286">
        <v>1.3332999999999999</v>
      </c>
      <c r="Y286">
        <v>321</v>
      </c>
      <c r="Z286">
        <v>5.04</v>
      </c>
      <c r="AJ286">
        <v>2</v>
      </c>
      <c r="AK286">
        <v>18</v>
      </c>
      <c r="AM286">
        <v>0</v>
      </c>
      <c r="AO286" t="s">
        <v>154</v>
      </c>
      <c r="AT286">
        <v>53</v>
      </c>
      <c r="AV286">
        <v>36.799999999999997</v>
      </c>
      <c r="AW286">
        <v>0</v>
      </c>
      <c r="AX286">
        <v>0</v>
      </c>
      <c r="AY286">
        <v>44.375</v>
      </c>
      <c r="AZ286">
        <v>4.375</v>
      </c>
      <c r="BA286">
        <v>0</v>
      </c>
      <c r="BB286">
        <v>0</v>
      </c>
      <c r="BC286">
        <v>45</v>
      </c>
      <c r="BN286">
        <v>174.76669999999999</v>
      </c>
      <c r="BO286">
        <v>3397</v>
      </c>
      <c r="BP286">
        <v>0</v>
      </c>
      <c r="BQ286">
        <v>46</v>
      </c>
      <c r="BR286">
        <v>46</v>
      </c>
      <c r="BS286">
        <v>46.43</v>
      </c>
      <c r="BT286">
        <v>0</v>
      </c>
      <c r="BV286">
        <v>0</v>
      </c>
      <c r="BW286" t="s">
        <v>655</v>
      </c>
      <c r="BX286">
        <v>0.17</v>
      </c>
      <c r="BY286">
        <v>7.8931009999999997</v>
      </c>
      <c r="BZ286">
        <v>0</v>
      </c>
      <c r="CA286">
        <v>1</v>
      </c>
      <c r="CB286">
        <v>0.6</v>
      </c>
      <c r="CC286" s="3">
        <v>7.1269159999999998E-2</v>
      </c>
      <c r="CD286">
        <v>2.875</v>
      </c>
      <c r="CE286">
        <v>2.5</v>
      </c>
      <c r="CF286">
        <v>18</v>
      </c>
      <c r="CG286">
        <v>6</v>
      </c>
      <c r="CH286">
        <v>0</v>
      </c>
      <c r="CI286">
        <v>46.43</v>
      </c>
      <c r="CJ286">
        <v>335.86619999999999</v>
      </c>
    </row>
    <row r="287" spans="1:88">
      <c r="A287">
        <v>285</v>
      </c>
      <c r="B287" t="s">
        <v>0</v>
      </c>
      <c r="C287" t="s">
        <v>1</v>
      </c>
      <c r="D287" t="s">
        <v>2</v>
      </c>
      <c r="E287" t="s">
        <v>227</v>
      </c>
      <c r="F287" t="s">
        <v>154</v>
      </c>
      <c r="G287" t="s">
        <v>106</v>
      </c>
      <c r="H287" t="s">
        <v>217</v>
      </c>
      <c r="J287">
        <v>2</v>
      </c>
      <c r="K287" t="s">
        <v>146</v>
      </c>
      <c r="L287" t="s">
        <v>330</v>
      </c>
      <c r="M287" t="s">
        <v>129</v>
      </c>
      <c r="N287" t="s">
        <v>169</v>
      </c>
      <c r="O287">
        <v>116</v>
      </c>
      <c r="Q287">
        <v>323</v>
      </c>
      <c r="R287">
        <v>67</v>
      </c>
      <c r="S287">
        <v>4.25</v>
      </c>
      <c r="T287">
        <v>3.206</v>
      </c>
      <c r="U287">
        <v>6.22</v>
      </c>
      <c r="V287">
        <v>1371.51</v>
      </c>
      <c r="W287">
        <v>417</v>
      </c>
      <c r="X287">
        <v>1.3332999999999999</v>
      </c>
      <c r="Y287">
        <v>303</v>
      </c>
      <c r="Z287">
        <v>4.53</v>
      </c>
      <c r="AJ287">
        <v>2</v>
      </c>
      <c r="AK287">
        <v>18</v>
      </c>
      <c r="AM287">
        <v>0</v>
      </c>
      <c r="AO287" t="s">
        <v>218</v>
      </c>
      <c r="AT287">
        <v>46</v>
      </c>
      <c r="AV287">
        <v>36.1</v>
      </c>
      <c r="AW287">
        <v>0</v>
      </c>
      <c r="AX287">
        <v>0</v>
      </c>
      <c r="AY287">
        <v>47</v>
      </c>
      <c r="AZ287">
        <v>4</v>
      </c>
      <c r="BA287">
        <v>0</v>
      </c>
      <c r="BB287">
        <v>0</v>
      </c>
      <c r="BC287">
        <v>48</v>
      </c>
      <c r="BN287">
        <v>171.2</v>
      </c>
      <c r="BO287">
        <v>3540</v>
      </c>
      <c r="BP287">
        <v>0</v>
      </c>
      <c r="BQ287">
        <v>39</v>
      </c>
      <c r="BR287">
        <v>39</v>
      </c>
      <c r="BS287">
        <v>39.47</v>
      </c>
      <c r="BT287">
        <v>0</v>
      </c>
      <c r="BV287">
        <v>0</v>
      </c>
      <c r="BW287" t="s">
        <v>655</v>
      </c>
      <c r="BX287">
        <v>0.17</v>
      </c>
      <c r="BY287">
        <v>6.7099010000000003</v>
      </c>
      <c r="BZ287">
        <v>0</v>
      </c>
      <c r="CA287">
        <v>1</v>
      </c>
      <c r="CB287">
        <v>0.6</v>
      </c>
      <c r="CC287" s="3">
        <v>7.1269159999999998E-2</v>
      </c>
      <c r="CD287">
        <v>2.875</v>
      </c>
      <c r="CE287">
        <v>2.5</v>
      </c>
      <c r="CF287">
        <v>18</v>
      </c>
      <c r="CG287">
        <v>6</v>
      </c>
      <c r="CH287">
        <v>0</v>
      </c>
      <c r="CI287">
        <v>39.47</v>
      </c>
      <c r="CJ287">
        <v>279.8929</v>
      </c>
    </row>
    <row r="288" spans="1:88">
      <c r="A288">
        <v>286</v>
      </c>
      <c r="B288" t="s">
        <v>13</v>
      </c>
      <c r="C288" t="s">
        <v>1</v>
      </c>
      <c r="D288" t="s">
        <v>264</v>
      </c>
      <c r="E288" t="s">
        <v>113</v>
      </c>
      <c r="F288" t="s">
        <v>427</v>
      </c>
      <c r="G288" t="s">
        <v>15</v>
      </c>
      <c r="H288" t="s">
        <v>511</v>
      </c>
      <c r="J288">
        <v>2</v>
      </c>
      <c r="K288" t="s">
        <v>108</v>
      </c>
      <c r="L288" t="s">
        <v>116</v>
      </c>
      <c r="M288" t="s">
        <v>117</v>
      </c>
      <c r="N288" t="s">
        <v>14</v>
      </c>
      <c r="O288">
        <v>179</v>
      </c>
      <c r="Q288">
        <v>986</v>
      </c>
      <c r="R288">
        <v>130</v>
      </c>
      <c r="S288">
        <v>4.25</v>
      </c>
      <c r="T288">
        <v>4.7190000000000003</v>
      </c>
      <c r="U288">
        <v>7.05</v>
      </c>
      <c r="V288">
        <v>4190.1099999999997</v>
      </c>
      <c r="W288">
        <v>916</v>
      </c>
      <c r="X288">
        <v>1.3332999999999999</v>
      </c>
      <c r="Y288">
        <v>693</v>
      </c>
      <c r="Z288">
        <v>6.05</v>
      </c>
      <c r="AJ288">
        <v>2</v>
      </c>
      <c r="AK288">
        <v>18</v>
      </c>
      <c r="AM288">
        <v>0</v>
      </c>
      <c r="AO288" t="s">
        <v>428</v>
      </c>
      <c r="AT288">
        <v>68</v>
      </c>
      <c r="AV288">
        <v>74.7</v>
      </c>
      <c r="AW288" t="s">
        <v>6</v>
      </c>
      <c r="AX288" t="s">
        <v>6</v>
      </c>
      <c r="AY288" t="s">
        <v>6</v>
      </c>
      <c r="AZ288" t="s">
        <v>6</v>
      </c>
      <c r="BA288" t="s">
        <v>6</v>
      </c>
      <c r="BB288" t="s">
        <v>6</v>
      </c>
      <c r="BC288" t="s">
        <v>6</v>
      </c>
      <c r="BD288" t="s">
        <v>6</v>
      </c>
      <c r="BE288" t="s">
        <v>6</v>
      </c>
      <c r="BF288" t="s">
        <v>6</v>
      </c>
      <c r="BG288" t="s">
        <v>6</v>
      </c>
      <c r="BH288" t="s">
        <v>6</v>
      </c>
      <c r="BI288" t="s">
        <v>6</v>
      </c>
      <c r="BJ288" t="s">
        <v>6</v>
      </c>
      <c r="BN288">
        <v>637.72929999999997</v>
      </c>
      <c r="BO288">
        <v>2690</v>
      </c>
      <c r="BP288">
        <v>0</v>
      </c>
      <c r="BQ288">
        <v>61</v>
      </c>
      <c r="BR288">
        <v>61</v>
      </c>
      <c r="BS288">
        <v>61.39</v>
      </c>
      <c r="BT288">
        <v>0</v>
      </c>
      <c r="BV288">
        <v>0</v>
      </c>
      <c r="BW288" t="s">
        <v>655</v>
      </c>
      <c r="BX288">
        <v>0.17</v>
      </c>
      <c r="BY288">
        <v>10.436299999999999</v>
      </c>
      <c r="BZ288">
        <v>0</v>
      </c>
      <c r="CA288">
        <v>1</v>
      </c>
      <c r="CB288">
        <v>0.6</v>
      </c>
      <c r="CC288" s="3">
        <v>7.1269159999999998E-2</v>
      </c>
      <c r="CD288">
        <v>2.875</v>
      </c>
      <c r="CE288">
        <v>2.5</v>
      </c>
      <c r="CF288">
        <v>18</v>
      </c>
      <c r="CG288">
        <v>6</v>
      </c>
      <c r="CH288">
        <v>0</v>
      </c>
      <c r="CI288">
        <v>61.39</v>
      </c>
      <c r="CJ288">
        <v>900.74710000000005</v>
      </c>
    </row>
    <row r="289" spans="1:88">
      <c r="A289">
        <v>287</v>
      </c>
      <c r="B289" t="s">
        <v>0</v>
      </c>
      <c r="C289" t="s">
        <v>1</v>
      </c>
      <c r="D289" t="s">
        <v>666</v>
      </c>
      <c r="E289" t="s">
        <v>119</v>
      </c>
      <c r="F289" t="s">
        <v>667</v>
      </c>
      <c r="G289" t="s">
        <v>735</v>
      </c>
      <c r="H289" t="s">
        <v>736</v>
      </c>
      <c r="J289">
        <v>2</v>
      </c>
      <c r="K289" t="s">
        <v>668</v>
      </c>
      <c r="L289" t="s">
        <v>165</v>
      </c>
      <c r="M289" t="s">
        <v>286</v>
      </c>
      <c r="N289" t="s">
        <v>96</v>
      </c>
      <c r="O289">
        <v>128</v>
      </c>
      <c r="Q289">
        <v>1071</v>
      </c>
      <c r="R289">
        <v>192</v>
      </c>
      <c r="S289">
        <v>4.3125</v>
      </c>
      <c r="T289">
        <v>3.476</v>
      </c>
      <c r="U289">
        <v>6.73</v>
      </c>
      <c r="V289">
        <v>4619.8900000000003</v>
      </c>
      <c r="W289">
        <v>1295</v>
      </c>
      <c r="X289">
        <v>1.3332999999999999</v>
      </c>
      <c r="Y289">
        <v>962</v>
      </c>
      <c r="Z289">
        <v>4.8</v>
      </c>
      <c r="AJ289">
        <v>2</v>
      </c>
      <c r="AK289">
        <v>18</v>
      </c>
      <c r="AM289">
        <v>0</v>
      </c>
      <c r="AO289" t="s">
        <v>669</v>
      </c>
      <c r="AT289">
        <v>50</v>
      </c>
      <c r="AV289">
        <v>110.6</v>
      </c>
      <c r="AW289" t="s">
        <v>6</v>
      </c>
      <c r="AX289" t="s">
        <v>6</v>
      </c>
      <c r="AY289" t="s">
        <v>6</v>
      </c>
      <c r="AZ289" t="s">
        <v>6</v>
      </c>
      <c r="BA289" t="s">
        <v>6</v>
      </c>
      <c r="BB289" t="s">
        <v>6</v>
      </c>
      <c r="BC289" t="s">
        <v>6</v>
      </c>
      <c r="BD289" t="s">
        <v>6</v>
      </c>
      <c r="BE289" t="s">
        <v>6</v>
      </c>
      <c r="BF289" t="s">
        <v>6</v>
      </c>
      <c r="BG289" t="s">
        <v>6</v>
      </c>
      <c r="BH289" t="s">
        <v>6</v>
      </c>
      <c r="BI289" t="s">
        <v>6</v>
      </c>
      <c r="BJ289" t="s">
        <v>6</v>
      </c>
      <c r="BN289">
        <v>1213.375</v>
      </c>
      <c r="BO289">
        <v>4485</v>
      </c>
      <c r="BP289">
        <v>0</v>
      </c>
      <c r="BQ289">
        <v>44</v>
      </c>
      <c r="BR289">
        <v>44</v>
      </c>
      <c r="BS289">
        <v>43.65</v>
      </c>
      <c r="BT289">
        <v>0</v>
      </c>
      <c r="BV289">
        <v>6</v>
      </c>
      <c r="BW289" t="s">
        <v>655</v>
      </c>
      <c r="BX289">
        <v>0.27933330000000001</v>
      </c>
      <c r="BY289">
        <v>12.1929</v>
      </c>
      <c r="BZ289">
        <v>0</v>
      </c>
      <c r="CA289">
        <v>1</v>
      </c>
      <c r="CB289">
        <v>0.6</v>
      </c>
      <c r="CC289" s="3">
        <v>7.1269159999999998E-2</v>
      </c>
      <c r="CD289">
        <v>2.875</v>
      </c>
      <c r="CE289">
        <v>2.5</v>
      </c>
      <c r="CF289">
        <v>18</v>
      </c>
      <c r="CG289">
        <v>6</v>
      </c>
      <c r="CH289">
        <v>0</v>
      </c>
      <c r="CI289">
        <v>43.65</v>
      </c>
      <c r="CJ289">
        <v>948.43520000000001</v>
      </c>
    </row>
    <row r="290" spans="1:88">
      <c r="A290">
        <v>288</v>
      </c>
      <c r="B290" t="s">
        <v>13</v>
      </c>
      <c r="C290" t="s">
        <v>1</v>
      </c>
      <c r="D290" t="s">
        <v>280</v>
      </c>
      <c r="E290" t="s">
        <v>113</v>
      </c>
      <c r="F290" t="s">
        <v>102</v>
      </c>
      <c r="G290" t="s">
        <v>15</v>
      </c>
      <c r="H290" t="s">
        <v>423</v>
      </c>
      <c r="J290">
        <v>2</v>
      </c>
      <c r="K290" t="s">
        <v>108</v>
      </c>
      <c r="L290" t="s">
        <v>116</v>
      </c>
      <c r="M290" t="s">
        <v>117</v>
      </c>
      <c r="N290" t="s">
        <v>14</v>
      </c>
      <c r="O290">
        <v>179</v>
      </c>
      <c r="Q290">
        <v>1052</v>
      </c>
      <c r="R290">
        <v>139</v>
      </c>
      <c r="S290">
        <v>4.25</v>
      </c>
      <c r="T290">
        <v>4.7190000000000003</v>
      </c>
      <c r="U290">
        <v>7.05</v>
      </c>
      <c r="V290">
        <v>4472.0200000000004</v>
      </c>
      <c r="W290">
        <v>978</v>
      </c>
      <c r="X290">
        <v>1.3332999999999999</v>
      </c>
      <c r="Y290">
        <v>739</v>
      </c>
      <c r="Z290">
        <v>6.05</v>
      </c>
      <c r="AJ290">
        <v>2</v>
      </c>
      <c r="AK290">
        <v>18</v>
      </c>
      <c r="AM290">
        <v>0</v>
      </c>
      <c r="AO290" t="s">
        <v>424</v>
      </c>
      <c r="AT290">
        <v>68</v>
      </c>
      <c r="AV290">
        <v>79.8</v>
      </c>
      <c r="AW290" t="s">
        <v>6</v>
      </c>
      <c r="AX290" t="s">
        <v>6</v>
      </c>
      <c r="AY290" t="s">
        <v>6</v>
      </c>
      <c r="AZ290" t="s">
        <v>6</v>
      </c>
      <c r="BA290" t="s">
        <v>6</v>
      </c>
      <c r="BB290" t="s">
        <v>6</v>
      </c>
      <c r="BC290" t="s">
        <v>6</v>
      </c>
      <c r="BD290" t="s">
        <v>6</v>
      </c>
      <c r="BE290" t="s">
        <v>6</v>
      </c>
      <c r="BF290" t="s">
        <v>6</v>
      </c>
      <c r="BG290" t="s">
        <v>6</v>
      </c>
      <c r="BH290" t="s">
        <v>6</v>
      </c>
      <c r="BI290" t="s">
        <v>6</v>
      </c>
      <c r="BJ290" t="s">
        <v>6</v>
      </c>
      <c r="BN290">
        <v>681.92830000000004</v>
      </c>
      <c r="BO290">
        <v>2352</v>
      </c>
      <c r="BP290">
        <v>0</v>
      </c>
      <c r="BQ290">
        <v>61</v>
      </c>
      <c r="BR290">
        <v>61</v>
      </c>
      <c r="BS290">
        <v>61.39</v>
      </c>
      <c r="BT290">
        <v>0</v>
      </c>
      <c r="BV290">
        <v>0</v>
      </c>
      <c r="BW290" t="s">
        <v>655</v>
      </c>
      <c r="BX290">
        <v>0.17</v>
      </c>
      <c r="BY290">
        <v>10.436299999999999</v>
      </c>
      <c r="BZ290">
        <v>0</v>
      </c>
      <c r="CA290">
        <v>1</v>
      </c>
      <c r="CB290">
        <v>0.6</v>
      </c>
      <c r="CC290" s="3">
        <v>7.1269159999999998E-2</v>
      </c>
      <c r="CD290">
        <v>2.875</v>
      </c>
      <c r="CE290">
        <v>2.5</v>
      </c>
      <c r="CF290">
        <v>18</v>
      </c>
      <c r="CG290">
        <v>6</v>
      </c>
      <c r="CH290">
        <v>0</v>
      </c>
      <c r="CI290">
        <v>61.39</v>
      </c>
      <c r="CJ290">
        <v>962</v>
      </c>
    </row>
    <row r="291" spans="1:88">
      <c r="A291">
        <v>289</v>
      </c>
      <c r="B291" t="s">
        <v>0</v>
      </c>
      <c r="C291" t="s">
        <v>1</v>
      </c>
      <c r="D291" t="s">
        <v>2</v>
      </c>
      <c r="E291" t="s">
        <v>133</v>
      </c>
      <c r="F291" t="s">
        <v>154</v>
      </c>
      <c r="G291" t="s">
        <v>106</v>
      </c>
      <c r="H291" t="s">
        <v>217</v>
      </c>
      <c r="J291">
        <v>2</v>
      </c>
      <c r="K291" t="s">
        <v>146</v>
      </c>
      <c r="L291" t="s">
        <v>353</v>
      </c>
      <c r="M291" t="s">
        <v>194</v>
      </c>
      <c r="N291" t="s">
        <v>195</v>
      </c>
      <c r="O291">
        <v>143</v>
      </c>
      <c r="Q291">
        <v>391</v>
      </c>
      <c r="R291">
        <v>67</v>
      </c>
      <c r="S291">
        <v>4.25</v>
      </c>
      <c r="T291">
        <v>3.88</v>
      </c>
      <c r="U291">
        <v>6.6</v>
      </c>
      <c r="V291">
        <v>1661.28</v>
      </c>
      <c r="W291">
        <v>443</v>
      </c>
      <c r="X291">
        <v>1.3332999999999999</v>
      </c>
      <c r="Y291">
        <v>319</v>
      </c>
      <c r="Z291">
        <v>5.21</v>
      </c>
      <c r="AJ291">
        <v>2</v>
      </c>
      <c r="AK291">
        <v>18</v>
      </c>
      <c r="AM291">
        <v>0</v>
      </c>
      <c r="AO291" t="s">
        <v>218</v>
      </c>
      <c r="AT291">
        <v>55</v>
      </c>
      <c r="AV291">
        <v>36.1</v>
      </c>
      <c r="AW291">
        <v>0</v>
      </c>
      <c r="AX291">
        <v>0</v>
      </c>
      <c r="AY291">
        <v>44.625</v>
      </c>
      <c r="AZ291">
        <v>4.5</v>
      </c>
      <c r="BA291">
        <v>0</v>
      </c>
      <c r="BB291">
        <v>0</v>
      </c>
      <c r="BC291">
        <v>45</v>
      </c>
      <c r="BN291">
        <v>171.2</v>
      </c>
      <c r="BO291">
        <v>3540</v>
      </c>
      <c r="BP291">
        <v>0</v>
      </c>
      <c r="BQ291">
        <v>49</v>
      </c>
      <c r="BR291">
        <v>49</v>
      </c>
      <c r="BS291">
        <v>48.86</v>
      </c>
      <c r="BT291">
        <v>0</v>
      </c>
      <c r="BV291">
        <v>0</v>
      </c>
      <c r="BW291" t="s">
        <v>655</v>
      </c>
      <c r="BX291">
        <v>0.17</v>
      </c>
      <c r="BY291">
        <v>8.3062000000000005</v>
      </c>
      <c r="BZ291">
        <v>0</v>
      </c>
      <c r="CA291">
        <v>1</v>
      </c>
      <c r="CB291">
        <v>0.6</v>
      </c>
      <c r="CC291" s="3">
        <v>7.1269159999999998E-2</v>
      </c>
      <c r="CD291">
        <v>2.875</v>
      </c>
      <c r="CE291">
        <v>2.5</v>
      </c>
      <c r="CF291">
        <v>18</v>
      </c>
      <c r="CG291">
        <v>6</v>
      </c>
      <c r="CH291">
        <v>0</v>
      </c>
      <c r="CI291">
        <v>48.86</v>
      </c>
      <c r="CJ291">
        <v>346.48</v>
      </c>
    </row>
    <row r="292" spans="1:88">
      <c r="A292">
        <v>290</v>
      </c>
      <c r="B292" t="s">
        <v>13</v>
      </c>
      <c r="C292" t="s">
        <v>1</v>
      </c>
      <c r="D292" t="s">
        <v>512</v>
      </c>
      <c r="E292" t="s">
        <v>169</v>
      </c>
      <c r="F292" t="s">
        <v>513</v>
      </c>
      <c r="G292" t="s">
        <v>106</v>
      </c>
      <c r="H292" t="s">
        <v>135</v>
      </c>
      <c r="J292">
        <v>2</v>
      </c>
      <c r="K292" t="s">
        <v>146</v>
      </c>
      <c r="L292" t="s">
        <v>381</v>
      </c>
      <c r="M292" t="s">
        <v>173</v>
      </c>
      <c r="N292" t="s">
        <v>174</v>
      </c>
      <c r="O292">
        <v>119</v>
      </c>
      <c r="Q292">
        <v>217</v>
      </c>
      <c r="R292">
        <v>42</v>
      </c>
      <c r="S292">
        <v>4.25</v>
      </c>
      <c r="T292">
        <v>3.2829999999999999</v>
      </c>
      <c r="U292">
        <v>6.15</v>
      </c>
      <c r="V292">
        <v>920.38</v>
      </c>
      <c r="W292">
        <v>258</v>
      </c>
      <c r="X292">
        <v>1.3332999999999999</v>
      </c>
      <c r="Y292">
        <v>200</v>
      </c>
      <c r="Z292">
        <v>4.6100000000000003</v>
      </c>
      <c r="AJ292">
        <v>2</v>
      </c>
      <c r="AK292">
        <v>18</v>
      </c>
      <c r="AM292">
        <v>0</v>
      </c>
      <c r="AO292" t="s">
        <v>361</v>
      </c>
      <c r="AT292">
        <v>47</v>
      </c>
      <c r="AV292">
        <v>23.4</v>
      </c>
      <c r="AW292">
        <v>0</v>
      </c>
      <c r="AX292">
        <v>0</v>
      </c>
      <c r="AY292">
        <v>32.375</v>
      </c>
      <c r="AZ292">
        <v>3.5</v>
      </c>
      <c r="BA292">
        <v>0</v>
      </c>
      <c r="BB292">
        <v>0</v>
      </c>
      <c r="BC292">
        <v>29</v>
      </c>
      <c r="BN292">
        <v>108.7834</v>
      </c>
      <c r="BO292">
        <v>8769</v>
      </c>
      <c r="BP292">
        <v>0</v>
      </c>
      <c r="BQ292">
        <v>41</v>
      </c>
      <c r="BR292">
        <v>41</v>
      </c>
      <c r="BS292">
        <v>40.520000000000003</v>
      </c>
      <c r="BT292">
        <v>0</v>
      </c>
      <c r="BV292">
        <v>0</v>
      </c>
      <c r="BW292" t="s">
        <v>655</v>
      </c>
      <c r="BX292">
        <v>0.17</v>
      </c>
      <c r="BY292">
        <v>6.8883999999999999</v>
      </c>
      <c r="BZ292">
        <v>0</v>
      </c>
      <c r="CA292">
        <v>1</v>
      </c>
      <c r="CB292">
        <v>0.6</v>
      </c>
      <c r="CC292" s="3">
        <v>7.1269159999999998E-2</v>
      </c>
      <c r="CD292">
        <v>2.875</v>
      </c>
      <c r="CE292">
        <v>2.5</v>
      </c>
      <c r="CF292">
        <v>18</v>
      </c>
      <c r="CG292">
        <v>6</v>
      </c>
      <c r="CH292">
        <v>0</v>
      </c>
      <c r="CI292">
        <v>40.520000000000003</v>
      </c>
      <c r="CJ292">
        <v>186.26480000000001</v>
      </c>
    </row>
    <row r="293" spans="1:88">
      <c r="A293">
        <v>291</v>
      </c>
      <c r="B293" t="s">
        <v>13</v>
      </c>
      <c r="C293" t="s">
        <v>1</v>
      </c>
      <c r="D293" t="s">
        <v>151</v>
      </c>
      <c r="E293" t="s">
        <v>174</v>
      </c>
      <c r="F293" t="s">
        <v>385</v>
      </c>
      <c r="G293" t="s">
        <v>106</v>
      </c>
      <c r="H293" t="s">
        <v>2</v>
      </c>
      <c r="J293">
        <v>2</v>
      </c>
      <c r="K293" t="s">
        <v>146</v>
      </c>
      <c r="L293" t="s">
        <v>257</v>
      </c>
      <c r="M293" t="s">
        <v>312</v>
      </c>
      <c r="N293" t="s">
        <v>3</v>
      </c>
      <c r="O293">
        <v>122</v>
      </c>
      <c r="Q293">
        <v>341</v>
      </c>
      <c r="R293">
        <v>68</v>
      </c>
      <c r="S293">
        <v>4.25</v>
      </c>
      <c r="T293">
        <v>3.359</v>
      </c>
      <c r="U293">
        <v>6.22</v>
      </c>
      <c r="V293">
        <v>1450.18</v>
      </c>
      <c r="W293">
        <v>421</v>
      </c>
      <c r="X293">
        <v>1.3332999999999999</v>
      </c>
      <c r="Y293">
        <v>309</v>
      </c>
      <c r="Z293">
        <v>4.6900000000000004</v>
      </c>
      <c r="AJ293">
        <v>2</v>
      </c>
      <c r="AK293">
        <v>18</v>
      </c>
      <c r="AM293">
        <v>0</v>
      </c>
      <c r="AO293" t="s">
        <v>4</v>
      </c>
      <c r="AT293">
        <v>48</v>
      </c>
      <c r="AV293">
        <v>36.4</v>
      </c>
      <c r="AW293">
        <v>0</v>
      </c>
      <c r="AX293">
        <v>0</v>
      </c>
      <c r="AY293">
        <v>46</v>
      </c>
      <c r="AZ293">
        <v>4.125</v>
      </c>
      <c r="BA293">
        <v>0</v>
      </c>
      <c r="BB293">
        <v>0</v>
      </c>
      <c r="BC293">
        <v>47</v>
      </c>
      <c r="BN293">
        <v>172.98339999999999</v>
      </c>
      <c r="BO293">
        <v>3468</v>
      </c>
      <c r="BP293">
        <v>0</v>
      </c>
      <c r="BQ293">
        <v>42</v>
      </c>
      <c r="BR293">
        <v>42</v>
      </c>
      <c r="BS293">
        <v>41.56</v>
      </c>
      <c r="BT293">
        <v>0</v>
      </c>
      <c r="BV293">
        <v>0</v>
      </c>
      <c r="BW293" t="s">
        <v>655</v>
      </c>
      <c r="BX293">
        <v>0.17</v>
      </c>
      <c r="BY293">
        <v>7.0652010000000001</v>
      </c>
      <c r="BZ293">
        <v>0</v>
      </c>
      <c r="CA293">
        <v>1</v>
      </c>
      <c r="CB293">
        <v>0.6</v>
      </c>
      <c r="CC293" s="3">
        <v>7.1269159999999998E-2</v>
      </c>
      <c r="CD293">
        <v>2.875</v>
      </c>
      <c r="CE293">
        <v>2.5</v>
      </c>
      <c r="CF293">
        <v>18</v>
      </c>
      <c r="CG293">
        <v>6</v>
      </c>
      <c r="CH293">
        <v>0</v>
      </c>
      <c r="CI293">
        <v>41.56</v>
      </c>
      <c r="CJ293">
        <v>297.67559999999997</v>
      </c>
    </row>
    <row r="294" spans="1:88">
      <c r="A294">
        <v>292</v>
      </c>
      <c r="B294" t="s">
        <v>0</v>
      </c>
      <c r="C294" t="s">
        <v>1</v>
      </c>
      <c r="D294" t="s">
        <v>393</v>
      </c>
      <c r="E294" t="s">
        <v>158</v>
      </c>
      <c r="F294" t="s">
        <v>394</v>
      </c>
      <c r="G294" t="s">
        <v>106</v>
      </c>
      <c r="H294" t="s">
        <v>395</v>
      </c>
      <c r="J294">
        <v>2</v>
      </c>
      <c r="K294" t="s">
        <v>108</v>
      </c>
      <c r="L294" t="s">
        <v>99</v>
      </c>
      <c r="M294" t="s">
        <v>121</v>
      </c>
      <c r="N294" t="s">
        <v>235</v>
      </c>
      <c r="O294">
        <v>129</v>
      </c>
      <c r="Q294">
        <v>574</v>
      </c>
      <c r="R294">
        <v>103</v>
      </c>
      <c r="S294">
        <v>4.25</v>
      </c>
      <c r="T294">
        <v>3.536</v>
      </c>
      <c r="U294">
        <v>6.33</v>
      </c>
      <c r="V294">
        <v>2438.8200000000002</v>
      </c>
      <c r="W294">
        <v>651</v>
      </c>
      <c r="X294">
        <v>1.3332999999999999</v>
      </c>
      <c r="Y294">
        <v>502</v>
      </c>
      <c r="Z294">
        <v>4.8600000000000003</v>
      </c>
      <c r="AJ294">
        <v>2</v>
      </c>
      <c r="AK294">
        <v>18</v>
      </c>
      <c r="AM294">
        <v>0</v>
      </c>
      <c r="AO294" t="s">
        <v>105</v>
      </c>
      <c r="AT294">
        <v>50</v>
      </c>
      <c r="AV294">
        <v>58.7</v>
      </c>
      <c r="AW294">
        <v>0.46875</v>
      </c>
      <c r="AX294">
        <v>3.75</v>
      </c>
      <c r="AY294">
        <v>50</v>
      </c>
      <c r="AZ294">
        <v>4.5</v>
      </c>
      <c r="BA294">
        <v>405.51</v>
      </c>
      <c r="BB294">
        <v>4.8600000000000003</v>
      </c>
      <c r="BC294">
        <v>54</v>
      </c>
      <c r="BD294">
        <v>0.3125</v>
      </c>
      <c r="BE294">
        <v>2.75</v>
      </c>
      <c r="BF294">
        <v>37.375</v>
      </c>
      <c r="BG294">
        <v>3</v>
      </c>
      <c r="BH294">
        <v>96.29</v>
      </c>
      <c r="BI294">
        <v>6.63</v>
      </c>
      <c r="BJ294">
        <v>20</v>
      </c>
      <c r="BL294">
        <v>501.8</v>
      </c>
      <c r="BM294">
        <v>73</v>
      </c>
      <c r="BN294">
        <v>281.76670000000001</v>
      </c>
      <c r="BO294">
        <v>1307</v>
      </c>
      <c r="BP294">
        <v>0</v>
      </c>
      <c r="BQ294">
        <v>44</v>
      </c>
      <c r="BR294">
        <v>44</v>
      </c>
      <c r="BS294">
        <v>44</v>
      </c>
      <c r="BT294">
        <v>0</v>
      </c>
      <c r="BV294">
        <v>0</v>
      </c>
      <c r="BW294" t="s">
        <v>655</v>
      </c>
      <c r="BX294">
        <v>0.17</v>
      </c>
      <c r="BY294">
        <v>7.48</v>
      </c>
      <c r="BZ294">
        <v>0</v>
      </c>
      <c r="CA294">
        <v>1</v>
      </c>
      <c r="CB294">
        <v>0.6</v>
      </c>
      <c r="CC294" s="3">
        <v>7.1269159999999998E-2</v>
      </c>
      <c r="CD294">
        <v>2.875</v>
      </c>
      <c r="CE294">
        <v>2.5</v>
      </c>
      <c r="CF294">
        <v>18</v>
      </c>
      <c r="CG294">
        <v>6</v>
      </c>
      <c r="CH294">
        <v>0</v>
      </c>
      <c r="CI294">
        <v>44</v>
      </c>
      <c r="CJ294">
        <v>507.6146</v>
      </c>
    </row>
    <row r="295" spans="1:88">
      <c r="A295">
        <v>293</v>
      </c>
      <c r="B295" t="s">
        <v>0</v>
      </c>
      <c r="C295" t="s">
        <v>1</v>
      </c>
      <c r="D295" t="s">
        <v>2</v>
      </c>
      <c r="E295" t="s">
        <v>438</v>
      </c>
      <c r="F295" t="s">
        <v>154</v>
      </c>
      <c r="G295" t="s">
        <v>106</v>
      </c>
      <c r="H295" t="s">
        <v>217</v>
      </c>
      <c r="J295">
        <v>2</v>
      </c>
      <c r="K295" t="s">
        <v>146</v>
      </c>
      <c r="L295" t="s">
        <v>399</v>
      </c>
      <c r="M295" t="s">
        <v>467</v>
      </c>
      <c r="N295" t="s">
        <v>382</v>
      </c>
      <c r="O295">
        <v>97</v>
      </c>
      <c r="Q295">
        <v>275</v>
      </c>
      <c r="R295">
        <v>67</v>
      </c>
      <c r="S295">
        <v>4.25</v>
      </c>
      <c r="T295">
        <v>2.7040000000000002</v>
      </c>
      <c r="U295">
        <v>5.85</v>
      </c>
      <c r="V295">
        <v>1167.51</v>
      </c>
      <c r="W295">
        <v>392</v>
      </c>
      <c r="X295">
        <v>1.3332999999999999</v>
      </c>
      <c r="Y295">
        <v>290</v>
      </c>
      <c r="Z295">
        <v>4.03</v>
      </c>
      <c r="AJ295">
        <v>2</v>
      </c>
      <c r="AK295">
        <v>18</v>
      </c>
      <c r="AM295">
        <v>0</v>
      </c>
      <c r="AO295" t="s">
        <v>218</v>
      </c>
      <c r="AT295">
        <v>39</v>
      </c>
      <c r="AV295">
        <v>36.1</v>
      </c>
      <c r="AW295">
        <v>0</v>
      </c>
      <c r="AX295">
        <v>0</v>
      </c>
      <c r="AY295">
        <v>33.625</v>
      </c>
      <c r="AZ295">
        <v>3.25</v>
      </c>
      <c r="BA295">
        <v>0</v>
      </c>
      <c r="BB295">
        <v>0</v>
      </c>
      <c r="BC295">
        <v>32</v>
      </c>
      <c r="BN295">
        <v>171.2</v>
      </c>
      <c r="BO295">
        <v>3540</v>
      </c>
      <c r="BP295">
        <v>0</v>
      </c>
      <c r="BQ295">
        <v>33</v>
      </c>
      <c r="BR295">
        <v>33</v>
      </c>
      <c r="BS295">
        <v>32.86</v>
      </c>
      <c r="BT295">
        <v>0</v>
      </c>
      <c r="BV295">
        <v>0</v>
      </c>
      <c r="BW295" t="s">
        <v>655</v>
      </c>
      <c r="BX295">
        <v>0.17</v>
      </c>
      <c r="BY295">
        <v>5.5861999999999998</v>
      </c>
      <c r="BZ295">
        <v>0</v>
      </c>
      <c r="CA295">
        <v>1</v>
      </c>
      <c r="CB295">
        <v>0.6</v>
      </c>
      <c r="CC295" s="3">
        <v>7.1269159999999998E-2</v>
      </c>
      <c r="CD295">
        <v>2.875</v>
      </c>
      <c r="CE295">
        <v>2.5</v>
      </c>
      <c r="CF295">
        <v>18</v>
      </c>
      <c r="CG295">
        <v>6</v>
      </c>
      <c r="CH295">
        <v>0</v>
      </c>
      <c r="CI295">
        <v>32.86</v>
      </c>
      <c r="CJ295">
        <v>233.01949999999999</v>
      </c>
    </row>
    <row r="296" spans="1:88">
      <c r="A296">
        <v>294</v>
      </c>
      <c r="B296" t="s">
        <v>0</v>
      </c>
      <c r="C296" t="s">
        <v>1</v>
      </c>
      <c r="D296" t="s">
        <v>514</v>
      </c>
      <c r="E296" t="s">
        <v>143</v>
      </c>
      <c r="F296" t="s">
        <v>515</v>
      </c>
      <c r="G296" t="s">
        <v>15</v>
      </c>
      <c r="H296" t="s">
        <v>514</v>
      </c>
      <c r="J296">
        <v>2</v>
      </c>
      <c r="K296" t="s">
        <v>9</v>
      </c>
      <c r="L296" t="s">
        <v>297</v>
      </c>
      <c r="M296" t="s">
        <v>206</v>
      </c>
      <c r="N296" t="s">
        <v>131</v>
      </c>
      <c r="O296">
        <v>155</v>
      </c>
      <c r="Q296">
        <v>963</v>
      </c>
      <c r="R296">
        <v>144</v>
      </c>
      <c r="S296">
        <v>4.25</v>
      </c>
      <c r="T296">
        <v>4.1660000000000004</v>
      </c>
      <c r="U296">
        <v>6.78</v>
      </c>
      <c r="V296">
        <v>4092.96</v>
      </c>
      <c r="W296">
        <v>979</v>
      </c>
      <c r="X296">
        <v>1.3332999999999999</v>
      </c>
      <c r="Y296">
        <v>746</v>
      </c>
      <c r="Z296">
        <v>5.49</v>
      </c>
      <c r="AJ296">
        <v>2</v>
      </c>
      <c r="AK296">
        <v>18</v>
      </c>
      <c r="AM296">
        <v>0</v>
      </c>
      <c r="AO296" t="s">
        <v>516</v>
      </c>
      <c r="AT296">
        <v>59</v>
      </c>
      <c r="AV296">
        <v>83</v>
      </c>
      <c r="AW296" t="s">
        <v>6</v>
      </c>
      <c r="AX296" t="s">
        <v>6</v>
      </c>
      <c r="AY296" t="s">
        <v>6</v>
      </c>
      <c r="AZ296" t="s">
        <v>6</v>
      </c>
      <c r="BA296" t="s">
        <v>6</v>
      </c>
      <c r="BB296" t="s">
        <v>6</v>
      </c>
      <c r="BC296" t="s">
        <v>6</v>
      </c>
      <c r="BD296" t="s">
        <v>6</v>
      </c>
      <c r="BE296" t="s">
        <v>6</v>
      </c>
      <c r="BF296" t="s">
        <v>6</v>
      </c>
      <c r="BG296" t="s">
        <v>6</v>
      </c>
      <c r="BH296" t="s">
        <v>6</v>
      </c>
      <c r="BI296" t="s">
        <v>6</v>
      </c>
      <c r="BJ296" t="s">
        <v>6</v>
      </c>
      <c r="BN296">
        <v>710.34199999999998</v>
      </c>
      <c r="BO296">
        <v>2168</v>
      </c>
      <c r="BP296">
        <v>0</v>
      </c>
      <c r="BQ296">
        <v>53</v>
      </c>
      <c r="BR296">
        <v>53</v>
      </c>
      <c r="BS296">
        <v>53.04</v>
      </c>
      <c r="BT296">
        <v>0</v>
      </c>
      <c r="BV296">
        <v>6</v>
      </c>
      <c r="BW296" t="s">
        <v>655</v>
      </c>
      <c r="BX296">
        <v>0.27933340000000001</v>
      </c>
      <c r="BY296">
        <v>14.81584</v>
      </c>
      <c r="BZ296">
        <v>0</v>
      </c>
      <c r="CA296">
        <v>1</v>
      </c>
      <c r="CB296">
        <v>0.6</v>
      </c>
      <c r="CC296" s="3">
        <v>7.1269159999999998E-2</v>
      </c>
      <c r="CD296">
        <v>2.875</v>
      </c>
      <c r="CE296">
        <v>2.5</v>
      </c>
      <c r="CF296">
        <v>18</v>
      </c>
      <c r="CG296">
        <v>6</v>
      </c>
      <c r="CH296">
        <v>0</v>
      </c>
      <c r="CI296">
        <v>53.04</v>
      </c>
      <c r="CJ296">
        <v>865.17409999999995</v>
      </c>
    </row>
    <row r="297" spans="1:88">
      <c r="A297">
        <v>295</v>
      </c>
      <c r="B297" t="s">
        <v>0</v>
      </c>
      <c r="C297" t="s">
        <v>1</v>
      </c>
      <c r="D297" t="s">
        <v>353</v>
      </c>
      <c r="E297" t="s">
        <v>340</v>
      </c>
      <c r="F297" t="s">
        <v>517</v>
      </c>
      <c r="G297" t="s">
        <v>106</v>
      </c>
      <c r="H297" t="s">
        <v>518</v>
      </c>
      <c r="J297">
        <v>2</v>
      </c>
      <c r="K297" t="s">
        <v>108</v>
      </c>
      <c r="L297" t="s">
        <v>131</v>
      </c>
      <c r="M297" t="s">
        <v>359</v>
      </c>
      <c r="N297" t="s">
        <v>259</v>
      </c>
      <c r="O297">
        <v>138</v>
      </c>
      <c r="Q297">
        <v>588</v>
      </c>
      <c r="R297">
        <v>99</v>
      </c>
      <c r="S297">
        <v>4.25</v>
      </c>
      <c r="T297">
        <v>3.758</v>
      </c>
      <c r="U297">
        <v>6.48</v>
      </c>
      <c r="V297">
        <v>2499.6799999999998</v>
      </c>
      <c r="W297">
        <v>644</v>
      </c>
      <c r="X297">
        <v>1.3332999999999999</v>
      </c>
      <c r="Y297">
        <v>491</v>
      </c>
      <c r="Z297">
        <v>5.09</v>
      </c>
      <c r="AJ297">
        <v>2</v>
      </c>
      <c r="AK297">
        <v>18</v>
      </c>
      <c r="AM297">
        <v>0</v>
      </c>
      <c r="AO297" t="s">
        <v>182</v>
      </c>
      <c r="AT297">
        <v>53</v>
      </c>
      <c r="AV297">
        <v>56.5</v>
      </c>
      <c r="AW297">
        <v>0.46875</v>
      </c>
      <c r="AX297">
        <v>3.75</v>
      </c>
      <c r="AY297">
        <v>52.375</v>
      </c>
      <c r="AZ297">
        <v>4.75</v>
      </c>
      <c r="BA297">
        <v>387.19</v>
      </c>
      <c r="BB297">
        <v>5.09</v>
      </c>
      <c r="BC297">
        <v>56</v>
      </c>
      <c r="BD297">
        <v>0.3125</v>
      </c>
      <c r="BE297">
        <v>2.75</v>
      </c>
      <c r="BF297">
        <v>34.625</v>
      </c>
      <c r="BG297">
        <v>3.125</v>
      </c>
      <c r="BH297">
        <v>103.89</v>
      </c>
      <c r="BI297">
        <v>6.15</v>
      </c>
      <c r="BJ297">
        <v>18</v>
      </c>
      <c r="BL297">
        <v>491.08</v>
      </c>
      <c r="BM297">
        <v>74</v>
      </c>
      <c r="BN297">
        <v>271.06670000000003</v>
      </c>
      <c r="BO297">
        <v>1412</v>
      </c>
      <c r="BP297">
        <v>0</v>
      </c>
      <c r="BQ297">
        <v>47</v>
      </c>
      <c r="BR297">
        <v>47</v>
      </c>
      <c r="BS297">
        <v>47.13</v>
      </c>
      <c r="BT297">
        <v>0</v>
      </c>
      <c r="BV297">
        <v>0</v>
      </c>
      <c r="BW297" t="s">
        <v>655</v>
      </c>
      <c r="BX297">
        <v>0.17</v>
      </c>
      <c r="BY297">
        <v>8.0121000000000002</v>
      </c>
      <c r="BZ297">
        <v>0</v>
      </c>
      <c r="CA297">
        <v>1</v>
      </c>
      <c r="CB297">
        <v>0.6</v>
      </c>
      <c r="CC297" s="3">
        <v>7.1269159999999998E-2</v>
      </c>
      <c r="CD297">
        <v>2.875</v>
      </c>
      <c r="CE297">
        <v>2.5</v>
      </c>
      <c r="CF297">
        <v>18</v>
      </c>
      <c r="CG297">
        <v>6</v>
      </c>
      <c r="CH297">
        <v>0</v>
      </c>
      <c r="CI297">
        <v>47.13</v>
      </c>
      <c r="CJ297">
        <v>523.57100000000003</v>
      </c>
    </row>
    <row r="298" spans="1:88">
      <c r="A298">
        <v>296</v>
      </c>
      <c r="B298" t="s">
        <v>13</v>
      </c>
      <c r="C298" t="s">
        <v>1</v>
      </c>
      <c r="D298" t="s">
        <v>177</v>
      </c>
      <c r="E298" t="s">
        <v>139</v>
      </c>
      <c r="F298" t="s">
        <v>226</v>
      </c>
      <c r="G298" t="s">
        <v>106</v>
      </c>
      <c r="H298" t="s">
        <v>150</v>
      </c>
      <c r="J298">
        <v>2</v>
      </c>
      <c r="K298" t="s">
        <v>146</v>
      </c>
      <c r="L298" t="s">
        <v>158</v>
      </c>
      <c r="M298" t="s">
        <v>385</v>
      </c>
      <c r="N298" t="s">
        <v>177</v>
      </c>
      <c r="O298">
        <v>109</v>
      </c>
      <c r="Q298">
        <v>320</v>
      </c>
      <c r="R298">
        <v>70</v>
      </c>
      <c r="S298">
        <v>4.25</v>
      </c>
      <c r="T298">
        <v>3.024</v>
      </c>
      <c r="U298">
        <v>6.11</v>
      </c>
      <c r="V298">
        <v>1360.34</v>
      </c>
      <c r="W298">
        <v>427</v>
      </c>
      <c r="X298">
        <v>1.3332999999999999</v>
      </c>
      <c r="Y298">
        <v>313</v>
      </c>
      <c r="Z298">
        <v>4.3499999999999996</v>
      </c>
      <c r="AJ298">
        <v>2</v>
      </c>
      <c r="AK298">
        <v>18</v>
      </c>
      <c r="AM298">
        <v>0</v>
      </c>
      <c r="AO298" t="s">
        <v>159</v>
      </c>
      <c r="AT298">
        <v>43</v>
      </c>
      <c r="AV298">
        <v>37.9</v>
      </c>
      <c r="AW298">
        <v>0</v>
      </c>
      <c r="AX298">
        <v>0</v>
      </c>
      <c r="AY298">
        <v>45.5</v>
      </c>
      <c r="AZ298">
        <v>3.75</v>
      </c>
      <c r="BA298">
        <v>0</v>
      </c>
      <c r="BB298">
        <v>0</v>
      </c>
      <c r="BC298">
        <v>46</v>
      </c>
      <c r="BN298">
        <v>180.11670000000001</v>
      </c>
      <c r="BO298">
        <v>3199</v>
      </c>
      <c r="BP298">
        <v>0</v>
      </c>
      <c r="BQ298">
        <v>37</v>
      </c>
      <c r="BR298">
        <v>37</v>
      </c>
      <c r="BS298">
        <v>37.04</v>
      </c>
      <c r="BT298">
        <v>0</v>
      </c>
      <c r="BV298">
        <v>0</v>
      </c>
      <c r="BW298" t="s">
        <v>655</v>
      </c>
      <c r="BX298">
        <v>0.17</v>
      </c>
      <c r="BY298">
        <v>6.2968000000000002</v>
      </c>
      <c r="BZ298">
        <v>0</v>
      </c>
      <c r="CA298">
        <v>1</v>
      </c>
      <c r="CB298">
        <v>0.6</v>
      </c>
      <c r="CC298" s="3">
        <v>7.1269159999999998E-2</v>
      </c>
      <c r="CD298">
        <v>2.875</v>
      </c>
      <c r="CE298">
        <v>2.5</v>
      </c>
      <c r="CF298">
        <v>18</v>
      </c>
      <c r="CG298">
        <v>6</v>
      </c>
      <c r="CH298">
        <v>0</v>
      </c>
      <c r="CI298">
        <v>37.04</v>
      </c>
      <c r="CJ298">
        <v>275.86009999999999</v>
      </c>
    </row>
    <row r="299" spans="1:88">
      <c r="A299">
        <v>297</v>
      </c>
      <c r="B299" t="s">
        <v>0</v>
      </c>
      <c r="C299" t="s">
        <v>1</v>
      </c>
      <c r="D299" t="s">
        <v>143</v>
      </c>
      <c r="E299" t="s">
        <v>96</v>
      </c>
      <c r="F299" t="s">
        <v>144</v>
      </c>
      <c r="G299" t="s">
        <v>106</v>
      </c>
      <c r="H299" t="s">
        <v>145</v>
      </c>
      <c r="J299">
        <v>2</v>
      </c>
      <c r="K299" t="s">
        <v>146</v>
      </c>
      <c r="L299" t="s">
        <v>293</v>
      </c>
      <c r="M299" t="s">
        <v>100</v>
      </c>
      <c r="N299" t="s">
        <v>101</v>
      </c>
      <c r="O299">
        <v>131</v>
      </c>
      <c r="Q299">
        <v>531</v>
      </c>
      <c r="R299">
        <v>95</v>
      </c>
      <c r="S299">
        <v>4.25</v>
      </c>
      <c r="T299">
        <v>3.5859999999999999</v>
      </c>
      <c r="U299">
        <v>6.37</v>
      </c>
      <c r="V299">
        <v>2256.4</v>
      </c>
      <c r="W299">
        <v>603</v>
      </c>
      <c r="X299">
        <v>1.3332999999999999</v>
      </c>
      <c r="Y299">
        <v>460</v>
      </c>
      <c r="Z299">
        <v>4.91</v>
      </c>
      <c r="AJ299">
        <v>2</v>
      </c>
      <c r="AK299">
        <v>18</v>
      </c>
      <c r="AM299">
        <v>0</v>
      </c>
      <c r="AO299" t="s">
        <v>149</v>
      </c>
      <c r="AT299">
        <v>51</v>
      </c>
      <c r="AV299">
        <v>53.5</v>
      </c>
      <c r="AW299">
        <v>0.46875</v>
      </c>
      <c r="AX299">
        <v>3.75</v>
      </c>
      <c r="AY299">
        <v>50.5</v>
      </c>
      <c r="AZ299">
        <v>4.625</v>
      </c>
      <c r="BA299">
        <v>401.38</v>
      </c>
      <c r="BB299">
        <v>4.91</v>
      </c>
      <c r="BC299">
        <v>54</v>
      </c>
      <c r="BD299">
        <v>0.25</v>
      </c>
      <c r="BE299">
        <v>2.75</v>
      </c>
      <c r="BF299">
        <v>19.75</v>
      </c>
      <c r="BG299">
        <v>2.5</v>
      </c>
      <c r="BH299">
        <v>58.16</v>
      </c>
      <c r="BI299">
        <v>5.9</v>
      </c>
      <c r="BJ299">
        <v>9</v>
      </c>
      <c r="BL299">
        <v>459.54</v>
      </c>
      <c r="BM299">
        <v>62</v>
      </c>
      <c r="BN299">
        <v>256.80009999999999</v>
      </c>
      <c r="BO299">
        <v>1574</v>
      </c>
      <c r="BP299">
        <v>0</v>
      </c>
      <c r="BQ299">
        <v>45</v>
      </c>
      <c r="BR299">
        <v>45</v>
      </c>
      <c r="BS299">
        <v>44.69</v>
      </c>
      <c r="BT299">
        <v>0</v>
      </c>
      <c r="BV299">
        <v>0</v>
      </c>
      <c r="BW299" t="s">
        <v>655</v>
      </c>
      <c r="BX299">
        <v>0.17</v>
      </c>
      <c r="BY299">
        <v>7.5972999999999997</v>
      </c>
      <c r="BZ299">
        <v>0</v>
      </c>
      <c r="CA299">
        <v>1</v>
      </c>
      <c r="CB299">
        <v>0.6</v>
      </c>
      <c r="CC299" s="3">
        <v>7.1269159999999998E-2</v>
      </c>
      <c r="CD299">
        <v>2.875</v>
      </c>
      <c r="CE299">
        <v>2.5</v>
      </c>
      <c r="CF299">
        <v>18</v>
      </c>
      <c r="CG299">
        <v>6</v>
      </c>
      <c r="CH299">
        <v>0</v>
      </c>
      <c r="CI299">
        <v>44.69</v>
      </c>
      <c r="CJ299">
        <v>469.79020000000003</v>
      </c>
    </row>
    <row r="300" spans="1:88">
      <c r="A300">
        <v>298</v>
      </c>
      <c r="B300" t="s">
        <v>0</v>
      </c>
      <c r="C300" t="s">
        <v>1</v>
      </c>
      <c r="D300" t="s">
        <v>135</v>
      </c>
      <c r="E300" t="s">
        <v>366</v>
      </c>
      <c r="F300" t="s">
        <v>137</v>
      </c>
      <c r="G300" t="s">
        <v>106</v>
      </c>
      <c r="H300" t="s">
        <v>138</v>
      </c>
      <c r="J300">
        <v>2</v>
      </c>
      <c r="K300" t="s">
        <v>146</v>
      </c>
      <c r="L300" t="s">
        <v>268</v>
      </c>
      <c r="M300" t="s">
        <v>370</v>
      </c>
      <c r="N300" t="s">
        <v>217</v>
      </c>
      <c r="O300">
        <v>103</v>
      </c>
      <c r="Q300">
        <v>187</v>
      </c>
      <c r="R300">
        <v>41</v>
      </c>
      <c r="S300">
        <v>4.25</v>
      </c>
      <c r="T300">
        <v>2.8650000000000002</v>
      </c>
      <c r="U300">
        <v>5.96</v>
      </c>
      <c r="V300">
        <v>795.38</v>
      </c>
      <c r="W300">
        <v>247</v>
      </c>
      <c r="X300">
        <v>1.3332999999999999</v>
      </c>
      <c r="Y300">
        <v>190</v>
      </c>
      <c r="Z300">
        <v>4.1900000000000004</v>
      </c>
      <c r="AJ300">
        <v>2</v>
      </c>
      <c r="AK300">
        <v>18</v>
      </c>
      <c r="AM300">
        <v>0</v>
      </c>
      <c r="AO300" t="s">
        <v>142</v>
      </c>
      <c r="AT300">
        <v>41</v>
      </c>
      <c r="AV300">
        <v>23</v>
      </c>
      <c r="AW300">
        <v>0</v>
      </c>
      <c r="AX300">
        <v>0</v>
      </c>
      <c r="AY300">
        <v>34</v>
      </c>
      <c r="AZ300">
        <v>3.125</v>
      </c>
      <c r="BA300">
        <v>0</v>
      </c>
      <c r="BB300">
        <v>0</v>
      </c>
      <c r="BC300">
        <v>30</v>
      </c>
      <c r="BN300">
        <v>107</v>
      </c>
      <c r="BO300">
        <v>9064</v>
      </c>
      <c r="BP300">
        <v>0</v>
      </c>
      <c r="BQ300">
        <v>35</v>
      </c>
      <c r="BR300">
        <v>35</v>
      </c>
      <c r="BS300">
        <v>34.950000000000003</v>
      </c>
      <c r="BT300">
        <v>0</v>
      </c>
      <c r="BV300">
        <v>0</v>
      </c>
      <c r="BW300" t="s">
        <v>655</v>
      </c>
      <c r="BX300">
        <v>0.17</v>
      </c>
      <c r="BY300">
        <v>5.9414999999999996</v>
      </c>
      <c r="BZ300">
        <v>0</v>
      </c>
      <c r="CA300">
        <v>1</v>
      </c>
      <c r="CB300">
        <v>0.6</v>
      </c>
      <c r="CC300" s="3">
        <v>7.1269159999999998E-2</v>
      </c>
      <c r="CD300">
        <v>2.875</v>
      </c>
      <c r="CE300">
        <v>2.5</v>
      </c>
      <c r="CF300">
        <v>18</v>
      </c>
      <c r="CG300">
        <v>6</v>
      </c>
      <c r="CH300">
        <v>0</v>
      </c>
      <c r="CI300">
        <v>34.950000000000003</v>
      </c>
      <c r="CJ300">
        <v>158.1694</v>
      </c>
    </row>
    <row r="301" spans="1:88">
      <c r="A301">
        <v>299</v>
      </c>
      <c r="B301" t="s">
        <v>13</v>
      </c>
      <c r="C301" t="s">
        <v>1</v>
      </c>
      <c r="D301" t="s">
        <v>143</v>
      </c>
      <c r="E301" t="s">
        <v>104</v>
      </c>
      <c r="F301" t="s">
        <v>144</v>
      </c>
      <c r="G301" t="s">
        <v>106</v>
      </c>
      <c r="H301" t="s">
        <v>145</v>
      </c>
      <c r="J301">
        <v>2</v>
      </c>
      <c r="K301" t="s">
        <v>146</v>
      </c>
      <c r="L301" t="s">
        <v>109</v>
      </c>
      <c r="M301" t="s">
        <v>110</v>
      </c>
      <c r="N301" t="s">
        <v>111</v>
      </c>
      <c r="O301">
        <v>191</v>
      </c>
      <c r="Q301">
        <v>754</v>
      </c>
      <c r="R301">
        <v>95</v>
      </c>
      <c r="S301">
        <v>4.25</v>
      </c>
      <c r="T301">
        <v>4.9850000000000003</v>
      </c>
      <c r="U301">
        <v>7.27</v>
      </c>
      <c r="V301">
        <v>3203.9</v>
      </c>
      <c r="W301">
        <v>688</v>
      </c>
      <c r="X301">
        <v>1.3332999999999999</v>
      </c>
      <c r="Y301">
        <v>508</v>
      </c>
      <c r="Z301">
        <v>6.31</v>
      </c>
      <c r="AJ301">
        <v>2</v>
      </c>
      <c r="AK301">
        <v>18</v>
      </c>
      <c r="AM301">
        <v>0</v>
      </c>
      <c r="AO301" t="s">
        <v>149</v>
      </c>
      <c r="AT301">
        <v>72</v>
      </c>
      <c r="AV301">
        <v>53.5</v>
      </c>
      <c r="AW301">
        <v>0.4375</v>
      </c>
      <c r="AX301">
        <v>3.75</v>
      </c>
      <c r="AY301">
        <v>56</v>
      </c>
      <c r="AZ301">
        <v>5.5</v>
      </c>
      <c r="BA301">
        <v>253.87</v>
      </c>
      <c r="BB301">
        <v>6.48</v>
      </c>
      <c r="BC301">
        <v>57</v>
      </c>
      <c r="BD301">
        <v>0.4375</v>
      </c>
      <c r="BE301">
        <v>3.75</v>
      </c>
      <c r="BF301">
        <v>56</v>
      </c>
      <c r="BG301">
        <v>5.5</v>
      </c>
      <c r="BH301">
        <v>253.87</v>
      </c>
      <c r="BI301">
        <v>6.48</v>
      </c>
      <c r="BJ301">
        <v>57</v>
      </c>
      <c r="BL301">
        <v>507.74</v>
      </c>
      <c r="BM301">
        <v>113</v>
      </c>
      <c r="BN301">
        <v>256.80009999999999</v>
      </c>
      <c r="BO301">
        <v>1574</v>
      </c>
      <c r="BP301">
        <v>0</v>
      </c>
      <c r="BQ301">
        <v>66</v>
      </c>
      <c r="BR301">
        <v>66</v>
      </c>
      <c r="BS301">
        <v>65.56</v>
      </c>
      <c r="BT301">
        <v>0</v>
      </c>
      <c r="BV301">
        <v>0</v>
      </c>
      <c r="BW301" t="s">
        <v>655</v>
      </c>
      <c r="BX301">
        <v>0.17</v>
      </c>
      <c r="BY301">
        <v>11.145200000000001</v>
      </c>
      <c r="BZ301">
        <v>0</v>
      </c>
      <c r="CA301">
        <v>1</v>
      </c>
      <c r="CB301">
        <v>0.6</v>
      </c>
      <c r="CC301" s="3">
        <v>7.1269159999999998E-2</v>
      </c>
      <c r="CD301">
        <v>2.875</v>
      </c>
      <c r="CE301">
        <v>2.5</v>
      </c>
      <c r="CF301">
        <v>18</v>
      </c>
      <c r="CG301">
        <v>6</v>
      </c>
      <c r="CH301">
        <v>0</v>
      </c>
      <c r="CI301">
        <v>65.56</v>
      </c>
      <c r="CJ301">
        <v>689.1798</v>
      </c>
    </row>
    <row r="302" spans="1:88">
      <c r="A302">
        <v>300</v>
      </c>
      <c r="B302" t="s">
        <v>0</v>
      </c>
      <c r="C302" t="s">
        <v>1</v>
      </c>
      <c r="D302" t="s">
        <v>283</v>
      </c>
      <c r="E302" t="s">
        <v>178</v>
      </c>
      <c r="F302" t="s">
        <v>243</v>
      </c>
      <c r="G302" t="s">
        <v>106</v>
      </c>
      <c r="H302" t="s">
        <v>284</v>
      </c>
      <c r="J302">
        <v>2</v>
      </c>
      <c r="K302" t="s">
        <v>146</v>
      </c>
      <c r="L302" t="s">
        <v>127</v>
      </c>
      <c r="M302" t="s">
        <v>179</v>
      </c>
      <c r="N302" t="s">
        <v>180</v>
      </c>
      <c r="O302">
        <v>95</v>
      </c>
      <c r="Q302">
        <v>217</v>
      </c>
      <c r="R302">
        <v>51</v>
      </c>
      <c r="S302">
        <v>4.25</v>
      </c>
      <c r="T302">
        <v>2.649</v>
      </c>
      <c r="U302">
        <v>5.81</v>
      </c>
      <c r="V302">
        <v>920.5</v>
      </c>
      <c r="W302">
        <v>294</v>
      </c>
      <c r="X302">
        <v>1.3332999999999999</v>
      </c>
      <c r="Y302">
        <v>231</v>
      </c>
      <c r="Z302">
        <v>3.98</v>
      </c>
      <c r="AJ302">
        <v>2</v>
      </c>
      <c r="AK302">
        <v>18</v>
      </c>
      <c r="AM302">
        <v>0</v>
      </c>
      <c r="AO302" t="s">
        <v>285</v>
      </c>
      <c r="AT302">
        <v>38</v>
      </c>
      <c r="AV302">
        <v>28.8</v>
      </c>
      <c r="AW302">
        <v>0</v>
      </c>
      <c r="AX302">
        <v>0</v>
      </c>
      <c r="AY302">
        <v>28</v>
      </c>
      <c r="AZ302">
        <v>3</v>
      </c>
      <c r="BA302">
        <v>0</v>
      </c>
      <c r="BB302">
        <v>0</v>
      </c>
      <c r="BC302">
        <v>25</v>
      </c>
      <c r="BN302">
        <v>135.5334</v>
      </c>
      <c r="BO302">
        <v>5649</v>
      </c>
      <c r="BP302">
        <v>0</v>
      </c>
      <c r="BQ302">
        <v>32</v>
      </c>
      <c r="BR302">
        <v>32</v>
      </c>
      <c r="BS302">
        <v>32.17</v>
      </c>
      <c r="BT302">
        <v>0</v>
      </c>
      <c r="BV302">
        <v>0</v>
      </c>
      <c r="BW302" t="s">
        <v>655</v>
      </c>
      <c r="BX302">
        <v>0.17</v>
      </c>
      <c r="BY302">
        <v>5.4688999999999997</v>
      </c>
      <c r="BZ302">
        <v>0</v>
      </c>
      <c r="CA302">
        <v>1</v>
      </c>
      <c r="CB302">
        <v>0.6</v>
      </c>
      <c r="CC302" s="3">
        <v>7.1269159999999998E-2</v>
      </c>
      <c r="CD302">
        <v>2.875</v>
      </c>
      <c r="CE302">
        <v>2.5</v>
      </c>
      <c r="CF302">
        <v>18</v>
      </c>
      <c r="CG302">
        <v>6</v>
      </c>
      <c r="CH302">
        <v>0</v>
      </c>
      <c r="CI302">
        <v>32.17</v>
      </c>
      <c r="CJ302">
        <v>182.27189999999999</v>
      </c>
    </row>
    <row r="303" spans="1:88">
      <c r="A303">
        <v>301</v>
      </c>
      <c r="B303" t="s">
        <v>0</v>
      </c>
      <c r="C303" t="s">
        <v>1</v>
      </c>
      <c r="D303" t="s">
        <v>356</v>
      </c>
      <c r="E303" t="s">
        <v>342</v>
      </c>
      <c r="F303" t="s">
        <v>225</v>
      </c>
      <c r="G303" t="s">
        <v>106</v>
      </c>
      <c r="H303" t="s">
        <v>332</v>
      </c>
      <c r="J303">
        <v>2</v>
      </c>
      <c r="K303" t="s">
        <v>146</v>
      </c>
      <c r="L303" t="s">
        <v>139</v>
      </c>
      <c r="M303" t="s">
        <v>345</v>
      </c>
      <c r="N303" t="s">
        <v>346</v>
      </c>
      <c r="O303">
        <v>89</v>
      </c>
      <c r="Q303">
        <v>182</v>
      </c>
      <c r="R303">
        <v>45</v>
      </c>
      <c r="S303">
        <v>4.25</v>
      </c>
      <c r="T303">
        <v>2.4849999999999999</v>
      </c>
      <c r="U303">
        <v>5.7</v>
      </c>
      <c r="V303">
        <v>772.77</v>
      </c>
      <c r="W303">
        <v>259</v>
      </c>
      <c r="X303">
        <v>1.3332999999999999</v>
      </c>
      <c r="Y303">
        <v>203</v>
      </c>
      <c r="Z303">
        <v>3.81</v>
      </c>
      <c r="AJ303">
        <v>2</v>
      </c>
      <c r="AK303">
        <v>18</v>
      </c>
      <c r="AM303">
        <v>0</v>
      </c>
      <c r="AO303" t="s">
        <v>372</v>
      </c>
      <c r="AT303">
        <v>36</v>
      </c>
      <c r="AV303">
        <v>25.5</v>
      </c>
      <c r="AW303">
        <v>0</v>
      </c>
      <c r="AX303">
        <v>0</v>
      </c>
      <c r="AY303">
        <v>31.875</v>
      </c>
      <c r="AZ303">
        <v>2.875</v>
      </c>
      <c r="BA303">
        <v>0</v>
      </c>
      <c r="BB303">
        <v>0</v>
      </c>
      <c r="BC303">
        <v>28</v>
      </c>
      <c r="BN303">
        <v>119.4834</v>
      </c>
      <c r="BO303">
        <v>7269</v>
      </c>
      <c r="BP303">
        <v>0</v>
      </c>
      <c r="BQ303">
        <v>30</v>
      </c>
      <c r="BR303">
        <v>30</v>
      </c>
      <c r="BS303">
        <v>30.08</v>
      </c>
      <c r="BT303">
        <v>0</v>
      </c>
      <c r="BV303">
        <v>0</v>
      </c>
      <c r="BW303" t="s">
        <v>655</v>
      </c>
      <c r="BX303">
        <v>0.17</v>
      </c>
      <c r="BY303">
        <v>5.1135999999999999</v>
      </c>
      <c r="BZ303">
        <v>0</v>
      </c>
      <c r="CA303">
        <v>1</v>
      </c>
      <c r="CB303">
        <v>0.6</v>
      </c>
      <c r="CC303" s="3">
        <v>7.1269159999999998E-2</v>
      </c>
      <c r="CD303">
        <v>2.875</v>
      </c>
      <c r="CE303">
        <v>2.5</v>
      </c>
      <c r="CF303">
        <v>18</v>
      </c>
      <c r="CG303">
        <v>6</v>
      </c>
      <c r="CH303">
        <v>0</v>
      </c>
      <c r="CI303">
        <v>30.08</v>
      </c>
      <c r="CJ303">
        <v>151.1362</v>
      </c>
    </row>
    <row r="304" spans="1:88">
      <c r="A304">
        <v>302</v>
      </c>
      <c r="B304" t="s">
        <v>0</v>
      </c>
      <c r="C304" t="s">
        <v>1</v>
      </c>
      <c r="D304" t="s">
        <v>688</v>
      </c>
      <c r="E304" t="s">
        <v>8</v>
      </c>
      <c r="F304" t="s">
        <v>689</v>
      </c>
      <c r="G304" t="s">
        <v>735</v>
      </c>
      <c r="H304" t="s">
        <v>738</v>
      </c>
      <c r="J304">
        <v>2</v>
      </c>
      <c r="K304" t="s">
        <v>9</v>
      </c>
      <c r="L304" t="s">
        <v>10</v>
      </c>
      <c r="M304" t="s">
        <v>11</v>
      </c>
      <c r="N304" t="s">
        <v>12</v>
      </c>
      <c r="O304">
        <v>203</v>
      </c>
      <c r="Q304">
        <v>1491</v>
      </c>
      <c r="R304">
        <v>190</v>
      </c>
      <c r="S304">
        <v>4.3125</v>
      </c>
      <c r="T304">
        <v>5.202</v>
      </c>
      <c r="U304">
        <v>7.33</v>
      </c>
      <c r="V304">
        <v>6428.21</v>
      </c>
      <c r="W304">
        <v>1392</v>
      </c>
      <c r="X304">
        <v>1.5</v>
      </c>
      <c r="Y304">
        <v>959</v>
      </c>
      <c r="Z304">
        <v>6.7</v>
      </c>
      <c r="AJ304">
        <v>2</v>
      </c>
      <c r="AK304">
        <v>18</v>
      </c>
      <c r="AM304">
        <v>0</v>
      </c>
      <c r="AO304" t="s">
        <v>690</v>
      </c>
      <c r="AT304">
        <v>76</v>
      </c>
      <c r="AV304">
        <v>100.1</v>
      </c>
      <c r="AW304" t="s">
        <v>6</v>
      </c>
      <c r="AX304" t="s">
        <v>6</v>
      </c>
      <c r="AY304" t="s">
        <v>6</v>
      </c>
      <c r="AZ304" t="s">
        <v>6</v>
      </c>
      <c r="BA304" t="s">
        <v>6</v>
      </c>
      <c r="BB304" t="s">
        <v>6</v>
      </c>
      <c r="BC304" t="s">
        <v>6</v>
      </c>
      <c r="BD304" t="s">
        <v>6</v>
      </c>
      <c r="BE304" t="s">
        <v>6</v>
      </c>
      <c r="BF304" t="s">
        <v>6</v>
      </c>
      <c r="BG304" t="s">
        <v>6</v>
      </c>
      <c r="BH304" t="s">
        <v>6</v>
      </c>
      <c r="BI304" t="s">
        <v>6</v>
      </c>
      <c r="BJ304" t="s">
        <v>6</v>
      </c>
      <c r="BN304">
        <v>1100.127</v>
      </c>
      <c r="BO304">
        <v>5456</v>
      </c>
      <c r="BP304">
        <v>0</v>
      </c>
      <c r="BQ304">
        <v>70</v>
      </c>
      <c r="BR304">
        <v>70</v>
      </c>
      <c r="BS304">
        <v>69.730009999999993</v>
      </c>
      <c r="BT304">
        <v>0</v>
      </c>
      <c r="BV304">
        <v>6</v>
      </c>
      <c r="BW304" t="s">
        <v>655</v>
      </c>
      <c r="BX304">
        <v>0.27933340000000001</v>
      </c>
      <c r="BY304">
        <v>19.477920000000001</v>
      </c>
      <c r="BZ304">
        <v>0</v>
      </c>
      <c r="CA304">
        <v>1</v>
      </c>
      <c r="CB304">
        <v>0.6</v>
      </c>
      <c r="CC304" s="3">
        <v>7.1269159999999998E-2</v>
      </c>
      <c r="CD304">
        <v>2.875</v>
      </c>
      <c r="CE304">
        <v>2.5</v>
      </c>
      <c r="CF304">
        <v>18</v>
      </c>
      <c r="CG304">
        <v>6</v>
      </c>
      <c r="CH304">
        <v>0</v>
      </c>
      <c r="CI304">
        <v>69.730009999999993</v>
      </c>
      <c r="CJ304">
        <v>1370.9880000000001</v>
      </c>
    </row>
    <row r="305" spans="1:88">
      <c r="A305">
        <v>303</v>
      </c>
      <c r="B305" t="s">
        <v>13</v>
      </c>
      <c r="C305" t="s">
        <v>1</v>
      </c>
      <c r="D305" t="s">
        <v>235</v>
      </c>
      <c r="E305" t="s">
        <v>2</v>
      </c>
      <c r="F305" t="s">
        <v>327</v>
      </c>
      <c r="G305" t="s">
        <v>106</v>
      </c>
      <c r="H305" t="s">
        <v>96</v>
      </c>
      <c r="J305">
        <v>2</v>
      </c>
      <c r="K305" t="s">
        <v>146</v>
      </c>
      <c r="L305" t="s">
        <v>122</v>
      </c>
      <c r="M305" t="s">
        <v>4</v>
      </c>
      <c r="N305" t="s">
        <v>5</v>
      </c>
      <c r="O305">
        <v>107</v>
      </c>
      <c r="Q305">
        <v>374</v>
      </c>
      <c r="R305">
        <v>81</v>
      </c>
      <c r="S305">
        <v>4.25</v>
      </c>
      <c r="T305">
        <v>2.9710000000000001</v>
      </c>
      <c r="U305">
        <v>6.07</v>
      </c>
      <c r="V305">
        <v>1588.69</v>
      </c>
      <c r="W305">
        <v>494</v>
      </c>
      <c r="X305">
        <v>1.3332999999999999</v>
      </c>
      <c r="Y305">
        <v>369</v>
      </c>
      <c r="Z305">
        <v>4.3</v>
      </c>
      <c r="AJ305">
        <v>2</v>
      </c>
      <c r="AK305">
        <v>18</v>
      </c>
      <c r="AM305">
        <v>0</v>
      </c>
      <c r="AO305" t="s">
        <v>100</v>
      </c>
      <c r="AT305">
        <v>42</v>
      </c>
      <c r="AV305">
        <v>45.1</v>
      </c>
      <c r="AW305">
        <v>0</v>
      </c>
      <c r="AX305">
        <v>0</v>
      </c>
      <c r="AY305">
        <v>38.5</v>
      </c>
      <c r="AZ305">
        <v>3.75</v>
      </c>
      <c r="BA305">
        <v>0</v>
      </c>
      <c r="BB305">
        <v>0</v>
      </c>
      <c r="BC305">
        <v>39</v>
      </c>
      <c r="BN305">
        <v>215.7834</v>
      </c>
      <c r="BO305">
        <v>2229</v>
      </c>
      <c r="BP305">
        <v>0</v>
      </c>
      <c r="BQ305">
        <v>36</v>
      </c>
      <c r="BR305">
        <v>36</v>
      </c>
      <c r="BS305">
        <v>36.340000000000003</v>
      </c>
      <c r="BT305">
        <v>0</v>
      </c>
      <c r="BV305">
        <v>0</v>
      </c>
      <c r="BW305" t="s">
        <v>655</v>
      </c>
      <c r="BX305">
        <v>0.17</v>
      </c>
      <c r="BY305">
        <v>6.1778000000000004</v>
      </c>
      <c r="BZ305">
        <v>0</v>
      </c>
      <c r="CA305">
        <v>1</v>
      </c>
      <c r="CB305">
        <v>0.6</v>
      </c>
      <c r="CC305" s="3">
        <v>7.1269159999999998E-2</v>
      </c>
      <c r="CD305">
        <v>2.875</v>
      </c>
      <c r="CE305">
        <v>2.5</v>
      </c>
      <c r="CF305">
        <v>18</v>
      </c>
      <c r="CG305">
        <v>6</v>
      </c>
      <c r="CH305">
        <v>0</v>
      </c>
      <c r="CI305">
        <v>36.340000000000003</v>
      </c>
      <c r="CJ305">
        <v>322.4452</v>
      </c>
    </row>
    <row r="306" spans="1:88">
      <c r="A306">
        <v>304</v>
      </c>
      <c r="B306" t="s">
        <v>13</v>
      </c>
      <c r="C306" t="s">
        <v>1</v>
      </c>
      <c r="D306" t="s">
        <v>399</v>
      </c>
      <c r="E306" t="s">
        <v>231</v>
      </c>
      <c r="F306" t="s">
        <v>406</v>
      </c>
      <c r="G306" t="s">
        <v>106</v>
      </c>
      <c r="H306" t="s">
        <v>227</v>
      </c>
      <c r="J306">
        <v>2</v>
      </c>
      <c r="K306" t="s">
        <v>146</v>
      </c>
      <c r="L306" t="s">
        <v>3</v>
      </c>
      <c r="M306" t="s">
        <v>405</v>
      </c>
      <c r="N306" t="s">
        <v>151</v>
      </c>
      <c r="O306">
        <v>105</v>
      </c>
      <c r="Q306">
        <v>324</v>
      </c>
      <c r="R306">
        <v>73</v>
      </c>
      <c r="S306">
        <v>4.25</v>
      </c>
      <c r="T306">
        <v>2.9180000000000001</v>
      </c>
      <c r="U306">
        <v>6</v>
      </c>
      <c r="V306">
        <v>1377.04</v>
      </c>
      <c r="W306">
        <v>437</v>
      </c>
      <c r="X306">
        <v>1.3332999999999999</v>
      </c>
      <c r="Y306">
        <v>324</v>
      </c>
      <c r="Z306">
        <v>4.25</v>
      </c>
      <c r="AJ306">
        <v>2</v>
      </c>
      <c r="AK306">
        <v>18</v>
      </c>
      <c r="AM306">
        <v>0</v>
      </c>
      <c r="AO306" t="s">
        <v>129</v>
      </c>
      <c r="AT306">
        <v>42</v>
      </c>
      <c r="AV306">
        <v>39.700000000000003</v>
      </c>
      <c r="AW306">
        <v>0</v>
      </c>
      <c r="AX306">
        <v>0</v>
      </c>
      <c r="AY306">
        <v>43.875</v>
      </c>
      <c r="AZ306">
        <v>3.75</v>
      </c>
      <c r="BA306">
        <v>0</v>
      </c>
      <c r="BB306">
        <v>0</v>
      </c>
      <c r="BC306">
        <v>44</v>
      </c>
      <c r="BN306">
        <v>189.0334</v>
      </c>
      <c r="BO306">
        <v>2904</v>
      </c>
      <c r="BP306">
        <v>0</v>
      </c>
      <c r="BQ306">
        <v>36</v>
      </c>
      <c r="BR306">
        <v>36</v>
      </c>
      <c r="BS306">
        <v>35.65</v>
      </c>
      <c r="BT306">
        <v>0</v>
      </c>
      <c r="BV306">
        <v>0</v>
      </c>
      <c r="BW306" t="s">
        <v>655</v>
      </c>
      <c r="BX306">
        <v>0.17</v>
      </c>
      <c r="BY306">
        <v>6.0605000000000002</v>
      </c>
      <c r="BZ306">
        <v>0</v>
      </c>
      <c r="CA306">
        <v>1</v>
      </c>
      <c r="CB306">
        <v>0.6</v>
      </c>
      <c r="CC306" s="3">
        <v>7.1269159999999998E-2</v>
      </c>
      <c r="CD306">
        <v>2.875</v>
      </c>
      <c r="CE306">
        <v>2.5</v>
      </c>
      <c r="CF306">
        <v>18</v>
      </c>
      <c r="CG306">
        <v>6</v>
      </c>
      <c r="CH306">
        <v>0</v>
      </c>
      <c r="CI306">
        <v>35.65</v>
      </c>
      <c r="CJ306">
        <v>278.21159999999998</v>
      </c>
    </row>
    <row r="307" spans="1:88">
      <c r="A307">
        <v>305</v>
      </c>
      <c r="B307" t="s">
        <v>0</v>
      </c>
      <c r="C307" t="s">
        <v>1</v>
      </c>
      <c r="D307" t="s">
        <v>219</v>
      </c>
      <c r="E307" t="s">
        <v>219</v>
      </c>
      <c r="F307" t="s">
        <v>230</v>
      </c>
      <c r="G307" t="s">
        <v>106</v>
      </c>
      <c r="H307" t="s">
        <v>382</v>
      </c>
      <c r="J307">
        <v>2</v>
      </c>
      <c r="K307" t="s">
        <v>146</v>
      </c>
      <c r="L307" t="s">
        <v>369</v>
      </c>
      <c r="M307" t="s">
        <v>220</v>
      </c>
      <c r="N307" t="s">
        <v>221</v>
      </c>
      <c r="O307">
        <v>101</v>
      </c>
      <c r="Q307">
        <v>268</v>
      </c>
      <c r="R307">
        <v>64</v>
      </c>
      <c r="S307">
        <v>4.25</v>
      </c>
      <c r="T307">
        <v>2.8119999999999998</v>
      </c>
      <c r="U307">
        <v>5.92</v>
      </c>
      <c r="V307">
        <v>1139.21</v>
      </c>
      <c r="W307">
        <v>377</v>
      </c>
      <c r="X307">
        <v>1.3332999999999999</v>
      </c>
      <c r="Y307">
        <v>275</v>
      </c>
      <c r="Z307">
        <v>4.1399999999999997</v>
      </c>
      <c r="AJ307">
        <v>2</v>
      </c>
      <c r="AK307">
        <v>18</v>
      </c>
      <c r="AM307">
        <v>0</v>
      </c>
      <c r="AO307" t="s">
        <v>318</v>
      </c>
      <c r="AT307">
        <v>40</v>
      </c>
      <c r="AV307">
        <v>33.9</v>
      </c>
      <c r="AW307">
        <v>0</v>
      </c>
      <c r="AX307">
        <v>0</v>
      </c>
      <c r="AY307">
        <v>35.375</v>
      </c>
      <c r="AZ307">
        <v>3.375</v>
      </c>
      <c r="BA307">
        <v>0</v>
      </c>
      <c r="BB307">
        <v>0</v>
      </c>
      <c r="BC307">
        <v>34</v>
      </c>
      <c r="BN307">
        <v>160.5</v>
      </c>
      <c r="BO307">
        <v>4028</v>
      </c>
      <c r="BP307">
        <v>0</v>
      </c>
      <c r="BQ307">
        <v>34</v>
      </c>
      <c r="BR307">
        <v>34</v>
      </c>
      <c r="BS307">
        <v>34.26</v>
      </c>
      <c r="BT307">
        <v>0</v>
      </c>
      <c r="BV307">
        <v>0</v>
      </c>
      <c r="BW307" t="s">
        <v>655</v>
      </c>
      <c r="BX307">
        <v>0.17</v>
      </c>
      <c r="BY307">
        <v>5.8242000000000003</v>
      </c>
      <c r="BZ307">
        <v>0</v>
      </c>
      <c r="CA307">
        <v>1</v>
      </c>
      <c r="CB307">
        <v>0.6</v>
      </c>
      <c r="CC307" s="3">
        <v>7.1269159999999998E-2</v>
      </c>
      <c r="CD307">
        <v>2.875</v>
      </c>
      <c r="CE307">
        <v>2.5</v>
      </c>
      <c r="CF307">
        <v>18</v>
      </c>
      <c r="CG307">
        <v>6</v>
      </c>
      <c r="CH307">
        <v>0</v>
      </c>
      <c r="CI307">
        <v>34.26</v>
      </c>
      <c r="CJ307">
        <v>228.2972</v>
      </c>
    </row>
    <row r="308" spans="1:88">
      <c r="A308">
        <v>306</v>
      </c>
      <c r="B308" t="s">
        <v>0</v>
      </c>
      <c r="C308" t="s">
        <v>1</v>
      </c>
      <c r="D308" t="s">
        <v>217</v>
      </c>
      <c r="E308" t="s">
        <v>177</v>
      </c>
      <c r="F308" t="s">
        <v>4</v>
      </c>
      <c r="G308" t="s">
        <v>106</v>
      </c>
      <c r="H308" t="s">
        <v>231</v>
      </c>
      <c r="J308">
        <v>2</v>
      </c>
      <c r="K308" t="s">
        <v>146</v>
      </c>
      <c r="L308" t="s">
        <v>235</v>
      </c>
      <c r="M308" t="s">
        <v>152</v>
      </c>
      <c r="N308" t="s">
        <v>127</v>
      </c>
      <c r="O308">
        <v>112</v>
      </c>
      <c r="Q308">
        <v>310</v>
      </c>
      <c r="R308">
        <v>67</v>
      </c>
      <c r="S308">
        <v>4.25</v>
      </c>
      <c r="T308">
        <v>3.1019999999999999</v>
      </c>
      <c r="U308">
        <v>6.14</v>
      </c>
      <c r="V308">
        <v>1315.54</v>
      </c>
      <c r="W308">
        <v>408</v>
      </c>
      <c r="X308">
        <v>1.3332999999999999</v>
      </c>
      <c r="Y308">
        <v>297</v>
      </c>
      <c r="Z308">
        <v>4.43</v>
      </c>
      <c r="AJ308">
        <v>2</v>
      </c>
      <c r="AK308">
        <v>18</v>
      </c>
      <c r="AM308">
        <v>0</v>
      </c>
      <c r="AO308" t="s">
        <v>405</v>
      </c>
      <c r="AT308">
        <v>44</v>
      </c>
      <c r="AV308">
        <v>35.700000000000003</v>
      </c>
      <c r="AW308">
        <v>0</v>
      </c>
      <c r="AX308">
        <v>0</v>
      </c>
      <c r="AY308">
        <v>32.75</v>
      </c>
      <c r="AZ308">
        <v>3.625</v>
      </c>
      <c r="BA308">
        <v>0</v>
      </c>
      <c r="BB308">
        <v>0</v>
      </c>
      <c r="BC308">
        <v>31</v>
      </c>
      <c r="BN308">
        <v>169.41669999999999</v>
      </c>
      <c r="BO308">
        <v>3615</v>
      </c>
      <c r="BP308">
        <v>0</v>
      </c>
      <c r="BQ308">
        <v>38</v>
      </c>
      <c r="BR308">
        <v>38</v>
      </c>
      <c r="BS308">
        <v>38.08</v>
      </c>
      <c r="BT308">
        <v>0</v>
      </c>
      <c r="BV308">
        <v>0</v>
      </c>
      <c r="BW308" t="s">
        <v>655</v>
      </c>
      <c r="BX308">
        <v>0.17</v>
      </c>
      <c r="BY308">
        <v>6.4736010000000004</v>
      </c>
      <c r="BZ308">
        <v>0</v>
      </c>
      <c r="CA308">
        <v>1</v>
      </c>
      <c r="CB308">
        <v>0.6</v>
      </c>
      <c r="CC308" s="3">
        <v>7.1269159999999998E-2</v>
      </c>
      <c r="CD308">
        <v>2.875</v>
      </c>
      <c r="CE308">
        <v>2.5</v>
      </c>
      <c r="CF308">
        <v>18</v>
      </c>
      <c r="CG308">
        <v>6</v>
      </c>
      <c r="CH308">
        <v>0</v>
      </c>
      <c r="CI308">
        <v>38.08</v>
      </c>
      <c r="CJ308">
        <v>267.32209999999998</v>
      </c>
    </row>
    <row r="309" spans="1:88">
      <c r="A309">
        <v>307</v>
      </c>
      <c r="B309" t="s">
        <v>0</v>
      </c>
      <c r="C309" t="s">
        <v>1</v>
      </c>
      <c r="D309" t="s">
        <v>136</v>
      </c>
      <c r="E309" t="s">
        <v>231</v>
      </c>
      <c r="F309" t="s">
        <v>407</v>
      </c>
      <c r="G309" t="s">
        <v>106</v>
      </c>
      <c r="H309" t="s">
        <v>375</v>
      </c>
      <c r="J309">
        <v>2</v>
      </c>
      <c r="K309" t="s">
        <v>146</v>
      </c>
      <c r="L309" t="s">
        <v>3</v>
      </c>
      <c r="M309" t="s">
        <v>405</v>
      </c>
      <c r="N309" t="s">
        <v>151</v>
      </c>
      <c r="O309">
        <v>105</v>
      </c>
      <c r="Q309">
        <v>249</v>
      </c>
      <c r="R309">
        <v>53</v>
      </c>
      <c r="S309">
        <v>4.25</v>
      </c>
      <c r="T309">
        <v>2.9180000000000001</v>
      </c>
      <c r="U309">
        <v>6</v>
      </c>
      <c r="V309">
        <v>1056.1600000000001</v>
      </c>
      <c r="W309">
        <v>317</v>
      </c>
      <c r="X309">
        <v>1.3332999999999999</v>
      </c>
      <c r="Y309">
        <v>249</v>
      </c>
      <c r="Z309">
        <v>4.25</v>
      </c>
      <c r="AJ309">
        <v>2</v>
      </c>
      <c r="AK309">
        <v>18</v>
      </c>
      <c r="AM309">
        <v>0</v>
      </c>
      <c r="AO309" t="s">
        <v>484</v>
      </c>
      <c r="AT309">
        <v>42</v>
      </c>
      <c r="AV309">
        <v>30.3</v>
      </c>
      <c r="AW309">
        <v>0</v>
      </c>
      <c r="AX309">
        <v>0</v>
      </c>
      <c r="AY309">
        <v>26</v>
      </c>
      <c r="AZ309">
        <v>3.25</v>
      </c>
      <c r="BA309">
        <v>0</v>
      </c>
      <c r="BB309">
        <v>0</v>
      </c>
      <c r="BC309">
        <v>23</v>
      </c>
      <c r="BN309">
        <v>142.66669999999999</v>
      </c>
      <c r="BO309">
        <v>5098</v>
      </c>
      <c r="BP309">
        <v>0</v>
      </c>
      <c r="BQ309">
        <v>36</v>
      </c>
      <c r="BR309">
        <v>36</v>
      </c>
      <c r="BS309">
        <v>35.65</v>
      </c>
      <c r="BT309">
        <v>0</v>
      </c>
      <c r="BV309">
        <v>0</v>
      </c>
      <c r="BW309" t="s">
        <v>655</v>
      </c>
      <c r="BX309">
        <v>0.17</v>
      </c>
      <c r="BY309">
        <v>6.0605000000000002</v>
      </c>
      <c r="BZ309">
        <v>0</v>
      </c>
      <c r="CA309">
        <v>1</v>
      </c>
      <c r="CB309">
        <v>0.6</v>
      </c>
      <c r="CC309" s="3">
        <v>7.1269159999999998E-2</v>
      </c>
      <c r="CD309">
        <v>2.875</v>
      </c>
      <c r="CE309">
        <v>2.5</v>
      </c>
      <c r="CF309">
        <v>18</v>
      </c>
      <c r="CG309">
        <v>6</v>
      </c>
      <c r="CH309">
        <v>0</v>
      </c>
      <c r="CI309">
        <v>35.65</v>
      </c>
      <c r="CJ309">
        <v>212.1523</v>
      </c>
    </row>
    <row r="310" spans="1:88">
      <c r="A310">
        <v>308</v>
      </c>
      <c r="B310" t="s">
        <v>0</v>
      </c>
      <c r="C310" t="s">
        <v>1</v>
      </c>
      <c r="D310" t="s">
        <v>224</v>
      </c>
      <c r="E310" t="s">
        <v>382</v>
      </c>
      <c r="F310" t="s">
        <v>355</v>
      </c>
      <c r="G310" t="s">
        <v>106</v>
      </c>
      <c r="H310" t="s">
        <v>356</v>
      </c>
      <c r="J310">
        <v>2</v>
      </c>
      <c r="K310" t="s">
        <v>146</v>
      </c>
      <c r="L310" t="s">
        <v>229</v>
      </c>
      <c r="M310" t="s">
        <v>318</v>
      </c>
      <c r="N310" t="s">
        <v>366</v>
      </c>
      <c r="O310">
        <v>100</v>
      </c>
      <c r="Q310">
        <v>205</v>
      </c>
      <c r="R310">
        <v>46</v>
      </c>
      <c r="S310">
        <v>4.25</v>
      </c>
      <c r="T310">
        <v>2.7850000000000001</v>
      </c>
      <c r="U310">
        <v>5.92</v>
      </c>
      <c r="V310">
        <v>869.16</v>
      </c>
      <c r="W310">
        <v>272</v>
      </c>
      <c r="X310">
        <v>1.3332999999999999</v>
      </c>
      <c r="Y310">
        <v>211</v>
      </c>
      <c r="Z310">
        <v>4.1100000000000003</v>
      </c>
      <c r="AJ310">
        <v>2</v>
      </c>
      <c r="AK310">
        <v>18</v>
      </c>
      <c r="AM310">
        <v>0</v>
      </c>
      <c r="AO310" t="s">
        <v>333</v>
      </c>
      <c r="AT310">
        <v>40</v>
      </c>
      <c r="AV310">
        <v>25.9</v>
      </c>
      <c r="AW310">
        <v>0</v>
      </c>
      <c r="AX310">
        <v>0</v>
      </c>
      <c r="AY310">
        <v>30.5</v>
      </c>
      <c r="AZ310">
        <v>3.125</v>
      </c>
      <c r="BA310">
        <v>0</v>
      </c>
      <c r="BB310">
        <v>0</v>
      </c>
      <c r="BC310">
        <v>27</v>
      </c>
      <c r="BN310">
        <v>121.2667</v>
      </c>
      <c r="BO310">
        <v>7056</v>
      </c>
      <c r="BP310">
        <v>0</v>
      </c>
      <c r="BQ310">
        <v>34</v>
      </c>
      <c r="BR310">
        <v>34</v>
      </c>
      <c r="BS310">
        <v>33.909999999999997</v>
      </c>
      <c r="BT310">
        <v>0</v>
      </c>
      <c r="BV310">
        <v>0</v>
      </c>
      <c r="BW310" t="s">
        <v>655</v>
      </c>
      <c r="BX310">
        <v>0.17</v>
      </c>
      <c r="BY310">
        <v>5.7647000000000004</v>
      </c>
      <c r="BZ310">
        <v>0</v>
      </c>
      <c r="CA310">
        <v>1</v>
      </c>
      <c r="CB310">
        <v>0.6</v>
      </c>
      <c r="CC310" s="3">
        <v>7.1269159999999998E-2</v>
      </c>
      <c r="CD310">
        <v>2.875</v>
      </c>
      <c r="CE310">
        <v>2.5</v>
      </c>
      <c r="CF310">
        <v>18</v>
      </c>
      <c r="CG310">
        <v>6</v>
      </c>
      <c r="CH310">
        <v>0</v>
      </c>
      <c r="CI310">
        <v>33.909999999999997</v>
      </c>
      <c r="CJ310">
        <v>172.79669999999999</v>
      </c>
    </row>
    <row r="311" spans="1:88">
      <c r="A311">
        <v>309</v>
      </c>
      <c r="B311" t="s">
        <v>13</v>
      </c>
      <c r="C311" t="s">
        <v>1</v>
      </c>
      <c r="D311" t="s">
        <v>167</v>
      </c>
      <c r="E311" t="s">
        <v>174</v>
      </c>
      <c r="F311" t="s">
        <v>403</v>
      </c>
      <c r="G311" t="s">
        <v>106</v>
      </c>
      <c r="H311" t="s">
        <v>235</v>
      </c>
      <c r="J311">
        <v>2</v>
      </c>
      <c r="K311" t="s">
        <v>146</v>
      </c>
      <c r="L311" t="s">
        <v>257</v>
      </c>
      <c r="M311" t="s">
        <v>312</v>
      </c>
      <c r="N311" t="s">
        <v>3</v>
      </c>
      <c r="O311">
        <v>122</v>
      </c>
      <c r="Q311">
        <v>424</v>
      </c>
      <c r="R311">
        <v>82</v>
      </c>
      <c r="S311">
        <v>4.25</v>
      </c>
      <c r="T311">
        <v>3.359</v>
      </c>
      <c r="U311">
        <v>6.22</v>
      </c>
      <c r="V311">
        <v>1803.4</v>
      </c>
      <c r="W311">
        <v>510</v>
      </c>
      <c r="X311">
        <v>1.3332999999999999</v>
      </c>
      <c r="Y311">
        <v>385</v>
      </c>
      <c r="Z311">
        <v>4.6900000000000004</v>
      </c>
      <c r="AJ311">
        <v>2</v>
      </c>
      <c r="AK311">
        <v>18</v>
      </c>
      <c r="AM311">
        <v>0</v>
      </c>
      <c r="AO311" t="s">
        <v>198</v>
      </c>
      <c r="AT311">
        <v>48</v>
      </c>
      <c r="AV311">
        <v>45.5</v>
      </c>
      <c r="AW311">
        <v>0</v>
      </c>
      <c r="AX311">
        <v>0</v>
      </c>
      <c r="AY311">
        <v>52.75</v>
      </c>
      <c r="AZ311">
        <v>4.375</v>
      </c>
      <c r="BA311">
        <v>0</v>
      </c>
      <c r="BB311">
        <v>0</v>
      </c>
      <c r="BC311">
        <v>57</v>
      </c>
      <c r="BN311">
        <v>217.5667</v>
      </c>
      <c r="BO311">
        <v>2192</v>
      </c>
      <c r="BP311">
        <v>0</v>
      </c>
      <c r="BQ311">
        <v>42</v>
      </c>
      <c r="BR311">
        <v>42</v>
      </c>
      <c r="BS311">
        <v>41.56</v>
      </c>
      <c r="BT311">
        <v>0</v>
      </c>
      <c r="BV311">
        <v>0</v>
      </c>
      <c r="BW311" t="s">
        <v>655</v>
      </c>
      <c r="BX311">
        <v>0.17</v>
      </c>
      <c r="BY311">
        <v>7.0652010000000001</v>
      </c>
      <c r="BZ311">
        <v>0</v>
      </c>
      <c r="CA311">
        <v>1</v>
      </c>
      <c r="CB311">
        <v>0.6</v>
      </c>
      <c r="CC311" s="3">
        <v>7.1269159999999998E-2</v>
      </c>
      <c r="CD311">
        <v>2.875</v>
      </c>
      <c r="CE311">
        <v>2.5</v>
      </c>
      <c r="CF311">
        <v>18</v>
      </c>
      <c r="CG311">
        <v>6</v>
      </c>
      <c r="CH311">
        <v>0</v>
      </c>
      <c r="CI311">
        <v>41.56</v>
      </c>
      <c r="CJ311">
        <v>371.72430000000003</v>
      </c>
    </row>
    <row r="312" spans="1:88">
      <c r="A312">
        <v>310</v>
      </c>
      <c r="B312" t="s">
        <v>0</v>
      </c>
      <c r="C312" t="s">
        <v>1</v>
      </c>
      <c r="D312" t="s">
        <v>195</v>
      </c>
      <c r="E312" t="s">
        <v>393</v>
      </c>
      <c r="F312" t="s">
        <v>435</v>
      </c>
      <c r="G312" t="s">
        <v>106</v>
      </c>
      <c r="H312" t="s">
        <v>363</v>
      </c>
      <c r="J312">
        <v>2</v>
      </c>
      <c r="K312" t="s">
        <v>146</v>
      </c>
      <c r="L312" t="s">
        <v>168</v>
      </c>
      <c r="M312" t="s">
        <v>475</v>
      </c>
      <c r="N312" t="s">
        <v>466</v>
      </c>
      <c r="O312">
        <v>169</v>
      </c>
      <c r="Q312">
        <v>632</v>
      </c>
      <c r="R312">
        <v>89</v>
      </c>
      <c r="S312">
        <v>4.25</v>
      </c>
      <c r="T312">
        <v>4.492</v>
      </c>
      <c r="U312">
        <v>6.9</v>
      </c>
      <c r="V312">
        <v>2684.85</v>
      </c>
      <c r="W312">
        <v>617</v>
      </c>
      <c r="X312">
        <v>1.3332999999999999</v>
      </c>
      <c r="Y312">
        <v>461</v>
      </c>
      <c r="Z312">
        <v>5.82</v>
      </c>
      <c r="AJ312">
        <v>2</v>
      </c>
      <c r="AK312">
        <v>18</v>
      </c>
      <c r="AM312">
        <v>0</v>
      </c>
      <c r="AO312" t="s">
        <v>461</v>
      </c>
      <c r="AT312">
        <v>64</v>
      </c>
      <c r="AV312">
        <v>50.2</v>
      </c>
      <c r="AW312">
        <v>0.40625</v>
      </c>
      <c r="AX312">
        <v>3.75</v>
      </c>
      <c r="AY312">
        <v>42.125</v>
      </c>
      <c r="AZ312">
        <v>4.75</v>
      </c>
      <c r="BA312">
        <v>230.65</v>
      </c>
      <c r="BB312">
        <v>5.74</v>
      </c>
      <c r="BC312">
        <v>40</v>
      </c>
      <c r="BD312">
        <v>0.40625</v>
      </c>
      <c r="BE312">
        <v>3.75</v>
      </c>
      <c r="BF312">
        <v>42.125</v>
      </c>
      <c r="BG312">
        <v>4.75</v>
      </c>
      <c r="BH312">
        <v>230.65</v>
      </c>
      <c r="BI312">
        <v>5.74</v>
      </c>
      <c r="BJ312">
        <v>40</v>
      </c>
      <c r="BL312">
        <v>461.3</v>
      </c>
      <c r="BM312">
        <v>80</v>
      </c>
      <c r="BN312">
        <v>240.75</v>
      </c>
      <c r="BO312">
        <v>1790</v>
      </c>
      <c r="BP312">
        <v>0</v>
      </c>
      <c r="BQ312">
        <v>58</v>
      </c>
      <c r="BR312">
        <v>58</v>
      </c>
      <c r="BS312">
        <v>57.91</v>
      </c>
      <c r="BT312">
        <v>0</v>
      </c>
      <c r="BV312">
        <v>0</v>
      </c>
      <c r="BW312" t="s">
        <v>655</v>
      </c>
      <c r="BX312">
        <v>0.17</v>
      </c>
      <c r="BY312">
        <v>9.8446999999999996</v>
      </c>
      <c r="BZ312">
        <v>0</v>
      </c>
      <c r="CA312">
        <v>1</v>
      </c>
      <c r="CB312">
        <v>0.6</v>
      </c>
      <c r="CC312" s="3">
        <v>7.1269159999999998E-2</v>
      </c>
      <c r="CD312">
        <v>2.875</v>
      </c>
      <c r="CE312">
        <v>2.5</v>
      </c>
      <c r="CF312">
        <v>18</v>
      </c>
      <c r="CG312">
        <v>6</v>
      </c>
      <c r="CH312">
        <v>0</v>
      </c>
      <c r="CI312">
        <v>57.91</v>
      </c>
      <c r="CJ312">
        <v>571.61680000000001</v>
      </c>
    </row>
    <row r="313" spans="1:88">
      <c r="A313">
        <v>311</v>
      </c>
      <c r="B313" t="s">
        <v>0</v>
      </c>
      <c r="C313" t="s">
        <v>1</v>
      </c>
      <c r="D313" t="s">
        <v>430</v>
      </c>
      <c r="E313" t="s">
        <v>438</v>
      </c>
      <c r="F313" t="s">
        <v>445</v>
      </c>
      <c r="G313" t="s">
        <v>106</v>
      </c>
      <c r="H313" t="s">
        <v>446</v>
      </c>
      <c r="J313">
        <v>2</v>
      </c>
      <c r="K313" t="s">
        <v>146</v>
      </c>
      <c r="L313" t="s">
        <v>399</v>
      </c>
      <c r="M313" t="s">
        <v>467</v>
      </c>
      <c r="N313" t="s">
        <v>382</v>
      </c>
      <c r="O313">
        <v>97</v>
      </c>
      <c r="Q313">
        <v>161</v>
      </c>
      <c r="R313">
        <v>38</v>
      </c>
      <c r="S313">
        <v>4.25</v>
      </c>
      <c r="T313">
        <v>2.7040000000000002</v>
      </c>
      <c r="U313">
        <v>5.85</v>
      </c>
      <c r="V313">
        <v>684.71</v>
      </c>
      <c r="W313">
        <v>222</v>
      </c>
      <c r="X313">
        <v>1.3332999999999999</v>
      </c>
      <c r="Y313">
        <v>170</v>
      </c>
      <c r="Z313">
        <v>4.03</v>
      </c>
      <c r="AJ313">
        <v>2</v>
      </c>
      <c r="AK313">
        <v>18</v>
      </c>
      <c r="AM313">
        <v>0</v>
      </c>
      <c r="AO313" t="s">
        <v>447</v>
      </c>
      <c r="AT313">
        <v>39</v>
      </c>
      <c r="AV313">
        <v>20.8</v>
      </c>
      <c r="AW313">
        <v>0</v>
      </c>
      <c r="AX313">
        <v>0</v>
      </c>
      <c r="AY313">
        <v>38</v>
      </c>
      <c r="AZ313">
        <v>3</v>
      </c>
      <c r="BA313">
        <v>0</v>
      </c>
      <c r="BB313">
        <v>0</v>
      </c>
      <c r="BC313">
        <v>34</v>
      </c>
      <c r="BN313">
        <v>96.300020000000004</v>
      </c>
      <c r="BO313">
        <v>11190</v>
      </c>
      <c r="BP313">
        <v>0</v>
      </c>
      <c r="BQ313">
        <v>33</v>
      </c>
      <c r="BR313">
        <v>33</v>
      </c>
      <c r="BS313">
        <v>32.86</v>
      </c>
      <c r="BT313">
        <v>0</v>
      </c>
      <c r="BV313">
        <v>0</v>
      </c>
      <c r="BW313" t="s">
        <v>655</v>
      </c>
      <c r="BX313">
        <v>0.17</v>
      </c>
      <c r="BY313">
        <v>5.5861999999999998</v>
      </c>
      <c r="BZ313">
        <v>0</v>
      </c>
      <c r="CA313">
        <v>1</v>
      </c>
      <c r="CB313">
        <v>0.6</v>
      </c>
      <c r="CC313" s="3">
        <v>7.1269159999999998E-2</v>
      </c>
      <c r="CD313">
        <v>2.875</v>
      </c>
      <c r="CE313">
        <v>2.5</v>
      </c>
      <c r="CF313">
        <v>18</v>
      </c>
      <c r="CG313">
        <v>6</v>
      </c>
      <c r="CH313">
        <v>0</v>
      </c>
      <c r="CI313">
        <v>32.86</v>
      </c>
      <c r="CJ313">
        <v>134.65950000000001</v>
      </c>
    </row>
    <row r="314" spans="1:88">
      <c r="A314">
        <v>312</v>
      </c>
      <c r="B314" t="s">
        <v>0</v>
      </c>
      <c r="C314" t="s">
        <v>1</v>
      </c>
      <c r="D314" t="s">
        <v>382</v>
      </c>
      <c r="E314" t="s">
        <v>2</v>
      </c>
      <c r="F314" t="s">
        <v>220</v>
      </c>
      <c r="G314" t="s">
        <v>106</v>
      </c>
      <c r="H314" t="s">
        <v>317</v>
      </c>
      <c r="J314">
        <v>2</v>
      </c>
      <c r="K314" t="s">
        <v>146</v>
      </c>
      <c r="L314" t="s">
        <v>122</v>
      </c>
      <c r="M314" t="s">
        <v>4</v>
      </c>
      <c r="N314" t="s">
        <v>5</v>
      </c>
      <c r="O314">
        <v>107</v>
      </c>
      <c r="Q314">
        <v>279</v>
      </c>
      <c r="R314">
        <v>63</v>
      </c>
      <c r="S314">
        <v>4.25</v>
      </c>
      <c r="T314">
        <v>2.9710000000000001</v>
      </c>
      <c r="U314">
        <v>6.07</v>
      </c>
      <c r="V314">
        <v>1187.06</v>
      </c>
      <c r="W314">
        <v>383</v>
      </c>
      <c r="X314">
        <v>1.5</v>
      </c>
      <c r="Y314">
        <v>266</v>
      </c>
      <c r="Z314">
        <v>4.47</v>
      </c>
      <c r="AJ314">
        <v>2</v>
      </c>
      <c r="AK314">
        <v>18</v>
      </c>
      <c r="AM314">
        <v>0</v>
      </c>
      <c r="AO314" t="s">
        <v>400</v>
      </c>
      <c r="AT314">
        <v>42</v>
      </c>
      <c r="AV314">
        <v>33.5</v>
      </c>
      <c r="AW314">
        <v>0</v>
      </c>
      <c r="AX314">
        <v>0</v>
      </c>
      <c r="AY314">
        <v>36.625</v>
      </c>
      <c r="AZ314">
        <v>3.625</v>
      </c>
      <c r="BA314">
        <v>0</v>
      </c>
      <c r="BB314">
        <v>0</v>
      </c>
      <c r="BC314">
        <v>35</v>
      </c>
      <c r="BN314">
        <v>158.7167</v>
      </c>
      <c r="BO314">
        <v>4119</v>
      </c>
      <c r="BP314">
        <v>0</v>
      </c>
      <c r="BQ314">
        <v>36</v>
      </c>
      <c r="BR314">
        <v>36</v>
      </c>
      <c r="BS314">
        <v>36.340000000000003</v>
      </c>
      <c r="BT314">
        <v>0</v>
      </c>
      <c r="BV314">
        <v>0</v>
      </c>
      <c r="BW314" t="s">
        <v>655</v>
      </c>
      <c r="BX314">
        <v>0.17</v>
      </c>
      <c r="BY314">
        <v>6.1778000000000004</v>
      </c>
      <c r="BZ314">
        <v>0</v>
      </c>
      <c r="CA314">
        <v>1</v>
      </c>
      <c r="CB314">
        <v>0.6</v>
      </c>
      <c r="CC314" s="3">
        <v>7.1269159999999998E-2</v>
      </c>
      <c r="CD314">
        <v>2.875</v>
      </c>
      <c r="CE314">
        <v>2.5</v>
      </c>
      <c r="CF314">
        <v>18</v>
      </c>
      <c r="CG314">
        <v>6</v>
      </c>
      <c r="CH314">
        <v>0</v>
      </c>
      <c r="CI314">
        <v>36.340000000000003</v>
      </c>
      <c r="CJ314">
        <v>239.5677</v>
      </c>
    </row>
    <row r="315" spans="1:88">
      <c r="A315">
        <v>313</v>
      </c>
      <c r="B315" t="s">
        <v>0</v>
      </c>
      <c r="C315" t="s">
        <v>1</v>
      </c>
      <c r="D315" t="s">
        <v>5</v>
      </c>
      <c r="E315" t="s">
        <v>174</v>
      </c>
      <c r="F315" t="s">
        <v>159</v>
      </c>
      <c r="G315" t="s">
        <v>106</v>
      </c>
      <c r="H315" t="s">
        <v>139</v>
      </c>
      <c r="J315">
        <v>2</v>
      </c>
      <c r="K315" t="s">
        <v>146</v>
      </c>
      <c r="L315" t="s">
        <v>257</v>
      </c>
      <c r="M315" t="s">
        <v>312</v>
      </c>
      <c r="N315" t="s">
        <v>3</v>
      </c>
      <c r="O315">
        <v>122</v>
      </c>
      <c r="Q315">
        <v>348</v>
      </c>
      <c r="R315">
        <v>69</v>
      </c>
      <c r="S315">
        <v>4.25</v>
      </c>
      <c r="T315">
        <v>3.359</v>
      </c>
      <c r="U315">
        <v>6.22</v>
      </c>
      <c r="V315">
        <v>1478.4</v>
      </c>
      <c r="W315">
        <v>428</v>
      </c>
      <c r="X315">
        <v>1.3332999999999999</v>
      </c>
      <c r="Y315">
        <v>315</v>
      </c>
      <c r="Z315">
        <v>4.6900000000000004</v>
      </c>
      <c r="AJ315">
        <v>2</v>
      </c>
      <c r="AK315">
        <v>18</v>
      </c>
      <c r="AM315">
        <v>0</v>
      </c>
      <c r="AO315" t="s">
        <v>385</v>
      </c>
      <c r="AT315">
        <v>48</v>
      </c>
      <c r="AV315">
        <v>37.200000000000003</v>
      </c>
      <c r="AW315">
        <v>0</v>
      </c>
      <c r="AX315">
        <v>0</v>
      </c>
      <c r="AY315">
        <v>45.125</v>
      </c>
      <c r="AZ315">
        <v>4.125</v>
      </c>
      <c r="BA315">
        <v>0</v>
      </c>
      <c r="BB315">
        <v>0</v>
      </c>
      <c r="BC315">
        <v>46</v>
      </c>
      <c r="BN315">
        <v>176.55</v>
      </c>
      <c r="BO315">
        <v>3329</v>
      </c>
      <c r="BP315">
        <v>0</v>
      </c>
      <c r="BQ315">
        <v>42</v>
      </c>
      <c r="BR315">
        <v>42</v>
      </c>
      <c r="BS315">
        <v>41.56</v>
      </c>
      <c r="BT315">
        <v>0</v>
      </c>
      <c r="BV315">
        <v>0</v>
      </c>
      <c r="BW315" t="s">
        <v>655</v>
      </c>
      <c r="BX315">
        <v>0.17</v>
      </c>
      <c r="BY315">
        <v>7.0652010000000001</v>
      </c>
      <c r="BZ315">
        <v>0</v>
      </c>
      <c r="CA315">
        <v>1</v>
      </c>
      <c r="CB315">
        <v>0.6</v>
      </c>
      <c r="CC315" s="3">
        <v>7.1269159999999998E-2</v>
      </c>
      <c r="CD315">
        <v>2.875</v>
      </c>
      <c r="CE315">
        <v>2.5</v>
      </c>
      <c r="CF315">
        <v>18</v>
      </c>
      <c r="CG315">
        <v>6</v>
      </c>
      <c r="CH315">
        <v>0</v>
      </c>
      <c r="CI315">
        <v>41.56</v>
      </c>
      <c r="CJ315">
        <v>303.59949999999998</v>
      </c>
    </row>
    <row r="316" spans="1:88">
      <c r="A316">
        <v>314</v>
      </c>
      <c r="B316" t="s">
        <v>0</v>
      </c>
      <c r="C316" t="s">
        <v>1</v>
      </c>
      <c r="D316" t="s">
        <v>178</v>
      </c>
      <c r="E316" t="s">
        <v>127</v>
      </c>
      <c r="F316" t="s">
        <v>408</v>
      </c>
      <c r="G316" t="s">
        <v>106</v>
      </c>
      <c r="H316" t="s">
        <v>141</v>
      </c>
      <c r="J316">
        <v>2</v>
      </c>
      <c r="K316" t="s">
        <v>146</v>
      </c>
      <c r="L316" t="s">
        <v>338</v>
      </c>
      <c r="M316" t="s">
        <v>189</v>
      </c>
      <c r="N316" t="s">
        <v>190</v>
      </c>
      <c r="O316">
        <v>115</v>
      </c>
      <c r="Q316">
        <v>282</v>
      </c>
      <c r="R316">
        <v>60</v>
      </c>
      <c r="S316">
        <v>4.25</v>
      </c>
      <c r="T316">
        <v>3.18</v>
      </c>
      <c r="U316">
        <v>6.22</v>
      </c>
      <c r="V316">
        <v>1200.28</v>
      </c>
      <c r="W316">
        <v>374</v>
      </c>
      <c r="X316">
        <v>1.5</v>
      </c>
      <c r="Y316">
        <v>256</v>
      </c>
      <c r="Z316">
        <v>4.68</v>
      </c>
      <c r="AJ316">
        <v>2</v>
      </c>
      <c r="AK316">
        <v>18</v>
      </c>
      <c r="AM316">
        <v>0</v>
      </c>
      <c r="AO316" t="s">
        <v>409</v>
      </c>
      <c r="AT316">
        <v>45</v>
      </c>
      <c r="AV316">
        <v>31.7</v>
      </c>
      <c r="AW316">
        <v>0</v>
      </c>
      <c r="AX316">
        <v>0</v>
      </c>
      <c r="AY316">
        <v>37.875</v>
      </c>
      <c r="AZ316">
        <v>3.75</v>
      </c>
      <c r="BA316">
        <v>0</v>
      </c>
      <c r="BB316">
        <v>0</v>
      </c>
      <c r="BC316">
        <v>36</v>
      </c>
      <c r="BN316">
        <v>149.80000000000001</v>
      </c>
      <c r="BO316">
        <v>4624</v>
      </c>
      <c r="BP316">
        <v>0</v>
      </c>
      <c r="BQ316">
        <v>39</v>
      </c>
      <c r="BR316">
        <v>39</v>
      </c>
      <c r="BS316">
        <v>39.130000000000003</v>
      </c>
      <c r="BT316">
        <v>0</v>
      </c>
      <c r="BV316">
        <v>0</v>
      </c>
      <c r="BW316" t="s">
        <v>655</v>
      </c>
      <c r="BX316">
        <v>0.17</v>
      </c>
      <c r="BY316">
        <v>6.6520999999999999</v>
      </c>
      <c r="BZ316">
        <v>0</v>
      </c>
      <c r="CA316">
        <v>1</v>
      </c>
      <c r="CB316">
        <v>0.6</v>
      </c>
      <c r="CC316" s="3">
        <v>7.1269159999999998E-2</v>
      </c>
      <c r="CD316">
        <v>2.875</v>
      </c>
      <c r="CE316">
        <v>2.5</v>
      </c>
      <c r="CF316">
        <v>18</v>
      </c>
      <c r="CG316">
        <v>6</v>
      </c>
      <c r="CH316">
        <v>0</v>
      </c>
      <c r="CI316">
        <v>39.130000000000003</v>
      </c>
      <c r="CJ316">
        <v>244.01669999999999</v>
      </c>
    </row>
    <row r="317" spans="1:88">
      <c r="A317">
        <v>315</v>
      </c>
      <c r="B317" t="s">
        <v>0</v>
      </c>
      <c r="C317" t="s">
        <v>1</v>
      </c>
      <c r="D317" t="s">
        <v>519</v>
      </c>
      <c r="E317" t="s">
        <v>96</v>
      </c>
      <c r="F317" t="s">
        <v>520</v>
      </c>
      <c r="G317" t="s">
        <v>15</v>
      </c>
      <c r="H317" t="s">
        <v>519</v>
      </c>
      <c r="J317">
        <v>2</v>
      </c>
      <c r="K317" t="s">
        <v>9</v>
      </c>
      <c r="L317" t="s">
        <v>293</v>
      </c>
      <c r="M317" t="s">
        <v>100</v>
      </c>
      <c r="N317" t="s">
        <v>101</v>
      </c>
      <c r="O317">
        <v>131</v>
      </c>
      <c r="Q317">
        <v>860</v>
      </c>
      <c r="R317">
        <v>151</v>
      </c>
      <c r="S317">
        <v>4.25</v>
      </c>
      <c r="T317">
        <v>3.5859999999999999</v>
      </c>
      <c r="U317">
        <v>6.37</v>
      </c>
      <c r="V317">
        <v>3655</v>
      </c>
      <c r="W317">
        <v>960</v>
      </c>
      <c r="X317">
        <v>1.3332999999999999</v>
      </c>
      <c r="Y317">
        <v>744</v>
      </c>
      <c r="Z317">
        <v>4.91</v>
      </c>
      <c r="AJ317">
        <v>2</v>
      </c>
      <c r="AK317">
        <v>18</v>
      </c>
      <c r="AM317">
        <v>0</v>
      </c>
      <c r="AO317" t="s">
        <v>521</v>
      </c>
      <c r="AT317">
        <v>51</v>
      </c>
      <c r="AV317">
        <v>86.7</v>
      </c>
      <c r="AW317" t="s">
        <v>6</v>
      </c>
      <c r="AX317" t="s">
        <v>6</v>
      </c>
      <c r="AY317" t="s">
        <v>6</v>
      </c>
      <c r="AZ317" t="s">
        <v>6</v>
      </c>
      <c r="BA317" t="s">
        <v>6</v>
      </c>
      <c r="BB317" t="s">
        <v>6</v>
      </c>
      <c r="BC317" t="s">
        <v>6</v>
      </c>
      <c r="BD317" t="s">
        <v>6</v>
      </c>
      <c r="BE317" t="s">
        <v>6</v>
      </c>
      <c r="BF317" t="s">
        <v>6</v>
      </c>
      <c r="BG317" t="s">
        <v>6</v>
      </c>
      <c r="BH317" t="s">
        <v>6</v>
      </c>
      <c r="BI317" t="s">
        <v>6</v>
      </c>
      <c r="BJ317" t="s">
        <v>6</v>
      </c>
      <c r="BN317">
        <v>741.91279999999995</v>
      </c>
      <c r="BO317">
        <v>1987</v>
      </c>
      <c r="BP317">
        <v>0</v>
      </c>
      <c r="BQ317">
        <v>45</v>
      </c>
      <c r="BR317">
        <v>45</v>
      </c>
      <c r="BS317">
        <v>44.69</v>
      </c>
      <c r="BT317">
        <v>0</v>
      </c>
      <c r="BV317">
        <v>6</v>
      </c>
      <c r="BW317" t="s">
        <v>655</v>
      </c>
      <c r="BX317">
        <v>0.27933340000000001</v>
      </c>
      <c r="BY317">
        <v>12.483409999999999</v>
      </c>
      <c r="BZ317">
        <v>0</v>
      </c>
      <c r="CA317">
        <v>1</v>
      </c>
      <c r="CB317">
        <v>0.6</v>
      </c>
      <c r="CC317" s="3">
        <v>7.1269159999999998E-2</v>
      </c>
      <c r="CD317">
        <v>2.875</v>
      </c>
      <c r="CE317">
        <v>2.5</v>
      </c>
      <c r="CF317">
        <v>18</v>
      </c>
      <c r="CG317">
        <v>6</v>
      </c>
      <c r="CH317">
        <v>0</v>
      </c>
      <c r="CI317">
        <v>44.69</v>
      </c>
      <c r="CJ317">
        <v>760.82129999999995</v>
      </c>
    </row>
    <row r="318" spans="1:88">
      <c r="A318">
        <v>316</v>
      </c>
      <c r="B318" t="s">
        <v>13</v>
      </c>
      <c r="C318" t="s">
        <v>1</v>
      </c>
      <c r="D318" t="s">
        <v>3</v>
      </c>
      <c r="E318" t="s">
        <v>139</v>
      </c>
      <c r="F318" t="s">
        <v>306</v>
      </c>
      <c r="G318" t="s">
        <v>106</v>
      </c>
      <c r="H318" t="s">
        <v>307</v>
      </c>
      <c r="J318">
        <v>2</v>
      </c>
      <c r="K318" t="s">
        <v>146</v>
      </c>
      <c r="L318" t="s">
        <v>158</v>
      </c>
      <c r="M318" t="s">
        <v>385</v>
      </c>
      <c r="N318" t="s">
        <v>177</v>
      </c>
      <c r="O318">
        <v>109</v>
      </c>
      <c r="Q318">
        <v>359</v>
      </c>
      <c r="R318">
        <v>77</v>
      </c>
      <c r="S318">
        <v>4.25</v>
      </c>
      <c r="T318">
        <v>3.024</v>
      </c>
      <c r="U318">
        <v>6.11</v>
      </c>
      <c r="V318">
        <v>1526.26</v>
      </c>
      <c r="W318">
        <v>473</v>
      </c>
      <c r="X318">
        <v>1.3332999999999999</v>
      </c>
      <c r="Y318">
        <v>351</v>
      </c>
      <c r="Z318">
        <v>4.3499999999999996</v>
      </c>
      <c r="AJ318">
        <v>2</v>
      </c>
      <c r="AK318">
        <v>18</v>
      </c>
      <c r="AM318">
        <v>0</v>
      </c>
      <c r="AO318" t="s">
        <v>308</v>
      </c>
      <c r="AT318">
        <v>43</v>
      </c>
      <c r="AV318">
        <v>42.6</v>
      </c>
      <c r="AW318">
        <v>0</v>
      </c>
      <c r="AX318">
        <v>0</v>
      </c>
      <c r="AY318">
        <v>40.5</v>
      </c>
      <c r="AZ318">
        <v>3.75</v>
      </c>
      <c r="BA318">
        <v>0</v>
      </c>
      <c r="BB318">
        <v>0</v>
      </c>
      <c r="BC318">
        <v>41</v>
      </c>
      <c r="BN318">
        <v>203.3</v>
      </c>
      <c r="BO318">
        <v>2511</v>
      </c>
      <c r="BP318">
        <v>0</v>
      </c>
      <c r="BQ318">
        <v>37</v>
      </c>
      <c r="BR318">
        <v>37</v>
      </c>
      <c r="BS318">
        <v>37.04</v>
      </c>
      <c r="BT318">
        <v>0</v>
      </c>
      <c r="BV318">
        <v>0</v>
      </c>
      <c r="BW318" t="s">
        <v>655</v>
      </c>
      <c r="BX318">
        <v>0.17</v>
      </c>
      <c r="BY318">
        <v>6.2968000000000002</v>
      </c>
      <c r="BZ318">
        <v>0</v>
      </c>
      <c r="CA318">
        <v>1</v>
      </c>
      <c r="CB318">
        <v>0.6</v>
      </c>
      <c r="CC318" s="3">
        <v>7.1269159999999998E-2</v>
      </c>
      <c r="CD318">
        <v>2.875</v>
      </c>
      <c r="CE318">
        <v>2.5</v>
      </c>
      <c r="CF318">
        <v>18</v>
      </c>
      <c r="CG318">
        <v>6</v>
      </c>
      <c r="CH318">
        <v>0</v>
      </c>
      <c r="CI318">
        <v>37.04</v>
      </c>
      <c r="CJ318">
        <v>310.17759999999998</v>
      </c>
    </row>
    <row r="319" spans="1:88">
      <c r="A319">
        <v>317</v>
      </c>
      <c r="B319" t="s">
        <v>0</v>
      </c>
      <c r="C319" t="s">
        <v>1</v>
      </c>
      <c r="D319" t="s">
        <v>268</v>
      </c>
      <c r="E319" t="s">
        <v>96</v>
      </c>
      <c r="F319" t="s">
        <v>308</v>
      </c>
      <c r="G319" t="s">
        <v>106</v>
      </c>
      <c r="H319" t="s">
        <v>174</v>
      </c>
      <c r="J319">
        <v>2</v>
      </c>
      <c r="K319" t="s">
        <v>146</v>
      </c>
      <c r="L319" t="s">
        <v>293</v>
      </c>
      <c r="M319" t="s">
        <v>100</v>
      </c>
      <c r="N319" t="s">
        <v>101</v>
      </c>
      <c r="O319">
        <v>131</v>
      </c>
      <c r="Q319">
        <v>417</v>
      </c>
      <c r="R319">
        <v>76</v>
      </c>
      <c r="S319">
        <v>4.25</v>
      </c>
      <c r="T319">
        <v>3.5859999999999999</v>
      </c>
      <c r="U319">
        <v>6.37</v>
      </c>
      <c r="V319">
        <v>1773.86</v>
      </c>
      <c r="W319">
        <v>486</v>
      </c>
      <c r="X319">
        <v>1.3332999999999999</v>
      </c>
      <c r="Y319">
        <v>361</v>
      </c>
      <c r="Z319">
        <v>4.91</v>
      </c>
      <c r="AJ319">
        <v>2</v>
      </c>
      <c r="AK319">
        <v>18</v>
      </c>
      <c r="AM319">
        <v>0</v>
      </c>
      <c r="AO319" t="s">
        <v>312</v>
      </c>
      <c r="AT319">
        <v>51</v>
      </c>
      <c r="AV319">
        <v>41.9</v>
      </c>
      <c r="AW319">
        <v>0</v>
      </c>
      <c r="AX319">
        <v>0</v>
      </c>
      <c r="AY319">
        <v>56.125</v>
      </c>
      <c r="AZ319">
        <v>4.625</v>
      </c>
      <c r="BA319">
        <v>0</v>
      </c>
      <c r="BB319">
        <v>0</v>
      </c>
      <c r="BC319">
        <v>60</v>
      </c>
      <c r="BN319">
        <v>199.73339999999999</v>
      </c>
      <c r="BO319">
        <v>2601</v>
      </c>
      <c r="BP319">
        <v>0</v>
      </c>
      <c r="BQ319">
        <v>45</v>
      </c>
      <c r="BR319">
        <v>45</v>
      </c>
      <c r="BS319">
        <v>44.69</v>
      </c>
      <c r="BT319">
        <v>0</v>
      </c>
      <c r="BV319">
        <v>0</v>
      </c>
      <c r="BW319" t="s">
        <v>655</v>
      </c>
      <c r="BX319">
        <v>0.17</v>
      </c>
      <c r="BY319">
        <v>7.5972999999999997</v>
      </c>
      <c r="BZ319">
        <v>0</v>
      </c>
      <c r="CA319">
        <v>1</v>
      </c>
      <c r="CB319">
        <v>0.6</v>
      </c>
      <c r="CC319" s="3">
        <v>7.1269159999999998E-2</v>
      </c>
      <c r="CD319">
        <v>2.875</v>
      </c>
      <c r="CE319">
        <v>2.5</v>
      </c>
      <c r="CF319">
        <v>18</v>
      </c>
      <c r="CG319">
        <v>6</v>
      </c>
      <c r="CH319">
        <v>0</v>
      </c>
      <c r="CI319">
        <v>44.69</v>
      </c>
      <c r="CJ319">
        <v>367.86959999999999</v>
      </c>
    </row>
    <row r="320" spans="1:88">
      <c r="A320">
        <v>318</v>
      </c>
      <c r="B320" t="s">
        <v>0</v>
      </c>
      <c r="C320" t="s">
        <v>1</v>
      </c>
      <c r="D320" t="s">
        <v>227</v>
      </c>
      <c r="E320" t="s">
        <v>307</v>
      </c>
      <c r="F320" t="s">
        <v>463</v>
      </c>
      <c r="G320" t="s">
        <v>106</v>
      </c>
      <c r="H320" t="s">
        <v>127</v>
      </c>
      <c r="J320">
        <v>2</v>
      </c>
      <c r="K320" t="s">
        <v>146</v>
      </c>
      <c r="L320" t="s">
        <v>364</v>
      </c>
      <c r="M320" t="s">
        <v>308</v>
      </c>
      <c r="N320" t="s">
        <v>122</v>
      </c>
      <c r="O320">
        <v>124</v>
      </c>
      <c r="Q320">
        <v>373</v>
      </c>
      <c r="R320">
        <v>72</v>
      </c>
      <c r="S320">
        <v>4.25</v>
      </c>
      <c r="T320">
        <v>3.41</v>
      </c>
      <c r="U320">
        <v>6.22</v>
      </c>
      <c r="V320">
        <v>1586.69</v>
      </c>
      <c r="W320">
        <v>449</v>
      </c>
      <c r="X320">
        <v>1.3332999999999999</v>
      </c>
      <c r="Y320">
        <v>335</v>
      </c>
      <c r="Z320">
        <v>4.74</v>
      </c>
      <c r="AJ320">
        <v>2</v>
      </c>
      <c r="AK320">
        <v>18</v>
      </c>
      <c r="AM320">
        <v>0</v>
      </c>
      <c r="AO320" t="s">
        <v>189</v>
      </c>
      <c r="AT320">
        <v>48</v>
      </c>
      <c r="AV320">
        <v>39.299999999999997</v>
      </c>
      <c r="AW320">
        <v>0</v>
      </c>
      <c r="AX320">
        <v>0</v>
      </c>
      <c r="AY320">
        <v>42.5</v>
      </c>
      <c r="AZ320">
        <v>4.125</v>
      </c>
      <c r="BA320">
        <v>0</v>
      </c>
      <c r="BB320">
        <v>0</v>
      </c>
      <c r="BC320">
        <v>43</v>
      </c>
      <c r="BN320">
        <v>187.25</v>
      </c>
      <c r="BO320">
        <v>2960</v>
      </c>
      <c r="BP320">
        <v>0</v>
      </c>
      <c r="BQ320">
        <v>42</v>
      </c>
      <c r="BR320">
        <v>42</v>
      </c>
      <c r="BS320">
        <v>42.26</v>
      </c>
      <c r="BT320">
        <v>0</v>
      </c>
      <c r="BV320">
        <v>0</v>
      </c>
      <c r="BW320" t="s">
        <v>655</v>
      </c>
      <c r="BX320">
        <v>0.17</v>
      </c>
      <c r="BY320">
        <v>7.1841999999999997</v>
      </c>
      <c r="BZ320">
        <v>0</v>
      </c>
      <c r="CA320">
        <v>1</v>
      </c>
      <c r="CB320">
        <v>0.6</v>
      </c>
      <c r="CC320" s="3">
        <v>7.1269159999999998E-2</v>
      </c>
      <c r="CD320">
        <v>2.875</v>
      </c>
      <c r="CE320">
        <v>2.5</v>
      </c>
      <c r="CF320">
        <v>18</v>
      </c>
      <c r="CG320">
        <v>6</v>
      </c>
      <c r="CH320">
        <v>0</v>
      </c>
      <c r="CI320">
        <v>42.26</v>
      </c>
      <c r="CJ320">
        <v>326.78399999999999</v>
      </c>
    </row>
    <row r="321" spans="1:88">
      <c r="A321">
        <v>319</v>
      </c>
      <c r="B321" t="s">
        <v>0</v>
      </c>
      <c r="C321" t="s">
        <v>1</v>
      </c>
      <c r="D321" t="s">
        <v>133</v>
      </c>
      <c r="E321" t="s">
        <v>2</v>
      </c>
      <c r="F321" t="s">
        <v>298</v>
      </c>
      <c r="G321" t="s">
        <v>106</v>
      </c>
      <c r="H321" t="s">
        <v>257</v>
      </c>
      <c r="J321">
        <v>2</v>
      </c>
      <c r="K321" t="s">
        <v>146</v>
      </c>
      <c r="L321" t="s">
        <v>122</v>
      </c>
      <c r="M321" t="s">
        <v>4</v>
      </c>
      <c r="N321" t="s">
        <v>5</v>
      </c>
      <c r="O321">
        <v>107</v>
      </c>
      <c r="Q321">
        <v>406</v>
      </c>
      <c r="R321">
        <v>88</v>
      </c>
      <c r="S321">
        <v>4.25</v>
      </c>
      <c r="T321">
        <v>2.9710000000000001</v>
      </c>
      <c r="U321">
        <v>6.07</v>
      </c>
      <c r="V321">
        <v>1726.73</v>
      </c>
      <c r="W321">
        <v>533</v>
      </c>
      <c r="X321">
        <v>1.3332999999999999</v>
      </c>
      <c r="Y321">
        <v>402</v>
      </c>
      <c r="Z321">
        <v>4.3</v>
      </c>
      <c r="AJ321">
        <v>2</v>
      </c>
      <c r="AK321">
        <v>18</v>
      </c>
      <c r="AM321">
        <v>0</v>
      </c>
      <c r="AO321" t="s">
        <v>301</v>
      </c>
      <c r="AT321">
        <v>42</v>
      </c>
      <c r="AV321">
        <v>49.1</v>
      </c>
      <c r="AW321">
        <v>0</v>
      </c>
      <c r="AX321">
        <v>0</v>
      </c>
      <c r="AY321">
        <v>50.5</v>
      </c>
      <c r="AZ321">
        <v>4</v>
      </c>
      <c r="BA321">
        <v>0</v>
      </c>
      <c r="BB321">
        <v>0</v>
      </c>
      <c r="BC321">
        <v>54</v>
      </c>
      <c r="BN321">
        <v>235.40010000000001</v>
      </c>
      <c r="BO321">
        <v>1873</v>
      </c>
      <c r="BP321">
        <v>0</v>
      </c>
      <c r="BQ321">
        <v>36</v>
      </c>
      <c r="BR321">
        <v>36</v>
      </c>
      <c r="BS321">
        <v>36.340000000000003</v>
      </c>
      <c r="BT321">
        <v>0</v>
      </c>
      <c r="BV321">
        <v>0</v>
      </c>
      <c r="BW321" t="s">
        <v>655</v>
      </c>
      <c r="BX321">
        <v>0.17</v>
      </c>
      <c r="BY321">
        <v>6.1778000000000004</v>
      </c>
      <c r="BZ321">
        <v>0</v>
      </c>
      <c r="CA321">
        <v>1</v>
      </c>
      <c r="CB321">
        <v>0.6</v>
      </c>
      <c r="CC321" s="3">
        <v>7.1269159999999998E-2</v>
      </c>
      <c r="CD321">
        <v>2.875</v>
      </c>
      <c r="CE321">
        <v>2.5</v>
      </c>
      <c r="CF321">
        <v>18</v>
      </c>
      <c r="CG321">
        <v>6</v>
      </c>
      <c r="CH321">
        <v>0</v>
      </c>
      <c r="CI321">
        <v>36.340000000000003</v>
      </c>
      <c r="CJ321">
        <v>350.93430000000001</v>
      </c>
    </row>
    <row r="322" spans="1:88">
      <c r="A322">
        <v>320</v>
      </c>
      <c r="B322" t="s">
        <v>13</v>
      </c>
      <c r="C322" t="s">
        <v>1</v>
      </c>
      <c r="D322" t="s">
        <v>181</v>
      </c>
      <c r="E322" t="s">
        <v>123</v>
      </c>
      <c r="F322" t="s">
        <v>182</v>
      </c>
      <c r="G322" t="s">
        <v>106</v>
      </c>
      <c r="H322" t="s">
        <v>183</v>
      </c>
      <c r="J322">
        <v>2</v>
      </c>
      <c r="K322" t="s">
        <v>108</v>
      </c>
      <c r="L322" t="s">
        <v>8</v>
      </c>
      <c r="M322" t="s">
        <v>147</v>
      </c>
      <c r="N322" t="s">
        <v>148</v>
      </c>
      <c r="O322">
        <v>183</v>
      </c>
      <c r="Q322">
        <v>755</v>
      </c>
      <c r="R322">
        <v>98</v>
      </c>
      <c r="S322">
        <v>4.25</v>
      </c>
      <c r="T322">
        <v>4.8079999999999998</v>
      </c>
      <c r="U322">
        <v>7.12</v>
      </c>
      <c r="V322">
        <v>3208.75</v>
      </c>
      <c r="W322">
        <v>700</v>
      </c>
      <c r="X322">
        <v>1.3332999999999999</v>
      </c>
      <c r="Y322">
        <v>523</v>
      </c>
      <c r="Z322">
        <v>6.14</v>
      </c>
      <c r="AJ322">
        <v>2</v>
      </c>
      <c r="AK322">
        <v>18</v>
      </c>
      <c r="AM322">
        <v>0</v>
      </c>
      <c r="AO322" t="s">
        <v>186</v>
      </c>
      <c r="AT322">
        <v>69</v>
      </c>
      <c r="AV322">
        <v>55.8</v>
      </c>
      <c r="AW322">
        <v>0.4375</v>
      </c>
      <c r="AX322">
        <v>3.75</v>
      </c>
      <c r="AY322">
        <v>54.5</v>
      </c>
      <c r="AZ322">
        <v>5.375</v>
      </c>
      <c r="BA322">
        <v>261.29000000000002</v>
      </c>
      <c r="BB322">
        <v>6.29</v>
      </c>
      <c r="BC322">
        <v>55</v>
      </c>
      <c r="BD322">
        <v>0.4375</v>
      </c>
      <c r="BE322">
        <v>3.75</v>
      </c>
      <c r="BF322">
        <v>54.5</v>
      </c>
      <c r="BG322">
        <v>5.375</v>
      </c>
      <c r="BH322">
        <v>261.29000000000002</v>
      </c>
      <c r="BI322">
        <v>6.29</v>
      </c>
      <c r="BJ322">
        <v>55</v>
      </c>
      <c r="BL322">
        <v>522.58010000000002</v>
      </c>
      <c r="BM322">
        <v>110</v>
      </c>
      <c r="BN322">
        <v>267.5</v>
      </c>
      <c r="BO322">
        <v>1450</v>
      </c>
      <c r="BP322">
        <v>0</v>
      </c>
      <c r="BQ322">
        <v>63</v>
      </c>
      <c r="BR322">
        <v>63</v>
      </c>
      <c r="BS322">
        <v>62.78</v>
      </c>
      <c r="BT322">
        <v>0</v>
      </c>
      <c r="BV322">
        <v>0</v>
      </c>
      <c r="BW322" t="s">
        <v>655</v>
      </c>
      <c r="BX322">
        <v>0.17</v>
      </c>
      <c r="BY322">
        <v>10.672599999999999</v>
      </c>
      <c r="BZ322">
        <v>0</v>
      </c>
      <c r="CA322">
        <v>1</v>
      </c>
      <c r="CB322">
        <v>0.6</v>
      </c>
      <c r="CC322" s="3">
        <v>7.1269159999999998E-2</v>
      </c>
      <c r="CD322">
        <v>2.875</v>
      </c>
      <c r="CE322">
        <v>2.5</v>
      </c>
      <c r="CF322">
        <v>18</v>
      </c>
      <c r="CG322">
        <v>6</v>
      </c>
      <c r="CH322">
        <v>0</v>
      </c>
      <c r="CI322">
        <v>62.78</v>
      </c>
      <c r="CJ322">
        <v>688.47950000000003</v>
      </c>
    </row>
    <row r="323" spans="1:88">
      <c r="A323">
        <v>321</v>
      </c>
      <c r="B323" t="s">
        <v>13</v>
      </c>
      <c r="C323" t="s">
        <v>1</v>
      </c>
      <c r="D323" t="s">
        <v>219</v>
      </c>
      <c r="E323" t="s">
        <v>2</v>
      </c>
      <c r="F323" t="s">
        <v>230</v>
      </c>
      <c r="G323" t="s">
        <v>106</v>
      </c>
      <c r="H323" t="s">
        <v>382</v>
      </c>
      <c r="J323">
        <v>2</v>
      </c>
      <c r="K323" t="s">
        <v>146</v>
      </c>
      <c r="L323" t="s">
        <v>122</v>
      </c>
      <c r="M323" t="s">
        <v>4</v>
      </c>
      <c r="N323" t="s">
        <v>5</v>
      </c>
      <c r="O323">
        <v>107</v>
      </c>
      <c r="Q323">
        <v>282</v>
      </c>
      <c r="R323">
        <v>64</v>
      </c>
      <c r="S323">
        <v>4.25</v>
      </c>
      <c r="T323">
        <v>2.9710000000000001</v>
      </c>
      <c r="U323">
        <v>6.07</v>
      </c>
      <c r="V323">
        <v>1199.5999999999999</v>
      </c>
      <c r="W323">
        <v>386</v>
      </c>
      <c r="X323">
        <v>1.5</v>
      </c>
      <c r="Y323">
        <v>268</v>
      </c>
      <c r="Z323">
        <v>4.47</v>
      </c>
      <c r="AJ323">
        <v>2</v>
      </c>
      <c r="AK323">
        <v>18</v>
      </c>
      <c r="AM323">
        <v>0</v>
      </c>
      <c r="AO323" t="s">
        <v>318</v>
      </c>
      <c r="AT323">
        <v>42</v>
      </c>
      <c r="AV323">
        <v>33.9</v>
      </c>
      <c r="AW323">
        <v>0</v>
      </c>
      <c r="AX323">
        <v>0</v>
      </c>
      <c r="AY323">
        <v>36.25</v>
      </c>
      <c r="AZ323">
        <v>3.625</v>
      </c>
      <c r="BA323">
        <v>0</v>
      </c>
      <c r="BB323">
        <v>0</v>
      </c>
      <c r="BC323">
        <v>34</v>
      </c>
      <c r="BN323">
        <v>160.5</v>
      </c>
      <c r="BO323">
        <v>4028</v>
      </c>
      <c r="BP323">
        <v>0</v>
      </c>
      <c r="BQ323">
        <v>36</v>
      </c>
      <c r="BR323">
        <v>36</v>
      </c>
      <c r="BS323">
        <v>36.340000000000003</v>
      </c>
      <c r="BT323">
        <v>0</v>
      </c>
      <c r="BV323">
        <v>0</v>
      </c>
      <c r="BW323" t="s">
        <v>655</v>
      </c>
      <c r="BX323">
        <v>0.17</v>
      </c>
      <c r="BY323">
        <v>6.1778000000000004</v>
      </c>
      <c r="BZ323">
        <v>0</v>
      </c>
      <c r="CA323">
        <v>1</v>
      </c>
      <c r="CB323">
        <v>0.6</v>
      </c>
      <c r="CC323" s="3">
        <v>7.1269159999999998E-2</v>
      </c>
      <c r="CD323">
        <v>2.875</v>
      </c>
      <c r="CE323">
        <v>2.5</v>
      </c>
      <c r="CF323">
        <v>18</v>
      </c>
      <c r="CG323">
        <v>6</v>
      </c>
      <c r="CH323">
        <v>0</v>
      </c>
      <c r="CI323">
        <v>36.340000000000003</v>
      </c>
      <c r="CJ323">
        <v>242.1576</v>
      </c>
    </row>
    <row r="324" spans="1:88">
      <c r="A324">
        <v>322</v>
      </c>
      <c r="B324" t="s">
        <v>13</v>
      </c>
      <c r="C324" t="s">
        <v>1</v>
      </c>
      <c r="D324" t="s">
        <v>8</v>
      </c>
      <c r="E324" t="s">
        <v>113</v>
      </c>
      <c r="F324" t="s">
        <v>246</v>
      </c>
      <c r="G324" t="s">
        <v>15</v>
      </c>
      <c r="H324" t="s">
        <v>247</v>
      </c>
      <c r="J324">
        <v>2</v>
      </c>
      <c r="K324" t="s">
        <v>108</v>
      </c>
      <c r="L324" t="s">
        <v>116</v>
      </c>
      <c r="M324" t="s">
        <v>117</v>
      </c>
      <c r="N324" t="s">
        <v>14</v>
      </c>
      <c r="O324">
        <v>179</v>
      </c>
      <c r="Q324">
        <v>939</v>
      </c>
      <c r="R324">
        <v>124</v>
      </c>
      <c r="S324">
        <v>4.25</v>
      </c>
      <c r="T324">
        <v>4.7190000000000003</v>
      </c>
      <c r="U324">
        <v>7.05</v>
      </c>
      <c r="V324">
        <v>3988.75</v>
      </c>
      <c r="W324">
        <v>871</v>
      </c>
      <c r="X324">
        <v>1.3332999999999999</v>
      </c>
      <c r="Y324">
        <v>659</v>
      </c>
      <c r="Z324">
        <v>6.05</v>
      </c>
      <c r="AJ324">
        <v>2</v>
      </c>
      <c r="AK324">
        <v>18</v>
      </c>
      <c r="AM324">
        <v>0</v>
      </c>
      <c r="AO324" t="s">
        <v>250</v>
      </c>
      <c r="AT324">
        <v>68</v>
      </c>
      <c r="AV324">
        <v>71.099999999999994</v>
      </c>
      <c r="AW324" t="s">
        <v>6</v>
      </c>
      <c r="AX324" t="s">
        <v>6</v>
      </c>
      <c r="AY324" t="s">
        <v>6</v>
      </c>
      <c r="AZ324" t="s">
        <v>6</v>
      </c>
      <c r="BA324" t="s">
        <v>6</v>
      </c>
      <c r="BB324" t="s">
        <v>6</v>
      </c>
      <c r="BC324" t="s">
        <v>6</v>
      </c>
      <c r="BD324" t="s">
        <v>6</v>
      </c>
      <c r="BE324" t="s">
        <v>6</v>
      </c>
      <c r="BF324" t="s">
        <v>6</v>
      </c>
      <c r="BG324" t="s">
        <v>6</v>
      </c>
      <c r="BH324" t="s">
        <v>6</v>
      </c>
      <c r="BI324" t="s">
        <v>6</v>
      </c>
      <c r="BJ324" t="s">
        <v>6</v>
      </c>
      <c r="BN324">
        <v>606.1585</v>
      </c>
      <c r="BO324">
        <v>2977</v>
      </c>
      <c r="BP324">
        <v>0</v>
      </c>
      <c r="BQ324">
        <v>61</v>
      </c>
      <c r="BR324">
        <v>61</v>
      </c>
      <c r="BS324">
        <v>61.39</v>
      </c>
      <c r="BT324">
        <v>0</v>
      </c>
      <c r="BV324">
        <v>0</v>
      </c>
      <c r="BW324" t="s">
        <v>655</v>
      </c>
      <c r="BX324">
        <v>0.17</v>
      </c>
      <c r="BY324">
        <v>10.436299999999999</v>
      </c>
      <c r="BZ324">
        <v>0</v>
      </c>
      <c r="CA324">
        <v>1</v>
      </c>
      <c r="CB324">
        <v>0.6</v>
      </c>
      <c r="CC324" s="3">
        <v>7.1269159999999998E-2</v>
      </c>
      <c r="CD324">
        <v>2.875</v>
      </c>
      <c r="CE324">
        <v>2.5</v>
      </c>
      <c r="CF324">
        <v>18</v>
      </c>
      <c r="CG324">
        <v>6</v>
      </c>
      <c r="CH324">
        <v>0</v>
      </c>
      <c r="CI324">
        <v>61.39</v>
      </c>
      <c r="CJ324">
        <v>856.99490000000003</v>
      </c>
    </row>
    <row r="325" spans="1:88">
      <c r="A325">
        <v>323</v>
      </c>
      <c r="B325" t="s">
        <v>0</v>
      </c>
      <c r="C325" t="s">
        <v>1</v>
      </c>
      <c r="D325" t="s">
        <v>143</v>
      </c>
      <c r="E325" t="s">
        <v>363</v>
      </c>
      <c r="F325" t="s">
        <v>144</v>
      </c>
      <c r="G325" t="s">
        <v>106</v>
      </c>
      <c r="H325" t="s">
        <v>145</v>
      </c>
      <c r="J325">
        <v>2</v>
      </c>
      <c r="K325" t="s">
        <v>146</v>
      </c>
      <c r="L325" t="s">
        <v>120</v>
      </c>
      <c r="M325" t="s">
        <v>461</v>
      </c>
      <c r="N325" t="s">
        <v>165</v>
      </c>
      <c r="O325">
        <v>145</v>
      </c>
      <c r="Q325">
        <v>583</v>
      </c>
      <c r="R325">
        <v>95</v>
      </c>
      <c r="S325">
        <v>4.25</v>
      </c>
      <c r="T325">
        <v>3.9279999999999999</v>
      </c>
      <c r="U325">
        <v>6.63</v>
      </c>
      <c r="V325">
        <v>2477.4899999999998</v>
      </c>
      <c r="W325">
        <v>627</v>
      </c>
      <c r="X325">
        <v>1.3332999999999999</v>
      </c>
      <c r="Y325">
        <v>471</v>
      </c>
      <c r="Z325">
        <v>5.26</v>
      </c>
      <c r="AJ325">
        <v>2</v>
      </c>
      <c r="AK325">
        <v>18</v>
      </c>
      <c r="AM325">
        <v>0</v>
      </c>
      <c r="AO325" t="s">
        <v>149</v>
      </c>
      <c r="AT325">
        <v>56</v>
      </c>
      <c r="AV325">
        <v>53.5</v>
      </c>
      <c r="AW325">
        <v>0.46875</v>
      </c>
      <c r="AX325">
        <v>3.75</v>
      </c>
      <c r="AY325">
        <v>54.125</v>
      </c>
      <c r="AZ325">
        <v>4.875</v>
      </c>
      <c r="BA325">
        <v>374.68</v>
      </c>
      <c r="BB325">
        <v>5.26</v>
      </c>
      <c r="BC325">
        <v>58</v>
      </c>
      <c r="BD325">
        <v>0.3125</v>
      </c>
      <c r="BE325">
        <v>2.75</v>
      </c>
      <c r="BF325">
        <v>37.375</v>
      </c>
      <c r="BG325">
        <v>3.25</v>
      </c>
      <c r="BH325">
        <v>96.32</v>
      </c>
      <c r="BI325">
        <v>6.63</v>
      </c>
      <c r="BJ325">
        <v>20</v>
      </c>
      <c r="BL325">
        <v>471</v>
      </c>
      <c r="BM325">
        <v>77</v>
      </c>
      <c r="BN325">
        <v>256.80009999999999</v>
      </c>
      <c r="BO325">
        <v>1574</v>
      </c>
      <c r="BP325">
        <v>0</v>
      </c>
      <c r="BQ325">
        <v>50</v>
      </c>
      <c r="BR325">
        <v>50</v>
      </c>
      <c r="BS325">
        <v>49.56</v>
      </c>
      <c r="BT325">
        <v>0</v>
      </c>
      <c r="BV325">
        <v>0</v>
      </c>
      <c r="BW325" t="s">
        <v>655</v>
      </c>
      <c r="BX325">
        <v>0.17</v>
      </c>
      <c r="BY325">
        <v>8.4252009999999995</v>
      </c>
      <c r="BZ325">
        <v>0</v>
      </c>
      <c r="CA325">
        <v>1</v>
      </c>
      <c r="CB325">
        <v>0.6</v>
      </c>
      <c r="CC325" s="3">
        <v>7.1269159999999998E-2</v>
      </c>
      <c r="CD325">
        <v>2.875</v>
      </c>
      <c r="CE325">
        <v>2.5</v>
      </c>
      <c r="CF325">
        <v>18</v>
      </c>
      <c r="CG325">
        <v>6</v>
      </c>
      <c r="CH325">
        <v>0</v>
      </c>
      <c r="CI325">
        <v>49.56</v>
      </c>
      <c r="CJ325">
        <v>520.98469999999998</v>
      </c>
    </row>
    <row r="326" spans="1:88">
      <c r="A326">
        <v>324</v>
      </c>
      <c r="B326" t="s">
        <v>0</v>
      </c>
      <c r="C326" t="s">
        <v>1</v>
      </c>
      <c r="D326" t="s">
        <v>369</v>
      </c>
      <c r="E326" t="s">
        <v>96</v>
      </c>
      <c r="F326" t="s">
        <v>312</v>
      </c>
      <c r="G326" t="s">
        <v>106</v>
      </c>
      <c r="H326" t="s">
        <v>229</v>
      </c>
      <c r="J326">
        <v>2</v>
      </c>
      <c r="K326" t="s">
        <v>146</v>
      </c>
      <c r="L326" t="s">
        <v>293</v>
      </c>
      <c r="M326" t="s">
        <v>100</v>
      </c>
      <c r="N326" t="s">
        <v>101</v>
      </c>
      <c r="O326">
        <v>131</v>
      </c>
      <c r="Q326">
        <v>410</v>
      </c>
      <c r="R326">
        <v>75</v>
      </c>
      <c r="S326">
        <v>4.25</v>
      </c>
      <c r="T326">
        <v>3.5859999999999999</v>
      </c>
      <c r="U326">
        <v>6.37</v>
      </c>
      <c r="V326">
        <v>1743.69</v>
      </c>
      <c r="W326">
        <v>478</v>
      </c>
      <c r="X326">
        <v>1.3332999999999999</v>
      </c>
      <c r="Y326">
        <v>355</v>
      </c>
      <c r="Z326">
        <v>4.91</v>
      </c>
      <c r="AJ326">
        <v>2</v>
      </c>
      <c r="AK326">
        <v>18</v>
      </c>
      <c r="AM326">
        <v>0</v>
      </c>
      <c r="AO326" t="s">
        <v>404</v>
      </c>
      <c r="AT326">
        <v>51</v>
      </c>
      <c r="AV326">
        <v>41.1</v>
      </c>
      <c r="AW326">
        <v>0</v>
      </c>
      <c r="AX326">
        <v>0</v>
      </c>
      <c r="AY326">
        <v>57.125</v>
      </c>
      <c r="AZ326">
        <v>4.625</v>
      </c>
      <c r="BA326">
        <v>0</v>
      </c>
      <c r="BB326">
        <v>0</v>
      </c>
      <c r="BC326">
        <v>61</v>
      </c>
      <c r="BN326">
        <v>196.16669999999999</v>
      </c>
      <c r="BO326">
        <v>2697</v>
      </c>
      <c r="BP326">
        <v>0</v>
      </c>
      <c r="BQ326">
        <v>45</v>
      </c>
      <c r="BR326">
        <v>45</v>
      </c>
      <c r="BS326">
        <v>44.69</v>
      </c>
      <c r="BT326">
        <v>0</v>
      </c>
      <c r="BV326">
        <v>0</v>
      </c>
      <c r="BW326" t="s">
        <v>655</v>
      </c>
      <c r="BX326">
        <v>0.17</v>
      </c>
      <c r="BY326">
        <v>7.5972999999999997</v>
      </c>
      <c r="BZ326">
        <v>0</v>
      </c>
      <c r="CA326">
        <v>1</v>
      </c>
      <c r="CB326">
        <v>0.6</v>
      </c>
      <c r="CC326" s="3">
        <v>7.1269159999999998E-2</v>
      </c>
      <c r="CD326">
        <v>2.875</v>
      </c>
      <c r="CE326">
        <v>2.5</v>
      </c>
      <c r="CF326">
        <v>18</v>
      </c>
      <c r="CG326">
        <v>6</v>
      </c>
      <c r="CH326">
        <v>0</v>
      </c>
      <c r="CI326">
        <v>44.69</v>
      </c>
      <c r="CJ326">
        <v>361.49959999999999</v>
      </c>
    </row>
    <row r="327" spans="1:88">
      <c r="A327">
        <v>325</v>
      </c>
      <c r="B327" t="s">
        <v>0</v>
      </c>
      <c r="C327" t="s">
        <v>1</v>
      </c>
      <c r="D327" t="s">
        <v>377</v>
      </c>
      <c r="E327" t="s">
        <v>19</v>
      </c>
      <c r="F327" t="s">
        <v>378</v>
      </c>
      <c r="G327" t="s">
        <v>20</v>
      </c>
      <c r="H327" t="s">
        <v>377</v>
      </c>
      <c r="J327">
        <v>2</v>
      </c>
      <c r="K327" t="s">
        <v>9</v>
      </c>
      <c r="L327" t="s">
        <v>302</v>
      </c>
      <c r="M327" t="s">
        <v>433</v>
      </c>
      <c r="N327" t="s">
        <v>434</v>
      </c>
      <c r="O327">
        <v>185</v>
      </c>
      <c r="Q327">
        <v>1219</v>
      </c>
      <c r="R327">
        <v>155</v>
      </c>
      <c r="S327">
        <v>4.25</v>
      </c>
      <c r="T327">
        <v>4.8529999999999998</v>
      </c>
      <c r="U327">
        <v>7.16</v>
      </c>
      <c r="V327">
        <v>5181.51</v>
      </c>
      <c r="W327">
        <v>1111</v>
      </c>
      <c r="X327">
        <v>1.3332999999999999</v>
      </c>
      <c r="Y327">
        <v>838</v>
      </c>
      <c r="Z327">
        <v>6.18</v>
      </c>
      <c r="AJ327">
        <v>2</v>
      </c>
      <c r="AK327">
        <v>18</v>
      </c>
      <c r="AM327">
        <v>0</v>
      </c>
      <c r="AO327" t="s">
        <v>380</v>
      </c>
      <c r="AT327">
        <v>70</v>
      </c>
      <c r="AV327">
        <v>89.2</v>
      </c>
      <c r="AW327" t="s">
        <v>6</v>
      </c>
      <c r="AX327" t="s">
        <v>6</v>
      </c>
      <c r="AY327" t="s">
        <v>6</v>
      </c>
      <c r="AZ327" t="s">
        <v>6</v>
      </c>
      <c r="BA327" t="s">
        <v>6</v>
      </c>
      <c r="BB327" t="s">
        <v>6</v>
      </c>
      <c r="BC327" t="s">
        <v>6</v>
      </c>
      <c r="BD327" t="s">
        <v>6</v>
      </c>
      <c r="BE327" t="s">
        <v>6</v>
      </c>
      <c r="BF327" t="s">
        <v>6</v>
      </c>
      <c r="BG327" t="s">
        <v>6</v>
      </c>
      <c r="BH327" t="s">
        <v>6</v>
      </c>
      <c r="BI327" t="s">
        <v>6</v>
      </c>
      <c r="BJ327" t="s">
        <v>6</v>
      </c>
      <c r="BN327">
        <v>669.48289999999997</v>
      </c>
      <c r="BO327">
        <v>2672</v>
      </c>
      <c r="BP327">
        <v>0</v>
      </c>
      <c r="BQ327">
        <v>63</v>
      </c>
      <c r="BR327">
        <v>63</v>
      </c>
      <c r="BS327">
        <v>63.47</v>
      </c>
      <c r="BT327">
        <v>0</v>
      </c>
      <c r="BV327">
        <v>6</v>
      </c>
      <c r="BW327" t="s">
        <v>655</v>
      </c>
      <c r="BX327">
        <v>0.27933340000000001</v>
      </c>
      <c r="BY327">
        <v>17.729289999999999</v>
      </c>
      <c r="BZ327">
        <v>0</v>
      </c>
      <c r="CA327">
        <v>1</v>
      </c>
      <c r="CB327">
        <v>0.6</v>
      </c>
      <c r="CC327" s="3">
        <v>7.1269159999999998E-2</v>
      </c>
      <c r="CD327">
        <v>2.875</v>
      </c>
      <c r="CE327">
        <v>2.5</v>
      </c>
      <c r="CF327">
        <v>18</v>
      </c>
      <c r="CG327">
        <v>6</v>
      </c>
      <c r="CH327">
        <v>0</v>
      </c>
      <c r="CI327">
        <v>63.47</v>
      </c>
      <c r="CJ327">
        <v>1112.204</v>
      </c>
    </row>
    <row r="328" spans="1:88">
      <c r="A328">
        <v>326</v>
      </c>
      <c r="B328" t="s">
        <v>13</v>
      </c>
      <c r="C328" t="s">
        <v>1</v>
      </c>
      <c r="D328" t="s">
        <v>235</v>
      </c>
      <c r="E328" t="s">
        <v>235</v>
      </c>
      <c r="F328" t="s">
        <v>327</v>
      </c>
      <c r="G328" t="s">
        <v>106</v>
      </c>
      <c r="H328" t="s">
        <v>96</v>
      </c>
      <c r="J328">
        <v>2</v>
      </c>
      <c r="K328" t="s">
        <v>146</v>
      </c>
      <c r="L328" t="s">
        <v>185</v>
      </c>
      <c r="M328" t="s">
        <v>198</v>
      </c>
      <c r="N328" t="s">
        <v>338</v>
      </c>
      <c r="O328">
        <v>132</v>
      </c>
      <c r="Q328">
        <v>452</v>
      </c>
      <c r="R328">
        <v>81</v>
      </c>
      <c r="S328">
        <v>4.25</v>
      </c>
      <c r="T328">
        <v>3.61</v>
      </c>
      <c r="U328">
        <v>6.37</v>
      </c>
      <c r="V328">
        <v>1923.04</v>
      </c>
      <c r="W328">
        <v>519</v>
      </c>
      <c r="X328">
        <v>1.3332999999999999</v>
      </c>
      <c r="Y328">
        <v>389</v>
      </c>
      <c r="Z328">
        <v>4.9400000000000004</v>
      </c>
      <c r="AJ328">
        <v>2</v>
      </c>
      <c r="AK328">
        <v>18</v>
      </c>
      <c r="AM328">
        <v>0</v>
      </c>
      <c r="AO328" t="s">
        <v>100</v>
      </c>
      <c r="AT328">
        <v>51</v>
      </c>
      <c r="AV328">
        <v>45.1</v>
      </c>
      <c r="AW328">
        <v>0</v>
      </c>
      <c r="AX328">
        <v>0</v>
      </c>
      <c r="AY328">
        <v>52.125</v>
      </c>
      <c r="AZ328">
        <v>4.625</v>
      </c>
      <c r="BA328">
        <v>0</v>
      </c>
      <c r="BB328">
        <v>0</v>
      </c>
      <c r="BC328">
        <v>56</v>
      </c>
      <c r="BN328">
        <v>215.7834</v>
      </c>
      <c r="BO328">
        <v>2229</v>
      </c>
      <c r="BP328">
        <v>0</v>
      </c>
      <c r="BQ328">
        <v>45</v>
      </c>
      <c r="BR328">
        <v>45</v>
      </c>
      <c r="BS328">
        <v>45.04</v>
      </c>
      <c r="BT328">
        <v>0</v>
      </c>
      <c r="BV328">
        <v>0</v>
      </c>
      <c r="BW328" t="s">
        <v>655</v>
      </c>
      <c r="BX328">
        <v>0.17</v>
      </c>
      <c r="BY328">
        <v>7.6568009999999997</v>
      </c>
      <c r="BZ328">
        <v>0</v>
      </c>
      <c r="CA328">
        <v>1</v>
      </c>
      <c r="CB328">
        <v>0.6</v>
      </c>
      <c r="CC328" s="3">
        <v>7.1269159999999998E-2</v>
      </c>
      <c r="CD328">
        <v>2.875</v>
      </c>
      <c r="CE328">
        <v>2.5</v>
      </c>
      <c r="CF328">
        <v>18</v>
      </c>
      <c r="CG328">
        <v>6</v>
      </c>
      <c r="CH328">
        <v>0</v>
      </c>
      <c r="CI328">
        <v>45.04</v>
      </c>
      <c r="CJ328">
        <v>399.6404</v>
      </c>
    </row>
    <row r="329" spans="1:88">
      <c r="A329">
        <v>327</v>
      </c>
      <c r="B329" t="s">
        <v>0</v>
      </c>
      <c r="C329" t="s">
        <v>1</v>
      </c>
      <c r="D329" t="s">
        <v>162</v>
      </c>
      <c r="E329" t="s">
        <v>3</v>
      </c>
      <c r="F329" t="s">
        <v>100</v>
      </c>
      <c r="G329" t="s">
        <v>106</v>
      </c>
      <c r="H329" t="s">
        <v>158</v>
      </c>
      <c r="J329">
        <v>2</v>
      </c>
      <c r="K329" t="s">
        <v>146</v>
      </c>
      <c r="L329" t="s">
        <v>363</v>
      </c>
      <c r="M329" t="s">
        <v>383</v>
      </c>
      <c r="N329" t="s">
        <v>119</v>
      </c>
      <c r="O329">
        <v>125</v>
      </c>
      <c r="Q329">
        <v>424</v>
      </c>
      <c r="R329">
        <v>80</v>
      </c>
      <c r="S329">
        <v>4.25</v>
      </c>
      <c r="T329">
        <v>3.4350000000000001</v>
      </c>
      <c r="U329">
        <v>6.26</v>
      </c>
      <c r="V329">
        <v>1800.38</v>
      </c>
      <c r="W329">
        <v>502</v>
      </c>
      <c r="X329">
        <v>1.3332999999999999</v>
      </c>
      <c r="Y329">
        <v>378</v>
      </c>
      <c r="Z329">
        <v>4.76</v>
      </c>
      <c r="AJ329">
        <v>2</v>
      </c>
      <c r="AK329">
        <v>18</v>
      </c>
      <c r="AM329">
        <v>0</v>
      </c>
      <c r="AO329" t="s">
        <v>121</v>
      </c>
      <c r="AT329">
        <v>49</v>
      </c>
      <c r="AV329">
        <v>44.4</v>
      </c>
      <c r="AW329">
        <v>0</v>
      </c>
      <c r="AX329">
        <v>0</v>
      </c>
      <c r="AY329">
        <v>53.625</v>
      </c>
      <c r="AZ329">
        <v>4.5</v>
      </c>
      <c r="BA329">
        <v>0</v>
      </c>
      <c r="BB329">
        <v>0</v>
      </c>
      <c r="BC329">
        <v>58</v>
      </c>
      <c r="BN329">
        <v>212.2167</v>
      </c>
      <c r="BO329">
        <v>2304</v>
      </c>
      <c r="BP329">
        <v>0</v>
      </c>
      <c r="BQ329">
        <v>43</v>
      </c>
      <c r="BR329">
        <v>43</v>
      </c>
      <c r="BS329">
        <v>42.6</v>
      </c>
      <c r="BT329">
        <v>0</v>
      </c>
      <c r="BV329">
        <v>0</v>
      </c>
      <c r="BW329" t="s">
        <v>655</v>
      </c>
      <c r="BX329">
        <v>0.17</v>
      </c>
      <c r="BY329">
        <v>7.242</v>
      </c>
      <c r="BZ329">
        <v>0</v>
      </c>
      <c r="CA329">
        <v>1</v>
      </c>
      <c r="CB329">
        <v>0.6</v>
      </c>
      <c r="CC329" s="3">
        <v>7.1269159999999998E-2</v>
      </c>
      <c r="CD329">
        <v>2.875</v>
      </c>
      <c r="CE329">
        <v>2.5</v>
      </c>
      <c r="CF329">
        <v>18</v>
      </c>
      <c r="CG329">
        <v>6</v>
      </c>
      <c r="CH329">
        <v>0</v>
      </c>
      <c r="CI329">
        <v>42.6</v>
      </c>
      <c r="CJ329">
        <v>371.91809999999998</v>
      </c>
    </row>
    <row r="330" spans="1:88">
      <c r="A330">
        <v>328</v>
      </c>
      <c r="B330" t="s">
        <v>13</v>
      </c>
      <c r="C330" t="s">
        <v>1</v>
      </c>
      <c r="D330" t="s">
        <v>176</v>
      </c>
      <c r="E330" t="s">
        <v>342</v>
      </c>
      <c r="F330" t="s">
        <v>134</v>
      </c>
      <c r="G330" t="s">
        <v>106</v>
      </c>
      <c r="H330" t="s">
        <v>177</v>
      </c>
      <c r="J330">
        <v>2</v>
      </c>
      <c r="K330" t="s">
        <v>146</v>
      </c>
      <c r="L330" t="s">
        <v>139</v>
      </c>
      <c r="M330" t="s">
        <v>345</v>
      </c>
      <c r="N330" t="s">
        <v>346</v>
      </c>
      <c r="O330">
        <v>89</v>
      </c>
      <c r="Q330">
        <v>270</v>
      </c>
      <c r="R330">
        <v>71</v>
      </c>
      <c r="S330">
        <v>4.25</v>
      </c>
      <c r="T330">
        <v>2.4849999999999999</v>
      </c>
      <c r="U330">
        <v>5.7</v>
      </c>
      <c r="V330">
        <v>1145.67</v>
      </c>
      <c r="W330">
        <v>402</v>
      </c>
      <c r="X330">
        <v>1.3332999999999999</v>
      </c>
      <c r="Y330">
        <v>301</v>
      </c>
      <c r="Z330">
        <v>3.81</v>
      </c>
      <c r="AJ330">
        <v>2</v>
      </c>
      <c r="AK330">
        <v>18</v>
      </c>
      <c r="AM330">
        <v>0</v>
      </c>
      <c r="AO330" t="s">
        <v>152</v>
      </c>
      <c r="AT330">
        <v>36</v>
      </c>
      <c r="AV330">
        <v>38.200000000000003</v>
      </c>
      <c r="AW330">
        <v>0</v>
      </c>
      <c r="AX330">
        <v>0</v>
      </c>
      <c r="AY330">
        <v>32.375</v>
      </c>
      <c r="AZ330">
        <v>3.125</v>
      </c>
      <c r="BA330">
        <v>0</v>
      </c>
      <c r="BB330">
        <v>0</v>
      </c>
      <c r="BC330">
        <v>31</v>
      </c>
      <c r="BN330">
        <v>181.9</v>
      </c>
      <c r="BO330">
        <v>3136</v>
      </c>
      <c r="BP330">
        <v>0</v>
      </c>
      <c r="BQ330">
        <v>30</v>
      </c>
      <c r="BR330">
        <v>30</v>
      </c>
      <c r="BS330">
        <v>30.08</v>
      </c>
      <c r="BT330">
        <v>0</v>
      </c>
      <c r="BV330">
        <v>0</v>
      </c>
      <c r="BW330" t="s">
        <v>655</v>
      </c>
      <c r="BX330">
        <v>0.17</v>
      </c>
      <c r="BY330">
        <v>5.1135999999999999</v>
      </c>
      <c r="BZ330">
        <v>0</v>
      </c>
      <c r="CA330">
        <v>1</v>
      </c>
      <c r="CB330">
        <v>0.6</v>
      </c>
      <c r="CC330" s="3">
        <v>7.1269159999999998E-2</v>
      </c>
      <c r="CD330">
        <v>2.875</v>
      </c>
      <c r="CE330">
        <v>2.5</v>
      </c>
      <c r="CF330">
        <v>18</v>
      </c>
      <c r="CG330">
        <v>6</v>
      </c>
      <c r="CH330">
        <v>0</v>
      </c>
      <c r="CI330">
        <v>30.08</v>
      </c>
      <c r="CJ330">
        <v>226.16839999999999</v>
      </c>
    </row>
    <row r="331" spans="1:88">
      <c r="A331">
        <v>329</v>
      </c>
      <c r="B331" t="s">
        <v>0</v>
      </c>
      <c r="C331" t="s">
        <v>1</v>
      </c>
      <c r="D331" t="s">
        <v>3</v>
      </c>
      <c r="E331" t="s">
        <v>158</v>
      </c>
      <c r="F331" t="s">
        <v>306</v>
      </c>
      <c r="G331" t="s">
        <v>106</v>
      </c>
      <c r="H331" t="s">
        <v>307</v>
      </c>
      <c r="J331">
        <v>2</v>
      </c>
      <c r="K331" t="s">
        <v>146</v>
      </c>
      <c r="L331" t="s">
        <v>99</v>
      </c>
      <c r="M331" t="s">
        <v>121</v>
      </c>
      <c r="N331" t="s">
        <v>235</v>
      </c>
      <c r="O331">
        <v>129</v>
      </c>
      <c r="Q331">
        <v>419</v>
      </c>
      <c r="R331">
        <v>77</v>
      </c>
      <c r="S331">
        <v>4.25</v>
      </c>
      <c r="T331">
        <v>3.536</v>
      </c>
      <c r="U331">
        <v>6.33</v>
      </c>
      <c r="V331">
        <v>1779</v>
      </c>
      <c r="W331">
        <v>490</v>
      </c>
      <c r="X331">
        <v>1.3332999999999999</v>
      </c>
      <c r="Y331">
        <v>366</v>
      </c>
      <c r="Z331">
        <v>4.8600000000000003</v>
      </c>
      <c r="AJ331">
        <v>2</v>
      </c>
      <c r="AK331">
        <v>18</v>
      </c>
      <c r="AM331">
        <v>0</v>
      </c>
      <c r="AO331" t="s">
        <v>308</v>
      </c>
      <c r="AT331">
        <v>50</v>
      </c>
      <c r="AV331">
        <v>42.6</v>
      </c>
      <c r="AW331">
        <v>0</v>
      </c>
      <c r="AX331">
        <v>0</v>
      </c>
      <c r="AY331">
        <v>55.375</v>
      </c>
      <c r="AZ331">
        <v>4.5</v>
      </c>
      <c r="BA331">
        <v>0</v>
      </c>
      <c r="BB331">
        <v>0</v>
      </c>
      <c r="BC331">
        <v>59</v>
      </c>
      <c r="BN331">
        <v>203.3</v>
      </c>
      <c r="BO331">
        <v>2511</v>
      </c>
      <c r="BP331">
        <v>0</v>
      </c>
      <c r="BQ331">
        <v>44</v>
      </c>
      <c r="BR331">
        <v>44</v>
      </c>
      <c r="BS331">
        <v>44</v>
      </c>
      <c r="BT331">
        <v>0</v>
      </c>
      <c r="BV331">
        <v>0</v>
      </c>
      <c r="BW331" t="s">
        <v>655</v>
      </c>
      <c r="BX331">
        <v>0.17</v>
      </c>
      <c r="BY331">
        <v>7.48</v>
      </c>
      <c r="BZ331">
        <v>0</v>
      </c>
      <c r="CA331">
        <v>1</v>
      </c>
      <c r="CB331">
        <v>0.6</v>
      </c>
      <c r="CC331" s="3">
        <v>7.1269159999999998E-2</v>
      </c>
      <c r="CD331">
        <v>2.875</v>
      </c>
      <c r="CE331">
        <v>2.5</v>
      </c>
      <c r="CF331">
        <v>18</v>
      </c>
      <c r="CG331">
        <v>6</v>
      </c>
      <c r="CH331">
        <v>0</v>
      </c>
      <c r="CI331">
        <v>44</v>
      </c>
      <c r="CJ331">
        <v>368.4615</v>
      </c>
    </row>
    <row r="332" spans="1:88">
      <c r="A332">
        <v>330</v>
      </c>
      <c r="B332" t="s">
        <v>0</v>
      </c>
      <c r="C332" t="s">
        <v>1</v>
      </c>
      <c r="D332" t="s">
        <v>464</v>
      </c>
      <c r="E332" t="s">
        <v>177</v>
      </c>
      <c r="F332" t="s">
        <v>467</v>
      </c>
      <c r="G332" t="s">
        <v>106</v>
      </c>
      <c r="H332" t="s">
        <v>178</v>
      </c>
      <c r="J332">
        <v>2</v>
      </c>
      <c r="K332" t="s">
        <v>146</v>
      </c>
      <c r="L332" t="s">
        <v>235</v>
      </c>
      <c r="M332" t="s">
        <v>152</v>
      </c>
      <c r="N332" t="s">
        <v>127</v>
      </c>
      <c r="O332">
        <v>112</v>
      </c>
      <c r="Q332">
        <v>279</v>
      </c>
      <c r="R332">
        <v>61</v>
      </c>
      <c r="S332">
        <v>4.25</v>
      </c>
      <c r="T332">
        <v>3.1019999999999999</v>
      </c>
      <c r="U332">
        <v>6.14</v>
      </c>
      <c r="V332">
        <v>1184.77</v>
      </c>
      <c r="W332">
        <v>373</v>
      </c>
      <c r="X332">
        <v>1.5</v>
      </c>
      <c r="Y332">
        <v>258</v>
      </c>
      <c r="Z332">
        <v>4.5999999999999996</v>
      </c>
      <c r="AJ332">
        <v>2</v>
      </c>
      <c r="AK332">
        <v>18</v>
      </c>
      <c r="AM332">
        <v>0</v>
      </c>
      <c r="AO332" t="s">
        <v>179</v>
      </c>
      <c r="AT332">
        <v>44</v>
      </c>
      <c r="AV332">
        <v>32.1</v>
      </c>
      <c r="AW332">
        <v>0</v>
      </c>
      <c r="AX332">
        <v>0</v>
      </c>
      <c r="AY332">
        <v>37.75</v>
      </c>
      <c r="AZ332">
        <v>3.75</v>
      </c>
      <c r="BA332">
        <v>0</v>
      </c>
      <c r="BB332">
        <v>0</v>
      </c>
      <c r="BC332">
        <v>36</v>
      </c>
      <c r="BN332">
        <v>151.58340000000001</v>
      </c>
      <c r="BO332">
        <v>4516</v>
      </c>
      <c r="BP332">
        <v>0</v>
      </c>
      <c r="BQ332">
        <v>38</v>
      </c>
      <c r="BR332">
        <v>38</v>
      </c>
      <c r="BS332">
        <v>38.08</v>
      </c>
      <c r="BT332">
        <v>0</v>
      </c>
      <c r="BV332">
        <v>0</v>
      </c>
      <c r="BW332" t="s">
        <v>655</v>
      </c>
      <c r="BX332">
        <v>0.17</v>
      </c>
      <c r="BY332">
        <v>6.4736010000000004</v>
      </c>
      <c r="BZ332">
        <v>0</v>
      </c>
      <c r="CA332">
        <v>1</v>
      </c>
      <c r="CB332">
        <v>0.6</v>
      </c>
      <c r="CC332" s="3">
        <v>7.1269159999999998E-2</v>
      </c>
      <c r="CD332">
        <v>2.875</v>
      </c>
      <c r="CE332">
        <v>2.5</v>
      </c>
      <c r="CF332">
        <v>18</v>
      </c>
      <c r="CG332">
        <v>6</v>
      </c>
      <c r="CH332">
        <v>0</v>
      </c>
      <c r="CI332">
        <v>38.08</v>
      </c>
      <c r="CJ332">
        <v>240.18279999999999</v>
      </c>
    </row>
    <row r="333" spans="1:88">
      <c r="A333">
        <v>331</v>
      </c>
      <c r="B333" t="s">
        <v>0</v>
      </c>
      <c r="C333" t="s">
        <v>1</v>
      </c>
      <c r="D333" t="s">
        <v>217</v>
      </c>
      <c r="E333" t="s">
        <v>338</v>
      </c>
      <c r="F333" t="s">
        <v>4</v>
      </c>
      <c r="G333" t="s">
        <v>106</v>
      </c>
      <c r="H333" t="s">
        <v>231</v>
      </c>
      <c r="J333">
        <v>2</v>
      </c>
      <c r="K333" t="s">
        <v>146</v>
      </c>
      <c r="L333" t="s">
        <v>143</v>
      </c>
      <c r="M333" t="s">
        <v>339</v>
      </c>
      <c r="N333" t="s">
        <v>340</v>
      </c>
      <c r="O333">
        <v>135</v>
      </c>
      <c r="Q333">
        <v>367</v>
      </c>
      <c r="R333">
        <v>67</v>
      </c>
      <c r="S333">
        <v>4.25</v>
      </c>
      <c r="T333">
        <v>3.6850000000000001</v>
      </c>
      <c r="U333">
        <v>6.45</v>
      </c>
      <c r="V333">
        <v>1560</v>
      </c>
      <c r="W333">
        <v>429</v>
      </c>
      <c r="X333">
        <v>1.3332999999999999</v>
      </c>
      <c r="Y333">
        <v>311</v>
      </c>
      <c r="Z333">
        <v>5.01</v>
      </c>
      <c r="AJ333">
        <v>2</v>
      </c>
      <c r="AK333">
        <v>18</v>
      </c>
      <c r="AM333">
        <v>0</v>
      </c>
      <c r="AO333" t="s">
        <v>405</v>
      </c>
      <c r="AT333">
        <v>52</v>
      </c>
      <c r="AV333">
        <v>35.700000000000003</v>
      </c>
      <c r="AW333">
        <v>0</v>
      </c>
      <c r="AX333">
        <v>0</v>
      </c>
      <c r="AY333">
        <v>45.75</v>
      </c>
      <c r="AZ333">
        <v>4.375</v>
      </c>
      <c r="BA333">
        <v>0</v>
      </c>
      <c r="BB333">
        <v>0</v>
      </c>
      <c r="BC333">
        <v>46</v>
      </c>
      <c r="BN333">
        <v>169.41669999999999</v>
      </c>
      <c r="BO333">
        <v>3615</v>
      </c>
      <c r="BP333">
        <v>0</v>
      </c>
      <c r="BQ333">
        <v>46</v>
      </c>
      <c r="BR333">
        <v>46</v>
      </c>
      <c r="BS333">
        <v>46.08</v>
      </c>
      <c r="BT333">
        <v>0</v>
      </c>
      <c r="BV333">
        <v>0</v>
      </c>
      <c r="BW333" t="s">
        <v>655</v>
      </c>
      <c r="BX333">
        <v>0.17</v>
      </c>
      <c r="BY333">
        <v>7.8336009999999998</v>
      </c>
      <c r="BZ333">
        <v>0</v>
      </c>
      <c r="CA333">
        <v>1</v>
      </c>
      <c r="CB333">
        <v>0.6</v>
      </c>
      <c r="CC333" s="3">
        <v>7.1269159999999998E-2</v>
      </c>
      <c r="CD333">
        <v>2.875</v>
      </c>
      <c r="CE333">
        <v>2.5</v>
      </c>
      <c r="CF333">
        <v>18</v>
      </c>
      <c r="CG333">
        <v>6</v>
      </c>
      <c r="CH333">
        <v>0</v>
      </c>
      <c r="CI333">
        <v>46.08</v>
      </c>
      <c r="CJ333">
        <v>323.4821</v>
      </c>
    </row>
    <row r="334" spans="1:88">
      <c r="A334">
        <v>332</v>
      </c>
      <c r="B334" t="s">
        <v>0</v>
      </c>
      <c r="C334" t="s">
        <v>1</v>
      </c>
      <c r="D334" t="s">
        <v>522</v>
      </c>
      <c r="E334" t="s">
        <v>679</v>
      </c>
      <c r="F334" t="s">
        <v>691</v>
      </c>
      <c r="G334" t="s">
        <v>20</v>
      </c>
      <c r="H334" t="s">
        <v>522</v>
      </c>
      <c r="J334">
        <v>2</v>
      </c>
      <c r="K334" t="s">
        <v>9</v>
      </c>
      <c r="L334" t="s">
        <v>692</v>
      </c>
      <c r="M334" t="s">
        <v>693</v>
      </c>
      <c r="N334" t="s">
        <v>694</v>
      </c>
      <c r="O334">
        <v>279</v>
      </c>
      <c r="Q334">
        <v>1708</v>
      </c>
      <c r="R334">
        <v>160</v>
      </c>
      <c r="S334">
        <v>4.25</v>
      </c>
      <c r="T334">
        <v>6.7850000000000001</v>
      </c>
      <c r="U334">
        <v>8.32</v>
      </c>
      <c r="V334">
        <v>7256.87</v>
      </c>
      <c r="W334">
        <v>1334</v>
      </c>
      <c r="X334">
        <v>1.5</v>
      </c>
      <c r="Y334">
        <v>876</v>
      </c>
      <c r="Z334">
        <v>8.2799999999999994</v>
      </c>
      <c r="AJ334">
        <v>2</v>
      </c>
      <c r="AK334">
        <v>18</v>
      </c>
      <c r="AM334">
        <v>0</v>
      </c>
      <c r="AO334" t="s">
        <v>695</v>
      </c>
      <c r="AT334">
        <v>102</v>
      </c>
      <c r="AV334">
        <v>84.5</v>
      </c>
      <c r="AW334" t="s">
        <v>6</v>
      </c>
      <c r="AX334" t="s">
        <v>6</v>
      </c>
      <c r="AY334" t="s">
        <v>6</v>
      </c>
      <c r="AZ334" t="s">
        <v>6</v>
      </c>
      <c r="BA334" t="s">
        <v>6</v>
      </c>
      <c r="BB334" t="s">
        <v>6</v>
      </c>
      <c r="BC334" t="s">
        <v>6</v>
      </c>
      <c r="BD334" t="s">
        <v>6</v>
      </c>
      <c r="BE334" t="s">
        <v>6</v>
      </c>
      <c r="BF334" t="s">
        <v>6</v>
      </c>
      <c r="BG334" t="s">
        <v>6</v>
      </c>
      <c r="BH334" t="s">
        <v>6</v>
      </c>
      <c r="BI334" t="s">
        <v>6</v>
      </c>
      <c r="BJ334" t="s">
        <v>6</v>
      </c>
      <c r="BN334">
        <v>633.51900000000001</v>
      </c>
      <c r="BO334">
        <v>2984</v>
      </c>
      <c r="BP334">
        <v>0</v>
      </c>
      <c r="BQ334">
        <v>96</v>
      </c>
      <c r="BR334">
        <v>96</v>
      </c>
      <c r="BS334">
        <v>96.17</v>
      </c>
      <c r="BT334">
        <v>0</v>
      </c>
      <c r="BV334">
        <v>6</v>
      </c>
      <c r="BW334" t="s">
        <v>655</v>
      </c>
      <c r="BX334">
        <v>0.27933330000000001</v>
      </c>
      <c r="BY334">
        <v>26.863489999999999</v>
      </c>
      <c r="BZ334">
        <v>0</v>
      </c>
      <c r="CA334">
        <v>1</v>
      </c>
      <c r="CB334">
        <v>0.6</v>
      </c>
      <c r="CC334" s="3">
        <v>7.1269159999999998E-2</v>
      </c>
      <c r="CD334">
        <v>2.875</v>
      </c>
      <c r="CE334">
        <v>2.5</v>
      </c>
      <c r="CF334">
        <v>18</v>
      </c>
      <c r="CG334">
        <v>6</v>
      </c>
      <c r="CH334">
        <v>0</v>
      </c>
      <c r="CI334">
        <v>96.17</v>
      </c>
      <c r="CJ334">
        <v>1596.115</v>
      </c>
    </row>
    <row r="335" spans="1:88">
      <c r="A335">
        <v>333</v>
      </c>
      <c r="B335" t="s">
        <v>0</v>
      </c>
      <c r="C335" t="s">
        <v>1</v>
      </c>
      <c r="D335" t="s">
        <v>457</v>
      </c>
      <c r="E335" t="s">
        <v>212</v>
      </c>
      <c r="F335" t="s">
        <v>523</v>
      </c>
      <c r="G335" t="s">
        <v>15</v>
      </c>
      <c r="H335" t="s">
        <v>524</v>
      </c>
      <c r="J335">
        <v>2</v>
      </c>
      <c r="K335" t="s">
        <v>108</v>
      </c>
      <c r="L335" t="s">
        <v>425</v>
      </c>
      <c r="M335" t="s">
        <v>453</v>
      </c>
      <c r="N335" t="s">
        <v>454</v>
      </c>
      <c r="O335">
        <v>195</v>
      </c>
      <c r="Q335">
        <v>950</v>
      </c>
      <c r="R335">
        <v>115</v>
      </c>
      <c r="S335">
        <v>4.25</v>
      </c>
      <c r="T335">
        <v>5.0730000000000004</v>
      </c>
      <c r="U335">
        <v>7.35</v>
      </c>
      <c r="V335">
        <v>4038.94</v>
      </c>
      <c r="W335">
        <v>848</v>
      </c>
      <c r="X335">
        <v>1.3332999999999999</v>
      </c>
      <c r="Y335">
        <v>631</v>
      </c>
      <c r="Z335">
        <v>6.4</v>
      </c>
      <c r="AJ335">
        <v>2</v>
      </c>
      <c r="AK335">
        <v>18</v>
      </c>
      <c r="AM335">
        <v>0</v>
      </c>
      <c r="AO335" t="s">
        <v>494</v>
      </c>
      <c r="AT335">
        <v>73</v>
      </c>
      <c r="AV335">
        <v>66.3</v>
      </c>
      <c r="AW335" t="s">
        <v>6</v>
      </c>
      <c r="AX335" t="s">
        <v>6</v>
      </c>
      <c r="AY335" t="s">
        <v>6</v>
      </c>
      <c r="AZ335" t="s">
        <v>6</v>
      </c>
      <c r="BA335" t="s">
        <v>6</v>
      </c>
      <c r="BB335" t="s">
        <v>6</v>
      </c>
      <c r="BC335" t="s">
        <v>6</v>
      </c>
      <c r="BD335" t="s">
        <v>6</v>
      </c>
      <c r="BE335" t="s">
        <v>6</v>
      </c>
      <c r="BF335" t="s">
        <v>6</v>
      </c>
      <c r="BG335" t="s">
        <v>6</v>
      </c>
      <c r="BH335" t="s">
        <v>6</v>
      </c>
      <c r="BI335" t="s">
        <v>6</v>
      </c>
      <c r="BJ335" t="s">
        <v>6</v>
      </c>
      <c r="BN335">
        <v>565.11649999999997</v>
      </c>
      <c r="BO335">
        <v>3425</v>
      </c>
      <c r="BP335">
        <v>0</v>
      </c>
      <c r="BQ335">
        <v>67</v>
      </c>
      <c r="BR335">
        <v>67</v>
      </c>
      <c r="BS335">
        <v>66.95</v>
      </c>
      <c r="BT335">
        <v>0</v>
      </c>
      <c r="BV335">
        <v>0</v>
      </c>
      <c r="BW335" t="s">
        <v>655</v>
      </c>
      <c r="BX335">
        <v>0.17</v>
      </c>
      <c r="BY335">
        <v>11.381500000000001</v>
      </c>
      <c r="BZ335">
        <v>0</v>
      </c>
      <c r="CA335">
        <v>1</v>
      </c>
      <c r="CB335">
        <v>0.6</v>
      </c>
      <c r="CC335" s="3">
        <v>7.1269159999999998E-2</v>
      </c>
      <c r="CD335">
        <v>2.875</v>
      </c>
      <c r="CE335">
        <v>2.5</v>
      </c>
      <c r="CF335">
        <v>18</v>
      </c>
      <c r="CG335">
        <v>6</v>
      </c>
      <c r="CH335">
        <v>0</v>
      </c>
      <c r="CI335">
        <v>66.95</v>
      </c>
      <c r="CJ335">
        <v>872.58249999999998</v>
      </c>
    </row>
    <row r="336" spans="1:88">
      <c r="A336">
        <v>334</v>
      </c>
      <c r="B336" t="s">
        <v>0</v>
      </c>
      <c r="C336" t="s">
        <v>1</v>
      </c>
      <c r="D336" t="s">
        <v>96</v>
      </c>
      <c r="E336" t="s">
        <v>178</v>
      </c>
      <c r="F336" t="s">
        <v>198</v>
      </c>
      <c r="G336" t="s">
        <v>106</v>
      </c>
      <c r="H336" t="s">
        <v>162</v>
      </c>
      <c r="J336">
        <v>2</v>
      </c>
      <c r="K336" t="s">
        <v>146</v>
      </c>
      <c r="L336" t="s">
        <v>127</v>
      </c>
      <c r="M336" t="s">
        <v>179</v>
      </c>
      <c r="N336" t="s">
        <v>180</v>
      </c>
      <c r="O336">
        <v>95</v>
      </c>
      <c r="Q336">
        <v>333</v>
      </c>
      <c r="R336">
        <v>81</v>
      </c>
      <c r="S336">
        <v>4.25</v>
      </c>
      <c r="T336">
        <v>2.649</v>
      </c>
      <c r="U336">
        <v>5.81</v>
      </c>
      <c r="V336">
        <v>1417.12</v>
      </c>
      <c r="W336">
        <v>470</v>
      </c>
      <c r="X336">
        <v>1.3332999999999999</v>
      </c>
      <c r="Y336">
        <v>356</v>
      </c>
      <c r="Z336">
        <v>3.98</v>
      </c>
      <c r="AJ336">
        <v>2</v>
      </c>
      <c r="AK336">
        <v>18</v>
      </c>
      <c r="AM336">
        <v>0</v>
      </c>
      <c r="AO336" t="s">
        <v>166</v>
      </c>
      <c r="AT336">
        <v>38</v>
      </c>
      <c r="AV336">
        <v>44.8</v>
      </c>
      <c r="AW336">
        <v>0</v>
      </c>
      <c r="AX336">
        <v>0</v>
      </c>
      <c r="AY336">
        <v>40</v>
      </c>
      <c r="AZ336">
        <v>3.5</v>
      </c>
      <c r="BA336">
        <v>0</v>
      </c>
      <c r="BB336">
        <v>0</v>
      </c>
      <c r="BC336">
        <v>40</v>
      </c>
      <c r="BN336">
        <v>214</v>
      </c>
      <c r="BO336">
        <v>2266</v>
      </c>
      <c r="BP336">
        <v>0</v>
      </c>
      <c r="BQ336">
        <v>32</v>
      </c>
      <c r="BR336">
        <v>32</v>
      </c>
      <c r="BS336">
        <v>32.17</v>
      </c>
      <c r="BT336">
        <v>0</v>
      </c>
      <c r="BV336">
        <v>0</v>
      </c>
      <c r="BW336" t="s">
        <v>655</v>
      </c>
      <c r="BX336">
        <v>0.17</v>
      </c>
      <c r="BY336">
        <v>5.4688999999999997</v>
      </c>
      <c r="BZ336">
        <v>0</v>
      </c>
      <c r="CA336">
        <v>1</v>
      </c>
      <c r="CB336">
        <v>0.6</v>
      </c>
      <c r="CC336" s="3">
        <v>7.1269159999999998E-2</v>
      </c>
      <c r="CD336">
        <v>2.875</v>
      </c>
      <c r="CE336">
        <v>2.5</v>
      </c>
      <c r="CF336">
        <v>18</v>
      </c>
      <c r="CG336">
        <v>6</v>
      </c>
      <c r="CH336">
        <v>0</v>
      </c>
      <c r="CI336">
        <v>32.17</v>
      </c>
      <c r="CJ336">
        <v>283.15199999999999</v>
      </c>
    </row>
    <row r="337" spans="1:88">
      <c r="A337">
        <v>335</v>
      </c>
      <c r="B337" t="s">
        <v>13</v>
      </c>
      <c r="C337" t="s">
        <v>1</v>
      </c>
      <c r="D337" t="s">
        <v>212</v>
      </c>
      <c r="E337" t="s">
        <v>123</v>
      </c>
      <c r="F337" t="s">
        <v>213</v>
      </c>
      <c r="G337" t="s">
        <v>15</v>
      </c>
      <c r="H337" t="s">
        <v>215</v>
      </c>
      <c r="J337">
        <v>2</v>
      </c>
      <c r="K337" t="s">
        <v>108</v>
      </c>
      <c r="L337" t="s">
        <v>8</v>
      </c>
      <c r="M337" t="s">
        <v>147</v>
      </c>
      <c r="N337" t="s">
        <v>148</v>
      </c>
      <c r="O337">
        <v>183</v>
      </c>
      <c r="Q337">
        <v>919</v>
      </c>
      <c r="R337">
        <v>119</v>
      </c>
      <c r="S337">
        <v>4.25</v>
      </c>
      <c r="T337">
        <v>4.8079999999999998</v>
      </c>
      <c r="U337">
        <v>7.12</v>
      </c>
      <c r="V337">
        <v>3907.7</v>
      </c>
      <c r="W337">
        <v>844</v>
      </c>
      <c r="X337">
        <v>1.3332999999999999</v>
      </c>
      <c r="Y337">
        <v>636</v>
      </c>
      <c r="Z337">
        <v>6.14</v>
      </c>
      <c r="AJ337">
        <v>2</v>
      </c>
      <c r="AK337">
        <v>18</v>
      </c>
      <c r="AM337">
        <v>0</v>
      </c>
      <c r="AO337" t="s">
        <v>216</v>
      </c>
      <c r="AT337">
        <v>69</v>
      </c>
      <c r="AV337">
        <v>68.099999999999994</v>
      </c>
      <c r="AW337" t="s">
        <v>6</v>
      </c>
      <c r="AX337" t="s">
        <v>6</v>
      </c>
      <c r="AY337" t="s">
        <v>6</v>
      </c>
      <c r="AZ337" t="s">
        <v>6</v>
      </c>
      <c r="BA337" t="s">
        <v>6</v>
      </c>
      <c r="BB337" t="s">
        <v>6</v>
      </c>
      <c r="BC337" t="s">
        <v>6</v>
      </c>
      <c r="BD337" t="s">
        <v>6</v>
      </c>
      <c r="BE337" t="s">
        <v>6</v>
      </c>
      <c r="BF337" t="s">
        <v>6</v>
      </c>
      <c r="BG337" t="s">
        <v>6</v>
      </c>
      <c r="BH337" t="s">
        <v>6</v>
      </c>
      <c r="BI337" t="s">
        <v>6</v>
      </c>
      <c r="BJ337" t="s">
        <v>6</v>
      </c>
      <c r="BN337">
        <v>580.90189999999996</v>
      </c>
      <c r="BO337">
        <v>3242</v>
      </c>
      <c r="BP337">
        <v>0</v>
      </c>
      <c r="BQ337">
        <v>63</v>
      </c>
      <c r="BR337">
        <v>63</v>
      </c>
      <c r="BS337">
        <v>62.78</v>
      </c>
      <c r="BT337">
        <v>0</v>
      </c>
      <c r="BV337">
        <v>0</v>
      </c>
      <c r="BW337" t="s">
        <v>655</v>
      </c>
      <c r="BX337">
        <v>0.17</v>
      </c>
      <c r="BY337">
        <v>10.672599999999999</v>
      </c>
      <c r="BZ337">
        <v>0</v>
      </c>
      <c r="CA337">
        <v>1</v>
      </c>
      <c r="CB337">
        <v>0.6</v>
      </c>
      <c r="CC337" s="3">
        <v>7.1269159999999998E-2</v>
      </c>
      <c r="CD337">
        <v>2.875</v>
      </c>
      <c r="CE337">
        <v>2.5</v>
      </c>
      <c r="CF337">
        <v>18</v>
      </c>
      <c r="CG337">
        <v>6</v>
      </c>
      <c r="CH337">
        <v>0</v>
      </c>
      <c r="CI337">
        <v>62.78</v>
      </c>
      <c r="CJ337">
        <v>840.60490000000004</v>
      </c>
    </row>
    <row r="338" spans="1:88">
      <c r="A338">
        <v>336</v>
      </c>
      <c r="B338" t="s">
        <v>13</v>
      </c>
      <c r="C338" t="s">
        <v>1</v>
      </c>
      <c r="D338" t="s">
        <v>338</v>
      </c>
      <c r="E338" t="s">
        <v>3</v>
      </c>
      <c r="F338" t="s">
        <v>360</v>
      </c>
      <c r="G338" t="s">
        <v>106</v>
      </c>
      <c r="H338" t="s">
        <v>101</v>
      </c>
      <c r="J338">
        <v>2</v>
      </c>
      <c r="K338" t="s">
        <v>146</v>
      </c>
      <c r="L338" t="s">
        <v>363</v>
      </c>
      <c r="M338" t="s">
        <v>383</v>
      </c>
      <c r="N338" t="s">
        <v>119</v>
      </c>
      <c r="O338">
        <v>125</v>
      </c>
      <c r="Q338">
        <v>441</v>
      </c>
      <c r="R338">
        <v>83</v>
      </c>
      <c r="S338">
        <v>4.25</v>
      </c>
      <c r="T338">
        <v>3.4350000000000001</v>
      </c>
      <c r="U338">
        <v>6.26</v>
      </c>
      <c r="V338">
        <v>1872.63</v>
      </c>
      <c r="W338">
        <v>520</v>
      </c>
      <c r="X338">
        <v>1.3332999999999999</v>
      </c>
      <c r="Y338">
        <v>393</v>
      </c>
      <c r="Z338">
        <v>4.76</v>
      </c>
      <c r="AJ338">
        <v>2</v>
      </c>
      <c r="AK338">
        <v>18</v>
      </c>
      <c r="AM338">
        <v>0</v>
      </c>
      <c r="AO338" t="s">
        <v>403</v>
      </c>
      <c r="AT338">
        <v>49</v>
      </c>
      <c r="AV338">
        <v>46.2</v>
      </c>
      <c r="AW338">
        <v>0</v>
      </c>
      <c r="AX338">
        <v>0</v>
      </c>
      <c r="AY338">
        <v>51.5</v>
      </c>
      <c r="AZ338">
        <v>4.5</v>
      </c>
      <c r="BA338">
        <v>0</v>
      </c>
      <c r="BB338">
        <v>0</v>
      </c>
      <c r="BC338">
        <v>55</v>
      </c>
      <c r="BN338">
        <v>221.13339999999999</v>
      </c>
      <c r="BO338">
        <v>2122</v>
      </c>
      <c r="BP338">
        <v>0</v>
      </c>
      <c r="BQ338">
        <v>43</v>
      </c>
      <c r="BR338">
        <v>43</v>
      </c>
      <c r="BS338">
        <v>42.6</v>
      </c>
      <c r="BT338">
        <v>0</v>
      </c>
      <c r="BV338">
        <v>0</v>
      </c>
      <c r="BW338" t="s">
        <v>655</v>
      </c>
      <c r="BX338">
        <v>0.17</v>
      </c>
      <c r="BY338">
        <v>7.242</v>
      </c>
      <c r="BZ338">
        <v>0</v>
      </c>
      <c r="CA338">
        <v>1</v>
      </c>
      <c r="CB338">
        <v>0.6</v>
      </c>
      <c r="CC338" s="3">
        <v>7.1269159999999998E-2</v>
      </c>
      <c r="CD338">
        <v>2.875</v>
      </c>
      <c r="CE338">
        <v>2.5</v>
      </c>
      <c r="CF338">
        <v>18</v>
      </c>
      <c r="CG338">
        <v>6</v>
      </c>
      <c r="CH338">
        <v>0</v>
      </c>
      <c r="CI338">
        <v>42.6</v>
      </c>
      <c r="CJ338">
        <v>387.09840000000003</v>
      </c>
    </row>
    <row r="339" spans="1:88">
      <c r="A339">
        <v>337</v>
      </c>
      <c r="B339" t="s">
        <v>0</v>
      </c>
      <c r="C339" t="s">
        <v>1</v>
      </c>
      <c r="D339" t="s">
        <v>169</v>
      </c>
      <c r="E339" t="s">
        <v>174</v>
      </c>
      <c r="F339" t="s">
        <v>404</v>
      </c>
      <c r="G339" t="s">
        <v>106</v>
      </c>
      <c r="H339" t="s">
        <v>190</v>
      </c>
      <c r="J339">
        <v>2</v>
      </c>
      <c r="K339" t="s">
        <v>146</v>
      </c>
      <c r="L339" t="s">
        <v>257</v>
      </c>
      <c r="M339" t="s">
        <v>312</v>
      </c>
      <c r="N339" t="s">
        <v>3</v>
      </c>
      <c r="O339">
        <v>122</v>
      </c>
      <c r="Q339">
        <v>378</v>
      </c>
      <c r="R339">
        <v>74</v>
      </c>
      <c r="S339">
        <v>4.25</v>
      </c>
      <c r="T339">
        <v>3.359</v>
      </c>
      <c r="U339">
        <v>6.22</v>
      </c>
      <c r="V339">
        <v>1605.6</v>
      </c>
      <c r="W339">
        <v>460</v>
      </c>
      <c r="X339">
        <v>1.3332999999999999</v>
      </c>
      <c r="Y339">
        <v>342</v>
      </c>
      <c r="Z339">
        <v>4.6900000000000004</v>
      </c>
      <c r="AJ339">
        <v>2</v>
      </c>
      <c r="AK339">
        <v>18</v>
      </c>
      <c r="AM339">
        <v>0</v>
      </c>
      <c r="AO339" t="s">
        <v>406</v>
      </c>
      <c r="AT339">
        <v>48</v>
      </c>
      <c r="AV339">
        <v>40.4</v>
      </c>
      <c r="AW339">
        <v>0</v>
      </c>
      <c r="AX339">
        <v>0</v>
      </c>
      <c r="AY339">
        <v>41.5</v>
      </c>
      <c r="AZ339">
        <v>4.125</v>
      </c>
      <c r="BA339">
        <v>0</v>
      </c>
      <c r="BB339">
        <v>0</v>
      </c>
      <c r="BC339">
        <v>42</v>
      </c>
      <c r="BN339">
        <v>192.6</v>
      </c>
      <c r="BO339">
        <v>2797</v>
      </c>
      <c r="BP339">
        <v>0</v>
      </c>
      <c r="BQ339">
        <v>42</v>
      </c>
      <c r="BR339">
        <v>42</v>
      </c>
      <c r="BS339">
        <v>41.56</v>
      </c>
      <c r="BT339">
        <v>0</v>
      </c>
      <c r="BV339">
        <v>0</v>
      </c>
      <c r="BW339" t="s">
        <v>655</v>
      </c>
      <c r="BX339">
        <v>0.17</v>
      </c>
      <c r="BY339">
        <v>7.0652010000000001</v>
      </c>
      <c r="BZ339">
        <v>0</v>
      </c>
      <c r="CA339">
        <v>1</v>
      </c>
      <c r="CB339">
        <v>0.6</v>
      </c>
      <c r="CC339" s="3">
        <v>7.1269159999999998E-2</v>
      </c>
      <c r="CD339">
        <v>2.875</v>
      </c>
      <c r="CE339">
        <v>2.5</v>
      </c>
      <c r="CF339">
        <v>18</v>
      </c>
      <c r="CG339">
        <v>6</v>
      </c>
      <c r="CH339">
        <v>0</v>
      </c>
      <c r="CI339">
        <v>41.56</v>
      </c>
      <c r="CJ339">
        <v>330.25700000000001</v>
      </c>
    </row>
    <row r="340" spans="1:88">
      <c r="A340">
        <v>338</v>
      </c>
      <c r="B340" t="s">
        <v>0</v>
      </c>
      <c r="C340" t="s">
        <v>1</v>
      </c>
      <c r="D340" t="s">
        <v>2</v>
      </c>
      <c r="E340" t="s">
        <v>158</v>
      </c>
      <c r="F340" t="s">
        <v>154</v>
      </c>
      <c r="G340" t="s">
        <v>106</v>
      </c>
      <c r="H340" t="s">
        <v>217</v>
      </c>
      <c r="J340">
        <v>2</v>
      </c>
      <c r="K340" t="s">
        <v>146</v>
      </c>
      <c r="L340" t="s">
        <v>99</v>
      </c>
      <c r="M340" t="s">
        <v>121</v>
      </c>
      <c r="N340" t="s">
        <v>235</v>
      </c>
      <c r="O340">
        <v>129</v>
      </c>
      <c r="Q340">
        <v>356</v>
      </c>
      <c r="R340">
        <v>67</v>
      </c>
      <c r="S340">
        <v>4.25</v>
      </c>
      <c r="T340">
        <v>3.536</v>
      </c>
      <c r="U340">
        <v>6.33</v>
      </c>
      <c r="V340">
        <v>1511.3</v>
      </c>
      <c r="W340">
        <v>425</v>
      </c>
      <c r="X340">
        <v>1.3332999999999999</v>
      </c>
      <c r="Y340">
        <v>311</v>
      </c>
      <c r="Z340">
        <v>4.8600000000000003</v>
      </c>
      <c r="AJ340">
        <v>2</v>
      </c>
      <c r="AK340">
        <v>18</v>
      </c>
      <c r="AM340">
        <v>0</v>
      </c>
      <c r="AO340" t="s">
        <v>218</v>
      </c>
      <c r="AT340">
        <v>50</v>
      </c>
      <c r="AV340">
        <v>36.1</v>
      </c>
      <c r="AW340">
        <v>0</v>
      </c>
      <c r="AX340">
        <v>0</v>
      </c>
      <c r="AY340">
        <v>45.75</v>
      </c>
      <c r="AZ340">
        <v>4.25</v>
      </c>
      <c r="BA340">
        <v>0</v>
      </c>
      <c r="BB340">
        <v>0</v>
      </c>
      <c r="BC340">
        <v>46</v>
      </c>
      <c r="BN340">
        <v>171.2</v>
      </c>
      <c r="BO340">
        <v>3540</v>
      </c>
      <c r="BP340">
        <v>0</v>
      </c>
      <c r="BQ340">
        <v>44</v>
      </c>
      <c r="BR340">
        <v>44</v>
      </c>
      <c r="BS340">
        <v>44</v>
      </c>
      <c r="BT340">
        <v>0</v>
      </c>
      <c r="BV340">
        <v>0</v>
      </c>
      <c r="BW340" t="s">
        <v>655</v>
      </c>
      <c r="BX340">
        <v>0.17</v>
      </c>
      <c r="BY340">
        <v>7.48</v>
      </c>
      <c r="BZ340">
        <v>0</v>
      </c>
      <c r="CA340">
        <v>1</v>
      </c>
      <c r="CB340">
        <v>0.6</v>
      </c>
      <c r="CC340" s="3">
        <v>7.1269159999999998E-2</v>
      </c>
      <c r="CD340">
        <v>2.875</v>
      </c>
      <c r="CE340">
        <v>2.5</v>
      </c>
      <c r="CF340">
        <v>18</v>
      </c>
      <c r="CG340">
        <v>6</v>
      </c>
      <c r="CH340">
        <v>0</v>
      </c>
      <c r="CI340">
        <v>44</v>
      </c>
      <c r="CJ340">
        <v>312.01639999999998</v>
      </c>
    </row>
    <row r="341" spans="1:88">
      <c r="A341">
        <v>339</v>
      </c>
      <c r="B341" t="s">
        <v>0</v>
      </c>
      <c r="C341" t="s">
        <v>1</v>
      </c>
      <c r="D341" t="s">
        <v>510</v>
      </c>
      <c r="E341" t="s">
        <v>2</v>
      </c>
      <c r="F341" t="s">
        <v>409</v>
      </c>
      <c r="G341" t="s">
        <v>106</v>
      </c>
      <c r="H341" t="s">
        <v>346</v>
      </c>
      <c r="J341">
        <v>2</v>
      </c>
      <c r="K341" t="s">
        <v>146</v>
      </c>
      <c r="L341" t="s">
        <v>122</v>
      </c>
      <c r="M341" t="s">
        <v>4</v>
      </c>
      <c r="N341" t="s">
        <v>5</v>
      </c>
      <c r="O341">
        <v>107</v>
      </c>
      <c r="Q341">
        <v>259</v>
      </c>
      <c r="R341">
        <v>54</v>
      </c>
      <c r="S341">
        <v>4.25</v>
      </c>
      <c r="T341">
        <v>2.9710000000000001</v>
      </c>
      <c r="U341">
        <v>6.07</v>
      </c>
      <c r="V341">
        <v>1099.22</v>
      </c>
      <c r="W341">
        <v>328</v>
      </c>
      <c r="X341">
        <v>1.3332999999999999</v>
      </c>
      <c r="Y341">
        <v>256</v>
      </c>
      <c r="Z341">
        <v>4.3</v>
      </c>
      <c r="AJ341">
        <v>2</v>
      </c>
      <c r="AK341">
        <v>18</v>
      </c>
      <c r="AM341">
        <v>0</v>
      </c>
      <c r="AO341" t="s">
        <v>407</v>
      </c>
      <c r="AT341">
        <v>42</v>
      </c>
      <c r="AV341">
        <v>31</v>
      </c>
      <c r="AW341">
        <v>0</v>
      </c>
      <c r="AX341">
        <v>0</v>
      </c>
      <c r="AY341">
        <v>38</v>
      </c>
      <c r="AZ341">
        <v>3.5</v>
      </c>
      <c r="BA341">
        <v>0</v>
      </c>
      <c r="BB341">
        <v>0</v>
      </c>
      <c r="BC341">
        <v>36</v>
      </c>
      <c r="BN341">
        <v>146.23339999999999</v>
      </c>
      <c r="BO341">
        <v>4853</v>
      </c>
      <c r="BP341">
        <v>0</v>
      </c>
      <c r="BQ341">
        <v>36</v>
      </c>
      <c r="BR341">
        <v>36</v>
      </c>
      <c r="BS341">
        <v>36.340000000000003</v>
      </c>
      <c r="BT341">
        <v>0</v>
      </c>
      <c r="BV341">
        <v>0</v>
      </c>
      <c r="BW341" t="s">
        <v>655</v>
      </c>
      <c r="BX341">
        <v>0.17</v>
      </c>
      <c r="BY341">
        <v>6.1778000000000004</v>
      </c>
      <c r="BZ341">
        <v>0</v>
      </c>
      <c r="CA341">
        <v>1</v>
      </c>
      <c r="CB341">
        <v>0.6</v>
      </c>
      <c r="CC341" s="3">
        <v>7.1269159999999998E-2</v>
      </c>
      <c r="CD341">
        <v>2.875</v>
      </c>
      <c r="CE341">
        <v>2.5</v>
      </c>
      <c r="CF341">
        <v>18</v>
      </c>
      <c r="CG341">
        <v>6</v>
      </c>
      <c r="CH341">
        <v>0</v>
      </c>
      <c r="CI341">
        <v>36.340000000000003</v>
      </c>
      <c r="CJ341">
        <v>221.4383</v>
      </c>
    </row>
    <row r="342" spans="1:88">
      <c r="A342">
        <v>340</v>
      </c>
      <c r="B342" t="s">
        <v>0</v>
      </c>
      <c r="C342" t="s">
        <v>1</v>
      </c>
      <c r="D342" t="s">
        <v>178</v>
      </c>
      <c r="E342" t="s">
        <v>307</v>
      </c>
      <c r="F342" t="s">
        <v>408</v>
      </c>
      <c r="G342" t="s">
        <v>106</v>
      </c>
      <c r="H342" t="s">
        <v>141</v>
      </c>
      <c r="J342">
        <v>2</v>
      </c>
      <c r="K342" t="s">
        <v>146</v>
      </c>
      <c r="L342" t="s">
        <v>364</v>
      </c>
      <c r="M342" t="s">
        <v>308</v>
      </c>
      <c r="N342" t="s">
        <v>122</v>
      </c>
      <c r="O342">
        <v>124</v>
      </c>
      <c r="Q342">
        <v>302</v>
      </c>
      <c r="R342">
        <v>60</v>
      </c>
      <c r="S342">
        <v>4.25</v>
      </c>
      <c r="T342">
        <v>3.41</v>
      </c>
      <c r="U342">
        <v>6.22</v>
      </c>
      <c r="V342">
        <v>1285.49</v>
      </c>
      <c r="W342">
        <v>374</v>
      </c>
      <c r="X342">
        <v>1.3332999999999999</v>
      </c>
      <c r="Y342">
        <v>271</v>
      </c>
      <c r="Z342">
        <v>4.74</v>
      </c>
      <c r="AJ342">
        <v>2</v>
      </c>
      <c r="AK342">
        <v>18</v>
      </c>
      <c r="AM342">
        <v>0</v>
      </c>
      <c r="AO342" t="s">
        <v>409</v>
      </c>
      <c r="AT342">
        <v>48</v>
      </c>
      <c r="AV342">
        <v>31.7</v>
      </c>
      <c r="AW342">
        <v>0</v>
      </c>
      <c r="AX342">
        <v>0</v>
      </c>
      <c r="AY342">
        <v>35.875</v>
      </c>
      <c r="AZ342">
        <v>3.875</v>
      </c>
      <c r="BA342">
        <v>0</v>
      </c>
      <c r="BB342">
        <v>0</v>
      </c>
      <c r="BC342">
        <v>34</v>
      </c>
      <c r="BN342">
        <v>149.80000000000001</v>
      </c>
      <c r="BO342">
        <v>4624</v>
      </c>
      <c r="BP342">
        <v>0</v>
      </c>
      <c r="BQ342">
        <v>42</v>
      </c>
      <c r="BR342">
        <v>42</v>
      </c>
      <c r="BS342">
        <v>42.26</v>
      </c>
      <c r="BT342">
        <v>0</v>
      </c>
      <c r="BV342">
        <v>0</v>
      </c>
      <c r="BW342" t="s">
        <v>655</v>
      </c>
      <c r="BX342">
        <v>0.17</v>
      </c>
      <c r="BY342">
        <v>7.1841999999999997</v>
      </c>
      <c r="BZ342">
        <v>0</v>
      </c>
      <c r="CA342">
        <v>1</v>
      </c>
      <c r="CB342">
        <v>0.6</v>
      </c>
      <c r="CC342" s="3">
        <v>7.1269159999999998E-2</v>
      </c>
      <c r="CD342">
        <v>2.875</v>
      </c>
      <c r="CE342">
        <v>2.5</v>
      </c>
      <c r="CF342">
        <v>18</v>
      </c>
      <c r="CG342">
        <v>6</v>
      </c>
      <c r="CH342">
        <v>0</v>
      </c>
      <c r="CI342">
        <v>42.26</v>
      </c>
      <c r="CJ342">
        <v>263.53550000000001</v>
      </c>
    </row>
    <row r="343" spans="1:88">
      <c r="A343">
        <v>341</v>
      </c>
      <c r="B343" t="s">
        <v>0</v>
      </c>
      <c r="C343" t="s">
        <v>1</v>
      </c>
      <c r="D343" t="s">
        <v>280</v>
      </c>
      <c r="E343" t="s">
        <v>113</v>
      </c>
      <c r="F343" t="s">
        <v>102</v>
      </c>
      <c r="G343" t="s">
        <v>15</v>
      </c>
      <c r="H343" t="s">
        <v>423</v>
      </c>
      <c r="J343">
        <v>2</v>
      </c>
      <c r="K343" t="s">
        <v>108</v>
      </c>
      <c r="L343" t="s">
        <v>116</v>
      </c>
      <c r="M343" t="s">
        <v>117</v>
      </c>
      <c r="N343" t="s">
        <v>14</v>
      </c>
      <c r="O343">
        <v>179</v>
      </c>
      <c r="Q343">
        <v>1052</v>
      </c>
      <c r="R343">
        <v>139</v>
      </c>
      <c r="S343">
        <v>4.25</v>
      </c>
      <c r="T343">
        <v>4.7190000000000003</v>
      </c>
      <c r="U343">
        <v>7.05</v>
      </c>
      <c r="V343">
        <v>4472.0200000000004</v>
      </c>
      <c r="W343">
        <v>978</v>
      </c>
      <c r="X343">
        <v>1.3332999999999999</v>
      </c>
      <c r="Y343">
        <v>739</v>
      </c>
      <c r="Z343">
        <v>6.05</v>
      </c>
      <c r="AJ343">
        <v>2</v>
      </c>
      <c r="AK343">
        <v>18</v>
      </c>
      <c r="AM343">
        <v>0</v>
      </c>
      <c r="AO343" t="s">
        <v>424</v>
      </c>
      <c r="AT343">
        <v>68</v>
      </c>
      <c r="AV343">
        <v>79.8</v>
      </c>
      <c r="AW343" t="s">
        <v>6</v>
      </c>
      <c r="AX343" t="s">
        <v>6</v>
      </c>
      <c r="AY343" t="s">
        <v>6</v>
      </c>
      <c r="AZ343" t="s">
        <v>6</v>
      </c>
      <c r="BA343" t="s">
        <v>6</v>
      </c>
      <c r="BB343" t="s">
        <v>6</v>
      </c>
      <c r="BC343" t="s">
        <v>6</v>
      </c>
      <c r="BD343" t="s">
        <v>6</v>
      </c>
      <c r="BE343" t="s">
        <v>6</v>
      </c>
      <c r="BF343" t="s">
        <v>6</v>
      </c>
      <c r="BG343" t="s">
        <v>6</v>
      </c>
      <c r="BH343" t="s">
        <v>6</v>
      </c>
      <c r="BI343" t="s">
        <v>6</v>
      </c>
      <c r="BJ343" t="s">
        <v>6</v>
      </c>
      <c r="BN343">
        <v>681.92830000000004</v>
      </c>
      <c r="BO343">
        <v>2352</v>
      </c>
      <c r="BP343">
        <v>0</v>
      </c>
      <c r="BQ343">
        <v>61</v>
      </c>
      <c r="BR343">
        <v>61</v>
      </c>
      <c r="BS343">
        <v>61.39</v>
      </c>
      <c r="BT343">
        <v>0</v>
      </c>
      <c r="BV343">
        <v>0</v>
      </c>
      <c r="BW343" t="s">
        <v>655</v>
      </c>
      <c r="BX343">
        <v>0.17</v>
      </c>
      <c r="BY343">
        <v>10.436299999999999</v>
      </c>
      <c r="BZ343">
        <v>0</v>
      </c>
      <c r="CA343">
        <v>1</v>
      </c>
      <c r="CB343">
        <v>0.6</v>
      </c>
      <c r="CC343" s="3">
        <v>7.1269159999999998E-2</v>
      </c>
      <c r="CD343">
        <v>2.875</v>
      </c>
      <c r="CE343">
        <v>2.5</v>
      </c>
      <c r="CF343">
        <v>18</v>
      </c>
      <c r="CG343">
        <v>6</v>
      </c>
      <c r="CH343">
        <v>0</v>
      </c>
      <c r="CI343">
        <v>61.39</v>
      </c>
      <c r="CJ343">
        <v>962</v>
      </c>
    </row>
    <row r="344" spans="1:88">
      <c r="A344">
        <v>342</v>
      </c>
      <c r="B344" t="s">
        <v>0</v>
      </c>
      <c r="C344" t="s">
        <v>1</v>
      </c>
      <c r="D344" t="s">
        <v>525</v>
      </c>
      <c r="E344" t="s">
        <v>279</v>
      </c>
      <c r="F344" t="s">
        <v>526</v>
      </c>
      <c r="G344" t="s">
        <v>15</v>
      </c>
      <c r="H344" t="s">
        <v>527</v>
      </c>
      <c r="J344">
        <v>2</v>
      </c>
      <c r="K344" t="s">
        <v>108</v>
      </c>
      <c r="L344" t="s">
        <v>201</v>
      </c>
      <c r="M344" t="s">
        <v>144</v>
      </c>
      <c r="N344" t="s">
        <v>267</v>
      </c>
      <c r="O344">
        <v>156</v>
      </c>
      <c r="Q344">
        <v>880</v>
      </c>
      <c r="R344">
        <v>132</v>
      </c>
      <c r="S344">
        <v>4.25</v>
      </c>
      <c r="T344">
        <v>4.1900000000000004</v>
      </c>
      <c r="U344">
        <v>6.82</v>
      </c>
      <c r="V344">
        <v>3738.55</v>
      </c>
      <c r="W344">
        <v>899</v>
      </c>
      <c r="X344">
        <v>1.3332999999999999</v>
      </c>
      <c r="Y344">
        <v>677</v>
      </c>
      <c r="Z344">
        <v>5.52</v>
      </c>
      <c r="AJ344">
        <v>2</v>
      </c>
      <c r="AK344">
        <v>18</v>
      </c>
      <c r="AM344">
        <v>0</v>
      </c>
      <c r="AO344" t="s">
        <v>528</v>
      </c>
      <c r="AT344">
        <v>60</v>
      </c>
      <c r="AV344">
        <v>75.8</v>
      </c>
      <c r="AW344" t="s">
        <v>6</v>
      </c>
      <c r="AX344" t="s">
        <v>6</v>
      </c>
      <c r="AY344" t="s">
        <v>6</v>
      </c>
      <c r="AZ344" t="s">
        <v>6</v>
      </c>
      <c r="BA344" t="s">
        <v>6</v>
      </c>
      <c r="BB344" t="s">
        <v>6</v>
      </c>
      <c r="BC344" t="s">
        <v>6</v>
      </c>
      <c r="BD344" t="s">
        <v>6</v>
      </c>
      <c r="BE344" t="s">
        <v>6</v>
      </c>
      <c r="BF344" t="s">
        <v>6</v>
      </c>
      <c r="BG344" t="s">
        <v>6</v>
      </c>
      <c r="BH344" t="s">
        <v>6</v>
      </c>
      <c r="BI344" t="s">
        <v>6</v>
      </c>
      <c r="BJ344" t="s">
        <v>6</v>
      </c>
      <c r="BN344">
        <v>647.20050000000003</v>
      </c>
      <c r="BO344">
        <v>2611</v>
      </c>
      <c r="BP344">
        <v>0</v>
      </c>
      <c r="BQ344">
        <v>53</v>
      </c>
      <c r="BR344">
        <v>53</v>
      </c>
      <c r="BS344">
        <v>53.39</v>
      </c>
      <c r="BT344">
        <v>0</v>
      </c>
      <c r="BV344">
        <v>0</v>
      </c>
      <c r="BW344" t="s">
        <v>655</v>
      </c>
      <c r="BX344">
        <v>0.17</v>
      </c>
      <c r="BY344">
        <v>9.0762990000000006</v>
      </c>
      <c r="BZ344">
        <v>0</v>
      </c>
      <c r="CA344">
        <v>1</v>
      </c>
      <c r="CB344">
        <v>0.6</v>
      </c>
      <c r="CC344" s="3">
        <v>7.1269159999999998E-2</v>
      </c>
      <c r="CD344">
        <v>2.875</v>
      </c>
      <c r="CE344">
        <v>2.5</v>
      </c>
      <c r="CF344">
        <v>18</v>
      </c>
      <c r="CG344">
        <v>6</v>
      </c>
      <c r="CH344">
        <v>0</v>
      </c>
      <c r="CI344">
        <v>53.39</v>
      </c>
      <c r="CJ344">
        <v>794.78200000000004</v>
      </c>
    </row>
    <row r="345" spans="1:88">
      <c r="A345">
        <v>343</v>
      </c>
      <c r="B345" t="s">
        <v>0</v>
      </c>
      <c r="C345" t="s">
        <v>1</v>
      </c>
      <c r="D345" t="s">
        <v>150</v>
      </c>
      <c r="E345" t="s">
        <v>2</v>
      </c>
      <c r="F345" t="s">
        <v>152</v>
      </c>
      <c r="G345" t="s">
        <v>106</v>
      </c>
      <c r="H345" t="s">
        <v>5</v>
      </c>
      <c r="J345">
        <v>2</v>
      </c>
      <c r="K345" t="s">
        <v>146</v>
      </c>
      <c r="L345" t="s">
        <v>122</v>
      </c>
      <c r="M345" t="s">
        <v>4</v>
      </c>
      <c r="N345" t="s">
        <v>5</v>
      </c>
      <c r="O345">
        <v>107</v>
      </c>
      <c r="Q345">
        <v>312</v>
      </c>
      <c r="R345">
        <v>69</v>
      </c>
      <c r="S345">
        <v>4.25</v>
      </c>
      <c r="T345">
        <v>2.9710000000000001</v>
      </c>
      <c r="U345">
        <v>6.07</v>
      </c>
      <c r="V345">
        <v>1325.1</v>
      </c>
      <c r="W345">
        <v>421</v>
      </c>
      <c r="X345">
        <v>1.3332999999999999</v>
      </c>
      <c r="Y345">
        <v>308</v>
      </c>
      <c r="Z345">
        <v>4.3</v>
      </c>
      <c r="AJ345">
        <v>2</v>
      </c>
      <c r="AK345">
        <v>18</v>
      </c>
      <c r="AM345">
        <v>0</v>
      </c>
      <c r="AO345" t="s">
        <v>155</v>
      </c>
      <c r="AT345">
        <v>42</v>
      </c>
      <c r="AV345">
        <v>37.5</v>
      </c>
      <c r="AW345">
        <v>0</v>
      </c>
      <c r="AX345">
        <v>0</v>
      </c>
      <c r="AY345">
        <v>31.625</v>
      </c>
      <c r="AZ345">
        <v>3.5</v>
      </c>
      <c r="BA345">
        <v>0</v>
      </c>
      <c r="BB345">
        <v>0</v>
      </c>
      <c r="BC345">
        <v>30</v>
      </c>
      <c r="BN345">
        <v>178.33340000000001</v>
      </c>
      <c r="BO345">
        <v>3263</v>
      </c>
      <c r="BP345">
        <v>0</v>
      </c>
      <c r="BQ345">
        <v>36</v>
      </c>
      <c r="BR345">
        <v>36</v>
      </c>
      <c r="BS345">
        <v>36.340000000000003</v>
      </c>
      <c r="BT345">
        <v>0</v>
      </c>
      <c r="BV345">
        <v>0</v>
      </c>
      <c r="BW345" t="s">
        <v>655</v>
      </c>
      <c r="BX345">
        <v>0.17</v>
      </c>
      <c r="BY345">
        <v>6.1778000000000004</v>
      </c>
      <c r="BZ345">
        <v>0</v>
      </c>
      <c r="CA345">
        <v>1</v>
      </c>
      <c r="CB345">
        <v>0.6</v>
      </c>
      <c r="CC345" s="3">
        <v>7.1269159999999998E-2</v>
      </c>
      <c r="CD345">
        <v>2.875</v>
      </c>
      <c r="CE345">
        <v>2.5</v>
      </c>
      <c r="CF345">
        <v>18</v>
      </c>
      <c r="CG345">
        <v>6</v>
      </c>
      <c r="CH345">
        <v>0</v>
      </c>
      <c r="CI345">
        <v>36.340000000000003</v>
      </c>
      <c r="CJ345">
        <v>268.05680000000001</v>
      </c>
    </row>
    <row r="346" spans="1:88">
      <c r="A346">
        <v>344</v>
      </c>
      <c r="B346" t="s">
        <v>13</v>
      </c>
      <c r="C346" t="s">
        <v>1</v>
      </c>
      <c r="D346" t="s">
        <v>2</v>
      </c>
      <c r="E346" t="s">
        <v>172</v>
      </c>
      <c r="F346" t="s">
        <v>154</v>
      </c>
      <c r="G346" t="s">
        <v>106</v>
      </c>
      <c r="H346" t="s">
        <v>217</v>
      </c>
      <c r="J346">
        <v>2</v>
      </c>
      <c r="K346" t="s">
        <v>146</v>
      </c>
      <c r="L346" t="s">
        <v>233</v>
      </c>
      <c r="M346" t="s">
        <v>490</v>
      </c>
      <c r="N346" t="s">
        <v>128</v>
      </c>
      <c r="O346">
        <v>137</v>
      </c>
      <c r="Q346">
        <v>376</v>
      </c>
      <c r="R346">
        <v>67</v>
      </c>
      <c r="S346">
        <v>4.25</v>
      </c>
      <c r="T346">
        <v>3.734</v>
      </c>
      <c r="U346">
        <v>6.48</v>
      </c>
      <c r="V346">
        <v>1597.1</v>
      </c>
      <c r="W346">
        <v>435</v>
      </c>
      <c r="X346">
        <v>1.3332999999999999</v>
      </c>
      <c r="Y346">
        <v>316</v>
      </c>
      <c r="Z346">
        <v>5.0599999999999996</v>
      </c>
      <c r="AJ346">
        <v>2</v>
      </c>
      <c r="AK346">
        <v>18</v>
      </c>
      <c r="AM346">
        <v>0</v>
      </c>
      <c r="AO346" t="s">
        <v>218</v>
      </c>
      <c r="AT346">
        <v>53</v>
      </c>
      <c r="AV346">
        <v>36.1</v>
      </c>
      <c r="AW346">
        <v>0</v>
      </c>
      <c r="AX346">
        <v>0</v>
      </c>
      <c r="AY346">
        <v>45.125</v>
      </c>
      <c r="AZ346">
        <v>4.375</v>
      </c>
      <c r="BA346">
        <v>0</v>
      </c>
      <c r="BB346">
        <v>0</v>
      </c>
      <c r="BC346">
        <v>46</v>
      </c>
      <c r="BN346">
        <v>171.2</v>
      </c>
      <c r="BO346">
        <v>3540</v>
      </c>
      <c r="BP346">
        <v>0</v>
      </c>
      <c r="BQ346">
        <v>47</v>
      </c>
      <c r="BR346">
        <v>47</v>
      </c>
      <c r="BS346">
        <v>46.78</v>
      </c>
      <c r="BT346">
        <v>0</v>
      </c>
      <c r="BV346">
        <v>0</v>
      </c>
      <c r="BW346" t="s">
        <v>655</v>
      </c>
      <c r="BX346">
        <v>0.17</v>
      </c>
      <c r="BY346">
        <v>7.9526000000000003</v>
      </c>
      <c r="BZ346">
        <v>0</v>
      </c>
      <c r="CA346">
        <v>1</v>
      </c>
      <c r="CB346">
        <v>0.6</v>
      </c>
      <c r="CC346" s="3">
        <v>7.1269159999999998E-2</v>
      </c>
      <c r="CD346">
        <v>2.875</v>
      </c>
      <c r="CE346">
        <v>2.5</v>
      </c>
      <c r="CF346">
        <v>18</v>
      </c>
      <c r="CG346">
        <v>6</v>
      </c>
      <c r="CH346">
        <v>0</v>
      </c>
      <c r="CI346">
        <v>46.78</v>
      </c>
      <c r="CJ346">
        <v>331.73009999999999</v>
      </c>
    </row>
    <row r="347" spans="1:88">
      <c r="A347">
        <v>345</v>
      </c>
      <c r="B347" t="s">
        <v>0</v>
      </c>
      <c r="C347" t="s">
        <v>1</v>
      </c>
      <c r="D347" t="s">
        <v>143</v>
      </c>
      <c r="E347" t="s">
        <v>148</v>
      </c>
      <c r="F347" t="s">
        <v>144</v>
      </c>
      <c r="G347" t="s">
        <v>106</v>
      </c>
      <c r="H347" t="s">
        <v>145</v>
      </c>
      <c r="J347">
        <v>2</v>
      </c>
      <c r="K347" t="s">
        <v>146</v>
      </c>
      <c r="L347" t="s">
        <v>12</v>
      </c>
      <c r="M347" t="s">
        <v>529</v>
      </c>
      <c r="N347" t="s">
        <v>168</v>
      </c>
      <c r="O347">
        <v>186</v>
      </c>
      <c r="Q347">
        <v>735</v>
      </c>
      <c r="R347">
        <v>95</v>
      </c>
      <c r="S347">
        <v>4.25</v>
      </c>
      <c r="T347">
        <v>4.875</v>
      </c>
      <c r="U347">
        <v>7.2</v>
      </c>
      <c r="V347">
        <v>3124.89</v>
      </c>
      <c r="W347">
        <v>681</v>
      </c>
      <c r="X347">
        <v>1.3332999999999999</v>
      </c>
      <c r="Y347">
        <v>504</v>
      </c>
      <c r="Z347">
        <v>6.2</v>
      </c>
      <c r="AJ347">
        <v>2</v>
      </c>
      <c r="AK347">
        <v>18</v>
      </c>
      <c r="AM347">
        <v>0</v>
      </c>
      <c r="AO347" t="s">
        <v>149</v>
      </c>
      <c r="AT347">
        <v>70</v>
      </c>
      <c r="AV347">
        <v>53.5</v>
      </c>
      <c r="AW347">
        <v>0.4375</v>
      </c>
      <c r="AX347">
        <v>3.75</v>
      </c>
      <c r="AY347">
        <v>56.5</v>
      </c>
      <c r="AZ347">
        <v>5.375</v>
      </c>
      <c r="BA347">
        <v>252</v>
      </c>
      <c r="BB347">
        <v>6.53</v>
      </c>
      <c r="BC347">
        <v>57</v>
      </c>
      <c r="BD347">
        <v>0.4375</v>
      </c>
      <c r="BE347">
        <v>3.75</v>
      </c>
      <c r="BF347">
        <v>56.5</v>
      </c>
      <c r="BG347">
        <v>5.375</v>
      </c>
      <c r="BH347">
        <v>252</v>
      </c>
      <c r="BI347">
        <v>6.53</v>
      </c>
      <c r="BJ347">
        <v>57</v>
      </c>
      <c r="BL347">
        <v>504</v>
      </c>
      <c r="BM347">
        <v>114</v>
      </c>
      <c r="BN347">
        <v>256.80009999999999</v>
      </c>
      <c r="BO347">
        <v>1574</v>
      </c>
      <c r="BP347">
        <v>0</v>
      </c>
      <c r="BQ347">
        <v>64</v>
      </c>
      <c r="BR347">
        <v>64</v>
      </c>
      <c r="BS347">
        <v>63.82</v>
      </c>
      <c r="BT347">
        <v>0</v>
      </c>
      <c r="BV347">
        <v>0</v>
      </c>
      <c r="BW347" t="s">
        <v>655</v>
      </c>
      <c r="BX347">
        <v>0.17</v>
      </c>
      <c r="BY347">
        <v>10.849399999999999</v>
      </c>
      <c r="BZ347">
        <v>0</v>
      </c>
      <c r="CA347">
        <v>1</v>
      </c>
      <c r="CB347">
        <v>0.6</v>
      </c>
      <c r="CC347" s="3">
        <v>7.1269159999999998E-2</v>
      </c>
      <c r="CD347">
        <v>2.875</v>
      </c>
      <c r="CE347">
        <v>2.5</v>
      </c>
      <c r="CF347">
        <v>18</v>
      </c>
      <c r="CG347">
        <v>6</v>
      </c>
      <c r="CH347">
        <v>0</v>
      </c>
      <c r="CI347">
        <v>63.82</v>
      </c>
      <c r="CJ347">
        <v>670.8886</v>
      </c>
    </row>
    <row r="348" spans="1:88">
      <c r="A348">
        <v>346</v>
      </c>
      <c r="B348" t="s">
        <v>0</v>
      </c>
      <c r="C348" t="s">
        <v>1</v>
      </c>
      <c r="D348" t="s">
        <v>283</v>
      </c>
      <c r="E348" t="s">
        <v>139</v>
      </c>
      <c r="F348" t="s">
        <v>243</v>
      </c>
      <c r="G348" t="s">
        <v>106</v>
      </c>
      <c r="H348" t="s">
        <v>284</v>
      </c>
      <c r="J348">
        <v>2</v>
      </c>
      <c r="K348" t="s">
        <v>146</v>
      </c>
      <c r="L348" t="s">
        <v>158</v>
      </c>
      <c r="M348" t="s">
        <v>385</v>
      </c>
      <c r="N348" t="s">
        <v>177</v>
      </c>
      <c r="O348">
        <v>109</v>
      </c>
      <c r="Q348">
        <v>245</v>
      </c>
      <c r="R348">
        <v>51</v>
      </c>
      <c r="S348">
        <v>4.25</v>
      </c>
      <c r="T348">
        <v>3.024</v>
      </c>
      <c r="U348">
        <v>6.11</v>
      </c>
      <c r="V348">
        <v>1041.29</v>
      </c>
      <c r="W348">
        <v>309</v>
      </c>
      <c r="X348">
        <v>1.3332999999999999</v>
      </c>
      <c r="Y348">
        <v>239</v>
      </c>
      <c r="Z348">
        <v>4.3499999999999996</v>
      </c>
      <c r="AJ348">
        <v>2</v>
      </c>
      <c r="AK348">
        <v>18</v>
      </c>
      <c r="AM348">
        <v>0</v>
      </c>
      <c r="AO348" t="s">
        <v>285</v>
      </c>
      <c r="AT348">
        <v>43</v>
      </c>
      <c r="AV348">
        <v>28.8</v>
      </c>
      <c r="AW348">
        <v>0</v>
      </c>
      <c r="AX348">
        <v>0</v>
      </c>
      <c r="AY348">
        <v>27</v>
      </c>
      <c r="AZ348">
        <v>3.25</v>
      </c>
      <c r="BA348">
        <v>0</v>
      </c>
      <c r="BB348">
        <v>0</v>
      </c>
      <c r="BC348">
        <v>24</v>
      </c>
      <c r="BN348">
        <v>135.5334</v>
      </c>
      <c r="BO348">
        <v>5649</v>
      </c>
      <c r="BP348">
        <v>0</v>
      </c>
      <c r="BQ348">
        <v>37</v>
      </c>
      <c r="BR348">
        <v>37</v>
      </c>
      <c r="BS348">
        <v>37.04</v>
      </c>
      <c r="BT348">
        <v>0</v>
      </c>
      <c r="BV348">
        <v>0</v>
      </c>
      <c r="BW348" t="s">
        <v>655</v>
      </c>
      <c r="BX348">
        <v>0.17</v>
      </c>
      <c r="BY348">
        <v>6.2968000000000002</v>
      </c>
      <c r="BZ348">
        <v>0</v>
      </c>
      <c r="CA348">
        <v>1</v>
      </c>
      <c r="CB348">
        <v>0.6</v>
      </c>
      <c r="CC348" s="3">
        <v>7.1269159999999998E-2</v>
      </c>
      <c r="CD348">
        <v>2.875</v>
      </c>
      <c r="CE348">
        <v>2.5</v>
      </c>
      <c r="CF348">
        <v>18</v>
      </c>
      <c r="CG348">
        <v>6</v>
      </c>
      <c r="CH348">
        <v>0</v>
      </c>
      <c r="CI348">
        <v>37.04</v>
      </c>
      <c r="CJ348">
        <v>209.86490000000001</v>
      </c>
    </row>
    <row r="349" spans="1:88">
      <c r="A349">
        <v>347</v>
      </c>
      <c r="B349" t="s">
        <v>0</v>
      </c>
      <c r="C349" t="s">
        <v>1</v>
      </c>
      <c r="D349" t="s">
        <v>530</v>
      </c>
      <c r="E349" t="s">
        <v>178</v>
      </c>
      <c r="F349" t="s">
        <v>531</v>
      </c>
      <c r="G349" t="s">
        <v>106</v>
      </c>
      <c r="H349" t="s">
        <v>491</v>
      </c>
      <c r="J349">
        <v>2</v>
      </c>
      <c r="K349" t="s">
        <v>146</v>
      </c>
      <c r="L349" t="s">
        <v>127</v>
      </c>
      <c r="M349" t="s">
        <v>179</v>
      </c>
      <c r="N349" t="s">
        <v>180</v>
      </c>
      <c r="O349">
        <v>95</v>
      </c>
      <c r="Q349">
        <v>113</v>
      </c>
      <c r="R349">
        <v>28</v>
      </c>
      <c r="S349">
        <v>4.25</v>
      </c>
      <c r="T349">
        <v>2.649</v>
      </c>
      <c r="U349">
        <v>5.81</v>
      </c>
      <c r="V349">
        <v>480.33</v>
      </c>
      <c r="W349">
        <v>164</v>
      </c>
      <c r="X349">
        <v>1.3332999999999999</v>
      </c>
      <c r="Y349">
        <v>121</v>
      </c>
      <c r="Z349">
        <v>3.98</v>
      </c>
      <c r="AJ349">
        <v>2</v>
      </c>
      <c r="AK349">
        <v>18</v>
      </c>
      <c r="AM349">
        <v>0</v>
      </c>
      <c r="AO349" t="s">
        <v>492</v>
      </c>
      <c r="AT349">
        <v>38</v>
      </c>
      <c r="AV349">
        <v>14.7</v>
      </c>
      <c r="AW349">
        <v>0</v>
      </c>
      <c r="AX349">
        <v>0</v>
      </c>
      <c r="AY349">
        <v>21.125</v>
      </c>
      <c r="AZ349">
        <v>2.5</v>
      </c>
      <c r="BA349">
        <v>0</v>
      </c>
      <c r="BB349">
        <v>0</v>
      </c>
      <c r="BC349">
        <v>16</v>
      </c>
      <c r="BN349">
        <v>65.983350000000002</v>
      </c>
      <c r="BO349">
        <v>23834</v>
      </c>
      <c r="BP349">
        <v>0</v>
      </c>
      <c r="BQ349">
        <v>32</v>
      </c>
      <c r="BR349">
        <v>32</v>
      </c>
      <c r="BS349">
        <v>32.17</v>
      </c>
      <c r="BT349">
        <v>0</v>
      </c>
      <c r="BV349">
        <v>0</v>
      </c>
      <c r="BW349" t="s">
        <v>655</v>
      </c>
      <c r="BX349">
        <v>0.17</v>
      </c>
      <c r="BY349">
        <v>5.4688999999999997</v>
      </c>
      <c r="BZ349">
        <v>0</v>
      </c>
      <c r="CA349">
        <v>1</v>
      </c>
      <c r="CB349">
        <v>0.6</v>
      </c>
      <c r="CC349" s="3">
        <v>7.1269159999999998E-2</v>
      </c>
      <c r="CD349">
        <v>2.875</v>
      </c>
      <c r="CE349">
        <v>2.5</v>
      </c>
      <c r="CF349">
        <v>18</v>
      </c>
      <c r="CG349">
        <v>6</v>
      </c>
      <c r="CH349">
        <v>0</v>
      </c>
      <c r="CI349">
        <v>32.17</v>
      </c>
      <c r="CJ349">
        <v>92.855509999999995</v>
      </c>
    </row>
    <row r="350" spans="1:88">
      <c r="A350">
        <v>348</v>
      </c>
      <c r="B350" t="s">
        <v>0</v>
      </c>
      <c r="C350" t="s">
        <v>1</v>
      </c>
      <c r="D350" t="s">
        <v>532</v>
      </c>
      <c r="E350" t="s">
        <v>103</v>
      </c>
      <c r="F350" t="s">
        <v>533</v>
      </c>
      <c r="G350" t="s">
        <v>15</v>
      </c>
      <c r="H350" t="s">
        <v>534</v>
      </c>
      <c r="J350">
        <v>2</v>
      </c>
      <c r="K350" t="s">
        <v>108</v>
      </c>
      <c r="L350" t="s">
        <v>455</v>
      </c>
      <c r="M350" t="s">
        <v>315</v>
      </c>
      <c r="N350" t="s">
        <v>316</v>
      </c>
      <c r="O350">
        <v>167</v>
      </c>
      <c r="Q350">
        <v>955</v>
      </c>
      <c r="R350">
        <v>134</v>
      </c>
      <c r="S350">
        <v>4.25</v>
      </c>
      <c r="T350">
        <v>4.4459999999999997</v>
      </c>
      <c r="U350">
        <v>6.86</v>
      </c>
      <c r="V350">
        <v>4058.53</v>
      </c>
      <c r="W350">
        <v>922</v>
      </c>
      <c r="X350">
        <v>1.3332999999999999</v>
      </c>
      <c r="Y350">
        <v>703</v>
      </c>
      <c r="Z350">
        <v>5.77</v>
      </c>
      <c r="AJ350">
        <v>2</v>
      </c>
      <c r="AK350">
        <v>18</v>
      </c>
      <c r="AM350">
        <v>0</v>
      </c>
      <c r="AO350" t="s">
        <v>535</v>
      </c>
      <c r="AT350">
        <v>63</v>
      </c>
      <c r="AV350">
        <v>77.2</v>
      </c>
      <c r="AW350" t="s">
        <v>6</v>
      </c>
      <c r="AX350" t="s">
        <v>6</v>
      </c>
      <c r="AY350" t="s">
        <v>6</v>
      </c>
      <c r="AZ350" t="s">
        <v>6</v>
      </c>
      <c r="BA350" t="s">
        <v>6</v>
      </c>
      <c r="BB350" t="s">
        <v>6</v>
      </c>
      <c r="BC350" t="s">
        <v>6</v>
      </c>
      <c r="BD350" t="s">
        <v>6</v>
      </c>
      <c r="BE350" t="s">
        <v>6</v>
      </c>
      <c r="BF350" t="s">
        <v>6</v>
      </c>
      <c r="BG350" t="s">
        <v>6</v>
      </c>
      <c r="BH350" t="s">
        <v>6</v>
      </c>
      <c r="BI350" t="s">
        <v>6</v>
      </c>
      <c r="BJ350" t="s">
        <v>6</v>
      </c>
      <c r="BN350">
        <v>659.82870000000003</v>
      </c>
      <c r="BO350">
        <v>2512</v>
      </c>
      <c r="BP350">
        <v>0</v>
      </c>
      <c r="BQ350">
        <v>57</v>
      </c>
      <c r="BR350">
        <v>57</v>
      </c>
      <c r="BS350">
        <v>57.21</v>
      </c>
      <c r="BT350">
        <v>0</v>
      </c>
      <c r="BV350">
        <v>0</v>
      </c>
      <c r="BW350" t="s">
        <v>655</v>
      </c>
      <c r="BX350">
        <v>0.17</v>
      </c>
      <c r="BY350">
        <v>9.7257010000000008</v>
      </c>
      <c r="BZ350">
        <v>0</v>
      </c>
      <c r="CA350">
        <v>1</v>
      </c>
      <c r="CB350">
        <v>0.6</v>
      </c>
      <c r="CC350" s="3">
        <v>7.1269159999999998E-2</v>
      </c>
      <c r="CD350">
        <v>2.875</v>
      </c>
      <c r="CE350">
        <v>2.5</v>
      </c>
      <c r="CF350">
        <v>18</v>
      </c>
      <c r="CG350">
        <v>6</v>
      </c>
      <c r="CH350">
        <v>0</v>
      </c>
      <c r="CI350">
        <v>57.21</v>
      </c>
      <c r="CJ350">
        <v>867.95699999999999</v>
      </c>
    </row>
    <row r="351" spans="1:88">
      <c r="A351">
        <v>349</v>
      </c>
      <c r="B351" t="s">
        <v>13</v>
      </c>
      <c r="C351" t="s">
        <v>1</v>
      </c>
      <c r="D351" t="s">
        <v>172</v>
      </c>
      <c r="E351" t="s">
        <v>295</v>
      </c>
      <c r="F351" t="s">
        <v>359</v>
      </c>
      <c r="G351" t="s">
        <v>106</v>
      </c>
      <c r="H351" t="s">
        <v>330</v>
      </c>
      <c r="J351">
        <v>2</v>
      </c>
      <c r="K351" t="s">
        <v>146</v>
      </c>
      <c r="L351" t="s">
        <v>316</v>
      </c>
      <c r="M351" t="s">
        <v>296</v>
      </c>
      <c r="N351" t="s">
        <v>207</v>
      </c>
      <c r="O351">
        <v>150</v>
      </c>
      <c r="Q351">
        <v>529</v>
      </c>
      <c r="R351">
        <v>84</v>
      </c>
      <c r="S351">
        <v>4.25</v>
      </c>
      <c r="T351">
        <v>4.048</v>
      </c>
      <c r="U351">
        <v>6.71</v>
      </c>
      <c r="V351">
        <v>2249.0100000000002</v>
      </c>
      <c r="W351">
        <v>566</v>
      </c>
      <c r="X351">
        <v>1.3332999999999999</v>
      </c>
      <c r="Y351">
        <v>418</v>
      </c>
      <c r="Z351">
        <v>5.38</v>
      </c>
      <c r="AJ351">
        <v>2</v>
      </c>
      <c r="AK351">
        <v>18</v>
      </c>
      <c r="AM351">
        <v>0</v>
      </c>
      <c r="AO351" t="s">
        <v>360</v>
      </c>
      <c r="AT351">
        <v>57</v>
      </c>
      <c r="AV351">
        <v>47</v>
      </c>
      <c r="AW351">
        <v>0.46875</v>
      </c>
      <c r="AX351">
        <v>3.75</v>
      </c>
      <c r="AY351">
        <v>55.375</v>
      </c>
      <c r="AZ351">
        <v>5</v>
      </c>
      <c r="BA351">
        <v>366.32</v>
      </c>
      <c r="BB351">
        <v>5.38</v>
      </c>
      <c r="BC351">
        <v>59</v>
      </c>
      <c r="BD351">
        <v>0.25</v>
      </c>
      <c r="BE351">
        <v>2.75</v>
      </c>
      <c r="BF351">
        <v>22.25</v>
      </c>
      <c r="BG351">
        <v>2.75</v>
      </c>
      <c r="BH351">
        <v>51.7</v>
      </c>
      <c r="BI351">
        <v>6.64</v>
      </c>
      <c r="BJ351">
        <v>10</v>
      </c>
      <c r="BL351">
        <v>418.02</v>
      </c>
      <c r="BM351">
        <v>69</v>
      </c>
      <c r="BN351">
        <v>224.70009999999999</v>
      </c>
      <c r="BO351">
        <v>2055</v>
      </c>
      <c r="BP351">
        <v>0</v>
      </c>
      <c r="BQ351">
        <v>51</v>
      </c>
      <c r="BR351">
        <v>51</v>
      </c>
      <c r="BS351">
        <v>51.3</v>
      </c>
      <c r="BT351">
        <v>0</v>
      </c>
      <c r="BV351">
        <v>0</v>
      </c>
      <c r="BW351" t="s">
        <v>655</v>
      </c>
      <c r="BX351">
        <v>0.17</v>
      </c>
      <c r="BY351">
        <v>8.7210000000000001</v>
      </c>
      <c r="BZ351">
        <v>0</v>
      </c>
      <c r="CA351">
        <v>1</v>
      </c>
      <c r="CB351">
        <v>0.6</v>
      </c>
      <c r="CC351" s="3">
        <v>7.1269159999999998E-2</v>
      </c>
      <c r="CD351">
        <v>2.875</v>
      </c>
      <c r="CE351">
        <v>2.5</v>
      </c>
      <c r="CF351">
        <v>18</v>
      </c>
      <c r="CG351">
        <v>6</v>
      </c>
      <c r="CH351">
        <v>0</v>
      </c>
      <c r="CI351">
        <v>51.3</v>
      </c>
      <c r="CJ351">
        <v>473.46589999999998</v>
      </c>
    </row>
    <row r="352" spans="1:88">
      <c r="A352">
        <v>350</v>
      </c>
      <c r="B352" t="s">
        <v>0</v>
      </c>
      <c r="C352" t="s">
        <v>1</v>
      </c>
      <c r="D352" t="s">
        <v>525</v>
      </c>
      <c r="E352" t="s">
        <v>150</v>
      </c>
      <c r="F352" t="s">
        <v>526</v>
      </c>
      <c r="G352" t="s">
        <v>15</v>
      </c>
      <c r="H352" t="s">
        <v>527</v>
      </c>
      <c r="J352">
        <v>2</v>
      </c>
      <c r="K352" t="s">
        <v>108</v>
      </c>
      <c r="L352" t="s">
        <v>96</v>
      </c>
      <c r="M352" t="s">
        <v>159</v>
      </c>
      <c r="N352" t="s">
        <v>130</v>
      </c>
      <c r="O352">
        <v>111</v>
      </c>
      <c r="Q352">
        <v>644</v>
      </c>
      <c r="R352">
        <v>132</v>
      </c>
      <c r="S352">
        <v>4.25</v>
      </c>
      <c r="T352">
        <v>3.0760000000000001</v>
      </c>
      <c r="U352">
        <v>6.14</v>
      </c>
      <c r="V352">
        <v>2736.49</v>
      </c>
      <c r="W352">
        <v>809</v>
      </c>
      <c r="X352">
        <v>1.3332999999999999</v>
      </c>
      <c r="Y352">
        <v>622</v>
      </c>
      <c r="Z352">
        <v>4.4000000000000004</v>
      </c>
      <c r="AJ352">
        <v>2</v>
      </c>
      <c r="AK352">
        <v>18</v>
      </c>
      <c r="AM352">
        <v>0</v>
      </c>
      <c r="AO352" t="s">
        <v>528</v>
      </c>
      <c r="AT352">
        <v>44</v>
      </c>
      <c r="AV352">
        <v>75.8</v>
      </c>
      <c r="AW352" t="s">
        <v>6</v>
      </c>
      <c r="AX352" t="s">
        <v>6</v>
      </c>
      <c r="AY352" t="s">
        <v>6</v>
      </c>
      <c r="AZ352" t="s">
        <v>6</v>
      </c>
      <c r="BA352" t="s">
        <v>6</v>
      </c>
      <c r="BB352" t="s">
        <v>6</v>
      </c>
      <c r="BC352" t="s">
        <v>6</v>
      </c>
      <c r="BD352" t="s">
        <v>6</v>
      </c>
      <c r="BE352" t="s">
        <v>6</v>
      </c>
      <c r="BF352" t="s">
        <v>6</v>
      </c>
      <c r="BG352" t="s">
        <v>6</v>
      </c>
      <c r="BH352" t="s">
        <v>6</v>
      </c>
      <c r="BI352" t="s">
        <v>6</v>
      </c>
      <c r="BJ352" t="s">
        <v>6</v>
      </c>
      <c r="BN352">
        <v>647.20050000000003</v>
      </c>
      <c r="BO352">
        <v>2611</v>
      </c>
      <c r="BP352">
        <v>0</v>
      </c>
      <c r="BQ352">
        <v>38</v>
      </c>
      <c r="BR352">
        <v>38</v>
      </c>
      <c r="BS352">
        <v>37.729999999999997</v>
      </c>
      <c r="BT352">
        <v>0</v>
      </c>
      <c r="BV352">
        <v>0</v>
      </c>
      <c r="BW352" t="s">
        <v>655</v>
      </c>
      <c r="BX352">
        <v>0.17</v>
      </c>
      <c r="BY352">
        <v>6.4141000000000004</v>
      </c>
      <c r="BZ352">
        <v>0</v>
      </c>
      <c r="CA352">
        <v>1</v>
      </c>
      <c r="CB352">
        <v>0.6</v>
      </c>
      <c r="CC352" s="3">
        <v>7.1269159999999998E-2</v>
      </c>
      <c r="CD352">
        <v>2.875</v>
      </c>
      <c r="CE352">
        <v>2.5</v>
      </c>
      <c r="CF352">
        <v>18</v>
      </c>
      <c r="CG352">
        <v>6</v>
      </c>
      <c r="CH352">
        <v>0</v>
      </c>
      <c r="CI352">
        <v>37.729999999999997</v>
      </c>
      <c r="CJ352">
        <v>561.66179999999997</v>
      </c>
    </row>
    <row r="353" spans="1:88">
      <c r="A353">
        <v>351</v>
      </c>
      <c r="B353" t="s">
        <v>0</v>
      </c>
      <c r="C353" t="s">
        <v>1</v>
      </c>
      <c r="D353" t="s">
        <v>199</v>
      </c>
      <c r="E353" t="s">
        <v>104</v>
      </c>
      <c r="F353" t="s">
        <v>216</v>
      </c>
      <c r="G353" t="s">
        <v>15</v>
      </c>
      <c r="H353" t="s">
        <v>336</v>
      </c>
      <c r="J353">
        <v>2</v>
      </c>
      <c r="K353" t="s">
        <v>108</v>
      </c>
      <c r="L353" t="s">
        <v>109</v>
      </c>
      <c r="M353" t="s">
        <v>110</v>
      </c>
      <c r="N353" t="s">
        <v>111</v>
      </c>
      <c r="O353">
        <v>191</v>
      </c>
      <c r="Q353">
        <v>947</v>
      </c>
      <c r="R353">
        <v>117</v>
      </c>
      <c r="S353">
        <v>4.25</v>
      </c>
      <c r="T353">
        <v>4.9850000000000003</v>
      </c>
      <c r="U353">
        <v>7.27</v>
      </c>
      <c r="V353">
        <v>4025.13</v>
      </c>
      <c r="W353">
        <v>853</v>
      </c>
      <c r="X353">
        <v>1.3332999999999999</v>
      </c>
      <c r="Y353">
        <v>638</v>
      </c>
      <c r="Z353">
        <v>6.31</v>
      </c>
      <c r="AJ353">
        <v>2</v>
      </c>
      <c r="AK353">
        <v>18</v>
      </c>
      <c r="AM353">
        <v>0</v>
      </c>
      <c r="AO353" t="s">
        <v>337</v>
      </c>
      <c r="AT353">
        <v>72</v>
      </c>
      <c r="AV353">
        <v>67.400000000000006</v>
      </c>
      <c r="AW353" t="s">
        <v>6</v>
      </c>
      <c r="AX353" t="s">
        <v>6</v>
      </c>
      <c r="AY353" t="s">
        <v>6</v>
      </c>
      <c r="AZ353" t="s">
        <v>6</v>
      </c>
      <c r="BA353" t="s">
        <v>6</v>
      </c>
      <c r="BB353" t="s">
        <v>6</v>
      </c>
      <c r="BC353" t="s">
        <v>6</v>
      </c>
      <c r="BD353" t="s">
        <v>6</v>
      </c>
      <c r="BE353" t="s">
        <v>6</v>
      </c>
      <c r="BF353" t="s">
        <v>6</v>
      </c>
      <c r="BG353" t="s">
        <v>6</v>
      </c>
      <c r="BH353" t="s">
        <v>6</v>
      </c>
      <c r="BI353" t="s">
        <v>6</v>
      </c>
      <c r="BJ353" t="s">
        <v>6</v>
      </c>
      <c r="BN353">
        <v>574.58770000000004</v>
      </c>
      <c r="BO353">
        <v>3313</v>
      </c>
      <c r="BP353">
        <v>0</v>
      </c>
      <c r="BQ353">
        <v>66</v>
      </c>
      <c r="BR353">
        <v>66</v>
      </c>
      <c r="BS353">
        <v>65.56</v>
      </c>
      <c r="BT353">
        <v>0</v>
      </c>
      <c r="BV353">
        <v>0</v>
      </c>
      <c r="BW353" t="s">
        <v>655</v>
      </c>
      <c r="BX353">
        <v>0.17</v>
      </c>
      <c r="BY353">
        <v>11.145200000000001</v>
      </c>
      <c r="BZ353">
        <v>0</v>
      </c>
      <c r="CA353">
        <v>1</v>
      </c>
      <c r="CB353">
        <v>0.6</v>
      </c>
      <c r="CC353" s="3">
        <v>7.1269159999999998E-2</v>
      </c>
      <c r="CD353">
        <v>2.875</v>
      </c>
      <c r="CE353">
        <v>2.5</v>
      </c>
      <c r="CF353">
        <v>18</v>
      </c>
      <c r="CG353">
        <v>6</v>
      </c>
      <c r="CH353">
        <v>0</v>
      </c>
      <c r="CI353">
        <v>65.56</v>
      </c>
      <c r="CJ353">
        <v>868.48339999999996</v>
      </c>
    </row>
    <row r="354" spans="1:88">
      <c r="A354">
        <v>352</v>
      </c>
      <c r="B354" t="s">
        <v>0</v>
      </c>
      <c r="C354" t="s">
        <v>1</v>
      </c>
      <c r="D354" t="s">
        <v>483</v>
      </c>
      <c r="E354" t="s">
        <v>536</v>
      </c>
      <c r="F354" t="s">
        <v>696</v>
      </c>
      <c r="G354" t="s">
        <v>15</v>
      </c>
      <c r="H354" t="s">
        <v>483</v>
      </c>
      <c r="J354">
        <v>2</v>
      </c>
      <c r="K354" t="s">
        <v>9</v>
      </c>
      <c r="L354" t="s">
        <v>240</v>
      </c>
      <c r="M354" t="s">
        <v>531</v>
      </c>
      <c r="N354" t="s">
        <v>368</v>
      </c>
      <c r="O354">
        <v>49</v>
      </c>
      <c r="Q354">
        <v>415</v>
      </c>
      <c r="R354">
        <v>171</v>
      </c>
      <c r="S354">
        <v>4.25</v>
      </c>
      <c r="T354">
        <v>1.3029999999999999</v>
      </c>
      <c r="U354">
        <v>4.9400000000000004</v>
      </c>
      <c r="V354">
        <v>1763.7</v>
      </c>
      <c r="W354">
        <v>844</v>
      </c>
      <c r="X354">
        <v>1.1666000000000001</v>
      </c>
      <c r="Y354">
        <v>717</v>
      </c>
      <c r="Z354">
        <v>2.46</v>
      </c>
      <c r="AJ354">
        <v>2</v>
      </c>
      <c r="AK354">
        <v>18</v>
      </c>
      <c r="AM354">
        <v>0</v>
      </c>
      <c r="AO354" t="s">
        <v>697</v>
      </c>
      <c r="AT354">
        <v>22</v>
      </c>
      <c r="AV354">
        <v>98.3</v>
      </c>
      <c r="AW354">
        <v>0</v>
      </c>
      <c r="AX354">
        <v>0</v>
      </c>
      <c r="AY354">
        <v>28.25</v>
      </c>
      <c r="AZ354">
        <v>2.25</v>
      </c>
      <c r="BA354">
        <v>0</v>
      </c>
      <c r="BB354">
        <v>0</v>
      </c>
      <c r="BC354">
        <v>30</v>
      </c>
      <c r="BN354">
        <v>842.93910000000005</v>
      </c>
      <c r="BO354">
        <v>1539</v>
      </c>
      <c r="BP354">
        <v>0</v>
      </c>
      <c r="BQ354">
        <v>16</v>
      </c>
      <c r="BR354">
        <v>16</v>
      </c>
      <c r="BS354">
        <v>16.170000000000002</v>
      </c>
      <c r="BT354">
        <v>0</v>
      </c>
      <c r="BV354">
        <v>6</v>
      </c>
      <c r="BW354" t="s">
        <v>655</v>
      </c>
      <c r="BX354">
        <v>0.27933340000000001</v>
      </c>
      <c r="BY354">
        <v>4.5168210000000002</v>
      </c>
      <c r="BZ354">
        <v>0</v>
      </c>
      <c r="CA354">
        <v>1</v>
      </c>
      <c r="CB354">
        <v>0.6</v>
      </c>
      <c r="CC354" s="3">
        <v>7.1269159999999998E-2</v>
      </c>
      <c r="CD354">
        <v>2.875</v>
      </c>
      <c r="CE354">
        <v>2.5</v>
      </c>
      <c r="CF354">
        <v>18</v>
      </c>
      <c r="CG354">
        <v>6</v>
      </c>
      <c r="CH354">
        <v>0</v>
      </c>
      <c r="CI354">
        <v>16.170000000000002</v>
      </c>
      <c r="CJ354">
        <v>312.16239999999999</v>
      </c>
    </row>
    <row r="355" spans="1:88">
      <c r="A355">
        <v>353</v>
      </c>
      <c r="B355" t="s">
        <v>0</v>
      </c>
      <c r="C355" t="s">
        <v>1</v>
      </c>
      <c r="D355" t="s">
        <v>176</v>
      </c>
      <c r="E355" t="s">
        <v>176</v>
      </c>
      <c r="F355" t="s">
        <v>134</v>
      </c>
      <c r="G355" t="s">
        <v>106</v>
      </c>
      <c r="H355" t="s">
        <v>177</v>
      </c>
      <c r="J355">
        <v>2</v>
      </c>
      <c r="K355" t="s">
        <v>146</v>
      </c>
      <c r="L355" t="s">
        <v>167</v>
      </c>
      <c r="M355" t="s">
        <v>226</v>
      </c>
      <c r="N355" t="s">
        <v>227</v>
      </c>
      <c r="O355">
        <v>113</v>
      </c>
      <c r="Q355">
        <v>334</v>
      </c>
      <c r="R355">
        <v>71</v>
      </c>
      <c r="S355">
        <v>4.25</v>
      </c>
      <c r="T355">
        <v>3.1280000000000001</v>
      </c>
      <c r="U355">
        <v>6.18</v>
      </c>
      <c r="V355">
        <v>1418.52</v>
      </c>
      <c r="W355">
        <v>436</v>
      </c>
      <c r="X355">
        <v>1.3332999999999999</v>
      </c>
      <c r="Y355">
        <v>318</v>
      </c>
      <c r="Z355">
        <v>4.46</v>
      </c>
      <c r="AJ355">
        <v>2</v>
      </c>
      <c r="AK355">
        <v>18</v>
      </c>
      <c r="AM355">
        <v>0</v>
      </c>
      <c r="AO355" t="s">
        <v>152</v>
      </c>
      <c r="AT355">
        <v>45</v>
      </c>
      <c r="AV355">
        <v>38.200000000000003</v>
      </c>
      <c r="AW355">
        <v>0</v>
      </c>
      <c r="AX355">
        <v>0</v>
      </c>
      <c r="AY355">
        <v>44.75</v>
      </c>
      <c r="AZ355">
        <v>3.875</v>
      </c>
      <c r="BA355">
        <v>0</v>
      </c>
      <c r="BB355">
        <v>0</v>
      </c>
      <c r="BC355">
        <v>45</v>
      </c>
      <c r="BN355">
        <v>181.9</v>
      </c>
      <c r="BO355">
        <v>3136</v>
      </c>
      <c r="BP355">
        <v>0</v>
      </c>
      <c r="BQ355">
        <v>38</v>
      </c>
      <c r="BR355">
        <v>38</v>
      </c>
      <c r="BS355">
        <v>38.43</v>
      </c>
      <c r="BT355">
        <v>0</v>
      </c>
      <c r="BV355">
        <v>0</v>
      </c>
      <c r="BW355" t="s">
        <v>655</v>
      </c>
      <c r="BX355">
        <v>0.17</v>
      </c>
      <c r="BY355">
        <v>6.5331000000000001</v>
      </c>
      <c r="BZ355">
        <v>0</v>
      </c>
      <c r="CA355">
        <v>1</v>
      </c>
      <c r="CB355">
        <v>0.6</v>
      </c>
      <c r="CC355" s="3">
        <v>7.1269159999999998E-2</v>
      </c>
      <c r="CD355">
        <v>2.875</v>
      </c>
      <c r="CE355">
        <v>2.5</v>
      </c>
      <c r="CF355">
        <v>18</v>
      </c>
      <c r="CG355">
        <v>6</v>
      </c>
      <c r="CH355">
        <v>0</v>
      </c>
      <c r="CI355">
        <v>38.43</v>
      </c>
      <c r="CJ355">
        <v>288.95119999999997</v>
      </c>
    </row>
    <row r="356" spans="1:88">
      <c r="A356">
        <v>354</v>
      </c>
      <c r="B356" t="s">
        <v>0</v>
      </c>
      <c r="C356" t="s">
        <v>1</v>
      </c>
      <c r="D356" t="s">
        <v>165</v>
      </c>
      <c r="E356" t="s">
        <v>143</v>
      </c>
      <c r="F356" t="s">
        <v>184</v>
      </c>
      <c r="G356" t="s">
        <v>106</v>
      </c>
      <c r="H356" t="s">
        <v>234</v>
      </c>
      <c r="J356">
        <v>2</v>
      </c>
      <c r="K356" t="s">
        <v>146</v>
      </c>
      <c r="L356" t="s">
        <v>297</v>
      </c>
      <c r="M356" t="s">
        <v>206</v>
      </c>
      <c r="N356" t="s">
        <v>131</v>
      </c>
      <c r="O356">
        <v>155</v>
      </c>
      <c r="Q356">
        <v>591</v>
      </c>
      <c r="R356">
        <v>91</v>
      </c>
      <c r="S356">
        <v>4.25</v>
      </c>
      <c r="T356">
        <v>4.1660000000000004</v>
      </c>
      <c r="U356">
        <v>6.78</v>
      </c>
      <c r="V356">
        <v>2512.2600000000002</v>
      </c>
      <c r="W356">
        <v>614</v>
      </c>
      <c r="X356">
        <v>1.3332999999999999</v>
      </c>
      <c r="Y356">
        <v>458</v>
      </c>
      <c r="Z356">
        <v>5.49</v>
      </c>
      <c r="AJ356">
        <v>2</v>
      </c>
      <c r="AK356">
        <v>18</v>
      </c>
      <c r="AM356">
        <v>0</v>
      </c>
      <c r="AO356" t="s">
        <v>435</v>
      </c>
      <c r="AT356">
        <v>59</v>
      </c>
      <c r="AV356">
        <v>51</v>
      </c>
      <c r="AW356">
        <v>0.46875</v>
      </c>
      <c r="AX356">
        <v>3.75</v>
      </c>
      <c r="AY356">
        <v>56.5</v>
      </c>
      <c r="AZ356">
        <v>5.125</v>
      </c>
      <c r="BA356">
        <v>358.98</v>
      </c>
      <c r="BB356">
        <v>5.49</v>
      </c>
      <c r="BC356">
        <v>61</v>
      </c>
      <c r="BD356">
        <v>0.3125</v>
      </c>
      <c r="BE356">
        <v>2.75</v>
      </c>
      <c r="BF356">
        <v>36.5</v>
      </c>
      <c r="BG356">
        <v>3.375</v>
      </c>
      <c r="BH356">
        <v>98.62</v>
      </c>
      <c r="BI356">
        <v>6.48</v>
      </c>
      <c r="BJ356">
        <v>19</v>
      </c>
      <c r="BL356">
        <v>457.6</v>
      </c>
      <c r="BM356">
        <v>79</v>
      </c>
      <c r="BN356">
        <v>244.3167</v>
      </c>
      <c r="BO356">
        <v>1738</v>
      </c>
      <c r="BP356">
        <v>0</v>
      </c>
      <c r="BQ356">
        <v>53</v>
      </c>
      <c r="BR356">
        <v>53</v>
      </c>
      <c r="BS356">
        <v>53.04</v>
      </c>
      <c r="BT356">
        <v>0</v>
      </c>
      <c r="BV356">
        <v>0</v>
      </c>
      <c r="BW356" t="s">
        <v>655</v>
      </c>
      <c r="BX356">
        <v>0.17</v>
      </c>
      <c r="BY356">
        <v>9.0167999999999999</v>
      </c>
      <c r="BZ356">
        <v>0</v>
      </c>
      <c r="CA356">
        <v>1</v>
      </c>
      <c r="CB356">
        <v>0.6</v>
      </c>
      <c r="CC356" s="3">
        <v>7.1269159999999998E-2</v>
      </c>
      <c r="CD356">
        <v>2.875</v>
      </c>
      <c r="CE356">
        <v>2.5</v>
      </c>
      <c r="CF356">
        <v>18</v>
      </c>
      <c r="CG356">
        <v>6</v>
      </c>
      <c r="CH356">
        <v>0</v>
      </c>
      <c r="CI356">
        <v>53.04</v>
      </c>
      <c r="CJ356">
        <v>531.10630000000003</v>
      </c>
    </row>
    <row r="357" spans="1:88">
      <c r="A357">
        <v>355</v>
      </c>
      <c r="B357" t="s">
        <v>13</v>
      </c>
      <c r="C357" t="s">
        <v>1</v>
      </c>
      <c r="D357" t="s">
        <v>203</v>
      </c>
      <c r="E357" t="s">
        <v>267</v>
      </c>
      <c r="F357" t="s">
        <v>250</v>
      </c>
      <c r="G357" t="s">
        <v>15</v>
      </c>
      <c r="H357" t="s">
        <v>538</v>
      </c>
      <c r="J357">
        <v>2</v>
      </c>
      <c r="K357" t="s">
        <v>108</v>
      </c>
      <c r="L357" t="s">
        <v>113</v>
      </c>
      <c r="M357" t="s">
        <v>232</v>
      </c>
      <c r="N357" t="s">
        <v>258</v>
      </c>
      <c r="O357">
        <v>159</v>
      </c>
      <c r="Q357">
        <v>832</v>
      </c>
      <c r="R357">
        <v>122</v>
      </c>
      <c r="S357">
        <v>4.25</v>
      </c>
      <c r="T357">
        <v>4.26</v>
      </c>
      <c r="U357">
        <v>6.75</v>
      </c>
      <c r="V357">
        <v>3534.68</v>
      </c>
      <c r="W357">
        <v>826</v>
      </c>
      <c r="X357">
        <v>1.3332999999999999</v>
      </c>
      <c r="Y357">
        <v>632</v>
      </c>
      <c r="Z357">
        <v>5.59</v>
      </c>
      <c r="AJ357">
        <v>2</v>
      </c>
      <c r="AK357">
        <v>18</v>
      </c>
      <c r="AM357">
        <v>0</v>
      </c>
      <c r="AO357" t="s">
        <v>539</v>
      </c>
      <c r="AT357">
        <v>61</v>
      </c>
      <c r="AV357">
        <v>70.3</v>
      </c>
      <c r="AW357" t="s">
        <v>6</v>
      </c>
      <c r="AX357" t="s">
        <v>6</v>
      </c>
      <c r="AY357" t="s">
        <v>6</v>
      </c>
      <c r="AZ357" t="s">
        <v>6</v>
      </c>
      <c r="BA357" t="s">
        <v>6</v>
      </c>
      <c r="BB357" t="s">
        <v>6</v>
      </c>
      <c r="BC357" t="s">
        <v>6</v>
      </c>
      <c r="BD357" t="s">
        <v>6</v>
      </c>
      <c r="BE357" t="s">
        <v>6</v>
      </c>
      <c r="BF357" t="s">
        <v>6</v>
      </c>
      <c r="BG357" t="s">
        <v>6</v>
      </c>
      <c r="BH357" t="s">
        <v>6</v>
      </c>
      <c r="BI357" t="s">
        <v>6</v>
      </c>
      <c r="BJ357" t="s">
        <v>6</v>
      </c>
      <c r="BN357">
        <v>599.84429999999998</v>
      </c>
      <c r="BO357">
        <v>3040</v>
      </c>
      <c r="BP357">
        <v>0</v>
      </c>
      <c r="BQ357">
        <v>54</v>
      </c>
      <c r="BR357">
        <v>54</v>
      </c>
      <c r="BS357">
        <v>54.43</v>
      </c>
      <c r="BT357">
        <v>0</v>
      </c>
      <c r="BV357">
        <v>0</v>
      </c>
      <c r="BW357" t="s">
        <v>655</v>
      </c>
      <c r="BX357">
        <v>0.17</v>
      </c>
      <c r="BY357">
        <v>9.2531009999999991</v>
      </c>
      <c r="BZ357">
        <v>0</v>
      </c>
      <c r="CA357">
        <v>1</v>
      </c>
      <c r="CB357">
        <v>0.6</v>
      </c>
      <c r="CC357" s="3">
        <v>7.1269159999999998E-2</v>
      </c>
      <c r="CD357">
        <v>2.875</v>
      </c>
      <c r="CE357">
        <v>2.5</v>
      </c>
      <c r="CF357">
        <v>18</v>
      </c>
      <c r="CG357">
        <v>6</v>
      </c>
      <c r="CH357">
        <v>0</v>
      </c>
      <c r="CI357">
        <v>54.43</v>
      </c>
      <c r="CJ357">
        <v>752.0761</v>
      </c>
    </row>
    <row r="358" spans="1:88">
      <c r="A358">
        <v>356</v>
      </c>
      <c r="B358" t="s">
        <v>0</v>
      </c>
      <c r="C358" t="s">
        <v>1</v>
      </c>
      <c r="D358" t="s">
        <v>8</v>
      </c>
      <c r="E358" t="s">
        <v>307</v>
      </c>
      <c r="F358" t="s">
        <v>246</v>
      </c>
      <c r="G358" t="s">
        <v>214</v>
      </c>
      <c r="H358" t="s">
        <v>247</v>
      </c>
      <c r="J358">
        <v>2</v>
      </c>
      <c r="K358" t="s">
        <v>108</v>
      </c>
      <c r="L358" t="s">
        <v>364</v>
      </c>
      <c r="M358" t="s">
        <v>308</v>
      </c>
      <c r="N358" t="s">
        <v>122</v>
      </c>
      <c r="O358">
        <v>124</v>
      </c>
      <c r="Q358">
        <v>668</v>
      </c>
      <c r="R358">
        <v>124</v>
      </c>
      <c r="S358">
        <v>4.25</v>
      </c>
      <c r="T358">
        <v>3.41</v>
      </c>
      <c r="U358">
        <v>6.22</v>
      </c>
      <c r="V358">
        <v>2839.93</v>
      </c>
      <c r="W358">
        <v>769</v>
      </c>
      <c r="X358">
        <v>1.3332999999999999</v>
      </c>
      <c r="Y358">
        <v>599</v>
      </c>
      <c r="Z358">
        <v>4.74</v>
      </c>
      <c r="AJ358">
        <v>2</v>
      </c>
      <c r="AK358">
        <v>18</v>
      </c>
      <c r="AM358">
        <v>0</v>
      </c>
      <c r="AO358" t="s">
        <v>250</v>
      </c>
      <c r="AT358">
        <v>48</v>
      </c>
      <c r="AV358">
        <v>71.099999999999994</v>
      </c>
      <c r="AW358">
        <v>0.4375</v>
      </c>
      <c r="AX358">
        <v>3.75</v>
      </c>
      <c r="AY358">
        <v>43.125</v>
      </c>
      <c r="AZ358">
        <v>4.125</v>
      </c>
      <c r="BA358">
        <v>329.52</v>
      </c>
      <c r="BB358">
        <v>4.99</v>
      </c>
      <c r="BC358">
        <v>44</v>
      </c>
      <c r="BD358">
        <v>0.40625</v>
      </c>
      <c r="BE358">
        <v>3.75</v>
      </c>
      <c r="BF358">
        <v>36.125</v>
      </c>
      <c r="BG358">
        <v>3.875</v>
      </c>
      <c r="BH358">
        <v>269.62</v>
      </c>
      <c r="BI358">
        <v>4.91</v>
      </c>
      <c r="BJ358">
        <v>34</v>
      </c>
      <c r="BL358">
        <v>599.14</v>
      </c>
      <c r="BM358">
        <v>77</v>
      </c>
      <c r="BN358">
        <v>345.28</v>
      </c>
      <c r="BO358">
        <v>1092</v>
      </c>
      <c r="BP358">
        <v>0</v>
      </c>
      <c r="BQ358">
        <v>42</v>
      </c>
      <c r="BR358">
        <v>42</v>
      </c>
      <c r="BS358">
        <v>42.26</v>
      </c>
      <c r="BT358">
        <v>0</v>
      </c>
      <c r="BV358">
        <v>0</v>
      </c>
      <c r="BW358" t="s">
        <v>655</v>
      </c>
      <c r="BX358">
        <v>0.17</v>
      </c>
      <c r="BY358">
        <v>7.1841999999999997</v>
      </c>
      <c r="BZ358">
        <v>0</v>
      </c>
      <c r="CA358">
        <v>1</v>
      </c>
      <c r="CB358">
        <v>0.6</v>
      </c>
      <c r="CC358" s="3">
        <v>7.1269159999999998E-2</v>
      </c>
      <c r="CD358">
        <v>2.875</v>
      </c>
      <c r="CE358">
        <v>2.5</v>
      </c>
      <c r="CF358">
        <v>18</v>
      </c>
      <c r="CG358">
        <v>6</v>
      </c>
      <c r="CH358">
        <v>0</v>
      </c>
      <c r="CI358">
        <v>42.26</v>
      </c>
      <c r="CJ358">
        <v>589.94299999999998</v>
      </c>
    </row>
    <row r="359" spans="1:88">
      <c r="A359">
        <v>357</v>
      </c>
      <c r="B359" t="s">
        <v>13</v>
      </c>
      <c r="C359" t="s">
        <v>1</v>
      </c>
      <c r="D359" t="s">
        <v>316</v>
      </c>
      <c r="E359" t="s">
        <v>255</v>
      </c>
      <c r="F359" t="s">
        <v>349</v>
      </c>
      <c r="G359" t="s">
        <v>106</v>
      </c>
      <c r="H359" t="s">
        <v>350</v>
      </c>
      <c r="J359">
        <v>2</v>
      </c>
      <c r="K359" t="s">
        <v>108</v>
      </c>
      <c r="L359" t="s">
        <v>276</v>
      </c>
      <c r="M359" t="s">
        <v>277</v>
      </c>
      <c r="N359" t="s">
        <v>123</v>
      </c>
      <c r="O359">
        <v>180</v>
      </c>
      <c r="Q359">
        <v>786</v>
      </c>
      <c r="R359">
        <v>103</v>
      </c>
      <c r="S359">
        <v>4.25</v>
      </c>
      <c r="T359">
        <v>4.7409999999999997</v>
      </c>
      <c r="U359">
        <v>7.08</v>
      </c>
      <c r="V359">
        <v>3341.22</v>
      </c>
      <c r="W359">
        <v>732</v>
      </c>
      <c r="X359">
        <v>1.3332999999999999</v>
      </c>
      <c r="Y359">
        <v>550</v>
      </c>
      <c r="Z359">
        <v>6.07</v>
      </c>
      <c r="AJ359">
        <v>2</v>
      </c>
      <c r="AK359">
        <v>18</v>
      </c>
      <c r="AM359">
        <v>0</v>
      </c>
      <c r="AO359" t="s">
        <v>352</v>
      </c>
      <c r="AT359">
        <v>68</v>
      </c>
      <c r="AV359">
        <v>59.1</v>
      </c>
      <c r="AW359" t="s">
        <v>6</v>
      </c>
      <c r="AX359" t="s">
        <v>6</v>
      </c>
      <c r="AY359" t="s">
        <v>6</v>
      </c>
      <c r="AZ359" t="s">
        <v>6</v>
      </c>
      <c r="BA359" t="s">
        <v>6</v>
      </c>
      <c r="BB359" t="s">
        <v>6</v>
      </c>
      <c r="BC359" t="s">
        <v>6</v>
      </c>
      <c r="BD359" t="s">
        <v>6</v>
      </c>
      <c r="BE359" t="s">
        <v>6</v>
      </c>
      <c r="BF359" t="s">
        <v>6</v>
      </c>
      <c r="BG359" t="s">
        <v>6</v>
      </c>
      <c r="BH359" t="s">
        <v>6</v>
      </c>
      <c r="BI359" t="s">
        <v>6</v>
      </c>
      <c r="BJ359" t="s">
        <v>6</v>
      </c>
      <c r="BN359">
        <v>283.55009999999999</v>
      </c>
      <c r="BO359">
        <v>1291</v>
      </c>
      <c r="BP359">
        <v>0</v>
      </c>
      <c r="BQ359">
        <v>62</v>
      </c>
      <c r="BR359">
        <v>62</v>
      </c>
      <c r="BS359">
        <v>61.73</v>
      </c>
      <c r="BT359">
        <v>0</v>
      </c>
      <c r="BV359">
        <v>0</v>
      </c>
      <c r="BW359" t="s">
        <v>655</v>
      </c>
      <c r="BX359">
        <v>0.17</v>
      </c>
      <c r="BY359">
        <v>10.4941</v>
      </c>
      <c r="BZ359">
        <v>0</v>
      </c>
      <c r="CA359">
        <v>1</v>
      </c>
      <c r="CB359">
        <v>0.6</v>
      </c>
      <c r="CC359" s="3">
        <v>7.1269159999999998E-2</v>
      </c>
      <c r="CD359">
        <v>2.875</v>
      </c>
      <c r="CE359">
        <v>2.5</v>
      </c>
      <c r="CF359">
        <v>18</v>
      </c>
      <c r="CG359">
        <v>6</v>
      </c>
      <c r="CH359">
        <v>0</v>
      </c>
      <c r="CI359">
        <v>61.73</v>
      </c>
      <c r="CJ359">
        <v>716.55960000000005</v>
      </c>
    </row>
    <row r="360" spans="1:88">
      <c r="A360">
        <v>358</v>
      </c>
      <c r="B360" t="s">
        <v>0</v>
      </c>
      <c r="C360" t="s">
        <v>1</v>
      </c>
      <c r="D360" t="s">
        <v>272</v>
      </c>
      <c r="E360" t="s">
        <v>208</v>
      </c>
      <c r="F360" t="s">
        <v>273</v>
      </c>
      <c r="G360" t="s">
        <v>106</v>
      </c>
      <c r="H360" t="s">
        <v>274</v>
      </c>
      <c r="J360">
        <v>2</v>
      </c>
      <c r="K360" t="s">
        <v>108</v>
      </c>
      <c r="L360" t="s">
        <v>95</v>
      </c>
      <c r="M360" t="s">
        <v>396</v>
      </c>
      <c r="N360" t="s">
        <v>397</v>
      </c>
      <c r="O360">
        <v>209</v>
      </c>
      <c r="Q360">
        <v>850</v>
      </c>
      <c r="R360">
        <v>105</v>
      </c>
      <c r="S360">
        <v>4.25</v>
      </c>
      <c r="T360">
        <v>5.375</v>
      </c>
      <c r="U360">
        <v>7.42</v>
      </c>
      <c r="V360">
        <v>3613.3</v>
      </c>
      <c r="W360">
        <v>781</v>
      </c>
      <c r="X360">
        <v>1.5</v>
      </c>
      <c r="Y360">
        <v>526</v>
      </c>
      <c r="Z360">
        <v>6.87</v>
      </c>
      <c r="AJ360">
        <v>2</v>
      </c>
      <c r="AK360">
        <v>18</v>
      </c>
      <c r="AM360">
        <v>0</v>
      </c>
      <c r="AO360" t="s">
        <v>275</v>
      </c>
      <c r="AT360">
        <v>78</v>
      </c>
      <c r="AV360">
        <v>55.4</v>
      </c>
      <c r="AW360">
        <v>0.46875</v>
      </c>
      <c r="AX360">
        <v>3.75</v>
      </c>
      <c r="AY360">
        <v>70.125</v>
      </c>
      <c r="AZ360">
        <v>6.5</v>
      </c>
      <c r="BA360">
        <v>289.27</v>
      </c>
      <c r="BB360">
        <v>6.81</v>
      </c>
      <c r="BC360">
        <v>75</v>
      </c>
      <c r="BD360">
        <v>0.4375</v>
      </c>
      <c r="BE360">
        <v>3.75</v>
      </c>
      <c r="BF360">
        <v>60.125</v>
      </c>
      <c r="BG360">
        <v>6</v>
      </c>
      <c r="BH360">
        <v>236.68</v>
      </c>
      <c r="BI360">
        <v>6.95</v>
      </c>
      <c r="BJ360">
        <v>61</v>
      </c>
      <c r="BL360">
        <v>525.95000000000005</v>
      </c>
      <c r="BM360">
        <v>136</v>
      </c>
      <c r="BN360">
        <v>265.7167</v>
      </c>
      <c r="BO360">
        <v>1470</v>
      </c>
      <c r="BP360">
        <v>0</v>
      </c>
      <c r="BQ360">
        <v>72</v>
      </c>
      <c r="BR360">
        <v>72</v>
      </c>
      <c r="BS360">
        <v>71.819999999999993</v>
      </c>
      <c r="BT360">
        <v>0</v>
      </c>
      <c r="BV360">
        <v>0</v>
      </c>
      <c r="BW360" t="s">
        <v>655</v>
      </c>
      <c r="BX360">
        <v>0.17</v>
      </c>
      <c r="BY360">
        <v>12.2094</v>
      </c>
      <c r="BZ360">
        <v>0</v>
      </c>
      <c r="CA360">
        <v>1</v>
      </c>
      <c r="CB360">
        <v>0.6</v>
      </c>
      <c r="CC360" s="3">
        <v>7.1269159999999998E-2</v>
      </c>
      <c r="CD360">
        <v>2.875</v>
      </c>
      <c r="CE360">
        <v>2.5</v>
      </c>
      <c r="CF360">
        <v>18</v>
      </c>
      <c r="CG360">
        <v>6</v>
      </c>
      <c r="CH360">
        <v>0</v>
      </c>
      <c r="CI360">
        <v>71.819999999999993</v>
      </c>
      <c r="CJ360">
        <v>782.49850000000004</v>
      </c>
    </row>
    <row r="361" spans="1:88">
      <c r="A361">
        <v>359</v>
      </c>
      <c r="B361" t="s">
        <v>0</v>
      </c>
      <c r="C361" t="s">
        <v>1</v>
      </c>
      <c r="D361" t="s">
        <v>341</v>
      </c>
      <c r="E361" t="s">
        <v>227</v>
      </c>
      <c r="F361" t="s">
        <v>343</v>
      </c>
      <c r="G361" t="s">
        <v>106</v>
      </c>
      <c r="H361" t="s">
        <v>344</v>
      </c>
      <c r="J361">
        <v>2</v>
      </c>
      <c r="K361" t="s">
        <v>146</v>
      </c>
      <c r="L361" t="s">
        <v>330</v>
      </c>
      <c r="M361" t="s">
        <v>129</v>
      </c>
      <c r="N361" t="s">
        <v>169</v>
      </c>
      <c r="O361">
        <v>116</v>
      </c>
      <c r="Q361">
        <v>246</v>
      </c>
      <c r="R361">
        <v>48</v>
      </c>
      <c r="S361">
        <v>4.25</v>
      </c>
      <c r="T361">
        <v>3.206</v>
      </c>
      <c r="U361">
        <v>6.22</v>
      </c>
      <c r="V361">
        <v>1047.58</v>
      </c>
      <c r="W361">
        <v>300</v>
      </c>
      <c r="X361">
        <v>1.3332999999999999</v>
      </c>
      <c r="Y361">
        <v>231</v>
      </c>
      <c r="Z361">
        <v>4.53</v>
      </c>
      <c r="AJ361">
        <v>2</v>
      </c>
      <c r="AK361">
        <v>18</v>
      </c>
      <c r="AM361">
        <v>0</v>
      </c>
      <c r="AO361" t="s">
        <v>347</v>
      </c>
      <c r="AT361">
        <v>46</v>
      </c>
      <c r="AV361">
        <v>27.4</v>
      </c>
      <c r="AW361">
        <v>0</v>
      </c>
      <c r="AX361">
        <v>0</v>
      </c>
      <c r="AY361">
        <v>28</v>
      </c>
      <c r="AZ361">
        <v>3.375</v>
      </c>
      <c r="BA361">
        <v>0</v>
      </c>
      <c r="BB361">
        <v>0</v>
      </c>
      <c r="BC361">
        <v>25</v>
      </c>
      <c r="BN361">
        <v>128.4</v>
      </c>
      <c r="BO361">
        <v>6294</v>
      </c>
      <c r="BP361">
        <v>0</v>
      </c>
      <c r="BQ361">
        <v>39</v>
      </c>
      <c r="BR361">
        <v>39</v>
      </c>
      <c r="BS361">
        <v>39.47</v>
      </c>
      <c r="BT361">
        <v>0</v>
      </c>
      <c r="BV361">
        <v>0</v>
      </c>
      <c r="BW361" t="s">
        <v>655</v>
      </c>
      <c r="BX361">
        <v>0.17</v>
      </c>
      <c r="BY361">
        <v>6.7099010000000003</v>
      </c>
      <c r="BZ361">
        <v>0</v>
      </c>
      <c r="CA361">
        <v>1</v>
      </c>
      <c r="CB361">
        <v>0.6</v>
      </c>
      <c r="CC361" s="3">
        <v>7.1269159999999998E-2</v>
      </c>
      <c r="CD361">
        <v>2.875</v>
      </c>
      <c r="CE361">
        <v>2.5</v>
      </c>
      <c r="CF361">
        <v>18</v>
      </c>
      <c r="CG361">
        <v>6</v>
      </c>
      <c r="CH361">
        <v>0</v>
      </c>
      <c r="CI361">
        <v>39.47</v>
      </c>
      <c r="CJ361">
        <v>212.381</v>
      </c>
    </row>
    <row r="362" spans="1:88">
      <c r="A362">
        <v>360</v>
      </c>
      <c r="B362" t="s">
        <v>13</v>
      </c>
      <c r="C362" t="s">
        <v>1</v>
      </c>
      <c r="D362" t="s">
        <v>280</v>
      </c>
      <c r="E362" t="s">
        <v>283</v>
      </c>
      <c r="F362" t="s">
        <v>102</v>
      </c>
      <c r="G362" t="s">
        <v>15</v>
      </c>
      <c r="H362" t="s">
        <v>423</v>
      </c>
      <c r="J362">
        <v>2</v>
      </c>
      <c r="K362" t="s">
        <v>108</v>
      </c>
      <c r="L362" t="s">
        <v>2</v>
      </c>
      <c r="M362" t="s">
        <v>374</v>
      </c>
      <c r="N362" t="s">
        <v>375</v>
      </c>
      <c r="O362">
        <v>87</v>
      </c>
      <c r="Q362">
        <v>545</v>
      </c>
      <c r="R362">
        <v>139</v>
      </c>
      <c r="S362">
        <v>4.25</v>
      </c>
      <c r="T362">
        <v>2.4289999999999998</v>
      </c>
      <c r="U362">
        <v>5.66</v>
      </c>
      <c r="V362">
        <v>2317.73</v>
      </c>
      <c r="W362">
        <v>785</v>
      </c>
      <c r="X362">
        <v>1.3332999999999999</v>
      </c>
      <c r="Y362">
        <v>616</v>
      </c>
      <c r="Z362">
        <v>3.76</v>
      </c>
      <c r="AJ362">
        <v>2</v>
      </c>
      <c r="AK362">
        <v>18</v>
      </c>
      <c r="AM362">
        <v>0</v>
      </c>
      <c r="AO362" t="s">
        <v>424</v>
      </c>
      <c r="AT362">
        <v>36</v>
      </c>
      <c r="AV362">
        <v>79.8</v>
      </c>
      <c r="AW362">
        <v>0</v>
      </c>
      <c r="AX362">
        <v>0</v>
      </c>
      <c r="AY362">
        <v>29.125</v>
      </c>
      <c r="AZ362">
        <v>3.75</v>
      </c>
      <c r="BA362">
        <v>0</v>
      </c>
      <c r="BB362">
        <v>0</v>
      </c>
      <c r="BC362">
        <v>52</v>
      </c>
      <c r="BN362">
        <v>681.92830000000004</v>
      </c>
      <c r="BO362">
        <v>2352</v>
      </c>
      <c r="BP362">
        <v>0</v>
      </c>
      <c r="BQ362">
        <v>29</v>
      </c>
      <c r="BR362">
        <v>29</v>
      </c>
      <c r="BS362">
        <v>29.39</v>
      </c>
      <c r="BT362">
        <v>0</v>
      </c>
      <c r="BV362">
        <v>0</v>
      </c>
      <c r="BW362" t="s">
        <v>655</v>
      </c>
      <c r="BX362">
        <v>0.17</v>
      </c>
      <c r="BY362">
        <v>4.9962999999999997</v>
      </c>
      <c r="BZ362">
        <v>0</v>
      </c>
      <c r="CA362">
        <v>1</v>
      </c>
      <c r="CB362">
        <v>0.6</v>
      </c>
      <c r="CC362" s="3">
        <v>7.1269159999999998E-2</v>
      </c>
      <c r="CD362">
        <v>2.875</v>
      </c>
      <c r="CE362">
        <v>2.5</v>
      </c>
      <c r="CF362">
        <v>18</v>
      </c>
      <c r="CG362">
        <v>6</v>
      </c>
      <c r="CH362">
        <v>0</v>
      </c>
      <c r="CI362">
        <v>29.39</v>
      </c>
      <c r="CJ362">
        <v>460.55029999999999</v>
      </c>
    </row>
    <row r="363" spans="1:88">
      <c r="A363">
        <v>361</v>
      </c>
      <c r="B363" t="s">
        <v>0</v>
      </c>
      <c r="C363" t="s">
        <v>1</v>
      </c>
      <c r="D363" t="s">
        <v>8</v>
      </c>
      <c r="E363" t="s">
        <v>257</v>
      </c>
      <c r="F363" t="s">
        <v>246</v>
      </c>
      <c r="G363" t="s">
        <v>15</v>
      </c>
      <c r="H363" t="s">
        <v>247</v>
      </c>
      <c r="J363">
        <v>2</v>
      </c>
      <c r="K363" t="s">
        <v>108</v>
      </c>
      <c r="L363" t="s">
        <v>258</v>
      </c>
      <c r="M363" t="s">
        <v>301</v>
      </c>
      <c r="N363" t="s">
        <v>363</v>
      </c>
      <c r="O363">
        <v>142</v>
      </c>
      <c r="Q363">
        <v>757</v>
      </c>
      <c r="R363">
        <v>124</v>
      </c>
      <c r="S363">
        <v>4.25</v>
      </c>
      <c r="T363">
        <v>3.8559999999999999</v>
      </c>
      <c r="U363">
        <v>6.56</v>
      </c>
      <c r="V363">
        <v>3215.89</v>
      </c>
      <c r="W363">
        <v>811</v>
      </c>
      <c r="X363">
        <v>1.3332999999999999</v>
      </c>
      <c r="Y363">
        <v>621</v>
      </c>
      <c r="Z363">
        <v>5.18</v>
      </c>
      <c r="AJ363">
        <v>2</v>
      </c>
      <c r="AK363">
        <v>18</v>
      </c>
      <c r="AM363">
        <v>0</v>
      </c>
      <c r="AO363" t="s">
        <v>250</v>
      </c>
      <c r="AT363">
        <v>55</v>
      </c>
      <c r="AV363">
        <v>71.099999999999994</v>
      </c>
      <c r="AW363" t="s">
        <v>6</v>
      </c>
      <c r="AX363" t="s">
        <v>6</v>
      </c>
      <c r="AY363" t="s">
        <v>6</v>
      </c>
      <c r="AZ363" t="s">
        <v>6</v>
      </c>
      <c r="BA363" t="s">
        <v>6</v>
      </c>
      <c r="BB363" t="s">
        <v>6</v>
      </c>
      <c r="BC363" t="s">
        <v>6</v>
      </c>
      <c r="BD363" t="s">
        <v>6</v>
      </c>
      <c r="BE363" t="s">
        <v>6</v>
      </c>
      <c r="BF363" t="s">
        <v>6</v>
      </c>
      <c r="BG363" t="s">
        <v>6</v>
      </c>
      <c r="BH363" t="s">
        <v>6</v>
      </c>
      <c r="BI363" t="s">
        <v>6</v>
      </c>
      <c r="BJ363" t="s">
        <v>6</v>
      </c>
      <c r="BN363">
        <v>606.1585</v>
      </c>
      <c r="BO363">
        <v>2977</v>
      </c>
      <c r="BP363">
        <v>0</v>
      </c>
      <c r="BQ363">
        <v>49</v>
      </c>
      <c r="BR363">
        <v>49</v>
      </c>
      <c r="BS363">
        <v>48.52</v>
      </c>
      <c r="BT363">
        <v>0</v>
      </c>
      <c r="BV363">
        <v>0</v>
      </c>
      <c r="BW363" t="s">
        <v>655</v>
      </c>
      <c r="BX363">
        <v>0.17</v>
      </c>
      <c r="BY363">
        <v>8.2484000000000002</v>
      </c>
      <c r="BZ363">
        <v>0</v>
      </c>
      <c r="CA363">
        <v>1</v>
      </c>
      <c r="CB363">
        <v>0.6</v>
      </c>
      <c r="CC363" s="3">
        <v>7.1269159999999998E-2</v>
      </c>
      <c r="CD363">
        <v>2.875</v>
      </c>
      <c r="CE363">
        <v>2.5</v>
      </c>
      <c r="CF363">
        <v>18</v>
      </c>
      <c r="CG363">
        <v>6</v>
      </c>
      <c r="CH363">
        <v>0</v>
      </c>
      <c r="CI363">
        <v>48.52</v>
      </c>
      <c r="CJ363">
        <v>677.33180000000004</v>
      </c>
    </row>
    <row r="364" spans="1:88">
      <c r="A364">
        <v>362</v>
      </c>
      <c r="B364" t="s">
        <v>0</v>
      </c>
      <c r="C364" t="s">
        <v>1</v>
      </c>
      <c r="D364" t="s">
        <v>143</v>
      </c>
      <c r="E364" t="s">
        <v>104</v>
      </c>
      <c r="F364" t="s">
        <v>144</v>
      </c>
      <c r="G364" t="s">
        <v>106</v>
      </c>
      <c r="H364" t="s">
        <v>145</v>
      </c>
      <c r="J364">
        <v>2</v>
      </c>
      <c r="K364" t="s">
        <v>146</v>
      </c>
      <c r="L364" t="s">
        <v>109</v>
      </c>
      <c r="M364" t="s">
        <v>110</v>
      </c>
      <c r="N364" t="s">
        <v>111</v>
      </c>
      <c r="O364">
        <v>191</v>
      </c>
      <c r="Q364">
        <v>754</v>
      </c>
      <c r="R364">
        <v>95</v>
      </c>
      <c r="S364">
        <v>4.25</v>
      </c>
      <c r="T364">
        <v>4.9850000000000003</v>
      </c>
      <c r="U364">
        <v>7.27</v>
      </c>
      <c r="V364">
        <v>3203.9</v>
      </c>
      <c r="W364">
        <v>688</v>
      </c>
      <c r="X364">
        <v>1.3332999999999999</v>
      </c>
      <c r="Y364">
        <v>508</v>
      </c>
      <c r="Z364">
        <v>6.31</v>
      </c>
      <c r="AJ364">
        <v>2</v>
      </c>
      <c r="AK364">
        <v>18</v>
      </c>
      <c r="AM364">
        <v>0</v>
      </c>
      <c r="AO364" t="s">
        <v>149</v>
      </c>
      <c r="AT364">
        <v>72</v>
      </c>
      <c r="AV364">
        <v>53.5</v>
      </c>
      <c r="AW364">
        <v>0.4375</v>
      </c>
      <c r="AX364">
        <v>3.75</v>
      </c>
      <c r="AY364">
        <v>56</v>
      </c>
      <c r="AZ364">
        <v>5.5</v>
      </c>
      <c r="BA364">
        <v>253.87</v>
      </c>
      <c r="BB364">
        <v>6.48</v>
      </c>
      <c r="BC364">
        <v>57</v>
      </c>
      <c r="BD364">
        <v>0.4375</v>
      </c>
      <c r="BE364">
        <v>3.75</v>
      </c>
      <c r="BF364">
        <v>56</v>
      </c>
      <c r="BG364">
        <v>5.5</v>
      </c>
      <c r="BH364">
        <v>253.87</v>
      </c>
      <c r="BI364">
        <v>6.48</v>
      </c>
      <c r="BJ364">
        <v>57</v>
      </c>
      <c r="BL364">
        <v>507.74</v>
      </c>
      <c r="BM364">
        <v>113</v>
      </c>
      <c r="BN364">
        <v>256.80009999999999</v>
      </c>
      <c r="BO364">
        <v>1574</v>
      </c>
      <c r="BP364">
        <v>0</v>
      </c>
      <c r="BQ364">
        <v>66</v>
      </c>
      <c r="BR364">
        <v>66</v>
      </c>
      <c r="BS364">
        <v>65.56</v>
      </c>
      <c r="BT364">
        <v>0</v>
      </c>
      <c r="BV364">
        <v>0</v>
      </c>
      <c r="BW364" t="s">
        <v>655</v>
      </c>
      <c r="BX364">
        <v>0.17</v>
      </c>
      <c r="BY364">
        <v>11.145200000000001</v>
      </c>
      <c r="BZ364">
        <v>0</v>
      </c>
      <c r="CA364">
        <v>1</v>
      </c>
      <c r="CB364">
        <v>0.6</v>
      </c>
      <c r="CC364" s="3">
        <v>7.1269159999999998E-2</v>
      </c>
      <c r="CD364">
        <v>2.875</v>
      </c>
      <c r="CE364">
        <v>2.5</v>
      </c>
      <c r="CF364">
        <v>18</v>
      </c>
      <c r="CG364">
        <v>6</v>
      </c>
      <c r="CH364">
        <v>0</v>
      </c>
      <c r="CI364">
        <v>65.56</v>
      </c>
      <c r="CJ364">
        <v>689.1798</v>
      </c>
    </row>
    <row r="365" spans="1:88">
      <c r="A365">
        <v>363</v>
      </c>
      <c r="B365" t="s">
        <v>0</v>
      </c>
      <c r="C365" t="s">
        <v>1</v>
      </c>
      <c r="D365" t="s">
        <v>278</v>
      </c>
      <c r="E365" t="s">
        <v>104</v>
      </c>
      <c r="F365" t="s">
        <v>239</v>
      </c>
      <c r="G365" t="s">
        <v>15</v>
      </c>
      <c r="H365" t="s">
        <v>458</v>
      </c>
      <c r="J365">
        <v>2</v>
      </c>
      <c r="K365" t="s">
        <v>108</v>
      </c>
      <c r="L365" t="s">
        <v>109</v>
      </c>
      <c r="M365" t="s">
        <v>110</v>
      </c>
      <c r="N365" t="s">
        <v>111</v>
      </c>
      <c r="O365">
        <v>191</v>
      </c>
      <c r="Q365">
        <v>1018</v>
      </c>
      <c r="R365">
        <v>126</v>
      </c>
      <c r="S365">
        <v>4.25</v>
      </c>
      <c r="T365">
        <v>4.9850000000000003</v>
      </c>
      <c r="U365">
        <v>7.27</v>
      </c>
      <c r="V365">
        <v>4324.75</v>
      </c>
      <c r="W365">
        <v>917</v>
      </c>
      <c r="X365">
        <v>1.3332999999999999</v>
      </c>
      <c r="Y365">
        <v>685</v>
      </c>
      <c r="Z365">
        <v>6.31</v>
      </c>
      <c r="AJ365">
        <v>2</v>
      </c>
      <c r="AK365">
        <v>18</v>
      </c>
      <c r="AM365">
        <v>0</v>
      </c>
      <c r="AO365" t="s">
        <v>401</v>
      </c>
      <c r="AT365">
        <v>72</v>
      </c>
      <c r="AV365">
        <v>72.5</v>
      </c>
      <c r="AW365" t="s">
        <v>6</v>
      </c>
      <c r="AX365" t="s">
        <v>6</v>
      </c>
      <c r="AY365" t="s">
        <v>6</v>
      </c>
      <c r="AZ365" t="s">
        <v>6</v>
      </c>
      <c r="BA365" t="s">
        <v>6</v>
      </c>
      <c r="BB365" t="s">
        <v>6</v>
      </c>
      <c r="BC365" t="s">
        <v>6</v>
      </c>
      <c r="BD365" t="s">
        <v>6</v>
      </c>
      <c r="BE365" t="s">
        <v>6</v>
      </c>
      <c r="BF365" t="s">
        <v>6</v>
      </c>
      <c r="BG365" t="s">
        <v>6</v>
      </c>
      <c r="BH365" t="s">
        <v>6</v>
      </c>
      <c r="BI365" t="s">
        <v>6</v>
      </c>
      <c r="BJ365" t="s">
        <v>6</v>
      </c>
      <c r="BN365">
        <v>618.78679999999997</v>
      </c>
      <c r="BO365">
        <v>2857</v>
      </c>
      <c r="BP365">
        <v>0</v>
      </c>
      <c r="BQ365">
        <v>66</v>
      </c>
      <c r="BR365">
        <v>66</v>
      </c>
      <c r="BS365">
        <v>65.56</v>
      </c>
      <c r="BT365">
        <v>0</v>
      </c>
      <c r="BV365">
        <v>0</v>
      </c>
      <c r="BW365" t="s">
        <v>655</v>
      </c>
      <c r="BX365">
        <v>0.17</v>
      </c>
      <c r="BY365">
        <v>11.145200000000001</v>
      </c>
      <c r="BZ365">
        <v>0</v>
      </c>
      <c r="CA365">
        <v>1</v>
      </c>
      <c r="CB365">
        <v>0.6</v>
      </c>
      <c r="CC365" s="3">
        <v>7.1269159999999998E-2</v>
      </c>
      <c r="CD365">
        <v>2.875</v>
      </c>
      <c r="CE365">
        <v>2.5</v>
      </c>
      <c r="CF365">
        <v>18</v>
      </c>
      <c r="CG365">
        <v>6</v>
      </c>
      <c r="CH365">
        <v>0</v>
      </c>
      <c r="CI365">
        <v>65.56</v>
      </c>
      <c r="CJ365">
        <v>933.89710000000002</v>
      </c>
    </row>
    <row r="366" spans="1:88">
      <c r="A366">
        <v>364</v>
      </c>
      <c r="B366" t="s">
        <v>0</v>
      </c>
      <c r="C366" t="s">
        <v>1</v>
      </c>
      <c r="D366" t="s">
        <v>103</v>
      </c>
      <c r="E366" t="s">
        <v>172</v>
      </c>
      <c r="F366" t="s">
        <v>105</v>
      </c>
      <c r="G366" t="s">
        <v>106</v>
      </c>
      <c r="H366" t="s">
        <v>107</v>
      </c>
      <c r="J366">
        <v>2</v>
      </c>
      <c r="K366" t="s">
        <v>108</v>
      </c>
      <c r="L366" t="s">
        <v>233</v>
      </c>
      <c r="M366" t="s">
        <v>490</v>
      </c>
      <c r="N366" t="s">
        <v>128</v>
      </c>
      <c r="O366">
        <v>137</v>
      </c>
      <c r="Q366">
        <v>599</v>
      </c>
      <c r="R366">
        <v>102</v>
      </c>
      <c r="S366">
        <v>4.25</v>
      </c>
      <c r="T366">
        <v>3.734</v>
      </c>
      <c r="U366">
        <v>6.48</v>
      </c>
      <c r="V366">
        <v>2545.75</v>
      </c>
      <c r="W366">
        <v>659</v>
      </c>
      <c r="X366">
        <v>1.3332999999999999</v>
      </c>
      <c r="Y366">
        <v>503</v>
      </c>
      <c r="Z366">
        <v>5.0599999999999996</v>
      </c>
      <c r="AJ366">
        <v>2</v>
      </c>
      <c r="AK366">
        <v>18</v>
      </c>
      <c r="AM366">
        <v>0</v>
      </c>
      <c r="AO366" t="s">
        <v>112</v>
      </c>
      <c r="AT366">
        <v>53</v>
      </c>
      <c r="AV366">
        <v>58</v>
      </c>
      <c r="AW366">
        <v>0.46875</v>
      </c>
      <c r="AX366">
        <v>3.75</v>
      </c>
      <c r="AY366">
        <v>52</v>
      </c>
      <c r="AZ366">
        <v>4.75</v>
      </c>
      <c r="BA366">
        <v>389.49</v>
      </c>
      <c r="BB366">
        <v>5.0599999999999996</v>
      </c>
      <c r="BC366">
        <v>56</v>
      </c>
      <c r="BD366">
        <v>0.3125</v>
      </c>
      <c r="BE366">
        <v>2.75</v>
      </c>
      <c r="BF366">
        <v>31.625</v>
      </c>
      <c r="BG366">
        <v>3.125</v>
      </c>
      <c r="BH366">
        <v>113.62</v>
      </c>
      <c r="BI366">
        <v>5.62</v>
      </c>
      <c r="BJ366">
        <v>17</v>
      </c>
      <c r="BL366">
        <v>503.11</v>
      </c>
      <c r="BM366">
        <v>72</v>
      </c>
      <c r="BN366">
        <v>278.20010000000002</v>
      </c>
      <c r="BO366">
        <v>1341</v>
      </c>
      <c r="BP366">
        <v>0</v>
      </c>
      <c r="BQ366">
        <v>47</v>
      </c>
      <c r="BR366">
        <v>47</v>
      </c>
      <c r="BS366">
        <v>46.78</v>
      </c>
      <c r="BT366">
        <v>0</v>
      </c>
      <c r="BV366">
        <v>0</v>
      </c>
      <c r="BW366" t="s">
        <v>655</v>
      </c>
      <c r="BX366">
        <v>0.17</v>
      </c>
      <c r="BY366">
        <v>7.9526000000000003</v>
      </c>
      <c r="BZ366">
        <v>0</v>
      </c>
      <c r="CA366">
        <v>1</v>
      </c>
      <c r="CB366">
        <v>0.6</v>
      </c>
      <c r="CC366" s="3">
        <v>7.1269159999999998E-2</v>
      </c>
      <c r="CD366">
        <v>2.875</v>
      </c>
      <c r="CE366">
        <v>2.5</v>
      </c>
      <c r="CF366">
        <v>18</v>
      </c>
      <c r="CG366">
        <v>6</v>
      </c>
      <c r="CH366">
        <v>0</v>
      </c>
      <c r="CI366">
        <v>46.78</v>
      </c>
      <c r="CJ366">
        <v>533.01859999999999</v>
      </c>
    </row>
    <row r="367" spans="1:88">
      <c r="A367">
        <v>365</v>
      </c>
      <c r="B367" t="s">
        <v>0</v>
      </c>
      <c r="C367" t="s">
        <v>1</v>
      </c>
      <c r="D367" t="s">
        <v>143</v>
      </c>
      <c r="E367" t="s">
        <v>151</v>
      </c>
      <c r="F367" t="s">
        <v>144</v>
      </c>
      <c r="G367" t="s">
        <v>106</v>
      </c>
      <c r="H367" t="s">
        <v>145</v>
      </c>
      <c r="J367">
        <v>2</v>
      </c>
      <c r="K367" t="s">
        <v>146</v>
      </c>
      <c r="L367" t="s">
        <v>119</v>
      </c>
      <c r="M367" t="s">
        <v>154</v>
      </c>
      <c r="N367" t="s">
        <v>150</v>
      </c>
      <c r="O367">
        <v>108</v>
      </c>
      <c r="Q367">
        <v>445</v>
      </c>
      <c r="R367">
        <v>95</v>
      </c>
      <c r="S367">
        <v>4.25</v>
      </c>
      <c r="T367">
        <v>2.9980000000000002</v>
      </c>
      <c r="U367">
        <v>6.07</v>
      </c>
      <c r="V367">
        <v>1893.2</v>
      </c>
      <c r="W367">
        <v>574</v>
      </c>
      <c r="X367">
        <v>1.3332999999999999</v>
      </c>
      <c r="Y367">
        <v>437</v>
      </c>
      <c r="Z367">
        <v>4.33</v>
      </c>
      <c r="AJ367">
        <v>2</v>
      </c>
      <c r="AK367">
        <v>18</v>
      </c>
      <c r="AM367">
        <v>0</v>
      </c>
      <c r="AO367" t="s">
        <v>149</v>
      </c>
      <c r="AT367">
        <v>43</v>
      </c>
      <c r="AV367">
        <v>53.5</v>
      </c>
      <c r="AW367">
        <v>0</v>
      </c>
      <c r="AX367">
        <v>0</v>
      </c>
      <c r="AY367">
        <v>46.375</v>
      </c>
      <c r="AZ367">
        <v>4</v>
      </c>
      <c r="BA367">
        <v>0</v>
      </c>
      <c r="BB367">
        <v>0</v>
      </c>
      <c r="BC367">
        <v>50</v>
      </c>
      <c r="BN367">
        <v>256.80009999999999</v>
      </c>
      <c r="BO367">
        <v>1574</v>
      </c>
      <c r="BP367">
        <v>0</v>
      </c>
      <c r="BQ367">
        <v>37</v>
      </c>
      <c r="BR367">
        <v>37</v>
      </c>
      <c r="BS367">
        <v>36.69</v>
      </c>
      <c r="BT367">
        <v>0</v>
      </c>
      <c r="BV367">
        <v>0</v>
      </c>
      <c r="BW367" t="s">
        <v>655</v>
      </c>
      <c r="BX367">
        <v>0.17</v>
      </c>
      <c r="BY367">
        <v>6.2373000000000003</v>
      </c>
      <c r="BZ367">
        <v>0</v>
      </c>
      <c r="CA367">
        <v>1</v>
      </c>
      <c r="CB367">
        <v>0.6</v>
      </c>
      <c r="CC367" s="3">
        <v>7.1269159999999998E-2</v>
      </c>
      <c r="CD367">
        <v>2.875</v>
      </c>
      <c r="CE367">
        <v>2.5</v>
      </c>
      <c r="CF367">
        <v>18</v>
      </c>
      <c r="CG367">
        <v>6</v>
      </c>
      <c r="CH367">
        <v>0</v>
      </c>
      <c r="CI367">
        <v>36.69</v>
      </c>
      <c r="CJ367">
        <v>385.69260000000003</v>
      </c>
    </row>
    <row r="368" spans="1:88">
      <c r="A368">
        <v>366</v>
      </c>
      <c r="B368" t="s">
        <v>13</v>
      </c>
      <c r="C368" t="s">
        <v>1</v>
      </c>
      <c r="D368" t="s">
        <v>176</v>
      </c>
      <c r="E368" t="s">
        <v>2</v>
      </c>
      <c r="F368" t="s">
        <v>134</v>
      </c>
      <c r="G368" t="s">
        <v>106</v>
      </c>
      <c r="H368" t="s">
        <v>177</v>
      </c>
      <c r="J368">
        <v>2</v>
      </c>
      <c r="K368" t="s">
        <v>146</v>
      </c>
      <c r="L368" t="s">
        <v>122</v>
      </c>
      <c r="M368" t="s">
        <v>4</v>
      </c>
      <c r="N368" t="s">
        <v>5</v>
      </c>
      <c r="O368">
        <v>107</v>
      </c>
      <c r="Q368">
        <v>318</v>
      </c>
      <c r="R368">
        <v>71</v>
      </c>
      <c r="S368">
        <v>4.25</v>
      </c>
      <c r="T368">
        <v>2.9710000000000001</v>
      </c>
      <c r="U368">
        <v>6.07</v>
      </c>
      <c r="V368">
        <v>1350.22</v>
      </c>
      <c r="W368">
        <v>428</v>
      </c>
      <c r="X368">
        <v>1.3332999999999999</v>
      </c>
      <c r="Y368">
        <v>314</v>
      </c>
      <c r="Z368">
        <v>4.3</v>
      </c>
      <c r="AJ368">
        <v>2</v>
      </c>
      <c r="AK368">
        <v>18</v>
      </c>
      <c r="AM368">
        <v>0</v>
      </c>
      <c r="AO368" t="s">
        <v>152</v>
      </c>
      <c r="AT368">
        <v>42</v>
      </c>
      <c r="AV368">
        <v>38.200000000000003</v>
      </c>
      <c r="AW368">
        <v>0</v>
      </c>
      <c r="AX368">
        <v>0</v>
      </c>
      <c r="AY368">
        <v>45.375</v>
      </c>
      <c r="AZ368">
        <v>3.75</v>
      </c>
      <c r="BA368">
        <v>0</v>
      </c>
      <c r="BB368">
        <v>0</v>
      </c>
      <c r="BC368">
        <v>46</v>
      </c>
      <c r="BN368">
        <v>181.9</v>
      </c>
      <c r="BO368">
        <v>3136</v>
      </c>
      <c r="BP368">
        <v>0</v>
      </c>
      <c r="BQ368">
        <v>36</v>
      </c>
      <c r="BR368">
        <v>36</v>
      </c>
      <c r="BS368">
        <v>36.340000000000003</v>
      </c>
      <c r="BT368">
        <v>0</v>
      </c>
      <c r="BV368">
        <v>0</v>
      </c>
      <c r="BW368" t="s">
        <v>655</v>
      </c>
      <c r="BX368">
        <v>0.17</v>
      </c>
      <c r="BY368">
        <v>6.1778000000000004</v>
      </c>
      <c r="BZ368">
        <v>0</v>
      </c>
      <c r="CA368">
        <v>1</v>
      </c>
      <c r="CB368">
        <v>0.6</v>
      </c>
      <c r="CC368" s="3">
        <v>7.1269159999999998E-2</v>
      </c>
      <c r="CD368">
        <v>2.875</v>
      </c>
      <c r="CE368">
        <v>2.5</v>
      </c>
      <c r="CF368">
        <v>18</v>
      </c>
      <c r="CG368">
        <v>6</v>
      </c>
      <c r="CH368">
        <v>0</v>
      </c>
      <c r="CI368">
        <v>36.340000000000003</v>
      </c>
      <c r="CJ368">
        <v>273.23669999999998</v>
      </c>
    </row>
    <row r="369" spans="1:88">
      <c r="A369">
        <v>367</v>
      </c>
      <c r="B369" t="s">
        <v>13</v>
      </c>
      <c r="C369" t="s">
        <v>1</v>
      </c>
      <c r="D369" t="s">
        <v>412</v>
      </c>
      <c r="E369" t="s">
        <v>197</v>
      </c>
      <c r="F369" t="s">
        <v>376</v>
      </c>
      <c r="G369" t="s">
        <v>106</v>
      </c>
      <c r="H369" t="s">
        <v>540</v>
      </c>
      <c r="J369">
        <v>2</v>
      </c>
      <c r="K369" t="s">
        <v>146</v>
      </c>
      <c r="L369" t="s">
        <v>199</v>
      </c>
      <c r="M369" t="s">
        <v>200</v>
      </c>
      <c r="N369" t="s">
        <v>201</v>
      </c>
      <c r="O369">
        <v>173</v>
      </c>
      <c r="Q369">
        <v>315</v>
      </c>
      <c r="R369">
        <v>43</v>
      </c>
      <c r="S369">
        <v>4.25</v>
      </c>
      <c r="T369">
        <v>4.5830000000000002</v>
      </c>
      <c r="U369">
        <v>6.97</v>
      </c>
      <c r="V369">
        <v>1339.81</v>
      </c>
      <c r="W369">
        <v>301</v>
      </c>
      <c r="X369">
        <v>1.3332999999999999</v>
      </c>
      <c r="Y369">
        <v>227</v>
      </c>
      <c r="Z369">
        <v>5.91</v>
      </c>
      <c r="AJ369">
        <v>2</v>
      </c>
      <c r="AK369">
        <v>18</v>
      </c>
      <c r="AM369">
        <v>0</v>
      </c>
      <c r="AO369" t="s">
        <v>513</v>
      </c>
      <c r="AT369">
        <v>65</v>
      </c>
      <c r="AV369">
        <v>24.1</v>
      </c>
      <c r="AW369">
        <v>0</v>
      </c>
      <c r="AX369">
        <v>0</v>
      </c>
      <c r="AY369">
        <v>42.875</v>
      </c>
      <c r="AZ369">
        <v>4.75</v>
      </c>
      <c r="BA369">
        <v>0</v>
      </c>
      <c r="BB369">
        <v>0</v>
      </c>
      <c r="BC369">
        <v>41</v>
      </c>
      <c r="BN369">
        <v>112.35</v>
      </c>
      <c r="BO369">
        <v>8221</v>
      </c>
      <c r="BP369">
        <v>0</v>
      </c>
      <c r="BQ369">
        <v>59</v>
      </c>
      <c r="BR369">
        <v>59</v>
      </c>
      <c r="BS369">
        <v>59.3</v>
      </c>
      <c r="BT369">
        <v>0</v>
      </c>
      <c r="BV369">
        <v>0</v>
      </c>
      <c r="BW369" t="s">
        <v>655</v>
      </c>
      <c r="BX369">
        <v>0.17</v>
      </c>
      <c r="BY369">
        <v>10.081</v>
      </c>
      <c r="BZ369">
        <v>0</v>
      </c>
      <c r="CA369">
        <v>1</v>
      </c>
      <c r="CB369">
        <v>0.6</v>
      </c>
      <c r="CC369" s="3">
        <v>7.1269159999999998E-2</v>
      </c>
      <c r="CD369">
        <v>2.875</v>
      </c>
      <c r="CE369">
        <v>2.5</v>
      </c>
      <c r="CF369">
        <v>18</v>
      </c>
      <c r="CG369">
        <v>6</v>
      </c>
      <c r="CH369">
        <v>0</v>
      </c>
      <c r="CI369">
        <v>59.3</v>
      </c>
      <c r="CJ369">
        <v>281.04629999999997</v>
      </c>
    </row>
    <row r="370" spans="1:88">
      <c r="A370">
        <v>368</v>
      </c>
      <c r="B370" t="s">
        <v>0</v>
      </c>
      <c r="C370" t="s">
        <v>1</v>
      </c>
      <c r="D370" t="s">
        <v>99</v>
      </c>
      <c r="E370" t="s">
        <v>143</v>
      </c>
      <c r="F370" t="s">
        <v>296</v>
      </c>
      <c r="G370" t="s">
        <v>106</v>
      </c>
      <c r="H370" t="s">
        <v>165</v>
      </c>
      <c r="J370">
        <v>2</v>
      </c>
      <c r="K370" t="s">
        <v>146</v>
      </c>
      <c r="L370" t="s">
        <v>297</v>
      </c>
      <c r="M370" t="s">
        <v>206</v>
      </c>
      <c r="N370" t="s">
        <v>131</v>
      </c>
      <c r="O370">
        <v>155</v>
      </c>
      <c r="Q370">
        <v>595</v>
      </c>
      <c r="R370">
        <v>91</v>
      </c>
      <c r="S370">
        <v>4.25</v>
      </c>
      <c r="T370">
        <v>4.1660000000000004</v>
      </c>
      <c r="U370">
        <v>6.78</v>
      </c>
      <c r="V370">
        <v>2529.85</v>
      </c>
      <c r="W370">
        <v>618</v>
      </c>
      <c r="X370">
        <v>1.3332999999999999</v>
      </c>
      <c r="Y370">
        <v>461</v>
      </c>
      <c r="Z370">
        <v>5.49</v>
      </c>
      <c r="AJ370">
        <v>2</v>
      </c>
      <c r="AK370">
        <v>18</v>
      </c>
      <c r="AM370">
        <v>0</v>
      </c>
      <c r="AO370" t="s">
        <v>252</v>
      </c>
      <c r="AT370">
        <v>59</v>
      </c>
      <c r="AV370">
        <v>51.3</v>
      </c>
      <c r="AW370">
        <v>0.46875</v>
      </c>
      <c r="AX370">
        <v>3.75</v>
      </c>
      <c r="AY370">
        <v>56.5</v>
      </c>
      <c r="AZ370">
        <v>5.125</v>
      </c>
      <c r="BA370">
        <v>358.98</v>
      </c>
      <c r="BB370">
        <v>5.49</v>
      </c>
      <c r="BC370">
        <v>61</v>
      </c>
      <c r="BD370">
        <v>0.3125</v>
      </c>
      <c r="BE370">
        <v>2.75</v>
      </c>
      <c r="BF370">
        <v>35.375</v>
      </c>
      <c r="BG370">
        <v>3.375</v>
      </c>
      <c r="BH370">
        <v>101.82</v>
      </c>
      <c r="BI370">
        <v>6.27</v>
      </c>
      <c r="BJ370">
        <v>19</v>
      </c>
      <c r="BL370">
        <v>460.8</v>
      </c>
      <c r="BM370">
        <v>79</v>
      </c>
      <c r="BN370">
        <v>246.1</v>
      </c>
      <c r="BO370">
        <v>1713</v>
      </c>
      <c r="BP370">
        <v>0</v>
      </c>
      <c r="BQ370">
        <v>53</v>
      </c>
      <c r="BR370">
        <v>53</v>
      </c>
      <c r="BS370">
        <v>53.04</v>
      </c>
      <c r="BT370">
        <v>0</v>
      </c>
      <c r="BV370">
        <v>0</v>
      </c>
      <c r="BW370" t="s">
        <v>655</v>
      </c>
      <c r="BX370">
        <v>0.17</v>
      </c>
      <c r="BY370">
        <v>9.0167999999999999</v>
      </c>
      <c r="BZ370">
        <v>0</v>
      </c>
      <c r="CA370">
        <v>1</v>
      </c>
      <c r="CB370">
        <v>0.6</v>
      </c>
      <c r="CC370" s="3">
        <v>7.1269159999999998E-2</v>
      </c>
      <c r="CD370">
        <v>2.875</v>
      </c>
      <c r="CE370">
        <v>2.5</v>
      </c>
      <c r="CF370">
        <v>18</v>
      </c>
      <c r="CG370">
        <v>6</v>
      </c>
      <c r="CH370">
        <v>0</v>
      </c>
      <c r="CI370">
        <v>53.04</v>
      </c>
      <c r="CJ370">
        <v>534.88649999999996</v>
      </c>
    </row>
    <row r="371" spans="1:88">
      <c r="A371">
        <v>369</v>
      </c>
      <c r="B371" t="s">
        <v>13</v>
      </c>
      <c r="C371" t="s">
        <v>1</v>
      </c>
      <c r="D371" t="s">
        <v>96</v>
      </c>
      <c r="E371" t="s">
        <v>381</v>
      </c>
      <c r="F371" t="s">
        <v>198</v>
      </c>
      <c r="G371" t="s">
        <v>106</v>
      </c>
      <c r="H371" t="s">
        <v>162</v>
      </c>
      <c r="J371">
        <v>2</v>
      </c>
      <c r="K371" t="s">
        <v>146</v>
      </c>
      <c r="L371" t="s">
        <v>267</v>
      </c>
      <c r="M371" t="s">
        <v>384</v>
      </c>
      <c r="N371" t="s">
        <v>257</v>
      </c>
      <c r="O371">
        <v>139</v>
      </c>
      <c r="Q371">
        <v>471</v>
      </c>
      <c r="R371">
        <v>81</v>
      </c>
      <c r="S371">
        <v>4.25</v>
      </c>
      <c r="T371">
        <v>3.7829999999999999</v>
      </c>
      <c r="U371">
        <v>6.52</v>
      </c>
      <c r="V371">
        <v>2000.47</v>
      </c>
      <c r="W371">
        <v>527</v>
      </c>
      <c r="X371">
        <v>1.3332999999999999</v>
      </c>
      <c r="Y371">
        <v>391</v>
      </c>
      <c r="Z371">
        <v>5.1100000000000003</v>
      </c>
      <c r="AJ371">
        <v>2</v>
      </c>
      <c r="AK371">
        <v>18</v>
      </c>
      <c r="AM371">
        <v>0</v>
      </c>
      <c r="AO371" t="s">
        <v>166</v>
      </c>
      <c r="AT371">
        <v>54</v>
      </c>
      <c r="AV371">
        <v>44.8</v>
      </c>
      <c r="AW371">
        <v>0.46875</v>
      </c>
      <c r="AX371">
        <v>3.75</v>
      </c>
      <c r="AY371">
        <v>52.5</v>
      </c>
      <c r="AZ371">
        <v>4.75</v>
      </c>
      <c r="BA371">
        <v>385.67</v>
      </c>
      <c r="BB371">
        <v>5.1100000000000003</v>
      </c>
      <c r="BC371">
        <v>56</v>
      </c>
      <c r="BD371">
        <v>0.1875</v>
      </c>
      <c r="BE371">
        <v>2.75</v>
      </c>
      <c r="BF371">
        <v>45.75</v>
      </c>
      <c r="BG371">
        <v>1.875</v>
      </c>
      <c r="BH371">
        <v>5.8</v>
      </c>
      <c r="BI371">
        <v>26.15</v>
      </c>
      <c r="BJ371">
        <v>15</v>
      </c>
      <c r="BL371">
        <v>391.47</v>
      </c>
      <c r="BM371">
        <v>71</v>
      </c>
      <c r="BN371">
        <v>214</v>
      </c>
      <c r="BO371">
        <v>2266</v>
      </c>
      <c r="BP371">
        <v>0</v>
      </c>
      <c r="BQ371">
        <v>47</v>
      </c>
      <c r="BR371">
        <v>47</v>
      </c>
      <c r="BS371">
        <v>47.47</v>
      </c>
      <c r="BT371">
        <v>0</v>
      </c>
      <c r="BV371">
        <v>0</v>
      </c>
      <c r="BW371" t="s">
        <v>655</v>
      </c>
      <c r="BX371">
        <v>0.17</v>
      </c>
      <c r="BY371">
        <v>8.0699009999999998</v>
      </c>
      <c r="BZ371">
        <v>0</v>
      </c>
      <c r="CA371">
        <v>1</v>
      </c>
      <c r="CB371">
        <v>0.6</v>
      </c>
      <c r="CC371" s="3">
        <v>7.1269159999999998E-2</v>
      </c>
      <c r="CD371">
        <v>2.875</v>
      </c>
      <c r="CE371">
        <v>2.5</v>
      </c>
      <c r="CF371">
        <v>18</v>
      </c>
      <c r="CG371">
        <v>6</v>
      </c>
      <c r="CH371">
        <v>0</v>
      </c>
      <c r="CI371">
        <v>47.47</v>
      </c>
      <c r="CJ371">
        <v>417.8186</v>
      </c>
    </row>
    <row r="372" spans="1:88">
      <c r="A372">
        <v>370</v>
      </c>
      <c r="B372" t="s">
        <v>0</v>
      </c>
      <c r="C372" t="s">
        <v>1</v>
      </c>
      <c r="D372" t="s">
        <v>94</v>
      </c>
      <c r="E372" t="s">
        <v>148</v>
      </c>
      <c r="F372" t="s">
        <v>436</v>
      </c>
      <c r="G372" t="s">
        <v>15</v>
      </c>
      <c r="H372" t="s">
        <v>94</v>
      </c>
      <c r="J372">
        <v>2</v>
      </c>
      <c r="K372" t="s">
        <v>9</v>
      </c>
      <c r="L372" t="s">
        <v>12</v>
      </c>
      <c r="M372" t="s">
        <v>529</v>
      </c>
      <c r="N372" t="s">
        <v>168</v>
      </c>
      <c r="O372">
        <v>186</v>
      </c>
      <c r="Q372">
        <v>1122</v>
      </c>
      <c r="R372">
        <v>142</v>
      </c>
      <c r="S372">
        <v>4.25</v>
      </c>
      <c r="T372">
        <v>4.875</v>
      </c>
      <c r="U372">
        <v>7.2</v>
      </c>
      <c r="V372">
        <v>4769.6000000000004</v>
      </c>
      <c r="W372">
        <v>1022</v>
      </c>
      <c r="X372">
        <v>1.3332999999999999</v>
      </c>
      <c r="Y372">
        <v>769</v>
      </c>
      <c r="Z372">
        <v>6.2</v>
      </c>
      <c r="AJ372">
        <v>2</v>
      </c>
      <c r="AK372">
        <v>18</v>
      </c>
      <c r="AM372">
        <v>0</v>
      </c>
      <c r="AO372" t="s">
        <v>437</v>
      </c>
      <c r="AT372">
        <v>70</v>
      </c>
      <c r="AV372">
        <v>81.599999999999994</v>
      </c>
      <c r="AW372" t="s">
        <v>6</v>
      </c>
      <c r="AX372" t="s">
        <v>6</v>
      </c>
      <c r="AY372" t="s">
        <v>6</v>
      </c>
      <c r="AZ372" t="s">
        <v>6</v>
      </c>
      <c r="BA372" t="s">
        <v>6</v>
      </c>
      <c r="BB372" t="s">
        <v>6</v>
      </c>
      <c r="BC372" t="s">
        <v>6</v>
      </c>
      <c r="BD372" t="s">
        <v>6</v>
      </c>
      <c r="BE372" t="s">
        <v>6</v>
      </c>
      <c r="BF372" t="s">
        <v>6</v>
      </c>
      <c r="BG372" t="s">
        <v>6</v>
      </c>
      <c r="BH372" t="s">
        <v>6</v>
      </c>
      <c r="BI372" t="s">
        <v>6</v>
      </c>
      <c r="BJ372" t="s">
        <v>6</v>
      </c>
      <c r="BN372">
        <v>697.71360000000004</v>
      </c>
      <c r="BO372">
        <v>2247</v>
      </c>
      <c r="BP372">
        <v>0</v>
      </c>
      <c r="BQ372">
        <v>64</v>
      </c>
      <c r="BR372">
        <v>64</v>
      </c>
      <c r="BS372">
        <v>63.82</v>
      </c>
      <c r="BT372">
        <v>0</v>
      </c>
      <c r="BV372">
        <v>6</v>
      </c>
      <c r="BW372" t="s">
        <v>655</v>
      </c>
      <c r="BX372">
        <v>0.27933340000000001</v>
      </c>
      <c r="BY372">
        <v>17.827059999999999</v>
      </c>
      <c r="BZ372">
        <v>0</v>
      </c>
      <c r="CA372">
        <v>1</v>
      </c>
      <c r="CB372">
        <v>0.6</v>
      </c>
      <c r="CC372" s="3">
        <v>7.1269159999999998E-2</v>
      </c>
      <c r="CD372">
        <v>2.875</v>
      </c>
      <c r="CE372">
        <v>2.5</v>
      </c>
      <c r="CF372">
        <v>18</v>
      </c>
      <c r="CG372">
        <v>6</v>
      </c>
      <c r="CH372">
        <v>0</v>
      </c>
      <c r="CI372">
        <v>63.82</v>
      </c>
      <c r="CJ372">
        <v>1022.821</v>
      </c>
    </row>
    <row r="373" spans="1:88">
      <c r="A373">
        <v>371</v>
      </c>
      <c r="B373" t="s">
        <v>0</v>
      </c>
      <c r="C373" t="s">
        <v>1</v>
      </c>
      <c r="D373" t="s">
        <v>540</v>
      </c>
      <c r="E373" t="s">
        <v>219</v>
      </c>
      <c r="F373" t="s">
        <v>413</v>
      </c>
      <c r="G373" t="s">
        <v>106</v>
      </c>
      <c r="H373" t="s">
        <v>512</v>
      </c>
      <c r="J373">
        <v>2</v>
      </c>
      <c r="K373" t="s">
        <v>146</v>
      </c>
      <c r="L373" t="s">
        <v>369</v>
      </c>
      <c r="M373" t="s">
        <v>220</v>
      </c>
      <c r="N373" t="s">
        <v>221</v>
      </c>
      <c r="O373">
        <v>101</v>
      </c>
      <c r="Q373">
        <v>190</v>
      </c>
      <c r="R373">
        <v>43</v>
      </c>
      <c r="S373">
        <v>4.25</v>
      </c>
      <c r="T373">
        <v>2.8119999999999998</v>
      </c>
      <c r="U373">
        <v>5.92</v>
      </c>
      <c r="V373">
        <v>805.46</v>
      </c>
      <c r="W373">
        <v>252</v>
      </c>
      <c r="X373">
        <v>1.3332999999999999</v>
      </c>
      <c r="Y373">
        <v>195</v>
      </c>
      <c r="Z373">
        <v>4.1399999999999997</v>
      </c>
      <c r="AJ373">
        <v>2</v>
      </c>
      <c r="AK373">
        <v>18</v>
      </c>
      <c r="AM373">
        <v>0</v>
      </c>
      <c r="AO373" t="s">
        <v>137</v>
      </c>
      <c r="AT373">
        <v>40</v>
      </c>
      <c r="AV373">
        <v>23.7</v>
      </c>
      <c r="AW373">
        <v>0</v>
      </c>
      <c r="AX373">
        <v>0</v>
      </c>
      <c r="AY373">
        <v>33.25</v>
      </c>
      <c r="AZ373">
        <v>3.125</v>
      </c>
      <c r="BA373">
        <v>0</v>
      </c>
      <c r="BB373">
        <v>0</v>
      </c>
      <c r="BC373">
        <v>29</v>
      </c>
      <c r="BN373">
        <v>110.5667</v>
      </c>
      <c r="BO373">
        <v>8488</v>
      </c>
      <c r="BP373">
        <v>0</v>
      </c>
      <c r="BQ373">
        <v>34</v>
      </c>
      <c r="BR373">
        <v>34</v>
      </c>
      <c r="BS373">
        <v>34.26</v>
      </c>
      <c r="BT373">
        <v>0</v>
      </c>
      <c r="BV373">
        <v>0</v>
      </c>
      <c r="BW373" t="s">
        <v>655</v>
      </c>
      <c r="BX373">
        <v>0.17</v>
      </c>
      <c r="BY373">
        <v>5.8242000000000003</v>
      </c>
      <c r="BZ373">
        <v>0</v>
      </c>
      <c r="CA373">
        <v>1</v>
      </c>
      <c r="CB373">
        <v>0.6</v>
      </c>
      <c r="CC373" s="3">
        <v>7.1269159999999998E-2</v>
      </c>
      <c r="CD373">
        <v>2.875</v>
      </c>
      <c r="CE373">
        <v>2.5</v>
      </c>
      <c r="CF373">
        <v>18</v>
      </c>
      <c r="CG373">
        <v>6</v>
      </c>
      <c r="CH373">
        <v>0</v>
      </c>
      <c r="CI373">
        <v>34.26</v>
      </c>
      <c r="CJ373">
        <v>159.93010000000001</v>
      </c>
    </row>
    <row r="374" spans="1:88">
      <c r="A374">
        <v>372</v>
      </c>
      <c r="B374" t="s">
        <v>0</v>
      </c>
      <c r="C374" t="s">
        <v>1</v>
      </c>
      <c r="D374" t="s">
        <v>366</v>
      </c>
      <c r="E374" t="s">
        <v>366</v>
      </c>
      <c r="F374" t="s">
        <v>379</v>
      </c>
      <c r="G374" t="s">
        <v>106</v>
      </c>
      <c r="H374" t="s">
        <v>228</v>
      </c>
      <c r="J374">
        <v>2</v>
      </c>
      <c r="K374" t="s">
        <v>146</v>
      </c>
      <c r="L374" t="s">
        <v>268</v>
      </c>
      <c r="M374" t="s">
        <v>370</v>
      </c>
      <c r="N374" t="s">
        <v>217</v>
      </c>
      <c r="O374">
        <v>103</v>
      </c>
      <c r="Q374">
        <v>278</v>
      </c>
      <c r="R374">
        <v>65</v>
      </c>
      <c r="S374">
        <v>4.25</v>
      </c>
      <c r="T374">
        <v>2.8650000000000002</v>
      </c>
      <c r="U374">
        <v>5.96</v>
      </c>
      <c r="V374">
        <v>1183.49</v>
      </c>
      <c r="W374">
        <v>386</v>
      </c>
      <c r="X374">
        <v>1.3332999999999999</v>
      </c>
      <c r="Y374">
        <v>282</v>
      </c>
      <c r="Z374">
        <v>4.1900000000000004</v>
      </c>
      <c r="AJ374">
        <v>2</v>
      </c>
      <c r="AK374">
        <v>18</v>
      </c>
      <c r="AM374">
        <v>0</v>
      </c>
      <c r="AO374" t="s">
        <v>230</v>
      </c>
      <c r="AT374">
        <v>41</v>
      </c>
      <c r="AV374">
        <v>34.6</v>
      </c>
      <c r="AW374">
        <v>0</v>
      </c>
      <c r="AX374">
        <v>0</v>
      </c>
      <c r="AY374">
        <v>34.5</v>
      </c>
      <c r="AZ374">
        <v>3.375</v>
      </c>
      <c r="BA374">
        <v>0</v>
      </c>
      <c r="BB374">
        <v>0</v>
      </c>
      <c r="BC374">
        <v>33</v>
      </c>
      <c r="BN374">
        <v>164.0667</v>
      </c>
      <c r="BO374">
        <v>3855</v>
      </c>
      <c r="BP374">
        <v>0</v>
      </c>
      <c r="BQ374">
        <v>35</v>
      </c>
      <c r="BR374">
        <v>35</v>
      </c>
      <c r="BS374">
        <v>34.950000000000003</v>
      </c>
      <c r="BT374">
        <v>0</v>
      </c>
      <c r="BV374">
        <v>0</v>
      </c>
      <c r="BW374" t="s">
        <v>655</v>
      </c>
      <c r="BX374">
        <v>0.17</v>
      </c>
      <c r="BY374">
        <v>5.9414999999999996</v>
      </c>
      <c r="BZ374">
        <v>0</v>
      </c>
      <c r="CA374">
        <v>1</v>
      </c>
      <c r="CB374">
        <v>0.6</v>
      </c>
      <c r="CC374" s="3">
        <v>7.1269159999999998E-2</v>
      </c>
      <c r="CD374">
        <v>2.875</v>
      </c>
      <c r="CE374">
        <v>2.5</v>
      </c>
      <c r="CF374">
        <v>18</v>
      </c>
      <c r="CG374">
        <v>6</v>
      </c>
      <c r="CH374">
        <v>0</v>
      </c>
      <c r="CI374">
        <v>34.950000000000003</v>
      </c>
      <c r="CJ374">
        <v>237.87690000000001</v>
      </c>
    </row>
    <row r="375" spans="1:88">
      <c r="A375">
        <v>373</v>
      </c>
      <c r="B375" t="s">
        <v>13</v>
      </c>
      <c r="C375" t="s">
        <v>1</v>
      </c>
      <c r="D375" t="s">
        <v>283</v>
      </c>
      <c r="E375" t="s">
        <v>150</v>
      </c>
      <c r="F375" t="s">
        <v>243</v>
      </c>
      <c r="G375" t="s">
        <v>106</v>
      </c>
      <c r="H375" t="s">
        <v>284</v>
      </c>
      <c r="J375">
        <v>2</v>
      </c>
      <c r="K375" t="s">
        <v>146</v>
      </c>
      <c r="L375" t="s">
        <v>96</v>
      </c>
      <c r="M375" t="s">
        <v>159</v>
      </c>
      <c r="N375" t="s">
        <v>130</v>
      </c>
      <c r="O375">
        <v>111</v>
      </c>
      <c r="Q375">
        <v>249</v>
      </c>
      <c r="R375">
        <v>51</v>
      </c>
      <c r="S375">
        <v>4.25</v>
      </c>
      <c r="T375">
        <v>3.0760000000000001</v>
      </c>
      <c r="U375">
        <v>6.14</v>
      </c>
      <c r="V375">
        <v>1058.3699999999999</v>
      </c>
      <c r="W375">
        <v>311</v>
      </c>
      <c r="X375">
        <v>1.3332999999999999</v>
      </c>
      <c r="Y375">
        <v>241</v>
      </c>
      <c r="Z375">
        <v>4.4000000000000004</v>
      </c>
      <c r="AJ375">
        <v>2</v>
      </c>
      <c r="AK375">
        <v>18</v>
      </c>
      <c r="AM375">
        <v>0</v>
      </c>
      <c r="AO375" t="s">
        <v>285</v>
      </c>
      <c r="AT375">
        <v>44</v>
      </c>
      <c r="AV375">
        <v>28.8</v>
      </c>
      <c r="AW375">
        <v>0</v>
      </c>
      <c r="AX375">
        <v>0</v>
      </c>
      <c r="AY375">
        <v>26.875</v>
      </c>
      <c r="AZ375">
        <v>3.25</v>
      </c>
      <c r="BA375">
        <v>0</v>
      </c>
      <c r="BB375">
        <v>0</v>
      </c>
      <c r="BC375">
        <v>24</v>
      </c>
      <c r="BN375">
        <v>135.5334</v>
      </c>
      <c r="BO375">
        <v>5649</v>
      </c>
      <c r="BP375">
        <v>0</v>
      </c>
      <c r="BQ375">
        <v>38</v>
      </c>
      <c r="BR375">
        <v>38</v>
      </c>
      <c r="BS375">
        <v>37.729999999999997</v>
      </c>
      <c r="BT375">
        <v>0</v>
      </c>
      <c r="BV375">
        <v>0</v>
      </c>
      <c r="BW375" t="s">
        <v>655</v>
      </c>
      <c r="BX375">
        <v>0.17</v>
      </c>
      <c r="BY375">
        <v>6.4141000000000004</v>
      </c>
      <c r="BZ375">
        <v>0</v>
      </c>
      <c r="CA375">
        <v>1</v>
      </c>
      <c r="CB375">
        <v>0.6</v>
      </c>
      <c r="CC375" s="3">
        <v>7.1269159999999998E-2</v>
      </c>
      <c r="CD375">
        <v>2.875</v>
      </c>
      <c r="CE375">
        <v>2.5</v>
      </c>
      <c r="CF375">
        <v>18</v>
      </c>
      <c r="CG375">
        <v>6</v>
      </c>
      <c r="CH375">
        <v>0</v>
      </c>
      <c r="CI375">
        <v>37.729999999999997</v>
      </c>
      <c r="CJ375">
        <v>213.77430000000001</v>
      </c>
    </row>
    <row r="376" spans="1:88">
      <c r="A376">
        <v>374</v>
      </c>
      <c r="B376" t="s">
        <v>13</v>
      </c>
      <c r="C376" t="s">
        <v>1</v>
      </c>
      <c r="D376" t="s">
        <v>199</v>
      </c>
      <c r="E376" t="s">
        <v>202</v>
      </c>
      <c r="F376" t="s">
        <v>216</v>
      </c>
      <c r="G376" t="s">
        <v>15</v>
      </c>
      <c r="H376" t="s">
        <v>336</v>
      </c>
      <c r="J376">
        <v>2</v>
      </c>
      <c r="K376" t="s">
        <v>108</v>
      </c>
      <c r="L376" t="s">
        <v>203</v>
      </c>
      <c r="M376" t="s">
        <v>204</v>
      </c>
      <c r="N376" t="s">
        <v>205</v>
      </c>
      <c r="O376">
        <v>181</v>
      </c>
      <c r="Q376">
        <v>900</v>
      </c>
      <c r="R376">
        <v>117</v>
      </c>
      <c r="S376">
        <v>4.25</v>
      </c>
      <c r="T376">
        <v>4.7640000000000002</v>
      </c>
      <c r="U376">
        <v>7.08</v>
      </c>
      <c r="V376">
        <v>3826.7</v>
      </c>
      <c r="W376">
        <v>830</v>
      </c>
      <c r="X376">
        <v>1.3332999999999999</v>
      </c>
      <c r="Y376">
        <v>628</v>
      </c>
      <c r="Z376">
        <v>6.09</v>
      </c>
      <c r="AJ376">
        <v>2</v>
      </c>
      <c r="AK376">
        <v>18</v>
      </c>
      <c r="AM376">
        <v>0</v>
      </c>
      <c r="AO376" t="s">
        <v>337</v>
      </c>
      <c r="AT376">
        <v>68</v>
      </c>
      <c r="AV376">
        <v>67.400000000000006</v>
      </c>
      <c r="AW376" t="s">
        <v>6</v>
      </c>
      <c r="AX376" t="s">
        <v>6</v>
      </c>
      <c r="AY376" t="s">
        <v>6</v>
      </c>
      <c r="AZ376" t="s">
        <v>6</v>
      </c>
      <c r="BA376" t="s">
        <v>6</v>
      </c>
      <c r="BB376" t="s">
        <v>6</v>
      </c>
      <c r="BC376" t="s">
        <v>6</v>
      </c>
      <c r="BD376" t="s">
        <v>6</v>
      </c>
      <c r="BE376" t="s">
        <v>6</v>
      </c>
      <c r="BF376" t="s">
        <v>6</v>
      </c>
      <c r="BG376" t="s">
        <v>6</v>
      </c>
      <c r="BH376" t="s">
        <v>6</v>
      </c>
      <c r="BI376" t="s">
        <v>6</v>
      </c>
      <c r="BJ376" t="s">
        <v>6</v>
      </c>
      <c r="BN376">
        <v>574.58770000000004</v>
      </c>
      <c r="BO376">
        <v>3313</v>
      </c>
      <c r="BP376">
        <v>0</v>
      </c>
      <c r="BQ376">
        <v>62</v>
      </c>
      <c r="BR376">
        <v>62</v>
      </c>
      <c r="BS376">
        <v>62.08</v>
      </c>
      <c r="BT376">
        <v>0</v>
      </c>
      <c r="BV376">
        <v>0</v>
      </c>
      <c r="BW376" t="s">
        <v>655</v>
      </c>
      <c r="BX376">
        <v>0.17</v>
      </c>
      <c r="BY376">
        <v>10.553599999999999</v>
      </c>
      <c r="BZ376">
        <v>0</v>
      </c>
      <c r="CA376">
        <v>1</v>
      </c>
      <c r="CB376">
        <v>0.6</v>
      </c>
      <c r="CC376" s="3">
        <v>7.1269159999999998E-2</v>
      </c>
      <c r="CD376">
        <v>2.875</v>
      </c>
      <c r="CE376">
        <v>2.5</v>
      </c>
      <c r="CF376">
        <v>18</v>
      </c>
      <c r="CG376">
        <v>6</v>
      </c>
      <c r="CH376">
        <v>0</v>
      </c>
      <c r="CI376">
        <v>62.08</v>
      </c>
      <c r="CJ376">
        <v>822.38329999999996</v>
      </c>
    </row>
    <row r="377" spans="1:88">
      <c r="A377">
        <v>375</v>
      </c>
      <c r="B377" t="s">
        <v>13</v>
      </c>
      <c r="C377" t="s">
        <v>1</v>
      </c>
      <c r="D377" t="s">
        <v>167</v>
      </c>
      <c r="E377" t="s">
        <v>176</v>
      </c>
      <c r="F377" t="s">
        <v>403</v>
      </c>
      <c r="G377" t="s">
        <v>106</v>
      </c>
      <c r="H377" t="s">
        <v>235</v>
      </c>
      <c r="J377">
        <v>2</v>
      </c>
      <c r="K377" t="s">
        <v>146</v>
      </c>
      <c r="L377" t="s">
        <v>167</v>
      </c>
      <c r="M377" t="s">
        <v>226</v>
      </c>
      <c r="N377" t="s">
        <v>227</v>
      </c>
      <c r="O377">
        <v>113</v>
      </c>
      <c r="Q377">
        <v>396</v>
      </c>
      <c r="R377">
        <v>82</v>
      </c>
      <c r="S377">
        <v>4.25</v>
      </c>
      <c r="T377">
        <v>3.1280000000000001</v>
      </c>
      <c r="U377">
        <v>6.18</v>
      </c>
      <c r="V377">
        <v>1682.19</v>
      </c>
      <c r="W377">
        <v>507</v>
      </c>
      <c r="X377">
        <v>1.3332999999999999</v>
      </c>
      <c r="Y377">
        <v>377</v>
      </c>
      <c r="Z377">
        <v>4.46</v>
      </c>
      <c r="AJ377">
        <v>2</v>
      </c>
      <c r="AK377">
        <v>18</v>
      </c>
      <c r="AM377">
        <v>0</v>
      </c>
      <c r="AO377" t="s">
        <v>198</v>
      </c>
      <c r="AT377">
        <v>45</v>
      </c>
      <c r="AV377">
        <v>45.5</v>
      </c>
      <c r="AW377">
        <v>0</v>
      </c>
      <c r="AX377">
        <v>0</v>
      </c>
      <c r="AY377">
        <v>53.75</v>
      </c>
      <c r="AZ377">
        <v>4.125</v>
      </c>
      <c r="BA377">
        <v>0</v>
      </c>
      <c r="BB377">
        <v>0</v>
      </c>
      <c r="BC377">
        <v>58</v>
      </c>
      <c r="BN377">
        <v>217.5667</v>
      </c>
      <c r="BO377">
        <v>2192</v>
      </c>
      <c r="BP377">
        <v>0</v>
      </c>
      <c r="BQ377">
        <v>38</v>
      </c>
      <c r="BR377">
        <v>38</v>
      </c>
      <c r="BS377">
        <v>38.43</v>
      </c>
      <c r="BT377">
        <v>0</v>
      </c>
      <c r="BV377">
        <v>0</v>
      </c>
      <c r="BW377" t="s">
        <v>655</v>
      </c>
      <c r="BX377">
        <v>0.17</v>
      </c>
      <c r="BY377">
        <v>6.5331000000000001</v>
      </c>
      <c r="BZ377">
        <v>0</v>
      </c>
      <c r="CA377">
        <v>1</v>
      </c>
      <c r="CB377">
        <v>0.6</v>
      </c>
      <c r="CC377" s="3">
        <v>7.1269159999999998E-2</v>
      </c>
      <c r="CD377">
        <v>2.875</v>
      </c>
      <c r="CE377">
        <v>2.5</v>
      </c>
      <c r="CF377">
        <v>18</v>
      </c>
      <c r="CG377">
        <v>6</v>
      </c>
      <c r="CH377">
        <v>0</v>
      </c>
      <c r="CI377">
        <v>38.43</v>
      </c>
      <c r="CJ377">
        <v>343.7287</v>
      </c>
    </row>
    <row r="378" spans="1:88">
      <c r="A378">
        <v>376</v>
      </c>
      <c r="B378" t="s">
        <v>0</v>
      </c>
      <c r="C378" t="s">
        <v>1</v>
      </c>
      <c r="D378" t="s">
        <v>101</v>
      </c>
      <c r="E378" t="s">
        <v>150</v>
      </c>
      <c r="F378" t="s">
        <v>339</v>
      </c>
      <c r="G378" t="s">
        <v>106</v>
      </c>
      <c r="H378" t="s">
        <v>167</v>
      </c>
      <c r="J378">
        <v>2</v>
      </c>
      <c r="K378" t="s">
        <v>146</v>
      </c>
      <c r="L378" t="s">
        <v>96</v>
      </c>
      <c r="M378" t="s">
        <v>159</v>
      </c>
      <c r="N378" t="s">
        <v>130</v>
      </c>
      <c r="O378">
        <v>111</v>
      </c>
      <c r="Q378">
        <v>392</v>
      </c>
      <c r="R378">
        <v>83</v>
      </c>
      <c r="S378">
        <v>4.25</v>
      </c>
      <c r="T378">
        <v>3.0760000000000001</v>
      </c>
      <c r="U378">
        <v>6.14</v>
      </c>
      <c r="V378">
        <v>1668.04</v>
      </c>
      <c r="W378">
        <v>507</v>
      </c>
      <c r="X378">
        <v>1.3332999999999999</v>
      </c>
      <c r="Y378">
        <v>379</v>
      </c>
      <c r="Z378">
        <v>4.4000000000000004</v>
      </c>
      <c r="AJ378">
        <v>2</v>
      </c>
      <c r="AK378">
        <v>18</v>
      </c>
      <c r="AM378">
        <v>0</v>
      </c>
      <c r="AO378" t="s">
        <v>327</v>
      </c>
      <c r="AT378">
        <v>44</v>
      </c>
      <c r="AV378">
        <v>45.9</v>
      </c>
      <c r="AW378">
        <v>0</v>
      </c>
      <c r="AX378">
        <v>0</v>
      </c>
      <c r="AY378">
        <v>37.5</v>
      </c>
      <c r="AZ378">
        <v>3.875</v>
      </c>
      <c r="BA378">
        <v>0</v>
      </c>
      <c r="BB378">
        <v>0</v>
      </c>
      <c r="BC378">
        <v>38</v>
      </c>
      <c r="BN378">
        <v>219.35</v>
      </c>
      <c r="BO378">
        <v>2157</v>
      </c>
      <c r="BP378">
        <v>0</v>
      </c>
      <c r="BQ378">
        <v>38</v>
      </c>
      <c r="BR378">
        <v>38</v>
      </c>
      <c r="BS378">
        <v>37.729999999999997</v>
      </c>
      <c r="BT378">
        <v>0</v>
      </c>
      <c r="BV378">
        <v>0</v>
      </c>
      <c r="BW378" t="s">
        <v>655</v>
      </c>
      <c r="BX378">
        <v>0.17</v>
      </c>
      <c r="BY378">
        <v>6.4141000000000004</v>
      </c>
      <c r="BZ378">
        <v>0</v>
      </c>
      <c r="CA378">
        <v>1</v>
      </c>
      <c r="CB378">
        <v>0.6</v>
      </c>
      <c r="CC378" s="3">
        <v>7.1269159999999998E-2</v>
      </c>
      <c r="CD378">
        <v>2.875</v>
      </c>
      <c r="CE378">
        <v>2.5</v>
      </c>
      <c r="CF378">
        <v>18</v>
      </c>
      <c r="CG378">
        <v>6</v>
      </c>
      <c r="CH378">
        <v>0</v>
      </c>
      <c r="CI378">
        <v>37.729999999999997</v>
      </c>
      <c r="CJ378">
        <v>340.15660000000003</v>
      </c>
    </row>
    <row r="379" spans="1:88">
      <c r="A379">
        <v>377</v>
      </c>
      <c r="B379" t="s">
        <v>0</v>
      </c>
      <c r="C379" t="s">
        <v>1</v>
      </c>
      <c r="D379" t="s">
        <v>8</v>
      </c>
      <c r="E379" t="s">
        <v>113</v>
      </c>
      <c r="F379" t="s">
        <v>246</v>
      </c>
      <c r="G379" t="s">
        <v>15</v>
      </c>
      <c r="H379" t="s">
        <v>247</v>
      </c>
      <c r="J379">
        <v>2</v>
      </c>
      <c r="K379" t="s">
        <v>108</v>
      </c>
      <c r="L379" t="s">
        <v>116</v>
      </c>
      <c r="M379" t="s">
        <v>117</v>
      </c>
      <c r="N379" t="s">
        <v>14</v>
      </c>
      <c r="O379">
        <v>179</v>
      </c>
      <c r="Q379">
        <v>939</v>
      </c>
      <c r="R379">
        <v>124</v>
      </c>
      <c r="S379">
        <v>4.25</v>
      </c>
      <c r="T379">
        <v>4.7190000000000003</v>
      </c>
      <c r="U379">
        <v>7.05</v>
      </c>
      <c r="V379">
        <v>3988.75</v>
      </c>
      <c r="W379">
        <v>871</v>
      </c>
      <c r="X379">
        <v>1.3332999999999999</v>
      </c>
      <c r="Y379">
        <v>659</v>
      </c>
      <c r="Z379">
        <v>6.05</v>
      </c>
      <c r="AJ379">
        <v>2</v>
      </c>
      <c r="AK379">
        <v>18</v>
      </c>
      <c r="AM379">
        <v>0</v>
      </c>
      <c r="AO379" t="s">
        <v>250</v>
      </c>
      <c r="AT379">
        <v>68</v>
      </c>
      <c r="AV379">
        <v>71.099999999999994</v>
      </c>
      <c r="AW379" t="s">
        <v>6</v>
      </c>
      <c r="AX379" t="s">
        <v>6</v>
      </c>
      <c r="AY379" t="s">
        <v>6</v>
      </c>
      <c r="AZ379" t="s">
        <v>6</v>
      </c>
      <c r="BA379" t="s">
        <v>6</v>
      </c>
      <c r="BB379" t="s">
        <v>6</v>
      </c>
      <c r="BC379" t="s">
        <v>6</v>
      </c>
      <c r="BD379" t="s">
        <v>6</v>
      </c>
      <c r="BE379" t="s">
        <v>6</v>
      </c>
      <c r="BF379" t="s">
        <v>6</v>
      </c>
      <c r="BG379" t="s">
        <v>6</v>
      </c>
      <c r="BH379" t="s">
        <v>6</v>
      </c>
      <c r="BI379" t="s">
        <v>6</v>
      </c>
      <c r="BJ379" t="s">
        <v>6</v>
      </c>
      <c r="BN379">
        <v>606.1585</v>
      </c>
      <c r="BO379">
        <v>2977</v>
      </c>
      <c r="BP379">
        <v>0</v>
      </c>
      <c r="BQ379">
        <v>61</v>
      </c>
      <c r="BR379">
        <v>61</v>
      </c>
      <c r="BS379">
        <v>61.39</v>
      </c>
      <c r="BT379">
        <v>0</v>
      </c>
      <c r="BV379">
        <v>0</v>
      </c>
      <c r="BW379" t="s">
        <v>655</v>
      </c>
      <c r="BX379">
        <v>0.17</v>
      </c>
      <c r="BY379">
        <v>10.436299999999999</v>
      </c>
      <c r="BZ379">
        <v>0</v>
      </c>
      <c r="CA379">
        <v>1</v>
      </c>
      <c r="CB379">
        <v>0.6</v>
      </c>
      <c r="CC379" s="3">
        <v>7.1269159999999998E-2</v>
      </c>
      <c r="CD379">
        <v>2.875</v>
      </c>
      <c r="CE379">
        <v>2.5</v>
      </c>
      <c r="CF379">
        <v>18</v>
      </c>
      <c r="CG379">
        <v>6</v>
      </c>
      <c r="CH379">
        <v>0</v>
      </c>
      <c r="CI379">
        <v>61.39</v>
      </c>
      <c r="CJ379">
        <v>856.99490000000003</v>
      </c>
    </row>
    <row r="380" spans="1:88">
      <c r="A380">
        <v>378</v>
      </c>
      <c r="B380" t="s">
        <v>13</v>
      </c>
      <c r="C380" t="s">
        <v>1</v>
      </c>
      <c r="D380" t="s">
        <v>316</v>
      </c>
      <c r="E380" t="s">
        <v>268</v>
      </c>
      <c r="F380" t="s">
        <v>349</v>
      </c>
      <c r="G380" t="s">
        <v>106</v>
      </c>
      <c r="H380" t="s">
        <v>350</v>
      </c>
      <c r="J380">
        <v>2</v>
      </c>
      <c r="K380" t="s">
        <v>108</v>
      </c>
      <c r="L380" t="s">
        <v>133</v>
      </c>
      <c r="M380" t="s">
        <v>270</v>
      </c>
      <c r="N380" t="s">
        <v>153</v>
      </c>
      <c r="O380">
        <v>123</v>
      </c>
      <c r="Q380">
        <v>553</v>
      </c>
      <c r="R380">
        <v>103</v>
      </c>
      <c r="S380">
        <v>4.25</v>
      </c>
      <c r="T380">
        <v>3.3849999999999998</v>
      </c>
      <c r="U380">
        <v>6.22</v>
      </c>
      <c r="V380">
        <v>2349.1</v>
      </c>
      <c r="W380">
        <v>643</v>
      </c>
      <c r="X380">
        <v>1.3332999999999999</v>
      </c>
      <c r="Y380">
        <v>499</v>
      </c>
      <c r="Z380">
        <v>4.71</v>
      </c>
      <c r="AJ380">
        <v>2</v>
      </c>
      <c r="AK380">
        <v>18</v>
      </c>
      <c r="AM380">
        <v>0</v>
      </c>
      <c r="AO380" t="s">
        <v>352</v>
      </c>
      <c r="AT380">
        <v>48</v>
      </c>
      <c r="AV380">
        <v>59.1</v>
      </c>
      <c r="AW380">
        <v>0.40625</v>
      </c>
      <c r="AX380">
        <v>3.75</v>
      </c>
      <c r="AY380">
        <v>35.5</v>
      </c>
      <c r="AZ380">
        <v>3.875</v>
      </c>
      <c r="BA380">
        <v>274.3</v>
      </c>
      <c r="BB380">
        <v>4.82</v>
      </c>
      <c r="BC380">
        <v>34</v>
      </c>
      <c r="BD380">
        <v>0.375</v>
      </c>
      <c r="BE380">
        <v>3.75</v>
      </c>
      <c r="BF380">
        <v>28.75</v>
      </c>
      <c r="BG380">
        <v>3.5</v>
      </c>
      <c r="BH380">
        <v>224.44</v>
      </c>
      <c r="BI380">
        <v>4.79</v>
      </c>
      <c r="BJ380">
        <v>25</v>
      </c>
      <c r="BL380">
        <v>498.74</v>
      </c>
      <c r="BM380">
        <v>59</v>
      </c>
      <c r="BN380">
        <v>283.55009999999999</v>
      </c>
      <c r="BO380">
        <v>1291</v>
      </c>
      <c r="BP380">
        <v>0</v>
      </c>
      <c r="BQ380">
        <v>42</v>
      </c>
      <c r="BR380">
        <v>42</v>
      </c>
      <c r="BS380">
        <v>41.91</v>
      </c>
      <c r="BT380">
        <v>0</v>
      </c>
      <c r="BV380">
        <v>0</v>
      </c>
      <c r="BW380" t="s">
        <v>655</v>
      </c>
      <c r="BX380">
        <v>0.17</v>
      </c>
      <c r="BY380">
        <v>7.1246999999999998</v>
      </c>
      <c r="BZ380">
        <v>0</v>
      </c>
      <c r="CA380">
        <v>1</v>
      </c>
      <c r="CB380">
        <v>0.6</v>
      </c>
      <c r="CC380" s="3">
        <v>7.1269159999999998E-2</v>
      </c>
      <c r="CD380">
        <v>2.875</v>
      </c>
      <c r="CE380">
        <v>2.5</v>
      </c>
      <c r="CF380">
        <v>18</v>
      </c>
      <c r="CG380">
        <v>6</v>
      </c>
      <c r="CH380">
        <v>0</v>
      </c>
      <c r="CI380">
        <v>41.91</v>
      </c>
      <c r="CJ380">
        <v>486.4898</v>
      </c>
    </row>
    <row r="381" spans="1:88">
      <c r="A381">
        <v>379</v>
      </c>
      <c r="B381" t="s">
        <v>0</v>
      </c>
      <c r="C381" t="s">
        <v>1</v>
      </c>
      <c r="D381" t="s">
        <v>302</v>
      </c>
      <c r="E381" t="s">
        <v>353</v>
      </c>
      <c r="F381" t="s">
        <v>401</v>
      </c>
      <c r="G381" t="s">
        <v>15</v>
      </c>
      <c r="H381" t="s">
        <v>402</v>
      </c>
      <c r="J381">
        <v>2</v>
      </c>
      <c r="K381" t="s">
        <v>108</v>
      </c>
      <c r="L381" t="s">
        <v>123</v>
      </c>
      <c r="M381" t="s">
        <v>509</v>
      </c>
      <c r="N381" t="s">
        <v>476</v>
      </c>
      <c r="O381">
        <v>163</v>
      </c>
      <c r="Q381">
        <v>869</v>
      </c>
      <c r="R381">
        <v>125</v>
      </c>
      <c r="S381">
        <v>4.25</v>
      </c>
      <c r="T381">
        <v>4.3529999999999998</v>
      </c>
      <c r="U381">
        <v>6.82</v>
      </c>
      <c r="V381">
        <v>3691.12</v>
      </c>
      <c r="W381">
        <v>852</v>
      </c>
      <c r="X381">
        <v>1.3332999999999999</v>
      </c>
      <c r="Y381">
        <v>650</v>
      </c>
      <c r="Z381">
        <v>5.68</v>
      </c>
      <c r="AJ381">
        <v>2</v>
      </c>
      <c r="AK381">
        <v>18</v>
      </c>
      <c r="AM381">
        <v>0</v>
      </c>
      <c r="AO381" t="s">
        <v>246</v>
      </c>
      <c r="AT381">
        <v>62</v>
      </c>
      <c r="AV381">
        <v>71.8</v>
      </c>
      <c r="AW381" t="s">
        <v>6</v>
      </c>
      <c r="AX381" t="s">
        <v>6</v>
      </c>
      <c r="AY381" t="s">
        <v>6</v>
      </c>
      <c r="AZ381" t="s">
        <v>6</v>
      </c>
      <c r="BA381" t="s">
        <v>6</v>
      </c>
      <c r="BB381" t="s">
        <v>6</v>
      </c>
      <c r="BC381" t="s">
        <v>6</v>
      </c>
      <c r="BD381" t="s">
        <v>6</v>
      </c>
      <c r="BE381" t="s">
        <v>6</v>
      </c>
      <c r="BF381" t="s">
        <v>6</v>
      </c>
      <c r="BG381" t="s">
        <v>6</v>
      </c>
      <c r="BH381" t="s">
        <v>6</v>
      </c>
      <c r="BI381" t="s">
        <v>6</v>
      </c>
      <c r="BJ381" t="s">
        <v>6</v>
      </c>
      <c r="BN381">
        <v>612.47260000000006</v>
      </c>
      <c r="BO381">
        <v>2916</v>
      </c>
      <c r="BP381">
        <v>0</v>
      </c>
      <c r="BQ381">
        <v>56</v>
      </c>
      <c r="BR381">
        <v>56</v>
      </c>
      <c r="BS381">
        <v>55.82</v>
      </c>
      <c r="BT381">
        <v>0</v>
      </c>
      <c r="BV381">
        <v>0</v>
      </c>
      <c r="BW381" t="s">
        <v>655</v>
      </c>
      <c r="BX381">
        <v>0.17</v>
      </c>
      <c r="BY381">
        <v>9.4893999999999998</v>
      </c>
      <c r="BZ381">
        <v>0</v>
      </c>
      <c r="CA381">
        <v>1</v>
      </c>
      <c r="CB381">
        <v>0.6</v>
      </c>
      <c r="CC381" s="3">
        <v>7.1269159999999998E-2</v>
      </c>
      <c r="CD381">
        <v>2.875</v>
      </c>
      <c r="CE381">
        <v>2.5</v>
      </c>
      <c r="CF381">
        <v>18</v>
      </c>
      <c r="CG381">
        <v>6</v>
      </c>
      <c r="CH381">
        <v>0</v>
      </c>
      <c r="CI381">
        <v>55.82</v>
      </c>
      <c r="CJ381">
        <v>787.19510000000002</v>
      </c>
    </row>
    <row r="382" spans="1:88">
      <c r="A382">
        <v>380</v>
      </c>
      <c r="B382" t="s">
        <v>13</v>
      </c>
      <c r="C382" t="s">
        <v>1</v>
      </c>
      <c r="D382" t="s">
        <v>438</v>
      </c>
      <c r="E382" t="s">
        <v>219</v>
      </c>
      <c r="F382" t="s">
        <v>319</v>
      </c>
      <c r="G382" t="s">
        <v>106</v>
      </c>
      <c r="H382" t="s">
        <v>464</v>
      </c>
      <c r="J382">
        <v>2</v>
      </c>
      <c r="K382" t="s">
        <v>146</v>
      </c>
      <c r="L382" t="s">
        <v>369</v>
      </c>
      <c r="M382" t="s">
        <v>220</v>
      </c>
      <c r="N382" t="s">
        <v>221</v>
      </c>
      <c r="O382">
        <v>101</v>
      </c>
      <c r="Q382">
        <v>257</v>
      </c>
      <c r="R382">
        <v>61</v>
      </c>
      <c r="S382">
        <v>4.25</v>
      </c>
      <c r="T382">
        <v>2.8119999999999998</v>
      </c>
      <c r="U382">
        <v>5.92</v>
      </c>
      <c r="V382">
        <v>1091.52</v>
      </c>
      <c r="W382">
        <v>363</v>
      </c>
      <c r="X382">
        <v>1.3332999999999999</v>
      </c>
      <c r="Y382">
        <v>264</v>
      </c>
      <c r="Z382">
        <v>4.1399999999999997</v>
      </c>
      <c r="AJ382">
        <v>2</v>
      </c>
      <c r="AK382">
        <v>18</v>
      </c>
      <c r="AM382">
        <v>0</v>
      </c>
      <c r="AO382" t="s">
        <v>408</v>
      </c>
      <c r="AT382">
        <v>40</v>
      </c>
      <c r="AV382">
        <v>32.4</v>
      </c>
      <c r="AW382">
        <v>0</v>
      </c>
      <c r="AX382">
        <v>0</v>
      </c>
      <c r="AY382">
        <v>24.5</v>
      </c>
      <c r="AZ382">
        <v>3.125</v>
      </c>
      <c r="BA382">
        <v>0</v>
      </c>
      <c r="BB382">
        <v>0</v>
      </c>
      <c r="BC382">
        <v>22</v>
      </c>
      <c r="BN382">
        <v>153.36670000000001</v>
      </c>
      <c r="BO382">
        <v>4412</v>
      </c>
      <c r="BP382">
        <v>0</v>
      </c>
      <c r="BQ382">
        <v>34</v>
      </c>
      <c r="BR382">
        <v>34</v>
      </c>
      <c r="BS382">
        <v>34.26</v>
      </c>
      <c r="BT382">
        <v>0</v>
      </c>
      <c r="BV382">
        <v>0</v>
      </c>
      <c r="BW382" t="s">
        <v>655</v>
      </c>
      <c r="BX382">
        <v>0.17</v>
      </c>
      <c r="BY382">
        <v>5.8242000000000003</v>
      </c>
      <c r="BZ382">
        <v>0</v>
      </c>
      <c r="CA382">
        <v>1</v>
      </c>
      <c r="CB382">
        <v>0.6</v>
      </c>
      <c r="CC382" s="3">
        <v>7.1269159999999998E-2</v>
      </c>
      <c r="CD382">
        <v>2.875</v>
      </c>
      <c r="CE382">
        <v>2.5</v>
      </c>
      <c r="CF382">
        <v>18</v>
      </c>
      <c r="CG382">
        <v>6</v>
      </c>
      <c r="CH382">
        <v>0</v>
      </c>
      <c r="CI382">
        <v>34.26</v>
      </c>
      <c r="CJ382">
        <v>218.53049999999999</v>
      </c>
    </row>
    <row r="383" spans="1:88">
      <c r="A383">
        <v>381</v>
      </c>
      <c r="B383" t="s">
        <v>0</v>
      </c>
      <c r="C383" t="s">
        <v>1</v>
      </c>
      <c r="D383" t="s">
        <v>537</v>
      </c>
      <c r="E383" t="s">
        <v>317</v>
      </c>
      <c r="F383" t="s">
        <v>244</v>
      </c>
      <c r="G383" t="s">
        <v>106</v>
      </c>
      <c r="H383" t="s">
        <v>541</v>
      </c>
      <c r="J383">
        <v>2</v>
      </c>
      <c r="K383" t="s">
        <v>146</v>
      </c>
      <c r="L383" t="s">
        <v>169</v>
      </c>
      <c r="M383" t="s">
        <v>400</v>
      </c>
      <c r="N383" t="s">
        <v>228</v>
      </c>
      <c r="O383">
        <v>99</v>
      </c>
      <c r="Q383">
        <v>170</v>
      </c>
      <c r="R383">
        <v>39</v>
      </c>
      <c r="S383">
        <v>4.25</v>
      </c>
      <c r="T383">
        <v>2.758</v>
      </c>
      <c r="U383">
        <v>5.88</v>
      </c>
      <c r="V383">
        <v>720.8</v>
      </c>
      <c r="W383">
        <v>230</v>
      </c>
      <c r="X383">
        <v>1.3332999999999999</v>
      </c>
      <c r="Y383">
        <v>176</v>
      </c>
      <c r="Z383">
        <v>4.09</v>
      </c>
      <c r="AJ383">
        <v>2</v>
      </c>
      <c r="AK383">
        <v>18</v>
      </c>
      <c r="AM383">
        <v>0</v>
      </c>
      <c r="AO383" t="s">
        <v>445</v>
      </c>
      <c r="AT383">
        <v>40</v>
      </c>
      <c r="AV383">
        <v>21.5</v>
      </c>
      <c r="AW383">
        <v>0</v>
      </c>
      <c r="AX383">
        <v>0</v>
      </c>
      <c r="AY383">
        <v>36.625</v>
      </c>
      <c r="AZ383">
        <v>3.125</v>
      </c>
      <c r="BA383">
        <v>0</v>
      </c>
      <c r="BB383">
        <v>0</v>
      </c>
      <c r="BC383">
        <v>32</v>
      </c>
      <c r="BN383">
        <v>99.866680000000002</v>
      </c>
      <c r="BO383">
        <v>10405</v>
      </c>
      <c r="BP383">
        <v>0</v>
      </c>
      <c r="BQ383">
        <v>34</v>
      </c>
      <c r="BR383">
        <v>34</v>
      </c>
      <c r="BS383">
        <v>33.56</v>
      </c>
      <c r="BT383">
        <v>0</v>
      </c>
      <c r="BV383">
        <v>0</v>
      </c>
      <c r="BW383" t="s">
        <v>655</v>
      </c>
      <c r="BX383">
        <v>0.17</v>
      </c>
      <c r="BY383">
        <v>5.7051999999999996</v>
      </c>
      <c r="BZ383">
        <v>0</v>
      </c>
      <c r="CA383">
        <v>1</v>
      </c>
      <c r="CB383">
        <v>0.6</v>
      </c>
      <c r="CC383" s="3">
        <v>7.1269159999999998E-2</v>
      </c>
      <c r="CD383">
        <v>2.875</v>
      </c>
      <c r="CE383">
        <v>2.5</v>
      </c>
      <c r="CF383">
        <v>18</v>
      </c>
      <c r="CG383">
        <v>6</v>
      </c>
      <c r="CH383">
        <v>0</v>
      </c>
      <c r="CI383">
        <v>33.56</v>
      </c>
      <c r="CJ383">
        <v>142.3117</v>
      </c>
    </row>
    <row r="384" spans="1:88">
      <c r="A384">
        <v>382</v>
      </c>
      <c r="B384" t="s">
        <v>0</v>
      </c>
      <c r="C384" t="s">
        <v>1</v>
      </c>
      <c r="D384" t="s">
        <v>365</v>
      </c>
      <c r="E384" t="s">
        <v>438</v>
      </c>
      <c r="F384" t="s">
        <v>367</v>
      </c>
      <c r="G384" t="s">
        <v>106</v>
      </c>
      <c r="H384" t="s">
        <v>368</v>
      </c>
      <c r="J384">
        <v>2</v>
      </c>
      <c r="K384" t="s">
        <v>146</v>
      </c>
      <c r="L384" t="s">
        <v>399</v>
      </c>
      <c r="M384" t="s">
        <v>467</v>
      </c>
      <c r="N384" t="s">
        <v>382</v>
      </c>
      <c r="O384">
        <v>97</v>
      </c>
      <c r="Q384">
        <v>129</v>
      </c>
      <c r="R384">
        <v>31</v>
      </c>
      <c r="S384">
        <v>4.25</v>
      </c>
      <c r="T384">
        <v>2.7040000000000002</v>
      </c>
      <c r="U384">
        <v>5.85</v>
      </c>
      <c r="V384">
        <v>546.76</v>
      </c>
      <c r="W384">
        <v>182</v>
      </c>
      <c r="X384">
        <v>1.3332999999999999</v>
      </c>
      <c r="Y384">
        <v>136</v>
      </c>
      <c r="Z384">
        <v>4.03</v>
      </c>
      <c r="AJ384">
        <v>2</v>
      </c>
      <c r="AK384">
        <v>18</v>
      </c>
      <c r="AM384">
        <v>0</v>
      </c>
      <c r="AO384" t="s">
        <v>371</v>
      </c>
      <c r="AT384">
        <v>39</v>
      </c>
      <c r="AV384">
        <v>16.5</v>
      </c>
      <c r="AW384">
        <v>0</v>
      </c>
      <c r="AX384">
        <v>0</v>
      </c>
      <c r="AY384">
        <v>18.75</v>
      </c>
      <c r="AZ384">
        <v>2.5</v>
      </c>
      <c r="BA384">
        <v>0</v>
      </c>
      <c r="BB384">
        <v>0</v>
      </c>
      <c r="BC384">
        <v>14</v>
      </c>
      <c r="BN384">
        <v>74.900009999999995</v>
      </c>
      <c r="BO384">
        <v>18497</v>
      </c>
      <c r="BP384">
        <v>0</v>
      </c>
      <c r="BQ384">
        <v>33</v>
      </c>
      <c r="BR384">
        <v>33</v>
      </c>
      <c r="BS384">
        <v>32.86</v>
      </c>
      <c r="BT384">
        <v>0</v>
      </c>
      <c r="BV384">
        <v>0</v>
      </c>
      <c r="BW384" t="s">
        <v>655</v>
      </c>
      <c r="BX384">
        <v>0.17</v>
      </c>
      <c r="BY384">
        <v>5.5861999999999998</v>
      </c>
      <c r="BZ384">
        <v>0</v>
      </c>
      <c r="CA384">
        <v>1</v>
      </c>
      <c r="CB384">
        <v>0.6</v>
      </c>
      <c r="CC384" s="3">
        <v>7.1269159999999998E-2</v>
      </c>
      <c r="CD384">
        <v>2.875</v>
      </c>
      <c r="CE384">
        <v>2.5</v>
      </c>
      <c r="CF384">
        <v>18</v>
      </c>
      <c r="CG384">
        <v>6</v>
      </c>
      <c r="CH384">
        <v>0</v>
      </c>
      <c r="CI384">
        <v>32.86</v>
      </c>
      <c r="CJ384">
        <v>106.55670000000001</v>
      </c>
    </row>
    <row r="385" spans="1:88">
      <c r="A385">
        <v>383</v>
      </c>
      <c r="B385" t="s">
        <v>13</v>
      </c>
      <c r="C385" t="s">
        <v>1</v>
      </c>
      <c r="D385" t="s">
        <v>19</v>
      </c>
      <c r="E385" t="s">
        <v>165</v>
      </c>
      <c r="F385" t="s">
        <v>114</v>
      </c>
      <c r="G385" t="s">
        <v>106</v>
      </c>
      <c r="H385" t="s">
        <v>115</v>
      </c>
      <c r="J385">
        <v>2</v>
      </c>
      <c r="K385" t="s">
        <v>108</v>
      </c>
      <c r="L385" t="s">
        <v>125</v>
      </c>
      <c r="M385" t="s">
        <v>252</v>
      </c>
      <c r="N385" t="s">
        <v>293</v>
      </c>
      <c r="O385">
        <v>148</v>
      </c>
      <c r="Q385">
        <v>715</v>
      </c>
      <c r="R385">
        <v>112</v>
      </c>
      <c r="S385">
        <v>4.25</v>
      </c>
      <c r="T385">
        <v>4</v>
      </c>
      <c r="U385">
        <v>6.67</v>
      </c>
      <c r="V385">
        <v>3037.09</v>
      </c>
      <c r="W385">
        <v>749</v>
      </c>
      <c r="X385">
        <v>1.3332999999999999</v>
      </c>
      <c r="Y385">
        <v>570</v>
      </c>
      <c r="Z385">
        <v>5.33</v>
      </c>
      <c r="AJ385">
        <v>2</v>
      </c>
      <c r="AK385">
        <v>18</v>
      </c>
      <c r="AM385">
        <v>0</v>
      </c>
      <c r="AO385" t="s">
        <v>118</v>
      </c>
      <c r="AT385">
        <v>57</v>
      </c>
      <c r="AV385">
        <v>64.5</v>
      </c>
      <c r="AW385" t="s">
        <v>6</v>
      </c>
      <c r="AX385" t="s">
        <v>6</v>
      </c>
      <c r="AY385" t="s">
        <v>6</v>
      </c>
      <c r="AZ385" t="s">
        <v>6</v>
      </c>
      <c r="BA385" t="s">
        <v>6</v>
      </c>
      <c r="BB385" t="s">
        <v>6</v>
      </c>
      <c r="BC385" t="s">
        <v>6</v>
      </c>
      <c r="BD385" t="s">
        <v>6</v>
      </c>
      <c r="BE385" t="s">
        <v>6</v>
      </c>
      <c r="BF385" t="s">
        <v>6</v>
      </c>
      <c r="BG385" t="s">
        <v>6</v>
      </c>
      <c r="BH385" t="s">
        <v>6</v>
      </c>
      <c r="BI385" t="s">
        <v>6</v>
      </c>
      <c r="BJ385" t="s">
        <v>6</v>
      </c>
      <c r="BN385">
        <v>310.30009999999999</v>
      </c>
      <c r="BO385">
        <v>1078</v>
      </c>
      <c r="BP385">
        <v>0</v>
      </c>
      <c r="BQ385">
        <v>51</v>
      </c>
      <c r="BR385">
        <v>51</v>
      </c>
      <c r="BS385">
        <v>50.6</v>
      </c>
      <c r="BT385">
        <v>0</v>
      </c>
      <c r="BV385">
        <v>0</v>
      </c>
      <c r="BW385" t="s">
        <v>655</v>
      </c>
      <c r="BX385">
        <v>0.17</v>
      </c>
      <c r="BY385">
        <v>8.6019989999999993</v>
      </c>
      <c r="BZ385">
        <v>0</v>
      </c>
      <c r="CA385">
        <v>1</v>
      </c>
      <c r="CB385">
        <v>0.6</v>
      </c>
      <c r="CC385" s="3">
        <v>7.1269159999999998E-2</v>
      </c>
      <c r="CD385">
        <v>2.875</v>
      </c>
      <c r="CE385">
        <v>2.5</v>
      </c>
      <c r="CF385">
        <v>18</v>
      </c>
      <c r="CG385">
        <v>6</v>
      </c>
      <c r="CH385">
        <v>0</v>
      </c>
      <c r="CI385">
        <v>50.6</v>
      </c>
      <c r="CJ385">
        <v>641.45630000000006</v>
      </c>
    </row>
    <row r="386" spans="1:88">
      <c r="A386">
        <v>384</v>
      </c>
      <c r="B386" t="s">
        <v>13</v>
      </c>
      <c r="C386" t="s">
        <v>1</v>
      </c>
      <c r="D386" t="s">
        <v>96</v>
      </c>
      <c r="E386" t="s">
        <v>169</v>
      </c>
      <c r="F386" t="s">
        <v>198</v>
      </c>
      <c r="G386" t="s">
        <v>106</v>
      </c>
      <c r="H386" t="s">
        <v>162</v>
      </c>
      <c r="J386">
        <v>2</v>
      </c>
      <c r="K386" t="s">
        <v>146</v>
      </c>
      <c r="L386" t="s">
        <v>381</v>
      </c>
      <c r="M386" t="s">
        <v>173</v>
      </c>
      <c r="N386" t="s">
        <v>174</v>
      </c>
      <c r="O386">
        <v>119</v>
      </c>
      <c r="Q386">
        <v>408</v>
      </c>
      <c r="R386">
        <v>81</v>
      </c>
      <c r="S386">
        <v>4.25</v>
      </c>
      <c r="T386">
        <v>3.2829999999999999</v>
      </c>
      <c r="U386">
        <v>6.15</v>
      </c>
      <c r="V386">
        <v>1735.48</v>
      </c>
      <c r="W386">
        <v>497</v>
      </c>
      <c r="X386">
        <v>1.3332999999999999</v>
      </c>
      <c r="Y386">
        <v>376</v>
      </c>
      <c r="Z386">
        <v>4.6100000000000003</v>
      </c>
      <c r="AJ386">
        <v>2</v>
      </c>
      <c r="AK386">
        <v>18</v>
      </c>
      <c r="AM386">
        <v>0</v>
      </c>
      <c r="AO386" t="s">
        <v>166</v>
      </c>
      <c r="AT386">
        <v>47</v>
      </c>
      <c r="AV386">
        <v>44.8</v>
      </c>
      <c r="AW386">
        <v>0</v>
      </c>
      <c r="AX386">
        <v>0</v>
      </c>
      <c r="AY386">
        <v>53.875</v>
      </c>
      <c r="AZ386">
        <v>4.375</v>
      </c>
      <c r="BA386">
        <v>0</v>
      </c>
      <c r="BB386">
        <v>0</v>
      </c>
      <c r="BC386">
        <v>58</v>
      </c>
      <c r="BN386">
        <v>214</v>
      </c>
      <c r="BO386">
        <v>2266</v>
      </c>
      <c r="BP386">
        <v>0</v>
      </c>
      <c r="BQ386">
        <v>41</v>
      </c>
      <c r="BR386">
        <v>41</v>
      </c>
      <c r="BS386">
        <v>40.520000000000003</v>
      </c>
      <c r="BT386">
        <v>0</v>
      </c>
      <c r="BV386">
        <v>0</v>
      </c>
      <c r="BW386" t="s">
        <v>655</v>
      </c>
      <c r="BX386">
        <v>0.17</v>
      </c>
      <c r="BY386">
        <v>6.8883999999999999</v>
      </c>
      <c r="BZ386">
        <v>0</v>
      </c>
      <c r="CA386">
        <v>1</v>
      </c>
      <c r="CB386">
        <v>0.6</v>
      </c>
      <c r="CC386" s="3">
        <v>7.1269159999999998E-2</v>
      </c>
      <c r="CD386">
        <v>2.875</v>
      </c>
      <c r="CE386">
        <v>2.5</v>
      </c>
      <c r="CF386">
        <v>18</v>
      </c>
      <c r="CG386">
        <v>6</v>
      </c>
      <c r="CH386">
        <v>0</v>
      </c>
      <c r="CI386">
        <v>40.520000000000003</v>
      </c>
      <c r="CJ386">
        <v>356.64659999999998</v>
      </c>
    </row>
    <row r="387" spans="1:88">
      <c r="A387">
        <v>385</v>
      </c>
      <c r="B387" t="s">
        <v>13</v>
      </c>
      <c r="C387" t="s">
        <v>1</v>
      </c>
      <c r="D387" t="s">
        <v>338</v>
      </c>
      <c r="E387" t="s">
        <v>133</v>
      </c>
      <c r="F387" t="s">
        <v>360</v>
      </c>
      <c r="G387" t="s">
        <v>106</v>
      </c>
      <c r="H387" t="s">
        <v>101</v>
      </c>
      <c r="J387">
        <v>2</v>
      </c>
      <c r="K387" t="s">
        <v>146</v>
      </c>
      <c r="L387" t="s">
        <v>353</v>
      </c>
      <c r="M387" t="s">
        <v>194</v>
      </c>
      <c r="N387" t="s">
        <v>195</v>
      </c>
      <c r="O387">
        <v>143</v>
      </c>
      <c r="Q387">
        <v>499</v>
      </c>
      <c r="R387">
        <v>83</v>
      </c>
      <c r="S387">
        <v>4.25</v>
      </c>
      <c r="T387">
        <v>3.88</v>
      </c>
      <c r="U387">
        <v>6.6</v>
      </c>
      <c r="V387">
        <v>2118.87</v>
      </c>
      <c r="W387">
        <v>549</v>
      </c>
      <c r="X387">
        <v>1.3332999999999999</v>
      </c>
      <c r="Y387">
        <v>407</v>
      </c>
      <c r="Z387">
        <v>5.21</v>
      </c>
      <c r="AJ387">
        <v>2</v>
      </c>
      <c r="AK387">
        <v>18</v>
      </c>
      <c r="AM387">
        <v>0</v>
      </c>
      <c r="AO387" t="s">
        <v>403</v>
      </c>
      <c r="AT387">
        <v>55</v>
      </c>
      <c r="AV387">
        <v>46.2</v>
      </c>
      <c r="AW387">
        <v>0.46875</v>
      </c>
      <c r="AX387">
        <v>3.75</v>
      </c>
      <c r="AY387">
        <v>53.625</v>
      </c>
      <c r="AZ387">
        <v>4.875</v>
      </c>
      <c r="BA387">
        <v>378.27</v>
      </c>
      <c r="BB387">
        <v>5.21</v>
      </c>
      <c r="BC387">
        <v>58</v>
      </c>
      <c r="BD387">
        <v>0.25</v>
      </c>
      <c r="BE387">
        <v>2.75</v>
      </c>
      <c r="BF387">
        <v>40.375</v>
      </c>
      <c r="BG387">
        <v>2.625</v>
      </c>
      <c r="BH387">
        <v>28.42</v>
      </c>
      <c r="BI387">
        <v>12.08</v>
      </c>
      <c r="BJ387">
        <v>18</v>
      </c>
      <c r="BL387">
        <v>406.69</v>
      </c>
      <c r="BM387">
        <v>75</v>
      </c>
      <c r="BN387">
        <v>221.13339999999999</v>
      </c>
      <c r="BO387">
        <v>2122</v>
      </c>
      <c r="BP387">
        <v>0</v>
      </c>
      <c r="BQ387">
        <v>49</v>
      </c>
      <c r="BR387">
        <v>49</v>
      </c>
      <c r="BS387">
        <v>48.86</v>
      </c>
      <c r="BT387">
        <v>0</v>
      </c>
      <c r="BV387">
        <v>0</v>
      </c>
      <c r="BW387" t="s">
        <v>655</v>
      </c>
      <c r="BX387">
        <v>0.17</v>
      </c>
      <c r="BY387">
        <v>8.3062000000000005</v>
      </c>
      <c r="BZ387">
        <v>0</v>
      </c>
      <c r="CA387">
        <v>1</v>
      </c>
      <c r="CB387">
        <v>0.6</v>
      </c>
      <c r="CC387" s="3">
        <v>7.1269159999999998E-2</v>
      </c>
      <c r="CD387">
        <v>2.875</v>
      </c>
      <c r="CE387">
        <v>2.5</v>
      </c>
      <c r="CF387">
        <v>18</v>
      </c>
      <c r="CG387">
        <v>6</v>
      </c>
      <c r="CH387">
        <v>0</v>
      </c>
      <c r="CI387">
        <v>48.86</v>
      </c>
      <c r="CJ387">
        <v>443.9819</v>
      </c>
    </row>
    <row r="388" spans="1:88">
      <c r="A388">
        <v>386</v>
      </c>
      <c r="B388" t="s">
        <v>0</v>
      </c>
      <c r="C388" t="s">
        <v>1</v>
      </c>
      <c r="D388" t="s">
        <v>542</v>
      </c>
      <c r="E388" t="s">
        <v>224</v>
      </c>
      <c r="F388" t="s">
        <v>543</v>
      </c>
      <c r="G388" t="s">
        <v>15</v>
      </c>
      <c r="H388" t="s">
        <v>542</v>
      </c>
      <c r="J388">
        <v>2</v>
      </c>
      <c r="K388" t="s">
        <v>9</v>
      </c>
      <c r="L388" t="s">
        <v>317</v>
      </c>
      <c r="M388" t="s">
        <v>225</v>
      </c>
      <c r="N388" t="s">
        <v>344</v>
      </c>
      <c r="O388">
        <v>79</v>
      </c>
      <c r="Q388">
        <v>592</v>
      </c>
      <c r="R388">
        <v>163</v>
      </c>
      <c r="S388">
        <v>4.25</v>
      </c>
      <c r="T388">
        <v>2.2029999999999998</v>
      </c>
      <c r="U388">
        <v>5.62</v>
      </c>
      <c r="V388">
        <v>2516.63</v>
      </c>
      <c r="W388">
        <v>918</v>
      </c>
      <c r="X388">
        <v>1.3332999999999999</v>
      </c>
      <c r="Y388">
        <v>713</v>
      </c>
      <c r="Z388">
        <v>3.53</v>
      </c>
      <c r="AJ388">
        <v>2</v>
      </c>
      <c r="AK388">
        <v>18</v>
      </c>
      <c r="AM388">
        <v>0</v>
      </c>
      <c r="AO388" t="s">
        <v>698</v>
      </c>
      <c r="AT388">
        <v>33</v>
      </c>
      <c r="AV388">
        <v>93.9</v>
      </c>
      <c r="AW388">
        <v>0.5</v>
      </c>
      <c r="AX388">
        <v>5.625</v>
      </c>
      <c r="AY388">
        <v>32.125</v>
      </c>
      <c r="AZ388">
        <v>3.5</v>
      </c>
      <c r="BA388">
        <v>558.29999999999995</v>
      </c>
      <c r="BB388">
        <v>4.16</v>
      </c>
      <c r="BC388">
        <v>57</v>
      </c>
      <c r="BD388">
        <v>0.3125</v>
      </c>
      <c r="BE388">
        <v>3.75</v>
      </c>
      <c r="BF388">
        <v>16.5</v>
      </c>
      <c r="BG388">
        <v>2.25</v>
      </c>
      <c r="BH388">
        <v>154.62</v>
      </c>
      <c r="BI388">
        <v>4.13</v>
      </c>
      <c r="BJ388">
        <v>12</v>
      </c>
      <c r="BL388">
        <v>712.92</v>
      </c>
      <c r="BM388">
        <v>69</v>
      </c>
      <c r="BN388">
        <v>805.05420000000004</v>
      </c>
      <c r="BO388">
        <v>1688</v>
      </c>
      <c r="BP388">
        <v>0</v>
      </c>
      <c r="BQ388">
        <v>27</v>
      </c>
      <c r="BR388">
        <v>27</v>
      </c>
      <c r="BS388">
        <v>26.6</v>
      </c>
      <c r="BT388">
        <v>0</v>
      </c>
      <c r="BV388">
        <v>6</v>
      </c>
      <c r="BW388" t="s">
        <v>655</v>
      </c>
      <c r="BX388">
        <v>0.27933340000000001</v>
      </c>
      <c r="BY388">
        <v>7.4302679999999999</v>
      </c>
      <c r="BZ388">
        <v>0</v>
      </c>
      <c r="CA388">
        <v>1</v>
      </c>
      <c r="CB388">
        <v>0.6</v>
      </c>
      <c r="CC388" s="3">
        <v>7.1269159999999998E-2</v>
      </c>
      <c r="CD388">
        <v>2.875</v>
      </c>
      <c r="CE388">
        <v>2.5</v>
      </c>
      <c r="CF388">
        <v>18</v>
      </c>
      <c r="CG388">
        <v>6</v>
      </c>
      <c r="CH388">
        <v>0</v>
      </c>
      <c r="CI388">
        <v>26.6</v>
      </c>
      <c r="CJ388">
        <v>490.76479999999998</v>
      </c>
    </row>
    <row r="389" spans="1:88">
      <c r="A389">
        <v>387</v>
      </c>
      <c r="B389" t="s">
        <v>13</v>
      </c>
      <c r="C389" t="s">
        <v>1</v>
      </c>
      <c r="D389" t="s">
        <v>113</v>
      </c>
      <c r="E389" t="s">
        <v>280</v>
      </c>
      <c r="F389" t="s">
        <v>262</v>
      </c>
      <c r="G389" t="s">
        <v>214</v>
      </c>
      <c r="H389" t="s">
        <v>263</v>
      </c>
      <c r="J389">
        <v>2</v>
      </c>
      <c r="K389" t="s">
        <v>108</v>
      </c>
      <c r="L389" t="s">
        <v>324</v>
      </c>
      <c r="M389" t="s">
        <v>544</v>
      </c>
      <c r="N389" t="s">
        <v>545</v>
      </c>
      <c r="O389">
        <v>227</v>
      </c>
      <c r="Q389">
        <v>1032</v>
      </c>
      <c r="R389">
        <v>118</v>
      </c>
      <c r="S389">
        <v>4.25</v>
      </c>
      <c r="T389">
        <v>5.7519999999999998</v>
      </c>
      <c r="U389">
        <v>7.68</v>
      </c>
      <c r="V389">
        <v>4386.34</v>
      </c>
      <c r="W389">
        <v>909</v>
      </c>
      <c r="X389">
        <v>1.5</v>
      </c>
      <c r="Y389">
        <v>605</v>
      </c>
      <c r="Z389">
        <v>7.25</v>
      </c>
      <c r="AJ389">
        <v>2</v>
      </c>
      <c r="AK389">
        <v>18</v>
      </c>
      <c r="AM389">
        <v>0</v>
      </c>
      <c r="AO389" t="s">
        <v>266</v>
      </c>
      <c r="AT389">
        <v>84</v>
      </c>
      <c r="AV389">
        <v>62.3</v>
      </c>
      <c r="AW389" t="s">
        <v>6</v>
      </c>
      <c r="AX389" t="s">
        <v>6</v>
      </c>
      <c r="AY389" t="s">
        <v>6</v>
      </c>
      <c r="AZ389" t="s">
        <v>6</v>
      </c>
      <c r="BA389" t="s">
        <v>6</v>
      </c>
      <c r="BB389" t="s">
        <v>6</v>
      </c>
      <c r="BC389" t="s">
        <v>6</v>
      </c>
      <c r="BD389" t="s">
        <v>6</v>
      </c>
      <c r="BE389" t="s">
        <v>6</v>
      </c>
      <c r="BF389" t="s">
        <v>6</v>
      </c>
      <c r="BG389" t="s">
        <v>6</v>
      </c>
      <c r="BH389" t="s">
        <v>6</v>
      </c>
      <c r="BI389" t="s">
        <v>6</v>
      </c>
      <c r="BJ389" t="s">
        <v>6</v>
      </c>
      <c r="BN389">
        <v>302.12</v>
      </c>
      <c r="BO389">
        <v>1426</v>
      </c>
      <c r="BP389">
        <v>0</v>
      </c>
      <c r="BQ389">
        <v>78</v>
      </c>
      <c r="BR389">
        <v>78</v>
      </c>
      <c r="BS389">
        <v>78.08</v>
      </c>
      <c r="BT389">
        <v>0</v>
      </c>
      <c r="BV389">
        <v>0</v>
      </c>
      <c r="BW389" t="s">
        <v>655</v>
      </c>
      <c r="BX389">
        <v>0.17</v>
      </c>
      <c r="BY389">
        <v>13.2736</v>
      </c>
      <c r="BZ389">
        <v>0</v>
      </c>
      <c r="CA389">
        <v>1</v>
      </c>
      <c r="CB389">
        <v>0.6</v>
      </c>
      <c r="CC389" s="3">
        <v>7.1269159999999998E-2</v>
      </c>
      <c r="CD389">
        <v>2.875</v>
      </c>
      <c r="CE389">
        <v>2.5</v>
      </c>
      <c r="CF389">
        <v>18</v>
      </c>
      <c r="CG389">
        <v>6</v>
      </c>
      <c r="CH389">
        <v>0</v>
      </c>
      <c r="CI389">
        <v>78.08</v>
      </c>
      <c r="CJ389">
        <v>956.43209999999999</v>
      </c>
    </row>
    <row r="390" spans="1:88">
      <c r="A390">
        <v>388</v>
      </c>
      <c r="B390" t="s">
        <v>0</v>
      </c>
      <c r="C390" t="s">
        <v>1</v>
      </c>
      <c r="D390" t="s">
        <v>133</v>
      </c>
      <c r="E390" t="s">
        <v>227</v>
      </c>
      <c r="F390" t="s">
        <v>298</v>
      </c>
      <c r="G390" t="s">
        <v>106</v>
      </c>
      <c r="H390" t="s">
        <v>257</v>
      </c>
      <c r="J390">
        <v>2</v>
      </c>
      <c r="K390" t="s">
        <v>146</v>
      </c>
      <c r="L390" t="s">
        <v>330</v>
      </c>
      <c r="M390" t="s">
        <v>129</v>
      </c>
      <c r="N390" t="s">
        <v>169</v>
      </c>
      <c r="O390">
        <v>116</v>
      </c>
      <c r="Q390">
        <v>437</v>
      </c>
      <c r="R390">
        <v>88</v>
      </c>
      <c r="S390">
        <v>4.25</v>
      </c>
      <c r="T390">
        <v>3.206</v>
      </c>
      <c r="U390">
        <v>6.22</v>
      </c>
      <c r="V390">
        <v>1857.46</v>
      </c>
      <c r="W390">
        <v>546</v>
      </c>
      <c r="X390">
        <v>1.3332999999999999</v>
      </c>
      <c r="Y390">
        <v>410</v>
      </c>
      <c r="Z390">
        <v>4.53</v>
      </c>
      <c r="AJ390">
        <v>2</v>
      </c>
      <c r="AK390">
        <v>18</v>
      </c>
      <c r="AM390">
        <v>0</v>
      </c>
      <c r="AO390" t="s">
        <v>301</v>
      </c>
      <c r="AT390">
        <v>46</v>
      </c>
      <c r="AV390">
        <v>49.1</v>
      </c>
      <c r="AW390">
        <v>0</v>
      </c>
      <c r="AX390">
        <v>0</v>
      </c>
      <c r="AY390">
        <v>49.5</v>
      </c>
      <c r="AZ390">
        <v>4.25</v>
      </c>
      <c r="BA390">
        <v>0</v>
      </c>
      <c r="BB390">
        <v>0</v>
      </c>
      <c r="BC390">
        <v>53</v>
      </c>
      <c r="BN390">
        <v>235.40010000000001</v>
      </c>
      <c r="BO390">
        <v>1873</v>
      </c>
      <c r="BP390">
        <v>0</v>
      </c>
      <c r="BQ390">
        <v>39</v>
      </c>
      <c r="BR390">
        <v>39</v>
      </c>
      <c r="BS390">
        <v>39.47</v>
      </c>
      <c r="BT390">
        <v>0</v>
      </c>
      <c r="BV390">
        <v>0</v>
      </c>
      <c r="BW390" t="s">
        <v>655</v>
      </c>
      <c r="BX390">
        <v>0.17</v>
      </c>
      <c r="BY390">
        <v>6.7099010000000003</v>
      </c>
      <c r="BZ390">
        <v>0</v>
      </c>
      <c r="CA390">
        <v>1</v>
      </c>
      <c r="CB390">
        <v>0.6</v>
      </c>
      <c r="CC390" s="3">
        <v>7.1269159999999998E-2</v>
      </c>
      <c r="CD390">
        <v>2.875</v>
      </c>
      <c r="CE390">
        <v>2.5</v>
      </c>
      <c r="CF390">
        <v>18</v>
      </c>
      <c r="CG390">
        <v>6</v>
      </c>
      <c r="CH390">
        <v>0</v>
      </c>
      <c r="CI390">
        <v>39.47</v>
      </c>
      <c r="CJ390">
        <v>381.16059999999999</v>
      </c>
    </row>
    <row r="391" spans="1:88">
      <c r="A391">
        <v>389</v>
      </c>
      <c r="B391" t="s">
        <v>0</v>
      </c>
      <c r="C391" t="s">
        <v>1</v>
      </c>
      <c r="D391" t="s">
        <v>143</v>
      </c>
      <c r="E391" t="s">
        <v>145</v>
      </c>
      <c r="F391" t="s">
        <v>144</v>
      </c>
      <c r="G391" t="s">
        <v>106</v>
      </c>
      <c r="H391" t="s">
        <v>145</v>
      </c>
      <c r="J391">
        <v>2</v>
      </c>
      <c r="K391" t="s">
        <v>146</v>
      </c>
      <c r="L391" t="s">
        <v>348</v>
      </c>
      <c r="M391" t="s">
        <v>149</v>
      </c>
      <c r="N391" t="s">
        <v>233</v>
      </c>
      <c r="O391">
        <v>154</v>
      </c>
      <c r="Q391">
        <v>616</v>
      </c>
      <c r="R391">
        <v>95</v>
      </c>
      <c r="S391">
        <v>4.25</v>
      </c>
      <c r="T391">
        <v>4.1429999999999998</v>
      </c>
      <c r="U391">
        <v>6.78</v>
      </c>
      <c r="V391">
        <v>2619.61</v>
      </c>
      <c r="W391">
        <v>641</v>
      </c>
      <c r="X391">
        <v>1.3332999999999999</v>
      </c>
      <c r="Y391">
        <v>479</v>
      </c>
      <c r="Z391">
        <v>5.47</v>
      </c>
      <c r="AJ391">
        <v>2</v>
      </c>
      <c r="AK391">
        <v>18</v>
      </c>
      <c r="AM391">
        <v>0</v>
      </c>
      <c r="AO391" t="s">
        <v>149</v>
      </c>
      <c r="AT391">
        <v>59</v>
      </c>
      <c r="AV391">
        <v>53.5</v>
      </c>
      <c r="AW391">
        <v>0.40625</v>
      </c>
      <c r="AX391">
        <v>3.75</v>
      </c>
      <c r="AY391">
        <v>40.625</v>
      </c>
      <c r="AZ391">
        <v>4.5</v>
      </c>
      <c r="BA391">
        <v>239.45</v>
      </c>
      <c r="BB391">
        <v>5.53</v>
      </c>
      <c r="BC391">
        <v>39</v>
      </c>
      <c r="BD391">
        <v>0.40625</v>
      </c>
      <c r="BE391">
        <v>3.75</v>
      </c>
      <c r="BF391">
        <v>40.625</v>
      </c>
      <c r="BG391">
        <v>4.5</v>
      </c>
      <c r="BH391">
        <v>239.45</v>
      </c>
      <c r="BI391">
        <v>5.53</v>
      </c>
      <c r="BJ391">
        <v>39</v>
      </c>
      <c r="BL391">
        <v>478.9</v>
      </c>
      <c r="BM391">
        <v>77</v>
      </c>
      <c r="BN391">
        <v>256.80009999999999</v>
      </c>
      <c r="BO391">
        <v>1574</v>
      </c>
      <c r="BP391">
        <v>0</v>
      </c>
      <c r="BQ391">
        <v>53</v>
      </c>
      <c r="BR391">
        <v>53</v>
      </c>
      <c r="BS391">
        <v>52.69</v>
      </c>
      <c r="BT391">
        <v>0</v>
      </c>
      <c r="BV391">
        <v>0</v>
      </c>
      <c r="BW391" t="s">
        <v>655</v>
      </c>
      <c r="BX391">
        <v>0.17</v>
      </c>
      <c r="BY391">
        <v>8.9573</v>
      </c>
      <c r="BZ391">
        <v>0</v>
      </c>
      <c r="CA391">
        <v>1</v>
      </c>
      <c r="CB391">
        <v>0.6</v>
      </c>
      <c r="CC391" s="3">
        <v>7.1269159999999998E-2</v>
      </c>
      <c r="CD391">
        <v>2.875</v>
      </c>
      <c r="CE391">
        <v>2.5</v>
      </c>
      <c r="CF391">
        <v>18</v>
      </c>
      <c r="CG391">
        <v>6</v>
      </c>
      <c r="CH391">
        <v>0</v>
      </c>
      <c r="CI391">
        <v>52.69</v>
      </c>
      <c r="CJ391">
        <v>553.88779999999997</v>
      </c>
    </row>
    <row r="392" spans="1:88">
      <c r="A392">
        <v>390</v>
      </c>
      <c r="B392" t="s">
        <v>0</v>
      </c>
      <c r="C392" t="s">
        <v>1</v>
      </c>
      <c r="D392" t="s">
        <v>471</v>
      </c>
      <c r="E392" t="s">
        <v>96</v>
      </c>
      <c r="F392" t="s">
        <v>699</v>
      </c>
      <c r="G392" t="s">
        <v>15</v>
      </c>
      <c r="H392" t="s">
        <v>471</v>
      </c>
      <c r="J392">
        <v>2</v>
      </c>
      <c r="K392" t="s">
        <v>9</v>
      </c>
      <c r="L392" t="s">
        <v>293</v>
      </c>
      <c r="M392" t="s">
        <v>100</v>
      </c>
      <c r="N392" t="s">
        <v>101</v>
      </c>
      <c r="O392">
        <v>131</v>
      </c>
      <c r="Q392">
        <v>906</v>
      </c>
      <c r="R392">
        <v>159</v>
      </c>
      <c r="S392">
        <v>4.25</v>
      </c>
      <c r="T392">
        <v>3.5859999999999999</v>
      </c>
      <c r="U392">
        <v>6.37</v>
      </c>
      <c r="V392">
        <v>3851.01</v>
      </c>
      <c r="W392">
        <v>1012</v>
      </c>
      <c r="X392">
        <v>1.3332999999999999</v>
      </c>
      <c r="Y392">
        <v>784</v>
      </c>
      <c r="Z392">
        <v>4.91</v>
      </c>
      <c r="AJ392">
        <v>2</v>
      </c>
      <c r="AK392">
        <v>18</v>
      </c>
      <c r="AM392">
        <v>0</v>
      </c>
      <c r="AO392" t="s">
        <v>700</v>
      </c>
      <c r="AT392">
        <v>51</v>
      </c>
      <c r="AV392">
        <v>91.4</v>
      </c>
      <c r="AW392" t="s">
        <v>6</v>
      </c>
      <c r="AX392" t="s">
        <v>6</v>
      </c>
      <c r="AY392" t="s">
        <v>6</v>
      </c>
      <c r="AZ392" t="s">
        <v>6</v>
      </c>
      <c r="BA392" t="s">
        <v>6</v>
      </c>
      <c r="BB392" t="s">
        <v>6</v>
      </c>
      <c r="BC392" t="s">
        <v>6</v>
      </c>
      <c r="BD392" t="s">
        <v>6</v>
      </c>
      <c r="BE392" t="s">
        <v>6</v>
      </c>
      <c r="BF392" t="s">
        <v>6</v>
      </c>
      <c r="BG392" t="s">
        <v>6</v>
      </c>
      <c r="BH392" t="s">
        <v>6</v>
      </c>
      <c r="BI392" t="s">
        <v>6</v>
      </c>
      <c r="BJ392" t="s">
        <v>6</v>
      </c>
      <c r="BN392">
        <v>782.95460000000003</v>
      </c>
      <c r="BO392">
        <v>1784</v>
      </c>
      <c r="BP392">
        <v>0</v>
      </c>
      <c r="BQ392">
        <v>45</v>
      </c>
      <c r="BR392">
        <v>45</v>
      </c>
      <c r="BS392">
        <v>44.69</v>
      </c>
      <c r="BT392">
        <v>0</v>
      </c>
      <c r="BV392">
        <v>6</v>
      </c>
      <c r="BW392" t="s">
        <v>655</v>
      </c>
      <c r="BX392">
        <v>0.27933340000000001</v>
      </c>
      <c r="BY392">
        <v>12.483409999999999</v>
      </c>
      <c r="BZ392">
        <v>0</v>
      </c>
      <c r="CA392">
        <v>1</v>
      </c>
      <c r="CB392">
        <v>0.6</v>
      </c>
      <c r="CC392" s="3">
        <v>7.1269159999999998E-2</v>
      </c>
      <c r="CD392">
        <v>2.875</v>
      </c>
      <c r="CE392">
        <v>2.5</v>
      </c>
      <c r="CF392">
        <v>18</v>
      </c>
      <c r="CG392">
        <v>6</v>
      </c>
      <c r="CH392">
        <v>0</v>
      </c>
      <c r="CI392">
        <v>44.69</v>
      </c>
      <c r="CJ392">
        <v>802.22649999999999</v>
      </c>
    </row>
    <row r="393" spans="1:88">
      <c r="A393">
        <v>391</v>
      </c>
      <c r="B393" t="s">
        <v>0</v>
      </c>
      <c r="C393" t="s">
        <v>1</v>
      </c>
      <c r="D393" t="s">
        <v>317</v>
      </c>
      <c r="E393" t="s">
        <v>5</v>
      </c>
      <c r="F393" t="s">
        <v>318</v>
      </c>
      <c r="G393" t="s">
        <v>106</v>
      </c>
      <c r="H393" t="s">
        <v>180</v>
      </c>
      <c r="J393">
        <v>2</v>
      </c>
      <c r="K393" t="s">
        <v>146</v>
      </c>
      <c r="L393" t="s">
        <v>162</v>
      </c>
      <c r="M393" t="s">
        <v>155</v>
      </c>
      <c r="N393" t="s">
        <v>176</v>
      </c>
      <c r="O393">
        <v>110</v>
      </c>
      <c r="Q393">
        <v>283</v>
      </c>
      <c r="R393">
        <v>62</v>
      </c>
      <c r="S393">
        <v>4.25</v>
      </c>
      <c r="T393">
        <v>3.05</v>
      </c>
      <c r="U393">
        <v>6.11</v>
      </c>
      <c r="V393">
        <v>1204.4000000000001</v>
      </c>
      <c r="W393">
        <v>382</v>
      </c>
      <c r="X393">
        <v>1.5</v>
      </c>
      <c r="Y393">
        <v>265</v>
      </c>
      <c r="Z393">
        <v>4.55</v>
      </c>
      <c r="AJ393">
        <v>2</v>
      </c>
      <c r="AK393">
        <v>18</v>
      </c>
      <c r="AM393">
        <v>0</v>
      </c>
      <c r="AO393" t="s">
        <v>319</v>
      </c>
      <c r="AT393">
        <v>44</v>
      </c>
      <c r="AV393">
        <v>33.200000000000003</v>
      </c>
      <c r="AW393">
        <v>0</v>
      </c>
      <c r="AX393">
        <v>0</v>
      </c>
      <c r="AY393">
        <v>36.75</v>
      </c>
      <c r="AZ393">
        <v>3.75</v>
      </c>
      <c r="BA393">
        <v>0</v>
      </c>
      <c r="BB393">
        <v>0</v>
      </c>
      <c r="BC393">
        <v>35</v>
      </c>
      <c r="BN393">
        <v>156.93340000000001</v>
      </c>
      <c r="BO393">
        <v>4213</v>
      </c>
      <c r="BP393">
        <v>0</v>
      </c>
      <c r="BQ393">
        <v>37</v>
      </c>
      <c r="BR393">
        <v>37</v>
      </c>
      <c r="BS393">
        <v>37.39</v>
      </c>
      <c r="BT393">
        <v>0</v>
      </c>
      <c r="BV393">
        <v>0</v>
      </c>
      <c r="BW393" t="s">
        <v>655</v>
      </c>
      <c r="BX393">
        <v>0.17</v>
      </c>
      <c r="BY393">
        <v>6.3563000000000001</v>
      </c>
      <c r="BZ393">
        <v>0</v>
      </c>
      <c r="CA393">
        <v>1</v>
      </c>
      <c r="CB393">
        <v>0.6</v>
      </c>
      <c r="CC393" s="3">
        <v>7.1269159999999998E-2</v>
      </c>
      <c r="CD393">
        <v>2.875</v>
      </c>
      <c r="CE393">
        <v>2.5</v>
      </c>
      <c r="CF393">
        <v>18</v>
      </c>
      <c r="CG393">
        <v>6</v>
      </c>
      <c r="CH393">
        <v>0</v>
      </c>
      <c r="CI393">
        <v>37.39</v>
      </c>
      <c r="CJ393">
        <v>243.82499999999999</v>
      </c>
    </row>
    <row r="394" spans="1:88">
      <c r="A394">
        <v>392</v>
      </c>
      <c r="B394" t="s">
        <v>13</v>
      </c>
      <c r="C394" t="s">
        <v>1</v>
      </c>
      <c r="D394" t="s">
        <v>143</v>
      </c>
      <c r="E394" t="s">
        <v>99</v>
      </c>
      <c r="F394" t="s">
        <v>144</v>
      </c>
      <c r="G394" t="s">
        <v>106</v>
      </c>
      <c r="H394" t="s">
        <v>145</v>
      </c>
      <c r="J394">
        <v>2</v>
      </c>
      <c r="K394" t="s">
        <v>146</v>
      </c>
      <c r="L394" t="s">
        <v>393</v>
      </c>
      <c r="M394" t="s">
        <v>184</v>
      </c>
      <c r="N394" t="s">
        <v>185</v>
      </c>
      <c r="O394">
        <v>149</v>
      </c>
      <c r="Q394">
        <v>598</v>
      </c>
      <c r="R394">
        <v>95</v>
      </c>
      <c r="S394">
        <v>4.25</v>
      </c>
      <c r="T394">
        <v>4.024</v>
      </c>
      <c r="U394">
        <v>6.71</v>
      </c>
      <c r="V394">
        <v>2540.6</v>
      </c>
      <c r="W394">
        <v>635</v>
      </c>
      <c r="X394">
        <v>1.3332999999999999</v>
      </c>
      <c r="Y394">
        <v>475</v>
      </c>
      <c r="Z394">
        <v>5.35</v>
      </c>
      <c r="AJ394">
        <v>2</v>
      </c>
      <c r="AK394">
        <v>18</v>
      </c>
      <c r="AM394">
        <v>0</v>
      </c>
      <c r="AO394" t="s">
        <v>149</v>
      </c>
      <c r="AT394">
        <v>57</v>
      </c>
      <c r="AV394">
        <v>53.5</v>
      </c>
      <c r="AW394">
        <v>0.46875</v>
      </c>
      <c r="AX394">
        <v>3.75</v>
      </c>
      <c r="AY394">
        <v>55</v>
      </c>
      <c r="AZ394">
        <v>5</v>
      </c>
      <c r="BA394">
        <v>368.37</v>
      </c>
      <c r="BB394">
        <v>5.35</v>
      </c>
      <c r="BC394">
        <v>59</v>
      </c>
      <c r="BD394">
        <v>0.3125</v>
      </c>
      <c r="BE394">
        <v>2.75</v>
      </c>
      <c r="BF394">
        <v>33.75</v>
      </c>
      <c r="BG394">
        <v>3.375</v>
      </c>
      <c r="BH394">
        <v>106.5</v>
      </c>
      <c r="BI394">
        <v>6</v>
      </c>
      <c r="BJ394">
        <v>18</v>
      </c>
      <c r="BL394">
        <v>474.87</v>
      </c>
      <c r="BM394">
        <v>77</v>
      </c>
      <c r="BN394">
        <v>256.80009999999999</v>
      </c>
      <c r="BO394">
        <v>1574</v>
      </c>
      <c r="BP394">
        <v>0</v>
      </c>
      <c r="BQ394">
        <v>51</v>
      </c>
      <c r="BR394">
        <v>51</v>
      </c>
      <c r="BS394">
        <v>50.95</v>
      </c>
      <c r="BT394">
        <v>0</v>
      </c>
      <c r="BV394">
        <v>0</v>
      </c>
      <c r="BW394" t="s">
        <v>655</v>
      </c>
      <c r="BX394">
        <v>0.17</v>
      </c>
      <c r="BY394">
        <v>8.6615000000000002</v>
      </c>
      <c r="BZ394">
        <v>0</v>
      </c>
      <c r="CA394">
        <v>1</v>
      </c>
      <c r="CB394">
        <v>0.6</v>
      </c>
      <c r="CC394" s="3">
        <v>7.1269159999999998E-2</v>
      </c>
      <c r="CD394">
        <v>2.875</v>
      </c>
      <c r="CE394">
        <v>2.5</v>
      </c>
      <c r="CF394">
        <v>18</v>
      </c>
      <c r="CG394">
        <v>6</v>
      </c>
      <c r="CH394">
        <v>0</v>
      </c>
      <c r="CI394">
        <v>50.95</v>
      </c>
      <c r="CJ394">
        <v>535.59659999999997</v>
      </c>
    </row>
    <row r="395" spans="1:88">
      <c r="A395">
        <v>393</v>
      </c>
      <c r="B395" t="s">
        <v>0</v>
      </c>
      <c r="C395" t="s">
        <v>1</v>
      </c>
      <c r="D395" t="s">
        <v>113</v>
      </c>
      <c r="E395" t="s">
        <v>19</v>
      </c>
      <c r="F395" t="s">
        <v>262</v>
      </c>
      <c r="G395" t="s">
        <v>214</v>
      </c>
      <c r="H395" t="s">
        <v>263</v>
      </c>
      <c r="J395">
        <v>2</v>
      </c>
      <c r="K395" t="s">
        <v>108</v>
      </c>
      <c r="L395" t="s">
        <v>302</v>
      </c>
      <c r="M395" t="s">
        <v>433</v>
      </c>
      <c r="N395" t="s">
        <v>434</v>
      </c>
      <c r="O395">
        <v>185</v>
      </c>
      <c r="Q395">
        <v>851</v>
      </c>
      <c r="R395">
        <v>109</v>
      </c>
      <c r="S395">
        <v>4.25</v>
      </c>
      <c r="T395">
        <v>4.8529999999999998</v>
      </c>
      <c r="U395">
        <v>7.16</v>
      </c>
      <c r="V395">
        <v>3615.17</v>
      </c>
      <c r="W395">
        <v>778</v>
      </c>
      <c r="X395">
        <v>1.3332999999999999</v>
      </c>
      <c r="Y395">
        <v>585</v>
      </c>
      <c r="Z395">
        <v>6.18</v>
      </c>
      <c r="AJ395">
        <v>2</v>
      </c>
      <c r="AK395">
        <v>18</v>
      </c>
      <c r="AM395">
        <v>0</v>
      </c>
      <c r="AO395" t="s">
        <v>266</v>
      </c>
      <c r="AT395">
        <v>70</v>
      </c>
      <c r="AV395">
        <v>62.3</v>
      </c>
      <c r="AW395">
        <v>0.46875</v>
      </c>
      <c r="AX395">
        <v>3.75</v>
      </c>
      <c r="AY395">
        <v>63</v>
      </c>
      <c r="AZ395">
        <v>5.75</v>
      </c>
      <c r="BA395">
        <v>321.73</v>
      </c>
      <c r="BB395">
        <v>6.12</v>
      </c>
      <c r="BC395">
        <v>68</v>
      </c>
      <c r="BD395">
        <v>0.4375</v>
      </c>
      <c r="BE395">
        <v>3.75</v>
      </c>
      <c r="BF395">
        <v>54</v>
      </c>
      <c r="BG395">
        <v>5.375</v>
      </c>
      <c r="BH395">
        <v>263.23</v>
      </c>
      <c r="BI395">
        <v>6.25</v>
      </c>
      <c r="BJ395">
        <v>55</v>
      </c>
      <c r="BL395">
        <v>584.96</v>
      </c>
      <c r="BM395">
        <v>122</v>
      </c>
      <c r="BN395">
        <v>302.12</v>
      </c>
      <c r="BO395">
        <v>1426</v>
      </c>
      <c r="BP395">
        <v>0</v>
      </c>
      <c r="BQ395">
        <v>63</v>
      </c>
      <c r="BR395">
        <v>63</v>
      </c>
      <c r="BS395">
        <v>63.47</v>
      </c>
      <c r="BT395">
        <v>0</v>
      </c>
      <c r="BV395">
        <v>0</v>
      </c>
      <c r="BW395" t="s">
        <v>655</v>
      </c>
      <c r="BX395">
        <v>0.17</v>
      </c>
      <c r="BY395">
        <v>10.789899999999999</v>
      </c>
      <c r="BZ395">
        <v>0</v>
      </c>
      <c r="CA395">
        <v>1</v>
      </c>
      <c r="CB395">
        <v>0.6</v>
      </c>
      <c r="CC395" s="3">
        <v>7.1269159999999998E-2</v>
      </c>
      <c r="CD395">
        <v>2.875</v>
      </c>
      <c r="CE395">
        <v>2.5</v>
      </c>
      <c r="CF395">
        <v>18</v>
      </c>
      <c r="CG395">
        <v>6</v>
      </c>
      <c r="CH395">
        <v>0</v>
      </c>
      <c r="CI395">
        <v>63.47</v>
      </c>
      <c r="CJ395">
        <v>777.46849999999995</v>
      </c>
    </row>
    <row r="396" spans="1:88">
      <c r="A396">
        <v>394</v>
      </c>
      <c r="B396" t="s">
        <v>13</v>
      </c>
      <c r="C396" t="s">
        <v>1</v>
      </c>
      <c r="D396" t="s">
        <v>119</v>
      </c>
      <c r="E396" t="s">
        <v>143</v>
      </c>
      <c r="F396" t="s">
        <v>121</v>
      </c>
      <c r="G396" t="s">
        <v>106</v>
      </c>
      <c r="H396" t="s">
        <v>122</v>
      </c>
      <c r="J396">
        <v>2</v>
      </c>
      <c r="K396" t="s">
        <v>146</v>
      </c>
      <c r="L396" t="s">
        <v>297</v>
      </c>
      <c r="M396" t="s">
        <v>206</v>
      </c>
      <c r="N396" t="s">
        <v>131</v>
      </c>
      <c r="O396">
        <v>155</v>
      </c>
      <c r="Q396">
        <v>508</v>
      </c>
      <c r="R396">
        <v>79</v>
      </c>
      <c r="S396">
        <v>4.25</v>
      </c>
      <c r="T396">
        <v>4.1660000000000004</v>
      </c>
      <c r="U396">
        <v>6.78</v>
      </c>
      <c r="V396">
        <v>2160.1</v>
      </c>
      <c r="W396">
        <v>537</v>
      </c>
      <c r="X396">
        <v>1.3332999999999999</v>
      </c>
      <c r="Y396">
        <v>393</v>
      </c>
      <c r="Z396">
        <v>5.49</v>
      </c>
      <c r="AJ396">
        <v>2</v>
      </c>
      <c r="AK396">
        <v>18</v>
      </c>
      <c r="AM396">
        <v>0</v>
      </c>
      <c r="AO396" t="s">
        <v>126</v>
      </c>
      <c r="AT396">
        <v>59</v>
      </c>
      <c r="AV396">
        <v>43.7</v>
      </c>
      <c r="AW396">
        <v>0.46875</v>
      </c>
      <c r="AX396">
        <v>3.75</v>
      </c>
      <c r="AY396">
        <v>56.5</v>
      </c>
      <c r="AZ396">
        <v>5.125</v>
      </c>
      <c r="BA396">
        <v>358.98</v>
      </c>
      <c r="BB396">
        <v>5.49</v>
      </c>
      <c r="BC396">
        <v>61</v>
      </c>
      <c r="BD396">
        <v>0.25</v>
      </c>
      <c r="BE396">
        <v>2.75</v>
      </c>
      <c r="BF396">
        <v>33.375</v>
      </c>
      <c r="BG396">
        <v>2.75</v>
      </c>
      <c r="BH396">
        <v>34.47</v>
      </c>
      <c r="BI396">
        <v>9.9600000000000009</v>
      </c>
      <c r="BJ396">
        <v>15</v>
      </c>
      <c r="BL396">
        <v>393.45</v>
      </c>
      <c r="BM396">
        <v>75</v>
      </c>
      <c r="BN396">
        <v>208.65</v>
      </c>
      <c r="BO396">
        <v>2384</v>
      </c>
      <c r="BP396">
        <v>0</v>
      </c>
      <c r="BQ396">
        <v>53</v>
      </c>
      <c r="BR396">
        <v>53</v>
      </c>
      <c r="BS396">
        <v>53.04</v>
      </c>
      <c r="BT396">
        <v>0</v>
      </c>
      <c r="BV396">
        <v>0</v>
      </c>
      <c r="BW396" t="s">
        <v>655</v>
      </c>
      <c r="BX396">
        <v>0.17</v>
      </c>
      <c r="BY396">
        <v>9.0167999999999999</v>
      </c>
      <c r="BZ396">
        <v>0</v>
      </c>
      <c r="CA396">
        <v>1</v>
      </c>
      <c r="CB396">
        <v>0.6</v>
      </c>
      <c r="CC396" s="3">
        <v>7.1269159999999998E-2</v>
      </c>
      <c r="CD396">
        <v>2.875</v>
      </c>
      <c r="CE396">
        <v>2.5</v>
      </c>
      <c r="CF396">
        <v>18</v>
      </c>
      <c r="CG396">
        <v>6</v>
      </c>
      <c r="CH396">
        <v>0</v>
      </c>
      <c r="CI396">
        <v>53.04</v>
      </c>
      <c r="CJ396">
        <v>455.50400000000002</v>
      </c>
    </row>
    <row r="397" spans="1:88">
      <c r="A397">
        <v>395</v>
      </c>
      <c r="B397" t="s">
        <v>13</v>
      </c>
      <c r="C397" t="s">
        <v>1</v>
      </c>
      <c r="D397" t="s">
        <v>235</v>
      </c>
      <c r="E397" t="s">
        <v>3</v>
      </c>
      <c r="F397" t="s">
        <v>327</v>
      </c>
      <c r="G397" t="s">
        <v>106</v>
      </c>
      <c r="H397" t="s">
        <v>96</v>
      </c>
      <c r="J397">
        <v>2</v>
      </c>
      <c r="K397" t="s">
        <v>146</v>
      </c>
      <c r="L397" t="s">
        <v>363</v>
      </c>
      <c r="M397" t="s">
        <v>383</v>
      </c>
      <c r="N397" t="s">
        <v>119</v>
      </c>
      <c r="O397">
        <v>125</v>
      </c>
      <c r="Q397">
        <v>430</v>
      </c>
      <c r="R397">
        <v>81</v>
      </c>
      <c r="S397">
        <v>4.25</v>
      </c>
      <c r="T397">
        <v>3.4350000000000001</v>
      </c>
      <c r="U397">
        <v>6.26</v>
      </c>
      <c r="V397">
        <v>1829.28</v>
      </c>
      <c r="W397">
        <v>510</v>
      </c>
      <c r="X397">
        <v>1.3332999999999999</v>
      </c>
      <c r="Y397">
        <v>384</v>
      </c>
      <c r="Z397">
        <v>4.76</v>
      </c>
      <c r="AJ397">
        <v>2</v>
      </c>
      <c r="AK397">
        <v>18</v>
      </c>
      <c r="AM397">
        <v>0</v>
      </c>
      <c r="AO397" t="s">
        <v>100</v>
      </c>
      <c r="AT397">
        <v>49</v>
      </c>
      <c r="AV397">
        <v>45.1</v>
      </c>
      <c r="AW397">
        <v>0</v>
      </c>
      <c r="AX397">
        <v>0</v>
      </c>
      <c r="AY397">
        <v>52.75</v>
      </c>
      <c r="AZ397">
        <v>4.5</v>
      </c>
      <c r="BA397">
        <v>0</v>
      </c>
      <c r="BB397">
        <v>0</v>
      </c>
      <c r="BC397">
        <v>57</v>
      </c>
      <c r="BN397">
        <v>215.7834</v>
      </c>
      <c r="BO397">
        <v>2229</v>
      </c>
      <c r="BP397">
        <v>0</v>
      </c>
      <c r="BQ397">
        <v>43</v>
      </c>
      <c r="BR397">
        <v>43</v>
      </c>
      <c r="BS397">
        <v>42.6</v>
      </c>
      <c r="BT397">
        <v>0</v>
      </c>
      <c r="BV397">
        <v>0</v>
      </c>
      <c r="BW397" t="s">
        <v>655</v>
      </c>
      <c r="BX397">
        <v>0.17</v>
      </c>
      <c r="BY397">
        <v>7.242</v>
      </c>
      <c r="BZ397">
        <v>0</v>
      </c>
      <c r="CA397">
        <v>1</v>
      </c>
      <c r="CB397">
        <v>0.6</v>
      </c>
      <c r="CC397" s="3">
        <v>7.1269159999999998E-2</v>
      </c>
      <c r="CD397">
        <v>2.875</v>
      </c>
      <c r="CE397">
        <v>2.5</v>
      </c>
      <c r="CF397">
        <v>18</v>
      </c>
      <c r="CG397">
        <v>6</v>
      </c>
      <c r="CH397">
        <v>0</v>
      </c>
      <c r="CI397">
        <v>42.6</v>
      </c>
      <c r="CJ397">
        <v>377.99020000000002</v>
      </c>
    </row>
    <row r="398" spans="1:88">
      <c r="A398">
        <v>396</v>
      </c>
      <c r="B398" t="s">
        <v>0</v>
      </c>
      <c r="C398" t="s">
        <v>1</v>
      </c>
      <c r="D398" t="s">
        <v>267</v>
      </c>
      <c r="E398" t="s">
        <v>353</v>
      </c>
      <c r="F398" t="s">
        <v>269</v>
      </c>
      <c r="G398" t="s">
        <v>106</v>
      </c>
      <c r="H398" t="s">
        <v>131</v>
      </c>
      <c r="J398">
        <v>2</v>
      </c>
      <c r="K398" t="s">
        <v>146</v>
      </c>
      <c r="L398" t="s">
        <v>123</v>
      </c>
      <c r="M398" t="s">
        <v>509</v>
      </c>
      <c r="N398" t="s">
        <v>476</v>
      </c>
      <c r="O398">
        <v>163</v>
      </c>
      <c r="Q398">
        <v>667</v>
      </c>
      <c r="R398">
        <v>97</v>
      </c>
      <c r="S398">
        <v>4.25</v>
      </c>
      <c r="T398">
        <v>4.3529999999999998</v>
      </c>
      <c r="U398">
        <v>6.82</v>
      </c>
      <c r="V398">
        <v>2835.51</v>
      </c>
      <c r="W398">
        <v>661</v>
      </c>
      <c r="X398">
        <v>1.3332999999999999</v>
      </c>
      <c r="Y398">
        <v>499</v>
      </c>
      <c r="Z398">
        <v>5.68</v>
      </c>
      <c r="AJ398">
        <v>2</v>
      </c>
      <c r="AK398">
        <v>18</v>
      </c>
      <c r="AM398">
        <v>0</v>
      </c>
      <c r="AO398" t="s">
        <v>271</v>
      </c>
      <c r="AT398">
        <v>62</v>
      </c>
      <c r="AV398">
        <v>54.9</v>
      </c>
      <c r="AW398">
        <v>0.4375</v>
      </c>
      <c r="AX398">
        <v>3.75</v>
      </c>
      <c r="AY398">
        <v>51.875</v>
      </c>
      <c r="AZ398">
        <v>5</v>
      </c>
      <c r="BA398">
        <v>274.56</v>
      </c>
      <c r="BB398">
        <v>5.99</v>
      </c>
      <c r="BC398">
        <v>52</v>
      </c>
      <c r="BD398">
        <v>0.40625</v>
      </c>
      <c r="BE398">
        <v>3.75</v>
      </c>
      <c r="BF398">
        <v>43.25</v>
      </c>
      <c r="BG398">
        <v>4.625</v>
      </c>
      <c r="BH398">
        <v>224.64</v>
      </c>
      <c r="BI398">
        <v>5.89</v>
      </c>
      <c r="BJ398">
        <v>41</v>
      </c>
      <c r="BL398">
        <v>499.2</v>
      </c>
      <c r="BM398">
        <v>93</v>
      </c>
      <c r="BN398">
        <v>263.93340000000001</v>
      </c>
      <c r="BO398">
        <v>1490</v>
      </c>
      <c r="BP398">
        <v>0</v>
      </c>
      <c r="BQ398">
        <v>56</v>
      </c>
      <c r="BR398">
        <v>56</v>
      </c>
      <c r="BS398">
        <v>55.82</v>
      </c>
      <c r="BT398">
        <v>0</v>
      </c>
      <c r="BV398">
        <v>0</v>
      </c>
      <c r="BW398" t="s">
        <v>655</v>
      </c>
      <c r="BX398">
        <v>0.17</v>
      </c>
      <c r="BY398">
        <v>9.4893999999999998</v>
      </c>
      <c r="BZ398">
        <v>0</v>
      </c>
      <c r="CA398">
        <v>1</v>
      </c>
      <c r="CB398">
        <v>0.6</v>
      </c>
      <c r="CC398" s="3">
        <v>7.1269159999999998E-2</v>
      </c>
      <c r="CD398">
        <v>2.875</v>
      </c>
      <c r="CE398">
        <v>2.5</v>
      </c>
      <c r="CF398">
        <v>18</v>
      </c>
      <c r="CG398">
        <v>6</v>
      </c>
      <c r="CH398">
        <v>0</v>
      </c>
      <c r="CI398">
        <v>55.82</v>
      </c>
      <c r="CJ398">
        <v>602.70399999999995</v>
      </c>
    </row>
    <row r="399" spans="1:88">
      <c r="A399">
        <v>397</v>
      </c>
      <c r="B399" t="s">
        <v>13</v>
      </c>
      <c r="C399" t="s">
        <v>1</v>
      </c>
      <c r="D399" t="s">
        <v>165</v>
      </c>
      <c r="E399" t="s">
        <v>99</v>
      </c>
      <c r="F399" t="s">
        <v>184</v>
      </c>
      <c r="G399" t="s">
        <v>106</v>
      </c>
      <c r="H399" t="s">
        <v>234</v>
      </c>
      <c r="J399">
        <v>2</v>
      </c>
      <c r="K399" t="s">
        <v>146</v>
      </c>
      <c r="L399" t="s">
        <v>393</v>
      </c>
      <c r="M399" t="s">
        <v>184</v>
      </c>
      <c r="N399" t="s">
        <v>185</v>
      </c>
      <c r="O399">
        <v>149</v>
      </c>
      <c r="Q399">
        <v>570</v>
      </c>
      <c r="R399">
        <v>91</v>
      </c>
      <c r="S399">
        <v>4.25</v>
      </c>
      <c r="T399">
        <v>4.024</v>
      </c>
      <c r="U399">
        <v>6.71</v>
      </c>
      <c r="V399">
        <v>2421.77</v>
      </c>
      <c r="W399">
        <v>608</v>
      </c>
      <c r="X399">
        <v>1.3332999999999999</v>
      </c>
      <c r="Y399">
        <v>453</v>
      </c>
      <c r="Z399">
        <v>5.35</v>
      </c>
      <c r="AJ399">
        <v>2</v>
      </c>
      <c r="AK399">
        <v>18</v>
      </c>
      <c r="AM399">
        <v>0</v>
      </c>
      <c r="AO399" t="s">
        <v>435</v>
      </c>
      <c r="AT399">
        <v>57</v>
      </c>
      <c r="AV399">
        <v>51</v>
      </c>
      <c r="AW399">
        <v>0.46875</v>
      </c>
      <c r="AX399">
        <v>3.75</v>
      </c>
      <c r="AY399">
        <v>55</v>
      </c>
      <c r="AZ399">
        <v>5</v>
      </c>
      <c r="BA399">
        <v>368.37</v>
      </c>
      <c r="BB399">
        <v>5.35</v>
      </c>
      <c r="BC399">
        <v>59</v>
      </c>
      <c r="BD399">
        <v>0.3125</v>
      </c>
      <c r="BE399">
        <v>2.75</v>
      </c>
      <c r="BF399">
        <v>42.625</v>
      </c>
      <c r="BG399">
        <v>3.375</v>
      </c>
      <c r="BH399">
        <v>84.29</v>
      </c>
      <c r="BI399">
        <v>7.58</v>
      </c>
      <c r="BJ399">
        <v>23</v>
      </c>
      <c r="BL399">
        <v>452.66</v>
      </c>
      <c r="BM399">
        <v>81</v>
      </c>
      <c r="BN399">
        <v>244.3167</v>
      </c>
      <c r="BO399">
        <v>1738</v>
      </c>
      <c r="BP399">
        <v>0</v>
      </c>
      <c r="BQ399">
        <v>51</v>
      </c>
      <c r="BR399">
        <v>51</v>
      </c>
      <c r="BS399">
        <v>50.95</v>
      </c>
      <c r="BT399">
        <v>0</v>
      </c>
      <c r="BV399">
        <v>0</v>
      </c>
      <c r="BW399" t="s">
        <v>655</v>
      </c>
      <c r="BX399">
        <v>0.17</v>
      </c>
      <c r="BY399">
        <v>8.6615000000000002</v>
      </c>
      <c r="BZ399">
        <v>0</v>
      </c>
      <c r="CA399">
        <v>1</v>
      </c>
      <c r="CB399">
        <v>0.6</v>
      </c>
      <c r="CC399" s="3">
        <v>7.1269159999999998E-2</v>
      </c>
      <c r="CD399">
        <v>2.875</v>
      </c>
      <c r="CE399">
        <v>2.5</v>
      </c>
      <c r="CF399">
        <v>18</v>
      </c>
      <c r="CG399">
        <v>6</v>
      </c>
      <c r="CH399">
        <v>0</v>
      </c>
      <c r="CI399">
        <v>50.95</v>
      </c>
      <c r="CJ399">
        <v>510.17849999999999</v>
      </c>
    </row>
    <row r="400" spans="1:88">
      <c r="A400">
        <v>398</v>
      </c>
      <c r="B400" t="s">
        <v>0</v>
      </c>
      <c r="C400" t="s">
        <v>1</v>
      </c>
      <c r="D400" t="s">
        <v>219</v>
      </c>
      <c r="E400" t="s">
        <v>169</v>
      </c>
      <c r="F400" t="s">
        <v>230</v>
      </c>
      <c r="G400" t="s">
        <v>106</v>
      </c>
      <c r="H400" t="s">
        <v>382</v>
      </c>
      <c r="J400">
        <v>2</v>
      </c>
      <c r="K400" t="s">
        <v>146</v>
      </c>
      <c r="L400" t="s">
        <v>381</v>
      </c>
      <c r="M400" t="s">
        <v>173</v>
      </c>
      <c r="N400" t="s">
        <v>174</v>
      </c>
      <c r="O400">
        <v>119</v>
      </c>
      <c r="Q400">
        <v>311</v>
      </c>
      <c r="R400">
        <v>64</v>
      </c>
      <c r="S400">
        <v>4.25</v>
      </c>
      <c r="T400">
        <v>3.2829999999999999</v>
      </c>
      <c r="U400">
        <v>6.15</v>
      </c>
      <c r="V400">
        <v>1321.02</v>
      </c>
      <c r="W400">
        <v>391</v>
      </c>
      <c r="X400">
        <v>1.3332999999999999</v>
      </c>
      <c r="Y400">
        <v>287</v>
      </c>
      <c r="Z400">
        <v>4.6100000000000003</v>
      </c>
      <c r="AJ400">
        <v>2</v>
      </c>
      <c r="AK400">
        <v>18</v>
      </c>
      <c r="AM400">
        <v>0</v>
      </c>
      <c r="AO400" t="s">
        <v>318</v>
      </c>
      <c r="AT400">
        <v>47</v>
      </c>
      <c r="AV400">
        <v>33.9</v>
      </c>
      <c r="AW400">
        <v>0</v>
      </c>
      <c r="AX400">
        <v>0</v>
      </c>
      <c r="AY400">
        <v>34</v>
      </c>
      <c r="AZ400">
        <v>3.75</v>
      </c>
      <c r="BA400">
        <v>0</v>
      </c>
      <c r="BB400">
        <v>0</v>
      </c>
      <c r="BC400">
        <v>32</v>
      </c>
      <c r="BN400">
        <v>160.5</v>
      </c>
      <c r="BO400">
        <v>4028</v>
      </c>
      <c r="BP400">
        <v>0</v>
      </c>
      <c r="BQ400">
        <v>41</v>
      </c>
      <c r="BR400">
        <v>41</v>
      </c>
      <c r="BS400">
        <v>40.520000000000003</v>
      </c>
      <c r="BT400">
        <v>0</v>
      </c>
      <c r="BV400">
        <v>0</v>
      </c>
      <c r="BW400" t="s">
        <v>655</v>
      </c>
      <c r="BX400">
        <v>0.17</v>
      </c>
      <c r="BY400">
        <v>6.8883999999999999</v>
      </c>
      <c r="BZ400">
        <v>0</v>
      </c>
      <c r="CA400">
        <v>1</v>
      </c>
      <c r="CB400">
        <v>0.6</v>
      </c>
      <c r="CC400" s="3">
        <v>7.1269159999999998E-2</v>
      </c>
      <c r="CD400">
        <v>2.875</v>
      </c>
      <c r="CE400">
        <v>2.5</v>
      </c>
      <c r="CF400">
        <v>18</v>
      </c>
      <c r="CG400">
        <v>6</v>
      </c>
      <c r="CH400">
        <v>0</v>
      </c>
      <c r="CI400">
        <v>40.520000000000003</v>
      </c>
      <c r="CJ400">
        <v>270.01179999999999</v>
      </c>
    </row>
    <row r="401" spans="1:88">
      <c r="A401">
        <v>399</v>
      </c>
      <c r="B401" t="s">
        <v>0</v>
      </c>
      <c r="C401" t="s">
        <v>1</v>
      </c>
      <c r="D401" t="s">
        <v>464</v>
      </c>
      <c r="E401" t="s">
        <v>169</v>
      </c>
      <c r="F401" t="s">
        <v>467</v>
      </c>
      <c r="G401" t="s">
        <v>106</v>
      </c>
      <c r="H401" t="s">
        <v>178</v>
      </c>
      <c r="J401">
        <v>2</v>
      </c>
      <c r="K401" t="s">
        <v>146</v>
      </c>
      <c r="L401" t="s">
        <v>381</v>
      </c>
      <c r="M401" t="s">
        <v>173</v>
      </c>
      <c r="N401" t="s">
        <v>174</v>
      </c>
      <c r="O401">
        <v>119</v>
      </c>
      <c r="Q401">
        <v>295</v>
      </c>
      <c r="R401">
        <v>61</v>
      </c>
      <c r="S401">
        <v>4.25</v>
      </c>
      <c r="T401">
        <v>3.2829999999999999</v>
      </c>
      <c r="U401">
        <v>6.15</v>
      </c>
      <c r="V401">
        <v>1251.96</v>
      </c>
      <c r="W401">
        <v>374</v>
      </c>
      <c r="X401">
        <v>1.3332999999999999</v>
      </c>
      <c r="Y401">
        <v>272</v>
      </c>
      <c r="Z401">
        <v>4.6100000000000003</v>
      </c>
      <c r="AJ401">
        <v>2</v>
      </c>
      <c r="AK401">
        <v>18</v>
      </c>
      <c r="AM401">
        <v>0</v>
      </c>
      <c r="AO401" t="s">
        <v>179</v>
      </c>
      <c r="AT401">
        <v>47</v>
      </c>
      <c r="AV401">
        <v>32.1</v>
      </c>
      <c r="AW401">
        <v>0</v>
      </c>
      <c r="AX401">
        <v>0</v>
      </c>
      <c r="AY401">
        <v>35.875</v>
      </c>
      <c r="AZ401">
        <v>3.75</v>
      </c>
      <c r="BA401">
        <v>0</v>
      </c>
      <c r="BB401">
        <v>0</v>
      </c>
      <c r="BC401">
        <v>34</v>
      </c>
      <c r="BN401">
        <v>151.58340000000001</v>
      </c>
      <c r="BO401">
        <v>4516</v>
      </c>
      <c r="BP401">
        <v>0</v>
      </c>
      <c r="BQ401">
        <v>41</v>
      </c>
      <c r="BR401">
        <v>41</v>
      </c>
      <c r="BS401">
        <v>40.520000000000003</v>
      </c>
      <c r="BT401">
        <v>0</v>
      </c>
      <c r="BV401">
        <v>0</v>
      </c>
      <c r="BW401" t="s">
        <v>655</v>
      </c>
      <c r="BX401">
        <v>0.17</v>
      </c>
      <c r="BY401">
        <v>6.8883999999999999</v>
      </c>
      <c r="BZ401">
        <v>0</v>
      </c>
      <c r="CA401">
        <v>1</v>
      </c>
      <c r="CB401">
        <v>0.6</v>
      </c>
      <c r="CC401" s="3">
        <v>7.1269159999999998E-2</v>
      </c>
      <c r="CD401">
        <v>2.875</v>
      </c>
      <c r="CE401">
        <v>2.5</v>
      </c>
      <c r="CF401">
        <v>18</v>
      </c>
      <c r="CG401">
        <v>6</v>
      </c>
      <c r="CH401">
        <v>0</v>
      </c>
      <c r="CI401">
        <v>40.520000000000003</v>
      </c>
      <c r="CJ401">
        <v>255.57259999999999</v>
      </c>
    </row>
    <row r="402" spans="1:88">
      <c r="A402">
        <v>400</v>
      </c>
      <c r="B402" t="s">
        <v>0</v>
      </c>
      <c r="C402" t="s">
        <v>1</v>
      </c>
      <c r="D402" t="s">
        <v>332</v>
      </c>
      <c r="E402" t="s">
        <v>219</v>
      </c>
      <c r="F402" t="s">
        <v>333</v>
      </c>
      <c r="G402" t="s">
        <v>106</v>
      </c>
      <c r="H402" t="s">
        <v>334</v>
      </c>
      <c r="J402">
        <v>2</v>
      </c>
      <c r="K402" t="s">
        <v>146</v>
      </c>
      <c r="L402" t="s">
        <v>369</v>
      </c>
      <c r="M402" t="s">
        <v>220</v>
      </c>
      <c r="N402" t="s">
        <v>221</v>
      </c>
      <c r="O402">
        <v>101</v>
      </c>
      <c r="Q402">
        <v>201</v>
      </c>
      <c r="R402">
        <v>45</v>
      </c>
      <c r="S402">
        <v>4.25</v>
      </c>
      <c r="T402">
        <v>2.8119999999999998</v>
      </c>
      <c r="U402">
        <v>5.92</v>
      </c>
      <c r="V402">
        <v>853.14</v>
      </c>
      <c r="W402">
        <v>266</v>
      </c>
      <c r="X402">
        <v>1.3332999999999999</v>
      </c>
      <c r="Y402">
        <v>206</v>
      </c>
      <c r="Z402">
        <v>4.1399999999999997</v>
      </c>
      <c r="AJ402">
        <v>2</v>
      </c>
      <c r="AK402">
        <v>18</v>
      </c>
      <c r="AM402">
        <v>0</v>
      </c>
      <c r="AO402" t="s">
        <v>335</v>
      </c>
      <c r="AT402">
        <v>40</v>
      </c>
      <c r="AV402">
        <v>25.2</v>
      </c>
      <c r="AW402">
        <v>0</v>
      </c>
      <c r="AX402">
        <v>0</v>
      </c>
      <c r="AY402">
        <v>31.375</v>
      </c>
      <c r="AZ402">
        <v>3.125</v>
      </c>
      <c r="BA402">
        <v>0</v>
      </c>
      <c r="BB402">
        <v>0</v>
      </c>
      <c r="BC402">
        <v>28</v>
      </c>
      <c r="BN402">
        <v>117.7</v>
      </c>
      <c r="BO402">
        <v>7491</v>
      </c>
      <c r="BP402">
        <v>0</v>
      </c>
      <c r="BQ402">
        <v>34</v>
      </c>
      <c r="BR402">
        <v>34</v>
      </c>
      <c r="BS402">
        <v>34.26</v>
      </c>
      <c r="BT402">
        <v>0</v>
      </c>
      <c r="BV402">
        <v>0</v>
      </c>
      <c r="BW402" t="s">
        <v>655</v>
      </c>
      <c r="BX402">
        <v>0.17</v>
      </c>
      <c r="BY402">
        <v>5.8242000000000003</v>
      </c>
      <c r="BZ402">
        <v>0</v>
      </c>
      <c r="CA402">
        <v>1</v>
      </c>
      <c r="CB402">
        <v>0.6</v>
      </c>
      <c r="CC402" s="3">
        <v>7.1269159999999998E-2</v>
      </c>
      <c r="CD402">
        <v>2.875</v>
      </c>
      <c r="CE402">
        <v>2.5</v>
      </c>
      <c r="CF402">
        <v>18</v>
      </c>
      <c r="CG402">
        <v>6</v>
      </c>
      <c r="CH402">
        <v>0</v>
      </c>
      <c r="CI402">
        <v>34.26</v>
      </c>
      <c r="CJ402">
        <v>169.6968</v>
      </c>
    </row>
    <row r="403" spans="1:88">
      <c r="A403">
        <v>401</v>
      </c>
      <c r="B403" t="s">
        <v>0</v>
      </c>
      <c r="C403" t="s">
        <v>1</v>
      </c>
      <c r="D403" t="s">
        <v>190</v>
      </c>
      <c r="E403" t="s">
        <v>185</v>
      </c>
      <c r="F403" t="s">
        <v>173</v>
      </c>
      <c r="G403" t="s">
        <v>106</v>
      </c>
      <c r="H403" t="s">
        <v>399</v>
      </c>
      <c r="J403">
        <v>2</v>
      </c>
      <c r="K403" t="s">
        <v>146</v>
      </c>
      <c r="L403" t="s">
        <v>466</v>
      </c>
      <c r="M403" t="s">
        <v>294</v>
      </c>
      <c r="N403" t="s">
        <v>143</v>
      </c>
      <c r="O403">
        <v>152</v>
      </c>
      <c r="Q403">
        <v>458</v>
      </c>
      <c r="R403">
        <v>73</v>
      </c>
      <c r="S403">
        <v>4.25</v>
      </c>
      <c r="T403">
        <v>4.0949999999999998</v>
      </c>
      <c r="U403">
        <v>6.75</v>
      </c>
      <c r="V403">
        <v>1948.45</v>
      </c>
      <c r="W403">
        <v>495</v>
      </c>
      <c r="X403">
        <v>1.3332999999999999</v>
      </c>
      <c r="Y403">
        <v>359</v>
      </c>
      <c r="Z403">
        <v>5.42</v>
      </c>
      <c r="AJ403">
        <v>2</v>
      </c>
      <c r="AK403">
        <v>18</v>
      </c>
      <c r="AM403">
        <v>0</v>
      </c>
      <c r="AO403" t="s">
        <v>463</v>
      </c>
      <c r="AT403">
        <v>58</v>
      </c>
      <c r="AV403">
        <v>40.1</v>
      </c>
      <c r="AW403">
        <v>0</v>
      </c>
      <c r="AX403">
        <v>0</v>
      </c>
      <c r="AY403">
        <v>56.375</v>
      </c>
      <c r="AZ403">
        <v>5.125</v>
      </c>
      <c r="BA403">
        <v>0</v>
      </c>
      <c r="BB403">
        <v>0</v>
      </c>
      <c r="BC403">
        <v>61</v>
      </c>
      <c r="BN403">
        <v>190.8167</v>
      </c>
      <c r="BO403">
        <v>2850</v>
      </c>
      <c r="BP403">
        <v>0</v>
      </c>
      <c r="BQ403">
        <v>52</v>
      </c>
      <c r="BR403">
        <v>52</v>
      </c>
      <c r="BS403">
        <v>52</v>
      </c>
      <c r="BT403">
        <v>0</v>
      </c>
      <c r="BV403">
        <v>0</v>
      </c>
      <c r="BW403" t="s">
        <v>655</v>
      </c>
      <c r="BX403">
        <v>0.17</v>
      </c>
      <c r="BY403">
        <v>8.84</v>
      </c>
      <c r="BZ403">
        <v>0</v>
      </c>
      <c r="CA403">
        <v>1</v>
      </c>
      <c r="CB403">
        <v>0.6</v>
      </c>
      <c r="CC403" s="3">
        <v>7.1269159999999998E-2</v>
      </c>
      <c r="CD403">
        <v>2.875</v>
      </c>
      <c r="CE403">
        <v>2.5</v>
      </c>
      <c r="CF403">
        <v>18</v>
      </c>
      <c r="CG403">
        <v>6</v>
      </c>
      <c r="CH403">
        <v>0</v>
      </c>
      <c r="CI403">
        <v>52</v>
      </c>
      <c r="CJ403">
        <v>409.51260000000002</v>
      </c>
    </row>
    <row r="404" spans="1:88">
      <c r="A404">
        <v>402</v>
      </c>
      <c r="B404" t="s">
        <v>0</v>
      </c>
      <c r="C404" t="s">
        <v>1</v>
      </c>
      <c r="D404" t="s">
        <v>153</v>
      </c>
      <c r="E404" t="s">
        <v>369</v>
      </c>
      <c r="F404" t="s">
        <v>126</v>
      </c>
      <c r="G404" t="s">
        <v>106</v>
      </c>
      <c r="H404" t="s">
        <v>3</v>
      </c>
      <c r="J404">
        <v>2</v>
      </c>
      <c r="K404" t="s">
        <v>146</v>
      </c>
      <c r="L404" t="s">
        <v>259</v>
      </c>
      <c r="M404" t="s">
        <v>480</v>
      </c>
      <c r="N404" t="s">
        <v>307</v>
      </c>
      <c r="O404">
        <v>121</v>
      </c>
      <c r="Q404">
        <v>398</v>
      </c>
      <c r="R404">
        <v>78</v>
      </c>
      <c r="S404">
        <v>4.25</v>
      </c>
      <c r="T404">
        <v>3.3340000000000001</v>
      </c>
      <c r="U404">
        <v>6.22</v>
      </c>
      <c r="V404">
        <v>1691.71</v>
      </c>
      <c r="W404">
        <v>485</v>
      </c>
      <c r="X404">
        <v>1.3332999999999999</v>
      </c>
      <c r="Y404">
        <v>363</v>
      </c>
      <c r="Z404">
        <v>4.66</v>
      </c>
      <c r="AJ404">
        <v>2</v>
      </c>
      <c r="AK404">
        <v>18</v>
      </c>
      <c r="AM404">
        <v>0</v>
      </c>
      <c r="AO404" t="s">
        <v>383</v>
      </c>
      <c r="AT404">
        <v>47</v>
      </c>
      <c r="AV404">
        <v>43</v>
      </c>
      <c r="AW404">
        <v>0</v>
      </c>
      <c r="AX404">
        <v>0</v>
      </c>
      <c r="AY404">
        <v>55.875</v>
      </c>
      <c r="AZ404">
        <v>4.375</v>
      </c>
      <c r="BA404">
        <v>0</v>
      </c>
      <c r="BB404">
        <v>0</v>
      </c>
      <c r="BC404">
        <v>60</v>
      </c>
      <c r="BN404">
        <v>205.08340000000001</v>
      </c>
      <c r="BO404">
        <v>2467</v>
      </c>
      <c r="BP404">
        <v>0</v>
      </c>
      <c r="BQ404">
        <v>41</v>
      </c>
      <c r="BR404">
        <v>41</v>
      </c>
      <c r="BS404">
        <v>41.21</v>
      </c>
      <c r="BT404">
        <v>0</v>
      </c>
      <c r="BV404">
        <v>0</v>
      </c>
      <c r="BW404" t="s">
        <v>655</v>
      </c>
      <c r="BX404">
        <v>0.17</v>
      </c>
      <c r="BY404">
        <v>7.0057</v>
      </c>
      <c r="BZ404">
        <v>0</v>
      </c>
      <c r="CA404">
        <v>1</v>
      </c>
      <c r="CB404">
        <v>0.6</v>
      </c>
      <c r="CC404" s="3">
        <v>7.1269159999999998E-2</v>
      </c>
      <c r="CD404">
        <v>2.875</v>
      </c>
      <c r="CE404">
        <v>2.5</v>
      </c>
      <c r="CF404">
        <v>18</v>
      </c>
      <c r="CG404">
        <v>6</v>
      </c>
      <c r="CH404">
        <v>0</v>
      </c>
      <c r="CI404">
        <v>41.21</v>
      </c>
      <c r="CJ404">
        <v>348.03469999999999</v>
      </c>
    </row>
    <row r="405" spans="1:88">
      <c r="A405">
        <v>403</v>
      </c>
      <c r="B405" t="s">
        <v>0</v>
      </c>
      <c r="C405" t="s">
        <v>1</v>
      </c>
      <c r="D405" t="s">
        <v>143</v>
      </c>
      <c r="E405" t="s">
        <v>267</v>
      </c>
      <c r="F405" t="s">
        <v>144</v>
      </c>
      <c r="G405" t="s">
        <v>106</v>
      </c>
      <c r="H405" t="s">
        <v>145</v>
      </c>
      <c r="J405">
        <v>2</v>
      </c>
      <c r="K405" t="s">
        <v>146</v>
      </c>
      <c r="L405" t="s">
        <v>113</v>
      </c>
      <c r="M405" t="s">
        <v>232</v>
      </c>
      <c r="N405" t="s">
        <v>258</v>
      </c>
      <c r="O405">
        <v>159</v>
      </c>
      <c r="Q405">
        <v>635</v>
      </c>
      <c r="R405">
        <v>95</v>
      </c>
      <c r="S405">
        <v>4.25</v>
      </c>
      <c r="T405">
        <v>4.26</v>
      </c>
      <c r="U405">
        <v>6.75</v>
      </c>
      <c r="V405">
        <v>2698.62</v>
      </c>
      <c r="W405">
        <v>639</v>
      </c>
      <c r="X405">
        <v>1.3332999999999999</v>
      </c>
      <c r="Y405">
        <v>483</v>
      </c>
      <c r="Z405">
        <v>5.59</v>
      </c>
      <c r="AJ405">
        <v>2</v>
      </c>
      <c r="AK405">
        <v>18</v>
      </c>
      <c r="AM405">
        <v>0</v>
      </c>
      <c r="AO405" t="s">
        <v>149</v>
      </c>
      <c r="AT405">
        <v>61</v>
      </c>
      <c r="AV405">
        <v>53.5</v>
      </c>
      <c r="AW405" t="s">
        <v>6</v>
      </c>
      <c r="AX405" t="s">
        <v>6</v>
      </c>
      <c r="AY405" t="s">
        <v>6</v>
      </c>
      <c r="AZ405" t="s">
        <v>6</v>
      </c>
      <c r="BA405" t="s">
        <v>6</v>
      </c>
      <c r="BB405" t="s">
        <v>6</v>
      </c>
      <c r="BC405" t="s">
        <v>6</v>
      </c>
      <c r="BD405" t="s">
        <v>6</v>
      </c>
      <c r="BE405" t="s">
        <v>6</v>
      </c>
      <c r="BF405" t="s">
        <v>6</v>
      </c>
      <c r="BG405" t="s">
        <v>6</v>
      </c>
      <c r="BH405" t="s">
        <v>6</v>
      </c>
      <c r="BI405" t="s">
        <v>6</v>
      </c>
      <c r="BJ405" t="s">
        <v>6</v>
      </c>
      <c r="BN405">
        <v>256.80009999999999</v>
      </c>
      <c r="BO405">
        <v>1574</v>
      </c>
      <c r="BP405">
        <v>0</v>
      </c>
      <c r="BQ405">
        <v>54</v>
      </c>
      <c r="BR405">
        <v>54</v>
      </c>
      <c r="BS405">
        <v>54.43</v>
      </c>
      <c r="BT405">
        <v>0</v>
      </c>
      <c r="BV405">
        <v>0</v>
      </c>
      <c r="BW405" t="s">
        <v>655</v>
      </c>
      <c r="BX405">
        <v>0.17</v>
      </c>
      <c r="BY405">
        <v>9.2531009999999991</v>
      </c>
      <c r="BZ405">
        <v>0</v>
      </c>
      <c r="CA405">
        <v>1</v>
      </c>
      <c r="CB405">
        <v>0.6</v>
      </c>
      <c r="CC405" s="3">
        <v>7.1269159999999998E-2</v>
      </c>
      <c r="CD405">
        <v>2.875</v>
      </c>
      <c r="CE405">
        <v>2.5</v>
      </c>
      <c r="CF405">
        <v>18</v>
      </c>
      <c r="CG405">
        <v>6</v>
      </c>
      <c r="CH405">
        <v>0</v>
      </c>
      <c r="CI405">
        <v>54.43</v>
      </c>
      <c r="CJ405">
        <v>572.17909999999995</v>
      </c>
    </row>
    <row r="406" spans="1:88">
      <c r="A406">
        <v>404</v>
      </c>
      <c r="B406" t="s">
        <v>0</v>
      </c>
      <c r="C406" t="s">
        <v>1</v>
      </c>
      <c r="D406" t="s">
        <v>369</v>
      </c>
      <c r="E406" t="s">
        <v>399</v>
      </c>
      <c r="F406" t="s">
        <v>312</v>
      </c>
      <c r="G406" t="s">
        <v>106</v>
      </c>
      <c r="H406" t="s">
        <v>229</v>
      </c>
      <c r="J406">
        <v>2</v>
      </c>
      <c r="K406" t="s">
        <v>146</v>
      </c>
      <c r="L406" t="s">
        <v>172</v>
      </c>
      <c r="M406" t="s">
        <v>463</v>
      </c>
      <c r="N406" t="s">
        <v>229</v>
      </c>
      <c r="O406">
        <v>117</v>
      </c>
      <c r="Q406">
        <v>370</v>
      </c>
      <c r="R406">
        <v>75</v>
      </c>
      <c r="S406">
        <v>4.25</v>
      </c>
      <c r="T406">
        <v>3.2320000000000002</v>
      </c>
      <c r="U406">
        <v>6.26</v>
      </c>
      <c r="V406">
        <v>1572.75</v>
      </c>
      <c r="W406">
        <v>470</v>
      </c>
      <c r="X406">
        <v>1.3332999999999999</v>
      </c>
      <c r="Y406">
        <v>345</v>
      </c>
      <c r="Z406">
        <v>4.5599999999999996</v>
      </c>
      <c r="AJ406">
        <v>2</v>
      </c>
      <c r="AK406">
        <v>18</v>
      </c>
      <c r="AM406">
        <v>0</v>
      </c>
      <c r="AO406" t="s">
        <v>404</v>
      </c>
      <c r="AT406">
        <v>46</v>
      </c>
      <c r="AV406">
        <v>41.1</v>
      </c>
      <c r="AW406">
        <v>0</v>
      </c>
      <c r="AX406">
        <v>0</v>
      </c>
      <c r="AY406">
        <v>41.25</v>
      </c>
      <c r="AZ406">
        <v>4</v>
      </c>
      <c r="BA406">
        <v>0</v>
      </c>
      <c r="BB406">
        <v>0</v>
      </c>
      <c r="BC406">
        <v>42</v>
      </c>
      <c r="BN406">
        <v>196.16669999999999</v>
      </c>
      <c r="BO406">
        <v>2697</v>
      </c>
      <c r="BP406">
        <v>0</v>
      </c>
      <c r="BQ406">
        <v>40</v>
      </c>
      <c r="BR406">
        <v>40</v>
      </c>
      <c r="BS406">
        <v>39.82</v>
      </c>
      <c r="BT406">
        <v>0</v>
      </c>
      <c r="BV406">
        <v>0</v>
      </c>
      <c r="BW406" t="s">
        <v>655</v>
      </c>
      <c r="BX406">
        <v>0.17</v>
      </c>
      <c r="BY406">
        <v>6.7694000000000001</v>
      </c>
      <c r="BZ406">
        <v>0</v>
      </c>
      <c r="CA406">
        <v>1</v>
      </c>
      <c r="CB406">
        <v>0.6</v>
      </c>
      <c r="CC406" s="3">
        <v>7.1269159999999998E-2</v>
      </c>
      <c r="CD406">
        <v>2.875</v>
      </c>
      <c r="CE406">
        <v>2.5</v>
      </c>
      <c r="CF406">
        <v>18</v>
      </c>
      <c r="CG406">
        <v>6</v>
      </c>
      <c r="CH406">
        <v>0</v>
      </c>
      <c r="CI406">
        <v>39.82</v>
      </c>
      <c r="CJ406">
        <v>322.10590000000002</v>
      </c>
    </row>
    <row r="407" spans="1:88">
      <c r="A407">
        <v>405</v>
      </c>
      <c r="B407" t="s">
        <v>13</v>
      </c>
      <c r="C407" t="s">
        <v>1</v>
      </c>
      <c r="D407" t="s">
        <v>241</v>
      </c>
      <c r="E407" t="s">
        <v>317</v>
      </c>
      <c r="F407" t="s">
        <v>345</v>
      </c>
      <c r="G407" t="s">
        <v>106</v>
      </c>
      <c r="H407" t="s">
        <v>283</v>
      </c>
      <c r="J407">
        <v>2</v>
      </c>
      <c r="K407" t="s">
        <v>146</v>
      </c>
      <c r="L407" t="s">
        <v>169</v>
      </c>
      <c r="M407" t="s">
        <v>400</v>
      </c>
      <c r="N407" t="s">
        <v>228</v>
      </c>
      <c r="O407">
        <v>99</v>
      </c>
      <c r="Q407">
        <v>227</v>
      </c>
      <c r="R407">
        <v>51</v>
      </c>
      <c r="S407">
        <v>4.25</v>
      </c>
      <c r="T407">
        <v>2.758</v>
      </c>
      <c r="U407">
        <v>5.88</v>
      </c>
      <c r="V407">
        <v>966.7</v>
      </c>
      <c r="W407">
        <v>301</v>
      </c>
      <c r="X407">
        <v>1.3332999999999999</v>
      </c>
      <c r="Y407">
        <v>236</v>
      </c>
      <c r="Z407">
        <v>4.09</v>
      </c>
      <c r="AJ407">
        <v>2</v>
      </c>
      <c r="AK407">
        <v>18</v>
      </c>
      <c r="AM407">
        <v>0</v>
      </c>
      <c r="AO407" t="s">
        <v>374</v>
      </c>
      <c r="AT407">
        <v>40</v>
      </c>
      <c r="AV407">
        <v>29.2</v>
      </c>
      <c r="AW407">
        <v>0</v>
      </c>
      <c r="AX407">
        <v>0</v>
      </c>
      <c r="AY407">
        <v>27.375</v>
      </c>
      <c r="AZ407">
        <v>3.125</v>
      </c>
      <c r="BA407">
        <v>0</v>
      </c>
      <c r="BB407">
        <v>0</v>
      </c>
      <c r="BC407">
        <v>24</v>
      </c>
      <c r="BN407">
        <v>137.3167</v>
      </c>
      <c r="BO407">
        <v>5503</v>
      </c>
      <c r="BP407">
        <v>0</v>
      </c>
      <c r="BQ407">
        <v>34</v>
      </c>
      <c r="BR407">
        <v>34</v>
      </c>
      <c r="BS407">
        <v>33.56</v>
      </c>
      <c r="BT407">
        <v>0</v>
      </c>
      <c r="BV407">
        <v>0</v>
      </c>
      <c r="BW407" t="s">
        <v>655</v>
      </c>
      <c r="BX407">
        <v>0.17</v>
      </c>
      <c r="BY407">
        <v>5.7051999999999996</v>
      </c>
      <c r="BZ407">
        <v>0</v>
      </c>
      <c r="CA407">
        <v>1</v>
      </c>
      <c r="CB407">
        <v>0.6</v>
      </c>
      <c r="CC407" s="3">
        <v>7.1269159999999998E-2</v>
      </c>
      <c r="CD407">
        <v>2.875</v>
      </c>
      <c r="CE407">
        <v>2.5</v>
      </c>
      <c r="CF407">
        <v>18</v>
      </c>
      <c r="CG407">
        <v>6</v>
      </c>
      <c r="CH407">
        <v>0</v>
      </c>
      <c r="CI407">
        <v>33.56</v>
      </c>
      <c r="CJ407">
        <v>192.5393</v>
      </c>
    </row>
    <row r="408" spans="1:88">
      <c r="A408">
        <v>406</v>
      </c>
      <c r="B408" t="s">
        <v>13</v>
      </c>
      <c r="C408" t="s">
        <v>1</v>
      </c>
      <c r="D408" t="s">
        <v>224</v>
      </c>
      <c r="E408" t="s">
        <v>151</v>
      </c>
      <c r="F408" t="s">
        <v>355</v>
      </c>
      <c r="G408" t="s">
        <v>106</v>
      </c>
      <c r="H408" t="s">
        <v>356</v>
      </c>
      <c r="J408">
        <v>2</v>
      </c>
      <c r="K408" t="s">
        <v>146</v>
      </c>
      <c r="L408" t="s">
        <v>119</v>
      </c>
      <c r="M408" t="s">
        <v>154</v>
      </c>
      <c r="N408" t="s">
        <v>150</v>
      </c>
      <c r="O408">
        <v>108</v>
      </c>
      <c r="Q408">
        <v>219</v>
      </c>
      <c r="R408">
        <v>46</v>
      </c>
      <c r="S408">
        <v>4.25</v>
      </c>
      <c r="T408">
        <v>2.9980000000000002</v>
      </c>
      <c r="U408">
        <v>6.07</v>
      </c>
      <c r="V408">
        <v>931.38</v>
      </c>
      <c r="W408">
        <v>279</v>
      </c>
      <c r="X408">
        <v>1.3332999999999999</v>
      </c>
      <c r="Y408">
        <v>215</v>
      </c>
      <c r="Z408">
        <v>4.33</v>
      </c>
      <c r="AJ408">
        <v>2</v>
      </c>
      <c r="AK408">
        <v>18</v>
      </c>
      <c r="AM408">
        <v>0</v>
      </c>
      <c r="AO408" t="s">
        <v>333</v>
      </c>
      <c r="AT408">
        <v>43</v>
      </c>
      <c r="AV408">
        <v>25.9</v>
      </c>
      <c r="AW408">
        <v>0</v>
      </c>
      <c r="AX408">
        <v>0</v>
      </c>
      <c r="AY408">
        <v>30</v>
      </c>
      <c r="AZ408">
        <v>3.25</v>
      </c>
      <c r="BA408">
        <v>0</v>
      </c>
      <c r="BB408">
        <v>0</v>
      </c>
      <c r="BC408">
        <v>27</v>
      </c>
      <c r="BN408">
        <v>121.2667</v>
      </c>
      <c r="BO408">
        <v>7056</v>
      </c>
      <c r="BP408">
        <v>0</v>
      </c>
      <c r="BQ408">
        <v>37</v>
      </c>
      <c r="BR408">
        <v>37</v>
      </c>
      <c r="BS408">
        <v>36.69</v>
      </c>
      <c r="BT408">
        <v>0</v>
      </c>
      <c r="BV408">
        <v>0</v>
      </c>
      <c r="BW408" t="s">
        <v>655</v>
      </c>
      <c r="BX408">
        <v>0.17</v>
      </c>
      <c r="BY408">
        <v>6.2373000000000003</v>
      </c>
      <c r="BZ408">
        <v>0</v>
      </c>
      <c r="CA408">
        <v>1</v>
      </c>
      <c r="CB408">
        <v>0.6</v>
      </c>
      <c r="CC408" s="3">
        <v>7.1269159999999998E-2</v>
      </c>
      <c r="CD408">
        <v>2.875</v>
      </c>
      <c r="CE408">
        <v>2.5</v>
      </c>
      <c r="CF408">
        <v>18</v>
      </c>
      <c r="CG408">
        <v>6</v>
      </c>
      <c r="CH408">
        <v>0</v>
      </c>
      <c r="CI408">
        <v>36.69</v>
      </c>
      <c r="CJ408">
        <v>186.96289999999999</v>
      </c>
    </row>
    <row r="409" spans="1:88">
      <c r="A409">
        <v>407</v>
      </c>
      <c r="B409" t="s">
        <v>0</v>
      </c>
      <c r="C409" t="s">
        <v>1</v>
      </c>
      <c r="D409" t="s">
        <v>530</v>
      </c>
      <c r="E409" t="s">
        <v>217</v>
      </c>
      <c r="F409" t="s">
        <v>531</v>
      </c>
      <c r="G409" t="s">
        <v>106</v>
      </c>
      <c r="H409" t="s">
        <v>491</v>
      </c>
      <c r="J409">
        <v>2</v>
      </c>
      <c r="K409" t="s">
        <v>146</v>
      </c>
      <c r="L409" t="s">
        <v>153</v>
      </c>
      <c r="M409" t="s">
        <v>218</v>
      </c>
      <c r="N409" t="s">
        <v>139</v>
      </c>
      <c r="O409">
        <v>106</v>
      </c>
      <c r="Q409">
        <v>125</v>
      </c>
      <c r="R409">
        <v>28</v>
      </c>
      <c r="S409">
        <v>4.25</v>
      </c>
      <c r="T409">
        <v>2.9449999999999998</v>
      </c>
      <c r="U409">
        <v>6.03</v>
      </c>
      <c r="V409">
        <v>530.1</v>
      </c>
      <c r="W409">
        <v>170</v>
      </c>
      <c r="X409">
        <v>1.3332999999999999</v>
      </c>
      <c r="Y409">
        <v>124</v>
      </c>
      <c r="Z409">
        <v>4.2699999999999996</v>
      </c>
      <c r="AJ409">
        <v>2</v>
      </c>
      <c r="AK409">
        <v>18</v>
      </c>
      <c r="AM409">
        <v>0</v>
      </c>
      <c r="AO409" t="s">
        <v>492</v>
      </c>
      <c r="AT409">
        <v>42</v>
      </c>
      <c r="AV409">
        <v>14.7</v>
      </c>
      <c r="AW409">
        <v>0</v>
      </c>
      <c r="AX409">
        <v>0</v>
      </c>
      <c r="AY409">
        <v>20.5</v>
      </c>
      <c r="AZ409">
        <v>2.625</v>
      </c>
      <c r="BA409">
        <v>0</v>
      </c>
      <c r="BB409">
        <v>0</v>
      </c>
      <c r="BC409">
        <v>15</v>
      </c>
      <c r="BN409">
        <v>65.983350000000002</v>
      </c>
      <c r="BO409">
        <v>23834</v>
      </c>
      <c r="BP409">
        <v>0</v>
      </c>
      <c r="BQ409">
        <v>36</v>
      </c>
      <c r="BR409">
        <v>36</v>
      </c>
      <c r="BS409">
        <v>36</v>
      </c>
      <c r="BT409">
        <v>0</v>
      </c>
      <c r="BV409">
        <v>0</v>
      </c>
      <c r="BW409" t="s">
        <v>655</v>
      </c>
      <c r="BX409">
        <v>0.17</v>
      </c>
      <c r="BY409">
        <v>6.12</v>
      </c>
      <c r="BZ409">
        <v>0</v>
      </c>
      <c r="CA409">
        <v>1</v>
      </c>
      <c r="CB409">
        <v>0.6</v>
      </c>
      <c r="CC409" s="3">
        <v>7.1269159999999998E-2</v>
      </c>
      <c r="CD409">
        <v>2.875</v>
      </c>
      <c r="CE409">
        <v>2.5</v>
      </c>
      <c r="CF409">
        <v>18</v>
      </c>
      <c r="CG409">
        <v>6</v>
      </c>
      <c r="CH409">
        <v>0</v>
      </c>
      <c r="CI409">
        <v>36</v>
      </c>
      <c r="CJ409">
        <v>103.9104</v>
      </c>
    </row>
    <row r="410" spans="1:88">
      <c r="A410">
        <v>408</v>
      </c>
      <c r="B410" t="s">
        <v>0</v>
      </c>
      <c r="C410" t="s">
        <v>1</v>
      </c>
      <c r="D410" t="s">
        <v>353</v>
      </c>
      <c r="E410" t="s">
        <v>546</v>
      </c>
      <c r="F410" t="s">
        <v>517</v>
      </c>
      <c r="G410" t="s">
        <v>214</v>
      </c>
      <c r="H410" t="s">
        <v>518</v>
      </c>
      <c r="J410">
        <v>2</v>
      </c>
      <c r="K410" t="s">
        <v>440</v>
      </c>
      <c r="L410" t="s">
        <v>701</v>
      </c>
      <c r="M410" t="s">
        <v>543</v>
      </c>
      <c r="N410" t="s">
        <v>547</v>
      </c>
      <c r="O410">
        <v>268</v>
      </c>
      <c r="Q410">
        <v>1098</v>
      </c>
      <c r="R410">
        <v>107</v>
      </c>
      <c r="S410">
        <v>4.25</v>
      </c>
      <c r="T410">
        <v>6.5730000000000004</v>
      </c>
      <c r="U410">
        <v>8.17</v>
      </c>
      <c r="V410">
        <v>4666.88</v>
      </c>
      <c r="W410">
        <v>877</v>
      </c>
      <c r="X410">
        <v>1.5</v>
      </c>
      <c r="Y410">
        <v>578</v>
      </c>
      <c r="Z410">
        <v>8.07</v>
      </c>
      <c r="AJ410">
        <v>2</v>
      </c>
      <c r="AK410">
        <v>18</v>
      </c>
      <c r="AM410">
        <v>0</v>
      </c>
      <c r="AO410" t="s">
        <v>182</v>
      </c>
      <c r="AT410">
        <v>98</v>
      </c>
      <c r="AV410">
        <v>56.5</v>
      </c>
      <c r="AW410" t="s">
        <v>6</v>
      </c>
      <c r="AX410" t="s">
        <v>6</v>
      </c>
      <c r="AY410" t="s">
        <v>6</v>
      </c>
      <c r="AZ410" t="s">
        <v>6</v>
      </c>
      <c r="BA410" t="s">
        <v>6</v>
      </c>
      <c r="BB410" t="s">
        <v>6</v>
      </c>
      <c r="BC410" t="s">
        <v>6</v>
      </c>
      <c r="BD410" t="s">
        <v>6</v>
      </c>
      <c r="BE410" t="s">
        <v>6</v>
      </c>
      <c r="BF410" t="s">
        <v>6</v>
      </c>
      <c r="BG410" t="s">
        <v>6</v>
      </c>
      <c r="BH410" t="s">
        <v>6</v>
      </c>
      <c r="BI410" t="s">
        <v>6</v>
      </c>
      <c r="BJ410" t="s">
        <v>6</v>
      </c>
      <c r="BN410">
        <v>273.3467</v>
      </c>
      <c r="BO410">
        <v>1742</v>
      </c>
      <c r="BP410">
        <v>0</v>
      </c>
      <c r="BQ410">
        <v>92</v>
      </c>
      <c r="BR410">
        <v>92</v>
      </c>
      <c r="BS410">
        <v>92.33999</v>
      </c>
      <c r="BT410">
        <v>0</v>
      </c>
      <c r="BU410" t="s">
        <v>444</v>
      </c>
      <c r="BV410">
        <v>0</v>
      </c>
      <c r="BW410" t="s">
        <v>655</v>
      </c>
      <c r="BX410">
        <v>0.17</v>
      </c>
      <c r="BY410">
        <v>15.697800000000001</v>
      </c>
      <c r="BZ410">
        <v>0</v>
      </c>
      <c r="CA410">
        <v>1</v>
      </c>
      <c r="CB410">
        <v>0.6</v>
      </c>
      <c r="CC410" s="3">
        <v>7.1269159999999998E-2</v>
      </c>
      <c r="CD410">
        <v>2.875</v>
      </c>
      <c r="CE410">
        <v>2.5</v>
      </c>
      <c r="CF410">
        <v>18</v>
      </c>
      <c r="CG410">
        <v>6</v>
      </c>
      <c r="CH410">
        <v>0</v>
      </c>
      <c r="CI410">
        <v>92.33999</v>
      </c>
      <c r="CJ410">
        <v>1025.8119999999999</v>
      </c>
    </row>
    <row r="411" spans="1:88">
      <c r="A411">
        <v>409</v>
      </c>
      <c r="B411" t="s">
        <v>13</v>
      </c>
      <c r="C411" t="s">
        <v>1</v>
      </c>
      <c r="D411" t="s">
        <v>545</v>
      </c>
      <c r="E411" t="s">
        <v>393</v>
      </c>
      <c r="F411" t="s">
        <v>437</v>
      </c>
      <c r="G411" t="s">
        <v>15</v>
      </c>
      <c r="H411" t="s">
        <v>548</v>
      </c>
      <c r="J411">
        <v>2</v>
      </c>
      <c r="K411" t="s">
        <v>108</v>
      </c>
      <c r="L411" t="s">
        <v>168</v>
      </c>
      <c r="M411" t="s">
        <v>475</v>
      </c>
      <c r="N411" t="s">
        <v>466</v>
      </c>
      <c r="O411">
        <v>169</v>
      </c>
      <c r="Q411">
        <v>1011</v>
      </c>
      <c r="R411">
        <v>141</v>
      </c>
      <c r="S411">
        <v>4.25</v>
      </c>
      <c r="T411">
        <v>4.492</v>
      </c>
      <c r="U411">
        <v>6.9</v>
      </c>
      <c r="V411">
        <v>4295</v>
      </c>
      <c r="W411">
        <v>970</v>
      </c>
      <c r="X411">
        <v>1.3332999999999999</v>
      </c>
      <c r="Y411">
        <v>738</v>
      </c>
      <c r="Z411">
        <v>5.82</v>
      </c>
      <c r="AJ411">
        <v>2</v>
      </c>
      <c r="AK411">
        <v>18</v>
      </c>
      <c r="AM411">
        <v>0</v>
      </c>
      <c r="AO411" t="s">
        <v>549</v>
      </c>
      <c r="AT411">
        <v>64</v>
      </c>
      <c r="AV411">
        <v>80.900000000000006</v>
      </c>
      <c r="AW411" t="s">
        <v>6</v>
      </c>
      <c r="AX411" t="s">
        <v>6</v>
      </c>
      <c r="AY411" t="s">
        <v>6</v>
      </c>
      <c r="AZ411" t="s">
        <v>6</v>
      </c>
      <c r="BA411" t="s">
        <v>6</v>
      </c>
      <c r="BB411" t="s">
        <v>6</v>
      </c>
      <c r="BC411" t="s">
        <v>6</v>
      </c>
      <c r="BD411" t="s">
        <v>6</v>
      </c>
      <c r="BE411" t="s">
        <v>6</v>
      </c>
      <c r="BF411" t="s">
        <v>6</v>
      </c>
      <c r="BG411" t="s">
        <v>6</v>
      </c>
      <c r="BH411" t="s">
        <v>6</v>
      </c>
      <c r="BI411" t="s">
        <v>6</v>
      </c>
      <c r="BJ411" t="s">
        <v>6</v>
      </c>
      <c r="BN411">
        <v>691.39949999999999</v>
      </c>
      <c r="BO411">
        <v>2288</v>
      </c>
      <c r="BP411">
        <v>0</v>
      </c>
      <c r="BQ411">
        <v>58</v>
      </c>
      <c r="BR411">
        <v>58</v>
      </c>
      <c r="BS411">
        <v>57.91</v>
      </c>
      <c r="BT411">
        <v>0</v>
      </c>
      <c r="BV411">
        <v>0</v>
      </c>
      <c r="BW411" t="s">
        <v>655</v>
      </c>
      <c r="BX411">
        <v>0.17</v>
      </c>
      <c r="BY411">
        <v>9.8446999999999996</v>
      </c>
      <c r="BZ411">
        <v>0</v>
      </c>
      <c r="CA411">
        <v>1</v>
      </c>
      <c r="CB411">
        <v>0.6</v>
      </c>
      <c r="CC411" s="3">
        <v>7.1269159999999998E-2</v>
      </c>
      <c r="CD411">
        <v>2.875</v>
      </c>
      <c r="CE411">
        <v>2.5</v>
      </c>
      <c r="CF411">
        <v>18</v>
      </c>
      <c r="CG411">
        <v>6</v>
      </c>
      <c r="CH411">
        <v>0</v>
      </c>
      <c r="CI411">
        <v>57.91</v>
      </c>
      <c r="CJ411">
        <v>919.84900000000005</v>
      </c>
    </row>
    <row r="412" spans="1:88">
      <c r="A412">
        <v>410</v>
      </c>
      <c r="B412" t="s">
        <v>0</v>
      </c>
      <c r="C412" t="s">
        <v>1</v>
      </c>
      <c r="D412" t="s">
        <v>272</v>
      </c>
      <c r="E412" t="s">
        <v>476</v>
      </c>
      <c r="F412" t="s">
        <v>273</v>
      </c>
      <c r="G412" t="s">
        <v>106</v>
      </c>
      <c r="H412" t="s">
        <v>274</v>
      </c>
      <c r="J412">
        <v>2</v>
      </c>
      <c r="K412" t="s">
        <v>108</v>
      </c>
      <c r="L412" t="s">
        <v>148</v>
      </c>
      <c r="M412" t="s">
        <v>550</v>
      </c>
      <c r="N412" t="s">
        <v>393</v>
      </c>
      <c r="O412">
        <v>166</v>
      </c>
      <c r="Q412">
        <v>685</v>
      </c>
      <c r="R412">
        <v>98</v>
      </c>
      <c r="S412">
        <v>4.25</v>
      </c>
      <c r="T412">
        <v>4.423</v>
      </c>
      <c r="U412">
        <v>6.86</v>
      </c>
      <c r="V412">
        <v>2909.8</v>
      </c>
      <c r="W412">
        <v>670</v>
      </c>
      <c r="X412">
        <v>1.3332999999999999</v>
      </c>
      <c r="Y412">
        <v>506</v>
      </c>
      <c r="Z412">
        <v>5.75</v>
      </c>
      <c r="AJ412">
        <v>2</v>
      </c>
      <c r="AK412">
        <v>18</v>
      </c>
      <c r="AM412">
        <v>0</v>
      </c>
      <c r="AO412" t="s">
        <v>275</v>
      </c>
      <c r="AT412">
        <v>63</v>
      </c>
      <c r="AV412">
        <v>55.4</v>
      </c>
      <c r="AW412">
        <v>0.4375</v>
      </c>
      <c r="AX412">
        <v>3.75</v>
      </c>
      <c r="AY412">
        <v>51.125</v>
      </c>
      <c r="AZ412">
        <v>5</v>
      </c>
      <c r="BA412">
        <v>278.32</v>
      </c>
      <c r="BB412">
        <v>5.91</v>
      </c>
      <c r="BC412">
        <v>52</v>
      </c>
      <c r="BD412">
        <v>0.40625</v>
      </c>
      <c r="BE412">
        <v>3.75</v>
      </c>
      <c r="BF412">
        <v>42.75</v>
      </c>
      <c r="BG412">
        <v>4.625</v>
      </c>
      <c r="BH412">
        <v>227.73</v>
      </c>
      <c r="BI412">
        <v>5.81</v>
      </c>
      <c r="BJ412">
        <v>41</v>
      </c>
      <c r="BL412">
        <v>506.05</v>
      </c>
      <c r="BM412">
        <v>92</v>
      </c>
      <c r="BN412">
        <v>265.7167</v>
      </c>
      <c r="BO412">
        <v>1470</v>
      </c>
      <c r="BP412">
        <v>0</v>
      </c>
      <c r="BQ412">
        <v>57</v>
      </c>
      <c r="BR412">
        <v>57</v>
      </c>
      <c r="BS412">
        <v>56.86</v>
      </c>
      <c r="BT412">
        <v>0</v>
      </c>
      <c r="BV412">
        <v>0</v>
      </c>
      <c r="BW412" t="s">
        <v>655</v>
      </c>
      <c r="BX412">
        <v>0.17</v>
      </c>
      <c r="BY412">
        <v>9.6662009999999992</v>
      </c>
      <c r="BZ412">
        <v>0</v>
      </c>
      <c r="CA412">
        <v>1</v>
      </c>
      <c r="CB412">
        <v>0.6</v>
      </c>
      <c r="CC412" s="3">
        <v>7.1269159999999998E-2</v>
      </c>
      <c r="CD412">
        <v>2.875</v>
      </c>
      <c r="CE412">
        <v>2.5</v>
      </c>
      <c r="CF412">
        <v>18</v>
      </c>
      <c r="CG412">
        <v>6</v>
      </c>
      <c r="CH412">
        <v>0</v>
      </c>
      <c r="CI412">
        <v>56.86</v>
      </c>
      <c r="CJ412">
        <v>619.50519999999995</v>
      </c>
    </row>
    <row r="413" spans="1:88">
      <c r="A413">
        <v>411</v>
      </c>
      <c r="B413" t="s">
        <v>13</v>
      </c>
      <c r="C413" t="s">
        <v>1</v>
      </c>
      <c r="D413" t="s">
        <v>2</v>
      </c>
      <c r="E413" t="s">
        <v>143</v>
      </c>
      <c r="F413" t="s">
        <v>154</v>
      </c>
      <c r="G413" t="s">
        <v>106</v>
      </c>
      <c r="H413" t="s">
        <v>217</v>
      </c>
      <c r="J413">
        <v>2</v>
      </c>
      <c r="K413" t="s">
        <v>146</v>
      </c>
      <c r="L413" t="s">
        <v>297</v>
      </c>
      <c r="M413" t="s">
        <v>206</v>
      </c>
      <c r="N413" t="s">
        <v>131</v>
      </c>
      <c r="O413">
        <v>155</v>
      </c>
      <c r="Q413">
        <v>421</v>
      </c>
      <c r="R413">
        <v>67</v>
      </c>
      <c r="S413">
        <v>4.25</v>
      </c>
      <c r="T413">
        <v>4.1660000000000004</v>
      </c>
      <c r="U413">
        <v>6.78</v>
      </c>
      <c r="V413">
        <v>1790.27</v>
      </c>
      <c r="W413">
        <v>455</v>
      </c>
      <c r="X413">
        <v>1.5</v>
      </c>
      <c r="Y413">
        <v>316</v>
      </c>
      <c r="Z413">
        <v>5.66</v>
      </c>
      <c r="AJ413">
        <v>2</v>
      </c>
      <c r="AK413">
        <v>18</v>
      </c>
      <c r="AM413">
        <v>0</v>
      </c>
      <c r="AO413" t="s">
        <v>218</v>
      </c>
      <c r="AT413">
        <v>59</v>
      </c>
      <c r="AV413">
        <v>36.1</v>
      </c>
      <c r="AW413">
        <v>0</v>
      </c>
      <c r="AX413">
        <v>0</v>
      </c>
      <c r="AY413">
        <v>64.125</v>
      </c>
      <c r="AZ413">
        <v>5.25</v>
      </c>
      <c r="BA413">
        <v>0</v>
      </c>
      <c r="BB413">
        <v>0</v>
      </c>
      <c r="BC413">
        <v>69</v>
      </c>
      <c r="BN413">
        <v>171.2</v>
      </c>
      <c r="BO413">
        <v>3540</v>
      </c>
      <c r="BP413">
        <v>0</v>
      </c>
      <c r="BQ413">
        <v>53</v>
      </c>
      <c r="BR413">
        <v>53</v>
      </c>
      <c r="BS413">
        <v>53.04</v>
      </c>
      <c r="BT413">
        <v>0</v>
      </c>
      <c r="BV413">
        <v>0</v>
      </c>
      <c r="BW413" t="s">
        <v>655</v>
      </c>
      <c r="BX413">
        <v>0.17</v>
      </c>
      <c r="BY413">
        <v>9.0167999999999999</v>
      </c>
      <c r="BZ413">
        <v>0</v>
      </c>
      <c r="CA413">
        <v>1</v>
      </c>
      <c r="CB413">
        <v>0.6</v>
      </c>
      <c r="CC413" s="3">
        <v>7.1269159999999998E-2</v>
      </c>
      <c r="CD413">
        <v>2.875</v>
      </c>
      <c r="CE413">
        <v>2.5</v>
      </c>
      <c r="CF413">
        <v>18</v>
      </c>
      <c r="CG413">
        <v>6</v>
      </c>
      <c r="CH413">
        <v>0</v>
      </c>
      <c r="CI413">
        <v>53.04</v>
      </c>
      <c r="CJ413">
        <v>376.12150000000003</v>
      </c>
    </row>
    <row r="414" spans="1:88">
      <c r="A414">
        <v>412</v>
      </c>
      <c r="B414" t="s">
        <v>0</v>
      </c>
      <c r="C414" t="s">
        <v>1</v>
      </c>
      <c r="D414" t="s">
        <v>127</v>
      </c>
      <c r="E414" t="s">
        <v>190</v>
      </c>
      <c r="F414" t="s">
        <v>129</v>
      </c>
      <c r="G414" t="s">
        <v>106</v>
      </c>
      <c r="H414" t="s">
        <v>130</v>
      </c>
      <c r="J414">
        <v>2</v>
      </c>
      <c r="K414" t="s">
        <v>146</v>
      </c>
      <c r="L414" t="s">
        <v>340</v>
      </c>
      <c r="M414" t="s">
        <v>406</v>
      </c>
      <c r="N414" t="s">
        <v>369</v>
      </c>
      <c r="O414">
        <v>118</v>
      </c>
      <c r="Q414">
        <v>354</v>
      </c>
      <c r="R414">
        <v>72</v>
      </c>
      <c r="S414">
        <v>4.25</v>
      </c>
      <c r="T414">
        <v>3.2570000000000001</v>
      </c>
      <c r="U414">
        <v>6.15</v>
      </c>
      <c r="V414">
        <v>1502.8</v>
      </c>
      <c r="W414">
        <v>441</v>
      </c>
      <c r="X414">
        <v>1.3332999999999999</v>
      </c>
      <c r="Y414">
        <v>327</v>
      </c>
      <c r="Z414">
        <v>4.59</v>
      </c>
      <c r="AJ414">
        <v>2</v>
      </c>
      <c r="AK414">
        <v>18</v>
      </c>
      <c r="AM414">
        <v>0</v>
      </c>
      <c r="AO414" t="s">
        <v>134</v>
      </c>
      <c r="AT414">
        <v>46</v>
      </c>
      <c r="AV414">
        <v>39</v>
      </c>
      <c r="AW414">
        <v>0</v>
      </c>
      <c r="AX414">
        <v>0</v>
      </c>
      <c r="AY414">
        <v>43.5</v>
      </c>
      <c r="AZ414">
        <v>4</v>
      </c>
      <c r="BA414">
        <v>0</v>
      </c>
      <c r="BB414">
        <v>0</v>
      </c>
      <c r="BC414">
        <v>44</v>
      </c>
      <c r="BN414">
        <v>185.4667</v>
      </c>
      <c r="BO414">
        <v>3017</v>
      </c>
      <c r="BP414">
        <v>0</v>
      </c>
      <c r="BQ414">
        <v>40</v>
      </c>
      <c r="BR414">
        <v>40</v>
      </c>
      <c r="BS414">
        <v>40.17</v>
      </c>
      <c r="BT414">
        <v>0</v>
      </c>
      <c r="BV414">
        <v>0</v>
      </c>
      <c r="BW414" t="s">
        <v>655</v>
      </c>
      <c r="BX414">
        <v>0.17</v>
      </c>
      <c r="BY414">
        <v>6.8289</v>
      </c>
      <c r="BZ414">
        <v>0</v>
      </c>
      <c r="CA414">
        <v>1</v>
      </c>
      <c r="CB414">
        <v>0.6</v>
      </c>
      <c r="CC414" s="3">
        <v>7.1269159999999998E-2</v>
      </c>
      <c r="CD414">
        <v>2.875</v>
      </c>
      <c r="CE414">
        <v>2.5</v>
      </c>
      <c r="CF414">
        <v>18</v>
      </c>
      <c r="CG414">
        <v>6</v>
      </c>
      <c r="CH414">
        <v>0</v>
      </c>
      <c r="CI414">
        <v>40.17</v>
      </c>
      <c r="CJ414">
        <v>307.75979999999998</v>
      </c>
    </row>
    <row r="415" spans="1:88">
      <c r="A415">
        <v>413</v>
      </c>
      <c r="B415" t="s">
        <v>0</v>
      </c>
      <c r="C415" t="s">
        <v>1</v>
      </c>
      <c r="D415" t="s">
        <v>540</v>
      </c>
      <c r="E415" t="s">
        <v>133</v>
      </c>
      <c r="F415" t="s">
        <v>413</v>
      </c>
      <c r="G415" t="s">
        <v>106</v>
      </c>
      <c r="H415" t="s">
        <v>512</v>
      </c>
      <c r="J415">
        <v>2</v>
      </c>
      <c r="K415" t="s">
        <v>146</v>
      </c>
      <c r="L415" t="s">
        <v>353</v>
      </c>
      <c r="M415" t="s">
        <v>194</v>
      </c>
      <c r="N415" t="s">
        <v>195</v>
      </c>
      <c r="O415">
        <v>143</v>
      </c>
      <c r="Q415">
        <v>260</v>
      </c>
      <c r="R415">
        <v>43</v>
      </c>
      <c r="S415">
        <v>4.25</v>
      </c>
      <c r="T415">
        <v>3.88</v>
      </c>
      <c r="U415">
        <v>6.6</v>
      </c>
      <c r="V415">
        <v>1105.68</v>
      </c>
      <c r="W415">
        <v>281</v>
      </c>
      <c r="X415">
        <v>1.3332999999999999</v>
      </c>
      <c r="Y415">
        <v>212</v>
      </c>
      <c r="Z415">
        <v>5.21</v>
      </c>
      <c r="AJ415">
        <v>2</v>
      </c>
      <c r="AK415">
        <v>18</v>
      </c>
      <c r="AM415">
        <v>0</v>
      </c>
      <c r="AO415" t="s">
        <v>137</v>
      </c>
      <c r="AT415">
        <v>55</v>
      </c>
      <c r="AV415">
        <v>23.7</v>
      </c>
      <c r="AW415">
        <v>0</v>
      </c>
      <c r="AX415">
        <v>0</v>
      </c>
      <c r="AY415">
        <v>45.875</v>
      </c>
      <c r="AZ415">
        <v>4.25</v>
      </c>
      <c r="BA415">
        <v>0</v>
      </c>
      <c r="BB415">
        <v>0</v>
      </c>
      <c r="BC415">
        <v>43</v>
      </c>
      <c r="BN415">
        <v>110.5667</v>
      </c>
      <c r="BO415">
        <v>8488</v>
      </c>
      <c r="BP415">
        <v>0</v>
      </c>
      <c r="BQ415">
        <v>49</v>
      </c>
      <c r="BR415">
        <v>49</v>
      </c>
      <c r="BS415">
        <v>48.86</v>
      </c>
      <c r="BT415">
        <v>0</v>
      </c>
      <c r="BV415">
        <v>0</v>
      </c>
      <c r="BW415" t="s">
        <v>655</v>
      </c>
      <c r="BX415">
        <v>0.17</v>
      </c>
      <c r="BY415">
        <v>8.3062000000000005</v>
      </c>
      <c r="BZ415">
        <v>0</v>
      </c>
      <c r="CA415">
        <v>1</v>
      </c>
      <c r="CB415">
        <v>0.6</v>
      </c>
      <c r="CC415" s="3">
        <v>7.1269159999999998E-2</v>
      </c>
      <c r="CD415">
        <v>2.875</v>
      </c>
      <c r="CE415">
        <v>2.5</v>
      </c>
      <c r="CF415">
        <v>18</v>
      </c>
      <c r="CG415">
        <v>6</v>
      </c>
      <c r="CH415">
        <v>0</v>
      </c>
      <c r="CI415">
        <v>48.86</v>
      </c>
      <c r="CJ415">
        <v>228.0848</v>
      </c>
    </row>
    <row r="416" spans="1:88">
      <c r="A416">
        <v>414</v>
      </c>
      <c r="B416" t="s">
        <v>0</v>
      </c>
      <c r="C416" t="s">
        <v>1</v>
      </c>
      <c r="D416" t="s">
        <v>190</v>
      </c>
      <c r="E416" t="s">
        <v>151</v>
      </c>
      <c r="F416" t="s">
        <v>173</v>
      </c>
      <c r="G416" t="s">
        <v>106</v>
      </c>
      <c r="H416" t="s">
        <v>399</v>
      </c>
      <c r="J416">
        <v>2</v>
      </c>
      <c r="K416" t="s">
        <v>146</v>
      </c>
      <c r="L416" t="s">
        <v>119</v>
      </c>
      <c r="M416" t="s">
        <v>154</v>
      </c>
      <c r="N416" t="s">
        <v>150</v>
      </c>
      <c r="O416">
        <v>108</v>
      </c>
      <c r="Q416">
        <v>335</v>
      </c>
      <c r="R416">
        <v>73</v>
      </c>
      <c r="S416">
        <v>4.25</v>
      </c>
      <c r="T416">
        <v>2.9980000000000002</v>
      </c>
      <c r="U416">
        <v>6.07</v>
      </c>
      <c r="V416">
        <v>1424.94</v>
      </c>
      <c r="W416">
        <v>445</v>
      </c>
      <c r="X416">
        <v>1.3332999999999999</v>
      </c>
      <c r="Y416">
        <v>329</v>
      </c>
      <c r="Z416">
        <v>4.33</v>
      </c>
      <c r="AJ416">
        <v>2</v>
      </c>
      <c r="AK416">
        <v>18</v>
      </c>
      <c r="AM416">
        <v>0</v>
      </c>
      <c r="AO416" t="s">
        <v>463</v>
      </c>
      <c r="AT416">
        <v>43</v>
      </c>
      <c r="AV416">
        <v>40.1</v>
      </c>
      <c r="AW416">
        <v>0</v>
      </c>
      <c r="AX416">
        <v>0</v>
      </c>
      <c r="AY416">
        <v>43.25</v>
      </c>
      <c r="AZ416">
        <v>3.75</v>
      </c>
      <c r="BA416">
        <v>0</v>
      </c>
      <c r="BB416">
        <v>0</v>
      </c>
      <c r="BC416">
        <v>44</v>
      </c>
      <c r="BN416">
        <v>190.8167</v>
      </c>
      <c r="BO416">
        <v>2850</v>
      </c>
      <c r="BP416">
        <v>0</v>
      </c>
      <c r="BQ416">
        <v>37</v>
      </c>
      <c r="BR416">
        <v>37</v>
      </c>
      <c r="BS416">
        <v>36.69</v>
      </c>
      <c r="BT416">
        <v>0</v>
      </c>
      <c r="BV416">
        <v>0</v>
      </c>
      <c r="BW416" t="s">
        <v>655</v>
      </c>
      <c r="BX416">
        <v>0.17</v>
      </c>
      <c r="BY416">
        <v>6.2373000000000003</v>
      </c>
      <c r="BZ416">
        <v>0</v>
      </c>
      <c r="CA416">
        <v>1</v>
      </c>
      <c r="CB416">
        <v>0.6</v>
      </c>
      <c r="CC416" s="3">
        <v>7.1269159999999998E-2</v>
      </c>
      <c r="CD416">
        <v>2.875</v>
      </c>
      <c r="CE416">
        <v>2.5</v>
      </c>
      <c r="CF416">
        <v>18</v>
      </c>
      <c r="CG416">
        <v>6</v>
      </c>
      <c r="CH416">
        <v>0</v>
      </c>
      <c r="CI416">
        <v>36.69</v>
      </c>
      <c r="CJ416">
        <v>288.94260000000003</v>
      </c>
    </row>
    <row r="417" spans="1:88">
      <c r="A417">
        <v>415</v>
      </c>
      <c r="B417" t="s">
        <v>13</v>
      </c>
      <c r="C417" t="s">
        <v>1</v>
      </c>
      <c r="D417" t="s">
        <v>145</v>
      </c>
      <c r="E417" t="s">
        <v>258</v>
      </c>
      <c r="F417" t="s">
        <v>206</v>
      </c>
      <c r="G417" t="s">
        <v>106</v>
      </c>
      <c r="H417" t="s">
        <v>207</v>
      </c>
      <c r="J417">
        <v>2</v>
      </c>
      <c r="K417" t="s">
        <v>146</v>
      </c>
      <c r="L417" t="s">
        <v>14</v>
      </c>
      <c r="M417" t="s">
        <v>260</v>
      </c>
      <c r="N417" t="s">
        <v>120</v>
      </c>
      <c r="O417">
        <v>162</v>
      </c>
      <c r="Q417">
        <v>642</v>
      </c>
      <c r="R417">
        <v>94</v>
      </c>
      <c r="S417">
        <v>4.25</v>
      </c>
      <c r="T417">
        <v>4.33</v>
      </c>
      <c r="U417">
        <v>6.82</v>
      </c>
      <c r="V417">
        <v>2727.43</v>
      </c>
      <c r="W417">
        <v>641</v>
      </c>
      <c r="X417">
        <v>1.3332999999999999</v>
      </c>
      <c r="Y417">
        <v>482</v>
      </c>
      <c r="Z417">
        <v>5.66</v>
      </c>
      <c r="AJ417">
        <v>2</v>
      </c>
      <c r="AK417">
        <v>18</v>
      </c>
      <c r="AM417">
        <v>0</v>
      </c>
      <c r="AO417" t="s">
        <v>211</v>
      </c>
      <c r="AT417">
        <v>62</v>
      </c>
      <c r="AV417">
        <v>53.1</v>
      </c>
      <c r="AW417" t="s">
        <v>6</v>
      </c>
      <c r="AX417" t="s">
        <v>6</v>
      </c>
      <c r="AY417" t="s">
        <v>6</v>
      </c>
      <c r="AZ417" t="s">
        <v>6</v>
      </c>
      <c r="BA417" t="s">
        <v>6</v>
      </c>
      <c r="BB417" t="s">
        <v>6</v>
      </c>
      <c r="BC417" t="s">
        <v>6</v>
      </c>
      <c r="BD417" t="s">
        <v>6</v>
      </c>
      <c r="BE417" t="s">
        <v>6</v>
      </c>
      <c r="BF417" t="s">
        <v>6</v>
      </c>
      <c r="BG417" t="s">
        <v>6</v>
      </c>
      <c r="BH417" t="s">
        <v>6</v>
      </c>
      <c r="BI417" t="s">
        <v>6</v>
      </c>
      <c r="BJ417" t="s">
        <v>6</v>
      </c>
      <c r="BN417">
        <v>255.01669999999999</v>
      </c>
      <c r="BO417">
        <v>1596</v>
      </c>
      <c r="BP417">
        <v>0</v>
      </c>
      <c r="BQ417">
        <v>55</v>
      </c>
      <c r="BR417">
        <v>55</v>
      </c>
      <c r="BS417">
        <v>55.47</v>
      </c>
      <c r="BT417">
        <v>0</v>
      </c>
      <c r="BV417">
        <v>0</v>
      </c>
      <c r="BW417" t="s">
        <v>655</v>
      </c>
      <c r="BX417">
        <v>0.17</v>
      </c>
      <c r="BY417">
        <v>9.4298999999999999</v>
      </c>
      <c r="BZ417">
        <v>0</v>
      </c>
      <c r="CA417">
        <v>1</v>
      </c>
      <c r="CB417">
        <v>0.6</v>
      </c>
      <c r="CC417" s="3">
        <v>7.1269159999999998E-2</v>
      </c>
      <c r="CD417">
        <v>2.875</v>
      </c>
      <c r="CE417">
        <v>2.5</v>
      </c>
      <c r="CF417">
        <v>18</v>
      </c>
      <c r="CG417">
        <v>6</v>
      </c>
      <c r="CH417">
        <v>0</v>
      </c>
      <c r="CI417">
        <v>55.47</v>
      </c>
      <c r="CJ417">
        <v>579.1585</v>
      </c>
    </row>
    <row r="418" spans="1:88">
      <c r="A418">
        <v>416</v>
      </c>
      <c r="B418" t="s">
        <v>13</v>
      </c>
      <c r="C418" t="s">
        <v>1</v>
      </c>
      <c r="D418" t="s">
        <v>131</v>
      </c>
      <c r="E418" t="s">
        <v>125</v>
      </c>
      <c r="F418" t="s">
        <v>232</v>
      </c>
      <c r="G418" t="s">
        <v>106</v>
      </c>
      <c r="H418" t="s">
        <v>233</v>
      </c>
      <c r="J418">
        <v>2</v>
      </c>
      <c r="K418" t="s">
        <v>146</v>
      </c>
      <c r="L418" t="s">
        <v>434</v>
      </c>
      <c r="M418" t="s">
        <v>551</v>
      </c>
      <c r="N418" t="s">
        <v>552</v>
      </c>
      <c r="O418">
        <v>168</v>
      </c>
      <c r="Q418">
        <v>682</v>
      </c>
      <c r="R418">
        <v>96</v>
      </c>
      <c r="S418">
        <v>4.25</v>
      </c>
      <c r="T418">
        <v>4.4690000000000003</v>
      </c>
      <c r="U418">
        <v>6.86</v>
      </c>
      <c r="V418">
        <v>2897.65</v>
      </c>
      <c r="W418">
        <v>661</v>
      </c>
      <c r="X418">
        <v>1.3332999999999999</v>
      </c>
      <c r="Y418">
        <v>500</v>
      </c>
      <c r="Z418">
        <v>5.8</v>
      </c>
      <c r="AJ418">
        <v>2</v>
      </c>
      <c r="AK418">
        <v>18</v>
      </c>
      <c r="AM418">
        <v>0</v>
      </c>
      <c r="AO418" t="s">
        <v>236</v>
      </c>
      <c r="AT418">
        <v>64</v>
      </c>
      <c r="AV418">
        <v>54.6</v>
      </c>
      <c r="AW418">
        <v>0.4375</v>
      </c>
      <c r="AX418">
        <v>3.75</v>
      </c>
      <c r="AY418">
        <v>51.75</v>
      </c>
      <c r="AZ418">
        <v>5.125</v>
      </c>
      <c r="BA418">
        <v>274.77</v>
      </c>
      <c r="BB418">
        <v>5.98</v>
      </c>
      <c r="BC418">
        <v>52</v>
      </c>
      <c r="BD418">
        <v>0.40625</v>
      </c>
      <c r="BE418">
        <v>3.75</v>
      </c>
      <c r="BF418">
        <v>43.25</v>
      </c>
      <c r="BG418">
        <v>4.75</v>
      </c>
      <c r="BH418">
        <v>224.82</v>
      </c>
      <c r="BI418">
        <v>5.89</v>
      </c>
      <c r="BJ418">
        <v>41</v>
      </c>
      <c r="BL418">
        <v>499.59</v>
      </c>
      <c r="BM418">
        <v>93</v>
      </c>
      <c r="BN418">
        <v>262.14999999999998</v>
      </c>
      <c r="BO418">
        <v>1510</v>
      </c>
      <c r="BP418">
        <v>0</v>
      </c>
      <c r="BQ418">
        <v>58</v>
      </c>
      <c r="BR418">
        <v>58</v>
      </c>
      <c r="BS418">
        <v>57.56</v>
      </c>
      <c r="BT418">
        <v>0</v>
      </c>
      <c r="BV418">
        <v>0</v>
      </c>
      <c r="BW418" t="s">
        <v>655</v>
      </c>
      <c r="BX418">
        <v>0.17</v>
      </c>
      <c r="BY418">
        <v>9.7851999999999997</v>
      </c>
      <c r="BZ418">
        <v>0</v>
      </c>
      <c r="CA418">
        <v>1</v>
      </c>
      <c r="CB418">
        <v>0.6</v>
      </c>
      <c r="CC418" s="3">
        <v>7.1269159999999998E-2</v>
      </c>
      <c r="CD418">
        <v>2.875</v>
      </c>
      <c r="CE418">
        <v>2.5</v>
      </c>
      <c r="CF418">
        <v>18</v>
      </c>
      <c r="CG418">
        <v>6</v>
      </c>
      <c r="CH418">
        <v>0</v>
      </c>
      <c r="CI418">
        <v>57.56</v>
      </c>
      <c r="CJ418">
        <v>617.38909999999998</v>
      </c>
    </row>
    <row r="419" spans="1:88">
      <c r="A419">
        <v>417</v>
      </c>
      <c r="B419" t="s">
        <v>13</v>
      </c>
      <c r="C419" t="s">
        <v>1</v>
      </c>
      <c r="D419" t="s">
        <v>487</v>
      </c>
      <c r="E419" t="s">
        <v>280</v>
      </c>
      <c r="F419" t="s">
        <v>488</v>
      </c>
      <c r="G419" t="s">
        <v>20</v>
      </c>
      <c r="H419" t="s">
        <v>487</v>
      </c>
      <c r="J419">
        <v>2</v>
      </c>
      <c r="K419" t="s">
        <v>9</v>
      </c>
      <c r="L419" t="s">
        <v>324</v>
      </c>
      <c r="M419" t="s">
        <v>544</v>
      </c>
      <c r="N419" t="s">
        <v>545</v>
      </c>
      <c r="O419">
        <v>227</v>
      </c>
      <c r="Q419">
        <v>1432</v>
      </c>
      <c r="R419">
        <v>164</v>
      </c>
      <c r="S419">
        <v>4.25</v>
      </c>
      <c r="T419">
        <v>5.7519999999999998</v>
      </c>
      <c r="U419">
        <v>7.68</v>
      </c>
      <c r="V419">
        <v>6085.36</v>
      </c>
      <c r="W419">
        <v>1258</v>
      </c>
      <c r="X419">
        <v>1.5</v>
      </c>
      <c r="Y419">
        <v>839</v>
      </c>
      <c r="Z419">
        <v>7.25</v>
      </c>
      <c r="AJ419">
        <v>2</v>
      </c>
      <c r="AK419">
        <v>18</v>
      </c>
      <c r="AM419">
        <v>0</v>
      </c>
      <c r="AO419" t="s">
        <v>489</v>
      </c>
      <c r="AT419">
        <v>84</v>
      </c>
      <c r="AV419">
        <v>86.3</v>
      </c>
      <c r="AW419" t="s">
        <v>6</v>
      </c>
      <c r="AX419" t="s">
        <v>6</v>
      </c>
      <c r="AY419" t="s">
        <v>6</v>
      </c>
      <c r="AZ419" t="s">
        <v>6</v>
      </c>
      <c r="BA419" t="s">
        <v>6</v>
      </c>
      <c r="BB419" t="s">
        <v>6</v>
      </c>
      <c r="BC419" t="s">
        <v>6</v>
      </c>
      <c r="BD419" t="s">
        <v>6</v>
      </c>
      <c r="BE419" t="s">
        <v>6</v>
      </c>
      <c r="BF419" t="s">
        <v>6</v>
      </c>
      <c r="BG419" t="s">
        <v>6</v>
      </c>
      <c r="BH419" t="s">
        <v>6</v>
      </c>
      <c r="BI419" t="s">
        <v>6</v>
      </c>
      <c r="BJ419" t="s">
        <v>6</v>
      </c>
      <c r="BN419">
        <v>647.35119999999995</v>
      </c>
      <c r="BO419">
        <v>2857</v>
      </c>
      <c r="BP419">
        <v>0</v>
      </c>
      <c r="BQ419">
        <v>78</v>
      </c>
      <c r="BR419">
        <v>78</v>
      </c>
      <c r="BS419">
        <v>78.08</v>
      </c>
      <c r="BT419">
        <v>0</v>
      </c>
      <c r="BV419">
        <v>6</v>
      </c>
      <c r="BW419" t="s">
        <v>655</v>
      </c>
      <c r="BX419">
        <v>0.27933340000000001</v>
      </c>
      <c r="BY419">
        <v>21.81035</v>
      </c>
      <c r="BZ419">
        <v>0</v>
      </c>
      <c r="CA419">
        <v>1</v>
      </c>
      <c r="CB419">
        <v>0.6</v>
      </c>
      <c r="CC419" s="3">
        <v>7.1269159999999998E-2</v>
      </c>
      <c r="CD419">
        <v>2.875</v>
      </c>
      <c r="CE419">
        <v>2.5</v>
      </c>
      <c r="CF419">
        <v>18</v>
      </c>
      <c r="CG419">
        <v>6</v>
      </c>
      <c r="CH419">
        <v>0</v>
      </c>
      <c r="CI419">
        <v>78.08</v>
      </c>
      <c r="CJ419">
        <v>1323.702</v>
      </c>
    </row>
    <row r="420" spans="1:88">
      <c r="A420">
        <v>418</v>
      </c>
      <c r="B420" t="s">
        <v>13</v>
      </c>
      <c r="C420" t="s">
        <v>1</v>
      </c>
      <c r="D420" t="s">
        <v>104</v>
      </c>
      <c r="E420" t="s">
        <v>104</v>
      </c>
      <c r="F420" t="s">
        <v>337</v>
      </c>
      <c r="G420" t="s">
        <v>15</v>
      </c>
      <c r="H420" t="s">
        <v>398</v>
      </c>
      <c r="J420">
        <v>2</v>
      </c>
      <c r="K420" t="s">
        <v>108</v>
      </c>
      <c r="L420" t="s">
        <v>109</v>
      </c>
      <c r="M420" t="s">
        <v>110</v>
      </c>
      <c r="N420" t="s">
        <v>111</v>
      </c>
      <c r="O420">
        <v>191</v>
      </c>
      <c r="Q420">
        <v>937</v>
      </c>
      <c r="R420">
        <v>116</v>
      </c>
      <c r="S420">
        <v>4.25</v>
      </c>
      <c r="T420">
        <v>4.9850000000000003</v>
      </c>
      <c r="U420">
        <v>7.27</v>
      </c>
      <c r="V420">
        <v>3982.33</v>
      </c>
      <c r="W420">
        <v>844</v>
      </c>
      <c r="X420">
        <v>1.3332999999999999</v>
      </c>
      <c r="Y420">
        <v>631</v>
      </c>
      <c r="Z420">
        <v>6.31</v>
      </c>
      <c r="AJ420">
        <v>2</v>
      </c>
      <c r="AK420">
        <v>18</v>
      </c>
      <c r="AM420">
        <v>0</v>
      </c>
      <c r="AO420" t="s">
        <v>170</v>
      </c>
      <c r="AT420">
        <v>72</v>
      </c>
      <c r="AV420">
        <v>66.7</v>
      </c>
      <c r="AW420" t="s">
        <v>6</v>
      </c>
      <c r="AX420" t="s">
        <v>6</v>
      </c>
      <c r="AY420" t="s">
        <v>6</v>
      </c>
      <c r="AZ420" t="s">
        <v>6</v>
      </c>
      <c r="BA420" t="s">
        <v>6</v>
      </c>
      <c r="BB420" t="s">
        <v>6</v>
      </c>
      <c r="BC420" t="s">
        <v>6</v>
      </c>
      <c r="BD420" t="s">
        <v>6</v>
      </c>
      <c r="BE420" t="s">
        <v>6</v>
      </c>
      <c r="BF420" t="s">
        <v>6</v>
      </c>
      <c r="BG420" t="s">
        <v>6</v>
      </c>
      <c r="BH420" t="s">
        <v>6</v>
      </c>
      <c r="BI420" t="s">
        <v>6</v>
      </c>
      <c r="BJ420" t="s">
        <v>6</v>
      </c>
      <c r="BN420">
        <v>568.27359999999999</v>
      </c>
      <c r="BO420">
        <v>3387</v>
      </c>
      <c r="BP420">
        <v>0</v>
      </c>
      <c r="BQ420">
        <v>66</v>
      </c>
      <c r="BR420">
        <v>66</v>
      </c>
      <c r="BS420">
        <v>65.56</v>
      </c>
      <c r="BT420">
        <v>0</v>
      </c>
      <c r="BV420">
        <v>0</v>
      </c>
      <c r="BW420" t="s">
        <v>655</v>
      </c>
      <c r="BX420">
        <v>0.17</v>
      </c>
      <c r="BY420">
        <v>11.145200000000001</v>
      </c>
      <c r="BZ420">
        <v>0</v>
      </c>
      <c r="CA420">
        <v>1</v>
      </c>
      <c r="CB420">
        <v>0.6</v>
      </c>
      <c r="CC420" s="3">
        <v>7.1269159999999998E-2</v>
      </c>
      <c r="CD420">
        <v>2.875</v>
      </c>
      <c r="CE420">
        <v>2.5</v>
      </c>
      <c r="CF420">
        <v>18</v>
      </c>
      <c r="CG420">
        <v>6</v>
      </c>
      <c r="CH420">
        <v>0</v>
      </c>
      <c r="CI420">
        <v>65.56</v>
      </c>
      <c r="CJ420">
        <v>859.1386</v>
      </c>
    </row>
    <row r="421" spans="1:88">
      <c r="A421">
        <v>419</v>
      </c>
      <c r="B421" t="s">
        <v>0</v>
      </c>
      <c r="C421" t="s">
        <v>1</v>
      </c>
      <c r="D421" t="s">
        <v>393</v>
      </c>
      <c r="E421" t="s">
        <v>2</v>
      </c>
      <c r="F421" t="s">
        <v>394</v>
      </c>
      <c r="G421" t="s">
        <v>106</v>
      </c>
      <c r="H421" t="s">
        <v>395</v>
      </c>
      <c r="J421">
        <v>2</v>
      </c>
      <c r="K421" t="s">
        <v>108</v>
      </c>
      <c r="L421" t="s">
        <v>122</v>
      </c>
      <c r="M421" t="s">
        <v>4</v>
      </c>
      <c r="N421" t="s">
        <v>5</v>
      </c>
      <c r="O421">
        <v>107</v>
      </c>
      <c r="Q421">
        <v>484</v>
      </c>
      <c r="R421">
        <v>103</v>
      </c>
      <c r="S421">
        <v>4.25</v>
      </c>
      <c r="T421">
        <v>2.9710000000000001</v>
      </c>
      <c r="U421">
        <v>6.07</v>
      </c>
      <c r="V421">
        <v>2057.7199999999998</v>
      </c>
      <c r="W421">
        <v>624</v>
      </c>
      <c r="X421">
        <v>1.3332999999999999</v>
      </c>
      <c r="Y421">
        <v>479</v>
      </c>
      <c r="Z421">
        <v>4.3</v>
      </c>
      <c r="AJ421">
        <v>2</v>
      </c>
      <c r="AK421">
        <v>18</v>
      </c>
      <c r="AM421">
        <v>0</v>
      </c>
      <c r="AO421" t="s">
        <v>105</v>
      </c>
      <c r="AT421">
        <v>42</v>
      </c>
      <c r="AV421">
        <v>58.7</v>
      </c>
      <c r="AW421">
        <v>0.46875</v>
      </c>
      <c r="AX421">
        <v>3.75</v>
      </c>
      <c r="AY421">
        <v>44.25</v>
      </c>
      <c r="AZ421">
        <v>4</v>
      </c>
      <c r="BA421">
        <v>458.33</v>
      </c>
      <c r="BB421">
        <v>4.3</v>
      </c>
      <c r="BC421">
        <v>48</v>
      </c>
      <c r="BD421">
        <v>0.1875</v>
      </c>
      <c r="BE421">
        <v>2.75</v>
      </c>
      <c r="BF421">
        <v>13.125</v>
      </c>
      <c r="BG421">
        <v>1.625</v>
      </c>
      <c r="BH421">
        <v>20.2</v>
      </c>
      <c r="BI421">
        <v>7.5</v>
      </c>
      <c r="BJ421">
        <v>4</v>
      </c>
      <c r="BL421">
        <v>478.53</v>
      </c>
      <c r="BM421">
        <v>51</v>
      </c>
      <c r="BN421">
        <v>281.76670000000001</v>
      </c>
      <c r="BO421">
        <v>1307</v>
      </c>
      <c r="BP421">
        <v>0</v>
      </c>
      <c r="BQ421">
        <v>36</v>
      </c>
      <c r="BR421">
        <v>36</v>
      </c>
      <c r="BS421">
        <v>36.340000000000003</v>
      </c>
      <c r="BT421">
        <v>0</v>
      </c>
      <c r="BV421">
        <v>0</v>
      </c>
      <c r="BW421" t="s">
        <v>655</v>
      </c>
      <c r="BX421">
        <v>0.17</v>
      </c>
      <c r="BY421">
        <v>6.1778000000000004</v>
      </c>
      <c r="BZ421">
        <v>0</v>
      </c>
      <c r="CA421">
        <v>1</v>
      </c>
      <c r="CB421">
        <v>0.6</v>
      </c>
      <c r="CC421" s="3">
        <v>7.1269159999999998E-2</v>
      </c>
      <c r="CD421">
        <v>2.875</v>
      </c>
      <c r="CE421">
        <v>2.5</v>
      </c>
      <c r="CF421">
        <v>18</v>
      </c>
      <c r="CG421">
        <v>6</v>
      </c>
      <c r="CH421">
        <v>0</v>
      </c>
      <c r="CI421">
        <v>36.340000000000003</v>
      </c>
      <c r="CJ421">
        <v>419.24349999999998</v>
      </c>
    </row>
    <row r="422" spans="1:88">
      <c r="A422">
        <v>420</v>
      </c>
      <c r="B422" t="s">
        <v>0</v>
      </c>
      <c r="C422" t="s">
        <v>1</v>
      </c>
      <c r="D422" t="s">
        <v>177</v>
      </c>
      <c r="E422" t="s">
        <v>150</v>
      </c>
      <c r="F422" t="s">
        <v>226</v>
      </c>
      <c r="G422" t="s">
        <v>106</v>
      </c>
      <c r="H422" t="s">
        <v>150</v>
      </c>
      <c r="J422">
        <v>2</v>
      </c>
      <c r="K422" t="s">
        <v>146</v>
      </c>
      <c r="L422" t="s">
        <v>96</v>
      </c>
      <c r="M422" t="s">
        <v>159</v>
      </c>
      <c r="N422" t="s">
        <v>130</v>
      </c>
      <c r="O422">
        <v>111</v>
      </c>
      <c r="Q422">
        <v>325</v>
      </c>
      <c r="R422">
        <v>70</v>
      </c>
      <c r="S422">
        <v>4.25</v>
      </c>
      <c r="T422">
        <v>3.0760000000000001</v>
      </c>
      <c r="U422">
        <v>6.14</v>
      </c>
      <c r="V422">
        <v>1382.69</v>
      </c>
      <c r="W422">
        <v>429</v>
      </c>
      <c r="X422">
        <v>1.3332999999999999</v>
      </c>
      <c r="Y422">
        <v>314</v>
      </c>
      <c r="Z422">
        <v>4.4000000000000004</v>
      </c>
      <c r="AJ422">
        <v>2</v>
      </c>
      <c r="AK422">
        <v>18</v>
      </c>
      <c r="AM422">
        <v>0</v>
      </c>
      <c r="AO422" t="s">
        <v>159</v>
      </c>
      <c r="AT422">
        <v>44</v>
      </c>
      <c r="AV422">
        <v>37.9</v>
      </c>
      <c r="AW422">
        <v>0</v>
      </c>
      <c r="AX422">
        <v>0</v>
      </c>
      <c r="AY422">
        <v>45.25</v>
      </c>
      <c r="AZ422">
        <v>3.875</v>
      </c>
      <c r="BA422">
        <v>0</v>
      </c>
      <c r="BB422">
        <v>0</v>
      </c>
      <c r="BC422">
        <v>46</v>
      </c>
      <c r="BN422">
        <v>180.11670000000001</v>
      </c>
      <c r="BO422">
        <v>3199</v>
      </c>
      <c r="BP422">
        <v>0</v>
      </c>
      <c r="BQ422">
        <v>38</v>
      </c>
      <c r="BR422">
        <v>38</v>
      </c>
      <c r="BS422">
        <v>37.729999999999997</v>
      </c>
      <c r="BT422">
        <v>0</v>
      </c>
      <c r="BV422">
        <v>0</v>
      </c>
      <c r="BW422" t="s">
        <v>655</v>
      </c>
      <c r="BX422">
        <v>0.17</v>
      </c>
      <c r="BY422">
        <v>6.4141000000000004</v>
      </c>
      <c r="BZ422">
        <v>0</v>
      </c>
      <c r="CA422">
        <v>1</v>
      </c>
      <c r="CB422">
        <v>0.6</v>
      </c>
      <c r="CC422" s="3">
        <v>7.1269159999999998E-2</v>
      </c>
      <c r="CD422">
        <v>2.875</v>
      </c>
      <c r="CE422">
        <v>2.5</v>
      </c>
      <c r="CF422">
        <v>18</v>
      </c>
      <c r="CG422">
        <v>6</v>
      </c>
      <c r="CH422">
        <v>0</v>
      </c>
      <c r="CI422">
        <v>37.729999999999997</v>
      </c>
      <c r="CJ422">
        <v>280.99900000000002</v>
      </c>
    </row>
    <row r="423" spans="1:88">
      <c r="A423">
        <v>421</v>
      </c>
      <c r="B423" t="s">
        <v>0</v>
      </c>
      <c r="C423" t="s">
        <v>1</v>
      </c>
      <c r="D423" t="s">
        <v>2</v>
      </c>
      <c r="E423" t="s">
        <v>150</v>
      </c>
      <c r="F423" t="s">
        <v>154</v>
      </c>
      <c r="G423" t="s">
        <v>106</v>
      </c>
      <c r="H423" t="s">
        <v>217</v>
      </c>
      <c r="J423">
        <v>2</v>
      </c>
      <c r="K423" t="s">
        <v>146</v>
      </c>
      <c r="L423" t="s">
        <v>96</v>
      </c>
      <c r="M423" t="s">
        <v>159</v>
      </c>
      <c r="N423" t="s">
        <v>130</v>
      </c>
      <c r="O423">
        <v>111</v>
      </c>
      <c r="Q423">
        <v>310</v>
      </c>
      <c r="R423">
        <v>67</v>
      </c>
      <c r="S423">
        <v>4.25</v>
      </c>
      <c r="T423">
        <v>3.0760000000000001</v>
      </c>
      <c r="U423">
        <v>6.14</v>
      </c>
      <c r="V423">
        <v>1317.79</v>
      </c>
      <c r="W423">
        <v>412</v>
      </c>
      <c r="X423">
        <v>1.3332999999999999</v>
      </c>
      <c r="Y423">
        <v>299</v>
      </c>
      <c r="Z423">
        <v>4.4000000000000004</v>
      </c>
      <c r="AJ423">
        <v>2</v>
      </c>
      <c r="AK423">
        <v>18</v>
      </c>
      <c r="AM423">
        <v>0</v>
      </c>
      <c r="AO423" t="s">
        <v>218</v>
      </c>
      <c r="AT423">
        <v>44</v>
      </c>
      <c r="AV423">
        <v>36.1</v>
      </c>
      <c r="AW423">
        <v>0</v>
      </c>
      <c r="AX423">
        <v>0</v>
      </c>
      <c r="AY423">
        <v>32.5</v>
      </c>
      <c r="AZ423">
        <v>3.625</v>
      </c>
      <c r="BA423">
        <v>0</v>
      </c>
      <c r="BB423">
        <v>0</v>
      </c>
      <c r="BC423">
        <v>31</v>
      </c>
      <c r="BN423">
        <v>171.2</v>
      </c>
      <c r="BO423">
        <v>3540</v>
      </c>
      <c r="BP423">
        <v>0</v>
      </c>
      <c r="BQ423">
        <v>38</v>
      </c>
      <c r="BR423">
        <v>38</v>
      </c>
      <c r="BS423">
        <v>37.729999999999997</v>
      </c>
      <c r="BT423">
        <v>0</v>
      </c>
      <c r="BV423">
        <v>0</v>
      </c>
      <c r="BW423" t="s">
        <v>655</v>
      </c>
      <c r="BX423">
        <v>0.17</v>
      </c>
      <c r="BY423">
        <v>6.4141000000000004</v>
      </c>
      <c r="BZ423">
        <v>0</v>
      </c>
      <c r="CA423">
        <v>1</v>
      </c>
      <c r="CB423">
        <v>0.6</v>
      </c>
      <c r="CC423" s="3">
        <v>7.1269159999999998E-2</v>
      </c>
      <c r="CD423">
        <v>2.875</v>
      </c>
      <c r="CE423">
        <v>2.5</v>
      </c>
      <c r="CF423">
        <v>18</v>
      </c>
      <c r="CG423">
        <v>6</v>
      </c>
      <c r="CH423">
        <v>0</v>
      </c>
      <c r="CI423">
        <v>37.729999999999997</v>
      </c>
      <c r="CJ423">
        <v>267.55399999999997</v>
      </c>
    </row>
    <row r="424" spans="1:88">
      <c r="A424">
        <v>422</v>
      </c>
      <c r="B424" t="s">
        <v>13</v>
      </c>
      <c r="C424" t="s">
        <v>1</v>
      </c>
      <c r="D424" t="s">
        <v>219</v>
      </c>
      <c r="E424" t="s">
        <v>181</v>
      </c>
      <c r="F424" t="s">
        <v>230</v>
      </c>
      <c r="G424" t="s">
        <v>106</v>
      </c>
      <c r="H424" t="s">
        <v>382</v>
      </c>
      <c r="J424">
        <v>2</v>
      </c>
      <c r="K424" t="s">
        <v>146</v>
      </c>
      <c r="L424" t="s">
        <v>202</v>
      </c>
      <c r="M424" t="s">
        <v>313</v>
      </c>
      <c r="N424" t="s">
        <v>314</v>
      </c>
      <c r="O424">
        <v>161</v>
      </c>
      <c r="Q424">
        <v>411</v>
      </c>
      <c r="R424">
        <v>64</v>
      </c>
      <c r="S424">
        <v>4.25</v>
      </c>
      <c r="T424">
        <v>4.3070000000000004</v>
      </c>
      <c r="U424">
        <v>6.75</v>
      </c>
      <c r="V424">
        <v>1745.34</v>
      </c>
      <c r="W424">
        <v>430</v>
      </c>
      <c r="X424">
        <v>1.3332999999999999</v>
      </c>
      <c r="Y424">
        <v>309</v>
      </c>
      <c r="Z424">
        <v>5.64</v>
      </c>
      <c r="AJ424">
        <v>2</v>
      </c>
      <c r="AK424">
        <v>18</v>
      </c>
      <c r="AM424">
        <v>0</v>
      </c>
      <c r="AO424" t="s">
        <v>318</v>
      </c>
      <c r="AT424">
        <v>61</v>
      </c>
      <c r="AV424">
        <v>33.9</v>
      </c>
      <c r="AW424">
        <v>0</v>
      </c>
      <c r="AX424">
        <v>0</v>
      </c>
      <c r="AY424">
        <v>65.5</v>
      </c>
      <c r="AZ424">
        <v>5.25</v>
      </c>
      <c r="BA424">
        <v>0</v>
      </c>
      <c r="BB424">
        <v>0</v>
      </c>
      <c r="BC424">
        <v>70</v>
      </c>
      <c r="BN424">
        <v>160.5</v>
      </c>
      <c r="BO424">
        <v>4028</v>
      </c>
      <c r="BP424">
        <v>0</v>
      </c>
      <c r="BQ424">
        <v>55</v>
      </c>
      <c r="BR424">
        <v>55</v>
      </c>
      <c r="BS424">
        <v>55.13</v>
      </c>
      <c r="BT424">
        <v>0</v>
      </c>
      <c r="BV424">
        <v>0</v>
      </c>
      <c r="BW424" t="s">
        <v>655</v>
      </c>
      <c r="BX424">
        <v>0.17</v>
      </c>
      <c r="BY424">
        <v>9.3720999999999997</v>
      </c>
      <c r="BZ424">
        <v>0</v>
      </c>
      <c r="CA424">
        <v>1</v>
      </c>
      <c r="CB424">
        <v>0.6</v>
      </c>
      <c r="CC424" s="3">
        <v>7.1269159999999998E-2</v>
      </c>
      <c r="CD424">
        <v>2.875</v>
      </c>
      <c r="CE424">
        <v>2.5</v>
      </c>
      <c r="CF424">
        <v>18</v>
      </c>
      <c r="CG424">
        <v>6</v>
      </c>
      <c r="CH424">
        <v>0</v>
      </c>
      <c r="CI424">
        <v>55.13</v>
      </c>
      <c r="CJ424">
        <v>367.36790000000002</v>
      </c>
    </row>
    <row r="425" spans="1:88">
      <c r="A425">
        <v>423</v>
      </c>
      <c r="B425" t="s">
        <v>0</v>
      </c>
      <c r="C425" t="s">
        <v>1</v>
      </c>
      <c r="D425" t="s">
        <v>554</v>
      </c>
      <c r="E425" t="s">
        <v>136</v>
      </c>
      <c r="F425" t="s">
        <v>555</v>
      </c>
      <c r="G425" t="s">
        <v>106</v>
      </c>
      <c r="H425" t="s">
        <v>556</v>
      </c>
      <c r="J425">
        <v>2</v>
      </c>
      <c r="K425" t="s">
        <v>146</v>
      </c>
      <c r="L425" t="s">
        <v>150</v>
      </c>
      <c r="M425" t="s">
        <v>140</v>
      </c>
      <c r="N425" t="s">
        <v>141</v>
      </c>
      <c r="O425">
        <v>91</v>
      </c>
      <c r="Q425">
        <v>99</v>
      </c>
      <c r="R425">
        <v>26</v>
      </c>
      <c r="S425">
        <v>4.25</v>
      </c>
      <c r="T425">
        <v>2.54</v>
      </c>
      <c r="U425">
        <v>5.73</v>
      </c>
      <c r="V425">
        <v>418.79</v>
      </c>
      <c r="W425">
        <v>149</v>
      </c>
      <c r="X425">
        <v>1.3332999999999999</v>
      </c>
      <c r="Y425">
        <v>108</v>
      </c>
      <c r="Z425">
        <v>3.87</v>
      </c>
      <c r="AJ425">
        <v>2</v>
      </c>
      <c r="AK425">
        <v>18</v>
      </c>
      <c r="AM425">
        <v>0</v>
      </c>
      <c r="AO425" t="s">
        <v>557</v>
      </c>
      <c r="AT425">
        <v>37</v>
      </c>
      <c r="AV425">
        <v>13.2</v>
      </c>
      <c r="AW425">
        <v>0</v>
      </c>
      <c r="AX425">
        <v>0</v>
      </c>
      <c r="AY425">
        <v>23.625</v>
      </c>
      <c r="AZ425">
        <v>2.375</v>
      </c>
      <c r="BA425">
        <v>0</v>
      </c>
      <c r="BB425">
        <v>0</v>
      </c>
      <c r="BC425">
        <v>18</v>
      </c>
      <c r="BN425">
        <v>58.850009999999997</v>
      </c>
      <c r="BO425">
        <v>29962</v>
      </c>
      <c r="BP425">
        <v>0</v>
      </c>
      <c r="BQ425">
        <v>31</v>
      </c>
      <c r="BR425">
        <v>31</v>
      </c>
      <c r="BS425">
        <v>30.78</v>
      </c>
      <c r="BT425">
        <v>0</v>
      </c>
      <c r="BV425">
        <v>0</v>
      </c>
      <c r="BW425" t="s">
        <v>655</v>
      </c>
      <c r="BX425">
        <v>0.17</v>
      </c>
      <c r="BY425">
        <v>5.2325999999999997</v>
      </c>
      <c r="BZ425">
        <v>0</v>
      </c>
      <c r="CA425">
        <v>1</v>
      </c>
      <c r="CB425">
        <v>0.6</v>
      </c>
      <c r="CC425" s="3">
        <v>7.1269159999999998E-2</v>
      </c>
      <c r="CD425">
        <v>2.875</v>
      </c>
      <c r="CE425">
        <v>2.5</v>
      </c>
      <c r="CF425">
        <v>18</v>
      </c>
      <c r="CG425">
        <v>6</v>
      </c>
      <c r="CH425">
        <v>0</v>
      </c>
      <c r="CI425">
        <v>30.78</v>
      </c>
      <c r="CJ425">
        <v>80.068759999999997</v>
      </c>
    </row>
    <row r="426" spans="1:88">
      <c r="A426">
        <v>424</v>
      </c>
      <c r="B426" t="s">
        <v>0</v>
      </c>
      <c r="C426" t="s">
        <v>1</v>
      </c>
      <c r="D426" t="s">
        <v>123</v>
      </c>
      <c r="E426" t="s">
        <v>8</v>
      </c>
      <c r="F426" t="s">
        <v>118</v>
      </c>
      <c r="G426" t="s">
        <v>214</v>
      </c>
      <c r="H426" t="s">
        <v>386</v>
      </c>
      <c r="J426">
        <v>2</v>
      </c>
      <c r="K426" t="s">
        <v>108</v>
      </c>
      <c r="L426" t="s">
        <v>10</v>
      </c>
      <c r="M426" t="s">
        <v>11</v>
      </c>
      <c r="N426" t="s">
        <v>12</v>
      </c>
      <c r="O426">
        <v>203</v>
      </c>
      <c r="Q426">
        <v>950</v>
      </c>
      <c r="R426">
        <v>121</v>
      </c>
      <c r="S426">
        <v>4.25</v>
      </c>
      <c r="T426">
        <v>5.2460000000000004</v>
      </c>
      <c r="U426">
        <v>7.35</v>
      </c>
      <c r="V426">
        <v>4036.3</v>
      </c>
      <c r="W426">
        <v>890</v>
      </c>
      <c r="X426">
        <v>1.5</v>
      </c>
      <c r="Y426">
        <v>599</v>
      </c>
      <c r="Z426">
        <v>6.74</v>
      </c>
      <c r="AJ426">
        <v>2</v>
      </c>
      <c r="AK426">
        <v>18</v>
      </c>
      <c r="AM426">
        <v>0</v>
      </c>
      <c r="AO426" t="s">
        <v>357</v>
      </c>
      <c r="AT426">
        <v>76</v>
      </c>
      <c r="AV426">
        <v>63.8</v>
      </c>
      <c r="AW426" t="s">
        <v>6</v>
      </c>
      <c r="AX426" t="s">
        <v>6</v>
      </c>
      <c r="AY426" t="s">
        <v>6</v>
      </c>
      <c r="AZ426" t="s">
        <v>6</v>
      </c>
      <c r="BA426" t="s">
        <v>6</v>
      </c>
      <c r="BB426" t="s">
        <v>6</v>
      </c>
      <c r="BC426" t="s">
        <v>6</v>
      </c>
      <c r="BD426" t="s">
        <v>6</v>
      </c>
      <c r="BE426" t="s">
        <v>6</v>
      </c>
      <c r="BF426" t="s">
        <v>6</v>
      </c>
      <c r="BG426" t="s">
        <v>6</v>
      </c>
      <c r="BH426" t="s">
        <v>6</v>
      </c>
      <c r="BI426" t="s">
        <v>6</v>
      </c>
      <c r="BJ426" t="s">
        <v>6</v>
      </c>
      <c r="BN426">
        <v>309.31330000000003</v>
      </c>
      <c r="BO426">
        <v>1361</v>
      </c>
      <c r="BP426">
        <v>0</v>
      </c>
      <c r="BQ426">
        <v>70</v>
      </c>
      <c r="BR426">
        <v>70</v>
      </c>
      <c r="BS426">
        <v>69.730009999999993</v>
      </c>
      <c r="BT426">
        <v>0</v>
      </c>
      <c r="BV426">
        <v>0</v>
      </c>
      <c r="BW426" t="s">
        <v>655</v>
      </c>
      <c r="BX426">
        <v>0.17</v>
      </c>
      <c r="BY426">
        <v>11.854100000000001</v>
      </c>
      <c r="BZ426">
        <v>0</v>
      </c>
      <c r="CA426">
        <v>1</v>
      </c>
      <c r="CB426">
        <v>0.6</v>
      </c>
      <c r="CC426" s="3">
        <v>7.1269159999999998E-2</v>
      </c>
      <c r="CD426">
        <v>2.875</v>
      </c>
      <c r="CE426">
        <v>2.5</v>
      </c>
      <c r="CF426">
        <v>18</v>
      </c>
      <c r="CG426">
        <v>6</v>
      </c>
      <c r="CH426">
        <v>0</v>
      </c>
      <c r="CI426">
        <v>69.730009999999993</v>
      </c>
      <c r="CJ426">
        <v>874.02809999999999</v>
      </c>
    </row>
    <row r="427" spans="1:88">
      <c r="A427">
        <v>425</v>
      </c>
      <c r="B427" t="s">
        <v>13</v>
      </c>
      <c r="C427" t="s">
        <v>1</v>
      </c>
      <c r="D427" t="s">
        <v>3</v>
      </c>
      <c r="E427" t="s">
        <v>363</v>
      </c>
      <c r="F427" t="s">
        <v>306</v>
      </c>
      <c r="G427" t="s">
        <v>106</v>
      </c>
      <c r="H427" t="s">
        <v>307</v>
      </c>
      <c r="J427">
        <v>2</v>
      </c>
      <c r="K427" t="s">
        <v>146</v>
      </c>
      <c r="L427" t="s">
        <v>120</v>
      </c>
      <c r="M427" t="s">
        <v>461</v>
      </c>
      <c r="N427" t="s">
        <v>165</v>
      </c>
      <c r="O427">
        <v>145</v>
      </c>
      <c r="Q427">
        <v>466</v>
      </c>
      <c r="R427">
        <v>77</v>
      </c>
      <c r="S427">
        <v>4.25</v>
      </c>
      <c r="T427">
        <v>3.9279999999999999</v>
      </c>
      <c r="U427">
        <v>6.63</v>
      </c>
      <c r="V427">
        <v>1980.88</v>
      </c>
      <c r="W427">
        <v>513</v>
      </c>
      <c r="X427">
        <v>1.3332999999999999</v>
      </c>
      <c r="Y427">
        <v>377</v>
      </c>
      <c r="Z427">
        <v>5.26</v>
      </c>
      <c r="AJ427">
        <v>2</v>
      </c>
      <c r="AK427">
        <v>18</v>
      </c>
      <c r="AM427">
        <v>0</v>
      </c>
      <c r="AO427" t="s">
        <v>308</v>
      </c>
      <c r="AT427">
        <v>56</v>
      </c>
      <c r="AV427">
        <v>42.6</v>
      </c>
      <c r="AW427">
        <v>0</v>
      </c>
      <c r="AX427">
        <v>0</v>
      </c>
      <c r="AY427">
        <v>53.875</v>
      </c>
      <c r="AZ427">
        <v>4.875</v>
      </c>
      <c r="BA427">
        <v>0</v>
      </c>
      <c r="BB427">
        <v>0</v>
      </c>
      <c r="BC427">
        <v>58</v>
      </c>
      <c r="BN427">
        <v>203.3</v>
      </c>
      <c r="BO427">
        <v>2511</v>
      </c>
      <c r="BP427">
        <v>0</v>
      </c>
      <c r="BQ427">
        <v>50</v>
      </c>
      <c r="BR427">
        <v>50</v>
      </c>
      <c r="BS427">
        <v>49.56</v>
      </c>
      <c r="BT427">
        <v>0</v>
      </c>
      <c r="BV427">
        <v>0</v>
      </c>
      <c r="BW427" t="s">
        <v>655</v>
      </c>
      <c r="BX427">
        <v>0.17</v>
      </c>
      <c r="BY427">
        <v>8.4252009999999995</v>
      </c>
      <c r="BZ427">
        <v>0</v>
      </c>
      <c r="CA427">
        <v>1</v>
      </c>
      <c r="CB427">
        <v>0.6</v>
      </c>
      <c r="CC427" s="3">
        <v>7.1269159999999998E-2</v>
      </c>
      <c r="CD427">
        <v>2.875</v>
      </c>
      <c r="CE427">
        <v>2.5</v>
      </c>
      <c r="CF427">
        <v>18</v>
      </c>
      <c r="CG427">
        <v>6</v>
      </c>
      <c r="CH427">
        <v>0</v>
      </c>
      <c r="CI427">
        <v>49.56</v>
      </c>
      <c r="CJ427">
        <v>415.02170000000001</v>
      </c>
    </row>
    <row r="428" spans="1:88">
      <c r="A428">
        <v>426</v>
      </c>
      <c r="B428" t="s">
        <v>13</v>
      </c>
      <c r="C428" t="s">
        <v>1</v>
      </c>
      <c r="D428" t="s">
        <v>2</v>
      </c>
      <c r="E428" t="s">
        <v>169</v>
      </c>
      <c r="F428" t="s">
        <v>154</v>
      </c>
      <c r="G428" t="s">
        <v>106</v>
      </c>
      <c r="H428" t="s">
        <v>217</v>
      </c>
      <c r="J428">
        <v>2</v>
      </c>
      <c r="K428" t="s">
        <v>146</v>
      </c>
      <c r="L428" t="s">
        <v>381</v>
      </c>
      <c r="M428" t="s">
        <v>173</v>
      </c>
      <c r="N428" t="s">
        <v>174</v>
      </c>
      <c r="O428">
        <v>119</v>
      </c>
      <c r="Q428">
        <v>330</v>
      </c>
      <c r="R428">
        <v>67</v>
      </c>
      <c r="S428">
        <v>4.25</v>
      </c>
      <c r="T428">
        <v>3.2829999999999999</v>
      </c>
      <c r="U428">
        <v>6.15</v>
      </c>
      <c r="V428">
        <v>1403.9</v>
      </c>
      <c r="W428">
        <v>412</v>
      </c>
      <c r="X428">
        <v>1.3332999999999999</v>
      </c>
      <c r="Y428">
        <v>305</v>
      </c>
      <c r="Z428">
        <v>4.6100000000000003</v>
      </c>
      <c r="AJ428">
        <v>2</v>
      </c>
      <c r="AK428">
        <v>18</v>
      </c>
      <c r="AM428">
        <v>0</v>
      </c>
      <c r="AO428" t="s">
        <v>218</v>
      </c>
      <c r="AT428">
        <v>47</v>
      </c>
      <c r="AV428">
        <v>36.1</v>
      </c>
      <c r="AW428">
        <v>0</v>
      </c>
      <c r="AX428">
        <v>0</v>
      </c>
      <c r="AY428">
        <v>46.75</v>
      </c>
      <c r="AZ428">
        <v>4</v>
      </c>
      <c r="BA428">
        <v>0</v>
      </c>
      <c r="BB428">
        <v>0</v>
      </c>
      <c r="BC428">
        <v>47</v>
      </c>
      <c r="BN428">
        <v>171.2</v>
      </c>
      <c r="BO428">
        <v>3540</v>
      </c>
      <c r="BP428">
        <v>0</v>
      </c>
      <c r="BQ428">
        <v>41</v>
      </c>
      <c r="BR428">
        <v>41</v>
      </c>
      <c r="BS428">
        <v>40.520000000000003</v>
      </c>
      <c r="BT428">
        <v>0</v>
      </c>
      <c r="BV428">
        <v>0</v>
      </c>
      <c r="BW428" t="s">
        <v>655</v>
      </c>
      <c r="BX428">
        <v>0.17</v>
      </c>
      <c r="BY428">
        <v>6.8883999999999999</v>
      </c>
      <c r="BZ428">
        <v>0</v>
      </c>
      <c r="CA428">
        <v>1</v>
      </c>
      <c r="CB428">
        <v>0.6</v>
      </c>
      <c r="CC428" s="3">
        <v>7.1269159999999998E-2</v>
      </c>
      <c r="CD428">
        <v>2.875</v>
      </c>
      <c r="CE428">
        <v>2.5</v>
      </c>
      <c r="CF428">
        <v>18</v>
      </c>
      <c r="CG428">
        <v>6</v>
      </c>
      <c r="CH428">
        <v>0</v>
      </c>
      <c r="CI428">
        <v>40.520000000000003</v>
      </c>
      <c r="CJ428">
        <v>287.33870000000002</v>
      </c>
    </row>
    <row r="429" spans="1:88">
      <c r="A429">
        <v>427</v>
      </c>
      <c r="B429" t="s">
        <v>0</v>
      </c>
      <c r="C429" t="s">
        <v>1</v>
      </c>
      <c r="D429" t="s">
        <v>104</v>
      </c>
      <c r="E429" t="s">
        <v>3</v>
      </c>
      <c r="F429" t="s">
        <v>337</v>
      </c>
      <c r="G429" t="s">
        <v>106</v>
      </c>
      <c r="H429" t="s">
        <v>398</v>
      </c>
      <c r="J429">
        <v>2</v>
      </c>
      <c r="K429" t="s">
        <v>108</v>
      </c>
      <c r="L429" t="s">
        <v>363</v>
      </c>
      <c r="M429" t="s">
        <v>383</v>
      </c>
      <c r="N429" t="s">
        <v>119</v>
      </c>
      <c r="O429">
        <v>125</v>
      </c>
      <c r="Q429">
        <v>632</v>
      </c>
      <c r="R429">
        <v>116</v>
      </c>
      <c r="S429">
        <v>4.25</v>
      </c>
      <c r="T429">
        <v>3.4350000000000001</v>
      </c>
      <c r="U429">
        <v>6.26</v>
      </c>
      <c r="V429">
        <v>2686.97</v>
      </c>
      <c r="W429">
        <v>726</v>
      </c>
      <c r="X429">
        <v>1.3332999999999999</v>
      </c>
      <c r="Y429">
        <v>564</v>
      </c>
      <c r="Z429">
        <v>4.76</v>
      </c>
      <c r="AJ429">
        <v>2</v>
      </c>
      <c r="AK429">
        <v>18</v>
      </c>
      <c r="AM429">
        <v>0</v>
      </c>
      <c r="AO429" t="s">
        <v>170</v>
      </c>
      <c r="AT429">
        <v>49</v>
      </c>
      <c r="AV429">
        <v>66.7</v>
      </c>
      <c r="AW429">
        <v>0.40625</v>
      </c>
      <c r="AX429">
        <v>3.75</v>
      </c>
      <c r="AY429">
        <v>34.5</v>
      </c>
      <c r="AZ429">
        <v>3.875</v>
      </c>
      <c r="BA429">
        <v>282.24</v>
      </c>
      <c r="BB429">
        <v>4.6900000000000004</v>
      </c>
      <c r="BC429">
        <v>33</v>
      </c>
      <c r="BD429">
        <v>0.40625</v>
      </c>
      <c r="BE429">
        <v>3.75</v>
      </c>
      <c r="BF429">
        <v>34.5</v>
      </c>
      <c r="BG429">
        <v>3.875</v>
      </c>
      <c r="BH429">
        <v>282.24</v>
      </c>
      <c r="BI429">
        <v>4.6900000000000004</v>
      </c>
      <c r="BJ429">
        <v>33</v>
      </c>
      <c r="BL429">
        <v>564.48</v>
      </c>
      <c r="BM429">
        <v>65</v>
      </c>
      <c r="BN429">
        <v>321.00009999999997</v>
      </c>
      <c r="BO429">
        <v>1007</v>
      </c>
      <c r="BP429">
        <v>0</v>
      </c>
      <c r="BQ429">
        <v>43</v>
      </c>
      <c r="BR429">
        <v>43</v>
      </c>
      <c r="BS429">
        <v>42.6</v>
      </c>
      <c r="BT429">
        <v>0</v>
      </c>
      <c r="BV429">
        <v>0</v>
      </c>
      <c r="BW429" t="s">
        <v>655</v>
      </c>
      <c r="BX429">
        <v>0.17</v>
      </c>
      <c r="BY429">
        <v>7.242</v>
      </c>
      <c r="BZ429">
        <v>0</v>
      </c>
      <c r="CA429">
        <v>1</v>
      </c>
      <c r="CB429">
        <v>0.6</v>
      </c>
      <c r="CC429" s="3">
        <v>7.1269159999999998E-2</v>
      </c>
      <c r="CD429">
        <v>2.875</v>
      </c>
      <c r="CE429">
        <v>2.5</v>
      </c>
      <c r="CF429">
        <v>18</v>
      </c>
      <c r="CG429">
        <v>6</v>
      </c>
      <c r="CH429">
        <v>0</v>
      </c>
      <c r="CI429">
        <v>42.6</v>
      </c>
      <c r="CJ429">
        <v>558.25660000000005</v>
      </c>
    </row>
    <row r="430" spans="1:88">
      <c r="A430">
        <v>428</v>
      </c>
      <c r="B430" t="s">
        <v>0</v>
      </c>
      <c r="C430" t="s">
        <v>1</v>
      </c>
      <c r="D430" t="s">
        <v>143</v>
      </c>
      <c r="E430" t="s">
        <v>369</v>
      </c>
      <c r="F430" t="s">
        <v>144</v>
      </c>
      <c r="G430" t="s">
        <v>106</v>
      </c>
      <c r="H430" t="s">
        <v>145</v>
      </c>
      <c r="J430">
        <v>2</v>
      </c>
      <c r="K430" t="s">
        <v>146</v>
      </c>
      <c r="L430" t="s">
        <v>259</v>
      </c>
      <c r="M430" t="s">
        <v>480</v>
      </c>
      <c r="N430" t="s">
        <v>307</v>
      </c>
      <c r="O430">
        <v>121</v>
      </c>
      <c r="Q430">
        <v>494</v>
      </c>
      <c r="R430">
        <v>95</v>
      </c>
      <c r="S430">
        <v>4.25</v>
      </c>
      <c r="T430">
        <v>3.3340000000000001</v>
      </c>
      <c r="U430">
        <v>6.22</v>
      </c>
      <c r="V430">
        <v>2098.4299999999998</v>
      </c>
      <c r="W430">
        <v>588</v>
      </c>
      <c r="X430">
        <v>1.3332999999999999</v>
      </c>
      <c r="Y430">
        <v>450</v>
      </c>
      <c r="Z430">
        <v>4.66</v>
      </c>
      <c r="AJ430">
        <v>2</v>
      </c>
      <c r="AK430">
        <v>18</v>
      </c>
      <c r="AM430">
        <v>0</v>
      </c>
      <c r="AO430" t="s">
        <v>149</v>
      </c>
      <c r="AT430">
        <v>47</v>
      </c>
      <c r="AV430">
        <v>53.5</v>
      </c>
      <c r="AW430">
        <v>0.375</v>
      </c>
      <c r="AX430">
        <v>3.75</v>
      </c>
      <c r="AY430">
        <v>28.75</v>
      </c>
      <c r="AZ430">
        <v>3.5</v>
      </c>
      <c r="BA430">
        <v>225.14</v>
      </c>
      <c r="BB430">
        <v>4.78</v>
      </c>
      <c r="BC430">
        <v>25</v>
      </c>
      <c r="BD430">
        <v>0.375</v>
      </c>
      <c r="BE430">
        <v>3.75</v>
      </c>
      <c r="BF430">
        <v>28.75</v>
      </c>
      <c r="BG430">
        <v>3.5</v>
      </c>
      <c r="BH430">
        <v>225.14</v>
      </c>
      <c r="BI430">
        <v>4.78</v>
      </c>
      <c r="BJ430">
        <v>25</v>
      </c>
      <c r="BL430">
        <v>450.28</v>
      </c>
      <c r="BM430">
        <v>50</v>
      </c>
      <c r="BN430">
        <v>256.80009999999999</v>
      </c>
      <c r="BO430">
        <v>1574</v>
      </c>
      <c r="BP430">
        <v>0</v>
      </c>
      <c r="BQ430">
        <v>41</v>
      </c>
      <c r="BR430">
        <v>41</v>
      </c>
      <c r="BS430">
        <v>41.21</v>
      </c>
      <c r="BT430">
        <v>0</v>
      </c>
      <c r="BV430">
        <v>0</v>
      </c>
      <c r="BW430" t="s">
        <v>655</v>
      </c>
      <c r="BX430">
        <v>0.17</v>
      </c>
      <c r="BY430">
        <v>7.0057</v>
      </c>
      <c r="BZ430">
        <v>0</v>
      </c>
      <c r="CA430">
        <v>1</v>
      </c>
      <c r="CB430">
        <v>0.6</v>
      </c>
      <c r="CC430" s="3">
        <v>7.1269159999999998E-2</v>
      </c>
      <c r="CD430">
        <v>2.875</v>
      </c>
      <c r="CE430">
        <v>2.5</v>
      </c>
      <c r="CF430">
        <v>18</v>
      </c>
      <c r="CG430">
        <v>6</v>
      </c>
      <c r="CH430">
        <v>0</v>
      </c>
      <c r="CI430">
        <v>41.21</v>
      </c>
      <c r="CJ430">
        <v>433.20780000000002</v>
      </c>
    </row>
    <row r="431" spans="1:88">
      <c r="A431">
        <v>429</v>
      </c>
      <c r="B431" t="s">
        <v>13</v>
      </c>
      <c r="C431" t="s">
        <v>1</v>
      </c>
      <c r="D431" t="s">
        <v>122</v>
      </c>
      <c r="E431" t="s">
        <v>201</v>
      </c>
      <c r="F431" t="s">
        <v>286</v>
      </c>
      <c r="G431" t="s">
        <v>106</v>
      </c>
      <c r="H431" t="s">
        <v>153</v>
      </c>
      <c r="J431">
        <v>2</v>
      </c>
      <c r="K431" t="s">
        <v>146</v>
      </c>
      <c r="L431" t="s">
        <v>161</v>
      </c>
      <c r="M431" t="s">
        <v>558</v>
      </c>
      <c r="N431" t="s">
        <v>113</v>
      </c>
      <c r="O431">
        <v>176</v>
      </c>
      <c r="Q431">
        <v>568</v>
      </c>
      <c r="R431">
        <v>79</v>
      </c>
      <c r="S431">
        <v>4.25</v>
      </c>
      <c r="T431">
        <v>4.6509999999999998</v>
      </c>
      <c r="U431">
        <v>7.01</v>
      </c>
      <c r="V431">
        <v>2411.96</v>
      </c>
      <c r="W431">
        <v>551</v>
      </c>
      <c r="X431">
        <v>1.3332999999999999</v>
      </c>
      <c r="Y431">
        <v>403</v>
      </c>
      <c r="Z431">
        <v>5.98</v>
      </c>
      <c r="AJ431">
        <v>2</v>
      </c>
      <c r="AK431">
        <v>18</v>
      </c>
      <c r="AM431">
        <v>0</v>
      </c>
      <c r="AO431" t="s">
        <v>306</v>
      </c>
      <c r="AT431">
        <v>66</v>
      </c>
      <c r="AV431">
        <v>43.3</v>
      </c>
      <c r="AW431">
        <v>0.46875</v>
      </c>
      <c r="AX431">
        <v>3.75</v>
      </c>
      <c r="AY431">
        <v>61.5</v>
      </c>
      <c r="AZ431">
        <v>5.625</v>
      </c>
      <c r="BA431">
        <v>329.56</v>
      </c>
      <c r="BB431">
        <v>5.98</v>
      </c>
      <c r="BC431">
        <v>66</v>
      </c>
      <c r="BD431">
        <v>0.3125</v>
      </c>
      <c r="BE431">
        <v>2.75</v>
      </c>
      <c r="BF431">
        <v>48.75</v>
      </c>
      <c r="BG431">
        <v>3.75</v>
      </c>
      <c r="BH431">
        <v>73.760000000000005</v>
      </c>
      <c r="BI431">
        <v>8.66</v>
      </c>
      <c r="BJ431">
        <v>26</v>
      </c>
      <c r="BL431">
        <v>403.32</v>
      </c>
      <c r="BM431">
        <v>91</v>
      </c>
      <c r="BN431">
        <v>206.86670000000001</v>
      </c>
      <c r="BO431">
        <v>2425</v>
      </c>
      <c r="BP431">
        <v>0</v>
      </c>
      <c r="BQ431">
        <v>60</v>
      </c>
      <c r="BR431">
        <v>60</v>
      </c>
      <c r="BS431">
        <v>60.34</v>
      </c>
      <c r="BT431">
        <v>0</v>
      </c>
      <c r="BV431">
        <v>0</v>
      </c>
      <c r="BW431" t="s">
        <v>655</v>
      </c>
      <c r="BX431">
        <v>0.17</v>
      </c>
      <c r="BY431">
        <v>10.2578</v>
      </c>
      <c r="BZ431">
        <v>0</v>
      </c>
      <c r="CA431">
        <v>1</v>
      </c>
      <c r="CB431">
        <v>0.6</v>
      </c>
      <c r="CC431" s="3">
        <v>7.1269159999999998E-2</v>
      </c>
      <c r="CD431">
        <v>2.875</v>
      </c>
      <c r="CE431">
        <v>2.5</v>
      </c>
      <c r="CF431">
        <v>18</v>
      </c>
      <c r="CG431">
        <v>6</v>
      </c>
      <c r="CH431">
        <v>0</v>
      </c>
      <c r="CI431">
        <v>60.34</v>
      </c>
      <c r="CJ431">
        <v>513.89549999999997</v>
      </c>
    </row>
    <row r="432" spans="1:88">
      <c r="A432">
        <v>430</v>
      </c>
      <c r="B432" t="s">
        <v>13</v>
      </c>
      <c r="C432" t="s">
        <v>1</v>
      </c>
      <c r="D432" t="s">
        <v>169</v>
      </c>
      <c r="E432" t="s">
        <v>176</v>
      </c>
      <c r="F432" t="s">
        <v>404</v>
      </c>
      <c r="G432" t="s">
        <v>106</v>
      </c>
      <c r="H432" t="s">
        <v>190</v>
      </c>
      <c r="J432">
        <v>2</v>
      </c>
      <c r="K432" t="s">
        <v>146</v>
      </c>
      <c r="L432" t="s">
        <v>167</v>
      </c>
      <c r="M432" t="s">
        <v>226</v>
      </c>
      <c r="N432" t="s">
        <v>227</v>
      </c>
      <c r="O432">
        <v>113</v>
      </c>
      <c r="Q432">
        <v>352</v>
      </c>
      <c r="R432">
        <v>74</v>
      </c>
      <c r="S432">
        <v>4.25</v>
      </c>
      <c r="T432">
        <v>3.1280000000000001</v>
      </c>
      <c r="U432">
        <v>6.18</v>
      </c>
      <c r="V432">
        <v>1497.61</v>
      </c>
      <c r="W432">
        <v>457</v>
      </c>
      <c r="X432">
        <v>1.3332999999999999</v>
      </c>
      <c r="Y432">
        <v>336</v>
      </c>
      <c r="Z432">
        <v>4.46</v>
      </c>
      <c r="AJ432">
        <v>2</v>
      </c>
      <c r="AK432">
        <v>18</v>
      </c>
      <c r="AM432">
        <v>0</v>
      </c>
      <c r="AO432" t="s">
        <v>406</v>
      </c>
      <c r="AT432">
        <v>45</v>
      </c>
      <c r="AV432">
        <v>40.4</v>
      </c>
      <c r="AW432">
        <v>0</v>
      </c>
      <c r="AX432">
        <v>0</v>
      </c>
      <c r="AY432">
        <v>42.375</v>
      </c>
      <c r="AZ432">
        <v>3.875</v>
      </c>
      <c r="BA432">
        <v>0</v>
      </c>
      <c r="BB432">
        <v>0</v>
      </c>
      <c r="BC432">
        <v>43</v>
      </c>
      <c r="BN432">
        <v>192.6</v>
      </c>
      <c r="BO432">
        <v>2797</v>
      </c>
      <c r="BP432">
        <v>0</v>
      </c>
      <c r="BQ432">
        <v>38</v>
      </c>
      <c r="BR432">
        <v>38</v>
      </c>
      <c r="BS432">
        <v>38.43</v>
      </c>
      <c r="BT432">
        <v>0</v>
      </c>
      <c r="BV432">
        <v>0</v>
      </c>
      <c r="BW432" t="s">
        <v>655</v>
      </c>
      <c r="BX432">
        <v>0.17</v>
      </c>
      <c r="BY432">
        <v>6.5331000000000001</v>
      </c>
      <c r="BZ432">
        <v>0</v>
      </c>
      <c r="CA432">
        <v>1</v>
      </c>
      <c r="CB432">
        <v>0.6</v>
      </c>
      <c r="CC432" s="3">
        <v>7.1269159999999998E-2</v>
      </c>
      <c r="CD432">
        <v>2.875</v>
      </c>
      <c r="CE432">
        <v>2.5</v>
      </c>
      <c r="CF432">
        <v>18</v>
      </c>
      <c r="CG432">
        <v>6</v>
      </c>
      <c r="CH432">
        <v>0</v>
      </c>
      <c r="CI432">
        <v>38.43</v>
      </c>
      <c r="CJ432">
        <v>305.38440000000003</v>
      </c>
    </row>
    <row r="433" spans="1:88">
      <c r="A433">
        <v>431</v>
      </c>
      <c r="B433" t="s">
        <v>13</v>
      </c>
      <c r="C433" t="s">
        <v>1</v>
      </c>
      <c r="D433" t="s">
        <v>559</v>
      </c>
      <c r="E433" t="s">
        <v>151</v>
      </c>
      <c r="F433" t="s">
        <v>560</v>
      </c>
      <c r="G433" t="s">
        <v>106</v>
      </c>
      <c r="H433" t="s">
        <v>561</v>
      </c>
      <c r="J433">
        <v>2</v>
      </c>
      <c r="K433" t="s">
        <v>146</v>
      </c>
      <c r="L433" t="s">
        <v>119</v>
      </c>
      <c r="M433" t="s">
        <v>154</v>
      </c>
      <c r="N433" t="s">
        <v>150</v>
      </c>
      <c r="O433">
        <v>108</v>
      </c>
      <c r="Q433">
        <v>166</v>
      </c>
      <c r="R433">
        <v>36</v>
      </c>
      <c r="S433">
        <v>4.25</v>
      </c>
      <c r="T433">
        <v>2.9980000000000002</v>
      </c>
      <c r="U433">
        <v>6.07</v>
      </c>
      <c r="V433">
        <v>703.58</v>
      </c>
      <c r="W433">
        <v>217</v>
      </c>
      <c r="X433">
        <v>1.3332999999999999</v>
      </c>
      <c r="Y433">
        <v>162</v>
      </c>
      <c r="Z433">
        <v>4.33</v>
      </c>
      <c r="AJ433">
        <v>2</v>
      </c>
      <c r="AK433">
        <v>18</v>
      </c>
      <c r="AM433">
        <v>0</v>
      </c>
      <c r="AO433" t="s">
        <v>321</v>
      </c>
      <c r="AT433">
        <v>43</v>
      </c>
      <c r="AV433">
        <v>19.399999999999999</v>
      </c>
      <c r="AW433">
        <v>0</v>
      </c>
      <c r="AX433">
        <v>0</v>
      </c>
      <c r="AY433">
        <v>39.75</v>
      </c>
      <c r="AZ433">
        <v>3.25</v>
      </c>
      <c r="BA433">
        <v>0</v>
      </c>
      <c r="BB433">
        <v>0</v>
      </c>
      <c r="BC433">
        <v>35</v>
      </c>
      <c r="BN433">
        <v>89.166679999999999</v>
      </c>
      <c r="BO433">
        <v>13052</v>
      </c>
      <c r="BP433">
        <v>0</v>
      </c>
      <c r="BQ433">
        <v>37</v>
      </c>
      <c r="BR433">
        <v>37</v>
      </c>
      <c r="BS433">
        <v>36.69</v>
      </c>
      <c r="BT433">
        <v>0</v>
      </c>
      <c r="BV433">
        <v>0</v>
      </c>
      <c r="BW433" t="s">
        <v>655</v>
      </c>
      <c r="BX433">
        <v>0.17</v>
      </c>
      <c r="BY433">
        <v>6.2373000000000003</v>
      </c>
      <c r="BZ433">
        <v>0</v>
      </c>
      <c r="CA433">
        <v>1</v>
      </c>
      <c r="CB433">
        <v>0.6</v>
      </c>
      <c r="CC433" s="3">
        <v>7.1269159999999998E-2</v>
      </c>
      <c r="CD433">
        <v>2.875</v>
      </c>
      <c r="CE433">
        <v>2.5</v>
      </c>
      <c r="CF433">
        <v>18</v>
      </c>
      <c r="CG433">
        <v>6</v>
      </c>
      <c r="CH433">
        <v>0</v>
      </c>
      <c r="CI433">
        <v>36.69</v>
      </c>
      <c r="CJ433">
        <v>139.89529999999999</v>
      </c>
    </row>
    <row r="434" spans="1:88">
      <c r="A434">
        <v>432</v>
      </c>
      <c r="B434" t="s">
        <v>13</v>
      </c>
      <c r="C434" t="s">
        <v>1</v>
      </c>
      <c r="D434" t="s">
        <v>143</v>
      </c>
      <c r="E434" t="s">
        <v>202</v>
      </c>
      <c r="F434" t="s">
        <v>144</v>
      </c>
      <c r="G434" t="s">
        <v>106</v>
      </c>
      <c r="H434" t="s">
        <v>145</v>
      </c>
      <c r="J434">
        <v>2</v>
      </c>
      <c r="K434" t="s">
        <v>146</v>
      </c>
      <c r="L434" t="s">
        <v>203</v>
      </c>
      <c r="M434" t="s">
        <v>204</v>
      </c>
      <c r="N434" t="s">
        <v>205</v>
      </c>
      <c r="O434">
        <v>181</v>
      </c>
      <c r="Q434">
        <v>717</v>
      </c>
      <c r="R434">
        <v>95</v>
      </c>
      <c r="S434">
        <v>4.25</v>
      </c>
      <c r="T434">
        <v>4.7640000000000002</v>
      </c>
      <c r="U434">
        <v>7.08</v>
      </c>
      <c r="V434">
        <v>3045.93</v>
      </c>
      <c r="W434">
        <v>670</v>
      </c>
      <c r="X434">
        <v>1.3332999999999999</v>
      </c>
      <c r="Y434">
        <v>500</v>
      </c>
      <c r="Z434">
        <v>6.09</v>
      </c>
      <c r="AJ434">
        <v>2</v>
      </c>
      <c r="AK434">
        <v>18</v>
      </c>
      <c r="AM434">
        <v>0</v>
      </c>
      <c r="AO434" t="s">
        <v>149</v>
      </c>
      <c r="AT434">
        <v>68</v>
      </c>
      <c r="AV434">
        <v>53.5</v>
      </c>
      <c r="AW434" t="s">
        <v>6</v>
      </c>
      <c r="AX434" t="s">
        <v>6</v>
      </c>
      <c r="AY434" t="s">
        <v>6</v>
      </c>
      <c r="AZ434" t="s">
        <v>6</v>
      </c>
      <c r="BA434" t="s">
        <v>6</v>
      </c>
      <c r="BB434" t="s">
        <v>6</v>
      </c>
      <c r="BC434" t="s">
        <v>6</v>
      </c>
      <c r="BD434" t="s">
        <v>6</v>
      </c>
      <c r="BE434" t="s">
        <v>6</v>
      </c>
      <c r="BF434" t="s">
        <v>6</v>
      </c>
      <c r="BG434" t="s">
        <v>6</v>
      </c>
      <c r="BH434" t="s">
        <v>6</v>
      </c>
      <c r="BI434" t="s">
        <v>6</v>
      </c>
      <c r="BJ434" t="s">
        <v>6</v>
      </c>
      <c r="BN434">
        <v>256.80009999999999</v>
      </c>
      <c r="BO434">
        <v>1574</v>
      </c>
      <c r="BP434">
        <v>0</v>
      </c>
      <c r="BQ434">
        <v>62</v>
      </c>
      <c r="BR434">
        <v>62</v>
      </c>
      <c r="BS434">
        <v>62.08</v>
      </c>
      <c r="BT434">
        <v>0</v>
      </c>
      <c r="BV434">
        <v>0</v>
      </c>
      <c r="BW434" t="s">
        <v>655</v>
      </c>
      <c r="BX434">
        <v>0.17</v>
      </c>
      <c r="BY434">
        <v>10.553599999999999</v>
      </c>
      <c r="BZ434">
        <v>0</v>
      </c>
      <c r="CA434">
        <v>1</v>
      </c>
      <c r="CB434">
        <v>0.6</v>
      </c>
      <c r="CC434" s="3">
        <v>7.1269159999999998E-2</v>
      </c>
      <c r="CD434">
        <v>2.875</v>
      </c>
      <c r="CE434">
        <v>2.5</v>
      </c>
      <c r="CF434">
        <v>18</v>
      </c>
      <c r="CG434">
        <v>6</v>
      </c>
      <c r="CH434">
        <v>0</v>
      </c>
      <c r="CI434">
        <v>62.08</v>
      </c>
      <c r="CJ434">
        <v>652.59739999999999</v>
      </c>
    </row>
    <row r="435" spans="1:88">
      <c r="A435">
        <v>433</v>
      </c>
      <c r="B435" t="s">
        <v>0</v>
      </c>
      <c r="C435" t="s">
        <v>1</v>
      </c>
      <c r="D435" t="s">
        <v>332</v>
      </c>
      <c r="E435" t="s">
        <v>169</v>
      </c>
      <c r="F435" t="s">
        <v>333</v>
      </c>
      <c r="G435" t="s">
        <v>106</v>
      </c>
      <c r="H435" t="s">
        <v>334</v>
      </c>
      <c r="J435">
        <v>2</v>
      </c>
      <c r="K435" t="s">
        <v>146</v>
      </c>
      <c r="L435" t="s">
        <v>381</v>
      </c>
      <c r="M435" t="s">
        <v>173</v>
      </c>
      <c r="N435" t="s">
        <v>174</v>
      </c>
      <c r="O435">
        <v>119</v>
      </c>
      <c r="Q435">
        <v>233</v>
      </c>
      <c r="R435">
        <v>45</v>
      </c>
      <c r="S435">
        <v>4.25</v>
      </c>
      <c r="T435">
        <v>3.2829999999999999</v>
      </c>
      <c r="U435">
        <v>6.15</v>
      </c>
      <c r="V435">
        <v>989.44</v>
      </c>
      <c r="W435">
        <v>276</v>
      </c>
      <c r="X435">
        <v>1.3332999999999999</v>
      </c>
      <c r="Y435">
        <v>215</v>
      </c>
      <c r="Z435">
        <v>4.6100000000000003</v>
      </c>
      <c r="AJ435">
        <v>2</v>
      </c>
      <c r="AK435">
        <v>18</v>
      </c>
      <c r="AM435">
        <v>0</v>
      </c>
      <c r="AO435" t="s">
        <v>335</v>
      </c>
      <c r="AT435">
        <v>47</v>
      </c>
      <c r="AV435">
        <v>25.2</v>
      </c>
      <c r="AW435">
        <v>0</v>
      </c>
      <c r="AX435">
        <v>0</v>
      </c>
      <c r="AY435">
        <v>30.125</v>
      </c>
      <c r="AZ435">
        <v>3.5</v>
      </c>
      <c r="BA435">
        <v>0</v>
      </c>
      <c r="BB435">
        <v>0</v>
      </c>
      <c r="BC435">
        <v>27</v>
      </c>
      <c r="BN435">
        <v>117.7</v>
      </c>
      <c r="BO435">
        <v>7491</v>
      </c>
      <c r="BP435">
        <v>0</v>
      </c>
      <c r="BQ435">
        <v>41</v>
      </c>
      <c r="BR435">
        <v>41</v>
      </c>
      <c r="BS435">
        <v>40.520000000000003</v>
      </c>
      <c r="BT435">
        <v>0</v>
      </c>
      <c r="BV435">
        <v>0</v>
      </c>
      <c r="BW435" t="s">
        <v>655</v>
      </c>
      <c r="BX435">
        <v>0.17</v>
      </c>
      <c r="BY435">
        <v>6.8883999999999999</v>
      </c>
      <c r="BZ435">
        <v>0</v>
      </c>
      <c r="CA435">
        <v>1</v>
      </c>
      <c r="CB435">
        <v>0.6</v>
      </c>
      <c r="CC435" s="3">
        <v>7.1269159999999998E-2</v>
      </c>
      <c r="CD435">
        <v>2.875</v>
      </c>
      <c r="CE435">
        <v>2.5</v>
      </c>
      <c r="CF435">
        <v>18</v>
      </c>
      <c r="CG435">
        <v>6</v>
      </c>
      <c r="CH435">
        <v>0</v>
      </c>
      <c r="CI435">
        <v>40.520000000000003</v>
      </c>
      <c r="CJ435">
        <v>200.7039</v>
      </c>
    </row>
    <row r="436" spans="1:88">
      <c r="A436">
        <v>434</v>
      </c>
      <c r="B436" t="s">
        <v>0</v>
      </c>
      <c r="C436" t="s">
        <v>1</v>
      </c>
      <c r="D436" t="s">
        <v>328</v>
      </c>
      <c r="E436" t="s">
        <v>113</v>
      </c>
      <c r="F436" t="s">
        <v>329</v>
      </c>
      <c r="G436" t="s">
        <v>20</v>
      </c>
      <c r="H436" t="s">
        <v>328</v>
      </c>
      <c r="J436">
        <v>2</v>
      </c>
      <c r="K436" t="s">
        <v>9</v>
      </c>
      <c r="L436" t="s">
        <v>116</v>
      </c>
      <c r="M436" t="s">
        <v>117</v>
      </c>
      <c r="N436" t="s">
        <v>14</v>
      </c>
      <c r="O436">
        <v>179</v>
      </c>
      <c r="Q436">
        <v>1173</v>
      </c>
      <c r="R436">
        <v>154</v>
      </c>
      <c r="S436">
        <v>4.25</v>
      </c>
      <c r="T436">
        <v>4.7190000000000003</v>
      </c>
      <c r="U436">
        <v>7.05</v>
      </c>
      <c r="V436">
        <v>4983.84</v>
      </c>
      <c r="W436">
        <v>1085</v>
      </c>
      <c r="X436">
        <v>1.3332999999999999</v>
      </c>
      <c r="Y436">
        <v>824</v>
      </c>
      <c r="Z436">
        <v>6.05</v>
      </c>
      <c r="AJ436">
        <v>2</v>
      </c>
      <c r="AK436">
        <v>18</v>
      </c>
      <c r="AM436">
        <v>0</v>
      </c>
      <c r="AO436" t="s">
        <v>331</v>
      </c>
      <c r="AT436">
        <v>68</v>
      </c>
      <c r="AV436">
        <v>88.5</v>
      </c>
      <c r="AW436" t="s">
        <v>6</v>
      </c>
      <c r="AX436" t="s">
        <v>6</v>
      </c>
      <c r="AY436" t="s">
        <v>6</v>
      </c>
      <c r="AZ436" t="s">
        <v>6</v>
      </c>
      <c r="BA436" t="s">
        <v>6</v>
      </c>
      <c r="BB436" t="s">
        <v>6</v>
      </c>
      <c r="BC436" t="s">
        <v>6</v>
      </c>
      <c r="BD436" t="s">
        <v>6</v>
      </c>
      <c r="BE436" t="s">
        <v>6</v>
      </c>
      <c r="BF436" t="s">
        <v>6</v>
      </c>
      <c r="BG436" t="s">
        <v>6</v>
      </c>
      <c r="BH436" t="s">
        <v>6</v>
      </c>
      <c r="BI436" t="s">
        <v>6</v>
      </c>
      <c r="BJ436" t="s">
        <v>6</v>
      </c>
      <c r="BN436">
        <v>663.95</v>
      </c>
      <c r="BO436">
        <v>2716</v>
      </c>
      <c r="BP436">
        <v>0</v>
      </c>
      <c r="BQ436">
        <v>61</v>
      </c>
      <c r="BR436">
        <v>61</v>
      </c>
      <c r="BS436">
        <v>61.39</v>
      </c>
      <c r="BT436">
        <v>0</v>
      </c>
      <c r="BV436">
        <v>6</v>
      </c>
      <c r="BW436" t="s">
        <v>655</v>
      </c>
      <c r="BX436">
        <v>0.27933330000000001</v>
      </c>
      <c r="BY436">
        <v>17.14827</v>
      </c>
      <c r="BZ436">
        <v>0</v>
      </c>
      <c r="CA436">
        <v>1</v>
      </c>
      <c r="CB436">
        <v>0.6</v>
      </c>
      <c r="CC436" s="3">
        <v>7.1269159999999998E-2</v>
      </c>
      <c r="CD436">
        <v>2.875</v>
      </c>
      <c r="CE436">
        <v>2.5</v>
      </c>
      <c r="CF436">
        <v>18</v>
      </c>
      <c r="CG436">
        <v>6</v>
      </c>
      <c r="CH436">
        <v>0</v>
      </c>
      <c r="CI436">
        <v>61.39</v>
      </c>
      <c r="CJ436">
        <v>1067.0050000000001</v>
      </c>
    </row>
    <row r="437" spans="1:88">
      <c r="A437">
        <v>435</v>
      </c>
      <c r="B437" t="s">
        <v>0</v>
      </c>
      <c r="C437" t="s">
        <v>1</v>
      </c>
      <c r="D437" t="s">
        <v>96</v>
      </c>
      <c r="E437" t="s">
        <v>457</v>
      </c>
      <c r="F437" t="s">
        <v>198</v>
      </c>
      <c r="G437" t="s">
        <v>106</v>
      </c>
      <c r="H437" t="s">
        <v>162</v>
      </c>
      <c r="J437">
        <v>2</v>
      </c>
      <c r="K437" t="s">
        <v>146</v>
      </c>
      <c r="L437" t="s">
        <v>282</v>
      </c>
      <c r="M437" t="s">
        <v>562</v>
      </c>
      <c r="N437" t="s">
        <v>199</v>
      </c>
      <c r="O437">
        <v>190</v>
      </c>
      <c r="Q437">
        <v>630</v>
      </c>
      <c r="R437">
        <v>81</v>
      </c>
      <c r="S437">
        <v>4.25</v>
      </c>
      <c r="T437">
        <v>4.9630000000000001</v>
      </c>
      <c r="U437">
        <v>7.23</v>
      </c>
      <c r="V437">
        <v>2676.9</v>
      </c>
      <c r="W437">
        <v>584</v>
      </c>
      <c r="X437">
        <v>1.3332999999999999</v>
      </c>
      <c r="Y437">
        <v>426</v>
      </c>
      <c r="Z437">
        <v>6.29</v>
      </c>
      <c r="AJ437">
        <v>2</v>
      </c>
      <c r="AK437">
        <v>18</v>
      </c>
      <c r="AM437">
        <v>0</v>
      </c>
      <c r="AO437" t="s">
        <v>166</v>
      </c>
      <c r="AT437">
        <v>71</v>
      </c>
      <c r="AV437">
        <v>44.8</v>
      </c>
      <c r="AW437">
        <v>0.40625</v>
      </c>
      <c r="AX437">
        <v>3.75</v>
      </c>
      <c r="AY437">
        <v>45.75</v>
      </c>
      <c r="AZ437">
        <v>5.125</v>
      </c>
      <c r="BA437">
        <v>212.79</v>
      </c>
      <c r="BB437">
        <v>6.22</v>
      </c>
      <c r="BC437">
        <v>43</v>
      </c>
      <c r="BD437">
        <v>0.40625</v>
      </c>
      <c r="BE437">
        <v>3.75</v>
      </c>
      <c r="BF437">
        <v>45.75</v>
      </c>
      <c r="BG437">
        <v>5.125</v>
      </c>
      <c r="BH437">
        <v>212.79</v>
      </c>
      <c r="BI437">
        <v>6.22</v>
      </c>
      <c r="BJ437">
        <v>43</v>
      </c>
      <c r="BL437">
        <v>425.58</v>
      </c>
      <c r="BM437">
        <v>86</v>
      </c>
      <c r="BN437">
        <v>214</v>
      </c>
      <c r="BO437">
        <v>2266</v>
      </c>
      <c r="BP437">
        <v>0</v>
      </c>
      <c r="BQ437">
        <v>65</v>
      </c>
      <c r="BR437">
        <v>65</v>
      </c>
      <c r="BS437">
        <v>65.209999999999994</v>
      </c>
      <c r="BT437">
        <v>0</v>
      </c>
      <c r="BV437">
        <v>0</v>
      </c>
      <c r="BW437" t="s">
        <v>655</v>
      </c>
      <c r="BX437">
        <v>0.17</v>
      </c>
      <c r="BY437">
        <v>11.085699999999999</v>
      </c>
      <c r="BZ437">
        <v>0</v>
      </c>
      <c r="CA437">
        <v>1</v>
      </c>
      <c r="CB437">
        <v>0.6</v>
      </c>
      <c r="CC437" s="3">
        <v>7.1269159999999998E-2</v>
      </c>
      <c r="CD437">
        <v>2.875</v>
      </c>
      <c r="CE437">
        <v>2.5</v>
      </c>
      <c r="CF437">
        <v>18</v>
      </c>
      <c r="CG437">
        <v>6</v>
      </c>
      <c r="CH437">
        <v>0</v>
      </c>
      <c r="CI437">
        <v>65.209999999999994</v>
      </c>
      <c r="CJ437">
        <v>573.9615</v>
      </c>
    </row>
    <row r="438" spans="1:88">
      <c r="A438">
        <v>436</v>
      </c>
      <c r="B438" t="s">
        <v>13</v>
      </c>
      <c r="C438" t="s">
        <v>1</v>
      </c>
      <c r="D438" t="s">
        <v>235</v>
      </c>
      <c r="E438" t="s">
        <v>233</v>
      </c>
      <c r="F438" t="s">
        <v>327</v>
      </c>
      <c r="G438" t="s">
        <v>106</v>
      </c>
      <c r="H438" t="s">
        <v>96</v>
      </c>
      <c r="J438">
        <v>2</v>
      </c>
      <c r="K438" t="s">
        <v>146</v>
      </c>
      <c r="L438" t="s">
        <v>251</v>
      </c>
      <c r="M438" t="s">
        <v>236</v>
      </c>
      <c r="N438" t="s">
        <v>272</v>
      </c>
      <c r="O438">
        <v>157</v>
      </c>
      <c r="Q438">
        <v>531</v>
      </c>
      <c r="R438">
        <v>81</v>
      </c>
      <c r="S438">
        <v>4.25</v>
      </c>
      <c r="T438">
        <v>4.2130000000000001</v>
      </c>
      <c r="U438">
        <v>6.82</v>
      </c>
      <c r="V438">
        <v>2257.04</v>
      </c>
      <c r="W438">
        <v>555</v>
      </c>
      <c r="X438">
        <v>1.3332999999999999</v>
      </c>
      <c r="Y438">
        <v>407</v>
      </c>
      <c r="Z438">
        <v>5.54</v>
      </c>
      <c r="AJ438">
        <v>2</v>
      </c>
      <c r="AK438">
        <v>18</v>
      </c>
      <c r="AM438">
        <v>0</v>
      </c>
      <c r="AO438" t="s">
        <v>100</v>
      </c>
      <c r="AT438">
        <v>60</v>
      </c>
      <c r="AV438">
        <v>45.1</v>
      </c>
      <c r="AW438">
        <v>0.46875</v>
      </c>
      <c r="AX438">
        <v>3.75</v>
      </c>
      <c r="AY438">
        <v>57</v>
      </c>
      <c r="AZ438">
        <v>5.25</v>
      </c>
      <c r="BA438">
        <v>355.74</v>
      </c>
      <c r="BB438">
        <v>5.54</v>
      </c>
      <c r="BC438">
        <v>61</v>
      </c>
      <c r="BD438">
        <v>0.25</v>
      </c>
      <c r="BE438">
        <v>2.75</v>
      </c>
      <c r="BF438">
        <v>22.25</v>
      </c>
      <c r="BG438">
        <v>2.75</v>
      </c>
      <c r="BH438">
        <v>51.66</v>
      </c>
      <c r="BI438">
        <v>6.64</v>
      </c>
      <c r="BJ438">
        <v>10</v>
      </c>
      <c r="BL438">
        <v>407.4</v>
      </c>
      <c r="BM438">
        <v>70</v>
      </c>
      <c r="BN438">
        <v>215.7834</v>
      </c>
      <c r="BO438">
        <v>2229</v>
      </c>
      <c r="BP438">
        <v>0</v>
      </c>
      <c r="BQ438">
        <v>54</v>
      </c>
      <c r="BR438">
        <v>54</v>
      </c>
      <c r="BS438">
        <v>53.73</v>
      </c>
      <c r="BT438">
        <v>0</v>
      </c>
      <c r="BV438">
        <v>0</v>
      </c>
      <c r="BW438" t="s">
        <v>655</v>
      </c>
      <c r="BX438">
        <v>0.17</v>
      </c>
      <c r="BY438">
        <v>9.1341000000000001</v>
      </c>
      <c r="BZ438">
        <v>0</v>
      </c>
      <c r="CA438">
        <v>1</v>
      </c>
      <c r="CB438">
        <v>0.6</v>
      </c>
      <c r="CC438" s="3">
        <v>7.1269159999999998E-2</v>
      </c>
      <c r="CD438">
        <v>2.875</v>
      </c>
      <c r="CE438">
        <v>2.5</v>
      </c>
      <c r="CF438">
        <v>18</v>
      </c>
      <c r="CG438">
        <v>6</v>
      </c>
      <c r="CH438">
        <v>0</v>
      </c>
      <c r="CI438">
        <v>53.73</v>
      </c>
      <c r="CJ438">
        <v>476.74680000000001</v>
      </c>
    </row>
    <row r="439" spans="1:88">
      <c r="A439">
        <v>437</v>
      </c>
      <c r="B439" t="s">
        <v>0</v>
      </c>
      <c r="C439" t="s">
        <v>1</v>
      </c>
      <c r="D439" t="s">
        <v>172</v>
      </c>
      <c r="E439" t="s">
        <v>2</v>
      </c>
      <c r="F439" t="s">
        <v>359</v>
      </c>
      <c r="G439" t="s">
        <v>106</v>
      </c>
      <c r="H439" t="s">
        <v>330</v>
      </c>
      <c r="J439">
        <v>2</v>
      </c>
      <c r="K439" t="s">
        <v>146</v>
      </c>
      <c r="L439" t="s">
        <v>122</v>
      </c>
      <c r="M439" t="s">
        <v>4</v>
      </c>
      <c r="N439" t="s">
        <v>5</v>
      </c>
      <c r="O439">
        <v>107</v>
      </c>
      <c r="Q439">
        <v>389</v>
      </c>
      <c r="R439">
        <v>84</v>
      </c>
      <c r="S439">
        <v>4.25</v>
      </c>
      <c r="T439">
        <v>2.9710000000000001</v>
      </c>
      <c r="U439">
        <v>6.07</v>
      </c>
      <c r="V439">
        <v>1651.42</v>
      </c>
      <c r="W439">
        <v>512</v>
      </c>
      <c r="X439">
        <v>1.3332999999999999</v>
      </c>
      <c r="Y439">
        <v>384</v>
      </c>
      <c r="Z439">
        <v>4.3</v>
      </c>
      <c r="AJ439">
        <v>2</v>
      </c>
      <c r="AK439">
        <v>18</v>
      </c>
      <c r="AM439">
        <v>0</v>
      </c>
      <c r="AO439" t="s">
        <v>360</v>
      </c>
      <c r="AT439">
        <v>42</v>
      </c>
      <c r="AV439">
        <v>47</v>
      </c>
      <c r="AW439">
        <v>0</v>
      </c>
      <c r="AX439">
        <v>0</v>
      </c>
      <c r="AY439">
        <v>37</v>
      </c>
      <c r="AZ439">
        <v>3.75</v>
      </c>
      <c r="BA439">
        <v>0</v>
      </c>
      <c r="BB439">
        <v>0</v>
      </c>
      <c r="BC439">
        <v>37</v>
      </c>
      <c r="BN439">
        <v>224.70009999999999</v>
      </c>
      <c r="BO439">
        <v>2055</v>
      </c>
      <c r="BP439">
        <v>0</v>
      </c>
      <c r="BQ439">
        <v>36</v>
      </c>
      <c r="BR439">
        <v>36</v>
      </c>
      <c r="BS439">
        <v>36.340000000000003</v>
      </c>
      <c r="BT439">
        <v>0</v>
      </c>
      <c r="BV439">
        <v>0</v>
      </c>
      <c r="BW439" t="s">
        <v>655</v>
      </c>
      <c r="BX439">
        <v>0.17</v>
      </c>
      <c r="BY439">
        <v>6.1778000000000004</v>
      </c>
      <c r="BZ439">
        <v>0</v>
      </c>
      <c r="CA439">
        <v>1</v>
      </c>
      <c r="CB439">
        <v>0.6</v>
      </c>
      <c r="CC439" s="3">
        <v>7.1269159999999998E-2</v>
      </c>
      <c r="CD439">
        <v>2.875</v>
      </c>
      <c r="CE439">
        <v>2.5</v>
      </c>
      <c r="CF439">
        <v>18</v>
      </c>
      <c r="CG439">
        <v>6</v>
      </c>
      <c r="CH439">
        <v>0</v>
      </c>
      <c r="CI439">
        <v>36.340000000000003</v>
      </c>
      <c r="CJ439">
        <v>335.39479999999998</v>
      </c>
    </row>
    <row r="440" spans="1:88">
      <c r="A440">
        <v>438</v>
      </c>
      <c r="B440" t="s">
        <v>0</v>
      </c>
      <c r="C440" t="s">
        <v>1</v>
      </c>
      <c r="D440" t="s">
        <v>552</v>
      </c>
      <c r="E440" t="s">
        <v>172</v>
      </c>
      <c r="F440" t="s">
        <v>392</v>
      </c>
      <c r="G440" t="s">
        <v>106</v>
      </c>
      <c r="H440" t="s">
        <v>563</v>
      </c>
      <c r="J440">
        <v>2</v>
      </c>
      <c r="K440" t="s">
        <v>108</v>
      </c>
      <c r="L440" t="s">
        <v>233</v>
      </c>
      <c r="M440" t="s">
        <v>490</v>
      </c>
      <c r="N440" t="s">
        <v>128</v>
      </c>
      <c r="O440">
        <v>137</v>
      </c>
      <c r="Q440">
        <v>614</v>
      </c>
      <c r="R440">
        <v>104</v>
      </c>
      <c r="S440">
        <v>4.25</v>
      </c>
      <c r="T440">
        <v>3.734</v>
      </c>
      <c r="U440">
        <v>6.48</v>
      </c>
      <c r="V440">
        <v>2608.56</v>
      </c>
      <c r="W440">
        <v>674</v>
      </c>
      <c r="X440">
        <v>1.3332999999999999</v>
      </c>
      <c r="Y440">
        <v>516</v>
      </c>
      <c r="Z440">
        <v>5.0599999999999996</v>
      </c>
      <c r="AJ440">
        <v>2</v>
      </c>
      <c r="AK440">
        <v>18</v>
      </c>
      <c r="AM440">
        <v>0</v>
      </c>
      <c r="AO440" t="s">
        <v>394</v>
      </c>
      <c r="AT440">
        <v>53</v>
      </c>
      <c r="AV440">
        <v>59.4</v>
      </c>
      <c r="AW440">
        <v>0.46875</v>
      </c>
      <c r="AX440">
        <v>3.75</v>
      </c>
      <c r="AY440">
        <v>52</v>
      </c>
      <c r="AZ440">
        <v>4.75</v>
      </c>
      <c r="BA440">
        <v>389.49</v>
      </c>
      <c r="BB440">
        <v>5.0599999999999996</v>
      </c>
      <c r="BC440">
        <v>56</v>
      </c>
      <c r="BD440">
        <v>0.3125</v>
      </c>
      <c r="BE440">
        <v>2.75</v>
      </c>
      <c r="BF440">
        <v>28.5</v>
      </c>
      <c r="BG440">
        <v>3.125</v>
      </c>
      <c r="BH440">
        <v>126.03</v>
      </c>
      <c r="BI440">
        <v>5.07</v>
      </c>
      <c r="BJ440">
        <v>15</v>
      </c>
      <c r="BL440">
        <v>515.52009999999996</v>
      </c>
      <c r="BM440">
        <v>71</v>
      </c>
      <c r="BN440">
        <v>285.33339999999998</v>
      </c>
      <c r="BO440">
        <v>1275</v>
      </c>
      <c r="BP440">
        <v>0</v>
      </c>
      <c r="BQ440">
        <v>47</v>
      </c>
      <c r="BR440">
        <v>47</v>
      </c>
      <c r="BS440">
        <v>46.78</v>
      </c>
      <c r="BT440">
        <v>0</v>
      </c>
      <c r="BV440">
        <v>0</v>
      </c>
      <c r="BW440" t="s">
        <v>655</v>
      </c>
      <c r="BX440">
        <v>0.17</v>
      </c>
      <c r="BY440">
        <v>7.9526000000000003</v>
      </c>
      <c r="BZ440">
        <v>0</v>
      </c>
      <c r="CA440">
        <v>1</v>
      </c>
      <c r="CB440">
        <v>0.6</v>
      </c>
      <c r="CC440" s="3">
        <v>7.1269159999999998E-2</v>
      </c>
      <c r="CD440">
        <v>2.875</v>
      </c>
      <c r="CE440">
        <v>2.5</v>
      </c>
      <c r="CF440">
        <v>18</v>
      </c>
      <c r="CG440">
        <v>6</v>
      </c>
      <c r="CH440">
        <v>0</v>
      </c>
      <c r="CI440">
        <v>46.78</v>
      </c>
      <c r="CJ440">
        <v>546.35450000000003</v>
      </c>
    </row>
    <row r="441" spans="1:88">
      <c r="A441">
        <v>439</v>
      </c>
      <c r="B441" t="s">
        <v>0</v>
      </c>
      <c r="C441" t="s">
        <v>1</v>
      </c>
      <c r="D441" t="s">
        <v>96</v>
      </c>
      <c r="E441" t="s">
        <v>229</v>
      </c>
      <c r="F441" t="s">
        <v>198</v>
      </c>
      <c r="G441" t="s">
        <v>106</v>
      </c>
      <c r="H441" t="s">
        <v>162</v>
      </c>
      <c r="J441">
        <v>2</v>
      </c>
      <c r="K441" t="s">
        <v>146</v>
      </c>
      <c r="L441" t="s">
        <v>128</v>
      </c>
      <c r="M441" t="s">
        <v>404</v>
      </c>
      <c r="N441" t="s">
        <v>268</v>
      </c>
      <c r="O441">
        <v>120</v>
      </c>
      <c r="Q441">
        <v>411</v>
      </c>
      <c r="R441">
        <v>81</v>
      </c>
      <c r="S441">
        <v>4.25</v>
      </c>
      <c r="T441">
        <v>3.3079999999999998</v>
      </c>
      <c r="U441">
        <v>6.15</v>
      </c>
      <c r="V441">
        <v>1748.45</v>
      </c>
      <c r="W441">
        <v>497</v>
      </c>
      <c r="X441">
        <v>1.3332999999999999</v>
      </c>
      <c r="Y441">
        <v>377</v>
      </c>
      <c r="Z441">
        <v>4.6399999999999997</v>
      </c>
      <c r="AJ441">
        <v>2</v>
      </c>
      <c r="AK441">
        <v>18</v>
      </c>
      <c r="AM441">
        <v>0</v>
      </c>
      <c r="AO441" t="s">
        <v>166</v>
      </c>
      <c r="AT441">
        <v>47</v>
      </c>
      <c r="AV441">
        <v>44.8</v>
      </c>
      <c r="AW441">
        <v>0</v>
      </c>
      <c r="AX441">
        <v>0</v>
      </c>
      <c r="AY441">
        <v>53.75</v>
      </c>
      <c r="AZ441">
        <v>4.375</v>
      </c>
      <c r="BA441">
        <v>0</v>
      </c>
      <c r="BB441">
        <v>0</v>
      </c>
      <c r="BC441">
        <v>58</v>
      </c>
      <c r="BN441">
        <v>214</v>
      </c>
      <c r="BO441">
        <v>2266</v>
      </c>
      <c r="BP441">
        <v>0</v>
      </c>
      <c r="BQ441">
        <v>41</v>
      </c>
      <c r="BR441">
        <v>41</v>
      </c>
      <c r="BS441">
        <v>40.86</v>
      </c>
      <c r="BT441">
        <v>0</v>
      </c>
      <c r="BV441">
        <v>0</v>
      </c>
      <c r="BW441" t="s">
        <v>655</v>
      </c>
      <c r="BX441">
        <v>0.17</v>
      </c>
      <c r="BY441">
        <v>6.9462010000000003</v>
      </c>
      <c r="BZ441">
        <v>0</v>
      </c>
      <c r="CA441">
        <v>1</v>
      </c>
      <c r="CB441">
        <v>0.6</v>
      </c>
      <c r="CC441" s="3">
        <v>7.1269159999999998E-2</v>
      </c>
      <c r="CD441">
        <v>2.875</v>
      </c>
      <c r="CE441">
        <v>2.5</v>
      </c>
      <c r="CF441">
        <v>18</v>
      </c>
      <c r="CG441">
        <v>6</v>
      </c>
      <c r="CH441">
        <v>0</v>
      </c>
      <c r="CI441">
        <v>40.86</v>
      </c>
      <c r="CJ441">
        <v>359.63909999999998</v>
      </c>
    </row>
    <row r="442" spans="1:88">
      <c r="A442">
        <v>440</v>
      </c>
      <c r="B442" t="s">
        <v>13</v>
      </c>
      <c r="C442" t="s">
        <v>1</v>
      </c>
      <c r="D442" t="s">
        <v>338</v>
      </c>
      <c r="E442" t="s">
        <v>382</v>
      </c>
      <c r="F442" t="s">
        <v>360</v>
      </c>
      <c r="G442" t="s">
        <v>106</v>
      </c>
      <c r="H442" t="s">
        <v>101</v>
      </c>
      <c r="J442">
        <v>2</v>
      </c>
      <c r="K442" t="s">
        <v>146</v>
      </c>
      <c r="L442" t="s">
        <v>229</v>
      </c>
      <c r="M442" t="s">
        <v>318</v>
      </c>
      <c r="N442" t="s">
        <v>366</v>
      </c>
      <c r="O442">
        <v>100</v>
      </c>
      <c r="Q442">
        <v>360</v>
      </c>
      <c r="R442">
        <v>83</v>
      </c>
      <c r="S442">
        <v>4.25</v>
      </c>
      <c r="T442">
        <v>2.7850000000000001</v>
      </c>
      <c r="U442">
        <v>5.92</v>
      </c>
      <c r="V442">
        <v>1530.72</v>
      </c>
      <c r="W442">
        <v>492</v>
      </c>
      <c r="X442">
        <v>1.3332999999999999</v>
      </c>
      <c r="Y442">
        <v>372</v>
      </c>
      <c r="Z442">
        <v>4.1100000000000003</v>
      </c>
      <c r="AJ442">
        <v>2</v>
      </c>
      <c r="AK442">
        <v>18</v>
      </c>
      <c r="AM442">
        <v>0</v>
      </c>
      <c r="AO442" t="s">
        <v>403</v>
      </c>
      <c r="AT442">
        <v>40</v>
      </c>
      <c r="AV442">
        <v>46.2</v>
      </c>
      <c r="AW442">
        <v>0</v>
      </c>
      <c r="AX442">
        <v>0</v>
      </c>
      <c r="AY442">
        <v>38.25</v>
      </c>
      <c r="AZ442">
        <v>3.625</v>
      </c>
      <c r="BA442">
        <v>0</v>
      </c>
      <c r="BB442">
        <v>0</v>
      </c>
      <c r="BC442">
        <v>39</v>
      </c>
      <c r="BN442">
        <v>221.13339999999999</v>
      </c>
      <c r="BO442">
        <v>2122</v>
      </c>
      <c r="BP442">
        <v>0</v>
      </c>
      <c r="BQ442">
        <v>34</v>
      </c>
      <c r="BR442">
        <v>34</v>
      </c>
      <c r="BS442">
        <v>33.909999999999997</v>
      </c>
      <c r="BT442">
        <v>0</v>
      </c>
      <c r="BV442">
        <v>0</v>
      </c>
      <c r="BW442" t="s">
        <v>655</v>
      </c>
      <c r="BX442">
        <v>0.17</v>
      </c>
      <c r="BY442">
        <v>5.7647000000000004</v>
      </c>
      <c r="BZ442">
        <v>0</v>
      </c>
      <c r="CA442">
        <v>1</v>
      </c>
      <c r="CB442">
        <v>0.6</v>
      </c>
      <c r="CC442" s="3">
        <v>7.1269159999999998E-2</v>
      </c>
      <c r="CD442">
        <v>2.875</v>
      </c>
      <c r="CE442">
        <v>2.5</v>
      </c>
      <c r="CF442">
        <v>18</v>
      </c>
      <c r="CG442">
        <v>6</v>
      </c>
      <c r="CH442">
        <v>0</v>
      </c>
      <c r="CI442">
        <v>33.909999999999997</v>
      </c>
      <c r="CJ442">
        <v>308.13400000000001</v>
      </c>
    </row>
    <row r="443" spans="1:88">
      <c r="A443">
        <v>441</v>
      </c>
      <c r="B443" t="s">
        <v>0</v>
      </c>
      <c r="C443" t="s">
        <v>1</v>
      </c>
      <c r="D443" t="s">
        <v>8</v>
      </c>
      <c r="E443" t="s">
        <v>434</v>
      </c>
      <c r="F443" t="s">
        <v>246</v>
      </c>
      <c r="G443" t="s">
        <v>15</v>
      </c>
      <c r="H443" t="s">
        <v>247</v>
      </c>
      <c r="J443">
        <v>2</v>
      </c>
      <c r="K443" t="s">
        <v>108</v>
      </c>
      <c r="L443" t="s">
        <v>305</v>
      </c>
      <c r="M443" t="s">
        <v>564</v>
      </c>
      <c r="N443" t="s">
        <v>104</v>
      </c>
      <c r="O443">
        <v>188</v>
      </c>
      <c r="Q443">
        <v>983</v>
      </c>
      <c r="R443">
        <v>124</v>
      </c>
      <c r="S443">
        <v>4.25</v>
      </c>
      <c r="T443">
        <v>4.9189999999999996</v>
      </c>
      <c r="U443">
        <v>7.2</v>
      </c>
      <c r="V443">
        <v>4176.68</v>
      </c>
      <c r="W443">
        <v>890</v>
      </c>
      <c r="X443">
        <v>1.3332999999999999</v>
      </c>
      <c r="Y443">
        <v>668</v>
      </c>
      <c r="Z443">
        <v>6.25</v>
      </c>
      <c r="AJ443">
        <v>2</v>
      </c>
      <c r="AK443">
        <v>18</v>
      </c>
      <c r="AM443">
        <v>0</v>
      </c>
      <c r="AO443" t="s">
        <v>250</v>
      </c>
      <c r="AT443">
        <v>71</v>
      </c>
      <c r="AV443">
        <v>71.099999999999994</v>
      </c>
      <c r="AW443" t="s">
        <v>6</v>
      </c>
      <c r="AX443" t="s">
        <v>6</v>
      </c>
      <c r="AY443" t="s">
        <v>6</v>
      </c>
      <c r="AZ443" t="s">
        <v>6</v>
      </c>
      <c r="BA443" t="s">
        <v>6</v>
      </c>
      <c r="BB443" t="s">
        <v>6</v>
      </c>
      <c r="BC443" t="s">
        <v>6</v>
      </c>
      <c r="BD443" t="s">
        <v>6</v>
      </c>
      <c r="BE443" t="s">
        <v>6</v>
      </c>
      <c r="BF443" t="s">
        <v>6</v>
      </c>
      <c r="BG443" t="s">
        <v>6</v>
      </c>
      <c r="BH443" t="s">
        <v>6</v>
      </c>
      <c r="BI443" t="s">
        <v>6</v>
      </c>
      <c r="BJ443" t="s">
        <v>6</v>
      </c>
      <c r="BN443">
        <v>606.1585</v>
      </c>
      <c r="BO443">
        <v>2977</v>
      </c>
      <c r="BP443">
        <v>0</v>
      </c>
      <c r="BQ443">
        <v>65</v>
      </c>
      <c r="BR443">
        <v>65</v>
      </c>
      <c r="BS443">
        <v>64.52</v>
      </c>
      <c r="BT443">
        <v>0</v>
      </c>
      <c r="BV443">
        <v>0</v>
      </c>
      <c r="BW443" t="s">
        <v>655</v>
      </c>
      <c r="BX443">
        <v>0.17</v>
      </c>
      <c r="BY443">
        <v>10.968400000000001</v>
      </c>
      <c r="BZ443">
        <v>0</v>
      </c>
      <c r="CA443">
        <v>1</v>
      </c>
      <c r="CB443">
        <v>0.6</v>
      </c>
      <c r="CC443" s="3">
        <v>7.1269159999999998E-2</v>
      </c>
      <c r="CD443">
        <v>2.875</v>
      </c>
      <c r="CE443">
        <v>2.5</v>
      </c>
      <c r="CF443">
        <v>18</v>
      </c>
      <c r="CG443">
        <v>6</v>
      </c>
      <c r="CH443">
        <v>0</v>
      </c>
      <c r="CI443">
        <v>64.52</v>
      </c>
      <c r="CJ443">
        <v>900.68920000000003</v>
      </c>
    </row>
    <row r="444" spans="1:88">
      <c r="A444">
        <v>442</v>
      </c>
      <c r="B444" t="s">
        <v>13</v>
      </c>
      <c r="C444" t="s">
        <v>1</v>
      </c>
      <c r="D444" t="s">
        <v>181</v>
      </c>
      <c r="E444" t="s">
        <v>143</v>
      </c>
      <c r="F444" t="s">
        <v>182</v>
      </c>
      <c r="G444" t="s">
        <v>106</v>
      </c>
      <c r="H444" t="s">
        <v>183</v>
      </c>
      <c r="J444">
        <v>2</v>
      </c>
      <c r="K444" t="s">
        <v>108</v>
      </c>
      <c r="L444" t="s">
        <v>297</v>
      </c>
      <c r="M444" t="s">
        <v>206</v>
      </c>
      <c r="N444" t="s">
        <v>131</v>
      </c>
      <c r="O444">
        <v>155</v>
      </c>
      <c r="Q444">
        <v>647</v>
      </c>
      <c r="R444">
        <v>98</v>
      </c>
      <c r="S444">
        <v>4.25</v>
      </c>
      <c r="T444">
        <v>4.1660000000000004</v>
      </c>
      <c r="U444">
        <v>6.78</v>
      </c>
      <c r="V444">
        <v>2747.75</v>
      </c>
      <c r="W444">
        <v>666</v>
      </c>
      <c r="X444">
        <v>1.3332999999999999</v>
      </c>
      <c r="Y444">
        <v>501</v>
      </c>
      <c r="Z444">
        <v>5.49</v>
      </c>
      <c r="AJ444">
        <v>2</v>
      </c>
      <c r="AK444">
        <v>18</v>
      </c>
      <c r="AM444">
        <v>0</v>
      </c>
      <c r="AO444" t="s">
        <v>186</v>
      </c>
      <c r="AT444">
        <v>59</v>
      </c>
      <c r="AV444">
        <v>55.8</v>
      </c>
      <c r="AW444" t="s">
        <v>6</v>
      </c>
      <c r="AX444" t="s">
        <v>6</v>
      </c>
      <c r="AY444" t="s">
        <v>6</v>
      </c>
      <c r="AZ444" t="s">
        <v>6</v>
      </c>
      <c r="BA444" t="s">
        <v>6</v>
      </c>
      <c r="BB444" t="s">
        <v>6</v>
      </c>
      <c r="BC444" t="s">
        <v>6</v>
      </c>
      <c r="BD444" t="s">
        <v>6</v>
      </c>
      <c r="BE444" t="s">
        <v>6</v>
      </c>
      <c r="BF444" t="s">
        <v>6</v>
      </c>
      <c r="BG444" t="s">
        <v>6</v>
      </c>
      <c r="BH444" t="s">
        <v>6</v>
      </c>
      <c r="BI444" t="s">
        <v>6</v>
      </c>
      <c r="BJ444" t="s">
        <v>6</v>
      </c>
      <c r="BN444">
        <v>267.5</v>
      </c>
      <c r="BO444">
        <v>1450</v>
      </c>
      <c r="BP444">
        <v>0</v>
      </c>
      <c r="BQ444">
        <v>53</v>
      </c>
      <c r="BR444">
        <v>53</v>
      </c>
      <c r="BS444">
        <v>53.04</v>
      </c>
      <c r="BT444">
        <v>0</v>
      </c>
      <c r="BV444">
        <v>0</v>
      </c>
      <c r="BW444" t="s">
        <v>655</v>
      </c>
      <c r="BX444">
        <v>0.17</v>
      </c>
      <c r="BY444">
        <v>9.0167999999999999</v>
      </c>
      <c r="BZ444">
        <v>0</v>
      </c>
      <c r="CA444">
        <v>1</v>
      </c>
      <c r="CB444">
        <v>0.6</v>
      </c>
      <c r="CC444" s="3">
        <v>7.1269159999999998E-2</v>
      </c>
      <c r="CD444">
        <v>2.875</v>
      </c>
      <c r="CE444">
        <v>2.5</v>
      </c>
      <c r="CF444">
        <v>18</v>
      </c>
      <c r="CG444">
        <v>6</v>
      </c>
      <c r="CH444">
        <v>0</v>
      </c>
      <c r="CI444">
        <v>53.04</v>
      </c>
      <c r="CJ444">
        <v>581.66539999999998</v>
      </c>
    </row>
    <row r="445" spans="1:88">
      <c r="A445">
        <v>443</v>
      </c>
      <c r="B445" t="s">
        <v>13</v>
      </c>
      <c r="C445" t="s">
        <v>1</v>
      </c>
      <c r="D445" t="s">
        <v>8</v>
      </c>
      <c r="E445" t="s">
        <v>169</v>
      </c>
      <c r="F445" t="s">
        <v>246</v>
      </c>
      <c r="G445" t="s">
        <v>214</v>
      </c>
      <c r="H445" t="s">
        <v>247</v>
      </c>
      <c r="J445">
        <v>2</v>
      </c>
      <c r="K445" t="s">
        <v>108</v>
      </c>
      <c r="L445" t="s">
        <v>381</v>
      </c>
      <c r="M445" t="s">
        <v>173</v>
      </c>
      <c r="N445" t="s">
        <v>174</v>
      </c>
      <c r="O445">
        <v>119</v>
      </c>
      <c r="Q445">
        <v>644</v>
      </c>
      <c r="R445">
        <v>124</v>
      </c>
      <c r="S445">
        <v>4.25</v>
      </c>
      <c r="T445">
        <v>3.2829999999999999</v>
      </c>
      <c r="U445">
        <v>6.15</v>
      </c>
      <c r="V445">
        <v>2735.47</v>
      </c>
      <c r="W445">
        <v>760</v>
      </c>
      <c r="X445">
        <v>1.3332999999999999</v>
      </c>
      <c r="Y445">
        <v>593</v>
      </c>
      <c r="Z445">
        <v>4.6100000000000003</v>
      </c>
      <c r="AJ445">
        <v>2</v>
      </c>
      <c r="AK445">
        <v>18</v>
      </c>
      <c r="AM445">
        <v>0</v>
      </c>
      <c r="AO445" t="s">
        <v>250</v>
      </c>
      <c r="AT445">
        <v>47</v>
      </c>
      <c r="AV445">
        <v>71.099999999999994</v>
      </c>
      <c r="AW445" t="s">
        <v>6</v>
      </c>
      <c r="AX445" t="s">
        <v>6</v>
      </c>
      <c r="AY445" t="s">
        <v>6</v>
      </c>
      <c r="AZ445" t="s">
        <v>6</v>
      </c>
      <c r="BA445" t="s">
        <v>6</v>
      </c>
      <c r="BB445" t="s">
        <v>6</v>
      </c>
      <c r="BC445" t="s">
        <v>6</v>
      </c>
      <c r="BD445" t="s">
        <v>6</v>
      </c>
      <c r="BE445" t="s">
        <v>6</v>
      </c>
      <c r="BF445" t="s">
        <v>6</v>
      </c>
      <c r="BG445" t="s">
        <v>6</v>
      </c>
      <c r="BH445" t="s">
        <v>6</v>
      </c>
      <c r="BI445" t="s">
        <v>6</v>
      </c>
      <c r="BJ445" t="s">
        <v>6</v>
      </c>
      <c r="BN445">
        <v>345.28</v>
      </c>
      <c r="BO445">
        <v>1092</v>
      </c>
      <c r="BP445">
        <v>0</v>
      </c>
      <c r="BQ445">
        <v>41</v>
      </c>
      <c r="BR445">
        <v>41</v>
      </c>
      <c r="BS445">
        <v>40.520000000000003</v>
      </c>
      <c r="BT445">
        <v>0</v>
      </c>
      <c r="BV445">
        <v>0</v>
      </c>
      <c r="BW445" t="s">
        <v>655</v>
      </c>
      <c r="BX445">
        <v>0.17</v>
      </c>
      <c r="BY445">
        <v>6.8883999999999999</v>
      </c>
      <c r="BZ445">
        <v>0</v>
      </c>
      <c r="CA445">
        <v>1</v>
      </c>
      <c r="CB445">
        <v>0.6</v>
      </c>
      <c r="CC445" s="3">
        <v>7.1269159999999998E-2</v>
      </c>
      <c r="CD445">
        <v>2.875</v>
      </c>
      <c r="CE445">
        <v>2.5</v>
      </c>
      <c r="CF445">
        <v>18</v>
      </c>
      <c r="CG445">
        <v>6</v>
      </c>
      <c r="CH445">
        <v>0</v>
      </c>
      <c r="CI445">
        <v>40.520000000000003</v>
      </c>
      <c r="CJ445">
        <v>565.65300000000002</v>
      </c>
    </row>
    <row r="446" spans="1:88">
      <c r="A446">
        <v>444</v>
      </c>
      <c r="B446" t="s">
        <v>13</v>
      </c>
      <c r="C446" t="s">
        <v>1</v>
      </c>
      <c r="D446" t="s">
        <v>565</v>
      </c>
      <c r="E446" t="s">
        <v>221</v>
      </c>
      <c r="F446" t="s">
        <v>566</v>
      </c>
      <c r="G446" t="s">
        <v>15</v>
      </c>
      <c r="H446" t="s">
        <v>565</v>
      </c>
      <c r="J446">
        <v>2</v>
      </c>
      <c r="K446" t="s">
        <v>9</v>
      </c>
      <c r="L446" t="s">
        <v>307</v>
      </c>
      <c r="M446" t="s">
        <v>379</v>
      </c>
      <c r="N446" t="s">
        <v>2</v>
      </c>
      <c r="O446">
        <v>104</v>
      </c>
      <c r="Q446">
        <v>660</v>
      </c>
      <c r="R446">
        <v>143</v>
      </c>
      <c r="S446">
        <v>4.25</v>
      </c>
      <c r="T446">
        <v>2.8919999999999999</v>
      </c>
      <c r="U446">
        <v>6</v>
      </c>
      <c r="V446">
        <v>2805.42</v>
      </c>
      <c r="W446">
        <v>855</v>
      </c>
      <c r="X446">
        <v>1.3332999999999999</v>
      </c>
      <c r="Y446">
        <v>665</v>
      </c>
      <c r="Z446">
        <v>4.22</v>
      </c>
      <c r="AJ446">
        <v>2</v>
      </c>
      <c r="AK446">
        <v>18</v>
      </c>
      <c r="AM446">
        <v>0</v>
      </c>
      <c r="AO446" t="s">
        <v>567</v>
      </c>
      <c r="AT446">
        <v>41</v>
      </c>
      <c r="AV446">
        <v>81.900000000000006</v>
      </c>
      <c r="AW446">
        <v>0.5</v>
      </c>
      <c r="AX446">
        <v>5.625</v>
      </c>
      <c r="AY446">
        <v>32.5</v>
      </c>
      <c r="AZ446">
        <v>4.25</v>
      </c>
      <c r="BA446">
        <v>551.47</v>
      </c>
      <c r="BB446">
        <v>4.22</v>
      </c>
      <c r="BC446">
        <v>58</v>
      </c>
      <c r="BD446">
        <v>0.3125</v>
      </c>
      <c r="BE446">
        <v>3.75</v>
      </c>
      <c r="BF446">
        <v>22.5</v>
      </c>
      <c r="BG446">
        <v>2.625</v>
      </c>
      <c r="BH446">
        <v>113.32</v>
      </c>
      <c r="BI446">
        <v>5.64</v>
      </c>
      <c r="BJ446">
        <v>17</v>
      </c>
      <c r="BL446">
        <v>664.79</v>
      </c>
      <c r="BM446">
        <v>74</v>
      </c>
      <c r="BN446">
        <v>700.87080000000003</v>
      </c>
      <c r="BO446">
        <v>2227</v>
      </c>
      <c r="BP446">
        <v>0</v>
      </c>
      <c r="BQ446">
        <v>35</v>
      </c>
      <c r="BR446">
        <v>35</v>
      </c>
      <c r="BS446">
        <v>35.299999999999997</v>
      </c>
      <c r="BT446">
        <v>0</v>
      </c>
      <c r="BV446">
        <v>6</v>
      </c>
      <c r="BW446" t="s">
        <v>655</v>
      </c>
      <c r="BX446">
        <v>0.27933330000000001</v>
      </c>
      <c r="BY446">
        <v>9.8604660000000006</v>
      </c>
      <c r="BZ446">
        <v>0</v>
      </c>
      <c r="CA446">
        <v>1</v>
      </c>
      <c r="CB446">
        <v>0.6</v>
      </c>
      <c r="CC446" s="3">
        <v>7.1269159999999998E-2</v>
      </c>
      <c r="CD446">
        <v>2.875</v>
      </c>
      <c r="CE446">
        <v>2.5</v>
      </c>
      <c r="CF446">
        <v>18</v>
      </c>
      <c r="CG446">
        <v>6</v>
      </c>
      <c r="CH446">
        <v>0</v>
      </c>
      <c r="CI446">
        <v>35.299999999999997</v>
      </c>
      <c r="CJ446">
        <v>568.25660000000005</v>
      </c>
    </row>
    <row r="447" spans="1:88">
      <c r="A447">
        <v>445</v>
      </c>
      <c r="B447" t="s">
        <v>0</v>
      </c>
      <c r="C447" t="s">
        <v>1</v>
      </c>
      <c r="D447" t="s">
        <v>568</v>
      </c>
      <c r="E447" t="s">
        <v>353</v>
      </c>
      <c r="F447" t="s">
        <v>569</v>
      </c>
      <c r="G447" t="s">
        <v>15</v>
      </c>
      <c r="H447" t="s">
        <v>570</v>
      </c>
      <c r="J447">
        <v>2</v>
      </c>
      <c r="K447" t="s">
        <v>108</v>
      </c>
      <c r="L447" t="s">
        <v>123</v>
      </c>
      <c r="M447" t="s">
        <v>509</v>
      </c>
      <c r="N447" t="s">
        <v>476</v>
      </c>
      <c r="O447">
        <v>163</v>
      </c>
      <c r="Q447">
        <v>942</v>
      </c>
      <c r="R447">
        <v>136</v>
      </c>
      <c r="S447">
        <v>4.25</v>
      </c>
      <c r="T447">
        <v>4.3529999999999998</v>
      </c>
      <c r="U447">
        <v>6.82</v>
      </c>
      <c r="V447">
        <v>4004.77</v>
      </c>
      <c r="W447">
        <v>925</v>
      </c>
      <c r="X447">
        <v>1.3332999999999999</v>
      </c>
      <c r="Y447">
        <v>705</v>
      </c>
      <c r="Z447">
        <v>5.68</v>
      </c>
      <c r="AJ447">
        <v>2</v>
      </c>
      <c r="AK447">
        <v>18</v>
      </c>
      <c r="AM447">
        <v>0</v>
      </c>
      <c r="AO447" t="s">
        <v>533</v>
      </c>
      <c r="AT447">
        <v>62</v>
      </c>
      <c r="AV447">
        <v>77.900000000000006</v>
      </c>
      <c r="AW447" t="s">
        <v>6</v>
      </c>
      <c r="AX447" t="s">
        <v>6</v>
      </c>
      <c r="AY447" t="s">
        <v>6</v>
      </c>
      <c r="AZ447" t="s">
        <v>6</v>
      </c>
      <c r="BA447" t="s">
        <v>6</v>
      </c>
      <c r="BB447" t="s">
        <v>6</v>
      </c>
      <c r="BC447" t="s">
        <v>6</v>
      </c>
      <c r="BD447" t="s">
        <v>6</v>
      </c>
      <c r="BE447" t="s">
        <v>6</v>
      </c>
      <c r="BF447" t="s">
        <v>6</v>
      </c>
      <c r="BG447" t="s">
        <v>6</v>
      </c>
      <c r="BH447" t="s">
        <v>6</v>
      </c>
      <c r="BI447" t="s">
        <v>6</v>
      </c>
      <c r="BJ447" t="s">
        <v>6</v>
      </c>
      <c r="BN447">
        <v>666.14290000000005</v>
      </c>
      <c r="BO447">
        <v>2465</v>
      </c>
      <c r="BP447">
        <v>0</v>
      </c>
      <c r="BQ447">
        <v>56</v>
      </c>
      <c r="BR447">
        <v>56</v>
      </c>
      <c r="BS447">
        <v>55.82</v>
      </c>
      <c r="BT447">
        <v>0</v>
      </c>
      <c r="BV447">
        <v>0</v>
      </c>
      <c r="BW447" t="s">
        <v>655</v>
      </c>
      <c r="BX447">
        <v>0.17</v>
      </c>
      <c r="BY447">
        <v>9.4893999999999998</v>
      </c>
      <c r="BZ447">
        <v>0</v>
      </c>
      <c r="CA447">
        <v>1</v>
      </c>
      <c r="CB447">
        <v>0.6</v>
      </c>
      <c r="CC447" s="3">
        <v>7.1269159999999998E-2</v>
      </c>
      <c r="CD447">
        <v>2.875</v>
      </c>
      <c r="CE447">
        <v>2.5</v>
      </c>
      <c r="CF447">
        <v>18</v>
      </c>
      <c r="CG447">
        <v>6</v>
      </c>
      <c r="CH447">
        <v>0</v>
      </c>
      <c r="CI447">
        <v>55.82</v>
      </c>
      <c r="CJ447">
        <v>854.8252</v>
      </c>
    </row>
    <row r="448" spans="1:88">
      <c r="A448">
        <v>446</v>
      </c>
      <c r="B448" t="s">
        <v>13</v>
      </c>
      <c r="C448" t="s">
        <v>1</v>
      </c>
      <c r="D448" t="s">
        <v>476</v>
      </c>
      <c r="E448" t="s">
        <v>101</v>
      </c>
      <c r="F448" t="s">
        <v>477</v>
      </c>
      <c r="G448" t="s">
        <v>106</v>
      </c>
      <c r="H448" t="s">
        <v>478</v>
      </c>
      <c r="J448">
        <v>2</v>
      </c>
      <c r="K448" t="s">
        <v>108</v>
      </c>
      <c r="L448" t="s">
        <v>145</v>
      </c>
      <c r="M448" t="s">
        <v>403</v>
      </c>
      <c r="N448" t="s">
        <v>172</v>
      </c>
      <c r="O448">
        <v>134</v>
      </c>
      <c r="Q448">
        <v>583</v>
      </c>
      <c r="R448">
        <v>101</v>
      </c>
      <c r="S448">
        <v>4.25</v>
      </c>
      <c r="T448">
        <v>3.66</v>
      </c>
      <c r="U448">
        <v>6.41</v>
      </c>
      <c r="V448">
        <v>2478.7199999999998</v>
      </c>
      <c r="W448">
        <v>648</v>
      </c>
      <c r="X448">
        <v>1.3332999999999999</v>
      </c>
      <c r="Y448">
        <v>497</v>
      </c>
      <c r="Z448">
        <v>4.99</v>
      </c>
      <c r="AJ448">
        <v>2</v>
      </c>
      <c r="AK448">
        <v>18</v>
      </c>
      <c r="AM448">
        <v>0</v>
      </c>
      <c r="AO448" t="s">
        <v>479</v>
      </c>
      <c r="AT448">
        <v>52</v>
      </c>
      <c r="AV448">
        <v>57.6</v>
      </c>
      <c r="AW448">
        <v>0.46875</v>
      </c>
      <c r="AX448">
        <v>3.75</v>
      </c>
      <c r="AY448">
        <v>51.375</v>
      </c>
      <c r="AZ448">
        <v>4.625</v>
      </c>
      <c r="BA448">
        <v>394.95</v>
      </c>
      <c r="BB448">
        <v>4.99</v>
      </c>
      <c r="BC448">
        <v>55</v>
      </c>
      <c r="BD448">
        <v>0.3125</v>
      </c>
      <c r="BE448">
        <v>2.75</v>
      </c>
      <c r="BF448">
        <v>35.375</v>
      </c>
      <c r="BG448">
        <v>3.125</v>
      </c>
      <c r="BH448">
        <v>101.78</v>
      </c>
      <c r="BI448">
        <v>6.28</v>
      </c>
      <c r="BJ448">
        <v>19</v>
      </c>
      <c r="BL448">
        <v>496.73</v>
      </c>
      <c r="BM448">
        <v>73</v>
      </c>
      <c r="BN448">
        <v>276.41669999999999</v>
      </c>
      <c r="BO448">
        <v>1358</v>
      </c>
      <c r="BP448">
        <v>0</v>
      </c>
      <c r="BQ448">
        <v>46</v>
      </c>
      <c r="BR448">
        <v>46</v>
      </c>
      <c r="BS448">
        <v>45.73</v>
      </c>
      <c r="BT448">
        <v>0</v>
      </c>
      <c r="BV448">
        <v>0</v>
      </c>
      <c r="BW448" t="s">
        <v>655</v>
      </c>
      <c r="BX448">
        <v>0.17</v>
      </c>
      <c r="BY448">
        <v>7.7740999999999998</v>
      </c>
      <c r="BZ448">
        <v>0</v>
      </c>
      <c r="CA448">
        <v>1</v>
      </c>
      <c r="CB448">
        <v>0.6</v>
      </c>
      <c r="CC448" s="3">
        <v>7.1269159999999998E-2</v>
      </c>
      <c r="CD448">
        <v>2.875</v>
      </c>
      <c r="CE448">
        <v>2.5</v>
      </c>
      <c r="CF448">
        <v>18</v>
      </c>
      <c r="CG448">
        <v>6</v>
      </c>
      <c r="CH448">
        <v>0</v>
      </c>
      <c r="CI448">
        <v>45.73</v>
      </c>
      <c r="CJ448">
        <v>517.79560000000004</v>
      </c>
    </row>
    <row r="449" spans="1:88">
      <c r="A449">
        <v>447</v>
      </c>
      <c r="B449" t="s">
        <v>0</v>
      </c>
      <c r="C449" t="s">
        <v>1</v>
      </c>
      <c r="D449" t="s">
        <v>133</v>
      </c>
      <c r="E449" t="s">
        <v>172</v>
      </c>
      <c r="F449" t="s">
        <v>298</v>
      </c>
      <c r="G449" t="s">
        <v>106</v>
      </c>
      <c r="H449" t="s">
        <v>257</v>
      </c>
      <c r="J449">
        <v>2</v>
      </c>
      <c r="K449" t="s">
        <v>146</v>
      </c>
      <c r="L449" t="s">
        <v>233</v>
      </c>
      <c r="M449" t="s">
        <v>490</v>
      </c>
      <c r="N449" t="s">
        <v>128</v>
      </c>
      <c r="O449">
        <v>137</v>
      </c>
      <c r="Q449">
        <v>509</v>
      </c>
      <c r="R449">
        <v>88</v>
      </c>
      <c r="S449">
        <v>4.25</v>
      </c>
      <c r="T449">
        <v>3.734</v>
      </c>
      <c r="U449">
        <v>6.48</v>
      </c>
      <c r="V449">
        <v>2162.7399999999998</v>
      </c>
      <c r="W449">
        <v>568</v>
      </c>
      <c r="X449">
        <v>1.3332999999999999</v>
      </c>
      <c r="Y449">
        <v>427</v>
      </c>
      <c r="Z449">
        <v>5.0599999999999996</v>
      </c>
      <c r="AJ449">
        <v>2</v>
      </c>
      <c r="AK449">
        <v>18</v>
      </c>
      <c r="AM449">
        <v>0</v>
      </c>
      <c r="AO449" t="s">
        <v>301</v>
      </c>
      <c r="AT449">
        <v>53</v>
      </c>
      <c r="AV449">
        <v>49.1</v>
      </c>
      <c r="AW449">
        <v>0.46875</v>
      </c>
      <c r="AX449">
        <v>3.75</v>
      </c>
      <c r="AY449">
        <v>52</v>
      </c>
      <c r="AZ449">
        <v>4.75</v>
      </c>
      <c r="BA449">
        <v>389.49</v>
      </c>
      <c r="BB449">
        <v>5.0599999999999996</v>
      </c>
      <c r="BC449">
        <v>56</v>
      </c>
      <c r="BD449">
        <v>0.25</v>
      </c>
      <c r="BE449">
        <v>2.75</v>
      </c>
      <c r="BF449">
        <v>30.25</v>
      </c>
      <c r="BG449">
        <v>2.5</v>
      </c>
      <c r="BH449">
        <v>37.92</v>
      </c>
      <c r="BI449">
        <v>9.0500000000000007</v>
      </c>
      <c r="BJ449">
        <v>13</v>
      </c>
      <c r="BL449">
        <v>427.41</v>
      </c>
      <c r="BM449">
        <v>69</v>
      </c>
      <c r="BN449">
        <v>235.40010000000001</v>
      </c>
      <c r="BO449">
        <v>1873</v>
      </c>
      <c r="BP449">
        <v>0</v>
      </c>
      <c r="BQ449">
        <v>47</v>
      </c>
      <c r="BR449">
        <v>47</v>
      </c>
      <c r="BS449">
        <v>46.78</v>
      </c>
      <c r="BT449">
        <v>0</v>
      </c>
      <c r="BV449">
        <v>0</v>
      </c>
      <c r="BW449" t="s">
        <v>655</v>
      </c>
      <c r="BX449">
        <v>0.17</v>
      </c>
      <c r="BY449">
        <v>7.9526000000000003</v>
      </c>
      <c r="BZ449">
        <v>0</v>
      </c>
      <c r="CA449">
        <v>1</v>
      </c>
      <c r="CB449">
        <v>0.6</v>
      </c>
      <c r="CC449" s="3">
        <v>7.1269159999999998E-2</v>
      </c>
      <c r="CD449">
        <v>2.875</v>
      </c>
      <c r="CE449">
        <v>2.5</v>
      </c>
      <c r="CF449">
        <v>18</v>
      </c>
      <c r="CG449">
        <v>6</v>
      </c>
      <c r="CH449">
        <v>0</v>
      </c>
      <c r="CI449">
        <v>46.78</v>
      </c>
      <c r="CJ449">
        <v>451.75310000000002</v>
      </c>
    </row>
    <row r="450" spans="1:88">
      <c r="A450">
        <v>448</v>
      </c>
      <c r="B450" t="s">
        <v>13</v>
      </c>
      <c r="C450" t="s">
        <v>1</v>
      </c>
      <c r="D450" t="s">
        <v>258</v>
      </c>
      <c r="E450" t="s">
        <v>399</v>
      </c>
      <c r="F450" t="s">
        <v>571</v>
      </c>
      <c r="G450" t="s">
        <v>106</v>
      </c>
      <c r="H450" t="s">
        <v>572</v>
      </c>
      <c r="J450">
        <v>2</v>
      </c>
      <c r="K450" t="s">
        <v>108</v>
      </c>
      <c r="L450" t="s">
        <v>172</v>
      </c>
      <c r="M450" t="s">
        <v>463</v>
      </c>
      <c r="N450" t="s">
        <v>229</v>
      </c>
      <c r="O450">
        <v>117</v>
      </c>
      <c r="Q450">
        <v>503</v>
      </c>
      <c r="R450">
        <v>99</v>
      </c>
      <c r="S450">
        <v>4.25</v>
      </c>
      <c r="T450">
        <v>3.2320000000000002</v>
      </c>
      <c r="U450">
        <v>6.26</v>
      </c>
      <c r="V450">
        <v>2135.62</v>
      </c>
      <c r="W450">
        <v>619</v>
      </c>
      <c r="X450">
        <v>1.3332999999999999</v>
      </c>
      <c r="Y450">
        <v>468</v>
      </c>
      <c r="Z450">
        <v>4.5599999999999996</v>
      </c>
      <c r="AJ450">
        <v>2</v>
      </c>
      <c r="AK450">
        <v>18</v>
      </c>
      <c r="AM450">
        <v>0</v>
      </c>
      <c r="AO450" t="s">
        <v>273</v>
      </c>
      <c r="AT450">
        <v>46</v>
      </c>
      <c r="AV450">
        <v>56.2</v>
      </c>
      <c r="AW450">
        <v>0.46875</v>
      </c>
      <c r="AX450">
        <v>3.75</v>
      </c>
      <c r="AY450">
        <v>46.875</v>
      </c>
      <c r="AZ450">
        <v>4.25</v>
      </c>
      <c r="BA450">
        <v>432.19</v>
      </c>
      <c r="BB450">
        <v>4.5599999999999996</v>
      </c>
      <c r="BC450">
        <v>50</v>
      </c>
      <c r="BD450">
        <v>0.25</v>
      </c>
      <c r="BE450">
        <v>2.75</v>
      </c>
      <c r="BF450">
        <v>31.75</v>
      </c>
      <c r="BG450">
        <v>2.25</v>
      </c>
      <c r="BH450">
        <v>36.130000000000003</v>
      </c>
      <c r="BI450">
        <v>9.5</v>
      </c>
      <c r="BJ450">
        <v>14</v>
      </c>
      <c r="BL450">
        <v>468.32</v>
      </c>
      <c r="BM450">
        <v>64</v>
      </c>
      <c r="BN450">
        <v>269.28339999999997</v>
      </c>
      <c r="BO450">
        <v>1431</v>
      </c>
      <c r="BP450">
        <v>0</v>
      </c>
      <c r="BQ450">
        <v>40</v>
      </c>
      <c r="BR450">
        <v>40</v>
      </c>
      <c r="BS450">
        <v>39.82</v>
      </c>
      <c r="BT450">
        <v>0</v>
      </c>
      <c r="BV450">
        <v>0</v>
      </c>
      <c r="BW450" t="s">
        <v>655</v>
      </c>
      <c r="BX450">
        <v>0.17</v>
      </c>
      <c r="BY450">
        <v>6.7694000000000001</v>
      </c>
      <c r="BZ450">
        <v>0</v>
      </c>
      <c r="CA450">
        <v>1</v>
      </c>
      <c r="CB450">
        <v>0.6</v>
      </c>
      <c r="CC450" s="3">
        <v>7.1269159999999998E-2</v>
      </c>
      <c r="CD450">
        <v>2.875</v>
      </c>
      <c r="CE450">
        <v>2.5</v>
      </c>
      <c r="CF450">
        <v>18</v>
      </c>
      <c r="CG450">
        <v>6</v>
      </c>
      <c r="CH450">
        <v>0</v>
      </c>
      <c r="CI450">
        <v>39.82</v>
      </c>
      <c r="CJ450">
        <v>439.5256</v>
      </c>
    </row>
    <row r="451" spans="1:88">
      <c r="A451">
        <v>449</v>
      </c>
      <c r="B451" t="s">
        <v>0</v>
      </c>
      <c r="C451" t="s">
        <v>1</v>
      </c>
      <c r="D451" t="s">
        <v>221</v>
      </c>
      <c r="E451" t="s">
        <v>2</v>
      </c>
      <c r="F451" t="s">
        <v>405</v>
      </c>
      <c r="G451" t="s">
        <v>106</v>
      </c>
      <c r="H451" t="s">
        <v>366</v>
      </c>
      <c r="J451">
        <v>2</v>
      </c>
      <c r="K451" t="s">
        <v>146</v>
      </c>
      <c r="L451" t="s">
        <v>122</v>
      </c>
      <c r="M451" t="s">
        <v>4</v>
      </c>
      <c r="N451" t="s">
        <v>5</v>
      </c>
      <c r="O451">
        <v>107</v>
      </c>
      <c r="Q451">
        <v>291</v>
      </c>
      <c r="R451">
        <v>65</v>
      </c>
      <c r="S451">
        <v>4.25</v>
      </c>
      <c r="T451">
        <v>2.9710000000000001</v>
      </c>
      <c r="U451">
        <v>6.07</v>
      </c>
      <c r="V451">
        <v>1237.26</v>
      </c>
      <c r="W451">
        <v>397</v>
      </c>
      <c r="X451">
        <v>1.3332999999999999</v>
      </c>
      <c r="Y451">
        <v>288</v>
      </c>
      <c r="Z451">
        <v>4.3</v>
      </c>
      <c r="AJ451">
        <v>2</v>
      </c>
      <c r="AK451">
        <v>18</v>
      </c>
      <c r="AM451">
        <v>0</v>
      </c>
      <c r="AO451" t="s">
        <v>370</v>
      </c>
      <c r="AT451">
        <v>42</v>
      </c>
      <c r="AV451">
        <v>35</v>
      </c>
      <c r="AW451">
        <v>0</v>
      </c>
      <c r="AX451">
        <v>0</v>
      </c>
      <c r="AY451">
        <v>33.75</v>
      </c>
      <c r="AZ451">
        <v>3.5</v>
      </c>
      <c r="BA451">
        <v>0</v>
      </c>
      <c r="BB451">
        <v>0</v>
      </c>
      <c r="BC451">
        <v>32</v>
      </c>
      <c r="BN451">
        <v>165.85</v>
      </c>
      <c r="BO451">
        <v>3773</v>
      </c>
      <c r="BP451">
        <v>0</v>
      </c>
      <c r="BQ451">
        <v>36</v>
      </c>
      <c r="BR451">
        <v>36</v>
      </c>
      <c r="BS451">
        <v>36.340000000000003</v>
      </c>
      <c r="BT451">
        <v>0</v>
      </c>
      <c r="BV451">
        <v>0</v>
      </c>
      <c r="BW451" t="s">
        <v>655</v>
      </c>
      <c r="BX451">
        <v>0.17</v>
      </c>
      <c r="BY451">
        <v>6.1778000000000004</v>
      </c>
      <c r="BZ451">
        <v>0</v>
      </c>
      <c r="CA451">
        <v>1</v>
      </c>
      <c r="CB451">
        <v>0.6</v>
      </c>
      <c r="CC451" s="3">
        <v>7.1269159999999998E-2</v>
      </c>
      <c r="CD451">
        <v>2.875</v>
      </c>
      <c r="CE451">
        <v>2.5</v>
      </c>
      <c r="CF451">
        <v>18</v>
      </c>
      <c r="CG451">
        <v>6</v>
      </c>
      <c r="CH451">
        <v>0</v>
      </c>
      <c r="CI451">
        <v>36.340000000000003</v>
      </c>
      <c r="CJ451">
        <v>249.92740000000001</v>
      </c>
    </row>
    <row r="452" spans="1:88">
      <c r="A452">
        <v>450</v>
      </c>
      <c r="B452" t="s">
        <v>0</v>
      </c>
      <c r="C452" t="s">
        <v>1</v>
      </c>
      <c r="D452" t="s">
        <v>195</v>
      </c>
      <c r="E452" t="s">
        <v>172</v>
      </c>
      <c r="F452" t="s">
        <v>435</v>
      </c>
      <c r="G452" t="s">
        <v>106</v>
      </c>
      <c r="H452" t="s">
        <v>363</v>
      </c>
      <c r="J452">
        <v>2</v>
      </c>
      <c r="K452" t="s">
        <v>146</v>
      </c>
      <c r="L452" t="s">
        <v>233</v>
      </c>
      <c r="M452" t="s">
        <v>490</v>
      </c>
      <c r="N452" t="s">
        <v>128</v>
      </c>
      <c r="O452">
        <v>137</v>
      </c>
      <c r="Q452">
        <v>520</v>
      </c>
      <c r="R452">
        <v>89</v>
      </c>
      <c r="S452">
        <v>4.25</v>
      </c>
      <c r="T452">
        <v>3.734</v>
      </c>
      <c r="U452">
        <v>6.48</v>
      </c>
      <c r="V452">
        <v>2209.87</v>
      </c>
      <c r="W452">
        <v>580</v>
      </c>
      <c r="X452">
        <v>1.3332999999999999</v>
      </c>
      <c r="Y452">
        <v>437</v>
      </c>
      <c r="Z452">
        <v>5.0599999999999996</v>
      </c>
      <c r="AJ452">
        <v>2</v>
      </c>
      <c r="AK452">
        <v>18</v>
      </c>
      <c r="AM452">
        <v>0</v>
      </c>
      <c r="AO452" t="s">
        <v>461</v>
      </c>
      <c r="AT452">
        <v>53</v>
      </c>
      <c r="AV452">
        <v>50.2</v>
      </c>
      <c r="AW452">
        <v>0.46875</v>
      </c>
      <c r="AX452">
        <v>3.75</v>
      </c>
      <c r="AY452">
        <v>52</v>
      </c>
      <c r="AZ452">
        <v>4.75</v>
      </c>
      <c r="BA452">
        <v>389.49</v>
      </c>
      <c r="BB452">
        <v>5.0599999999999996</v>
      </c>
      <c r="BC452">
        <v>56</v>
      </c>
      <c r="BD452">
        <v>0.25</v>
      </c>
      <c r="BE452">
        <v>2.75</v>
      </c>
      <c r="BF452">
        <v>24.375</v>
      </c>
      <c r="BG452">
        <v>2.5</v>
      </c>
      <c r="BH452">
        <v>47.24</v>
      </c>
      <c r="BI452">
        <v>7.26</v>
      </c>
      <c r="BJ452">
        <v>11</v>
      </c>
      <c r="BL452">
        <v>436.73</v>
      </c>
      <c r="BM452">
        <v>66</v>
      </c>
      <c r="BN452">
        <v>240.75</v>
      </c>
      <c r="BO452">
        <v>1790</v>
      </c>
      <c r="BP452">
        <v>0</v>
      </c>
      <c r="BQ452">
        <v>47</v>
      </c>
      <c r="BR452">
        <v>47</v>
      </c>
      <c r="BS452">
        <v>46.78</v>
      </c>
      <c r="BT452">
        <v>0</v>
      </c>
      <c r="BV452">
        <v>0</v>
      </c>
      <c r="BW452" t="s">
        <v>655</v>
      </c>
      <c r="BX452">
        <v>0.17</v>
      </c>
      <c r="BY452">
        <v>7.9526000000000003</v>
      </c>
      <c r="BZ452">
        <v>0</v>
      </c>
      <c r="CA452">
        <v>1</v>
      </c>
      <c r="CB452">
        <v>0.6</v>
      </c>
      <c r="CC452" s="3">
        <v>7.1269159999999998E-2</v>
      </c>
      <c r="CD452">
        <v>2.875</v>
      </c>
      <c r="CE452">
        <v>2.5</v>
      </c>
      <c r="CF452">
        <v>18</v>
      </c>
      <c r="CG452">
        <v>6</v>
      </c>
      <c r="CH452">
        <v>0</v>
      </c>
      <c r="CI452">
        <v>46.78</v>
      </c>
      <c r="CJ452">
        <v>461.755</v>
      </c>
    </row>
    <row r="453" spans="1:88">
      <c r="A453">
        <v>451</v>
      </c>
      <c r="B453" t="s">
        <v>13</v>
      </c>
      <c r="C453" t="s">
        <v>1</v>
      </c>
      <c r="D453" t="s">
        <v>185</v>
      </c>
      <c r="E453" t="s">
        <v>181</v>
      </c>
      <c r="F453" t="s">
        <v>211</v>
      </c>
      <c r="G453" t="s">
        <v>106</v>
      </c>
      <c r="H453" t="s">
        <v>293</v>
      </c>
      <c r="J453">
        <v>2</v>
      </c>
      <c r="K453" t="s">
        <v>146</v>
      </c>
      <c r="L453" t="s">
        <v>202</v>
      </c>
      <c r="M453" t="s">
        <v>313</v>
      </c>
      <c r="N453" t="s">
        <v>314</v>
      </c>
      <c r="O453">
        <v>161</v>
      </c>
      <c r="Q453">
        <v>630</v>
      </c>
      <c r="R453">
        <v>93</v>
      </c>
      <c r="S453">
        <v>4.25</v>
      </c>
      <c r="T453">
        <v>4.3070000000000004</v>
      </c>
      <c r="U453">
        <v>6.75</v>
      </c>
      <c r="V453">
        <v>2675.67</v>
      </c>
      <c r="W453">
        <v>627</v>
      </c>
      <c r="X453">
        <v>1.3332999999999999</v>
      </c>
      <c r="Y453">
        <v>474</v>
      </c>
      <c r="Z453">
        <v>5.64</v>
      </c>
      <c r="AJ453">
        <v>2</v>
      </c>
      <c r="AK453">
        <v>18</v>
      </c>
      <c r="AM453">
        <v>0</v>
      </c>
      <c r="AO453" t="s">
        <v>465</v>
      </c>
      <c r="AT453">
        <v>61</v>
      </c>
      <c r="AV453">
        <v>52.4</v>
      </c>
      <c r="AW453">
        <v>0.40625</v>
      </c>
      <c r="AX453">
        <v>3.75</v>
      </c>
      <c r="AY453">
        <v>41</v>
      </c>
      <c r="AZ453">
        <v>4.625</v>
      </c>
      <c r="BA453">
        <v>237.2</v>
      </c>
      <c r="BB453">
        <v>5.58</v>
      </c>
      <c r="BC453">
        <v>39</v>
      </c>
      <c r="BD453">
        <v>0.40625</v>
      </c>
      <c r="BE453">
        <v>3.75</v>
      </c>
      <c r="BF453">
        <v>41</v>
      </c>
      <c r="BG453">
        <v>4.625</v>
      </c>
      <c r="BH453">
        <v>237.2</v>
      </c>
      <c r="BI453">
        <v>5.58</v>
      </c>
      <c r="BJ453">
        <v>39</v>
      </c>
      <c r="BL453">
        <v>474.4</v>
      </c>
      <c r="BM453">
        <v>77</v>
      </c>
      <c r="BN453">
        <v>251.45009999999999</v>
      </c>
      <c r="BO453">
        <v>1641</v>
      </c>
      <c r="BP453">
        <v>0</v>
      </c>
      <c r="BQ453">
        <v>55</v>
      </c>
      <c r="BR453">
        <v>55</v>
      </c>
      <c r="BS453">
        <v>55.13</v>
      </c>
      <c r="BT453">
        <v>0</v>
      </c>
      <c r="BV453">
        <v>0</v>
      </c>
      <c r="BW453" t="s">
        <v>655</v>
      </c>
      <c r="BX453">
        <v>0.17</v>
      </c>
      <c r="BY453">
        <v>9.3720999999999997</v>
      </c>
      <c r="BZ453">
        <v>0</v>
      </c>
      <c r="CA453">
        <v>1</v>
      </c>
      <c r="CB453">
        <v>0.6</v>
      </c>
      <c r="CC453" s="3">
        <v>7.1269159999999998E-2</v>
      </c>
      <c r="CD453">
        <v>2.875</v>
      </c>
      <c r="CE453">
        <v>2.5</v>
      </c>
      <c r="CF453">
        <v>18</v>
      </c>
      <c r="CG453">
        <v>6</v>
      </c>
      <c r="CH453">
        <v>0</v>
      </c>
      <c r="CI453">
        <v>55.13</v>
      </c>
      <c r="CJ453">
        <v>567.75049999999999</v>
      </c>
    </row>
    <row r="454" spans="1:88">
      <c r="A454">
        <v>452</v>
      </c>
      <c r="B454" t="s">
        <v>13</v>
      </c>
      <c r="C454" t="s">
        <v>1</v>
      </c>
      <c r="D454" t="s">
        <v>373</v>
      </c>
      <c r="E454" t="s">
        <v>2</v>
      </c>
      <c r="F454" t="s">
        <v>335</v>
      </c>
      <c r="G454" t="s">
        <v>106</v>
      </c>
      <c r="H454" t="s">
        <v>412</v>
      </c>
      <c r="J454">
        <v>2</v>
      </c>
      <c r="K454" t="s">
        <v>146</v>
      </c>
      <c r="L454" t="s">
        <v>122</v>
      </c>
      <c r="M454" t="s">
        <v>4</v>
      </c>
      <c r="N454" t="s">
        <v>5</v>
      </c>
      <c r="O454">
        <v>107</v>
      </c>
      <c r="Q454">
        <v>205</v>
      </c>
      <c r="R454">
        <v>44</v>
      </c>
      <c r="S454">
        <v>4.25</v>
      </c>
      <c r="T454">
        <v>2.9710000000000001</v>
      </c>
      <c r="U454">
        <v>6.07</v>
      </c>
      <c r="V454">
        <v>873.33</v>
      </c>
      <c r="W454">
        <v>265</v>
      </c>
      <c r="X454">
        <v>1.3332999999999999</v>
      </c>
      <c r="Y454">
        <v>203</v>
      </c>
      <c r="Z454">
        <v>4.3</v>
      </c>
      <c r="AJ454">
        <v>2</v>
      </c>
      <c r="AK454">
        <v>18</v>
      </c>
      <c r="AM454">
        <v>0</v>
      </c>
      <c r="AO454" t="s">
        <v>413</v>
      </c>
      <c r="AT454">
        <v>42</v>
      </c>
      <c r="AV454">
        <v>24.5</v>
      </c>
      <c r="AW454">
        <v>0</v>
      </c>
      <c r="AX454">
        <v>0</v>
      </c>
      <c r="AY454">
        <v>31.875</v>
      </c>
      <c r="AZ454">
        <v>3.25</v>
      </c>
      <c r="BA454">
        <v>0</v>
      </c>
      <c r="BB454">
        <v>0</v>
      </c>
      <c r="BC454">
        <v>28</v>
      </c>
      <c r="BN454">
        <v>114.13339999999999</v>
      </c>
      <c r="BO454">
        <v>7966</v>
      </c>
      <c r="BP454">
        <v>0</v>
      </c>
      <c r="BQ454">
        <v>36</v>
      </c>
      <c r="BR454">
        <v>36</v>
      </c>
      <c r="BS454">
        <v>36.340000000000003</v>
      </c>
      <c r="BT454">
        <v>0</v>
      </c>
      <c r="BV454">
        <v>0</v>
      </c>
      <c r="BW454" t="s">
        <v>655</v>
      </c>
      <c r="BX454">
        <v>0.17</v>
      </c>
      <c r="BY454">
        <v>6.1778000000000004</v>
      </c>
      <c r="BZ454">
        <v>0</v>
      </c>
      <c r="CA454">
        <v>1</v>
      </c>
      <c r="CB454">
        <v>0.6</v>
      </c>
      <c r="CC454" s="3">
        <v>7.1269159999999998E-2</v>
      </c>
      <c r="CD454">
        <v>2.875</v>
      </c>
      <c r="CE454">
        <v>2.5</v>
      </c>
      <c r="CF454">
        <v>18</v>
      </c>
      <c r="CG454">
        <v>6</v>
      </c>
      <c r="CH454">
        <v>0</v>
      </c>
      <c r="CI454">
        <v>36.340000000000003</v>
      </c>
      <c r="CJ454">
        <v>174.81970000000001</v>
      </c>
    </row>
    <row r="455" spans="1:88">
      <c r="A455">
        <v>453</v>
      </c>
      <c r="B455" t="s">
        <v>13</v>
      </c>
      <c r="C455" t="s">
        <v>1</v>
      </c>
      <c r="D455" t="s">
        <v>96</v>
      </c>
      <c r="E455" t="s">
        <v>181</v>
      </c>
      <c r="F455" t="s">
        <v>198</v>
      </c>
      <c r="G455" t="s">
        <v>106</v>
      </c>
      <c r="H455" t="s">
        <v>162</v>
      </c>
      <c r="J455">
        <v>2</v>
      </c>
      <c r="K455" t="s">
        <v>146</v>
      </c>
      <c r="L455" t="s">
        <v>202</v>
      </c>
      <c r="M455" t="s">
        <v>313</v>
      </c>
      <c r="N455" t="s">
        <v>314</v>
      </c>
      <c r="O455">
        <v>161</v>
      </c>
      <c r="Q455">
        <v>539</v>
      </c>
      <c r="R455">
        <v>81</v>
      </c>
      <c r="S455">
        <v>4.25</v>
      </c>
      <c r="T455">
        <v>4.3070000000000004</v>
      </c>
      <c r="U455">
        <v>6.75</v>
      </c>
      <c r="V455">
        <v>2292.5700000000002</v>
      </c>
      <c r="W455">
        <v>546</v>
      </c>
      <c r="X455">
        <v>1.3332999999999999</v>
      </c>
      <c r="Y455">
        <v>406</v>
      </c>
      <c r="Z455">
        <v>5.64</v>
      </c>
      <c r="AJ455">
        <v>2</v>
      </c>
      <c r="AK455">
        <v>18</v>
      </c>
      <c r="AM455">
        <v>0</v>
      </c>
      <c r="AO455" t="s">
        <v>166</v>
      </c>
      <c r="AT455">
        <v>61</v>
      </c>
      <c r="AV455">
        <v>44.8</v>
      </c>
      <c r="AW455">
        <v>0.46875</v>
      </c>
      <c r="AX455">
        <v>3.75</v>
      </c>
      <c r="AY455">
        <v>58</v>
      </c>
      <c r="AZ455">
        <v>5.25</v>
      </c>
      <c r="BA455">
        <v>349.43</v>
      </c>
      <c r="BB455">
        <v>5.64</v>
      </c>
      <c r="BC455">
        <v>62</v>
      </c>
      <c r="BD455">
        <v>0.25</v>
      </c>
      <c r="BE455">
        <v>2.75</v>
      </c>
      <c r="BF455">
        <v>20.125</v>
      </c>
      <c r="BG455">
        <v>2.875</v>
      </c>
      <c r="BH455">
        <v>57.05</v>
      </c>
      <c r="BI455">
        <v>6.01</v>
      </c>
      <c r="BJ455">
        <v>9</v>
      </c>
      <c r="BL455">
        <v>406.48</v>
      </c>
      <c r="BM455">
        <v>71</v>
      </c>
      <c r="BN455">
        <v>214</v>
      </c>
      <c r="BO455">
        <v>2266</v>
      </c>
      <c r="BP455">
        <v>0</v>
      </c>
      <c r="BQ455">
        <v>55</v>
      </c>
      <c r="BR455">
        <v>55</v>
      </c>
      <c r="BS455">
        <v>55.13</v>
      </c>
      <c r="BT455">
        <v>0</v>
      </c>
      <c r="BV455">
        <v>0</v>
      </c>
      <c r="BW455" t="s">
        <v>655</v>
      </c>
      <c r="BX455">
        <v>0.17</v>
      </c>
      <c r="BY455">
        <v>9.3720999999999997</v>
      </c>
      <c r="BZ455">
        <v>0</v>
      </c>
      <c r="CA455">
        <v>1</v>
      </c>
      <c r="CB455">
        <v>0.6</v>
      </c>
      <c r="CC455" s="3">
        <v>7.1269159999999998E-2</v>
      </c>
      <c r="CD455">
        <v>2.875</v>
      </c>
      <c r="CE455">
        <v>2.5</v>
      </c>
      <c r="CF455">
        <v>18</v>
      </c>
      <c r="CG455">
        <v>6</v>
      </c>
      <c r="CH455">
        <v>0</v>
      </c>
      <c r="CI455">
        <v>55.13</v>
      </c>
      <c r="CJ455">
        <v>485.24</v>
      </c>
    </row>
    <row r="456" spans="1:88">
      <c r="A456">
        <v>454</v>
      </c>
      <c r="B456" t="s">
        <v>13</v>
      </c>
      <c r="C456" t="s">
        <v>1</v>
      </c>
      <c r="D456" t="s">
        <v>205</v>
      </c>
      <c r="E456" t="s">
        <v>176</v>
      </c>
      <c r="F456" t="s">
        <v>573</v>
      </c>
      <c r="G456" t="s">
        <v>106</v>
      </c>
      <c r="H456" t="s">
        <v>574</v>
      </c>
      <c r="J456">
        <v>2</v>
      </c>
      <c r="K456" t="s">
        <v>108</v>
      </c>
      <c r="L456" t="s">
        <v>167</v>
      </c>
      <c r="M456" t="s">
        <v>226</v>
      </c>
      <c r="N456" t="s">
        <v>227</v>
      </c>
      <c r="O456">
        <v>113</v>
      </c>
      <c r="Q456">
        <v>555</v>
      </c>
      <c r="R456">
        <v>112</v>
      </c>
      <c r="S456">
        <v>4.25</v>
      </c>
      <c r="T456">
        <v>3.1280000000000001</v>
      </c>
      <c r="U456">
        <v>6.18</v>
      </c>
      <c r="V456">
        <v>2359.4699999999998</v>
      </c>
      <c r="W456">
        <v>690</v>
      </c>
      <c r="X456">
        <v>1.3332999999999999</v>
      </c>
      <c r="Y456">
        <v>529</v>
      </c>
      <c r="Z456">
        <v>4.46</v>
      </c>
      <c r="AJ456">
        <v>2</v>
      </c>
      <c r="AK456">
        <v>18</v>
      </c>
      <c r="AM456">
        <v>0</v>
      </c>
      <c r="AO456" t="s">
        <v>192</v>
      </c>
      <c r="AT456">
        <v>45</v>
      </c>
      <c r="AV456">
        <v>64.2</v>
      </c>
      <c r="AW456">
        <v>0.40625</v>
      </c>
      <c r="AX456">
        <v>3.75</v>
      </c>
      <c r="AY456">
        <v>33.375</v>
      </c>
      <c r="AZ456">
        <v>3.625</v>
      </c>
      <c r="BA456">
        <v>290.95999999999998</v>
      </c>
      <c r="BB456">
        <v>4.55</v>
      </c>
      <c r="BC456">
        <v>32</v>
      </c>
      <c r="BD456">
        <v>0.375</v>
      </c>
      <c r="BE456">
        <v>3.75</v>
      </c>
      <c r="BF456">
        <v>27.125</v>
      </c>
      <c r="BG456">
        <v>3.375</v>
      </c>
      <c r="BH456">
        <v>238.06</v>
      </c>
      <c r="BI456">
        <v>4.5199999999999996</v>
      </c>
      <c r="BJ456">
        <v>24</v>
      </c>
      <c r="BL456">
        <v>529.02</v>
      </c>
      <c r="BM456">
        <v>55</v>
      </c>
      <c r="BN456">
        <v>308.51670000000001</v>
      </c>
      <c r="BO456">
        <v>1090</v>
      </c>
      <c r="BP456">
        <v>0</v>
      </c>
      <c r="BQ456">
        <v>38</v>
      </c>
      <c r="BR456">
        <v>38</v>
      </c>
      <c r="BS456">
        <v>38.43</v>
      </c>
      <c r="BT456">
        <v>0</v>
      </c>
      <c r="BV456">
        <v>0</v>
      </c>
      <c r="BW456" t="s">
        <v>655</v>
      </c>
      <c r="BX456">
        <v>0.17</v>
      </c>
      <c r="BY456">
        <v>6.5331000000000001</v>
      </c>
      <c r="BZ456">
        <v>0</v>
      </c>
      <c r="CA456">
        <v>1</v>
      </c>
      <c r="CB456">
        <v>0.6</v>
      </c>
      <c r="CC456" s="3">
        <v>7.1269159999999998E-2</v>
      </c>
      <c r="CD456">
        <v>2.875</v>
      </c>
      <c r="CE456">
        <v>2.5</v>
      </c>
      <c r="CF456">
        <v>18</v>
      </c>
      <c r="CG456">
        <v>6</v>
      </c>
      <c r="CH456">
        <v>0</v>
      </c>
      <c r="CI456">
        <v>38.43</v>
      </c>
      <c r="CJ456">
        <v>484.43830000000003</v>
      </c>
    </row>
    <row r="457" spans="1:88">
      <c r="A457">
        <v>455</v>
      </c>
      <c r="B457" t="s">
        <v>0</v>
      </c>
      <c r="C457" t="s">
        <v>1</v>
      </c>
      <c r="D457" t="s">
        <v>122</v>
      </c>
      <c r="E457" t="s">
        <v>96</v>
      </c>
      <c r="F457" t="s">
        <v>286</v>
      </c>
      <c r="G457" t="s">
        <v>106</v>
      </c>
      <c r="H457" t="s">
        <v>153</v>
      </c>
      <c r="J457">
        <v>2</v>
      </c>
      <c r="K457" t="s">
        <v>146</v>
      </c>
      <c r="L457" t="s">
        <v>293</v>
      </c>
      <c r="M457" t="s">
        <v>100</v>
      </c>
      <c r="N457" t="s">
        <v>101</v>
      </c>
      <c r="O457">
        <v>131</v>
      </c>
      <c r="Q457">
        <v>432</v>
      </c>
      <c r="R457">
        <v>79</v>
      </c>
      <c r="S457">
        <v>4.25</v>
      </c>
      <c r="T457">
        <v>3.5859999999999999</v>
      </c>
      <c r="U457">
        <v>6.37</v>
      </c>
      <c r="V457">
        <v>1834.17</v>
      </c>
      <c r="W457">
        <v>500</v>
      </c>
      <c r="X457">
        <v>1.3332999999999999</v>
      </c>
      <c r="Y457">
        <v>374</v>
      </c>
      <c r="Z457">
        <v>4.91</v>
      </c>
      <c r="AJ457">
        <v>2</v>
      </c>
      <c r="AK457">
        <v>18</v>
      </c>
      <c r="AM457">
        <v>0</v>
      </c>
      <c r="AO457" t="s">
        <v>306</v>
      </c>
      <c r="AT457">
        <v>51</v>
      </c>
      <c r="AV457">
        <v>43.3</v>
      </c>
      <c r="AW457">
        <v>0</v>
      </c>
      <c r="AX457">
        <v>0</v>
      </c>
      <c r="AY457">
        <v>54.25</v>
      </c>
      <c r="AZ457">
        <v>4.625</v>
      </c>
      <c r="BA457">
        <v>0</v>
      </c>
      <c r="BB457">
        <v>0</v>
      </c>
      <c r="BC457">
        <v>58</v>
      </c>
      <c r="BN457">
        <v>206.86670000000001</v>
      </c>
      <c r="BO457">
        <v>2425</v>
      </c>
      <c r="BP457">
        <v>0</v>
      </c>
      <c r="BQ457">
        <v>45</v>
      </c>
      <c r="BR457">
        <v>45</v>
      </c>
      <c r="BS457">
        <v>44.69</v>
      </c>
      <c r="BT457">
        <v>0</v>
      </c>
      <c r="BV457">
        <v>0</v>
      </c>
      <c r="BW457" t="s">
        <v>655</v>
      </c>
      <c r="BX457">
        <v>0.17</v>
      </c>
      <c r="BY457">
        <v>7.5972999999999997</v>
      </c>
      <c r="BZ457">
        <v>0</v>
      </c>
      <c r="CA457">
        <v>1</v>
      </c>
      <c r="CB457">
        <v>0.6</v>
      </c>
      <c r="CC457" s="3">
        <v>7.1269159999999998E-2</v>
      </c>
      <c r="CD457">
        <v>2.875</v>
      </c>
      <c r="CE457">
        <v>2.5</v>
      </c>
      <c r="CF457">
        <v>18</v>
      </c>
      <c r="CG457">
        <v>6</v>
      </c>
      <c r="CH457">
        <v>0</v>
      </c>
      <c r="CI457">
        <v>44.69</v>
      </c>
      <c r="CJ457">
        <v>380.60969999999998</v>
      </c>
    </row>
    <row r="458" spans="1:88">
      <c r="A458">
        <v>456</v>
      </c>
      <c r="B458" t="s">
        <v>0</v>
      </c>
      <c r="C458" t="s">
        <v>1</v>
      </c>
      <c r="D458" t="s">
        <v>162</v>
      </c>
      <c r="E458" t="s">
        <v>2</v>
      </c>
      <c r="F458" t="s">
        <v>100</v>
      </c>
      <c r="G458" t="s">
        <v>106</v>
      </c>
      <c r="H458" t="s">
        <v>158</v>
      </c>
      <c r="J458">
        <v>2</v>
      </c>
      <c r="K458" t="s">
        <v>146</v>
      </c>
      <c r="L458" t="s">
        <v>122</v>
      </c>
      <c r="M458" t="s">
        <v>4</v>
      </c>
      <c r="N458" t="s">
        <v>5</v>
      </c>
      <c r="O458">
        <v>107</v>
      </c>
      <c r="Q458">
        <v>368</v>
      </c>
      <c r="R458">
        <v>80</v>
      </c>
      <c r="S458">
        <v>4.25</v>
      </c>
      <c r="T458">
        <v>2.9710000000000001</v>
      </c>
      <c r="U458">
        <v>6.07</v>
      </c>
      <c r="V458">
        <v>1563.57</v>
      </c>
      <c r="W458">
        <v>487</v>
      </c>
      <c r="X458">
        <v>1.3332999999999999</v>
      </c>
      <c r="Y458">
        <v>364</v>
      </c>
      <c r="Z458">
        <v>4.3</v>
      </c>
      <c r="AJ458">
        <v>2</v>
      </c>
      <c r="AK458">
        <v>18</v>
      </c>
      <c r="AM458">
        <v>0</v>
      </c>
      <c r="AO458" t="s">
        <v>121</v>
      </c>
      <c r="AT458">
        <v>42</v>
      </c>
      <c r="AV458">
        <v>44.4</v>
      </c>
      <c r="AW458">
        <v>0</v>
      </c>
      <c r="AX458">
        <v>0</v>
      </c>
      <c r="AY458">
        <v>39.125</v>
      </c>
      <c r="AZ458">
        <v>3.75</v>
      </c>
      <c r="BA458">
        <v>0</v>
      </c>
      <c r="BB458">
        <v>0</v>
      </c>
      <c r="BC458">
        <v>40</v>
      </c>
      <c r="BN458">
        <v>212.2167</v>
      </c>
      <c r="BO458">
        <v>2304</v>
      </c>
      <c r="BP458">
        <v>0</v>
      </c>
      <c r="BQ458">
        <v>36</v>
      </c>
      <c r="BR458">
        <v>36</v>
      </c>
      <c r="BS458">
        <v>36.340000000000003</v>
      </c>
      <c r="BT458">
        <v>0</v>
      </c>
      <c r="BV458">
        <v>0</v>
      </c>
      <c r="BW458" t="s">
        <v>655</v>
      </c>
      <c r="BX458">
        <v>0.17</v>
      </c>
      <c r="BY458">
        <v>6.1778000000000004</v>
      </c>
      <c r="BZ458">
        <v>0</v>
      </c>
      <c r="CA458">
        <v>1</v>
      </c>
      <c r="CB458">
        <v>0.6</v>
      </c>
      <c r="CC458" s="3">
        <v>7.1269159999999998E-2</v>
      </c>
      <c r="CD458">
        <v>2.875</v>
      </c>
      <c r="CE458">
        <v>2.5</v>
      </c>
      <c r="CF458">
        <v>18</v>
      </c>
      <c r="CG458">
        <v>6</v>
      </c>
      <c r="CH458">
        <v>0</v>
      </c>
      <c r="CI458">
        <v>36.340000000000003</v>
      </c>
      <c r="CJ458">
        <v>317.26530000000002</v>
      </c>
    </row>
    <row r="459" spans="1:88">
      <c r="A459">
        <v>457</v>
      </c>
      <c r="B459" t="s">
        <v>13</v>
      </c>
      <c r="C459" t="s">
        <v>1</v>
      </c>
      <c r="D459" t="s">
        <v>143</v>
      </c>
      <c r="E459" t="s">
        <v>338</v>
      </c>
      <c r="F459" t="s">
        <v>144</v>
      </c>
      <c r="G459" t="s">
        <v>106</v>
      </c>
      <c r="H459" t="s">
        <v>145</v>
      </c>
      <c r="J459">
        <v>2</v>
      </c>
      <c r="K459" t="s">
        <v>146</v>
      </c>
      <c r="L459" t="s">
        <v>143</v>
      </c>
      <c r="M459" t="s">
        <v>339</v>
      </c>
      <c r="N459" t="s">
        <v>340</v>
      </c>
      <c r="O459">
        <v>135</v>
      </c>
      <c r="Q459">
        <v>546</v>
      </c>
      <c r="R459">
        <v>95</v>
      </c>
      <c r="S459">
        <v>4.25</v>
      </c>
      <c r="T459">
        <v>3.6850000000000001</v>
      </c>
      <c r="U459">
        <v>6.45</v>
      </c>
      <c r="V459">
        <v>2319.52</v>
      </c>
      <c r="W459">
        <v>610</v>
      </c>
      <c r="X459">
        <v>1.3332999999999999</v>
      </c>
      <c r="Y459">
        <v>463</v>
      </c>
      <c r="Z459">
        <v>5.01</v>
      </c>
      <c r="AJ459">
        <v>2</v>
      </c>
      <c r="AK459">
        <v>18</v>
      </c>
      <c r="AM459">
        <v>0</v>
      </c>
      <c r="AO459" t="s">
        <v>149</v>
      </c>
      <c r="AT459">
        <v>52</v>
      </c>
      <c r="AV459">
        <v>53.5</v>
      </c>
      <c r="AW459">
        <v>0.40625</v>
      </c>
      <c r="AX459">
        <v>3.75</v>
      </c>
      <c r="AY459">
        <v>38.25</v>
      </c>
      <c r="AZ459">
        <v>4.125</v>
      </c>
      <c r="BA459">
        <v>254.63</v>
      </c>
      <c r="BB459">
        <v>5.2</v>
      </c>
      <c r="BC459">
        <v>36</v>
      </c>
      <c r="BD459">
        <v>0.375</v>
      </c>
      <c r="BE459">
        <v>3.75</v>
      </c>
      <c r="BF459">
        <v>31</v>
      </c>
      <c r="BG459">
        <v>3.75</v>
      </c>
      <c r="BH459">
        <v>208.33</v>
      </c>
      <c r="BI459">
        <v>5.17</v>
      </c>
      <c r="BJ459">
        <v>27</v>
      </c>
      <c r="BL459">
        <v>462.96</v>
      </c>
      <c r="BM459">
        <v>63</v>
      </c>
      <c r="BN459">
        <v>256.80009999999999</v>
      </c>
      <c r="BO459">
        <v>1574</v>
      </c>
      <c r="BP459">
        <v>0</v>
      </c>
      <c r="BQ459">
        <v>46</v>
      </c>
      <c r="BR459">
        <v>46</v>
      </c>
      <c r="BS459">
        <v>46.08</v>
      </c>
      <c r="BT459">
        <v>0</v>
      </c>
      <c r="BV459">
        <v>0</v>
      </c>
      <c r="BW459" t="s">
        <v>655</v>
      </c>
      <c r="BX459">
        <v>0.17</v>
      </c>
      <c r="BY459">
        <v>7.8336009999999998</v>
      </c>
      <c r="BZ459">
        <v>0</v>
      </c>
      <c r="CA459">
        <v>1</v>
      </c>
      <c r="CB459">
        <v>0.6</v>
      </c>
      <c r="CC459" s="3">
        <v>7.1269159999999998E-2</v>
      </c>
      <c r="CD459">
        <v>2.875</v>
      </c>
      <c r="CE459">
        <v>2.5</v>
      </c>
      <c r="CF459">
        <v>18</v>
      </c>
      <c r="CG459">
        <v>6</v>
      </c>
      <c r="CH459">
        <v>0</v>
      </c>
      <c r="CI459">
        <v>46.08</v>
      </c>
      <c r="CJ459">
        <v>484.40219999999999</v>
      </c>
    </row>
    <row r="460" spans="1:88">
      <c r="A460">
        <v>458</v>
      </c>
      <c r="B460" t="s">
        <v>0</v>
      </c>
      <c r="C460" t="s">
        <v>1</v>
      </c>
      <c r="D460" t="s">
        <v>217</v>
      </c>
      <c r="E460" t="s">
        <v>139</v>
      </c>
      <c r="F460" t="s">
        <v>4</v>
      </c>
      <c r="G460" t="s">
        <v>106</v>
      </c>
      <c r="H460" t="s">
        <v>231</v>
      </c>
      <c r="J460">
        <v>2</v>
      </c>
      <c r="K460" t="s">
        <v>146</v>
      </c>
      <c r="L460" t="s">
        <v>158</v>
      </c>
      <c r="M460" t="s">
        <v>385</v>
      </c>
      <c r="N460" t="s">
        <v>177</v>
      </c>
      <c r="O460">
        <v>109</v>
      </c>
      <c r="Q460">
        <v>302</v>
      </c>
      <c r="R460">
        <v>67</v>
      </c>
      <c r="S460">
        <v>4.25</v>
      </c>
      <c r="T460">
        <v>3.024</v>
      </c>
      <c r="U460">
        <v>6.11</v>
      </c>
      <c r="V460">
        <v>1283.75</v>
      </c>
      <c r="W460">
        <v>406</v>
      </c>
      <c r="X460">
        <v>1.3332999999999999</v>
      </c>
      <c r="Y460">
        <v>295</v>
      </c>
      <c r="Z460">
        <v>4.3499999999999996</v>
      </c>
      <c r="AJ460">
        <v>2</v>
      </c>
      <c r="AK460">
        <v>18</v>
      </c>
      <c r="AM460">
        <v>0</v>
      </c>
      <c r="AO460" t="s">
        <v>405</v>
      </c>
      <c r="AT460">
        <v>43</v>
      </c>
      <c r="AV460">
        <v>35.700000000000003</v>
      </c>
      <c r="AW460">
        <v>0</v>
      </c>
      <c r="AX460">
        <v>0</v>
      </c>
      <c r="AY460">
        <v>33</v>
      </c>
      <c r="AZ460">
        <v>3.5</v>
      </c>
      <c r="BA460">
        <v>0</v>
      </c>
      <c r="BB460">
        <v>0</v>
      </c>
      <c r="BC460">
        <v>31</v>
      </c>
      <c r="BN460">
        <v>169.41669999999999</v>
      </c>
      <c r="BO460">
        <v>3615</v>
      </c>
      <c r="BP460">
        <v>0</v>
      </c>
      <c r="BQ460">
        <v>37</v>
      </c>
      <c r="BR460">
        <v>37</v>
      </c>
      <c r="BS460">
        <v>37.04</v>
      </c>
      <c r="BT460">
        <v>0</v>
      </c>
      <c r="BV460">
        <v>0</v>
      </c>
      <c r="BW460" t="s">
        <v>655</v>
      </c>
      <c r="BX460">
        <v>0.17</v>
      </c>
      <c r="BY460">
        <v>6.2968000000000002</v>
      </c>
      <c r="BZ460">
        <v>0</v>
      </c>
      <c r="CA460">
        <v>1</v>
      </c>
      <c r="CB460">
        <v>0.6</v>
      </c>
      <c r="CC460" s="3">
        <v>7.1269159999999998E-2</v>
      </c>
      <c r="CD460">
        <v>2.875</v>
      </c>
      <c r="CE460">
        <v>2.5</v>
      </c>
      <c r="CF460">
        <v>18</v>
      </c>
      <c r="CG460">
        <v>6</v>
      </c>
      <c r="CH460">
        <v>0</v>
      </c>
      <c r="CI460">
        <v>37.04</v>
      </c>
      <c r="CJ460">
        <v>260.0213</v>
      </c>
    </row>
    <row r="461" spans="1:88">
      <c r="A461">
        <v>459</v>
      </c>
      <c r="B461" t="s">
        <v>0</v>
      </c>
      <c r="C461" t="s">
        <v>1</v>
      </c>
      <c r="D461" t="s">
        <v>280</v>
      </c>
      <c r="E461" t="s">
        <v>169</v>
      </c>
      <c r="F461" t="s">
        <v>102</v>
      </c>
      <c r="G461" t="s">
        <v>15</v>
      </c>
      <c r="H461" t="s">
        <v>423</v>
      </c>
      <c r="J461">
        <v>2</v>
      </c>
      <c r="K461" t="s">
        <v>108</v>
      </c>
      <c r="L461" t="s">
        <v>381</v>
      </c>
      <c r="M461" t="s">
        <v>173</v>
      </c>
      <c r="N461" t="s">
        <v>174</v>
      </c>
      <c r="O461">
        <v>119</v>
      </c>
      <c r="Q461">
        <v>722</v>
      </c>
      <c r="R461">
        <v>139</v>
      </c>
      <c r="S461">
        <v>4.25</v>
      </c>
      <c r="T461">
        <v>3.2829999999999999</v>
      </c>
      <c r="U461">
        <v>6.15</v>
      </c>
      <c r="V461">
        <v>3067.01</v>
      </c>
      <c r="W461">
        <v>853</v>
      </c>
      <c r="X461">
        <v>1.3332999999999999</v>
      </c>
      <c r="Y461">
        <v>665</v>
      </c>
      <c r="Z461">
        <v>4.6100000000000003</v>
      </c>
      <c r="AJ461">
        <v>2</v>
      </c>
      <c r="AK461">
        <v>18</v>
      </c>
      <c r="AM461">
        <v>0</v>
      </c>
      <c r="AO461" t="s">
        <v>424</v>
      </c>
      <c r="AT461">
        <v>47</v>
      </c>
      <c r="AV461">
        <v>79.8</v>
      </c>
      <c r="AW461" t="s">
        <v>6</v>
      </c>
      <c r="AX461" t="s">
        <v>6</v>
      </c>
      <c r="AY461" t="s">
        <v>6</v>
      </c>
      <c r="AZ461" t="s">
        <v>6</v>
      </c>
      <c r="BA461" t="s">
        <v>6</v>
      </c>
      <c r="BB461" t="s">
        <v>6</v>
      </c>
      <c r="BC461" t="s">
        <v>6</v>
      </c>
      <c r="BD461" t="s">
        <v>6</v>
      </c>
      <c r="BE461" t="s">
        <v>6</v>
      </c>
      <c r="BF461" t="s">
        <v>6</v>
      </c>
      <c r="BG461" t="s">
        <v>6</v>
      </c>
      <c r="BH461" t="s">
        <v>6</v>
      </c>
      <c r="BI461" t="s">
        <v>6</v>
      </c>
      <c r="BJ461" t="s">
        <v>6</v>
      </c>
      <c r="BN461">
        <v>681.92830000000004</v>
      </c>
      <c r="BO461">
        <v>2352</v>
      </c>
      <c r="BP461">
        <v>0</v>
      </c>
      <c r="BQ461">
        <v>41</v>
      </c>
      <c r="BR461">
        <v>41</v>
      </c>
      <c r="BS461">
        <v>40.520000000000003</v>
      </c>
      <c r="BT461">
        <v>0</v>
      </c>
      <c r="BV461">
        <v>0</v>
      </c>
      <c r="BW461" t="s">
        <v>655</v>
      </c>
      <c r="BX461">
        <v>0.17</v>
      </c>
      <c r="BY461">
        <v>6.8883999999999999</v>
      </c>
      <c r="BZ461">
        <v>0</v>
      </c>
      <c r="CA461">
        <v>1</v>
      </c>
      <c r="CB461">
        <v>0.6</v>
      </c>
      <c r="CC461" s="3">
        <v>7.1269159999999998E-2</v>
      </c>
      <c r="CD461">
        <v>2.875</v>
      </c>
      <c r="CE461">
        <v>2.5</v>
      </c>
      <c r="CF461">
        <v>18</v>
      </c>
      <c r="CG461">
        <v>6</v>
      </c>
      <c r="CH461">
        <v>0</v>
      </c>
      <c r="CI461">
        <v>40.520000000000003</v>
      </c>
      <c r="CJ461">
        <v>634.96079999999995</v>
      </c>
    </row>
    <row r="462" spans="1:88">
      <c r="A462">
        <v>460</v>
      </c>
      <c r="B462" t="s">
        <v>0</v>
      </c>
      <c r="C462" t="s">
        <v>1</v>
      </c>
      <c r="D462" t="s">
        <v>201</v>
      </c>
      <c r="E462" t="s">
        <v>113</v>
      </c>
      <c r="F462" t="s">
        <v>486</v>
      </c>
      <c r="G462" t="s">
        <v>106</v>
      </c>
      <c r="H462" t="s">
        <v>575</v>
      </c>
      <c r="J462">
        <v>2</v>
      </c>
      <c r="K462" t="s">
        <v>108</v>
      </c>
      <c r="L462" t="s">
        <v>116</v>
      </c>
      <c r="M462" t="s">
        <v>117</v>
      </c>
      <c r="N462" t="s">
        <v>14</v>
      </c>
      <c r="O462">
        <v>179</v>
      </c>
      <c r="Q462">
        <v>811</v>
      </c>
      <c r="R462">
        <v>107</v>
      </c>
      <c r="S462">
        <v>4.25</v>
      </c>
      <c r="T462">
        <v>4.7190000000000003</v>
      </c>
      <c r="U462">
        <v>7.05</v>
      </c>
      <c r="V462">
        <v>3445.04</v>
      </c>
      <c r="W462">
        <v>754</v>
      </c>
      <c r="X462">
        <v>1.3332999999999999</v>
      </c>
      <c r="Y462">
        <v>569</v>
      </c>
      <c r="Z462">
        <v>6.05</v>
      </c>
      <c r="AJ462">
        <v>2</v>
      </c>
      <c r="AK462">
        <v>18</v>
      </c>
      <c r="AM462">
        <v>0</v>
      </c>
      <c r="AO462" t="s">
        <v>576</v>
      </c>
      <c r="AT462">
        <v>68</v>
      </c>
      <c r="AV462">
        <v>61.3</v>
      </c>
      <c r="AW462">
        <v>0.46875</v>
      </c>
      <c r="AX462">
        <v>3.75</v>
      </c>
      <c r="AY462">
        <v>64.75</v>
      </c>
      <c r="AZ462">
        <v>5.625</v>
      </c>
      <c r="BA462">
        <v>313.18</v>
      </c>
      <c r="BB462">
        <v>6.29</v>
      </c>
      <c r="BC462">
        <v>70</v>
      </c>
      <c r="BD462">
        <v>0.4375</v>
      </c>
      <c r="BE462">
        <v>3.75</v>
      </c>
      <c r="BF462">
        <v>55.5</v>
      </c>
      <c r="BG462">
        <v>5.25</v>
      </c>
      <c r="BH462">
        <v>256.24</v>
      </c>
      <c r="BI462">
        <v>6.42</v>
      </c>
      <c r="BJ462">
        <v>56</v>
      </c>
      <c r="BL462">
        <v>569.41999999999996</v>
      </c>
      <c r="BM462">
        <v>125</v>
      </c>
      <c r="BN462">
        <v>294.25009999999997</v>
      </c>
      <c r="BO462">
        <v>1198</v>
      </c>
      <c r="BP462">
        <v>0</v>
      </c>
      <c r="BQ462">
        <v>61</v>
      </c>
      <c r="BR462">
        <v>61</v>
      </c>
      <c r="BS462">
        <v>61.39</v>
      </c>
      <c r="BT462">
        <v>0</v>
      </c>
      <c r="BV462">
        <v>0</v>
      </c>
      <c r="BW462" t="s">
        <v>655</v>
      </c>
      <c r="BX462">
        <v>0.17</v>
      </c>
      <c r="BY462">
        <v>10.436299999999999</v>
      </c>
      <c r="BZ462">
        <v>0</v>
      </c>
      <c r="CA462">
        <v>1</v>
      </c>
      <c r="CB462">
        <v>0.6</v>
      </c>
      <c r="CC462" s="3">
        <v>7.1269159999999998E-2</v>
      </c>
      <c r="CD462">
        <v>2.875</v>
      </c>
      <c r="CE462">
        <v>2.5</v>
      </c>
      <c r="CF462">
        <v>18</v>
      </c>
      <c r="CG462">
        <v>6</v>
      </c>
      <c r="CH462">
        <v>0</v>
      </c>
      <c r="CI462">
        <v>61.39</v>
      </c>
      <c r="CJ462">
        <v>738.86410000000001</v>
      </c>
    </row>
    <row r="463" spans="1:88">
      <c r="A463">
        <v>461</v>
      </c>
      <c r="B463" t="s">
        <v>0</v>
      </c>
      <c r="C463" t="s">
        <v>1</v>
      </c>
      <c r="D463" t="s">
        <v>96</v>
      </c>
      <c r="E463" t="s">
        <v>167</v>
      </c>
      <c r="F463" t="s">
        <v>198</v>
      </c>
      <c r="G463" t="s">
        <v>106</v>
      </c>
      <c r="H463" t="s">
        <v>162</v>
      </c>
      <c r="J463">
        <v>2</v>
      </c>
      <c r="K463" t="s">
        <v>146</v>
      </c>
      <c r="L463" t="s">
        <v>207</v>
      </c>
      <c r="M463" t="s">
        <v>327</v>
      </c>
      <c r="N463" t="s">
        <v>330</v>
      </c>
      <c r="O463">
        <v>133</v>
      </c>
      <c r="Q463">
        <v>452</v>
      </c>
      <c r="R463">
        <v>81</v>
      </c>
      <c r="S463">
        <v>4.25</v>
      </c>
      <c r="T463">
        <v>3.6349999999999998</v>
      </c>
      <c r="U463">
        <v>6.41</v>
      </c>
      <c r="V463">
        <v>1921.17</v>
      </c>
      <c r="W463">
        <v>518</v>
      </c>
      <c r="X463">
        <v>1.3332999999999999</v>
      </c>
      <c r="Y463">
        <v>387</v>
      </c>
      <c r="Z463">
        <v>4.96</v>
      </c>
      <c r="AJ463">
        <v>2</v>
      </c>
      <c r="AK463">
        <v>18</v>
      </c>
      <c r="AM463">
        <v>0</v>
      </c>
      <c r="AO463" t="s">
        <v>166</v>
      </c>
      <c r="AT463">
        <v>52</v>
      </c>
      <c r="AV463">
        <v>44.8</v>
      </c>
      <c r="AW463">
        <v>0</v>
      </c>
      <c r="AX463">
        <v>0</v>
      </c>
      <c r="AY463">
        <v>52.375</v>
      </c>
      <c r="AZ463">
        <v>4.625</v>
      </c>
      <c r="BA463">
        <v>0</v>
      </c>
      <c r="BB463">
        <v>0</v>
      </c>
      <c r="BC463">
        <v>56</v>
      </c>
      <c r="BN463">
        <v>214</v>
      </c>
      <c r="BO463">
        <v>2266</v>
      </c>
      <c r="BP463">
        <v>0</v>
      </c>
      <c r="BQ463">
        <v>45</v>
      </c>
      <c r="BR463">
        <v>45</v>
      </c>
      <c r="BS463">
        <v>45.39</v>
      </c>
      <c r="BT463">
        <v>0</v>
      </c>
      <c r="BV463">
        <v>0</v>
      </c>
      <c r="BW463" t="s">
        <v>655</v>
      </c>
      <c r="BX463">
        <v>0.17</v>
      </c>
      <c r="BY463">
        <v>7.7163000000000004</v>
      </c>
      <c r="BZ463">
        <v>0</v>
      </c>
      <c r="CA463">
        <v>1</v>
      </c>
      <c r="CB463">
        <v>0.6</v>
      </c>
      <c r="CC463" s="3">
        <v>7.1269159999999998E-2</v>
      </c>
      <c r="CD463">
        <v>2.875</v>
      </c>
      <c r="CE463">
        <v>2.5</v>
      </c>
      <c r="CF463">
        <v>18</v>
      </c>
      <c r="CG463">
        <v>6</v>
      </c>
      <c r="CH463">
        <v>0</v>
      </c>
      <c r="CI463">
        <v>45.39</v>
      </c>
      <c r="CJ463">
        <v>399.51100000000002</v>
      </c>
    </row>
    <row r="464" spans="1:88">
      <c r="A464">
        <v>462</v>
      </c>
      <c r="B464" t="s">
        <v>13</v>
      </c>
      <c r="C464" t="s">
        <v>1</v>
      </c>
      <c r="D464" t="s">
        <v>255</v>
      </c>
      <c r="E464" t="s">
        <v>169</v>
      </c>
      <c r="F464" t="s">
        <v>196</v>
      </c>
      <c r="G464" t="s">
        <v>106</v>
      </c>
      <c r="H464" t="s">
        <v>410</v>
      </c>
      <c r="J464">
        <v>2</v>
      </c>
      <c r="K464" t="s">
        <v>108</v>
      </c>
      <c r="L464" t="s">
        <v>381</v>
      </c>
      <c r="M464" t="s">
        <v>173</v>
      </c>
      <c r="N464" t="s">
        <v>174</v>
      </c>
      <c r="O464">
        <v>119</v>
      </c>
      <c r="Q464">
        <v>569</v>
      </c>
      <c r="R464">
        <v>109</v>
      </c>
      <c r="S464">
        <v>4.25</v>
      </c>
      <c r="T464">
        <v>3.2829999999999999</v>
      </c>
      <c r="U464">
        <v>6.15</v>
      </c>
      <c r="V464">
        <v>2417.69</v>
      </c>
      <c r="W464">
        <v>671</v>
      </c>
      <c r="X464">
        <v>1.3332999999999999</v>
      </c>
      <c r="Y464">
        <v>524</v>
      </c>
      <c r="Z464">
        <v>4.6100000000000003</v>
      </c>
      <c r="AJ464">
        <v>2</v>
      </c>
      <c r="AK464">
        <v>18</v>
      </c>
      <c r="AM464">
        <v>0</v>
      </c>
      <c r="AO464" t="s">
        <v>411</v>
      </c>
      <c r="AT464">
        <v>47</v>
      </c>
      <c r="AV464">
        <v>62.7</v>
      </c>
      <c r="AW464">
        <v>0.46875</v>
      </c>
      <c r="AX464">
        <v>3.75</v>
      </c>
      <c r="AY464">
        <v>47.375</v>
      </c>
      <c r="AZ464">
        <v>4.375</v>
      </c>
      <c r="BA464">
        <v>427.51</v>
      </c>
      <c r="BB464">
        <v>4.6100000000000003</v>
      </c>
      <c r="BC464">
        <v>51</v>
      </c>
      <c r="BD464">
        <v>0.3125</v>
      </c>
      <c r="BE464">
        <v>2.75</v>
      </c>
      <c r="BF464">
        <v>37.125</v>
      </c>
      <c r="BG464">
        <v>2.875</v>
      </c>
      <c r="BH464">
        <v>96.92</v>
      </c>
      <c r="BI464">
        <v>6.59</v>
      </c>
      <c r="BJ464">
        <v>20</v>
      </c>
      <c r="BL464">
        <v>524.42999999999995</v>
      </c>
      <c r="BM464">
        <v>70</v>
      </c>
      <c r="BN464">
        <v>301.38339999999999</v>
      </c>
      <c r="BO464">
        <v>1142</v>
      </c>
      <c r="BP464">
        <v>0</v>
      </c>
      <c r="BQ464">
        <v>41</v>
      </c>
      <c r="BR464">
        <v>41</v>
      </c>
      <c r="BS464">
        <v>40.520000000000003</v>
      </c>
      <c r="BT464">
        <v>0</v>
      </c>
      <c r="BV464">
        <v>0</v>
      </c>
      <c r="BW464" t="s">
        <v>655</v>
      </c>
      <c r="BX464">
        <v>0.17</v>
      </c>
      <c r="BY464">
        <v>6.8883999999999999</v>
      </c>
      <c r="BZ464">
        <v>0</v>
      </c>
      <c r="CA464">
        <v>1</v>
      </c>
      <c r="CB464">
        <v>0.6</v>
      </c>
      <c r="CC464" s="3">
        <v>7.1269159999999998E-2</v>
      </c>
      <c r="CD464">
        <v>2.875</v>
      </c>
      <c r="CE464">
        <v>2.5</v>
      </c>
      <c r="CF464">
        <v>18</v>
      </c>
      <c r="CG464">
        <v>6</v>
      </c>
      <c r="CH464">
        <v>0</v>
      </c>
      <c r="CI464">
        <v>40.520000000000003</v>
      </c>
      <c r="CJ464">
        <v>499.233</v>
      </c>
    </row>
    <row r="465" spans="1:88">
      <c r="A465">
        <v>463</v>
      </c>
      <c r="B465" t="s">
        <v>0</v>
      </c>
      <c r="C465" t="s">
        <v>1</v>
      </c>
      <c r="D465" t="s">
        <v>123</v>
      </c>
      <c r="E465" t="s">
        <v>19</v>
      </c>
      <c r="F465" t="s">
        <v>118</v>
      </c>
      <c r="G465" t="s">
        <v>214</v>
      </c>
      <c r="H465" t="s">
        <v>386</v>
      </c>
      <c r="J465">
        <v>2</v>
      </c>
      <c r="K465" t="s">
        <v>108</v>
      </c>
      <c r="L465" t="s">
        <v>302</v>
      </c>
      <c r="M465" t="s">
        <v>433</v>
      </c>
      <c r="N465" t="s">
        <v>434</v>
      </c>
      <c r="O465">
        <v>185</v>
      </c>
      <c r="Q465">
        <v>870</v>
      </c>
      <c r="R465">
        <v>111</v>
      </c>
      <c r="S465">
        <v>4.25</v>
      </c>
      <c r="T465">
        <v>4.8529999999999998</v>
      </c>
      <c r="U465">
        <v>7.16</v>
      </c>
      <c r="V465">
        <v>3698.3</v>
      </c>
      <c r="W465">
        <v>795</v>
      </c>
      <c r="X465">
        <v>1.3332999999999999</v>
      </c>
      <c r="Y465">
        <v>598</v>
      </c>
      <c r="Z465">
        <v>6.18</v>
      </c>
      <c r="AJ465">
        <v>2</v>
      </c>
      <c r="AK465">
        <v>18</v>
      </c>
      <c r="AM465">
        <v>0</v>
      </c>
      <c r="AO465" t="s">
        <v>357</v>
      </c>
      <c r="AT465">
        <v>70</v>
      </c>
      <c r="AV465">
        <v>63.8</v>
      </c>
      <c r="AW465" t="s">
        <v>6</v>
      </c>
      <c r="AX465" t="s">
        <v>6</v>
      </c>
      <c r="AY465" t="s">
        <v>6</v>
      </c>
      <c r="AZ465" t="s">
        <v>6</v>
      </c>
      <c r="BA465" t="s">
        <v>6</v>
      </c>
      <c r="BB465" t="s">
        <v>6</v>
      </c>
      <c r="BC465" t="s">
        <v>6</v>
      </c>
      <c r="BD465" t="s">
        <v>6</v>
      </c>
      <c r="BE465" t="s">
        <v>6</v>
      </c>
      <c r="BF465" t="s">
        <v>6</v>
      </c>
      <c r="BG465" t="s">
        <v>6</v>
      </c>
      <c r="BH465" t="s">
        <v>6</v>
      </c>
      <c r="BI465" t="s">
        <v>6</v>
      </c>
      <c r="BJ465" t="s">
        <v>6</v>
      </c>
      <c r="BN465">
        <v>309.31330000000003</v>
      </c>
      <c r="BO465">
        <v>1361</v>
      </c>
      <c r="BP465">
        <v>0</v>
      </c>
      <c r="BQ465">
        <v>63</v>
      </c>
      <c r="BR465">
        <v>63</v>
      </c>
      <c r="BS465">
        <v>63.47</v>
      </c>
      <c r="BT465">
        <v>0</v>
      </c>
      <c r="BV465">
        <v>0</v>
      </c>
      <c r="BW465" t="s">
        <v>655</v>
      </c>
      <c r="BX465">
        <v>0.17</v>
      </c>
      <c r="BY465">
        <v>10.789899999999999</v>
      </c>
      <c r="BZ465">
        <v>0</v>
      </c>
      <c r="CA465">
        <v>1</v>
      </c>
      <c r="CB465">
        <v>0.6</v>
      </c>
      <c r="CC465" s="3">
        <v>7.1269159999999998E-2</v>
      </c>
      <c r="CD465">
        <v>2.875</v>
      </c>
      <c r="CE465">
        <v>2.5</v>
      </c>
      <c r="CF465">
        <v>18</v>
      </c>
      <c r="CG465">
        <v>6</v>
      </c>
      <c r="CH465">
        <v>0</v>
      </c>
      <c r="CI465">
        <v>63.47</v>
      </c>
      <c r="CJ465">
        <v>795.56230000000005</v>
      </c>
    </row>
    <row r="466" spans="1:88">
      <c r="A466">
        <v>464</v>
      </c>
      <c r="B466" t="s">
        <v>13</v>
      </c>
      <c r="C466" t="s">
        <v>1</v>
      </c>
      <c r="D466" t="s">
        <v>133</v>
      </c>
      <c r="E466" t="s">
        <v>96</v>
      </c>
      <c r="F466" t="s">
        <v>298</v>
      </c>
      <c r="G466" t="s">
        <v>106</v>
      </c>
      <c r="H466" t="s">
        <v>257</v>
      </c>
      <c r="J466">
        <v>2</v>
      </c>
      <c r="K466" t="s">
        <v>146</v>
      </c>
      <c r="L466" t="s">
        <v>293</v>
      </c>
      <c r="M466" t="s">
        <v>100</v>
      </c>
      <c r="N466" t="s">
        <v>101</v>
      </c>
      <c r="O466">
        <v>131</v>
      </c>
      <c r="Q466">
        <v>488</v>
      </c>
      <c r="R466">
        <v>88</v>
      </c>
      <c r="S466">
        <v>4.25</v>
      </c>
      <c r="T466">
        <v>3.5859999999999999</v>
      </c>
      <c r="U466">
        <v>6.37</v>
      </c>
      <c r="V466">
        <v>2075.44</v>
      </c>
      <c r="W466">
        <v>559</v>
      </c>
      <c r="X466">
        <v>1.3332999999999999</v>
      </c>
      <c r="Y466">
        <v>423</v>
      </c>
      <c r="Z466">
        <v>4.91</v>
      </c>
      <c r="AJ466">
        <v>2</v>
      </c>
      <c r="AK466">
        <v>18</v>
      </c>
      <c r="AM466">
        <v>0</v>
      </c>
      <c r="AO466" t="s">
        <v>301</v>
      </c>
      <c r="AT466">
        <v>51</v>
      </c>
      <c r="AV466">
        <v>49.1</v>
      </c>
      <c r="AW466">
        <v>0.46875</v>
      </c>
      <c r="AX466">
        <v>3.75</v>
      </c>
      <c r="AY466">
        <v>50.5</v>
      </c>
      <c r="AZ466">
        <v>4.625</v>
      </c>
      <c r="BA466">
        <v>401.38</v>
      </c>
      <c r="BB466">
        <v>4.91</v>
      </c>
      <c r="BC466">
        <v>54</v>
      </c>
      <c r="BD466">
        <v>0.1875</v>
      </c>
      <c r="BE466">
        <v>2.75</v>
      </c>
      <c r="BF466">
        <v>12.5</v>
      </c>
      <c r="BG466">
        <v>1.875</v>
      </c>
      <c r="BH466">
        <v>21.3</v>
      </c>
      <c r="BI466">
        <v>7.12</v>
      </c>
      <c r="BJ466">
        <v>4</v>
      </c>
      <c r="BL466">
        <v>422.68</v>
      </c>
      <c r="BM466">
        <v>58</v>
      </c>
      <c r="BN466">
        <v>235.40010000000001</v>
      </c>
      <c r="BO466">
        <v>1873</v>
      </c>
      <c r="BP466">
        <v>0</v>
      </c>
      <c r="BQ466">
        <v>45</v>
      </c>
      <c r="BR466">
        <v>45</v>
      </c>
      <c r="BS466">
        <v>44.69</v>
      </c>
      <c r="BT466">
        <v>0</v>
      </c>
      <c r="BV466">
        <v>0</v>
      </c>
      <c r="BW466" t="s">
        <v>655</v>
      </c>
      <c r="BX466">
        <v>0.17</v>
      </c>
      <c r="BY466">
        <v>7.5972999999999997</v>
      </c>
      <c r="BZ466">
        <v>0</v>
      </c>
      <c r="CA466">
        <v>1</v>
      </c>
      <c r="CB466">
        <v>0.6</v>
      </c>
      <c r="CC466" s="3">
        <v>7.1269159999999998E-2</v>
      </c>
      <c r="CD466">
        <v>2.875</v>
      </c>
      <c r="CE466">
        <v>2.5</v>
      </c>
      <c r="CF466">
        <v>18</v>
      </c>
      <c r="CG466">
        <v>6</v>
      </c>
      <c r="CH466">
        <v>0</v>
      </c>
      <c r="CI466">
        <v>44.69</v>
      </c>
      <c r="CJ466">
        <v>431.57</v>
      </c>
    </row>
    <row r="467" spans="1:88">
      <c r="A467">
        <v>465</v>
      </c>
      <c r="B467" t="s">
        <v>0</v>
      </c>
      <c r="C467" t="s">
        <v>1</v>
      </c>
      <c r="D467" t="s">
        <v>212</v>
      </c>
      <c r="E467" t="s">
        <v>8</v>
      </c>
      <c r="F467" t="s">
        <v>213</v>
      </c>
      <c r="G467" t="s">
        <v>15</v>
      </c>
      <c r="H467" t="s">
        <v>215</v>
      </c>
      <c r="J467">
        <v>2</v>
      </c>
      <c r="K467" t="s">
        <v>108</v>
      </c>
      <c r="L467" t="s">
        <v>10</v>
      </c>
      <c r="M467" t="s">
        <v>11</v>
      </c>
      <c r="N467" t="s">
        <v>12</v>
      </c>
      <c r="O467">
        <v>203</v>
      </c>
      <c r="Q467">
        <v>1014</v>
      </c>
      <c r="R467">
        <v>129</v>
      </c>
      <c r="S467">
        <v>4.25</v>
      </c>
      <c r="T467">
        <v>5.2460000000000004</v>
      </c>
      <c r="U467">
        <v>7.35</v>
      </c>
      <c r="V467">
        <v>4308.22</v>
      </c>
      <c r="W467">
        <v>951</v>
      </c>
      <c r="X467">
        <v>1.5</v>
      </c>
      <c r="Y467">
        <v>639</v>
      </c>
      <c r="Z467">
        <v>6.74</v>
      </c>
      <c r="AJ467">
        <v>2</v>
      </c>
      <c r="AK467">
        <v>18</v>
      </c>
      <c r="AM467">
        <v>0</v>
      </c>
      <c r="AO467" t="s">
        <v>216</v>
      </c>
      <c r="AT467">
        <v>76</v>
      </c>
      <c r="AV467">
        <v>68.099999999999994</v>
      </c>
      <c r="AW467" t="s">
        <v>6</v>
      </c>
      <c r="AX467" t="s">
        <v>6</v>
      </c>
      <c r="AY467" t="s">
        <v>6</v>
      </c>
      <c r="AZ467" t="s">
        <v>6</v>
      </c>
      <c r="BA467" t="s">
        <v>6</v>
      </c>
      <c r="BB467" t="s">
        <v>6</v>
      </c>
      <c r="BC467" t="s">
        <v>6</v>
      </c>
      <c r="BD467" t="s">
        <v>6</v>
      </c>
      <c r="BE467" t="s">
        <v>6</v>
      </c>
      <c r="BF467" t="s">
        <v>6</v>
      </c>
      <c r="BG467" t="s">
        <v>6</v>
      </c>
      <c r="BH467" t="s">
        <v>6</v>
      </c>
      <c r="BI467" t="s">
        <v>6</v>
      </c>
      <c r="BJ467" t="s">
        <v>6</v>
      </c>
      <c r="BN467">
        <v>580.90189999999996</v>
      </c>
      <c r="BO467">
        <v>3242</v>
      </c>
      <c r="BP467">
        <v>0</v>
      </c>
      <c r="BQ467">
        <v>70</v>
      </c>
      <c r="BR467">
        <v>70</v>
      </c>
      <c r="BS467">
        <v>69.730009999999993</v>
      </c>
      <c r="BT467">
        <v>0</v>
      </c>
      <c r="BV467">
        <v>0</v>
      </c>
      <c r="BW467" t="s">
        <v>655</v>
      </c>
      <c r="BX467">
        <v>0.17</v>
      </c>
      <c r="BY467">
        <v>11.854100000000001</v>
      </c>
      <c r="BZ467">
        <v>0</v>
      </c>
      <c r="CA467">
        <v>1</v>
      </c>
      <c r="CB467">
        <v>0.6</v>
      </c>
      <c r="CC467" s="3">
        <v>7.1269159999999998E-2</v>
      </c>
      <c r="CD467">
        <v>2.875</v>
      </c>
      <c r="CE467">
        <v>2.5</v>
      </c>
      <c r="CF467">
        <v>18</v>
      </c>
      <c r="CG467">
        <v>6</v>
      </c>
      <c r="CH467">
        <v>0</v>
      </c>
      <c r="CI467">
        <v>69.730009999999993</v>
      </c>
      <c r="CJ467">
        <v>933.66319999999996</v>
      </c>
    </row>
    <row r="468" spans="1:88">
      <c r="A468">
        <v>466</v>
      </c>
      <c r="B468" t="s">
        <v>13</v>
      </c>
      <c r="C468" t="s">
        <v>1</v>
      </c>
      <c r="D468" t="s">
        <v>96</v>
      </c>
      <c r="E468" t="s">
        <v>3</v>
      </c>
      <c r="F468" t="s">
        <v>198</v>
      </c>
      <c r="G468" t="s">
        <v>106</v>
      </c>
      <c r="H468" t="s">
        <v>162</v>
      </c>
      <c r="J468">
        <v>2</v>
      </c>
      <c r="K468" t="s">
        <v>146</v>
      </c>
      <c r="L468" t="s">
        <v>363</v>
      </c>
      <c r="M468" t="s">
        <v>383</v>
      </c>
      <c r="N468" t="s">
        <v>119</v>
      </c>
      <c r="O468">
        <v>125</v>
      </c>
      <c r="Q468">
        <v>427</v>
      </c>
      <c r="R468">
        <v>81</v>
      </c>
      <c r="S468">
        <v>4.25</v>
      </c>
      <c r="T468">
        <v>3.4350000000000001</v>
      </c>
      <c r="U468">
        <v>6.26</v>
      </c>
      <c r="V468">
        <v>1814.79</v>
      </c>
      <c r="W468">
        <v>506</v>
      </c>
      <c r="X468">
        <v>1.3332999999999999</v>
      </c>
      <c r="Y468">
        <v>381</v>
      </c>
      <c r="Z468">
        <v>4.76</v>
      </c>
      <c r="AJ468">
        <v>2</v>
      </c>
      <c r="AK468">
        <v>18</v>
      </c>
      <c r="AM468">
        <v>0</v>
      </c>
      <c r="AO468" t="s">
        <v>166</v>
      </c>
      <c r="AT468">
        <v>49</v>
      </c>
      <c r="AV468">
        <v>44.8</v>
      </c>
      <c r="AW468">
        <v>0</v>
      </c>
      <c r="AX468">
        <v>0</v>
      </c>
      <c r="AY468">
        <v>53.125</v>
      </c>
      <c r="AZ468">
        <v>4.5</v>
      </c>
      <c r="BA468">
        <v>0</v>
      </c>
      <c r="BB468">
        <v>0</v>
      </c>
      <c r="BC468">
        <v>57</v>
      </c>
      <c r="BN468">
        <v>214</v>
      </c>
      <c r="BO468">
        <v>2266</v>
      </c>
      <c r="BP468">
        <v>0</v>
      </c>
      <c r="BQ468">
        <v>43</v>
      </c>
      <c r="BR468">
        <v>43</v>
      </c>
      <c r="BS468">
        <v>42.6</v>
      </c>
      <c r="BT468">
        <v>0</v>
      </c>
      <c r="BV468">
        <v>0</v>
      </c>
      <c r="BW468" t="s">
        <v>655</v>
      </c>
      <c r="BX468">
        <v>0.17</v>
      </c>
      <c r="BY468">
        <v>7.242</v>
      </c>
      <c r="BZ468">
        <v>0</v>
      </c>
      <c r="CA468">
        <v>1</v>
      </c>
      <c r="CB468">
        <v>0.6</v>
      </c>
      <c r="CC468" s="3">
        <v>7.1269159999999998E-2</v>
      </c>
      <c r="CD468">
        <v>2.875</v>
      </c>
      <c r="CE468">
        <v>2.5</v>
      </c>
      <c r="CF468">
        <v>18</v>
      </c>
      <c r="CG468">
        <v>6</v>
      </c>
      <c r="CH468">
        <v>0</v>
      </c>
      <c r="CI468">
        <v>42.6</v>
      </c>
      <c r="CJ468">
        <v>374.95409999999998</v>
      </c>
    </row>
    <row r="469" spans="1:88">
      <c r="A469">
        <v>467</v>
      </c>
      <c r="B469" t="s">
        <v>13</v>
      </c>
      <c r="C469" t="s">
        <v>1</v>
      </c>
      <c r="D469" t="s">
        <v>348</v>
      </c>
      <c r="E469" t="s">
        <v>434</v>
      </c>
      <c r="F469" t="s">
        <v>576</v>
      </c>
      <c r="G469" t="s">
        <v>106</v>
      </c>
      <c r="H469" t="s">
        <v>577</v>
      </c>
      <c r="J469">
        <v>2</v>
      </c>
      <c r="K469" t="s">
        <v>108</v>
      </c>
      <c r="L469" t="s">
        <v>305</v>
      </c>
      <c r="M469" t="s">
        <v>564</v>
      </c>
      <c r="N469" t="s">
        <v>104</v>
      </c>
      <c r="O469">
        <v>188</v>
      </c>
      <c r="Q469">
        <v>839</v>
      </c>
      <c r="R469">
        <v>106</v>
      </c>
      <c r="S469">
        <v>4.25</v>
      </c>
      <c r="T469">
        <v>4.9189999999999996</v>
      </c>
      <c r="U469">
        <v>7.2</v>
      </c>
      <c r="V469">
        <v>3565.19</v>
      </c>
      <c r="W469">
        <v>761</v>
      </c>
      <c r="X469">
        <v>1.3332999999999999</v>
      </c>
      <c r="Y469">
        <v>570</v>
      </c>
      <c r="Z469">
        <v>6.25</v>
      </c>
      <c r="AJ469">
        <v>2</v>
      </c>
      <c r="AK469">
        <v>18</v>
      </c>
      <c r="AM469">
        <v>0</v>
      </c>
      <c r="AO469" t="s">
        <v>578</v>
      </c>
      <c r="AT469">
        <v>71</v>
      </c>
      <c r="AV469">
        <v>60.5</v>
      </c>
      <c r="AW469">
        <v>0.46875</v>
      </c>
      <c r="AX469">
        <v>3.75</v>
      </c>
      <c r="AY469">
        <v>64.625</v>
      </c>
      <c r="AZ469">
        <v>5.875</v>
      </c>
      <c r="BA469">
        <v>313.73</v>
      </c>
      <c r="BB469">
        <v>6.28</v>
      </c>
      <c r="BC469">
        <v>69</v>
      </c>
      <c r="BD469">
        <v>0.4375</v>
      </c>
      <c r="BE469">
        <v>3.75</v>
      </c>
      <c r="BF469">
        <v>55.375</v>
      </c>
      <c r="BG469">
        <v>5.5</v>
      </c>
      <c r="BH469">
        <v>256.69</v>
      </c>
      <c r="BI469">
        <v>6.41</v>
      </c>
      <c r="BJ469">
        <v>56</v>
      </c>
      <c r="BL469">
        <v>570.42010000000005</v>
      </c>
      <c r="BM469">
        <v>125</v>
      </c>
      <c r="BN469">
        <v>290.68340000000001</v>
      </c>
      <c r="BO469">
        <v>1228</v>
      </c>
      <c r="BP469">
        <v>0</v>
      </c>
      <c r="BQ469">
        <v>65</v>
      </c>
      <c r="BR469">
        <v>65</v>
      </c>
      <c r="BS469">
        <v>64.52</v>
      </c>
      <c r="BT469">
        <v>0</v>
      </c>
      <c r="BV469">
        <v>0</v>
      </c>
      <c r="BW469" t="s">
        <v>655</v>
      </c>
      <c r="BX469">
        <v>0.17</v>
      </c>
      <c r="BY469">
        <v>10.968400000000001</v>
      </c>
      <c r="BZ469">
        <v>0</v>
      </c>
      <c r="CA469">
        <v>1</v>
      </c>
      <c r="CB469">
        <v>0.6</v>
      </c>
      <c r="CC469" s="3">
        <v>7.1269159999999998E-2</v>
      </c>
      <c r="CD469">
        <v>2.875</v>
      </c>
      <c r="CE469">
        <v>2.5</v>
      </c>
      <c r="CF469">
        <v>18</v>
      </c>
      <c r="CG469">
        <v>6</v>
      </c>
      <c r="CH469">
        <v>0</v>
      </c>
      <c r="CI469">
        <v>64.52</v>
      </c>
      <c r="CJ469">
        <v>767.33900000000006</v>
      </c>
    </row>
    <row r="470" spans="1:88">
      <c r="A470">
        <v>468</v>
      </c>
      <c r="B470" t="s">
        <v>13</v>
      </c>
      <c r="C470" t="s">
        <v>1</v>
      </c>
      <c r="D470" t="s">
        <v>251</v>
      </c>
      <c r="E470" t="s">
        <v>190</v>
      </c>
      <c r="F470" t="s">
        <v>266</v>
      </c>
      <c r="G470" t="s">
        <v>106</v>
      </c>
      <c r="H470" t="s">
        <v>291</v>
      </c>
      <c r="J470">
        <v>2</v>
      </c>
      <c r="K470" t="s">
        <v>108</v>
      </c>
      <c r="L470" t="s">
        <v>340</v>
      </c>
      <c r="M470" t="s">
        <v>406</v>
      </c>
      <c r="N470" t="s">
        <v>369</v>
      </c>
      <c r="O470">
        <v>118</v>
      </c>
      <c r="Q470">
        <v>555</v>
      </c>
      <c r="R470">
        <v>107</v>
      </c>
      <c r="S470">
        <v>4.25</v>
      </c>
      <c r="T470">
        <v>3.2570000000000001</v>
      </c>
      <c r="U470">
        <v>6.15</v>
      </c>
      <c r="V470">
        <v>2357.98</v>
      </c>
      <c r="W470">
        <v>661</v>
      </c>
      <c r="X470">
        <v>1.3332999999999999</v>
      </c>
      <c r="Y470">
        <v>514</v>
      </c>
      <c r="Z470">
        <v>4.59</v>
      </c>
      <c r="AJ470">
        <v>2</v>
      </c>
      <c r="AK470">
        <v>18</v>
      </c>
      <c r="AM470">
        <v>0</v>
      </c>
      <c r="AO470" t="s">
        <v>292</v>
      </c>
      <c r="AT470">
        <v>46</v>
      </c>
      <c r="AV470">
        <v>61.6</v>
      </c>
      <c r="AW470">
        <v>0.40625</v>
      </c>
      <c r="AX470">
        <v>3.75</v>
      </c>
      <c r="AY470">
        <v>34.375</v>
      </c>
      <c r="AZ470">
        <v>3.75</v>
      </c>
      <c r="BA470">
        <v>282.54000000000002</v>
      </c>
      <c r="BB470">
        <v>4.68</v>
      </c>
      <c r="BC470">
        <v>33</v>
      </c>
      <c r="BD470">
        <v>0.375</v>
      </c>
      <c r="BE470">
        <v>3.75</v>
      </c>
      <c r="BF470">
        <v>28</v>
      </c>
      <c r="BG470">
        <v>3.5</v>
      </c>
      <c r="BH470">
        <v>231.17</v>
      </c>
      <c r="BI470">
        <v>4.6500000000000004</v>
      </c>
      <c r="BJ470">
        <v>25</v>
      </c>
      <c r="BL470">
        <v>513.71010000000001</v>
      </c>
      <c r="BM470">
        <v>57</v>
      </c>
      <c r="BN470">
        <v>296.03339999999997</v>
      </c>
      <c r="BO470">
        <v>1184</v>
      </c>
      <c r="BP470">
        <v>0</v>
      </c>
      <c r="BQ470">
        <v>40</v>
      </c>
      <c r="BR470">
        <v>40</v>
      </c>
      <c r="BS470">
        <v>40.17</v>
      </c>
      <c r="BT470">
        <v>0</v>
      </c>
      <c r="BV470">
        <v>0</v>
      </c>
      <c r="BW470" t="s">
        <v>655</v>
      </c>
      <c r="BX470">
        <v>0.17</v>
      </c>
      <c r="BY470">
        <v>6.8289</v>
      </c>
      <c r="BZ470">
        <v>0</v>
      </c>
      <c r="CA470">
        <v>1</v>
      </c>
      <c r="CB470">
        <v>0.6</v>
      </c>
      <c r="CC470" s="3">
        <v>7.1269159999999998E-2</v>
      </c>
      <c r="CD470">
        <v>2.875</v>
      </c>
      <c r="CE470">
        <v>2.5</v>
      </c>
      <c r="CF470">
        <v>18</v>
      </c>
      <c r="CG470">
        <v>6</v>
      </c>
      <c r="CH470">
        <v>0</v>
      </c>
      <c r="CI470">
        <v>40.17</v>
      </c>
      <c r="CJ470">
        <v>486.33210000000003</v>
      </c>
    </row>
    <row r="471" spans="1:88">
      <c r="A471">
        <v>469</v>
      </c>
      <c r="B471" t="s">
        <v>13</v>
      </c>
      <c r="C471" t="s">
        <v>1</v>
      </c>
      <c r="D471" t="s">
        <v>368</v>
      </c>
      <c r="E471" t="s">
        <v>317</v>
      </c>
      <c r="F471" t="s">
        <v>579</v>
      </c>
      <c r="G471" t="s">
        <v>106</v>
      </c>
      <c r="H471" t="s">
        <v>580</v>
      </c>
      <c r="J471">
        <v>2</v>
      </c>
      <c r="K471" t="s">
        <v>146</v>
      </c>
      <c r="L471" t="s">
        <v>169</v>
      </c>
      <c r="M471" t="s">
        <v>400</v>
      </c>
      <c r="N471" t="s">
        <v>228</v>
      </c>
      <c r="O471">
        <v>99</v>
      </c>
      <c r="Q471">
        <v>128</v>
      </c>
      <c r="R471">
        <v>31</v>
      </c>
      <c r="S471">
        <v>4.25</v>
      </c>
      <c r="T471">
        <v>2.758</v>
      </c>
      <c r="U471">
        <v>5.88</v>
      </c>
      <c r="V471">
        <v>545.19000000000005</v>
      </c>
      <c r="W471">
        <v>179</v>
      </c>
      <c r="X471">
        <v>1.3332999999999999</v>
      </c>
      <c r="Y471">
        <v>133</v>
      </c>
      <c r="Z471">
        <v>4.09</v>
      </c>
      <c r="AJ471">
        <v>2</v>
      </c>
      <c r="AK471">
        <v>18</v>
      </c>
      <c r="AM471">
        <v>0</v>
      </c>
      <c r="AO471" t="s">
        <v>581</v>
      </c>
      <c r="AT471">
        <v>40</v>
      </c>
      <c r="AV471">
        <v>16.100000000000001</v>
      </c>
      <c r="AW471">
        <v>0</v>
      </c>
      <c r="AX471">
        <v>0</v>
      </c>
      <c r="AY471">
        <v>19.125</v>
      </c>
      <c r="AZ471">
        <v>2.5</v>
      </c>
      <c r="BA471">
        <v>0</v>
      </c>
      <c r="BB471">
        <v>0</v>
      </c>
      <c r="BC471">
        <v>14</v>
      </c>
      <c r="BN471">
        <v>73.116680000000002</v>
      </c>
      <c r="BO471">
        <v>19410</v>
      </c>
      <c r="BP471">
        <v>0</v>
      </c>
      <c r="BQ471">
        <v>34</v>
      </c>
      <c r="BR471">
        <v>34</v>
      </c>
      <c r="BS471">
        <v>33.56</v>
      </c>
      <c r="BT471">
        <v>0</v>
      </c>
      <c r="BV471">
        <v>0</v>
      </c>
      <c r="BW471" t="s">
        <v>655</v>
      </c>
      <c r="BX471">
        <v>0.17</v>
      </c>
      <c r="BY471">
        <v>5.7051999999999996</v>
      </c>
      <c r="BZ471">
        <v>0</v>
      </c>
      <c r="CA471">
        <v>1</v>
      </c>
      <c r="CB471">
        <v>0.6</v>
      </c>
      <c r="CC471" s="3">
        <v>7.1269159999999998E-2</v>
      </c>
      <c r="CD471">
        <v>2.875</v>
      </c>
      <c r="CE471">
        <v>2.5</v>
      </c>
      <c r="CF471">
        <v>18</v>
      </c>
      <c r="CG471">
        <v>6</v>
      </c>
      <c r="CH471">
        <v>0</v>
      </c>
      <c r="CI471">
        <v>33.56</v>
      </c>
      <c r="CJ471">
        <v>106.4348</v>
      </c>
    </row>
    <row r="472" spans="1:88">
      <c r="A472">
        <v>470</v>
      </c>
      <c r="B472" t="s">
        <v>13</v>
      </c>
      <c r="C472" t="s">
        <v>1</v>
      </c>
      <c r="D472" t="s">
        <v>143</v>
      </c>
      <c r="E472" t="s">
        <v>353</v>
      </c>
      <c r="F472" t="s">
        <v>144</v>
      </c>
      <c r="G472" t="s">
        <v>106</v>
      </c>
      <c r="H472" t="s">
        <v>145</v>
      </c>
      <c r="J472">
        <v>2</v>
      </c>
      <c r="K472" t="s">
        <v>146</v>
      </c>
      <c r="L472" t="s">
        <v>123</v>
      </c>
      <c r="M472" t="s">
        <v>509</v>
      </c>
      <c r="N472" t="s">
        <v>476</v>
      </c>
      <c r="O472">
        <v>163</v>
      </c>
      <c r="Q472">
        <v>650</v>
      </c>
      <c r="R472">
        <v>95</v>
      </c>
      <c r="S472">
        <v>4.25</v>
      </c>
      <c r="T472">
        <v>4.3529999999999998</v>
      </c>
      <c r="U472">
        <v>6.82</v>
      </c>
      <c r="V472">
        <v>2761.73</v>
      </c>
      <c r="W472">
        <v>645</v>
      </c>
      <c r="X472">
        <v>1.3332999999999999</v>
      </c>
      <c r="Y472">
        <v>486</v>
      </c>
      <c r="Z472">
        <v>5.68</v>
      </c>
      <c r="AJ472">
        <v>2</v>
      </c>
      <c r="AK472">
        <v>18</v>
      </c>
      <c r="AM472">
        <v>0</v>
      </c>
      <c r="AO472" t="s">
        <v>149</v>
      </c>
      <c r="AT472">
        <v>62</v>
      </c>
      <c r="AV472">
        <v>53.5</v>
      </c>
      <c r="AW472" t="s">
        <v>6</v>
      </c>
      <c r="AX472" t="s">
        <v>6</v>
      </c>
      <c r="AY472" t="s">
        <v>6</v>
      </c>
      <c r="AZ472" t="s">
        <v>6</v>
      </c>
      <c r="BA472" t="s">
        <v>6</v>
      </c>
      <c r="BB472" t="s">
        <v>6</v>
      </c>
      <c r="BC472" t="s">
        <v>6</v>
      </c>
      <c r="BD472" t="s">
        <v>6</v>
      </c>
      <c r="BE472" t="s">
        <v>6</v>
      </c>
      <c r="BF472" t="s">
        <v>6</v>
      </c>
      <c r="BG472" t="s">
        <v>6</v>
      </c>
      <c r="BH472" t="s">
        <v>6</v>
      </c>
      <c r="BI472" t="s">
        <v>6</v>
      </c>
      <c r="BJ472" t="s">
        <v>6</v>
      </c>
      <c r="BN472">
        <v>256.80009999999999</v>
      </c>
      <c r="BO472">
        <v>1574</v>
      </c>
      <c r="BP472">
        <v>0</v>
      </c>
      <c r="BQ472">
        <v>56</v>
      </c>
      <c r="BR472">
        <v>56</v>
      </c>
      <c r="BS472">
        <v>55.82</v>
      </c>
      <c r="BT472">
        <v>0</v>
      </c>
      <c r="BV472">
        <v>0</v>
      </c>
      <c r="BW472" t="s">
        <v>655</v>
      </c>
      <c r="BX472">
        <v>0.17</v>
      </c>
      <c r="BY472">
        <v>9.4893999999999998</v>
      </c>
      <c r="BZ472">
        <v>0</v>
      </c>
      <c r="CA472">
        <v>1</v>
      </c>
      <c r="CB472">
        <v>0.6</v>
      </c>
      <c r="CC472" s="3">
        <v>7.1269159999999998E-2</v>
      </c>
      <c r="CD472">
        <v>2.875</v>
      </c>
      <c r="CE472">
        <v>2.5</v>
      </c>
      <c r="CF472">
        <v>18</v>
      </c>
      <c r="CG472">
        <v>6</v>
      </c>
      <c r="CH472">
        <v>0</v>
      </c>
      <c r="CI472">
        <v>55.82</v>
      </c>
      <c r="CJ472">
        <v>586.79100000000005</v>
      </c>
    </row>
    <row r="473" spans="1:88">
      <c r="A473">
        <v>471</v>
      </c>
      <c r="B473" t="s">
        <v>0</v>
      </c>
      <c r="C473" t="s">
        <v>1</v>
      </c>
      <c r="D473" t="s">
        <v>438</v>
      </c>
      <c r="E473" t="s">
        <v>2</v>
      </c>
      <c r="F473" t="s">
        <v>319</v>
      </c>
      <c r="G473" t="s">
        <v>106</v>
      </c>
      <c r="H473" t="s">
        <v>464</v>
      </c>
      <c r="J473">
        <v>2</v>
      </c>
      <c r="K473" t="s">
        <v>146</v>
      </c>
      <c r="L473" t="s">
        <v>122</v>
      </c>
      <c r="M473" t="s">
        <v>4</v>
      </c>
      <c r="N473" t="s">
        <v>5</v>
      </c>
      <c r="O473">
        <v>107</v>
      </c>
      <c r="Q473">
        <v>270</v>
      </c>
      <c r="R473">
        <v>61</v>
      </c>
      <c r="S473">
        <v>4.25</v>
      </c>
      <c r="T473">
        <v>2.9710000000000001</v>
      </c>
      <c r="U473">
        <v>6.07</v>
      </c>
      <c r="V473">
        <v>1149.4100000000001</v>
      </c>
      <c r="W473">
        <v>372</v>
      </c>
      <c r="X473">
        <v>1.5</v>
      </c>
      <c r="Y473">
        <v>257</v>
      </c>
      <c r="Z473">
        <v>4.47</v>
      </c>
      <c r="AJ473">
        <v>2</v>
      </c>
      <c r="AK473">
        <v>18</v>
      </c>
      <c r="AM473">
        <v>0</v>
      </c>
      <c r="AO473" t="s">
        <v>408</v>
      </c>
      <c r="AT473">
        <v>42</v>
      </c>
      <c r="AV473">
        <v>32.4</v>
      </c>
      <c r="AW473">
        <v>0</v>
      </c>
      <c r="AX473">
        <v>0</v>
      </c>
      <c r="AY473">
        <v>37.875</v>
      </c>
      <c r="AZ473">
        <v>3.625</v>
      </c>
      <c r="BA473">
        <v>0</v>
      </c>
      <c r="BB473">
        <v>0</v>
      </c>
      <c r="BC473">
        <v>36</v>
      </c>
      <c r="BN473">
        <v>153.36670000000001</v>
      </c>
      <c r="BO473">
        <v>4412</v>
      </c>
      <c r="BP473">
        <v>0</v>
      </c>
      <c r="BQ473">
        <v>36</v>
      </c>
      <c r="BR473">
        <v>36</v>
      </c>
      <c r="BS473">
        <v>36.340000000000003</v>
      </c>
      <c r="BT473">
        <v>0</v>
      </c>
      <c r="BV473">
        <v>0</v>
      </c>
      <c r="BW473" t="s">
        <v>655</v>
      </c>
      <c r="BX473">
        <v>0.17</v>
      </c>
      <c r="BY473">
        <v>6.1778000000000004</v>
      </c>
      <c r="BZ473">
        <v>0</v>
      </c>
      <c r="CA473">
        <v>1</v>
      </c>
      <c r="CB473">
        <v>0.6</v>
      </c>
      <c r="CC473" s="3">
        <v>7.1269159999999998E-2</v>
      </c>
      <c r="CD473">
        <v>2.875</v>
      </c>
      <c r="CE473">
        <v>2.5</v>
      </c>
      <c r="CF473">
        <v>18</v>
      </c>
      <c r="CG473">
        <v>6</v>
      </c>
      <c r="CH473">
        <v>0</v>
      </c>
      <c r="CI473">
        <v>36.340000000000003</v>
      </c>
      <c r="CJ473">
        <v>231.7979</v>
      </c>
    </row>
    <row r="474" spans="1:88">
      <c r="A474">
        <v>472</v>
      </c>
      <c r="B474" t="s">
        <v>0</v>
      </c>
      <c r="C474" t="s">
        <v>1</v>
      </c>
      <c r="D474" t="s">
        <v>113</v>
      </c>
      <c r="E474" t="s">
        <v>103</v>
      </c>
      <c r="F474" t="s">
        <v>262</v>
      </c>
      <c r="G474" t="s">
        <v>106</v>
      </c>
      <c r="H474" t="s">
        <v>263</v>
      </c>
      <c r="J474">
        <v>2</v>
      </c>
      <c r="K474" t="s">
        <v>108</v>
      </c>
      <c r="L474" t="s">
        <v>455</v>
      </c>
      <c r="M474" t="s">
        <v>315</v>
      </c>
      <c r="N474" t="s">
        <v>316</v>
      </c>
      <c r="O474">
        <v>167</v>
      </c>
      <c r="Q474">
        <v>773</v>
      </c>
      <c r="R474">
        <v>109</v>
      </c>
      <c r="S474">
        <v>4.25</v>
      </c>
      <c r="T474">
        <v>4.4459999999999997</v>
      </c>
      <c r="U474">
        <v>6.86</v>
      </c>
      <c r="V474">
        <v>3284.78</v>
      </c>
      <c r="W474">
        <v>745</v>
      </c>
      <c r="X474">
        <v>1.3332999999999999</v>
      </c>
      <c r="Y474">
        <v>569</v>
      </c>
      <c r="Z474">
        <v>5.77</v>
      </c>
      <c r="AJ474">
        <v>2</v>
      </c>
      <c r="AK474">
        <v>18</v>
      </c>
      <c r="AM474">
        <v>0</v>
      </c>
      <c r="AO474" t="s">
        <v>266</v>
      </c>
      <c r="AT474">
        <v>63</v>
      </c>
      <c r="AV474">
        <v>62.3</v>
      </c>
      <c r="AW474">
        <v>0.4375</v>
      </c>
      <c r="AX474">
        <v>3.75</v>
      </c>
      <c r="AY474">
        <v>50</v>
      </c>
      <c r="AZ474">
        <v>5</v>
      </c>
      <c r="BA474">
        <v>284.64</v>
      </c>
      <c r="BB474">
        <v>5.78</v>
      </c>
      <c r="BC474">
        <v>51</v>
      </c>
      <c r="BD474">
        <v>0.4375</v>
      </c>
      <c r="BE474">
        <v>3.75</v>
      </c>
      <c r="BF474">
        <v>50</v>
      </c>
      <c r="BG474">
        <v>5</v>
      </c>
      <c r="BH474">
        <v>284.64</v>
      </c>
      <c r="BI474">
        <v>5.78</v>
      </c>
      <c r="BJ474">
        <v>51</v>
      </c>
      <c r="BL474">
        <v>569.28</v>
      </c>
      <c r="BM474">
        <v>101</v>
      </c>
      <c r="BN474">
        <v>299.60000000000002</v>
      </c>
      <c r="BO474">
        <v>1156</v>
      </c>
      <c r="BP474">
        <v>0</v>
      </c>
      <c r="BQ474">
        <v>57</v>
      </c>
      <c r="BR474">
        <v>57</v>
      </c>
      <c r="BS474">
        <v>57.21</v>
      </c>
      <c r="BT474">
        <v>0</v>
      </c>
      <c r="BV474">
        <v>0</v>
      </c>
      <c r="BW474" t="s">
        <v>655</v>
      </c>
      <c r="BX474">
        <v>0.17</v>
      </c>
      <c r="BY474">
        <v>9.7257010000000008</v>
      </c>
      <c r="BZ474">
        <v>0</v>
      </c>
      <c r="CA474">
        <v>1</v>
      </c>
      <c r="CB474">
        <v>0.6</v>
      </c>
      <c r="CC474" s="3">
        <v>7.1269159999999998E-2</v>
      </c>
      <c r="CD474">
        <v>2.875</v>
      </c>
      <c r="CE474">
        <v>2.5</v>
      </c>
      <c r="CF474">
        <v>18</v>
      </c>
      <c r="CG474">
        <v>6</v>
      </c>
      <c r="CH474">
        <v>0</v>
      </c>
      <c r="CI474">
        <v>57.21</v>
      </c>
      <c r="CJ474">
        <v>700.78740000000005</v>
      </c>
    </row>
    <row r="475" spans="1:88">
      <c r="A475">
        <v>473</v>
      </c>
      <c r="B475" t="s">
        <v>13</v>
      </c>
      <c r="C475" t="s">
        <v>1</v>
      </c>
      <c r="D475" t="s">
        <v>235</v>
      </c>
      <c r="E475" t="s">
        <v>338</v>
      </c>
      <c r="F475" t="s">
        <v>327</v>
      </c>
      <c r="G475" t="s">
        <v>106</v>
      </c>
      <c r="H475" t="s">
        <v>96</v>
      </c>
      <c r="J475">
        <v>2</v>
      </c>
      <c r="K475" t="s">
        <v>146</v>
      </c>
      <c r="L475" t="s">
        <v>143</v>
      </c>
      <c r="M475" t="s">
        <v>339</v>
      </c>
      <c r="N475" t="s">
        <v>340</v>
      </c>
      <c r="O475">
        <v>135</v>
      </c>
      <c r="Q475">
        <v>462</v>
      </c>
      <c r="R475">
        <v>81</v>
      </c>
      <c r="S475">
        <v>4.25</v>
      </c>
      <c r="T475">
        <v>3.6850000000000001</v>
      </c>
      <c r="U475">
        <v>6.45</v>
      </c>
      <c r="V475">
        <v>1963.03</v>
      </c>
      <c r="W475">
        <v>525</v>
      </c>
      <c r="X475">
        <v>1.3332999999999999</v>
      </c>
      <c r="Y475">
        <v>392</v>
      </c>
      <c r="Z475">
        <v>5.01</v>
      </c>
      <c r="AJ475">
        <v>2</v>
      </c>
      <c r="AK475">
        <v>18</v>
      </c>
      <c r="AM475">
        <v>0</v>
      </c>
      <c r="AO475" t="s">
        <v>100</v>
      </c>
      <c r="AT475">
        <v>52</v>
      </c>
      <c r="AV475">
        <v>45.1</v>
      </c>
      <c r="AW475">
        <v>0</v>
      </c>
      <c r="AX475">
        <v>0</v>
      </c>
      <c r="AY475">
        <v>51.75</v>
      </c>
      <c r="AZ475">
        <v>4.75</v>
      </c>
      <c r="BA475">
        <v>0</v>
      </c>
      <c r="BB475">
        <v>0</v>
      </c>
      <c r="BC475">
        <v>56</v>
      </c>
      <c r="BN475">
        <v>215.7834</v>
      </c>
      <c r="BO475">
        <v>2229</v>
      </c>
      <c r="BP475">
        <v>0</v>
      </c>
      <c r="BQ475">
        <v>46</v>
      </c>
      <c r="BR475">
        <v>46</v>
      </c>
      <c r="BS475">
        <v>46.08</v>
      </c>
      <c r="BT475">
        <v>0</v>
      </c>
      <c r="BV475">
        <v>0</v>
      </c>
      <c r="BW475" t="s">
        <v>655</v>
      </c>
      <c r="BX475">
        <v>0.17</v>
      </c>
      <c r="BY475">
        <v>7.8336009999999998</v>
      </c>
      <c r="BZ475">
        <v>0</v>
      </c>
      <c r="CA475">
        <v>1</v>
      </c>
      <c r="CB475">
        <v>0.6</v>
      </c>
      <c r="CC475" s="3">
        <v>7.1269159999999998E-2</v>
      </c>
      <c r="CD475">
        <v>2.875</v>
      </c>
      <c r="CE475">
        <v>2.5</v>
      </c>
      <c r="CF475">
        <v>18</v>
      </c>
      <c r="CG475">
        <v>6</v>
      </c>
      <c r="CH475">
        <v>0</v>
      </c>
      <c r="CI475">
        <v>46.08</v>
      </c>
      <c r="CJ475">
        <v>408.86829999999998</v>
      </c>
    </row>
    <row r="476" spans="1:88">
      <c r="A476">
        <v>474</v>
      </c>
      <c r="B476" t="s">
        <v>13</v>
      </c>
      <c r="C476" t="s">
        <v>1</v>
      </c>
      <c r="D476" t="s">
        <v>425</v>
      </c>
      <c r="E476" t="s">
        <v>143</v>
      </c>
      <c r="F476" t="s">
        <v>290</v>
      </c>
      <c r="G476" t="s">
        <v>15</v>
      </c>
      <c r="H476" t="s">
        <v>426</v>
      </c>
      <c r="J476">
        <v>2</v>
      </c>
      <c r="K476" t="s">
        <v>108</v>
      </c>
      <c r="L476" t="s">
        <v>297</v>
      </c>
      <c r="M476" t="s">
        <v>206</v>
      </c>
      <c r="N476" t="s">
        <v>131</v>
      </c>
      <c r="O476">
        <v>155</v>
      </c>
      <c r="Q476">
        <v>870</v>
      </c>
      <c r="R476">
        <v>131</v>
      </c>
      <c r="S476">
        <v>4.25</v>
      </c>
      <c r="T476">
        <v>4.1660000000000004</v>
      </c>
      <c r="U476">
        <v>6.78</v>
      </c>
      <c r="V476">
        <v>3698.56</v>
      </c>
      <c r="W476">
        <v>889</v>
      </c>
      <c r="X476">
        <v>1.3332999999999999</v>
      </c>
      <c r="Y476">
        <v>674</v>
      </c>
      <c r="Z476">
        <v>5.49</v>
      </c>
      <c r="AJ476">
        <v>2</v>
      </c>
      <c r="AK476">
        <v>18</v>
      </c>
      <c r="AM476">
        <v>0</v>
      </c>
      <c r="AO476" t="s">
        <v>427</v>
      </c>
      <c r="AT476">
        <v>59</v>
      </c>
      <c r="AV476">
        <v>75.400000000000006</v>
      </c>
      <c r="AW476" t="s">
        <v>6</v>
      </c>
      <c r="AX476" t="s">
        <v>6</v>
      </c>
      <c r="AY476" t="s">
        <v>6</v>
      </c>
      <c r="AZ476" t="s">
        <v>6</v>
      </c>
      <c r="BA476" t="s">
        <v>6</v>
      </c>
      <c r="BB476" t="s">
        <v>6</v>
      </c>
      <c r="BC476" t="s">
        <v>6</v>
      </c>
      <c r="BD476" t="s">
        <v>6</v>
      </c>
      <c r="BE476" t="s">
        <v>6</v>
      </c>
      <c r="BF476" t="s">
        <v>6</v>
      </c>
      <c r="BG476" t="s">
        <v>6</v>
      </c>
      <c r="BH476" t="s">
        <v>6</v>
      </c>
      <c r="BI476" t="s">
        <v>6</v>
      </c>
      <c r="BJ476" t="s">
        <v>6</v>
      </c>
      <c r="BN476">
        <v>644.04330000000004</v>
      </c>
      <c r="BO476">
        <v>2637</v>
      </c>
      <c r="BP476">
        <v>0</v>
      </c>
      <c r="BQ476">
        <v>53</v>
      </c>
      <c r="BR476">
        <v>53</v>
      </c>
      <c r="BS476">
        <v>53.04</v>
      </c>
      <c r="BT476">
        <v>0</v>
      </c>
      <c r="BV476">
        <v>0</v>
      </c>
      <c r="BW476" t="s">
        <v>655</v>
      </c>
      <c r="BX476">
        <v>0.17</v>
      </c>
      <c r="BY476">
        <v>9.0167999999999999</v>
      </c>
      <c r="BZ476">
        <v>0</v>
      </c>
      <c r="CA476">
        <v>1</v>
      </c>
      <c r="CB476">
        <v>0.6</v>
      </c>
      <c r="CC476" s="3">
        <v>7.1269159999999998E-2</v>
      </c>
      <c r="CD476">
        <v>2.875</v>
      </c>
      <c r="CE476">
        <v>2.5</v>
      </c>
      <c r="CF476">
        <v>18</v>
      </c>
      <c r="CG476">
        <v>6</v>
      </c>
      <c r="CH476">
        <v>0</v>
      </c>
      <c r="CI476">
        <v>53.04</v>
      </c>
      <c r="CJ476">
        <v>785.79160000000002</v>
      </c>
    </row>
    <row r="477" spans="1:88">
      <c r="A477">
        <v>475</v>
      </c>
      <c r="B477" t="s">
        <v>13</v>
      </c>
      <c r="C477" t="s">
        <v>1</v>
      </c>
      <c r="D477" t="s">
        <v>202</v>
      </c>
      <c r="E477" t="s">
        <v>113</v>
      </c>
      <c r="F477" t="s">
        <v>357</v>
      </c>
      <c r="G477" t="s">
        <v>214</v>
      </c>
      <c r="H477" t="s">
        <v>358</v>
      </c>
      <c r="J477">
        <v>2</v>
      </c>
      <c r="K477" t="s">
        <v>108</v>
      </c>
      <c r="L477" t="s">
        <v>116</v>
      </c>
      <c r="M477" t="s">
        <v>117</v>
      </c>
      <c r="N477" t="s">
        <v>14</v>
      </c>
      <c r="O477">
        <v>179</v>
      </c>
      <c r="Q477">
        <v>834</v>
      </c>
      <c r="R477">
        <v>110</v>
      </c>
      <c r="S477">
        <v>4.25</v>
      </c>
      <c r="T477">
        <v>4.7190000000000003</v>
      </c>
      <c r="U477">
        <v>7.05</v>
      </c>
      <c r="V477">
        <v>3545.69</v>
      </c>
      <c r="W477">
        <v>774</v>
      </c>
      <c r="X477">
        <v>1.3332999999999999</v>
      </c>
      <c r="Y477">
        <v>586</v>
      </c>
      <c r="Z477">
        <v>6.05</v>
      </c>
      <c r="AJ477">
        <v>2</v>
      </c>
      <c r="AK477">
        <v>18</v>
      </c>
      <c r="AM477">
        <v>0</v>
      </c>
      <c r="AO477" t="s">
        <v>262</v>
      </c>
      <c r="AT477">
        <v>68</v>
      </c>
      <c r="AV477">
        <v>63.1</v>
      </c>
      <c r="AW477">
        <v>0.46875</v>
      </c>
      <c r="AX477">
        <v>3.75</v>
      </c>
      <c r="AY477">
        <v>62.875</v>
      </c>
      <c r="AZ477">
        <v>5.625</v>
      </c>
      <c r="BA477">
        <v>322.33</v>
      </c>
      <c r="BB477">
        <v>6.11</v>
      </c>
      <c r="BC477">
        <v>68</v>
      </c>
      <c r="BD477">
        <v>0.4375</v>
      </c>
      <c r="BE477">
        <v>3.75</v>
      </c>
      <c r="BF477">
        <v>54</v>
      </c>
      <c r="BG477">
        <v>5.25</v>
      </c>
      <c r="BH477">
        <v>263.73</v>
      </c>
      <c r="BI477">
        <v>6.23</v>
      </c>
      <c r="BJ477">
        <v>55</v>
      </c>
      <c r="BL477">
        <v>586.05999999999995</v>
      </c>
      <c r="BM477">
        <v>122</v>
      </c>
      <c r="BN477">
        <v>305.7167</v>
      </c>
      <c r="BO477">
        <v>1393</v>
      </c>
      <c r="BP477">
        <v>0</v>
      </c>
      <c r="BQ477">
        <v>61</v>
      </c>
      <c r="BR477">
        <v>61</v>
      </c>
      <c r="BS477">
        <v>61.39</v>
      </c>
      <c r="BT477">
        <v>0</v>
      </c>
      <c r="BV477">
        <v>0</v>
      </c>
      <c r="BW477" t="s">
        <v>655</v>
      </c>
      <c r="BX477">
        <v>0.17</v>
      </c>
      <c r="BY477">
        <v>10.436299999999999</v>
      </c>
      <c r="BZ477">
        <v>0</v>
      </c>
      <c r="CA477">
        <v>1</v>
      </c>
      <c r="CB477">
        <v>0.6</v>
      </c>
      <c r="CC477" s="3">
        <v>7.1269159999999998E-2</v>
      </c>
      <c r="CD477">
        <v>2.875</v>
      </c>
      <c r="CE477">
        <v>2.5</v>
      </c>
      <c r="CF477">
        <v>18</v>
      </c>
      <c r="CG477">
        <v>6</v>
      </c>
      <c r="CH477">
        <v>0</v>
      </c>
      <c r="CI477">
        <v>61.39</v>
      </c>
      <c r="CJ477">
        <v>760.74019999999996</v>
      </c>
    </row>
    <row r="478" spans="1:88">
      <c r="A478">
        <v>476</v>
      </c>
      <c r="B478" t="s">
        <v>13</v>
      </c>
      <c r="C478" t="s">
        <v>1</v>
      </c>
      <c r="D478" t="s">
        <v>119</v>
      </c>
      <c r="E478" t="s">
        <v>5</v>
      </c>
      <c r="F478" t="s">
        <v>121</v>
      </c>
      <c r="G478" t="s">
        <v>106</v>
      </c>
      <c r="H478" t="s">
        <v>122</v>
      </c>
      <c r="J478">
        <v>2</v>
      </c>
      <c r="K478" t="s">
        <v>146</v>
      </c>
      <c r="L478" t="s">
        <v>162</v>
      </c>
      <c r="M478" t="s">
        <v>155</v>
      </c>
      <c r="N478" t="s">
        <v>176</v>
      </c>
      <c r="O478">
        <v>110</v>
      </c>
      <c r="Q478">
        <v>371</v>
      </c>
      <c r="R478">
        <v>79</v>
      </c>
      <c r="S478">
        <v>4.25</v>
      </c>
      <c r="T478">
        <v>3.05</v>
      </c>
      <c r="U478">
        <v>6.11</v>
      </c>
      <c r="V478">
        <v>1577.55</v>
      </c>
      <c r="W478">
        <v>483</v>
      </c>
      <c r="X478">
        <v>1.3332999999999999</v>
      </c>
      <c r="Y478">
        <v>360</v>
      </c>
      <c r="Z478">
        <v>4.38</v>
      </c>
      <c r="AJ478">
        <v>2</v>
      </c>
      <c r="AK478">
        <v>18</v>
      </c>
      <c r="AM478">
        <v>0</v>
      </c>
      <c r="AO478" t="s">
        <v>126</v>
      </c>
      <c r="AT478">
        <v>44</v>
      </c>
      <c r="AV478">
        <v>43.7</v>
      </c>
      <c r="AW478">
        <v>0</v>
      </c>
      <c r="AX478">
        <v>0</v>
      </c>
      <c r="AY478">
        <v>39.5</v>
      </c>
      <c r="AZ478">
        <v>3.875</v>
      </c>
      <c r="BA478">
        <v>0</v>
      </c>
      <c r="BB478">
        <v>0</v>
      </c>
      <c r="BC478">
        <v>40</v>
      </c>
      <c r="BN478">
        <v>208.65</v>
      </c>
      <c r="BO478">
        <v>2384</v>
      </c>
      <c r="BP478">
        <v>0</v>
      </c>
      <c r="BQ478">
        <v>37</v>
      </c>
      <c r="BR478">
        <v>37</v>
      </c>
      <c r="BS478">
        <v>37.39</v>
      </c>
      <c r="BT478">
        <v>0</v>
      </c>
      <c r="BV478">
        <v>0</v>
      </c>
      <c r="BW478" t="s">
        <v>655</v>
      </c>
      <c r="BX478">
        <v>0.17</v>
      </c>
      <c r="BY478">
        <v>6.3563000000000001</v>
      </c>
      <c r="BZ478">
        <v>0</v>
      </c>
      <c r="CA478">
        <v>1</v>
      </c>
      <c r="CB478">
        <v>0.6</v>
      </c>
      <c r="CC478" s="3">
        <v>7.1269159999999998E-2</v>
      </c>
      <c r="CD478">
        <v>2.875</v>
      </c>
      <c r="CE478">
        <v>2.5</v>
      </c>
      <c r="CF478">
        <v>18</v>
      </c>
      <c r="CG478">
        <v>6</v>
      </c>
      <c r="CH478">
        <v>0</v>
      </c>
      <c r="CI478">
        <v>37.39</v>
      </c>
      <c r="CJ478">
        <v>321.1028</v>
      </c>
    </row>
    <row r="479" spans="1:88">
      <c r="A479">
        <v>477</v>
      </c>
      <c r="B479" t="s">
        <v>0</v>
      </c>
      <c r="C479" t="s">
        <v>1</v>
      </c>
      <c r="D479" t="s">
        <v>3</v>
      </c>
      <c r="E479" t="s">
        <v>307</v>
      </c>
      <c r="F479" t="s">
        <v>306</v>
      </c>
      <c r="G479" t="s">
        <v>106</v>
      </c>
      <c r="H479" t="s">
        <v>307</v>
      </c>
      <c r="J479">
        <v>2</v>
      </c>
      <c r="K479" t="s">
        <v>146</v>
      </c>
      <c r="L479" t="s">
        <v>364</v>
      </c>
      <c r="M479" t="s">
        <v>308</v>
      </c>
      <c r="N479" t="s">
        <v>122</v>
      </c>
      <c r="O479">
        <v>124</v>
      </c>
      <c r="Q479">
        <v>404</v>
      </c>
      <c r="R479">
        <v>77</v>
      </c>
      <c r="S479">
        <v>4.25</v>
      </c>
      <c r="T479">
        <v>3.41</v>
      </c>
      <c r="U479">
        <v>6.22</v>
      </c>
      <c r="V479">
        <v>1715.81</v>
      </c>
      <c r="W479">
        <v>481</v>
      </c>
      <c r="X479">
        <v>1.3332999999999999</v>
      </c>
      <c r="Y479">
        <v>362</v>
      </c>
      <c r="Z479">
        <v>4.74</v>
      </c>
      <c r="AJ479">
        <v>2</v>
      </c>
      <c r="AK479">
        <v>18</v>
      </c>
      <c r="AM479">
        <v>0</v>
      </c>
      <c r="AO479" t="s">
        <v>308</v>
      </c>
      <c r="AT479">
        <v>48</v>
      </c>
      <c r="AV479">
        <v>42.6</v>
      </c>
      <c r="AW479">
        <v>0</v>
      </c>
      <c r="AX479">
        <v>0</v>
      </c>
      <c r="AY479">
        <v>56</v>
      </c>
      <c r="AZ479">
        <v>4.5</v>
      </c>
      <c r="BA479">
        <v>0</v>
      </c>
      <c r="BB479">
        <v>0</v>
      </c>
      <c r="BC479">
        <v>60</v>
      </c>
      <c r="BN479">
        <v>203.3</v>
      </c>
      <c r="BO479">
        <v>2511</v>
      </c>
      <c r="BP479">
        <v>0</v>
      </c>
      <c r="BQ479">
        <v>42</v>
      </c>
      <c r="BR479">
        <v>42</v>
      </c>
      <c r="BS479">
        <v>42.26</v>
      </c>
      <c r="BT479">
        <v>0</v>
      </c>
      <c r="BV479">
        <v>0</v>
      </c>
      <c r="BW479" t="s">
        <v>655</v>
      </c>
      <c r="BX479">
        <v>0.17</v>
      </c>
      <c r="BY479">
        <v>7.1841999999999997</v>
      </c>
      <c r="BZ479">
        <v>0</v>
      </c>
      <c r="CA479">
        <v>1</v>
      </c>
      <c r="CB479">
        <v>0.6</v>
      </c>
      <c r="CC479" s="3">
        <v>7.1269159999999998E-2</v>
      </c>
      <c r="CD479">
        <v>2.875</v>
      </c>
      <c r="CE479">
        <v>2.5</v>
      </c>
      <c r="CF479">
        <v>18</v>
      </c>
      <c r="CG479">
        <v>6</v>
      </c>
      <c r="CH479">
        <v>0</v>
      </c>
      <c r="CI479">
        <v>42.26</v>
      </c>
      <c r="CJ479">
        <v>353.89049999999997</v>
      </c>
    </row>
    <row r="480" spans="1:88">
      <c r="A480">
        <v>478</v>
      </c>
      <c r="B480" t="s">
        <v>0</v>
      </c>
      <c r="C480" t="s">
        <v>1</v>
      </c>
      <c r="D480" t="s">
        <v>190</v>
      </c>
      <c r="E480" t="s">
        <v>127</v>
      </c>
      <c r="F480" t="s">
        <v>173</v>
      </c>
      <c r="G480" t="s">
        <v>106</v>
      </c>
      <c r="H480" t="s">
        <v>399</v>
      </c>
      <c r="J480">
        <v>2</v>
      </c>
      <c r="K480" t="s">
        <v>146</v>
      </c>
      <c r="L480" t="s">
        <v>338</v>
      </c>
      <c r="M480" t="s">
        <v>189</v>
      </c>
      <c r="N480" t="s">
        <v>190</v>
      </c>
      <c r="O480">
        <v>115</v>
      </c>
      <c r="Q480">
        <v>355</v>
      </c>
      <c r="R480">
        <v>73</v>
      </c>
      <c r="S480">
        <v>4.25</v>
      </c>
      <c r="T480">
        <v>3.18</v>
      </c>
      <c r="U480">
        <v>6.22</v>
      </c>
      <c r="V480">
        <v>1508.41</v>
      </c>
      <c r="W480">
        <v>456</v>
      </c>
      <c r="X480">
        <v>1.3332999999999999</v>
      </c>
      <c r="Y480">
        <v>334</v>
      </c>
      <c r="Z480">
        <v>4.51</v>
      </c>
      <c r="AJ480">
        <v>2</v>
      </c>
      <c r="AK480">
        <v>18</v>
      </c>
      <c r="AM480">
        <v>0</v>
      </c>
      <c r="AO480" t="s">
        <v>463</v>
      </c>
      <c r="AT480">
        <v>45</v>
      </c>
      <c r="AV480">
        <v>40.1</v>
      </c>
      <c r="AW480">
        <v>0</v>
      </c>
      <c r="AX480">
        <v>0</v>
      </c>
      <c r="AY480">
        <v>42.5</v>
      </c>
      <c r="AZ480">
        <v>4</v>
      </c>
      <c r="BA480">
        <v>0</v>
      </c>
      <c r="BB480">
        <v>0</v>
      </c>
      <c r="BC480">
        <v>43</v>
      </c>
      <c r="BN480">
        <v>190.8167</v>
      </c>
      <c r="BO480">
        <v>2850</v>
      </c>
      <c r="BP480">
        <v>0</v>
      </c>
      <c r="BQ480">
        <v>39</v>
      </c>
      <c r="BR480">
        <v>39</v>
      </c>
      <c r="BS480">
        <v>39.130000000000003</v>
      </c>
      <c r="BT480">
        <v>0</v>
      </c>
      <c r="BV480">
        <v>0</v>
      </c>
      <c r="BW480" t="s">
        <v>655</v>
      </c>
      <c r="BX480">
        <v>0.17</v>
      </c>
      <c r="BY480">
        <v>6.6520999999999999</v>
      </c>
      <c r="BZ480">
        <v>0</v>
      </c>
      <c r="CA480">
        <v>1</v>
      </c>
      <c r="CB480">
        <v>0.6</v>
      </c>
      <c r="CC480" s="3">
        <v>7.1269159999999998E-2</v>
      </c>
      <c r="CD480">
        <v>2.875</v>
      </c>
      <c r="CE480">
        <v>2.5</v>
      </c>
      <c r="CF480">
        <v>18</v>
      </c>
      <c r="CG480">
        <v>6</v>
      </c>
      <c r="CH480">
        <v>0</v>
      </c>
      <c r="CI480">
        <v>39.130000000000003</v>
      </c>
      <c r="CJ480">
        <v>308.15820000000002</v>
      </c>
    </row>
    <row r="481" spans="1:88">
      <c r="A481">
        <v>479</v>
      </c>
      <c r="B481" t="s">
        <v>0</v>
      </c>
      <c r="C481" t="s">
        <v>1</v>
      </c>
      <c r="D481" t="s">
        <v>169</v>
      </c>
      <c r="E481" t="s">
        <v>128</v>
      </c>
      <c r="F481" t="s">
        <v>404</v>
      </c>
      <c r="G481" t="s">
        <v>106</v>
      </c>
      <c r="H481" t="s">
        <v>190</v>
      </c>
      <c r="J481">
        <v>2</v>
      </c>
      <c r="K481" t="s">
        <v>146</v>
      </c>
      <c r="L481" t="s">
        <v>272</v>
      </c>
      <c r="M481" t="s">
        <v>132</v>
      </c>
      <c r="N481" t="s">
        <v>133</v>
      </c>
      <c r="O481">
        <v>140</v>
      </c>
      <c r="Q481">
        <v>429</v>
      </c>
      <c r="R481">
        <v>74</v>
      </c>
      <c r="S481">
        <v>4.25</v>
      </c>
      <c r="T481">
        <v>3.8069999999999999</v>
      </c>
      <c r="U481">
        <v>6.52</v>
      </c>
      <c r="V481">
        <v>1821.55</v>
      </c>
      <c r="W481">
        <v>482</v>
      </c>
      <c r="X481">
        <v>1.3332999999999999</v>
      </c>
      <c r="Y481">
        <v>354</v>
      </c>
      <c r="Z481">
        <v>5.14</v>
      </c>
      <c r="AJ481">
        <v>2</v>
      </c>
      <c r="AK481">
        <v>18</v>
      </c>
      <c r="AM481">
        <v>0</v>
      </c>
      <c r="AO481" t="s">
        <v>406</v>
      </c>
      <c r="AT481">
        <v>54</v>
      </c>
      <c r="AV481">
        <v>40.4</v>
      </c>
      <c r="AW481">
        <v>0</v>
      </c>
      <c r="AX481">
        <v>0</v>
      </c>
      <c r="AY481">
        <v>57.25</v>
      </c>
      <c r="AZ481">
        <v>4.875</v>
      </c>
      <c r="BA481">
        <v>0</v>
      </c>
      <c r="BB481">
        <v>0</v>
      </c>
      <c r="BC481">
        <v>61</v>
      </c>
      <c r="BN481">
        <v>192.6</v>
      </c>
      <c r="BO481">
        <v>2797</v>
      </c>
      <c r="BP481">
        <v>0</v>
      </c>
      <c r="BQ481">
        <v>48</v>
      </c>
      <c r="BR481">
        <v>48</v>
      </c>
      <c r="BS481">
        <v>47.82</v>
      </c>
      <c r="BT481">
        <v>0</v>
      </c>
      <c r="BV481">
        <v>0</v>
      </c>
      <c r="BW481" t="s">
        <v>655</v>
      </c>
      <c r="BX481">
        <v>0.17</v>
      </c>
      <c r="BY481">
        <v>8.1294000000000004</v>
      </c>
      <c r="BZ481">
        <v>0</v>
      </c>
      <c r="CA481">
        <v>1</v>
      </c>
      <c r="CB481">
        <v>0.6</v>
      </c>
      <c r="CC481" s="3">
        <v>7.1269159999999998E-2</v>
      </c>
      <c r="CD481">
        <v>2.875</v>
      </c>
      <c r="CE481">
        <v>2.5</v>
      </c>
      <c r="CF481">
        <v>18</v>
      </c>
      <c r="CG481">
        <v>6</v>
      </c>
      <c r="CH481">
        <v>0</v>
      </c>
      <c r="CI481">
        <v>47.82</v>
      </c>
      <c r="CJ481">
        <v>380.00209999999998</v>
      </c>
    </row>
    <row r="482" spans="1:88">
      <c r="A482">
        <v>480</v>
      </c>
      <c r="B482" t="s">
        <v>0</v>
      </c>
      <c r="C482" t="s">
        <v>1</v>
      </c>
      <c r="D482" t="s">
        <v>176</v>
      </c>
      <c r="E482" t="s">
        <v>268</v>
      </c>
      <c r="F482" t="s">
        <v>134</v>
      </c>
      <c r="G482" t="s">
        <v>106</v>
      </c>
      <c r="H482" t="s">
        <v>177</v>
      </c>
      <c r="J482">
        <v>2</v>
      </c>
      <c r="K482" t="s">
        <v>146</v>
      </c>
      <c r="L482" t="s">
        <v>133</v>
      </c>
      <c r="M482" t="s">
        <v>270</v>
      </c>
      <c r="N482" t="s">
        <v>153</v>
      </c>
      <c r="O482">
        <v>123</v>
      </c>
      <c r="Q482">
        <v>361</v>
      </c>
      <c r="R482">
        <v>71</v>
      </c>
      <c r="S482">
        <v>4.25</v>
      </c>
      <c r="T482">
        <v>3.3849999999999998</v>
      </c>
      <c r="U482">
        <v>6.22</v>
      </c>
      <c r="V482">
        <v>1532.25</v>
      </c>
      <c r="W482">
        <v>439</v>
      </c>
      <c r="X482">
        <v>1.3332999999999999</v>
      </c>
      <c r="Y482">
        <v>325</v>
      </c>
      <c r="Z482">
        <v>4.71</v>
      </c>
      <c r="AJ482">
        <v>2</v>
      </c>
      <c r="AK482">
        <v>18</v>
      </c>
      <c r="AM482">
        <v>0</v>
      </c>
      <c r="AO482" t="s">
        <v>152</v>
      </c>
      <c r="AT482">
        <v>48</v>
      </c>
      <c r="AV482">
        <v>38.200000000000003</v>
      </c>
      <c r="AW482">
        <v>0</v>
      </c>
      <c r="AX482">
        <v>0</v>
      </c>
      <c r="AY482">
        <v>43.75</v>
      </c>
      <c r="AZ482">
        <v>4.125</v>
      </c>
      <c r="BA482">
        <v>0</v>
      </c>
      <c r="BB482">
        <v>0</v>
      </c>
      <c r="BC482">
        <v>44</v>
      </c>
      <c r="BN482">
        <v>181.9</v>
      </c>
      <c r="BO482">
        <v>3136</v>
      </c>
      <c r="BP482">
        <v>0</v>
      </c>
      <c r="BQ482">
        <v>42</v>
      </c>
      <c r="BR482">
        <v>42</v>
      </c>
      <c r="BS482">
        <v>41.91</v>
      </c>
      <c r="BT482">
        <v>0</v>
      </c>
      <c r="BV482">
        <v>0</v>
      </c>
      <c r="BW482" t="s">
        <v>655</v>
      </c>
      <c r="BX482">
        <v>0.17</v>
      </c>
      <c r="BY482">
        <v>7.1246999999999998</v>
      </c>
      <c r="BZ482">
        <v>0</v>
      </c>
      <c r="CA482">
        <v>1</v>
      </c>
      <c r="CB482">
        <v>0.6</v>
      </c>
      <c r="CC482" s="3">
        <v>7.1269159999999998E-2</v>
      </c>
      <c r="CD482">
        <v>2.875</v>
      </c>
      <c r="CE482">
        <v>2.5</v>
      </c>
      <c r="CF482">
        <v>18</v>
      </c>
      <c r="CG482">
        <v>6</v>
      </c>
      <c r="CH482">
        <v>0</v>
      </c>
      <c r="CI482">
        <v>41.91</v>
      </c>
      <c r="CJ482">
        <v>315.11689999999999</v>
      </c>
    </row>
    <row r="483" spans="1:88">
      <c r="A483">
        <v>481</v>
      </c>
      <c r="B483" t="s">
        <v>0</v>
      </c>
      <c r="C483" t="s">
        <v>1</v>
      </c>
      <c r="D483" t="s">
        <v>136</v>
      </c>
      <c r="E483" t="s">
        <v>139</v>
      </c>
      <c r="F483" t="s">
        <v>407</v>
      </c>
      <c r="G483" t="s">
        <v>106</v>
      </c>
      <c r="H483" t="s">
        <v>375</v>
      </c>
      <c r="J483">
        <v>2</v>
      </c>
      <c r="K483" t="s">
        <v>146</v>
      </c>
      <c r="L483" t="s">
        <v>158</v>
      </c>
      <c r="M483" t="s">
        <v>385</v>
      </c>
      <c r="N483" t="s">
        <v>177</v>
      </c>
      <c r="O483">
        <v>109</v>
      </c>
      <c r="Q483">
        <v>257</v>
      </c>
      <c r="R483">
        <v>53</v>
      </c>
      <c r="S483">
        <v>4.25</v>
      </c>
      <c r="T483">
        <v>3.024</v>
      </c>
      <c r="U483">
        <v>6.11</v>
      </c>
      <c r="V483">
        <v>1092.33</v>
      </c>
      <c r="W483">
        <v>323</v>
      </c>
      <c r="X483">
        <v>1.3332999999999999</v>
      </c>
      <c r="Y483">
        <v>251</v>
      </c>
      <c r="Z483">
        <v>4.3499999999999996</v>
      </c>
      <c r="AJ483">
        <v>2</v>
      </c>
      <c r="AK483">
        <v>18</v>
      </c>
      <c r="AM483">
        <v>0</v>
      </c>
      <c r="AO483" t="s">
        <v>484</v>
      </c>
      <c r="AT483">
        <v>43</v>
      </c>
      <c r="AV483">
        <v>30.3</v>
      </c>
      <c r="AW483">
        <v>0</v>
      </c>
      <c r="AX483">
        <v>0</v>
      </c>
      <c r="AY483">
        <v>25.75</v>
      </c>
      <c r="AZ483">
        <v>3.25</v>
      </c>
      <c r="BA483">
        <v>0</v>
      </c>
      <c r="BB483">
        <v>0</v>
      </c>
      <c r="BC483">
        <v>23</v>
      </c>
      <c r="BN483">
        <v>142.66669999999999</v>
      </c>
      <c r="BO483">
        <v>5098</v>
      </c>
      <c r="BP483">
        <v>0</v>
      </c>
      <c r="BQ483">
        <v>37</v>
      </c>
      <c r="BR483">
        <v>37</v>
      </c>
      <c r="BS483">
        <v>37.04</v>
      </c>
      <c r="BT483">
        <v>0</v>
      </c>
      <c r="BV483">
        <v>0</v>
      </c>
      <c r="BW483" t="s">
        <v>655</v>
      </c>
      <c r="BX483">
        <v>0.17</v>
      </c>
      <c r="BY483">
        <v>6.2968000000000002</v>
      </c>
      <c r="BZ483">
        <v>0</v>
      </c>
      <c r="CA483">
        <v>1</v>
      </c>
      <c r="CB483">
        <v>0.6</v>
      </c>
      <c r="CC483" s="3">
        <v>7.1269159999999998E-2</v>
      </c>
      <c r="CD483">
        <v>2.875</v>
      </c>
      <c r="CE483">
        <v>2.5</v>
      </c>
      <c r="CF483">
        <v>18</v>
      </c>
      <c r="CG483">
        <v>6</v>
      </c>
      <c r="CH483">
        <v>0</v>
      </c>
      <c r="CI483">
        <v>37.04</v>
      </c>
      <c r="CJ483">
        <v>220.42410000000001</v>
      </c>
    </row>
    <row r="484" spans="1:88">
      <c r="A484">
        <v>482</v>
      </c>
      <c r="B484" t="s">
        <v>13</v>
      </c>
      <c r="C484" t="s">
        <v>1</v>
      </c>
      <c r="D484" t="s">
        <v>502</v>
      </c>
      <c r="E484" t="s">
        <v>202</v>
      </c>
      <c r="F484" t="s">
        <v>503</v>
      </c>
      <c r="G484" t="s">
        <v>20</v>
      </c>
      <c r="H484" t="s">
        <v>502</v>
      </c>
      <c r="J484">
        <v>2</v>
      </c>
      <c r="K484" t="s">
        <v>9</v>
      </c>
      <c r="L484" t="s">
        <v>203</v>
      </c>
      <c r="M484" t="s">
        <v>204</v>
      </c>
      <c r="N484" t="s">
        <v>205</v>
      </c>
      <c r="O484">
        <v>181</v>
      </c>
      <c r="Q484">
        <v>1190</v>
      </c>
      <c r="R484">
        <v>155</v>
      </c>
      <c r="S484">
        <v>4.25</v>
      </c>
      <c r="T484">
        <v>4.7640000000000002</v>
      </c>
      <c r="U484">
        <v>7.08</v>
      </c>
      <c r="V484">
        <v>5055.97</v>
      </c>
      <c r="W484">
        <v>1094</v>
      </c>
      <c r="X484">
        <v>1.3332999999999999</v>
      </c>
      <c r="Y484">
        <v>830</v>
      </c>
      <c r="Z484">
        <v>6.09</v>
      </c>
      <c r="AJ484">
        <v>2</v>
      </c>
      <c r="AK484">
        <v>18</v>
      </c>
      <c r="AM484">
        <v>0</v>
      </c>
      <c r="AO484" t="s">
        <v>504</v>
      </c>
      <c r="AT484">
        <v>68</v>
      </c>
      <c r="AV484">
        <v>88.8</v>
      </c>
      <c r="AW484" t="s">
        <v>6</v>
      </c>
      <c r="AX484" t="s">
        <v>6</v>
      </c>
      <c r="AY484" t="s">
        <v>6</v>
      </c>
      <c r="AZ484" t="s">
        <v>6</v>
      </c>
      <c r="BA484" t="s">
        <v>6</v>
      </c>
      <c r="BB484" t="s">
        <v>6</v>
      </c>
      <c r="BC484" t="s">
        <v>6</v>
      </c>
      <c r="BD484" t="s">
        <v>6</v>
      </c>
      <c r="BE484" t="s">
        <v>6</v>
      </c>
      <c r="BF484" t="s">
        <v>6</v>
      </c>
      <c r="BG484" t="s">
        <v>6</v>
      </c>
      <c r="BH484" t="s">
        <v>6</v>
      </c>
      <c r="BI484" t="s">
        <v>6</v>
      </c>
      <c r="BJ484" t="s">
        <v>6</v>
      </c>
      <c r="BN484">
        <v>666.7165</v>
      </c>
      <c r="BO484">
        <v>2694</v>
      </c>
      <c r="BP484">
        <v>0</v>
      </c>
      <c r="BQ484">
        <v>62</v>
      </c>
      <c r="BR484">
        <v>62</v>
      </c>
      <c r="BS484">
        <v>62.08</v>
      </c>
      <c r="BT484">
        <v>0</v>
      </c>
      <c r="BV484">
        <v>6</v>
      </c>
      <c r="BW484" t="s">
        <v>655</v>
      </c>
      <c r="BX484">
        <v>0.27933330000000001</v>
      </c>
      <c r="BY484">
        <v>17.341010000000001</v>
      </c>
      <c r="BZ484">
        <v>0</v>
      </c>
      <c r="CA484">
        <v>1</v>
      </c>
      <c r="CB484">
        <v>0.6</v>
      </c>
      <c r="CC484" s="3">
        <v>7.1269159999999998E-2</v>
      </c>
      <c r="CD484">
        <v>2.875</v>
      </c>
      <c r="CE484">
        <v>2.5</v>
      </c>
      <c r="CF484">
        <v>18</v>
      </c>
      <c r="CG484">
        <v>6</v>
      </c>
      <c r="CH484">
        <v>0</v>
      </c>
      <c r="CI484">
        <v>62.08</v>
      </c>
      <c r="CJ484">
        <v>1083.422</v>
      </c>
    </row>
    <row r="485" spans="1:88">
      <c r="A485">
        <v>483</v>
      </c>
      <c r="B485" t="s">
        <v>0</v>
      </c>
      <c r="C485" t="s">
        <v>1</v>
      </c>
      <c r="D485" t="s">
        <v>459</v>
      </c>
      <c r="E485" t="s">
        <v>95</v>
      </c>
      <c r="F485" t="s">
        <v>389</v>
      </c>
      <c r="G485" t="s">
        <v>15</v>
      </c>
      <c r="H485" t="s">
        <v>460</v>
      </c>
      <c r="J485">
        <v>2</v>
      </c>
      <c r="K485" t="s">
        <v>108</v>
      </c>
      <c r="L485" t="s">
        <v>553</v>
      </c>
      <c r="M485" t="s">
        <v>582</v>
      </c>
      <c r="N485" t="s">
        <v>94</v>
      </c>
      <c r="O485">
        <v>229</v>
      </c>
      <c r="Q485">
        <v>1190</v>
      </c>
      <c r="R485">
        <v>136</v>
      </c>
      <c r="S485">
        <v>4.25</v>
      </c>
      <c r="T485">
        <v>5.7939999999999996</v>
      </c>
      <c r="U485">
        <v>7.72</v>
      </c>
      <c r="V485">
        <v>5058.43</v>
      </c>
      <c r="W485">
        <v>1046</v>
      </c>
      <c r="X485">
        <v>1.5</v>
      </c>
      <c r="Y485">
        <v>694</v>
      </c>
      <c r="Z485">
        <v>7.29</v>
      </c>
      <c r="AJ485">
        <v>2</v>
      </c>
      <c r="AK485">
        <v>18</v>
      </c>
      <c r="AM485">
        <v>0</v>
      </c>
      <c r="AO485" t="s">
        <v>418</v>
      </c>
      <c r="AT485">
        <v>85</v>
      </c>
      <c r="AV485">
        <v>71.400000000000006</v>
      </c>
      <c r="AW485" t="s">
        <v>6</v>
      </c>
      <c r="AX485" t="s">
        <v>6</v>
      </c>
      <c r="AY485" t="s">
        <v>6</v>
      </c>
      <c r="AZ485" t="s">
        <v>6</v>
      </c>
      <c r="BA485" t="s">
        <v>6</v>
      </c>
      <c r="BB485" t="s">
        <v>6</v>
      </c>
      <c r="BC485" t="s">
        <v>6</v>
      </c>
      <c r="BD485" t="s">
        <v>6</v>
      </c>
      <c r="BE485" t="s">
        <v>6</v>
      </c>
      <c r="BF485" t="s">
        <v>6</v>
      </c>
      <c r="BG485" t="s">
        <v>6</v>
      </c>
      <c r="BH485" t="s">
        <v>6</v>
      </c>
      <c r="BI485" t="s">
        <v>6</v>
      </c>
      <c r="BJ485" t="s">
        <v>6</v>
      </c>
      <c r="BN485">
        <v>609.31560000000002</v>
      </c>
      <c r="BO485">
        <v>2946</v>
      </c>
      <c r="BP485">
        <v>0</v>
      </c>
      <c r="BQ485">
        <v>79</v>
      </c>
      <c r="BR485">
        <v>79</v>
      </c>
      <c r="BS485">
        <v>78.78</v>
      </c>
      <c r="BT485">
        <v>0</v>
      </c>
      <c r="BV485">
        <v>0</v>
      </c>
      <c r="BW485" t="s">
        <v>655</v>
      </c>
      <c r="BX485">
        <v>0.17</v>
      </c>
      <c r="BY485">
        <v>13.3926</v>
      </c>
      <c r="BZ485">
        <v>0</v>
      </c>
      <c r="CA485">
        <v>1</v>
      </c>
      <c r="CB485">
        <v>0.6</v>
      </c>
      <c r="CC485" s="3">
        <v>7.1269159999999998E-2</v>
      </c>
      <c r="CD485">
        <v>2.875</v>
      </c>
      <c r="CE485">
        <v>2.5</v>
      </c>
      <c r="CF485">
        <v>18</v>
      </c>
      <c r="CG485">
        <v>6</v>
      </c>
      <c r="CH485">
        <v>0</v>
      </c>
      <c r="CI485">
        <v>78.78</v>
      </c>
      <c r="CJ485">
        <v>1105.3710000000001</v>
      </c>
    </row>
    <row r="486" spans="1:88">
      <c r="A486">
        <v>484</v>
      </c>
      <c r="B486" t="s">
        <v>13</v>
      </c>
      <c r="C486" t="s">
        <v>1</v>
      </c>
      <c r="D486" t="s">
        <v>158</v>
      </c>
      <c r="E486" t="s">
        <v>96</v>
      </c>
      <c r="F486" t="s">
        <v>166</v>
      </c>
      <c r="G486" t="s">
        <v>106</v>
      </c>
      <c r="H486" t="s">
        <v>119</v>
      </c>
      <c r="J486">
        <v>2</v>
      </c>
      <c r="K486" t="s">
        <v>146</v>
      </c>
      <c r="L486" t="s">
        <v>293</v>
      </c>
      <c r="M486" t="s">
        <v>100</v>
      </c>
      <c r="N486" t="s">
        <v>101</v>
      </c>
      <c r="O486">
        <v>131</v>
      </c>
      <c r="Q486">
        <v>439</v>
      </c>
      <c r="R486">
        <v>80</v>
      </c>
      <c r="S486">
        <v>4.25</v>
      </c>
      <c r="T486">
        <v>3.5859999999999999</v>
      </c>
      <c r="U486">
        <v>6.37</v>
      </c>
      <c r="V486">
        <v>1864.34</v>
      </c>
      <c r="W486">
        <v>508</v>
      </c>
      <c r="X486">
        <v>1.3332999999999999</v>
      </c>
      <c r="Y486">
        <v>380</v>
      </c>
      <c r="Z486">
        <v>4.91</v>
      </c>
      <c r="AJ486">
        <v>2</v>
      </c>
      <c r="AK486">
        <v>18</v>
      </c>
      <c r="AM486">
        <v>0</v>
      </c>
      <c r="AO486" t="s">
        <v>286</v>
      </c>
      <c r="AT486">
        <v>51</v>
      </c>
      <c r="AV486">
        <v>44.1</v>
      </c>
      <c r="AW486">
        <v>0</v>
      </c>
      <c r="AX486">
        <v>0</v>
      </c>
      <c r="AY486">
        <v>53.375</v>
      </c>
      <c r="AZ486">
        <v>4.625</v>
      </c>
      <c r="BA486">
        <v>0</v>
      </c>
      <c r="BB486">
        <v>0</v>
      </c>
      <c r="BC486">
        <v>57</v>
      </c>
      <c r="BN486">
        <v>210.43340000000001</v>
      </c>
      <c r="BO486">
        <v>2343</v>
      </c>
      <c r="BP486">
        <v>0</v>
      </c>
      <c r="BQ486">
        <v>45</v>
      </c>
      <c r="BR486">
        <v>45</v>
      </c>
      <c r="BS486">
        <v>44.69</v>
      </c>
      <c r="BT486">
        <v>0</v>
      </c>
      <c r="BV486">
        <v>0</v>
      </c>
      <c r="BW486" t="s">
        <v>655</v>
      </c>
      <c r="BX486">
        <v>0.17</v>
      </c>
      <c r="BY486">
        <v>7.5972999999999997</v>
      </c>
      <c r="BZ486">
        <v>0</v>
      </c>
      <c r="CA486">
        <v>1</v>
      </c>
      <c r="CB486">
        <v>0.6</v>
      </c>
      <c r="CC486" s="3">
        <v>7.1269159999999998E-2</v>
      </c>
      <c r="CD486">
        <v>2.875</v>
      </c>
      <c r="CE486">
        <v>2.5</v>
      </c>
      <c r="CF486">
        <v>18</v>
      </c>
      <c r="CG486">
        <v>6</v>
      </c>
      <c r="CH486">
        <v>0</v>
      </c>
      <c r="CI486">
        <v>44.69</v>
      </c>
      <c r="CJ486">
        <v>386.97969999999998</v>
      </c>
    </row>
    <row r="487" spans="1:88">
      <c r="A487">
        <v>485</v>
      </c>
      <c r="B487" t="s">
        <v>0</v>
      </c>
      <c r="C487" t="s">
        <v>1</v>
      </c>
      <c r="D487" t="s">
        <v>245</v>
      </c>
      <c r="E487" t="s">
        <v>338</v>
      </c>
      <c r="F487" t="s">
        <v>535</v>
      </c>
      <c r="G487" t="s">
        <v>15</v>
      </c>
      <c r="H487" t="s">
        <v>583</v>
      </c>
      <c r="J487">
        <v>2</v>
      </c>
      <c r="K487" t="s">
        <v>108</v>
      </c>
      <c r="L487" t="s">
        <v>143</v>
      </c>
      <c r="M487" t="s">
        <v>339</v>
      </c>
      <c r="N487" t="s">
        <v>340</v>
      </c>
      <c r="O487">
        <v>135</v>
      </c>
      <c r="Q487">
        <v>777</v>
      </c>
      <c r="R487">
        <v>133</v>
      </c>
      <c r="S487">
        <v>4.25</v>
      </c>
      <c r="T487">
        <v>3.6850000000000001</v>
      </c>
      <c r="U487">
        <v>6.45</v>
      </c>
      <c r="V487">
        <v>3301.82</v>
      </c>
      <c r="W487">
        <v>858</v>
      </c>
      <c r="X487">
        <v>1.3332999999999999</v>
      </c>
      <c r="Y487">
        <v>659</v>
      </c>
      <c r="Z487">
        <v>5.01</v>
      </c>
      <c r="AJ487">
        <v>2</v>
      </c>
      <c r="AK487">
        <v>18</v>
      </c>
      <c r="AM487">
        <v>0</v>
      </c>
      <c r="AO487" t="s">
        <v>526</v>
      </c>
      <c r="AT487">
        <v>52</v>
      </c>
      <c r="AV487">
        <v>76.5</v>
      </c>
      <c r="AW487" t="s">
        <v>6</v>
      </c>
      <c r="AX487" t="s">
        <v>6</v>
      </c>
      <c r="AY487" t="s">
        <v>6</v>
      </c>
      <c r="AZ487" t="s">
        <v>6</v>
      </c>
      <c r="BA487" t="s">
        <v>6</v>
      </c>
      <c r="BB487" t="s">
        <v>6</v>
      </c>
      <c r="BC487" t="s">
        <v>6</v>
      </c>
      <c r="BD487" t="s">
        <v>6</v>
      </c>
      <c r="BE487" t="s">
        <v>6</v>
      </c>
      <c r="BF487" t="s">
        <v>6</v>
      </c>
      <c r="BG487" t="s">
        <v>6</v>
      </c>
      <c r="BH487" t="s">
        <v>6</v>
      </c>
      <c r="BI487" t="s">
        <v>6</v>
      </c>
      <c r="BJ487" t="s">
        <v>6</v>
      </c>
      <c r="BN487">
        <v>653.51459999999997</v>
      </c>
      <c r="BO487">
        <v>2561</v>
      </c>
      <c r="BP487">
        <v>0</v>
      </c>
      <c r="BQ487">
        <v>46</v>
      </c>
      <c r="BR487">
        <v>46</v>
      </c>
      <c r="BS487">
        <v>46.08</v>
      </c>
      <c r="BT487">
        <v>0</v>
      </c>
      <c r="BV487">
        <v>0</v>
      </c>
      <c r="BW487" t="s">
        <v>655</v>
      </c>
      <c r="BX487">
        <v>0.17</v>
      </c>
      <c r="BY487">
        <v>7.8336009999999998</v>
      </c>
      <c r="BZ487">
        <v>0</v>
      </c>
      <c r="CA487">
        <v>1</v>
      </c>
      <c r="CB487">
        <v>0.6</v>
      </c>
      <c r="CC487" s="3">
        <v>7.1269159999999998E-2</v>
      </c>
      <c r="CD487">
        <v>2.875</v>
      </c>
      <c r="CE487">
        <v>2.5</v>
      </c>
      <c r="CF487">
        <v>18</v>
      </c>
      <c r="CG487">
        <v>6</v>
      </c>
      <c r="CH487">
        <v>0</v>
      </c>
      <c r="CI487">
        <v>46.08</v>
      </c>
      <c r="CJ487">
        <v>692.53099999999995</v>
      </c>
    </row>
    <row r="488" spans="1:88">
      <c r="A488">
        <v>486</v>
      </c>
      <c r="B488" t="s">
        <v>13</v>
      </c>
      <c r="C488" t="s">
        <v>1</v>
      </c>
      <c r="D488" t="s">
        <v>251</v>
      </c>
      <c r="E488" t="s">
        <v>278</v>
      </c>
      <c r="F488" t="s">
        <v>266</v>
      </c>
      <c r="G488" t="s">
        <v>214</v>
      </c>
      <c r="H488" t="s">
        <v>291</v>
      </c>
      <c r="J488">
        <v>2</v>
      </c>
      <c r="K488" t="s">
        <v>108</v>
      </c>
      <c r="L488" t="s">
        <v>280</v>
      </c>
      <c r="M488" t="s">
        <v>281</v>
      </c>
      <c r="N488" t="s">
        <v>282</v>
      </c>
      <c r="O488">
        <v>207</v>
      </c>
      <c r="Q488">
        <v>935</v>
      </c>
      <c r="R488">
        <v>117</v>
      </c>
      <c r="S488">
        <v>4.25</v>
      </c>
      <c r="T488">
        <v>5.3319999999999999</v>
      </c>
      <c r="U488">
        <v>7.42</v>
      </c>
      <c r="V488">
        <v>3973.36</v>
      </c>
      <c r="W488">
        <v>868</v>
      </c>
      <c r="X488">
        <v>1.5</v>
      </c>
      <c r="Y488">
        <v>582</v>
      </c>
      <c r="Z488">
        <v>6.83</v>
      </c>
      <c r="AJ488">
        <v>2</v>
      </c>
      <c r="AK488">
        <v>18</v>
      </c>
      <c r="AM488">
        <v>0</v>
      </c>
      <c r="AO488" t="s">
        <v>292</v>
      </c>
      <c r="AT488">
        <v>77</v>
      </c>
      <c r="AV488">
        <v>61.6</v>
      </c>
      <c r="AW488">
        <v>0.46875</v>
      </c>
      <c r="AX488">
        <v>3.75</v>
      </c>
      <c r="AY488">
        <v>69.75</v>
      </c>
      <c r="AZ488">
        <v>6.375</v>
      </c>
      <c r="BA488">
        <v>290.87</v>
      </c>
      <c r="BB488">
        <v>6.77</v>
      </c>
      <c r="BC488">
        <v>75</v>
      </c>
      <c r="BD488">
        <v>0.46875</v>
      </c>
      <c r="BE488">
        <v>3.75</v>
      </c>
      <c r="BF488">
        <v>69.75</v>
      </c>
      <c r="BG488">
        <v>6.375</v>
      </c>
      <c r="BH488">
        <v>290.87</v>
      </c>
      <c r="BI488">
        <v>6.77</v>
      </c>
      <c r="BJ488">
        <v>75</v>
      </c>
      <c r="BL488">
        <v>581.74</v>
      </c>
      <c r="BM488">
        <v>149</v>
      </c>
      <c r="BN488">
        <v>298.52330000000001</v>
      </c>
      <c r="BO488">
        <v>1461</v>
      </c>
      <c r="BP488">
        <v>0</v>
      </c>
      <c r="BQ488">
        <v>71</v>
      </c>
      <c r="BR488">
        <v>71</v>
      </c>
      <c r="BS488">
        <v>71.13</v>
      </c>
      <c r="BT488">
        <v>0</v>
      </c>
      <c r="BV488">
        <v>0</v>
      </c>
      <c r="BW488" t="s">
        <v>655</v>
      </c>
      <c r="BX488">
        <v>0.17</v>
      </c>
      <c r="BY488">
        <v>12.0921</v>
      </c>
      <c r="BZ488">
        <v>0</v>
      </c>
      <c r="CA488">
        <v>1</v>
      </c>
      <c r="CB488">
        <v>0.6</v>
      </c>
      <c r="CC488" s="3">
        <v>7.1269159999999998E-2</v>
      </c>
      <c r="CD488">
        <v>2.875</v>
      </c>
      <c r="CE488">
        <v>2.5</v>
      </c>
      <c r="CF488">
        <v>18</v>
      </c>
      <c r="CG488">
        <v>6</v>
      </c>
      <c r="CH488">
        <v>0</v>
      </c>
      <c r="CI488">
        <v>71.13</v>
      </c>
      <c r="CJ488">
        <v>861.16010000000006</v>
      </c>
    </row>
    <row r="489" spans="1:88">
      <c r="A489">
        <v>487</v>
      </c>
      <c r="B489" t="s">
        <v>0</v>
      </c>
      <c r="C489" t="s">
        <v>1</v>
      </c>
      <c r="D489" t="s">
        <v>2</v>
      </c>
      <c r="E489" t="s">
        <v>229</v>
      </c>
      <c r="F489" t="s">
        <v>154</v>
      </c>
      <c r="G489" t="s">
        <v>106</v>
      </c>
      <c r="H489" t="s">
        <v>217</v>
      </c>
      <c r="J489">
        <v>2</v>
      </c>
      <c r="K489" t="s">
        <v>146</v>
      </c>
      <c r="L489" t="s">
        <v>128</v>
      </c>
      <c r="M489" t="s">
        <v>404</v>
      </c>
      <c r="N489" t="s">
        <v>268</v>
      </c>
      <c r="O489">
        <v>120</v>
      </c>
      <c r="Q489">
        <v>333</v>
      </c>
      <c r="R489">
        <v>67</v>
      </c>
      <c r="S489">
        <v>4.25</v>
      </c>
      <c r="T489">
        <v>3.3079999999999998</v>
      </c>
      <c r="U489">
        <v>6.15</v>
      </c>
      <c r="V489">
        <v>1414.39</v>
      </c>
      <c r="W489">
        <v>412</v>
      </c>
      <c r="X489">
        <v>1.3332999999999999</v>
      </c>
      <c r="Y489">
        <v>305</v>
      </c>
      <c r="Z489">
        <v>4.6399999999999997</v>
      </c>
      <c r="AJ489">
        <v>2</v>
      </c>
      <c r="AK489">
        <v>18</v>
      </c>
      <c r="AM489">
        <v>0</v>
      </c>
      <c r="AO489" t="s">
        <v>218</v>
      </c>
      <c r="AT489">
        <v>47</v>
      </c>
      <c r="AV489">
        <v>36.1</v>
      </c>
      <c r="AW489">
        <v>0</v>
      </c>
      <c r="AX489">
        <v>0</v>
      </c>
      <c r="AY489">
        <v>46.625</v>
      </c>
      <c r="AZ489">
        <v>4</v>
      </c>
      <c r="BA489">
        <v>0</v>
      </c>
      <c r="BB489">
        <v>0</v>
      </c>
      <c r="BC489">
        <v>47</v>
      </c>
      <c r="BN489">
        <v>171.2</v>
      </c>
      <c r="BO489">
        <v>3540</v>
      </c>
      <c r="BP489">
        <v>0</v>
      </c>
      <c r="BQ489">
        <v>41</v>
      </c>
      <c r="BR489">
        <v>41</v>
      </c>
      <c r="BS489">
        <v>40.86</v>
      </c>
      <c r="BT489">
        <v>0</v>
      </c>
      <c r="BV489">
        <v>0</v>
      </c>
      <c r="BW489" t="s">
        <v>655</v>
      </c>
      <c r="BX489">
        <v>0.17</v>
      </c>
      <c r="BY489">
        <v>6.9462010000000003</v>
      </c>
      <c r="BZ489">
        <v>0</v>
      </c>
      <c r="CA489">
        <v>1</v>
      </c>
      <c r="CB489">
        <v>0.6</v>
      </c>
      <c r="CC489" s="3">
        <v>7.1269159999999998E-2</v>
      </c>
      <c r="CD489">
        <v>2.875</v>
      </c>
      <c r="CE489">
        <v>2.5</v>
      </c>
      <c r="CF489">
        <v>18</v>
      </c>
      <c r="CG489">
        <v>6</v>
      </c>
      <c r="CH489">
        <v>0</v>
      </c>
      <c r="CI489">
        <v>40.86</v>
      </c>
      <c r="CJ489">
        <v>289.74979999999999</v>
      </c>
    </row>
    <row r="490" spans="1:88">
      <c r="A490">
        <v>488</v>
      </c>
      <c r="B490" t="s">
        <v>13</v>
      </c>
      <c r="C490" t="s">
        <v>1</v>
      </c>
      <c r="D490" t="s">
        <v>169</v>
      </c>
      <c r="E490" t="s">
        <v>234</v>
      </c>
      <c r="F490" t="s">
        <v>404</v>
      </c>
      <c r="G490" t="s">
        <v>106</v>
      </c>
      <c r="H490" t="s">
        <v>190</v>
      </c>
      <c r="J490">
        <v>2</v>
      </c>
      <c r="K490" t="s">
        <v>146</v>
      </c>
      <c r="L490" t="s">
        <v>103</v>
      </c>
      <c r="M490" t="s">
        <v>435</v>
      </c>
      <c r="N490" t="s">
        <v>295</v>
      </c>
      <c r="O490">
        <v>147</v>
      </c>
      <c r="Q490">
        <v>448</v>
      </c>
      <c r="R490">
        <v>74</v>
      </c>
      <c r="S490">
        <v>4.25</v>
      </c>
      <c r="T490">
        <v>3.976</v>
      </c>
      <c r="U490">
        <v>6.67</v>
      </c>
      <c r="V490">
        <v>1905.7</v>
      </c>
      <c r="W490">
        <v>493</v>
      </c>
      <c r="X490">
        <v>1.3332999999999999</v>
      </c>
      <c r="Y490">
        <v>360</v>
      </c>
      <c r="Z490">
        <v>5.3</v>
      </c>
      <c r="AJ490">
        <v>2</v>
      </c>
      <c r="AK490">
        <v>18</v>
      </c>
      <c r="AM490">
        <v>0</v>
      </c>
      <c r="AO490" t="s">
        <v>406</v>
      </c>
      <c r="AT490">
        <v>56</v>
      </c>
      <c r="AV490">
        <v>40.4</v>
      </c>
      <c r="AW490">
        <v>0</v>
      </c>
      <c r="AX490">
        <v>0</v>
      </c>
      <c r="AY490">
        <v>56.375</v>
      </c>
      <c r="AZ490">
        <v>5</v>
      </c>
      <c r="BA490">
        <v>0</v>
      </c>
      <c r="BB490">
        <v>0</v>
      </c>
      <c r="BC490">
        <v>61</v>
      </c>
      <c r="BN490">
        <v>192.6</v>
      </c>
      <c r="BO490">
        <v>2797</v>
      </c>
      <c r="BP490">
        <v>0</v>
      </c>
      <c r="BQ490">
        <v>50</v>
      </c>
      <c r="BR490">
        <v>50</v>
      </c>
      <c r="BS490">
        <v>50.26</v>
      </c>
      <c r="BT490">
        <v>0</v>
      </c>
      <c r="BV490">
        <v>0</v>
      </c>
      <c r="BW490" t="s">
        <v>655</v>
      </c>
      <c r="BX490">
        <v>0.17</v>
      </c>
      <c r="BY490">
        <v>8.5442</v>
      </c>
      <c r="BZ490">
        <v>0</v>
      </c>
      <c r="CA490">
        <v>1</v>
      </c>
      <c r="CB490">
        <v>0.6</v>
      </c>
      <c r="CC490" s="3">
        <v>7.1269159999999998E-2</v>
      </c>
      <c r="CD490">
        <v>2.875</v>
      </c>
      <c r="CE490">
        <v>2.5</v>
      </c>
      <c r="CF490">
        <v>18</v>
      </c>
      <c r="CG490">
        <v>6</v>
      </c>
      <c r="CH490">
        <v>0</v>
      </c>
      <c r="CI490">
        <v>50.26</v>
      </c>
      <c r="CJ490">
        <v>399.39159999999998</v>
      </c>
    </row>
    <row r="491" spans="1:88">
      <c r="A491">
        <v>489</v>
      </c>
      <c r="B491" t="s">
        <v>0</v>
      </c>
      <c r="C491" t="s">
        <v>1</v>
      </c>
      <c r="D491" t="s">
        <v>178</v>
      </c>
      <c r="E491" t="s">
        <v>122</v>
      </c>
      <c r="F491" t="s">
        <v>408</v>
      </c>
      <c r="G491" t="s">
        <v>106</v>
      </c>
      <c r="H491" t="s">
        <v>141</v>
      </c>
      <c r="J491">
        <v>2</v>
      </c>
      <c r="K491" t="s">
        <v>146</v>
      </c>
      <c r="L491" t="s">
        <v>234</v>
      </c>
      <c r="M491" t="s">
        <v>126</v>
      </c>
      <c r="N491" t="s">
        <v>162</v>
      </c>
      <c r="O491">
        <v>127</v>
      </c>
      <c r="Q491">
        <v>309</v>
      </c>
      <c r="R491">
        <v>60</v>
      </c>
      <c r="S491">
        <v>4.25</v>
      </c>
      <c r="T491">
        <v>3.4860000000000002</v>
      </c>
      <c r="U491">
        <v>6.3</v>
      </c>
      <c r="V491">
        <v>1313.84</v>
      </c>
      <c r="W491">
        <v>379</v>
      </c>
      <c r="X491">
        <v>1.5</v>
      </c>
      <c r="Y491">
        <v>264</v>
      </c>
      <c r="Z491">
        <v>4.9800000000000004</v>
      </c>
      <c r="AJ491">
        <v>2</v>
      </c>
      <c r="AK491">
        <v>18</v>
      </c>
      <c r="AM491">
        <v>0</v>
      </c>
      <c r="AO491" t="s">
        <v>409</v>
      </c>
      <c r="AT491">
        <v>49</v>
      </c>
      <c r="AV491">
        <v>31.7</v>
      </c>
      <c r="AW491">
        <v>0</v>
      </c>
      <c r="AX491">
        <v>0</v>
      </c>
      <c r="AY491">
        <v>36.875</v>
      </c>
      <c r="AZ491">
        <v>4</v>
      </c>
      <c r="BA491">
        <v>0</v>
      </c>
      <c r="BB491">
        <v>0</v>
      </c>
      <c r="BC491">
        <v>35</v>
      </c>
      <c r="BN491">
        <v>149.80000000000001</v>
      </c>
      <c r="BO491">
        <v>4624</v>
      </c>
      <c r="BP491">
        <v>0</v>
      </c>
      <c r="BQ491">
        <v>43</v>
      </c>
      <c r="BR491">
        <v>43</v>
      </c>
      <c r="BS491">
        <v>43.3</v>
      </c>
      <c r="BT491">
        <v>0</v>
      </c>
      <c r="BV491">
        <v>0</v>
      </c>
      <c r="BW491" t="s">
        <v>655</v>
      </c>
      <c r="BX491">
        <v>0.17</v>
      </c>
      <c r="BY491">
        <v>7.3609999999999998</v>
      </c>
      <c r="BZ491">
        <v>0</v>
      </c>
      <c r="CA491">
        <v>1</v>
      </c>
      <c r="CB491">
        <v>0.6</v>
      </c>
      <c r="CC491" s="3">
        <v>7.1269159999999998E-2</v>
      </c>
      <c r="CD491">
        <v>2.875</v>
      </c>
      <c r="CE491">
        <v>2.5</v>
      </c>
      <c r="CF491">
        <v>18</v>
      </c>
      <c r="CG491">
        <v>6</v>
      </c>
      <c r="CH491">
        <v>0</v>
      </c>
      <c r="CI491">
        <v>43.3</v>
      </c>
      <c r="CJ491">
        <v>270.02100000000002</v>
      </c>
    </row>
    <row r="492" spans="1:88">
      <c r="A492">
        <v>490</v>
      </c>
      <c r="B492" t="s">
        <v>13</v>
      </c>
      <c r="C492" t="s">
        <v>1</v>
      </c>
      <c r="D492" t="s">
        <v>295</v>
      </c>
      <c r="E492" t="s">
        <v>258</v>
      </c>
      <c r="F492" t="s">
        <v>465</v>
      </c>
      <c r="G492" t="s">
        <v>106</v>
      </c>
      <c r="H492" t="s">
        <v>99</v>
      </c>
      <c r="J492">
        <v>2</v>
      </c>
      <c r="K492" t="s">
        <v>146</v>
      </c>
      <c r="L492" t="s">
        <v>14</v>
      </c>
      <c r="M492" t="s">
        <v>260</v>
      </c>
      <c r="N492" t="s">
        <v>120</v>
      </c>
      <c r="O492">
        <v>162</v>
      </c>
      <c r="Q492">
        <v>624</v>
      </c>
      <c r="R492">
        <v>92</v>
      </c>
      <c r="S492">
        <v>4.25</v>
      </c>
      <c r="T492">
        <v>4.33</v>
      </c>
      <c r="U492">
        <v>6.82</v>
      </c>
      <c r="V492">
        <v>2654.08</v>
      </c>
      <c r="W492">
        <v>626</v>
      </c>
      <c r="X492">
        <v>1.3332999999999999</v>
      </c>
      <c r="Y492">
        <v>469</v>
      </c>
      <c r="Z492">
        <v>5.66</v>
      </c>
      <c r="AJ492">
        <v>2</v>
      </c>
      <c r="AK492">
        <v>18</v>
      </c>
      <c r="AM492">
        <v>0</v>
      </c>
      <c r="AO492" t="s">
        <v>184</v>
      </c>
      <c r="AT492">
        <v>62</v>
      </c>
      <c r="AV492">
        <v>51.7</v>
      </c>
      <c r="AW492">
        <v>0.40625</v>
      </c>
      <c r="AX492">
        <v>3.75</v>
      </c>
      <c r="AY492">
        <v>41.5</v>
      </c>
      <c r="AZ492">
        <v>4.625</v>
      </c>
      <c r="BA492">
        <v>234.45</v>
      </c>
      <c r="BB492">
        <v>5.64</v>
      </c>
      <c r="BC492">
        <v>39</v>
      </c>
      <c r="BD492">
        <v>0.40625</v>
      </c>
      <c r="BE492">
        <v>3.75</v>
      </c>
      <c r="BF492">
        <v>41.5</v>
      </c>
      <c r="BG492">
        <v>4.625</v>
      </c>
      <c r="BH492">
        <v>234.45</v>
      </c>
      <c r="BI492">
        <v>5.64</v>
      </c>
      <c r="BJ492">
        <v>39</v>
      </c>
      <c r="BL492">
        <v>468.9</v>
      </c>
      <c r="BM492">
        <v>78</v>
      </c>
      <c r="BN492">
        <v>247.88339999999999</v>
      </c>
      <c r="BO492">
        <v>1689</v>
      </c>
      <c r="BP492">
        <v>0</v>
      </c>
      <c r="BQ492">
        <v>55</v>
      </c>
      <c r="BR492">
        <v>55</v>
      </c>
      <c r="BS492">
        <v>55.47</v>
      </c>
      <c r="BT492">
        <v>0</v>
      </c>
      <c r="BV492">
        <v>0</v>
      </c>
      <c r="BW492" t="s">
        <v>655</v>
      </c>
      <c r="BX492">
        <v>0.17</v>
      </c>
      <c r="BY492">
        <v>9.4298999999999999</v>
      </c>
      <c r="BZ492">
        <v>0</v>
      </c>
      <c r="CA492">
        <v>1</v>
      </c>
      <c r="CB492">
        <v>0.6</v>
      </c>
      <c r="CC492" s="3">
        <v>7.1269159999999998E-2</v>
      </c>
      <c r="CD492">
        <v>2.875</v>
      </c>
      <c r="CE492">
        <v>2.5</v>
      </c>
      <c r="CF492">
        <v>18</v>
      </c>
      <c r="CG492">
        <v>6</v>
      </c>
      <c r="CH492">
        <v>0</v>
      </c>
      <c r="CI492">
        <v>55.47</v>
      </c>
      <c r="CJ492">
        <v>563.34529999999995</v>
      </c>
    </row>
    <row r="493" spans="1:88">
      <c r="A493">
        <v>491</v>
      </c>
      <c r="B493" t="s">
        <v>0</v>
      </c>
      <c r="C493" t="s">
        <v>1</v>
      </c>
      <c r="D493" t="s">
        <v>158</v>
      </c>
      <c r="E493" t="s">
        <v>104</v>
      </c>
      <c r="F493" t="s">
        <v>166</v>
      </c>
      <c r="G493" t="s">
        <v>106</v>
      </c>
      <c r="H493" t="s">
        <v>119</v>
      </c>
      <c r="J493">
        <v>2</v>
      </c>
      <c r="K493" t="s">
        <v>146</v>
      </c>
      <c r="L493" t="s">
        <v>109</v>
      </c>
      <c r="M493" t="s">
        <v>110</v>
      </c>
      <c r="N493" t="s">
        <v>111</v>
      </c>
      <c r="O493">
        <v>191</v>
      </c>
      <c r="Q493">
        <v>623</v>
      </c>
      <c r="R493">
        <v>80</v>
      </c>
      <c r="S493">
        <v>4.25</v>
      </c>
      <c r="T493">
        <v>4.9850000000000003</v>
      </c>
      <c r="U493">
        <v>7.27</v>
      </c>
      <c r="V493">
        <v>2647.49</v>
      </c>
      <c r="W493">
        <v>579</v>
      </c>
      <c r="X493">
        <v>1.3332999999999999</v>
      </c>
      <c r="Y493">
        <v>420</v>
      </c>
      <c r="Z493">
        <v>6.31</v>
      </c>
      <c r="AJ493">
        <v>2</v>
      </c>
      <c r="AK493">
        <v>18</v>
      </c>
      <c r="AM493">
        <v>0</v>
      </c>
      <c r="AO493" t="s">
        <v>286</v>
      </c>
      <c r="AT493">
        <v>72</v>
      </c>
      <c r="AV493">
        <v>44.1</v>
      </c>
      <c r="AW493">
        <v>0.40625</v>
      </c>
      <c r="AX493">
        <v>3.75</v>
      </c>
      <c r="AY493">
        <v>46.375</v>
      </c>
      <c r="AZ493">
        <v>5.125</v>
      </c>
      <c r="BA493">
        <v>209.78</v>
      </c>
      <c r="BB493">
        <v>6.31</v>
      </c>
      <c r="BC493">
        <v>44</v>
      </c>
      <c r="BD493">
        <v>0.40625</v>
      </c>
      <c r="BE493">
        <v>3.75</v>
      </c>
      <c r="BF493">
        <v>46.375</v>
      </c>
      <c r="BG493">
        <v>5.125</v>
      </c>
      <c r="BH493">
        <v>209.78</v>
      </c>
      <c r="BI493">
        <v>6.31</v>
      </c>
      <c r="BJ493">
        <v>44</v>
      </c>
      <c r="BL493">
        <v>419.56</v>
      </c>
      <c r="BM493">
        <v>87</v>
      </c>
      <c r="BN493">
        <v>210.43340000000001</v>
      </c>
      <c r="BO493">
        <v>2343</v>
      </c>
      <c r="BP493">
        <v>0</v>
      </c>
      <c r="BQ493">
        <v>66</v>
      </c>
      <c r="BR493">
        <v>66</v>
      </c>
      <c r="BS493">
        <v>65.56</v>
      </c>
      <c r="BT493">
        <v>0</v>
      </c>
      <c r="BV493">
        <v>0</v>
      </c>
      <c r="BW493" t="s">
        <v>655</v>
      </c>
      <c r="BX493">
        <v>0.17</v>
      </c>
      <c r="BY493">
        <v>11.145200000000001</v>
      </c>
      <c r="BZ493">
        <v>0</v>
      </c>
      <c r="CA493">
        <v>1</v>
      </c>
      <c r="CB493">
        <v>0.6</v>
      </c>
      <c r="CC493" s="3">
        <v>7.1269159999999998E-2</v>
      </c>
      <c r="CD493">
        <v>2.875</v>
      </c>
      <c r="CE493">
        <v>2.5</v>
      </c>
      <c r="CF493">
        <v>18</v>
      </c>
      <c r="CG493">
        <v>6</v>
      </c>
      <c r="CH493">
        <v>0</v>
      </c>
      <c r="CI493">
        <v>65.56</v>
      </c>
      <c r="CJ493">
        <v>567.69730000000004</v>
      </c>
    </row>
    <row r="494" spans="1:88">
      <c r="A494">
        <v>492</v>
      </c>
      <c r="B494" t="s">
        <v>13</v>
      </c>
      <c r="C494" t="s">
        <v>1</v>
      </c>
      <c r="D494" t="s">
        <v>565</v>
      </c>
      <c r="E494" t="s">
        <v>207</v>
      </c>
      <c r="F494" t="s">
        <v>566</v>
      </c>
      <c r="G494" t="s">
        <v>15</v>
      </c>
      <c r="H494" t="s">
        <v>565</v>
      </c>
      <c r="J494">
        <v>2</v>
      </c>
      <c r="K494" t="s">
        <v>9</v>
      </c>
      <c r="L494" t="s">
        <v>197</v>
      </c>
      <c r="M494" t="s">
        <v>211</v>
      </c>
      <c r="N494" t="s">
        <v>279</v>
      </c>
      <c r="O494">
        <v>153</v>
      </c>
      <c r="Q494">
        <v>939</v>
      </c>
      <c r="R494">
        <v>143</v>
      </c>
      <c r="S494">
        <v>4.25</v>
      </c>
      <c r="T494">
        <v>4.1189999999999998</v>
      </c>
      <c r="U494">
        <v>6.75</v>
      </c>
      <c r="V494">
        <v>3991.47</v>
      </c>
      <c r="W494">
        <v>962</v>
      </c>
      <c r="X494">
        <v>1.3332999999999999</v>
      </c>
      <c r="Y494">
        <v>732</v>
      </c>
      <c r="Z494">
        <v>5.45</v>
      </c>
      <c r="AJ494">
        <v>2</v>
      </c>
      <c r="AK494">
        <v>18</v>
      </c>
      <c r="AM494">
        <v>0</v>
      </c>
      <c r="AO494" t="s">
        <v>567</v>
      </c>
      <c r="AT494">
        <v>58</v>
      </c>
      <c r="AV494">
        <v>81.900000000000006</v>
      </c>
      <c r="AW494" t="s">
        <v>6</v>
      </c>
      <c r="AX494" t="s">
        <v>6</v>
      </c>
      <c r="AY494" t="s">
        <v>6</v>
      </c>
      <c r="AZ494" t="s">
        <v>6</v>
      </c>
      <c r="BA494" t="s">
        <v>6</v>
      </c>
      <c r="BB494" t="s">
        <v>6</v>
      </c>
      <c r="BC494" t="s">
        <v>6</v>
      </c>
      <c r="BD494" t="s">
        <v>6</v>
      </c>
      <c r="BE494" t="s">
        <v>6</v>
      </c>
      <c r="BF494" t="s">
        <v>6</v>
      </c>
      <c r="BG494" t="s">
        <v>6</v>
      </c>
      <c r="BH494" t="s">
        <v>6</v>
      </c>
      <c r="BI494" t="s">
        <v>6</v>
      </c>
      <c r="BJ494" t="s">
        <v>6</v>
      </c>
      <c r="BN494">
        <v>700.87080000000003</v>
      </c>
      <c r="BO494">
        <v>2227</v>
      </c>
      <c r="BP494">
        <v>0</v>
      </c>
      <c r="BQ494">
        <v>52</v>
      </c>
      <c r="BR494">
        <v>52</v>
      </c>
      <c r="BS494">
        <v>52.34</v>
      </c>
      <c r="BT494">
        <v>0</v>
      </c>
      <c r="BV494">
        <v>6</v>
      </c>
      <c r="BW494" t="s">
        <v>655</v>
      </c>
      <c r="BX494">
        <v>0.27933340000000001</v>
      </c>
      <c r="BY494">
        <v>14.62031</v>
      </c>
      <c r="BZ494">
        <v>0</v>
      </c>
      <c r="CA494">
        <v>1</v>
      </c>
      <c r="CB494">
        <v>0.6</v>
      </c>
      <c r="CC494" s="3">
        <v>7.1269159999999998E-2</v>
      </c>
      <c r="CD494">
        <v>2.875</v>
      </c>
      <c r="CE494">
        <v>2.5</v>
      </c>
      <c r="CF494">
        <v>18</v>
      </c>
      <c r="CG494">
        <v>6</v>
      </c>
      <c r="CH494">
        <v>0</v>
      </c>
      <c r="CI494">
        <v>52.34</v>
      </c>
      <c r="CJ494">
        <v>842.5652</v>
      </c>
    </row>
    <row r="495" spans="1:88">
      <c r="A495">
        <v>493</v>
      </c>
      <c r="B495" t="s">
        <v>13</v>
      </c>
      <c r="C495" t="s">
        <v>1</v>
      </c>
      <c r="D495" t="s">
        <v>2</v>
      </c>
      <c r="E495" t="s">
        <v>101</v>
      </c>
      <c r="F495" t="s">
        <v>154</v>
      </c>
      <c r="G495" t="s">
        <v>106</v>
      </c>
      <c r="H495" t="s">
        <v>217</v>
      </c>
      <c r="J495">
        <v>2</v>
      </c>
      <c r="K495" t="s">
        <v>146</v>
      </c>
      <c r="L495" t="s">
        <v>145</v>
      </c>
      <c r="M495" t="s">
        <v>403</v>
      </c>
      <c r="N495" t="s">
        <v>172</v>
      </c>
      <c r="O495">
        <v>134</v>
      </c>
      <c r="Q495">
        <v>368</v>
      </c>
      <c r="R495">
        <v>67</v>
      </c>
      <c r="S495">
        <v>4.25</v>
      </c>
      <c r="T495">
        <v>3.66</v>
      </c>
      <c r="U495">
        <v>6.41</v>
      </c>
      <c r="V495">
        <v>1564.68</v>
      </c>
      <c r="W495">
        <v>430</v>
      </c>
      <c r="X495">
        <v>1.3332999999999999</v>
      </c>
      <c r="Y495">
        <v>314</v>
      </c>
      <c r="Z495">
        <v>4.99</v>
      </c>
      <c r="AJ495">
        <v>2</v>
      </c>
      <c r="AK495">
        <v>18</v>
      </c>
      <c r="AM495">
        <v>0</v>
      </c>
      <c r="AO495" t="s">
        <v>218</v>
      </c>
      <c r="AT495">
        <v>52</v>
      </c>
      <c r="AV495">
        <v>36.1</v>
      </c>
      <c r="AW495">
        <v>0</v>
      </c>
      <c r="AX495">
        <v>0</v>
      </c>
      <c r="AY495">
        <v>45.375</v>
      </c>
      <c r="AZ495">
        <v>4.375</v>
      </c>
      <c r="BA495">
        <v>0</v>
      </c>
      <c r="BB495">
        <v>0</v>
      </c>
      <c r="BC495">
        <v>46</v>
      </c>
      <c r="BN495">
        <v>171.2</v>
      </c>
      <c r="BO495">
        <v>3540</v>
      </c>
      <c r="BP495">
        <v>0</v>
      </c>
      <c r="BQ495">
        <v>46</v>
      </c>
      <c r="BR495">
        <v>46</v>
      </c>
      <c r="BS495">
        <v>45.73</v>
      </c>
      <c r="BT495">
        <v>0</v>
      </c>
      <c r="BV495">
        <v>0</v>
      </c>
      <c r="BW495" t="s">
        <v>655</v>
      </c>
      <c r="BX495">
        <v>0.17</v>
      </c>
      <c r="BY495">
        <v>7.7740999999999998</v>
      </c>
      <c r="BZ495">
        <v>0</v>
      </c>
      <c r="CA495">
        <v>1</v>
      </c>
      <c r="CB495">
        <v>0.6</v>
      </c>
      <c r="CC495" s="3">
        <v>7.1269159999999998E-2</v>
      </c>
      <c r="CD495">
        <v>2.875</v>
      </c>
      <c r="CE495">
        <v>2.5</v>
      </c>
      <c r="CF495">
        <v>18</v>
      </c>
      <c r="CG495">
        <v>6</v>
      </c>
      <c r="CH495">
        <v>0</v>
      </c>
      <c r="CI495">
        <v>45.73</v>
      </c>
      <c r="CJ495">
        <v>324.28429999999997</v>
      </c>
    </row>
    <row r="496" spans="1:88">
      <c r="A496">
        <v>494</v>
      </c>
      <c r="B496" t="s">
        <v>0</v>
      </c>
      <c r="C496" t="s">
        <v>1</v>
      </c>
      <c r="D496" t="s">
        <v>143</v>
      </c>
      <c r="E496" t="s">
        <v>202</v>
      </c>
      <c r="F496" t="s">
        <v>144</v>
      </c>
      <c r="G496" t="s">
        <v>106</v>
      </c>
      <c r="H496" t="s">
        <v>145</v>
      </c>
      <c r="J496">
        <v>2</v>
      </c>
      <c r="K496" t="s">
        <v>146</v>
      </c>
      <c r="L496" t="s">
        <v>203</v>
      </c>
      <c r="M496" t="s">
        <v>204</v>
      </c>
      <c r="N496" t="s">
        <v>205</v>
      </c>
      <c r="O496">
        <v>181</v>
      </c>
      <c r="Q496">
        <v>717</v>
      </c>
      <c r="R496">
        <v>95</v>
      </c>
      <c r="S496">
        <v>4.25</v>
      </c>
      <c r="T496">
        <v>4.7640000000000002</v>
      </c>
      <c r="U496">
        <v>7.08</v>
      </c>
      <c r="V496">
        <v>3045.93</v>
      </c>
      <c r="W496">
        <v>670</v>
      </c>
      <c r="X496">
        <v>1.3332999999999999</v>
      </c>
      <c r="Y496">
        <v>500</v>
      </c>
      <c r="Z496">
        <v>6.09</v>
      </c>
      <c r="AJ496">
        <v>2</v>
      </c>
      <c r="AK496">
        <v>18</v>
      </c>
      <c r="AM496">
        <v>0</v>
      </c>
      <c r="AO496" t="s">
        <v>149</v>
      </c>
      <c r="AT496">
        <v>68</v>
      </c>
      <c r="AV496">
        <v>53.5</v>
      </c>
      <c r="AW496" t="s">
        <v>6</v>
      </c>
      <c r="AX496" t="s">
        <v>6</v>
      </c>
      <c r="AY496" t="s">
        <v>6</v>
      </c>
      <c r="AZ496" t="s">
        <v>6</v>
      </c>
      <c r="BA496" t="s">
        <v>6</v>
      </c>
      <c r="BB496" t="s">
        <v>6</v>
      </c>
      <c r="BC496" t="s">
        <v>6</v>
      </c>
      <c r="BD496" t="s">
        <v>6</v>
      </c>
      <c r="BE496" t="s">
        <v>6</v>
      </c>
      <c r="BF496" t="s">
        <v>6</v>
      </c>
      <c r="BG496" t="s">
        <v>6</v>
      </c>
      <c r="BH496" t="s">
        <v>6</v>
      </c>
      <c r="BI496" t="s">
        <v>6</v>
      </c>
      <c r="BJ496" t="s">
        <v>6</v>
      </c>
      <c r="BN496">
        <v>256.80009999999999</v>
      </c>
      <c r="BO496">
        <v>1574</v>
      </c>
      <c r="BP496">
        <v>0</v>
      </c>
      <c r="BQ496">
        <v>62</v>
      </c>
      <c r="BR496">
        <v>62</v>
      </c>
      <c r="BS496">
        <v>62.08</v>
      </c>
      <c r="BT496">
        <v>0</v>
      </c>
      <c r="BV496">
        <v>0</v>
      </c>
      <c r="BW496" t="s">
        <v>655</v>
      </c>
      <c r="BX496">
        <v>0.17</v>
      </c>
      <c r="BY496">
        <v>10.553599999999999</v>
      </c>
      <c r="BZ496">
        <v>0</v>
      </c>
      <c r="CA496">
        <v>1</v>
      </c>
      <c r="CB496">
        <v>0.6</v>
      </c>
      <c r="CC496" s="3">
        <v>7.1269159999999998E-2</v>
      </c>
      <c r="CD496">
        <v>2.875</v>
      </c>
      <c r="CE496">
        <v>2.5</v>
      </c>
      <c r="CF496">
        <v>18</v>
      </c>
      <c r="CG496">
        <v>6</v>
      </c>
      <c r="CH496">
        <v>0</v>
      </c>
      <c r="CI496">
        <v>62.08</v>
      </c>
      <c r="CJ496">
        <v>652.59739999999999</v>
      </c>
    </row>
    <row r="497" spans="1:88">
      <c r="A497">
        <v>495</v>
      </c>
      <c r="B497" t="s">
        <v>0</v>
      </c>
      <c r="C497" t="s">
        <v>1</v>
      </c>
      <c r="D497" t="s">
        <v>165</v>
      </c>
      <c r="E497" t="s">
        <v>375</v>
      </c>
      <c r="F497" t="s">
        <v>184</v>
      </c>
      <c r="G497" t="s">
        <v>106</v>
      </c>
      <c r="H497" t="s">
        <v>234</v>
      </c>
      <c r="J497">
        <v>2</v>
      </c>
      <c r="K497" t="s">
        <v>146</v>
      </c>
      <c r="L497" t="s">
        <v>5</v>
      </c>
      <c r="M497" t="s">
        <v>484</v>
      </c>
      <c r="N497" t="s">
        <v>510</v>
      </c>
      <c r="O497">
        <v>90</v>
      </c>
      <c r="Q497">
        <v>361</v>
      </c>
      <c r="R497">
        <v>91</v>
      </c>
      <c r="S497">
        <v>4.25</v>
      </c>
      <c r="T497">
        <v>2.512</v>
      </c>
      <c r="U497">
        <v>5.7</v>
      </c>
      <c r="V497">
        <v>1533.69</v>
      </c>
      <c r="W497">
        <v>516</v>
      </c>
      <c r="X497">
        <v>1.3332999999999999</v>
      </c>
      <c r="Y497">
        <v>399</v>
      </c>
      <c r="Z497">
        <v>3.84</v>
      </c>
      <c r="AJ497">
        <v>2</v>
      </c>
      <c r="AK497">
        <v>18</v>
      </c>
      <c r="AM497">
        <v>0</v>
      </c>
      <c r="AO497" t="s">
        <v>435</v>
      </c>
      <c r="AT497">
        <v>37</v>
      </c>
      <c r="AV497">
        <v>51</v>
      </c>
      <c r="AW497">
        <v>0</v>
      </c>
      <c r="AX497">
        <v>0</v>
      </c>
      <c r="AY497">
        <v>35.625</v>
      </c>
      <c r="AZ497">
        <v>3.375</v>
      </c>
      <c r="BA497">
        <v>0</v>
      </c>
      <c r="BB497">
        <v>0</v>
      </c>
      <c r="BC497">
        <v>36</v>
      </c>
      <c r="BN497">
        <v>244.3167</v>
      </c>
      <c r="BO497">
        <v>1738</v>
      </c>
      <c r="BP497">
        <v>0</v>
      </c>
      <c r="BQ497">
        <v>30</v>
      </c>
      <c r="BR497">
        <v>30</v>
      </c>
      <c r="BS497">
        <v>30.43</v>
      </c>
      <c r="BT497">
        <v>0</v>
      </c>
      <c r="BV497">
        <v>0</v>
      </c>
      <c r="BW497" t="s">
        <v>655</v>
      </c>
      <c r="BX497">
        <v>0.17</v>
      </c>
      <c r="BY497">
        <v>5.1730999999999998</v>
      </c>
      <c r="BZ497">
        <v>0</v>
      </c>
      <c r="CA497">
        <v>1</v>
      </c>
      <c r="CB497">
        <v>0.6</v>
      </c>
      <c r="CC497" s="3">
        <v>7.1269159999999998E-2</v>
      </c>
      <c r="CD497">
        <v>2.875</v>
      </c>
      <c r="CE497">
        <v>2.5</v>
      </c>
      <c r="CF497">
        <v>18</v>
      </c>
      <c r="CG497">
        <v>6</v>
      </c>
      <c r="CH497">
        <v>0</v>
      </c>
      <c r="CI497">
        <v>30.43</v>
      </c>
      <c r="CJ497">
        <v>304.70519999999999</v>
      </c>
    </row>
    <row r="498" spans="1:88">
      <c r="A498">
        <v>496</v>
      </c>
      <c r="B498" t="s">
        <v>0</v>
      </c>
      <c r="C498" t="s">
        <v>1</v>
      </c>
      <c r="D498" t="s">
        <v>430</v>
      </c>
      <c r="E498" t="s">
        <v>2</v>
      </c>
      <c r="F498" t="s">
        <v>445</v>
      </c>
      <c r="G498" t="s">
        <v>106</v>
      </c>
      <c r="H498" t="s">
        <v>446</v>
      </c>
      <c r="J498">
        <v>2</v>
      </c>
      <c r="K498" t="s">
        <v>146</v>
      </c>
      <c r="L498" t="s">
        <v>122</v>
      </c>
      <c r="M498" t="s">
        <v>4</v>
      </c>
      <c r="N498" t="s">
        <v>5</v>
      </c>
      <c r="O498">
        <v>107</v>
      </c>
      <c r="Q498">
        <v>176</v>
      </c>
      <c r="R498">
        <v>38</v>
      </c>
      <c r="S498">
        <v>4.25</v>
      </c>
      <c r="T498">
        <v>2.9710000000000001</v>
      </c>
      <c r="U498">
        <v>6.07</v>
      </c>
      <c r="V498">
        <v>747.83</v>
      </c>
      <c r="W498">
        <v>231</v>
      </c>
      <c r="X498">
        <v>1.3332999999999999</v>
      </c>
      <c r="Y498">
        <v>174</v>
      </c>
      <c r="Z498">
        <v>4.3</v>
      </c>
      <c r="AJ498">
        <v>2</v>
      </c>
      <c r="AK498">
        <v>18</v>
      </c>
      <c r="AM498">
        <v>0</v>
      </c>
      <c r="AO498" t="s">
        <v>447</v>
      </c>
      <c r="AT498">
        <v>42</v>
      </c>
      <c r="AV498">
        <v>20.8</v>
      </c>
      <c r="AW498">
        <v>0</v>
      </c>
      <c r="AX498">
        <v>0</v>
      </c>
      <c r="AY498">
        <v>37.125</v>
      </c>
      <c r="AZ498">
        <v>3.25</v>
      </c>
      <c r="BA498">
        <v>0</v>
      </c>
      <c r="BB498">
        <v>0</v>
      </c>
      <c r="BC498">
        <v>33</v>
      </c>
      <c r="BN498">
        <v>96.300020000000004</v>
      </c>
      <c r="BO498">
        <v>11190</v>
      </c>
      <c r="BP498">
        <v>0</v>
      </c>
      <c r="BQ498">
        <v>36</v>
      </c>
      <c r="BR498">
        <v>36</v>
      </c>
      <c r="BS498">
        <v>36.340000000000003</v>
      </c>
      <c r="BT498">
        <v>0</v>
      </c>
      <c r="BV498">
        <v>0</v>
      </c>
      <c r="BW498" t="s">
        <v>655</v>
      </c>
      <c r="BX498">
        <v>0.17</v>
      </c>
      <c r="BY498">
        <v>6.1778000000000004</v>
      </c>
      <c r="BZ498">
        <v>0</v>
      </c>
      <c r="CA498">
        <v>1</v>
      </c>
      <c r="CB498">
        <v>0.6</v>
      </c>
      <c r="CC498" s="3">
        <v>7.1269159999999998E-2</v>
      </c>
      <c r="CD498">
        <v>2.875</v>
      </c>
      <c r="CE498">
        <v>2.5</v>
      </c>
      <c r="CF498">
        <v>18</v>
      </c>
      <c r="CG498">
        <v>6</v>
      </c>
      <c r="CH498">
        <v>0</v>
      </c>
      <c r="CI498">
        <v>36.340000000000003</v>
      </c>
      <c r="CJ498">
        <v>148.9205</v>
      </c>
    </row>
    <row r="499" spans="1:88">
      <c r="A499">
        <v>497</v>
      </c>
      <c r="B499" t="s">
        <v>13</v>
      </c>
      <c r="C499" t="s">
        <v>1</v>
      </c>
      <c r="D499" t="s">
        <v>178</v>
      </c>
      <c r="E499" t="s">
        <v>505</v>
      </c>
      <c r="F499" t="s">
        <v>408</v>
      </c>
      <c r="G499" t="s">
        <v>106</v>
      </c>
      <c r="H499" t="s">
        <v>141</v>
      </c>
      <c r="J499">
        <v>2</v>
      </c>
      <c r="K499" t="s">
        <v>146</v>
      </c>
      <c r="L499" t="s">
        <v>334</v>
      </c>
      <c r="M499" t="s">
        <v>584</v>
      </c>
      <c r="N499" t="s">
        <v>320</v>
      </c>
      <c r="O499">
        <v>56</v>
      </c>
      <c r="Q499">
        <v>151</v>
      </c>
      <c r="R499">
        <v>60</v>
      </c>
      <c r="S499">
        <v>4.25</v>
      </c>
      <c r="T499">
        <v>1.5209999999999999</v>
      </c>
      <c r="U499">
        <v>5.13</v>
      </c>
      <c r="V499">
        <v>641.36</v>
      </c>
      <c r="W499">
        <v>309</v>
      </c>
      <c r="X499">
        <v>1.5</v>
      </c>
      <c r="Y499">
        <v>212</v>
      </c>
      <c r="Z499">
        <v>3.02</v>
      </c>
      <c r="AJ499">
        <v>2</v>
      </c>
      <c r="AK499">
        <v>18</v>
      </c>
      <c r="AM499">
        <v>0</v>
      </c>
      <c r="AO499" t="s">
        <v>409</v>
      </c>
      <c r="AT499">
        <v>25</v>
      </c>
      <c r="AV499">
        <v>31.7</v>
      </c>
      <c r="AW499">
        <v>0</v>
      </c>
      <c r="AX499">
        <v>0</v>
      </c>
      <c r="AY499">
        <v>12</v>
      </c>
      <c r="AZ499">
        <v>1.875</v>
      </c>
      <c r="BA499">
        <v>0</v>
      </c>
      <c r="BB499">
        <v>0</v>
      </c>
      <c r="BC499">
        <v>9</v>
      </c>
      <c r="BN499">
        <v>149.80000000000001</v>
      </c>
      <c r="BO499">
        <v>4624</v>
      </c>
      <c r="BP499">
        <v>0</v>
      </c>
      <c r="BQ499">
        <v>19</v>
      </c>
      <c r="BR499">
        <v>19</v>
      </c>
      <c r="BS499">
        <v>18.600000000000001</v>
      </c>
      <c r="BT499">
        <v>0</v>
      </c>
      <c r="BV499">
        <v>0</v>
      </c>
      <c r="BW499" t="s">
        <v>655</v>
      </c>
      <c r="BX499">
        <v>0.17</v>
      </c>
      <c r="BY499">
        <v>3.1619999999999999</v>
      </c>
      <c r="BZ499">
        <v>0</v>
      </c>
      <c r="CA499">
        <v>1</v>
      </c>
      <c r="CB499">
        <v>0.6</v>
      </c>
      <c r="CC499" s="3">
        <v>7.1269159999999998E-2</v>
      </c>
      <c r="CD499">
        <v>2.875</v>
      </c>
      <c r="CE499">
        <v>2.5</v>
      </c>
      <c r="CF499">
        <v>18</v>
      </c>
      <c r="CG499">
        <v>6</v>
      </c>
      <c r="CH499">
        <v>0</v>
      </c>
      <c r="CI499">
        <v>18.600000000000001</v>
      </c>
      <c r="CJ499">
        <v>115.9906</v>
      </c>
    </row>
    <row r="500" spans="1:88">
      <c r="A500">
        <v>498</v>
      </c>
      <c r="B500" t="s">
        <v>0</v>
      </c>
      <c r="C500" t="s">
        <v>1</v>
      </c>
      <c r="D500" t="s">
        <v>148</v>
      </c>
      <c r="E500" t="s">
        <v>348</v>
      </c>
      <c r="F500" t="s">
        <v>496</v>
      </c>
      <c r="G500" t="s">
        <v>214</v>
      </c>
      <c r="H500" t="s">
        <v>585</v>
      </c>
      <c r="J500">
        <v>2</v>
      </c>
      <c r="K500" t="s">
        <v>108</v>
      </c>
      <c r="L500" t="s">
        <v>111</v>
      </c>
      <c r="M500" t="s">
        <v>351</v>
      </c>
      <c r="N500" t="s">
        <v>251</v>
      </c>
      <c r="O500">
        <v>174</v>
      </c>
      <c r="Q500">
        <v>836</v>
      </c>
      <c r="R500">
        <v>113</v>
      </c>
      <c r="S500">
        <v>4.25</v>
      </c>
      <c r="T500">
        <v>4.6059999999999999</v>
      </c>
      <c r="U500">
        <v>6.97</v>
      </c>
      <c r="V500">
        <v>3550.87</v>
      </c>
      <c r="W500">
        <v>787</v>
      </c>
      <c r="X500">
        <v>1.3332999999999999</v>
      </c>
      <c r="Y500">
        <v>599</v>
      </c>
      <c r="Z500">
        <v>5.93</v>
      </c>
      <c r="AJ500">
        <v>2</v>
      </c>
      <c r="AK500">
        <v>18</v>
      </c>
      <c r="AM500">
        <v>0</v>
      </c>
      <c r="AO500" t="s">
        <v>573</v>
      </c>
      <c r="AT500">
        <v>66</v>
      </c>
      <c r="AV500">
        <v>64.900000000000006</v>
      </c>
      <c r="AW500">
        <v>0.46875</v>
      </c>
      <c r="AX500">
        <v>3.75</v>
      </c>
      <c r="AY500">
        <v>61.5</v>
      </c>
      <c r="AZ500">
        <v>5.5</v>
      </c>
      <c r="BA500">
        <v>329.33</v>
      </c>
      <c r="BB500">
        <v>5.98</v>
      </c>
      <c r="BC500">
        <v>66</v>
      </c>
      <c r="BD500">
        <v>0.4375</v>
      </c>
      <c r="BE500">
        <v>3.75</v>
      </c>
      <c r="BF500">
        <v>52.75</v>
      </c>
      <c r="BG500">
        <v>5.125</v>
      </c>
      <c r="BH500">
        <v>269.45999999999998</v>
      </c>
      <c r="BI500">
        <v>6.1</v>
      </c>
      <c r="BJ500">
        <v>53</v>
      </c>
      <c r="BL500">
        <v>598.79</v>
      </c>
      <c r="BM500">
        <v>119</v>
      </c>
      <c r="BN500">
        <v>314.70830000000001</v>
      </c>
      <c r="BO500">
        <v>1315</v>
      </c>
      <c r="BP500">
        <v>0</v>
      </c>
      <c r="BQ500">
        <v>60</v>
      </c>
      <c r="BR500">
        <v>60</v>
      </c>
      <c r="BS500">
        <v>59.65</v>
      </c>
      <c r="BT500">
        <v>0</v>
      </c>
      <c r="BV500">
        <v>0</v>
      </c>
      <c r="BW500" t="s">
        <v>655</v>
      </c>
      <c r="BX500">
        <v>0.17</v>
      </c>
      <c r="BY500">
        <v>10.140499999999999</v>
      </c>
      <c r="BZ500">
        <v>0</v>
      </c>
      <c r="CA500">
        <v>1</v>
      </c>
      <c r="CB500">
        <v>0.6</v>
      </c>
      <c r="CC500" s="3">
        <v>7.1269159999999998E-2</v>
      </c>
      <c r="CD500">
        <v>2.875</v>
      </c>
      <c r="CE500">
        <v>2.5</v>
      </c>
      <c r="CF500">
        <v>18</v>
      </c>
      <c r="CG500">
        <v>6</v>
      </c>
      <c r="CH500">
        <v>0</v>
      </c>
      <c r="CI500">
        <v>59.65</v>
      </c>
      <c r="CJ500">
        <v>760.43430000000001</v>
      </c>
    </row>
    <row r="501" spans="1:88">
      <c r="A501">
        <v>499</v>
      </c>
      <c r="B501" t="s">
        <v>0</v>
      </c>
      <c r="C501" t="s">
        <v>1</v>
      </c>
      <c r="D501" t="s">
        <v>103</v>
      </c>
      <c r="E501" t="s">
        <v>169</v>
      </c>
      <c r="F501" t="s">
        <v>105</v>
      </c>
      <c r="G501" t="s">
        <v>106</v>
      </c>
      <c r="H501" t="s">
        <v>107</v>
      </c>
      <c r="J501">
        <v>2</v>
      </c>
      <c r="K501" t="s">
        <v>108</v>
      </c>
      <c r="L501" t="s">
        <v>381</v>
      </c>
      <c r="M501" t="s">
        <v>173</v>
      </c>
      <c r="N501" t="s">
        <v>174</v>
      </c>
      <c r="O501">
        <v>119</v>
      </c>
      <c r="Q501">
        <v>527</v>
      </c>
      <c r="R501">
        <v>102</v>
      </c>
      <c r="S501">
        <v>4.25</v>
      </c>
      <c r="T501">
        <v>3.2829999999999999</v>
      </c>
      <c r="U501">
        <v>6.15</v>
      </c>
      <c r="V501">
        <v>2238.04</v>
      </c>
      <c r="W501">
        <v>626</v>
      </c>
      <c r="X501">
        <v>1.3332999999999999</v>
      </c>
      <c r="Y501">
        <v>485</v>
      </c>
      <c r="Z501">
        <v>4.6100000000000003</v>
      </c>
      <c r="AJ501">
        <v>2</v>
      </c>
      <c r="AK501">
        <v>18</v>
      </c>
      <c r="AM501">
        <v>0</v>
      </c>
      <c r="AO501" t="s">
        <v>112</v>
      </c>
      <c r="AT501">
        <v>47</v>
      </c>
      <c r="AV501">
        <v>58</v>
      </c>
      <c r="AW501">
        <v>0.46875</v>
      </c>
      <c r="AX501">
        <v>3.75</v>
      </c>
      <c r="AY501">
        <v>47.375</v>
      </c>
      <c r="AZ501">
        <v>4.375</v>
      </c>
      <c r="BA501">
        <v>427.51</v>
      </c>
      <c r="BB501">
        <v>4.6100000000000003</v>
      </c>
      <c r="BC501">
        <v>51</v>
      </c>
      <c r="BD501">
        <v>0.25</v>
      </c>
      <c r="BE501">
        <v>2.75</v>
      </c>
      <c r="BF501">
        <v>19.875</v>
      </c>
      <c r="BG501">
        <v>2.25</v>
      </c>
      <c r="BH501">
        <v>57.95</v>
      </c>
      <c r="BI501">
        <v>5.92</v>
      </c>
      <c r="BJ501">
        <v>9</v>
      </c>
      <c r="BL501">
        <v>485.46</v>
      </c>
      <c r="BM501">
        <v>59</v>
      </c>
      <c r="BN501">
        <v>278.20010000000002</v>
      </c>
      <c r="BO501">
        <v>1341</v>
      </c>
      <c r="BP501">
        <v>0</v>
      </c>
      <c r="BQ501">
        <v>41</v>
      </c>
      <c r="BR501">
        <v>41</v>
      </c>
      <c r="BS501">
        <v>40.520000000000003</v>
      </c>
      <c r="BT501">
        <v>0</v>
      </c>
      <c r="BV501">
        <v>0</v>
      </c>
      <c r="BW501" t="s">
        <v>655</v>
      </c>
      <c r="BX501">
        <v>0.17</v>
      </c>
      <c r="BY501">
        <v>6.8883999999999999</v>
      </c>
      <c r="BZ501">
        <v>0</v>
      </c>
      <c r="CA501">
        <v>1</v>
      </c>
      <c r="CB501">
        <v>0.6</v>
      </c>
      <c r="CC501" s="3">
        <v>7.1269159999999998E-2</v>
      </c>
      <c r="CD501">
        <v>2.875</v>
      </c>
      <c r="CE501">
        <v>2.5</v>
      </c>
      <c r="CF501">
        <v>18</v>
      </c>
      <c r="CG501">
        <v>6</v>
      </c>
      <c r="CH501">
        <v>0</v>
      </c>
      <c r="CI501">
        <v>40.520000000000003</v>
      </c>
      <c r="CJ501">
        <v>461.69119999999998</v>
      </c>
    </row>
    <row r="502" spans="1:88">
      <c r="A502">
        <v>500</v>
      </c>
      <c r="B502" t="s">
        <v>0</v>
      </c>
      <c r="C502" t="s">
        <v>1</v>
      </c>
      <c r="D502" t="s">
        <v>109</v>
      </c>
      <c r="E502" t="s">
        <v>5</v>
      </c>
      <c r="F502" t="s">
        <v>428</v>
      </c>
      <c r="G502" t="s">
        <v>15</v>
      </c>
      <c r="H502" t="s">
        <v>429</v>
      </c>
      <c r="J502">
        <v>2</v>
      </c>
      <c r="K502" t="s">
        <v>108</v>
      </c>
      <c r="L502" t="s">
        <v>162</v>
      </c>
      <c r="M502" t="s">
        <v>155</v>
      </c>
      <c r="N502" t="s">
        <v>176</v>
      </c>
      <c r="O502">
        <v>110</v>
      </c>
      <c r="Q502">
        <v>624</v>
      </c>
      <c r="R502">
        <v>129</v>
      </c>
      <c r="S502">
        <v>4.25</v>
      </c>
      <c r="T502">
        <v>3.05</v>
      </c>
      <c r="U502">
        <v>6.11</v>
      </c>
      <c r="V502">
        <v>2650.42</v>
      </c>
      <c r="W502">
        <v>786</v>
      </c>
      <c r="X502">
        <v>1.3332999999999999</v>
      </c>
      <c r="Y502">
        <v>605</v>
      </c>
      <c r="Z502">
        <v>4.38</v>
      </c>
      <c r="AJ502">
        <v>2</v>
      </c>
      <c r="AK502">
        <v>18</v>
      </c>
      <c r="AM502">
        <v>0</v>
      </c>
      <c r="AO502" t="s">
        <v>237</v>
      </c>
      <c r="AT502">
        <v>44</v>
      </c>
      <c r="AV502">
        <v>74</v>
      </c>
      <c r="AW502" t="s">
        <v>6</v>
      </c>
      <c r="AX502" t="s">
        <v>6</v>
      </c>
      <c r="AY502" t="s">
        <v>6</v>
      </c>
      <c r="AZ502" t="s">
        <v>6</v>
      </c>
      <c r="BA502" t="s">
        <v>6</v>
      </c>
      <c r="BB502" t="s">
        <v>6</v>
      </c>
      <c r="BC502" t="s">
        <v>6</v>
      </c>
      <c r="BD502" t="s">
        <v>6</v>
      </c>
      <c r="BE502" t="s">
        <v>6</v>
      </c>
      <c r="BF502" t="s">
        <v>6</v>
      </c>
      <c r="BG502" t="s">
        <v>6</v>
      </c>
      <c r="BH502" t="s">
        <v>6</v>
      </c>
      <c r="BI502" t="s">
        <v>6</v>
      </c>
      <c r="BJ502" t="s">
        <v>6</v>
      </c>
      <c r="BN502">
        <v>631.41510000000005</v>
      </c>
      <c r="BO502">
        <v>2744</v>
      </c>
      <c r="BP502">
        <v>0</v>
      </c>
      <c r="BQ502">
        <v>37</v>
      </c>
      <c r="BR502">
        <v>37</v>
      </c>
      <c r="BS502">
        <v>37.39</v>
      </c>
      <c r="BT502">
        <v>0</v>
      </c>
      <c r="BV502">
        <v>0</v>
      </c>
      <c r="BW502" t="s">
        <v>655</v>
      </c>
      <c r="BX502">
        <v>0.17</v>
      </c>
      <c r="BY502">
        <v>6.3563000000000001</v>
      </c>
      <c r="BZ502">
        <v>0</v>
      </c>
      <c r="CA502">
        <v>1</v>
      </c>
      <c r="CB502">
        <v>0.6</v>
      </c>
      <c r="CC502" s="3">
        <v>7.1269159999999998E-2</v>
      </c>
      <c r="CD502">
        <v>2.875</v>
      </c>
      <c r="CE502">
        <v>2.5</v>
      </c>
      <c r="CF502">
        <v>18</v>
      </c>
      <c r="CG502">
        <v>6</v>
      </c>
      <c r="CH502">
        <v>0</v>
      </c>
      <c r="CI502">
        <v>37.39</v>
      </c>
      <c r="CJ502">
        <v>543.27670000000001</v>
      </c>
    </row>
    <row r="503" spans="1:88">
      <c r="A503">
        <v>501</v>
      </c>
      <c r="B503" t="s">
        <v>0</v>
      </c>
      <c r="C503" t="s">
        <v>1</v>
      </c>
      <c r="D503" t="s">
        <v>151</v>
      </c>
      <c r="E503" t="s">
        <v>2</v>
      </c>
      <c r="F503" t="s">
        <v>385</v>
      </c>
      <c r="G503" t="s">
        <v>106</v>
      </c>
      <c r="H503" t="s">
        <v>2</v>
      </c>
      <c r="J503">
        <v>2</v>
      </c>
      <c r="K503" t="s">
        <v>146</v>
      </c>
      <c r="L503" t="s">
        <v>122</v>
      </c>
      <c r="M503" t="s">
        <v>4</v>
      </c>
      <c r="N503" t="s">
        <v>5</v>
      </c>
      <c r="O503">
        <v>107</v>
      </c>
      <c r="Q503">
        <v>303</v>
      </c>
      <c r="R503">
        <v>68</v>
      </c>
      <c r="S503">
        <v>4.25</v>
      </c>
      <c r="T503">
        <v>2.9710000000000001</v>
      </c>
      <c r="U503">
        <v>6.07</v>
      </c>
      <c r="V503">
        <v>1287.49</v>
      </c>
      <c r="W503">
        <v>411</v>
      </c>
      <c r="X503">
        <v>1.3332999999999999</v>
      </c>
      <c r="Y503">
        <v>299</v>
      </c>
      <c r="Z503">
        <v>4.3</v>
      </c>
      <c r="AJ503">
        <v>2</v>
      </c>
      <c r="AK503">
        <v>18</v>
      </c>
      <c r="AM503">
        <v>0</v>
      </c>
      <c r="AO503" t="s">
        <v>4</v>
      </c>
      <c r="AT503">
        <v>42</v>
      </c>
      <c r="AV503">
        <v>36.4</v>
      </c>
      <c r="AW503">
        <v>0</v>
      </c>
      <c r="AX503">
        <v>0</v>
      </c>
      <c r="AY503">
        <v>32.5</v>
      </c>
      <c r="AZ503">
        <v>3.5</v>
      </c>
      <c r="BA503">
        <v>0</v>
      </c>
      <c r="BB503">
        <v>0</v>
      </c>
      <c r="BC503">
        <v>31</v>
      </c>
      <c r="BN503">
        <v>172.98339999999999</v>
      </c>
      <c r="BO503">
        <v>3468</v>
      </c>
      <c r="BP503">
        <v>0</v>
      </c>
      <c r="BQ503">
        <v>36</v>
      </c>
      <c r="BR503">
        <v>36</v>
      </c>
      <c r="BS503">
        <v>36.340000000000003</v>
      </c>
      <c r="BT503">
        <v>0</v>
      </c>
      <c r="BV503">
        <v>0</v>
      </c>
      <c r="BW503" t="s">
        <v>655</v>
      </c>
      <c r="BX503">
        <v>0.17</v>
      </c>
      <c r="BY503">
        <v>6.1778000000000004</v>
      </c>
      <c r="BZ503">
        <v>0</v>
      </c>
      <c r="CA503">
        <v>1</v>
      </c>
      <c r="CB503">
        <v>0.6</v>
      </c>
      <c r="CC503" s="3">
        <v>7.1269159999999998E-2</v>
      </c>
      <c r="CD503">
        <v>2.875</v>
      </c>
      <c r="CE503">
        <v>2.5</v>
      </c>
      <c r="CF503">
        <v>18</v>
      </c>
      <c r="CG503">
        <v>6</v>
      </c>
      <c r="CH503">
        <v>0</v>
      </c>
      <c r="CI503">
        <v>36.340000000000003</v>
      </c>
      <c r="CJ503">
        <v>260.28710000000001</v>
      </c>
    </row>
    <row r="504" spans="1:88">
      <c r="A504">
        <v>502</v>
      </c>
      <c r="B504" t="s">
        <v>13</v>
      </c>
      <c r="C504" t="s">
        <v>1</v>
      </c>
      <c r="D504" t="s">
        <v>233</v>
      </c>
      <c r="E504" t="s">
        <v>128</v>
      </c>
      <c r="F504" t="s">
        <v>271</v>
      </c>
      <c r="G504" t="s">
        <v>106</v>
      </c>
      <c r="H504" t="s">
        <v>279</v>
      </c>
      <c r="J504">
        <v>2</v>
      </c>
      <c r="K504" t="s">
        <v>146</v>
      </c>
      <c r="L504" t="s">
        <v>272</v>
      </c>
      <c r="M504" t="s">
        <v>132</v>
      </c>
      <c r="N504" t="s">
        <v>133</v>
      </c>
      <c r="O504">
        <v>140</v>
      </c>
      <c r="Q504">
        <v>572</v>
      </c>
      <c r="R504">
        <v>96</v>
      </c>
      <c r="S504">
        <v>4.25</v>
      </c>
      <c r="T504">
        <v>3.8069999999999999</v>
      </c>
      <c r="U504">
        <v>6.52</v>
      </c>
      <c r="V504">
        <v>2430.5300000000002</v>
      </c>
      <c r="W504">
        <v>624</v>
      </c>
      <c r="X504">
        <v>1.3332999999999999</v>
      </c>
      <c r="Y504">
        <v>473</v>
      </c>
      <c r="Z504">
        <v>5.14</v>
      </c>
      <c r="AJ504">
        <v>2</v>
      </c>
      <c r="AK504">
        <v>18</v>
      </c>
      <c r="AM504">
        <v>0</v>
      </c>
      <c r="AO504" t="s">
        <v>144</v>
      </c>
      <c r="AT504">
        <v>54</v>
      </c>
      <c r="AV504">
        <v>54.2</v>
      </c>
      <c r="AW504">
        <v>0.46875</v>
      </c>
      <c r="AX504">
        <v>3.75</v>
      </c>
      <c r="AY504">
        <v>52.875</v>
      </c>
      <c r="AZ504">
        <v>4.75</v>
      </c>
      <c r="BA504">
        <v>383.42</v>
      </c>
      <c r="BB504">
        <v>5.14</v>
      </c>
      <c r="BC504">
        <v>57</v>
      </c>
      <c r="BD504">
        <v>0.3125</v>
      </c>
      <c r="BE504">
        <v>2.75</v>
      </c>
      <c r="BF504">
        <v>40.25</v>
      </c>
      <c r="BG504">
        <v>3.25</v>
      </c>
      <c r="BH504">
        <v>89.43</v>
      </c>
      <c r="BI504">
        <v>7.14</v>
      </c>
      <c r="BJ504">
        <v>21</v>
      </c>
      <c r="BL504">
        <v>472.85</v>
      </c>
      <c r="BM504">
        <v>78</v>
      </c>
      <c r="BN504">
        <v>260.36669999999998</v>
      </c>
      <c r="BO504">
        <v>1531</v>
      </c>
      <c r="BP504">
        <v>0</v>
      </c>
      <c r="BQ504">
        <v>48</v>
      </c>
      <c r="BR504">
        <v>48</v>
      </c>
      <c r="BS504">
        <v>47.82</v>
      </c>
      <c r="BT504">
        <v>0</v>
      </c>
      <c r="BV504">
        <v>0</v>
      </c>
      <c r="BW504" t="s">
        <v>655</v>
      </c>
      <c r="BX504">
        <v>0.17</v>
      </c>
      <c r="BY504">
        <v>8.1294000000000004</v>
      </c>
      <c r="BZ504">
        <v>0</v>
      </c>
      <c r="CA504">
        <v>1</v>
      </c>
      <c r="CB504">
        <v>0.6</v>
      </c>
      <c r="CC504" s="3">
        <v>7.1269159999999998E-2</v>
      </c>
      <c r="CD504">
        <v>2.875</v>
      </c>
      <c r="CE504">
        <v>2.5</v>
      </c>
      <c r="CF504">
        <v>18</v>
      </c>
      <c r="CG504">
        <v>6</v>
      </c>
      <c r="CH504">
        <v>0</v>
      </c>
      <c r="CI504">
        <v>47.82</v>
      </c>
      <c r="CJ504">
        <v>509.50959999999998</v>
      </c>
    </row>
    <row r="505" spans="1:88">
      <c r="A505">
        <v>503</v>
      </c>
      <c r="B505" t="s">
        <v>0</v>
      </c>
      <c r="C505" t="s">
        <v>1</v>
      </c>
      <c r="D505" t="s">
        <v>94</v>
      </c>
      <c r="E505" t="s">
        <v>231</v>
      </c>
      <c r="F505" t="s">
        <v>436</v>
      </c>
      <c r="G505" t="s">
        <v>15</v>
      </c>
      <c r="H505" t="s">
        <v>94</v>
      </c>
      <c r="J505">
        <v>2</v>
      </c>
      <c r="K505" t="s">
        <v>9</v>
      </c>
      <c r="L505" t="s">
        <v>3</v>
      </c>
      <c r="M505" t="s">
        <v>405</v>
      </c>
      <c r="N505" t="s">
        <v>151</v>
      </c>
      <c r="O505">
        <v>105</v>
      </c>
      <c r="Q505">
        <v>663</v>
      </c>
      <c r="R505">
        <v>142</v>
      </c>
      <c r="S505">
        <v>4.25</v>
      </c>
      <c r="T505">
        <v>2.9180000000000001</v>
      </c>
      <c r="U505">
        <v>6</v>
      </c>
      <c r="V505">
        <v>2817.41</v>
      </c>
      <c r="W505">
        <v>851</v>
      </c>
      <c r="X505">
        <v>1.3332999999999999</v>
      </c>
      <c r="Y505">
        <v>663</v>
      </c>
      <c r="Z505">
        <v>4.25</v>
      </c>
      <c r="AJ505">
        <v>2</v>
      </c>
      <c r="AK505">
        <v>18</v>
      </c>
      <c r="AM505">
        <v>0</v>
      </c>
      <c r="AO505" t="s">
        <v>437</v>
      </c>
      <c r="AT505">
        <v>42</v>
      </c>
      <c r="AV505">
        <v>81.599999999999994</v>
      </c>
      <c r="AW505">
        <v>0.5</v>
      </c>
      <c r="AX505">
        <v>5.625</v>
      </c>
      <c r="AY505">
        <v>32.75</v>
      </c>
      <c r="AZ505">
        <v>4.25</v>
      </c>
      <c r="BA505">
        <v>547.57000000000005</v>
      </c>
      <c r="BB505">
        <v>4.25</v>
      </c>
      <c r="BC505">
        <v>59</v>
      </c>
      <c r="BD505">
        <v>0.3125</v>
      </c>
      <c r="BE505">
        <v>3.75</v>
      </c>
      <c r="BF505">
        <v>22.125</v>
      </c>
      <c r="BG505">
        <v>2.625</v>
      </c>
      <c r="BH505">
        <v>115.34</v>
      </c>
      <c r="BI505">
        <v>5.54</v>
      </c>
      <c r="BJ505">
        <v>17</v>
      </c>
      <c r="BL505">
        <v>662.91010000000006</v>
      </c>
      <c r="BM505">
        <v>75</v>
      </c>
      <c r="BN505">
        <v>697.71360000000004</v>
      </c>
      <c r="BO505">
        <v>2247</v>
      </c>
      <c r="BP505">
        <v>0</v>
      </c>
      <c r="BQ505">
        <v>36</v>
      </c>
      <c r="BR505">
        <v>36</v>
      </c>
      <c r="BS505">
        <v>35.65</v>
      </c>
      <c r="BT505">
        <v>0</v>
      </c>
      <c r="BV505">
        <v>6</v>
      </c>
      <c r="BW505" t="s">
        <v>655</v>
      </c>
      <c r="BX505">
        <v>0.27933340000000001</v>
      </c>
      <c r="BY505">
        <v>9.9582350000000002</v>
      </c>
      <c r="BZ505">
        <v>0</v>
      </c>
      <c r="CA505">
        <v>1</v>
      </c>
      <c r="CB505">
        <v>0.6</v>
      </c>
      <c r="CC505" s="3">
        <v>7.1269159999999998E-2</v>
      </c>
      <c r="CD505">
        <v>2.875</v>
      </c>
      <c r="CE505">
        <v>2.5</v>
      </c>
      <c r="CF505">
        <v>18</v>
      </c>
      <c r="CG505">
        <v>6</v>
      </c>
      <c r="CH505">
        <v>0</v>
      </c>
      <c r="CI505">
        <v>35.65</v>
      </c>
      <c r="CJ505">
        <v>571.3501</v>
      </c>
    </row>
    <row r="506" spans="1:88">
      <c r="A506">
        <v>504</v>
      </c>
      <c r="B506" t="s">
        <v>13</v>
      </c>
      <c r="C506" t="s">
        <v>1</v>
      </c>
      <c r="D506" t="s">
        <v>212</v>
      </c>
      <c r="E506" t="s">
        <v>8</v>
      </c>
      <c r="F506" t="s">
        <v>213</v>
      </c>
      <c r="G506" t="s">
        <v>15</v>
      </c>
      <c r="H506" t="s">
        <v>215</v>
      </c>
      <c r="J506">
        <v>2</v>
      </c>
      <c r="K506" t="s">
        <v>108</v>
      </c>
      <c r="L506" t="s">
        <v>10</v>
      </c>
      <c r="M506" t="s">
        <v>11</v>
      </c>
      <c r="N506" t="s">
        <v>12</v>
      </c>
      <c r="O506">
        <v>203</v>
      </c>
      <c r="Q506">
        <v>1014</v>
      </c>
      <c r="R506">
        <v>129</v>
      </c>
      <c r="S506">
        <v>4.25</v>
      </c>
      <c r="T506">
        <v>5.2460000000000004</v>
      </c>
      <c r="U506">
        <v>7.35</v>
      </c>
      <c r="V506">
        <v>4308.22</v>
      </c>
      <c r="W506">
        <v>951</v>
      </c>
      <c r="X506">
        <v>1.5</v>
      </c>
      <c r="Y506">
        <v>639</v>
      </c>
      <c r="Z506">
        <v>6.74</v>
      </c>
      <c r="AJ506">
        <v>2</v>
      </c>
      <c r="AK506">
        <v>18</v>
      </c>
      <c r="AM506">
        <v>0</v>
      </c>
      <c r="AO506" t="s">
        <v>216</v>
      </c>
      <c r="AT506">
        <v>76</v>
      </c>
      <c r="AV506">
        <v>68.099999999999994</v>
      </c>
      <c r="AW506" t="s">
        <v>6</v>
      </c>
      <c r="AX506" t="s">
        <v>6</v>
      </c>
      <c r="AY506" t="s">
        <v>6</v>
      </c>
      <c r="AZ506" t="s">
        <v>6</v>
      </c>
      <c r="BA506" t="s">
        <v>6</v>
      </c>
      <c r="BB506" t="s">
        <v>6</v>
      </c>
      <c r="BC506" t="s">
        <v>6</v>
      </c>
      <c r="BD506" t="s">
        <v>6</v>
      </c>
      <c r="BE506" t="s">
        <v>6</v>
      </c>
      <c r="BF506" t="s">
        <v>6</v>
      </c>
      <c r="BG506" t="s">
        <v>6</v>
      </c>
      <c r="BH506" t="s">
        <v>6</v>
      </c>
      <c r="BI506" t="s">
        <v>6</v>
      </c>
      <c r="BJ506" t="s">
        <v>6</v>
      </c>
      <c r="BN506">
        <v>580.90189999999996</v>
      </c>
      <c r="BO506">
        <v>3242</v>
      </c>
      <c r="BP506">
        <v>0</v>
      </c>
      <c r="BQ506">
        <v>70</v>
      </c>
      <c r="BR506">
        <v>70</v>
      </c>
      <c r="BS506">
        <v>69.730009999999993</v>
      </c>
      <c r="BT506">
        <v>0</v>
      </c>
      <c r="BV506">
        <v>0</v>
      </c>
      <c r="BW506" t="s">
        <v>655</v>
      </c>
      <c r="BX506">
        <v>0.17</v>
      </c>
      <c r="BY506">
        <v>11.854100000000001</v>
      </c>
      <c r="BZ506">
        <v>0</v>
      </c>
      <c r="CA506">
        <v>1</v>
      </c>
      <c r="CB506">
        <v>0.6</v>
      </c>
      <c r="CC506" s="3">
        <v>7.1269159999999998E-2</v>
      </c>
      <c r="CD506">
        <v>2.875</v>
      </c>
      <c r="CE506">
        <v>2.5</v>
      </c>
      <c r="CF506">
        <v>18</v>
      </c>
      <c r="CG506">
        <v>6</v>
      </c>
      <c r="CH506">
        <v>0</v>
      </c>
      <c r="CI506">
        <v>69.730009999999993</v>
      </c>
      <c r="CJ506">
        <v>933.66319999999996</v>
      </c>
    </row>
    <row r="507" spans="1:88">
      <c r="A507">
        <v>505</v>
      </c>
      <c r="B507" t="s">
        <v>0</v>
      </c>
      <c r="C507" t="s">
        <v>1</v>
      </c>
      <c r="D507" t="s">
        <v>96</v>
      </c>
      <c r="E507" t="s">
        <v>113</v>
      </c>
      <c r="F507" t="s">
        <v>198</v>
      </c>
      <c r="G507" t="s">
        <v>106</v>
      </c>
      <c r="H507" t="s">
        <v>162</v>
      </c>
      <c r="J507">
        <v>2</v>
      </c>
      <c r="K507" t="s">
        <v>146</v>
      </c>
      <c r="L507" t="s">
        <v>116</v>
      </c>
      <c r="M507" t="s">
        <v>117</v>
      </c>
      <c r="N507" t="s">
        <v>14</v>
      </c>
      <c r="O507">
        <v>179</v>
      </c>
      <c r="Q507">
        <v>596</v>
      </c>
      <c r="R507">
        <v>81</v>
      </c>
      <c r="S507">
        <v>4.25</v>
      </c>
      <c r="T507">
        <v>4.7190000000000003</v>
      </c>
      <c r="U507">
        <v>7.05</v>
      </c>
      <c r="V507">
        <v>2531.25</v>
      </c>
      <c r="W507">
        <v>570</v>
      </c>
      <c r="X507">
        <v>1.3332999999999999</v>
      </c>
      <c r="Y507">
        <v>418</v>
      </c>
      <c r="Z507">
        <v>6.05</v>
      </c>
      <c r="AJ507">
        <v>2</v>
      </c>
      <c r="AK507">
        <v>18</v>
      </c>
      <c r="AM507">
        <v>0</v>
      </c>
      <c r="AO507" t="s">
        <v>166</v>
      </c>
      <c r="AT507">
        <v>68</v>
      </c>
      <c r="AV507">
        <v>44.8</v>
      </c>
      <c r="AW507">
        <v>0.46875</v>
      </c>
      <c r="AX507">
        <v>3.75</v>
      </c>
      <c r="AY507">
        <v>62.25</v>
      </c>
      <c r="AZ507">
        <v>5.625</v>
      </c>
      <c r="BA507">
        <v>325.75</v>
      </c>
      <c r="BB507">
        <v>6.05</v>
      </c>
      <c r="BC507">
        <v>67</v>
      </c>
      <c r="BD507">
        <v>0.3125</v>
      </c>
      <c r="BE507">
        <v>2.75</v>
      </c>
      <c r="BF507">
        <v>38.875</v>
      </c>
      <c r="BG507">
        <v>3.75</v>
      </c>
      <c r="BH507">
        <v>92.63</v>
      </c>
      <c r="BI507">
        <v>6.9</v>
      </c>
      <c r="BJ507">
        <v>21</v>
      </c>
      <c r="BL507">
        <v>418.38</v>
      </c>
      <c r="BM507">
        <v>87</v>
      </c>
      <c r="BN507">
        <v>214</v>
      </c>
      <c r="BO507">
        <v>2266</v>
      </c>
      <c r="BP507">
        <v>0</v>
      </c>
      <c r="BQ507">
        <v>61</v>
      </c>
      <c r="BR507">
        <v>61</v>
      </c>
      <c r="BS507">
        <v>61.39</v>
      </c>
      <c r="BT507">
        <v>0</v>
      </c>
      <c r="BV507">
        <v>0</v>
      </c>
      <c r="BW507" t="s">
        <v>655</v>
      </c>
      <c r="BX507">
        <v>0.17</v>
      </c>
      <c r="BY507">
        <v>10.436299999999999</v>
      </c>
      <c r="BZ507">
        <v>0</v>
      </c>
      <c r="CA507">
        <v>1</v>
      </c>
      <c r="CB507">
        <v>0.6</v>
      </c>
      <c r="CC507" s="3">
        <v>7.1269159999999998E-2</v>
      </c>
      <c r="CD507">
        <v>2.875</v>
      </c>
      <c r="CE507">
        <v>2.5</v>
      </c>
      <c r="CF507">
        <v>18</v>
      </c>
      <c r="CG507">
        <v>6</v>
      </c>
      <c r="CH507">
        <v>0</v>
      </c>
      <c r="CI507">
        <v>61.39</v>
      </c>
      <c r="CJ507">
        <v>540.33889999999997</v>
      </c>
    </row>
    <row r="508" spans="1:88">
      <c r="A508">
        <v>506</v>
      </c>
      <c r="B508" t="s">
        <v>13</v>
      </c>
      <c r="C508" t="s">
        <v>1</v>
      </c>
      <c r="D508" t="s">
        <v>139</v>
      </c>
      <c r="E508" t="s">
        <v>2</v>
      </c>
      <c r="F508" t="s">
        <v>155</v>
      </c>
      <c r="G508" t="s">
        <v>106</v>
      </c>
      <c r="H508" t="s">
        <v>151</v>
      </c>
      <c r="J508">
        <v>2</v>
      </c>
      <c r="K508" t="s">
        <v>146</v>
      </c>
      <c r="L508" t="s">
        <v>122</v>
      </c>
      <c r="M508" t="s">
        <v>4</v>
      </c>
      <c r="N508" t="s">
        <v>5</v>
      </c>
      <c r="O508">
        <v>107</v>
      </c>
      <c r="Q508">
        <v>306</v>
      </c>
      <c r="R508">
        <v>68</v>
      </c>
      <c r="S508">
        <v>4.25</v>
      </c>
      <c r="T508">
        <v>2.9710000000000001</v>
      </c>
      <c r="U508">
        <v>6.07</v>
      </c>
      <c r="V508">
        <v>1300.03</v>
      </c>
      <c r="W508">
        <v>414</v>
      </c>
      <c r="X508">
        <v>1.3332999999999999</v>
      </c>
      <c r="Y508">
        <v>302</v>
      </c>
      <c r="Z508">
        <v>4.3</v>
      </c>
      <c r="AJ508">
        <v>2</v>
      </c>
      <c r="AK508">
        <v>18</v>
      </c>
      <c r="AM508">
        <v>0</v>
      </c>
      <c r="AO508" t="s">
        <v>154</v>
      </c>
      <c r="AT508">
        <v>42</v>
      </c>
      <c r="AV508">
        <v>36.799999999999997</v>
      </c>
      <c r="AW508">
        <v>0</v>
      </c>
      <c r="AX508">
        <v>0</v>
      </c>
      <c r="AY508">
        <v>32.125</v>
      </c>
      <c r="AZ508">
        <v>3.5</v>
      </c>
      <c r="BA508">
        <v>0</v>
      </c>
      <c r="BB508">
        <v>0</v>
      </c>
      <c r="BC508">
        <v>31</v>
      </c>
      <c r="BN508">
        <v>174.76669999999999</v>
      </c>
      <c r="BO508">
        <v>3397</v>
      </c>
      <c r="BP508">
        <v>0</v>
      </c>
      <c r="BQ508">
        <v>36</v>
      </c>
      <c r="BR508">
        <v>36</v>
      </c>
      <c r="BS508">
        <v>36.340000000000003</v>
      </c>
      <c r="BT508">
        <v>0</v>
      </c>
      <c r="BV508">
        <v>0</v>
      </c>
      <c r="BW508" t="s">
        <v>655</v>
      </c>
      <c r="BX508">
        <v>0.17</v>
      </c>
      <c r="BY508">
        <v>6.1778000000000004</v>
      </c>
      <c r="BZ508">
        <v>0</v>
      </c>
      <c r="CA508">
        <v>1</v>
      </c>
      <c r="CB508">
        <v>0.6</v>
      </c>
      <c r="CC508" s="3">
        <v>7.1269159999999998E-2</v>
      </c>
      <c r="CD508">
        <v>2.875</v>
      </c>
      <c r="CE508">
        <v>2.5</v>
      </c>
      <c r="CF508">
        <v>18</v>
      </c>
      <c r="CG508">
        <v>6</v>
      </c>
      <c r="CH508">
        <v>0</v>
      </c>
      <c r="CI508">
        <v>36.340000000000003</v>
      </c>
      <c r="CJ508">
        <v>262.87700000000001</v>
      </c>
    </row>
    <row r="509" spans="1:88">
      <c r="A509">
        <v>507</v>
      </c>
      <c r="B509" t="s">
        <v>0</v>
      </c>
      <c r="C509" t="s">
        <v>1</v>
      </c>
      <c r="D509" t="s">
        <v>2</v>
      </c>
      <c r="E509" t="s">
        <v>219</v>
      </c>
      <c r="F509" t="s">
        <v>154</v>
      </c>
      <c r="G509" t="s">
        <v>106</v>
      </c>
      <c r="H509" t="s">
        <v>217</v>
      </c>
      <c r="J509">
        <v>2</v>
      </c>
      <c r="K509" t="s">
        <v>146</v>
      </c>
      <c r="L509" t="s">
        <v>369</v>
      </c>
      <c r="M509" t="s">
        <v>220</v>
      </c>
      <c r="N509" t="s">
        <v>221</v>
      </c>
      <c r="O509">
        <v>101</v>
      </c>
      <c r="Q509">
        <v>285</v>
      </c>
      <c r="R509">
        <v>67</v>
      </c>
      <c r="S509">
        <v>4.25</v>
      </c>
      <c r="T509">
        <v>2.8119999999999998</v>
      </c>
      <c r="U509">
        <v>5.92</v>
      </c>
      <c r="V509">
        <v>1210.74</v>
      </c>
      <c r="W509">
        <v>397</v>
      </c>
      <c r="X509">
        <v>1.3332999999999999</v>
      </c>
      <c r="Y509">
        <v>292</v>
      </c>
      <c r="Z509">
        <v>4.1399999999999997</v>
      </c>
      <c r="AJ509">
        <v>2</v>
      </c>
      <c r="AK509">
        <v>18</v>
      </c>
      <c r="AM509">
        <v>0</v>
      </c>
      <c r="AO509" t="s">
        <v>218</v>
      </c>
      <c r="AT509">
        <v>40</v>
      </c>
      <c r="AV509">
        <v>36.1</v>
      </c>
      <c r="AW509">
        <v>0</v>
      </c>
      <c r="AX509">
        <v>0</v>
      </c>
      <c r="AY509">
        <v>33.25</v>
      </c>
      <c r="AZ509">
        <v>3.375</v>
      </c>
      <c r="BA509">
        <v>0</v>
      </c>
      <c r="BB509">
        <v>0</v>
      </c>
      <c r="BC509">
        <v>32</v>
      </c>
      <c r="BN509">
        <v>171.2</v>
      </c>
      <c r="BO509">
        <v>3540</v>
      </c>
      <c r="BP509">
        <v>0</v>
      </c>
      <c r="BQ509">
        <v>34</v>
      </c>
      <c r="BR509">
        <v>34</v>
      </c>
      <c r="BS509">
        <v>34.26</v>
      </c>
      <c r="BT509">
        <v>0</v>
      </c>
      <c r="BV509">
        <v>0</v>
      </c>
      <c r="BW509" t="s">
        <v>655</v>
      </c>
      <c r="BX509">
        <v>0.17</v>
      </c>
      <c r="BY509">
        <v>5.8242000000000003</v>
      </c>
      <c r="BZ509">
        <v>0</v>
      </c>
      <c r="CA509">
        <v>1</v>
      </c>
      <c r="CB509">
        <v>0.6</v>
      </c>
      <c r="CC509" s="3">
        <v>7.1269159999999998E-2</v>
      </c>
      <c r="CD509">
        <v>2.875</v>
      </c>
      <c r="CE509">
        <v>2.5</v>
      </c>
      <c r="CF509">
        <v>18</v>
      </c>
      <c r="CG509">
        <v>6</v>
      </c>
      <c r="CH509">
        <v>0</v>
      </c>
      <c r="CI509">
        <v>34.26</v>
      </c>
      <c r="CJ509">
        <v>242.94730000000001</v>
      </c>
    </row>
    <row r="510" spans="1:88">
      <c r="A510">
        <v>508</v>
      </c>
      <c r="B510" t="s">
        <v>0</v>
      </c>
      <c r="C510" t="s">
        <v>1</v>
      </c>
      <c r="D510" t="s">
        <v>3</v>
      </c>
      <c r="E510" t="s">
        <v>234</v>
      </c>
      <c r="F510" t="s">
        <v>306</v>
      </c>
      <c r="G510" t="s">
        <v>106</v>
      </c>
      <c r="H510" t="s">
        <v>307</v>
      </c>
      <c r="J510">
        <v>2</v>
      </c>
      <c r="K510" t="s">
        <v>146</v>
      </c>
      <c r="L510" t="s">
        <v>103</v>
      </c>
      <c r="M510" t="s">
        <v>435</v>
      </c>
      <c r="N510" t="s">
        <v>295</v>
      </c>
      <c r="O510">
        <v>147</v>
      </c>
      <c r="Q510">
        <v>472</v>
      </c>
      <c r="R510">
        <v>77</v>
      </c>
      <c r="S510">
        <v>4.25</v>
      </c>
      <c r="T510">
        <v>3.976</v>
      </c>
      <c r="U510">
        <v>6.67</v>
      </c>
      <c r="V510">
        <v>2006.29</v>
      </c>
      <c r="W510">
        <v>516</v>
      </c>
      <c r="X510">
        <v>1.3332999999999999</v>
      </c>
      <c r="Y510">
        <v>379</v>
      </c>
      <c r="Z510">
        <v>5.3</v>
      </c>
      <c r="AJ510">
        <v>2</v>
      </c>
      <c r="AK510">
        <v>18</v>
      </c>
      <c r="AM510">
        <v>0</v>
      </c>
      <c r="AO510" t="s">
        <v>308</v>
      </c>
      <c r="AT510">
        <v>56</v>
      </c>
      <c r="AV510">
        <v>42.6</v>
      </c>
      <c r="AW510">
        <v>0.46875</v>
      </c>
      <c r="AX510">
        <v>3.75</v>
      </c>
      <c r="AY510">
        <v>54.5</v>
      </c>
      <c r="AZ510">
        <v>5</v>
      </c>
      <c r="BA510">
        <v>371.85</v>
      </c>
      <c r="BB510">
        <v>5.3</v>
      </c>
      <c r="BC510">
        <v>59</v>
      </c>
      <c r="BD510">
        <v>0.1875</v>
      </c>
      <c r="BE510">
        <v>2.75</v>
      </c>
      <c r="BF510">
        <v>39.75</v>
      </c>
      <c r="BG510">
        <v>2</v>
      </c>
      <c r="BH510">
        <v>6.69</v>
      </c>
      <c r="BI510">
        <v>22.67</v>
      </c>
      <c r="BJ510">
        <v>13</v>
      </c>
      <c r="BL510">
        <v>378.54</v>
      </c>
      <c r="BM510">
        <v>71</v>
      </c>
      <c r="BN510">
        <v>203.3</v>
      </c>
      <c r="BO510">
        <v>2511</v>
      </c>
      <c r="BP510">
        <v>0</v>
      </c>
      <c r="BQ510">
        <v>50</v>
      </c>
      <c r="BR510">
        <v>50</v>
      </c>
      <c r="BS510">
        <v>50.26</v>
      </c>
      <c r="BT510">
        <v>0</v>
      </c>
      <c r="BV510">
        <v>0</v>
      </c>
      <c r="BW510" t="s">
        <v>655</v>
      </c>
      <c r="BX510">
        <v>0.17</v>
      </c>
      <c r="BY510">
        <v>8.5442</v>
      </c>
      <c r="BZ510">
        <v>0</v>
      </c>
      <c r="CA510">
        <v>1</v>
      </c>
      <c r="CB510">
        <v>0.6</v>
      </c>
      <c r="CC510" s="3">
        <v>7.1269159999999998E-2</v>
      </c>
      <c r="CD510">
        <v>2.875</v>
      </c>
      <c r="CE510">
        <v>2.5</v>
      </c>
      <c r="CF510">
        <v>18</v>
      </c>
      <c r="CG510">
        <v>6</v>
      </c>
      <c r="CH510">
        <v>0</v>
      </c>
      <c r="CI510">
        <v>50.26</v>
      </c>
      <c r="CJ510">
        <v>420.8836</v>
      </c>
    </row>
    <row r="511" spans="1:88">
      <c r="A511">
        <v>509</v>
      </c>
      <c r="B511" t="s">
        <v>13</v>
      </c>
      <c r="C511" t="s">
        <v>1</v>
      </c>
      <c r="D511" t="s">
        <v>302</v>
      </c>
      <c r="E511" t="s">
        <v>425</v>
      </c>
      <c r="F511" t="s">
        <v>401</v>
      </c>
      <c r="G511" t="s">
        <v>15</v>
      </c>
      <c r="H511" t="s">
        <v>402</v>
      </c>
      <c r="J511">
        <v>2</v>
      </c>
      <c r="K511" t="s">
        <v>108</v>
      </c>
      <c r="L511" t="s">
        <v>420</v>
      </c>
      <c r="M511" t="s">
        <v>586</v>
      </c>
      <c r="N511" t="s">
        <v>245</v>
      </c>
      <c r="O511">
        <v>215</v>
      </c>
      <c r="Q511">
        <v>1127</v>
      </c>
      <c r="R511">
        <v>136</v>
      </c>
      <c r="S511">
        <v>4.25</v>
      </c>
      <c r="T511">
        <v>5.5019999999999998</v>
      </c>
      <c r="U511">
        <v>7.5</v>
      </c>
      <c r="V511">
        <v>4788.43</v>
      </c>
      <c r="W511">
        <v>1022</v>
      </c>
      <c r="X511">
        <v>1.5</v>
      </c>
      <c r="Y511">
        <v>684</v>
      </c>
      <c r="Z511">
        <v>7</v>
      </c>
      <c r="AJ511">
        <v>2</v>
      </c>
      <c r="AK511">
        <v>18</v>
      </c>
      <c r="AM511">
        <v>0</v>
      </c>
      <c r="AO511" t="s">
        <v>246</v>
      </c>
      <c r="AT511">
        <v>80</v>
      </c>
      <c r="AV511">
        <v>71.8</v>
      </c>
      <c r="AW511" t="s">
        <v>6</v>
      </c>
      <c r="AX511" t="s">
        <v>6</v>
      </c>
      <c r="AY511" t="s">
        <v>6</v>
      </c>
      <c r="AZ511" t="s">
        <v>6</v>
      </c>
      <c r="BA511" t="s">
        <v>6</v>
      </c>
      <c r="BB511" t="s">
        <v>6</v>
      </c>
      <c r="BC511" t="s">
        <v>6</v>
      </c>
      <c r="BD511" t="s">
        <v>6</v>
      </c>
      <c r="BE511" t="s">
        <v>6</v>
      </c>
      <c r="BF511" t="s">
        <v>6</v>
      </c>
      <c r="BG511" t="s">
        <v>6</v>
      </c>
      <c r="BH511" t="s">
        <v>6</v>
      </c>
      <c r="BI511" t="s">
        <v>6</v>
      </c>
      <c r="BJ511" t="s">
        <v>6</v>
      </c>
      <c r="BN511">
        <v>612.47260000000006</v>
      </c>
      <c r="BO511">
        <v>2916</v>
      </c>
      <c r="BP511">
        <v>0</v>
      </c>
      <c r="BQ511">
        <v>74</v>
      </c>
      <c r="BR511">
        <v>74</v>
      </c>
      <c r="BS511">
        <v>73.91001</v>
      </c>
      <c r="BT511">
        <v>0</v>
      </c>
      <c r="BV511">
        <v>0</v>
      </c>
      <c r="BW511" t="s">
        <v>655</v>
      </c>
      <c r="BX511">
        <v>0.17</v>
      </c>
      <c r="BY511">
        <v>12.5647</v>
      </c>
      <c r="BZ511">
        <v>0</v>
      </c>
      <c r="CA511">
        <v>1</v>
      </c>
      <c r="CB511">
        <v>0.6</v>
      </c>
      <c r="CC511" s="3">
        <v>7.1269159999999998E-2</v>
      </c>
      <c r="CD511">
        <v>2.875</v>
      </c>
      <c r="CE511">
        <v>2.5</v>
      </c>
      <c r="CF511">
        <v>18</v>
      </c>
      <c r="CG511">
        <v>6</v>
      </c>
      <c r="CH511">
        <v>0</v>
      </c>
      <c r="CI511">
        <v>73.91001</v>
      </c>
      <c r="CJ511">
        <v>1042.307</v>
      </c>
    </row>
    <row r="512" spans="1:88">
      <c r="A512">
        <v>510</v>
      </c>
      <c r="B512" t="s">
        <v>13</v>
      </c>
      <c r="C512" t="s">
        <v>1</v>
      </c>
      <c r="D512" t="s">
        <v>3</v>
      </c>
      <c r="E512" t="s">
        <v>143</v>
      </c>
      <c r="F512" t="s">
        <v>306</v>
      </c>
      <c r="G512" t="s">
        <v>106</v>
      </c>
      <c r="H512" t="s">
        <v>307</v>
      </c>
      <c r="J512">
        <v>2</v>
      </c>
      <c r="K512" t="s">
        <v>146</v>
      </c>
      <c r="L512" t="s">
        <v>297</v>
      </c>
      <c r="M512" t="s">
        <v>206</v>
      </c>
      <c r="N512" t="s">
        <v>131</v>
      </c>
      <c r="O512">
        <v>155</v>
      </c>
      <c r="Q512">
        <v>496</v>
      </c>
      <c r="R512">
        <v>77</v>
      </c>
      <c r="S512">
        <v>4.25</v>
      </c>
      <c r="T512">
        <v>4.1660000000000004</v>
      </c>
      <c r="U512">
        <v>6.78</v>
      </c>
      <c r="V512">
        <v>2107.27</v>
      </c>
      <c r="W512">
        <v>525</v>
      </c>
      <c r="X512">
        <v>1.3332999999999999</v>
      </c>
      <c r="Y512">
        <v>384</v>
      </c>
      <c r="Z512">
        <v>5.49</v>
      </c>
      <c r="AJ512">
        <v>2</v>
      </c>
      <c r="AK512">
        <v>18</v>
      </c>
      <c r="AM512">
        <v>0</v>
      </c>
      <c r="AO512" t="s">
        <v>308</v>
      </c>
      <c r="AT512">
        <v>59</v>
      </c>
      <c r="AV512">
        <v>42.6</v>
      </c>
      <c r="AW512">
        <v>0.46875</v>
      </c>
      <c r="AX512">
        <v>3.75</v>
      </c>
      <c r="AY512">
        <v>56.5</v>
      </c>
      <c r="AZ512">
        <v>5.125</v>
      </c>
      <c r="BA512">
        <v>358.98</v>
      </c>
      <c r="BB512">
        <v>5.49</v>
      </c>
      <c r="BC512">
        <v>61</v>
      </c>
      <c r="BD512">
        <v>0.25</v>
      </c>
      <c r="BE512">
        <v>2.75</v>
      </c>
      <c r="BF512">
        <v>46.25</v>
      </c>
      <c r="BG512">
        <v>2.75</v>
      </c>
      <c r="BH512">
        <v>24.84</v>
      </c>
      <c r="BI512">
        <v>13.82</v>
      </c>
      <c r="BJ512">
        <v>20</v>
      </c>
      <c r="BL512">
        <v>383.82</v>
      </c>
      <c r="BM512">
        <v>80</v>
      </c>
      <c r="BN512">
        <v>203.3</v>
      </c>
      <c r="BO512">
        <v>2511</v>
      </c>
      <c r="BP512">
        <v>0</v>
      </c>
      <c r="BQ512">
        <v>53</v>
      </c>
      <c r="BR512">
        <v>53</v>
      </c>
      <c r="BS512">
        <v>53.04</v>
      </c>
      <c r="BT512">
        <v>0</v>
      </c>
      <c r="BV512">
        <v>0</v>
      </c>
      <c r="BW512" t="s">
        <v>655</v>
      </c>
      <c r="BX512">
        <v>0.17</v>
      </c>
      <c r="BY512">
        <v>9.0167999999999999</v>
      </c>
      <c r="BZ512">
        <v>0</v>
      </c>
      <c r="CA512">
        <v>1</v>
      </c>
      <c r="CB512">
        <v>0.6</v>
      </c>
      <c r="CC512" s="3">
        <v>7.1269159999999998E-2</v>
      </c>
      <c r="CD512">
        <v>2.875</v>
      </c>
      <c r="CE512">
        <v>2.5</v>
      </c>
      <c r="CF512">
        <v>18</v>
      </c>
      <c r="CG512">
        <v>6</v>
      </c>
      <c r="CH512">
        <v>0</v>
      </c>
      <c r="CI512">
        <v>53.04</v>
      </c>
      <c r="CJ512">
        <v>444.16370000000001</v>
      </c>
    </row>
    <row r="513" spans="1:88">
      <c r="A513">
        <v>511</v>
      </c>
      <c r="B513" t="s">
        <v>13</v>
      </c>
      <c r="C513" t="s">
        <v>1</v>
      </c>
      <c r="D513" t="s">
        <v>2</v>
      </c>
      <c r="E513" t="s">
        <v>139</v>
      </c>
      <c r="F513" t="s">
        <v>154</v>
      </c>
      <c r="G513" t="s">
        <v>106</v>
      </c>
      <c r="H513" t="s">
        <v>217</v>
      </c>
      <c r="J513">
        <v>2</v>
      </c>
      <c r="K513" t="s">
        <v>146</v>
      </c>
      <c r="L513" t="s">
        <v>158</v>
      </c>
      <c r="M513" t="s">
        <v>385</v>
      </c>
      <c r="N513" t="s">
        <v>177</v>
      </c>
      <c r="O513">
        <v>109</v>
      </c>
      <c r="Q513">
        <v>305</v>
      </c>
      <c r="R513">
        <v>67</v>
      </c>
      <c r="S513">
        <v>4.25</v>
      </c>
      <c r="T513">
        <v>3.024</v>
      </c>
      <c r="U513">
        <v>6.11</v>
      </c>
      <c r="V513">
        <v>1296.5</v>
      </c>
      <c r="W513">
        <v>410</v>
      </c>
      <c r="X513">
        <v>1.3332999999999999</v>
      </c>
      <c r="Y513">
        <v>298</v>
      </c>
      <c r="Z513">
        <v>4.3499999999999996</v>
      </c>
      <c r="AJ513">
        <v>2</v>
      </c>
      <c r="AK513">
        <v>18</v>
      </c>
      <c r="AM513">
        <v>0</v>
      </c>
      <c r="AO513" t="s">
        <v>218</v>
      </c>
      <c r="AT513">
        <v>43</v>
      </c>
      <c r="AV513">
        <v>36.1</v>
      </c>
      <c r="AW513">
        <v>0</v>
      </c>
      <c r="AX513">
        <v>0</v>
      </c>
      <c r="AY513">
        <v>32.625</v>
      </c>
      <c r="AZ513">
        <v>3.5</v>
      </c>
      <c r="BA513">
        <v>0</v>
      </c>
      <c r="BB513">
        <v>0</v>
      </c>
      <c r="BC513">
        <v>31</v>
      </c>
      <c r="BN513">
        <v>171.2</v>
      </c>
      <c r="BO513">
        <v>3540</v>
      </c>
      <c r="BP513">
        <v>0</v>
      </c>
      <c r="BQ513">
        <v>37</v>
      </c>
      <c r="BR513">
        <v>37</v>
      </c>
      <c r="BS513">
        <v>37.04</v>
      </c>
      <c r="BT513">
        <v>0</v>
      </c>
      <c r="BV513">
        <v>0</v>
      </c>
      <c r="BW513" t="s">
        <v>655</v>
      </c>
      <c r="BX513">
        <v>0.17</v>
      </c>
      <c r="BY513">
        <v>6.2968000000000002</v>
      </c>
      <c r="BZ513">
        <v>0</v>
      </c>
      <c r="CA513">
        <v>1</v>
      </c>
      <c r="CB513">
        <v>0.6</v>
      </c>
      <c r="CC513" s="3">
        <v>7.1269159999999998E-2</v>
      </c>
      <c r="CD513">
        <v>2.875</v>
      </c>
      <c r="CE513">
        <v>2.5</v>
      </c>
      <c r="CF513">
        <v>18</v>
      </c>
      <c r="CG513">
        <v>6</v>
      </c>
      <c r="CH513">
        <v>0</v>
      </c>
      <c r="CI513">
        <v>37.04</v>
      </c>
      <c r="CJ513">
        <v>262.66109999999998</v>
      </c>
    </row>
    <row r="514" spans="1:88">
      <c r="A514">
        <v>512</v>
      </c>
      <c r="B514" t="s">
        <v>0</v>
      </c>
      <c r="C514" t="s">
        <v>1</v>
      </c>
      <c r="D514" t="s">
        <v>202</v>
      </c>
      <c r="E514" t="s">
        <v>393</v>
      </c>
      <c r="F514" t="s">
        <v>357</v>
      </c>
      <c r="G514" t="s">
        <v>106</v>
      </c>
      <c r="H514" t="s">
        <v>358</v>
      </c>
      <c r="J514">
        <v>2</v>
      </c>
      <c r="K514" t="s">
        <v>108</v>
      </c>
      <c r="L514" t="s">
        <v>168</v>
      </c>
      <c r="M514" t="s">
        <v>475</v>
      </c>
      <c r="N514" t="s">
        <v>466</v>
      </c>
      <c r="O514">
        <v>169</v>
      </c>
      <c r="Q514">
        <v>791</v>
      </c>
      <c r="R514">
        <v>110</v>
      </c>
      <c r="S514">
        <v>4.25</v>
      </c>
      <c r="T514">
        <v>4.492</v>
      </c>
      <c r="U514">
        <v>6.9</v>
      </c>
      <c r="V514">
        <v>3359.92</v>
      </c>
      <c r="W514">
        <v>757</v>
      </c>
      <c r="X514">
        <v>1.3332999999999999</v>
      </c>
      <c r="Y514">
        <v>577</v>
      </c>
      <c r="Z514">
        <v>5.82</v>
      </c>
      <c r="AJ514">
        <v>2</v>
      </c>
      <c r="AK514">
        <v>18</v>
      </c>
      <c r="AM514">
        <v>0</v>
      </c>
      <c r="AO514" t="s">
        <v>262</v>
      </c>
      <c r="AT514">
        <v>64</v>
      </c>
      <c r="AV514">
        <v>63.1</v>
      </c>
      <c r="AW514" t="s">
        <v>6</v>
      </c>
      <c r="AX514" t="s">
        <v>6</v>
      </c>
      <c r="AY514" t="s">
        <v>6</v>
      </c>
      <c r="AZ514" t="s">
        <v>6</v>
      </c>
      <c r="BA514" t="s">
        <v>6</v>
      </c>
      <c r="BB514" t="s">
        <v>6</v>
      </c>
      <c r="BC514" t="s">
        <v>6</v>
      </c>
      <c r="BD514" t="s">
        <v>6</v>
      </c>
      <c r="BE514" t="s">
        <v>6</v>
      </c>
      <c r="BF514" t="s">
        <v>6</v>
      </c>
      <c r="BG514" t="s">
        <v>6</v>
      </c>
      <c r="BH514" t="s">
        <v>6</v>
      </c>
      <c r="BI514" t="s">
        <v>6</v>
      </c>
      <c r="BJ514" t="s">
        <v>6</v>
      </c>
      <c r="BN514">
        <v>303.16669999999999</v>
      </c>
      <c r="BO514">
        <v>1129</v>
      </c>
      <c r="BP514">
        <v>0</v>
      </c>
      <c r="BQ514">
        <v>58</v>
      </c>
      <c r="BR514">
        <v>58</v>
      </c>
      <c r="BS514">
        <v>57.91</v>
      </c>
      <c r="BT514">
        <v>0</v>
      </c>
      <c r="BV514">
        <v>0</v>
      </c>
      <c r="BW514" t="s">
        <v>655</v>
      </c>
      <c r="BX514">
        <v>0.17</v>
      </c>
      <c r="BY514">
        <v>9.8446999999999996</v>
      </c>
      <c r="BZ514">
        <v>0</v>
      </c>
      <c r="CA514">
        <v>1</v>
      </c>
      <c r="CB514">
        <v>0.6</v>
      </c>
      <c r="CC514" s="3">
        <v>7.1269159999999998E-2</v>
      </c>
      <c r="CD514">
        <v>2.875</v>
      </c>
      <c r="CE514">
        <v>2.5</v>
      </c>
      <c r="CF514">
        <v>18</v>
      </c>
      <c r="CG514">
        <v>6</v>
      </c>
      <c r="CH514">
        <v>0</v>
      </c>
      <c r="CI514">
        <v>57.91</v>
      </c>
      <c r="CJ514">
        <v>717.61630000000002</v>
      </c>
    </row>
    <row r="515" spans="1:88">
      <c r="A515">
        <v>513</v>
      </c>
      <c r="B515" t="s">
        <v>0</v>
      </c>
      <c r="C515" t="s">
        <v>1</v>
      </c>
      <c r="D515" t="s">
        <v>113</v>
      </c>
      <c r="E515" t="s">
        <v>5</v>
      </c>
      <c r="F515" t="s">
        <v>262</v>
      </c>
      <c r="G515" t="s">
        <v>106</v>
      </c>
      <c r="H515" t="s">
        <v>263</v>
      </c>
      <c r="J515">
        <v>2</v>
      </c>
      <c r="K515" t="s">
        <v>108</v>
      </c>
      <c r="L515" t="s">
        <v>162</v>
      </c>
      <c r="M515" t="s">
        <v>155</v>
      </c>
      <c r="N515" t="s">
        <v>176</v>
      </c>
      <c r="O515">
        <v>110</v>
      </c>
      <c r="Q515">
        <v>527</v>
      </c>
      <c r="R515">
        <v>109</v>
      </c>
      <c r="S515">
        <v>4.25</v>
      </c>
      <c r="T515">
        <v>3.05</v>
      </c>
      <c r="U515">
        <v>6.11</v>
      </c>
      <c r="V515">
        <v>2238.64</v>
      </c>
      <c r="W515">
        <v>663</v>
      </c>
      <c r="X515">
        <v>1.3332999999999999</v>
      </c>
      <c r="Y515">
        <v>511</v>
      </c>
      <c r="Z515">
        <v>4.38</v>
      </c>
      <c r="AJ515">
        <v>2</v>
      </c>
      <c r="AK515">
        <v>18</v>
      </c>
      <c r="AM515">
        <v>0</v>
      </c>
      <c r="AO515" t="s">
        <v>266</v>
      </c>
      <c r="AT515">
        <v>44</v>
      </c>
      <c r="AV515">
        <v>62.3</v>
      </c>
      <c r="AW515">
        <v>0.46875</v>
      </c>
      <c r="AX515">
        <v>3.75</v>
      </c>
      <c r="AY515">
        <v>45</v>
      </c>
      <c r="AZ515">
        <v>4.125</v>
      </c>
      <c r="BA515">
        <v>449.95</v>
      </c>
      <c r="BB515">
        <v>4.38</v>
      </c>
      <c r="BC515">
        <v>48</v>
      </c>
      <c r="BD515">
        <v>0.25</v>
      </c>
      <c r="BE515">
        <v>2.75</v>
      </c>
      <c r="BF515">
        <v>18.75</v>
      </c>
      <c r="BG515">
        <v>2.25</v>
      </c>
      <c r="BH515">
        <v>61.14</v>
      </c>
      <c r="BI515">
        <v>5.61</v>
      </c>
      <c r="BJ515">
        <v>8</v>
      </c>
      <c r="BL515">
        <v>511.09010000000001</v>
      </c>
      <c r="BM515">
        <v>56</v>
      </c>
      <c r="BN515">
        <v>299.60000000000002</v>
      </c>
      <c r="BO515">
        <v>1156</v>
      </c>
      <c r="BP515">
        <v>0</v>
      </c>
      <c r="BQ515">
        <v>37</v>
      </c>
      <c r="BR515">
        <v>37</v>
      </c>
      <c r="BS515">
        <v>37.39</v>
      </c>
      <c r="BT515">
        <v>0</v>
      </c>
      <c r="BV515">
        <v>0</v>
      </c>
      <c r="BW515" t="s">
        <v>655</v>
      </c>
      <c r="BX515">
        <v>0.17</v>
      </c>
      <c r="BY515">
        <v>6.3563000000000001</v>
      </c>
      <c r="BZ515">
        <v>0</v>
      </c>
      <c r="CA515">
        <v>1</v>
      </c>
      <c r="CB515">
        <v>0.6</v>
      </c>
      <c r="CC515" s="3">
        <v>7.1269159999999998E-2</v>
      </c>
      <c r="CD515">
        <v>2.875</v>
      </c>
      <c r="CE515">
        <v>2.5</v>
      </c>
      <c r="CF515">
        <v>18</v>
      </c>
      <c r="CG515">
        <v>6</v>
      </c>
      <c r="CH515">
        <v>0</v>
      </c>
      <c r="CI515">
        <v>37.39</v>
      </c>
      <c r="CJ515">
        <v>458.00459999999998</v>
      </c>
    </row>
    <row r="516" spans="1:88">
      <c r="A516">
        <v>514</v>
      </c>
      <c r="B516" t="s">
        <v>13</v>
      </c>
      <c r="C516" t="s">
        <v>1</v>
      </c>
      <c r="D516" t="s">
        <v>113</v>
      </c>
      <c r="E516" t="s">
        <v>19</v>
      </c>
      <c r="F516" t="s">
        <v>262</v>
      </c>
      <c r="G516" t="s">
        <v>214</v>
      </c>
      <c r="H516" t="s">
        <v>263</v>
      </c>
      <c r="J516">
        <v>2</v>
      </c>
      <c r="K516" t="s">
        <v>108</v>
      </c>
      <c r="L516" t="s">
        <v>302</v>
      </c>
      <c r="M516" t="s">
        <v>433</v>
      </c>
      <c r="N516" t="s">
        <v>434</v>
      </c>
      <c r="O516">
        <v>185</v>
      </c>
      <c r="Q516">
        <v>851</v>
      </c>
      <c r="R516">
        <v>109</v>
      </c>
      <c r="S516">
        <v>4.25</v>
      </c>
      <c r="T516">
        <v>4.8529999999999998</v>
      </c>
      <c r="U516">
        <v>7.16</v>
      </c>
      <c r="V516">
        <v>3615.17</v>
      </c>
      <c r="W516">
        <v>778</v>
      </c>
      <c r="X516">
        <v>1.3332999999999999</v>
      </c>
      <c r="Y516">
        <v>585</v>
      </c>
      <c r="Z516">
        <v>6.18</v>
      </c>
      <c r="AJ516">
        <v>2</v>
      </c>
      <c r="AK516">
        <v>18</v>
      </c>
      <c r="AM516">
        <v>0</v>
      </c>
      <c r="AO516" t="s">
        <v>266</v>
      </c>
      <c r="AT516">
        <v>70</v>
      </c>
      <c r="AV516">
        <v>62.3</v>
      </c>
      <c r="AW516">
        <v>0.46875</v>
      </c>
      <c r="AX516">
        <v>3.75</v>
      </c>
      <c r="AY516">
        <v>63</v>
      </c>
      <c r="AZ516">
        <v>5.75</v>
      </c>
      <c r="BA516">
        <v>321.73</v>
      </c>
      <c r="BB516">
        <v>6.12</v>
      </c>
      <c r="BC516">
        <v>68</v>
      </c>
      <c r="BD516">
        <v>0.4375</v>
      </c>
      <c r="BE516">
        <v>3.75</v>
      </c>
      <c r="BF516">
        <v>54</v>
      </c>
      <c r="BG516">
        <v>5.375</v>
      </c>
      <c r="BH516">
        <v>263.23</v>
      </c>
      <c r="BI516">
        <v>6.25</v>
      </c>
      <c r="BJ516">
        <v>55</v>
      </c>
      <c r="BL516">
        <v>584.96</v>
      </c>
      <c r="BM516">
        <v>122</v>
      </c>
      <c r="BN516">
        <v>302.12</v>
      </c>
      <c r="BO516">
        <v>1426</v>
      </c>
      <c r="BP516">
        <v>0</v>
      </c>
      <c r="BQ516">
        <v>63</v>
      </c>
      <c r="BR516">
        <v>63</v>
      </c>
      <c r="BS516">
        <v>63.47</v>
      </c>
      <c r="BT516">
        <v>0</v>
      </c>
      <c r="BV516">
        <v>0</v>
      </c>
      <c r="BW516" t="s">
        <v>655</v>
      </c>
      <c r="BX516">
        <v>0.17</v>
      </c>
      <c r="BY516">
        <v>10.789899999999999</v>
      </c>
      <c r="BZ516">
        <v>0</v>
      </c>
      <c r="CA516">
        <v>1</v>
      </c>
      <c r="CB516">
        <v>0.6</v>
      </c>
      <c r="CC516" s="3">
        <v>7.1269159999999998E-2</v>
      </c>
      <c r="CD516">
        <v>2.875</v>
      </c>
      <c r="CE516">
        <v>2.5</v>
      </c>
      <c r="CF516">
        <v>18</v>
      </c>
      <c r="CG516">
        <v>6</v>
      </c>
      <c r="CH516">
        <v>0</v>
      </c>
      <c r="CI516">
        <v>63.47</v>
      </c>
      <c r="CJ516">
        <v>777.46849999999995</v>
      </c>
    </row>
    <row r="517" spans="1:88">
      <c r="A517">
        <v>515</v>
      </c>
      <c r="B517" t="s">
        <v>0</v>
      </c>
      <c r="C517" t="s">
        <v>1</v>
      </c>
      <c r="D517" t="s">
        <v>135</v>
      </c>
      <c r="E517" t="s">
        <v>317</v>
      </c>
      <c r="F517" t="s">
        <v>137</v>
      </c>
      <c r="G517" t="s">
        <v>106</v>
      </c>
      <c r="H517" t="s">
        <v>138</v>
      </c>
      <c r="J517">
        <v>2</v>
      </c>
      <c r="K517" t="s">
        <v>146</v>
      </c>
      <c r="L517" t="s">
        <v>169</v>
      </c>
      <c r="M517" t="s">
        <v>400</v>
      </c>
      <c r="N517" t="s">
        <v>228</v>
      </c>
      <c r="O517">
        <v>99</v>
      </c>
      <c r="Q517">
        <v>181</v>
      </c>
      <c r="R517">
        <v>41</v>
      </c>
      <c r="S517">
        <v>4.25</v>
      </c>
      <c r="T517">
        <v>2.758</v>
      </c>
      <c r="U517">
        <v>5.88</v>
      </c>
      <c r="V517">
        <v>767.63</v>
      </c>
      <c r="W517">
        <v>244</v>
      </c>
      <c r="X517">
        <v>1.3332999999999999</v>
      </c>
      <c r="Y517">
        <v>188</v>
      </c>
      <c r="Z517">
        <v>4.09</v>
      </c>
      <c r="AJ517">
        <v>2</v>
      </c>
      <c r="AK517">
        <v>18</v>
      </c>
      <c r="AM517">
        <v>0</v>
      </c>
      <c r="AO517" t="s">
        <v>142</v>
      </c>
      <c r="AT517">
        <v>40</v>
      </c>
      <c r="AV517">
        <v>23</v>
      </c>
      <c r="AW517">
        <v>0</v>
      </c>
      <c r="AX517">
        <v>0</v>
      </c>
      <c r="AY517">
        <v>34.375</v>
      </c>
      <c r="AZ517">
        <v>3.125</v>
      </c>
      <c r="BA517">
        <v>0</v>
      </c>
      <c r="BB517">
        <v>0</v>
      </c>
      <c r="BC517">
        <v>30</v>
      </c>
      <c r="BN517">
        <v>107</v>
      </c>
      <c r="BO517">
        <v>9064</v>
      </c>
      <c r="BP517">
        <v>0</v>
      </c>
      <c r="BQ517">
        <v>34</v>
      </c>
      <c r="BR517">
        <v>34</v>
      </c>
      <c r="BS517">
        <v>33.56</v>
      </c>
      <c r="BT517">
        <v>0</v>
      </c>
      <c r="BV517">
        <v>0</v>
      </c>
      <c r="BW517" t="s">
        <v>655</v>
      </c>
      <c r="BX517">
        <v>0.17</v>
      </c>
      <c r="BY517">
        <v>5.7051999999999996</v>
      </c>
      <c r="BZ517">
        <v>0</v>
      </c>
      <c r="CA517">
        <v>1</v>
      </c>
      <c r="CB517">
        <v>0.6</v>
      </c>
      <c r="CC517" s="3">
        <v>7.1269159999999998E-2</v>
      </c>
      <c r="CD517">
        <v>2.875</v>
      </c>
      <c r="CE517">
        <v>2.5</v>
      </c>
      <c r="CF517">
        <v>18</v>
      </c>
      <c r="CG517">
        <v>6</v>
      </c>
      <c r="CH517">
        <v>0</v>
      </c>
      <c r="CI517">
        <v>33.56</v>
      </c>
      <c r="CJ517">
        <v>151.87889999999999</v>
      </c>
    </row>
    <row r="518" spans="1:88">
      <c r="A518">
        <v>516</v>
      </c>
      <c r="B518" t="s">
        <v>13</v>
      </c>
      <c r="C518" t="s">
        <v>1</v>
      </c>
      <c r="D518" t="s">
        <v>178</v>
      </c>
      <c r="E518" t="s">
        <v>438</v>
      </c>
      <c r="F518" t="s">
        <v>408</v>
      </c>
      <c r="G518" t="s">
        <v>106</v>
      </c>
      <c r="H518" t="s">
        <v>141</v>
      </c>
      <c r="J518">
        <v>2</v>
      </c>
      <c r="K518" t="s">
        <v>146</v>
      </c>
      <c r="L518" t="s">
        <v>399</v>
      </c>
      <c r="M518" t="s">
        <v>467</v>
      </c>
      <c r="N518" t="s">
        <v>382</v>
      </c>
      <c r="O518">
        <v>97</v>
      </c>
      <c r="Q518">
        <v>242</v>
      </c>
      <c r="R518">
        <v>60</v>
      </c>
      <c r="S518">
        <v>4.25</v>
      </c>
      <c r="T518">
        <v>2.7040000000000002</v>
      </c>
      <c r="U518">
        <v>5.85</v>
      </c>
      <c r="V518">
        <v>1029.5999999999999</v>
      </c>
      <c r="W518">
        <v>352</v>
      </c>
      <c r="X518">
        <v>1.3332999999999999</v>
      </c>
      <c r="Y518">
        <v>255</v>
      </c>
      <c r="Z518">
        <v>4.03</v>
      </c>
      <c r="AJ518">
        <v>2</v>
      </c>
      <c r="AK518">
        <v>18</v>
      </c>
      <c r="AM518">
        <v>0</v>
      </c>
      <c r="AO518" t="s">
        <v>409</v>
      </c>
      <c r="AT518">
        <v>39</v>
      </c>
      <c r="AV518">
        <v>31.7</v>
      </c>
      <c r="AW518">
        <v>0</v>
      </c>
      <c r="AX518">
        <v>0</v>
      </c>
      <c r="AY518">
        <v>25.25</v>
      </c>
      <c r="AZ518">
        <v>3</v>
      </c>
      <c r="BA518">
        <v>0</v>
      </c>
      <c r="BB518">
        <v>0</v>
      </c>
      <c r="BC518">
        <v>22</v>
      </c>
      <c r="BN518">
        <v>149.80000000000001</v>
      </c>
      <c r="BO518">
        <v>4624</v>
      </c>
      <c r="BP518">
        <v>0</v>
      </c>
      <c r="BQ518">
        <v>33</v>
      </c>
      <c r="BR518">
        <v>33</v>
      </c>
      <c r="BS518">
        <v>32.86</v>
      </c>
      <c r="BT518">
        <v>0</v>
      </c>
      <c r="BV518">
        <v>0</v>
      </c>
      <c r="BW518" t="s">
        <v>655</v>
      </c>
      <c r="BX518">
        <v>0.17</v>
      </c>
      <c r="BY518">
        <v>5.5861999999999998</v>
      </c>
      <c r="BZ518">
        <v>0</v>
      </c>
      <c r="CA518">
        <v>1</v>
      </c>
      <c r="CB518">
        <v>0.6</v>
      </c>
      <c r="CC518" s="3">
        <v>7.1269159999999998E-2</v>
      </c>
      <c r="CD518">
        <v>2.875</v>
      </c>
      <c r="CE518">
        <v>2.5</v>
      </c>
      <c r="CF518">
        <v>18</v>
      </c>
      <c r="CG518">
        <v>6</v>
      </c>
      <c r="CH518">
        <v>0</v>
      </c>
      <c r="CI518">
        <v>32.86</v>
      </c>
      <c r="CJ518">
        <v>204.91659999999999</v>
      </c>
    </row>
    <row r="519" spans="1:88">
      <c r="A519">
        <v>517</v>
      </c>
      <c r="B519" t="s">
        <v>0</v>
      </c>
      <c r="C519" t="s">
        <v>1</v>
      </c>
      <c r="D519" t="s">
        <v>448</v>
      </c>
      <c r="E519" t="s">
        <v>322</v>
      </c>
      <c r="F519" t="s">
        <v>285</v>
      </c>
      <c r="G519" t="s">
        <v>106</v>
      </c>
      <c r="H519" t="s">
        <v>449</v>
      </c>
      <c r="J519">
        <v>2</v>
      </c>
      <c r="K519" t="s">
        <v>146</v>
      </c>
      <c r="L519" t="s">
        <v>356</v>
      </c>
      <c r="M519" t="s">
        <v>323</v>
      </c>
      <c r="N519" t="s">
        <v>559</v>
      </c>
      <c r="O519">
        <v>58</v>
      </c>
      <c r="Q519">
        <v>138</v>
      </c>
      <c r="R519">
        <v>49</v>
      </c>
      <c r="S519">
        <v>4.25</v>
      </c>
      <c r="T519">
        <v>1.583</v>
      </c>
      <c r="U519">
        <v>5.17</v>
      </c>
      <c r="V519">
        <v>586.54</v>
      </c>
      <c r="W519">
        <v>256</v>
      </c>
      <c r="X519">
        <v>1.1666000000000001</v>
      </c>
      <c r="Y519">
        <v>214</v>
      </c>
      <c r="Z519">
        <v>2.74</v>
      </c>
      <c r="AJ519">
        <v>2</v>
      </c>
      <c r="AK519">
        <v>18</v>
      </c>
      <c r="AM519">
        <v>0</v>
      </c>
      <c r="AO519" t="s">
        <v>343</v>
      </c>
      <c r="AT519">
        <v>25</v>
      </c>
      <c r="AV519">
        <v>28.1</v>
      </c>
      <c r="AW519">
        <v>0</v>
      </c>
      <c r="AX519">
        <v>0</v>
      </c>
      <c r="AY519">
        <v>11.875</v>
      </c>
      <c r="AZ519">
        <v>1.75</v>
      </c>
      <c r="BA519">
        <v>0</v>
      </c>
      <c r="BB519">
        <v>0</v>
      </c>
      <c r="BC519">
        <v>9</v>
      </c>
      <c r="BN519">
        <v>131.9667</v>
      </c>
      <c r="BO519">
        <v>5959</v>
      </c>
      <c r="BP519">
        <v>0</v>
      </c>
      <c r="BQ519">
        <v>19</v>
      </c>
      <c r="BR519">
        <v>19</v>
      </c>
      <c r="BS519">
        <v>19.3</v>
      </c>
      <c r="BT519">
        <v>0</v>
      </c>
      <c r="BV519">
        <v>0</v>
      </c>
      <c r="BW519" t="s">
        <v>655</v>
      </c>
      <c r="BX519">
        <v>0.17</v>
      </c>
      <c r="BY519">
        <v>3.2810000000000001</v>
      </c>
      <c r="BZ519">
        <v>0</v>
      </c>
      <c r="CA519">
        <v>1</v>
      </c>
      <c r="CB519">
        <v>0.6</v>
      </c>
      <c r="CC519" s="3">
        <v>7.1269159999999998E-2</v>
      </c>
      <c r="CD519">
        <v>2.875</v>
      </c>
      <c r="CE519">
        <v>2.5</v>
      </c>
      <c r="CF519">
        <v>18</v>
      </c>
      <c r="CG519">
        <v>6</v>
      </c>
      <c r="CH519">
        <v>0</v>
      </c>
      <c r="CI519">
        <v>19.3</v>
      </c>
      <c r="CJ519">
        <v>106.60080000000001</v>
      </c>
    </row>
    <row r="520" spans="1:88">
      <c r="A520">
        <v>518</v>
      </c>
      <c r="B520" t="s">
        <v>0</v>
      </c>
      <c r="C520" t="s">
        <v>1</v>
      </c>
      <c r="D520" t="s">
        <v>454</v>
      </c>
      <c r="E520" t="s">
        <v>120</v>
      </c>
      <c r="F520" t="s">
        <v>417</v>
      </c>
      <c r="G520" t="s">
        <v>15</v>
      </c>
      <c r="H520" t="s">
        <v>497</v>
      </c>
      <c r="J520">
        <v>2</v>
      </c>
      <c r="K520" t="s">
        <v>108</v>
      </c>
      <c r="L520" t="s">
        <v>19</v>
      </c>
      <c r="M520" t="s">
        <v>124</v>
      </c>
      <c r="N520" t="s">
        <v>125</v>
      </c>
      <c r="O520">
        <v>165</v>
      </c>
      <c r="Q520">
        <v>848</v>
      </c>
      <c r="R520">
        <v>120</v>
      </c>
      <c r="S520">
        <v>4.25</v>
      </c>
      <c r="T520">
        <v>4.4000000000000004</v>
      </c>
      <c r="U520">
        <v>6.82</v>
      </c>
      <c r="V520">
        <v>3602.93</v>
      </c>
      <c r="W520">
        <v>821</v>
      </c>
      <c r="X520">
        <v>1.3332999999999999</v>
      </c>
      <c r="Y520">
        <v>629</v>
      </c>
      <c r="Z520">
        <v>5.73</v>
      </c>
      <c r="AJ520">
        <v>2</v>
      </c>
      <c r="AK520">
        <v>18</v>
      </c>
      <c r="AM520">
        <v>0</v>
      </c>
      <c r="AO520" t="s">
        <v>163</v>
      </c>
      <c r="AT520">
        <v>63</v>
      </c>
      <c r="AV520">
        <v>69.2</v>
      </c>
      <c r="AW520" t="s">
        <v>6</v>
      </c>
      <c r="AX520" t="s">
        <v>6</v>
      </c>
      <c r="AY520" t="s">
        <v>6</v>
      </c>
      <c r="AZ520" t="s">
        <v>6</v>
      </c>
      <c r="BA520" t="s">
        <v>6</v>
      </c>
      <c r="BB520" t="s">
        <v>6</v>
      </c>
      <c r="BC520" t="s">
        <v>6</v>
      </c>
      <c r="BD520" t="s">
        <v>6</v>
      </c>
      <c r="BE520" t="s">
        <v>6</v>
      </c>
      <c r="BF520" t="s">
        <v>6</v>
      </c>
      <c r="BG520" t="s">
        <v>6</v>
      </c>
      <c r="BH520" t="s">
        <v>6</v>
      </c>
      <c r="BI520" t="s">
        <v>6</v>
      </c>
      <c r="BJ520" t="s">
        <v>6</v>
      </c>
      <c r="BN520">
        <v>590.37310000000002</v>
      </c>
      <c r="BO520">
        <v>3138</v>
      </c>
      <c r="BP520">
        <v>0</v>
      </c>
      <c r="BQ520">
        <v>57</v>
      </c>
      <c r="BR520">
        <v>57</v>
      </c>
      <c r="BS520">
        <v>56.52</v>
      </c>
      <c r="BT520">
        <v>0</v>
      </c>
      <c r="BV520">
        <v>0</v>
      </c>
      <c r="BW520" t="s">
        <v>655</v>
      </c>
      <c r="BX520">
        <v>0.17</v>
      </c>
      <c r="BY520">
        <v>9.6084010000000006</v>
      </c>
      <c r="BZ520">
        <v>0</v>
      </c>
      <c r="CA520">
        <v>1</v>
      </c>
      <c r="CB520">
        <v>0.6</v>
      </c>
      <c r="CC520" s="3">
        <v>7.1269159999999998E-2</v>
      </c>
      <c r="CD520">
        <v>2.875</v>
      </c>
      <c r="CE520">
        <v>2.5</v>
      </c>
      <c r="CF520">
        <v>18</v>
      </c>
      <c r="CG520">
        <v>6</v>
      </c>
      <c r="CH520">
        <v>0</v>
      </c>
      <c r="CI520">
        <v>56.52</v>
      </c>
      <c r="CJ520">
        <v>768.86980000000005</v>
      </c>
    </row>
    <row r="521" spans="1:88">
      <c r="A521">
        <v>519</v>
      </c>
      <c r="B521" t="s">
        <v>0</v>
      </c>
      <c r="C521" t="s">
        <v>1</v>
      </c>
      <c r="D521" t="s">
        <v>233</v>
      </c>
      <c r="E521" t="s">
        <v>167</v>
      </c>
      <c r="F521" t="s">
        <v>271</v>
      </c>
      <c r="G521" t="s">
        <v>106</v>
      </c>
      <c r="H521" t="s">
        <v>279</v>
      </c>
      <c r="J521">
        <v>2</v>
      </c>
      <c r="K521" t="s">
        <v>146</v>
      </c>
      <c r="L521" t="s">
        <v>207</v>
      </c>
      <c r="M521" t="s">
        <v>327</v>
      </c>
      <c r="N521" t="s">
        <v>330</v>
      </c>
      <c r="O521">
        <v>133</v>
      </c>
      <c r="Q521">
        <v>546</v>
      </c>
      <c r="R521">
        <v>96</v>
      </c>
      <c r="S521">
        <v>4.25</v>
      </c>
      <c r="T521">
        <v>3.6349999999999998</v>
      </c>
      <c r="U521">
        <v>6.41</v>
      </c>
      <c r="V521">
        <v>2318.75</v>
      </c>
      <c r="W521">
        <v>614</v>
      </c>
      <c r="X521">
        <v>1.3332999999999999</v>
      </c>
      <c r="Y521">
        <v>467</v>
      </c>
      <c r="Z521">
        <v>4.96</v>
      </c>
      <c r="AJ521">
        <v>2</v>
      </c>
      <c r="AK521">
        <v>18</v>
      </c>
      <c r="AM521">
        <v>0</v>
      </c>
      <c r="AO521" t="s">
        <v>144</v>
      </c>
      <c r="AT521">
        <v>52</v>
      </c>
      <c r="AV521">
        <v>54.2</v>
      </c>
      <c r="AW521">
        <v>0.46875</v>
      </c>
      <c r="AX521">
        <v>3.75</v>
      </c>
      <c r="AY521">
        <v>51</v>
      </c>
      <c r="AZ521">
        <v>4.625</v>
      </c>
      <c r="BA521">
        <v>397.34</v>
      </c>
      <c r="BB521">
        <v>4.96</v>
      </c>
      <c r="BC521">
        <v>55</v>
      </c>
      <c r="BD521">
        <v>0.25</v>
      </c>
      <c r="BE521">
        <v>2.75</v>
      </c>
      <c r="BF521">
        <v>16.375</v>
      </c>
      <c r="BG521">
        <v>2.5</v>
      </c>
      <c r="BH521">
        <v>70.14</v>
      </c>
      <c r="BI521">
        <v>4.8899999999999997</v>
      </c>
      <c r="BJ521">
        <v>7</v>
      </c>
      <c r="BL521">
        <v>467.48</v>
      </c>
      <c r="BM521">
        <v>61</v>
      </c>
      <c r="BN521">
        <v>260.36669999999998</v>
      </c>
      <c r="BO521">
        <v>1531</v>
      </c>
      <c r="BP521">
        <v>0</v>
      </c>
      <c r="BQ521">
        <v>45</v>
      </c>
      <c r="BR521">
        <v>45</v>
      </c>
      <c r="BS521">
        <v>45.39</v>
      </c>
      <c r="BT521">
        <v>0</v>
      </c>
      <c r="BV521">
        <v>0</v>
      </c>
      <c r="BW521" t="s">
        <v>655</v>
      </c>
      <c r="BX521">
        <v>0.17</v>
      </c>
      <c r="BY521">
        <v>7.7163000000000004</v>
      </c>
      <c r="BZ521">
        <v>0</v>
      </c>
      <c r="CA521">
        <v>1</v>
      </c>
      <c r="CB521">
        <v>0.6</v>
      </c>
      <c r="CC521" s="3">
        <v>7.1269159999999998E-2</v>
      </c>
      <c r="CD521">
        <v>2.875</v>
      </c>
      <c r="CE521">
        <v>2.5</v>
      </c>
      <c r="CF521">
        <v>18</v>
      </c>
      <c r="CG521">
        <v>6</v>
      </c>
      <c r="CH521">
        <v>0</v>
      </c>
      <c r="CI521">
        <v>45.39</v>
      </c>
      <c r="CJ521">
        <v>483.61860000000001</v>
      </c>
    </row>
    <row r="522" spans="1:88">
      <c r="A522">
        <v>520</v>
      </c>
      <c r="B522" t="s">
        <v>0</v>
      </c>
      <c r="C522" t="s">
        <v>1</v>
      </c>
      <c r="D522" t="s">
        <v>342</v>
      </c>
      <c r="E522" t="s">
        <v>464</v>
      </c>
      <c r="F522" t="s">
        <v>484</v>
      </c>
      <c r="G522" t="s">
        <v>106</v>
      </c>
      <c r="H522" t="s">
        <v>241</v>
      </c>
      <c r="J522">
        <v>2</v>
      </c>
      <c r="K522" t="s">
        <v>146</v>
      </c>
      <c r="L522" t="s">
        <v>227</v>
      </c>
      <c r="M522" t="s">
        <v>408</v>
      </c>
      <c r="N522" t="s">
        <v>317</v>
      </c>
      <c r="O522">
        <v>96</v>
      </c>
      <c r="Q522">
        <v>224</v>
      </c>
      <c r="R522">
        <v>52</v>
      </c>
      <c r="S522">
        <v>4.25</v>
      </c>
      <c r="T522">
        <v>2.677</v>
      </c>
      <c r="U522">
        <v>5.85</v>
      </c>
      <c r="V522">
        <v>951.95</v>
      </c>
      <c r="W522">
        <v>303</v>
      </c>
      <c r="X522">
        <v>1.3332999999999999</v>
      </c>
      <c r="Y522">
        <v>237</v>
      </c>
      <c r="Z522">
        <v>4.01</v>
      </c>
      <c r="AJ522">
        <v>2</v>
      </c>
      <c r="AK522">
        <v>18</v>
      </c>
      <c r="AM522">
        <v>0</v>
      </c>
      <c r="AO522" t="s">
        <v>243</v>
      </c>
      <c r="AT522">
        <v>39</v>
      </c>
      <c r="AV522">
        <v>29.5</v>
      </c>
      <c r="AW522">
        <v>0</v>
      </c>
      <c r="AX522">
        <v>0</v>
      </c>
      <c r="AY522">
        <v>27.25</v>
      </c>
      <c r="AZ522">
        <v>3</v>
      </c>
      <c r="BA522">
        <v>0</v>
      </c>
      <c r="BB522">
        <v>0</v>
      </c>
      <c r="BC522">
        <v>24</v>
      </c>
      <c r="BN522">
        <v>139.1</v>
      </c>
      <c r="BO522">
        <v>5363</v>
      </c>
      <c r="BP522">
        <v>0</v>
      </c>
      <c r="BQ522">
        <v>33</v>
      </c>
      <c r="BR522">
        <v>33</v>
      </c>
      <c r="BS522">
        <v>32.520000000000003</v>
      </c>
      <c r="BT522">
        <v>0</v>
      </c>
      <c r="BV522">
        <v>0</v>
      </c>
      <c r="BW522" t="s">
        <v>655</v>
      </c>
      <c r="BX522">
        <v>0.17</v>
      </c>
      <c r="BY522">
        <v>5.5284000000000004</v>
      </c>
      <c r="BZ522">
        <v>0</v>
      </c>
      <c r="CA522">
        <v>1</v>
      </c>
      <c r="CB522">
        <v>0.6</v>
      </c>
      <c r="CC522" s="3">
        <v>7.1269159999999998E-2</v>
      </c>
      <c r="CD522">
        <v>2.875</v>
      </c>
      <c r="CE522">
        <v>2.5</v>
      </c>
      <c r="CF522">
        <v>18</v>
      </c>
      <c r="CG522">
        <v>6</v>
      </c>
      <c r="CH522">
        <v>0</v>
      </c>
      <c r="CI522">
        <v>32.520000000000003</v>
      </c>
      <c r="CJ522">
        <v>188.8904</v>
      </c>
    </row>
    <row r="523" spans="1:88">
      <c r="A523">
        <v>521</v>
      </c>
      <c r="B523" t="s">
        <v>0</v>
      </c>
      <c r="C523" t="s">
        <v>1</v>
      </c>
      <c r="D523" t="s">
        <v>334</v>
      </c>
      <c r="E523" t="s">
        <v>178</v>
      </c>
      <c r="F523" t="s">
        <v>372</v>
      </c>
      <c r="G523" t="s">
        <v>106</v>
      </c>
      <c r="H523" t="s">
        <v>373</v>
      </c>
      <c r="J523">
        <v>2</v>
      </c>
      <c r="K523" t="s">
        <v>146</v>
      </c>
      <c r="L523" t="s">
        <v>127</v>
      </c>
      <c r="M523" t="s">
        <v>179</v>
      </c>
      <c r="N523" t="s">
        <v>180</v>
      </c>
      <c r="O523">
        <v>95</v>
      </c>
      <c r="Q523">
        <v>187</v>
      </c>
      <c r="R523">
        <v>44</v>
      </c>
      <c r="S523">
        <v>4.25</v>
      </c>
      <c r="T523">
        <v>2.649</v>
      </c>
      <c r="U523">
        <v>5.81</v>
      </c>
      <c r="V523">
        <v>796.36</v>
      </c>
      <c r="W523">
        <v>257</v>
      </c>
      <c r="X523">
        <v>1.3332999999999999</v>
      </c>
      <c r="Y523">
        <v>200</v>
      </c>
      <c r="Z523">
        <v>3.98</v>
      </c>
      <c r="AJ523">
        <v>2</v>
      </c>
      <c r="AK523">
        <v>18</v>
      </c>
      <c r="AM523">
        <v>0</v>
      </c>
      <c r="AO523" t="s">
        <v>376</v>
      </c>
      <c r="AT523">
        <v>38</v>
      </c>
      <c r="AV523">
        <v>24.8</v>
      </c>
      <c r="AW523">
        <v>0</v>
      </c>
      <c r="AX523">
        <v>0</v>
      </c>
      <c r="AY523">
        <v>32.25</v>
      </c>
      <c r="AZ523">
        <v>3</v>
      </c>
      <c r="BA523">
        <v>0</v>
      </c>
      <c r="BB523">
        <v>0</v>
      </c>
      <c r="BC523">
        <v>29</v>
      </c>
      <c r="BN523">
        <v>115.91670000000001</v>
      </c>
      <c r="BO523">
        <v>7723</v>
      </c>
      <c r="BP523">
        <v>0</v>
      </c>
      <c r="BQ523">
        <v>32</v>
      </c>
      <c r="BR523">
        <v>32</v>
      </c>
      <c r="BS523">
        <v>32.17</v>
      </c>
      <c r="BT523">
        <v>0</v>
      </c>
      <c r="BV523">
        <v>0</v>
      </c>
      <c r="BW523" t="s">
        <v>655</v>
      </c>
      <c r="BX523">
        <v>0.17</v>
      </c>
      <c r="BY523">
        <v>5.4688999999999997</v>
      </c>
      <c r="BZ523">
        <v>0</v>
      </c>
      <c r="CA523">
        <v>1</v>
      </c>
      <c r="CB523">
        <v>0.6</v>
      </c>
      <c r="CC523" s="3">
        <v>7.1269159999999998E-2</v>
      </c>
      <c r="CD523">
        <v>2.875</v>
      </c>
      <c r="CE523">
        <v>2.5</v>
      </c>
      <c r="CF523">
        <v>18</v>
      </c>
      <c r="CG523">
        <v>6</v>
      </c>
      <c r="CH523">
        <v>0</v>
      </c>
      <c r="CI523">
        <v>32.17</v>
      </c>
      <c r="CJ523">
        <v>157.05189999999999</v>
      </c>
    </row>
    <row r="524" spans="1:88">
      <c r="A524">
        <v>522</v>
      </c>
      <c r="B524" t="s">
        <v>0</v>
      </c>
      <c r="C524" t="s">
        <v>1</v>
      </c>
      <c r="D524" t="s">
        <v>94</v>
      </c>
      <c r="E524" t="s">
        <v>130</v>
      </c>
      <c r="F524" t="s">
        <v>436</v>
      </c>
      <c r="G524" t="s">
        <v>15</v>
      </c>
      <c r="H524" t="s">
        <v>94</v>
      </c>
      <c r="J524">
        <v>2</v>
      </c>
      <c r="K524" t="s">
        <v>9</v>
      </c>
      <c r="L524" t="s">
        <v>101</v>
      </c>
      <c r="M524" t="s">
        <v>134</v>
      </c>
      <c r="N524" t="s">
        <v>399</v>
      </c>
      <c r="O524">
        <v>114</v>
      </c>
      <c r="Q524">
        <v>714</v>
      </c>
      <c r="R524">
        <v>142</v>
      </c>
      <c r="S524">
        <v>4.25</v>
      </c>
      <c r="T524">
        <v>3.1539999999999999</v>
      </c>
      <c r="U524">
        <v>6.18</v>
      </c>
      <c r="V524">
        <v>3034.33</v>
      </c>
      <c r="W524">
        <v>877</v>
      </c>
      <c r="X524">
        <v>1.3332999999999999</v>
      </c>
      <c r="Y524">
        <v>677</v>
      </c>
      <c r="Z524">
        <v>4.4800000000000004</v>
      </c>
      <c r="AJ524">
        <v>2</v>
      </c>
      <c r="AK524">
        <v>18</v>
      </c>
      <c r="AM524">
        <v>0</v>
      </c>
      <c r="AO524" t="s">
        <v>437</v>
      </c>
      <c r="AT524">
        <v>45</v>
      </c>
      <c r="AV524">
        <v>81.599999999999994</v>
      </c>
      <c r="AW524">
        <v>0.5</v>
      </c>
      <c r="AX524">
        <v>5.625</v>
      </c>
      <c r="AY524">
        <v>40.75</v>
      </c>
      <c r="AZ524">
        <v>4.5</v>
      </c>
      <c r="BA524">
        <v>439.91</v>
      </c>
      <c r="BB524">
        <v>5.29</v>
      </c>
      <c r="BC524">
        <v>73</v>
      </c>
      <c r="BD524">
        <v>0.375</v>
      </c>
      <c r="BE524">
        <v>3.75</v>
      </c>
      <c r="BF524">
        <v>27.25</v>
      </c>
      <c r="BG524">
        <v>3.375</v>
      </c>
      <c r="BH524">
        <v>237.38</v>
      </c>
      <c r="BI524">
        <v>4.53</v>
      </c>
      <c r="BJ524">
        <v>24</v>
      </c>
      <c r="BL524">
        <v>677.29010000000005</v>
      </c>
      <c r="BM524">
        <v>96</v>
      </c>
      <c r="BN524">
        <v>697.71360000000004</v>
      </c>
      <c r="BO524">
        <v>2247</v>
      </c>
      <c r="BP524">
        <v>0</v>
      </c>
      <c r="BQ524">
        <v>39</v>
      </c>
      <c r="BR524">
        <v>39</v>
      </c>
      <c r="BS524">
        <v>38.78</v>
      </c>
      <c r="BT524">
        <v>0</v>
      </c>
      <c r="BV524">
        <v>6</v>
      </c>
      <c r="BW524" t="s">
        <v>655</v>
      </c>
      <c r="BX524">
        <v>0.27933330000000001</v>
      </c>
      <c r="BY524">
        <v>10.832549999999999</v>
      </c>
      <c r="BZ524">
        <v>0</v>
      </c>
      <c r="CA524">
        <v>1</v>
      </c>
      <c r="CB524">
        <v>0.6</v>
      </c>
      <c r="CC524" s="3">
        <v>7.1269159999999998E-2</v>
      </c>
      <c r="CD524">
        <v>2.875</v>
      </c>
      <c r="CE524">
        <v>2.5</v>
      </c>
      <c r="CF524">
        <v>18</v>
      </c>
      <c r="CG524">
        <v>6</v>
      </c>
      <c r="CH524">
        <v>0</v>
      </c>
      <c r="CI524">
        <v>38.78</v>
      </c>
      <c r="CJ524">
        <v>621.5136</v>
      </c>
    </row>
    <row r="525" spans="1:88">
      <c r="A525">
        <v>523</v>
      </c>
      <c r="B525" t="s">
        <v>13</v>
      </c>
      <c r="C525" t="s">
        <v>1</v>
      </c>
      <c r="D525" t="s">
        <v>470</v>
      </c>
      <c r="E525" t="s">
        <v>8</v>
      </c>
      <c r="F525" t="s">
        <v>587</v>
      </c>
      <c r="G525" t="s">
        <v>15</v>
      </c>
      <c r="H525" t="s">
        <v>470</v>
      </c>
      <c r="J525">
        <v>2</v>
      </c>
      <c r="K525" t="s">
        <v>9</v>
      </c>
      <c r="L525" t="s">
        <v>10</v>
      </c>
      <c r="M525" t="s">
        <v>11</v>
      </c>
      <c r="N525" t="s">
        <v>12</v>
      </c>
      <c r="O525">
        <v>203</v>
      </c>
      <c r="Q525">
        <v>1256</v>
      </c>
      <c r="R525">
        <v>160</v>
      </c>
      <c r="S525">
        <v>4.25</v>
      </c>
      <c r="T525">
        <v>5.2460000000000004</v>
      </c>
      <c r="U525">
        <v>7.35</v>
      </c>
      <c r="V525">
        <v>5337.83</v>
      </c>
      <c r="W525">
        <v>1173</v>
      </c>
      <c r="X525">
        <v>1.5</v>
      </c>
      <c r="Y525">
        <v>792</v>
      </c>
      <c r="Z525">
        <v>6.74</v>
      </c>
      <c r="AJ525">
        <v>2</v>
      </c>
      <c r="AK525">
        <v>18</v>
      </c>
      <c r="AM525">
        <v>0</v>
      </c>
      <c r="AO525" t="s">
        <v>588</v>
      </c>
      <c r="AT525">
        <v>76</v>
      </c>
      <c r="AV525">
        <v>84.1</v>
      </c>
      <c r="AW525" t="s">
        <v>6</v>
      </c>
      <c r="AX525" t="s">
        <v>6</v>
      </c>
      <c r="AY525" t="s">
        <v>6</v>
      </c>
      <c r="AZ525" t="s">
        <v>6</v>
      </c>
      <c r="BA525" t="s">
        <v>6</v>
      </c>
      <c r="BB525" t="s">
        <v>6</v>
      </c>
      <c r="BC525" t="s">
        <v>6</v>
      </c>
      <c r="BD525" t="s">
        <v>6</v>
      </c>
      <c r="BE525" t="s">
        <v>6</v>
      </c>
      <c r="BF525" t="s">
        <v>6</v>
      </c>
      <c r="BG525" t="s">
        <v>6</v>
      </c>
      <c r="BH525" t="s">
        <v>6</v>
      </c>
      <c r="BI525" t="s">
        <v>6</v>
      </c>
      <c r="BJ525" t="s">
        <v>6</v>
      </c>
      <c r="BN525">
        <v>719.81320000000005</v>
      </c>
      <c r="BO525">
        <v>2111</v>
      </c>
      <c r="BP525">
        <v>0</v>
      </c>
      <c r="BQ525">
        <v>70</v>
      </c>
      <c r="BR525">
        <v>70</v>
      </c>
      <c r="BS525">
        <v>69.730009999999993</v>
      </c>
      <c r="BT525">
        <v>0</v>
      </c>
      <c r="BV525">
        <v>6</v>
      </c>
      <c r="BW525" t="s">
        <v>655</v>
      </c>
      <c r="BX525">
        <v>0.27933340000000001</v>
      </c>
      <c r="BY525">
        <v>19.477920000000001</v>
      </c>
      <c r="BZ525">
        <v>0</v>
      </c>
      <c r="CA525">
        <v>1</v>
      </c>
      <c r="CB525">
        <v>0.6</v>
      </c>
      <c r="CC525" s="3">
        <v>7.1269159999999998E-2</v>
      </c>
      <c r="CD525">
        <v>2.875</v>
      </c>
      <c r="CE525">
        <v>2.5</v>
      </c>
      <c r="CF525">
        <v>18</v>
      </c>
      <c r="CG525">
        <v>6</v>
      </c>
      <c r="CH525">
        <v>0</v>
      </c>
      <c r="CI525">
        <v>69.730009999999993</v>
      </c>
      <c r="CJ525">
        <v>1152.326</v>
      </c>
    </row>
    <row r="526" spans="1:88">
      <c r="A526">
        <v>524</v>
      </c>
      <c r="B526" t="s">
        <v>0</v>
      </c>
      <c r="C526" t="s">
        <v>1</v>
      </c>
      <c r="D526" t="s">
        <v>96</v>
      </c>
      <c r="E526" t="s">
        <v>153</v>
      </c>
      <c r="F526" t="s">
        <v>198</v>
      </c>
      <c r="G526" t="s">
        <v>106</v>
      </c>
      <c r="H526" t="s">
        <v>162</v>
      </c>
      <c r="J526">
        <v>2</v>
      </c>
      <c r="K526" t="s">
        <v>146</v>
      </c>
      <c r="L526" t="s">
        <v>195</v>
      </c>
      <c r="M526" t="s">
        <v>306</v>
      </c>
      <c r="N526" t="s">
        <v>158</v>
      </c>
      <c r="O526">
        <v>126</v>
      </c>
      <c r="Q526">
        <v>430</v>
      </c>
      <c r="R526">
        <v>81</v>
      </c>
      <c r="S526">
        <v>4.25</v>
      </c>
      <c r="T526">
        <v>3.46</v>
      </c>
      <c r="U526">
        <v>6.26</v>
      </c>
      <c r="V526">
        <v>1828.13</v>
      </c>
      <c r="W526">
        <v>506</v>
      </c>
      <c r="X526">
        <v>1.3332999999999999</v>
      </c>
      <c r="Y526">
        <v>382</v>
      </c>
      <c r="Z526">
        <v>4.79</v>
      </c>
      <c r="AJ526">
        <v>2</v>
      </c>
      <c r="AK526">
        <v>18</v>
      </c>
      <c r="AM526">
        <v>0</v>
      </c>
      <c r="AO526" t="s">
        <v>166</v>
      </c>
      <c r="AT526">
        <v>49</v>
      </c>
      <c r="AV526">
        <v>44.8</v>
      </c>
      <c r="AW526">
        <v>0</v>
      </c>
      <c r="AX526">
        <v>0</v>
      </c>
      <c r="AY526">
        <v>53.125</v>
      </c>
      <c r="AZ526">
        <v>4.5</v>
      </c>
      <c r="BA526">
        <v>0</v>
      </c>
      <c r="BB526">
        <v>0</v>
      </c>
      <c r="BC526">
        <v>57</v>
      </c>
      <c r="BN526">
        <v>214</v>
      </c>
      <c r="BO526">
        <v>2266</v>
      </c>
      <c r="BP526">
        <v>0</v>
      </c>
      <c r="BQ526">
        <v>43</v>
      </c>
      <c r="BR526">
        <v>43</v>
      </c>
      <c r="BS526">
        <v>42.95</v>
      </c>
      <c r="BT526">
        <v>0</v>
      </c>
      <c r="BV526">
        <v>0</v>
      </c>
      <c r="BW526" t="s">
        <v>655</v>
      </c>
      <c r="BX526">
        <v>0.17</v>
      </c>
      <c r="BY526">
        <v>7.301501</v>
      </c>
      <c r="BZ526">
        <v>0</v>
      </c>
      <c r="CA526">
        <v>1</v>
      </c>
      <c r="CB526">
        <v>0.6</v>
      </c>
      <c r="CC526" s="3">
        <v>7.1269159999999998E-2</v>
      </c>
      <c r="CD526">
        <v>2.875</v>
      </c>
      <c r="CE526">
        <v>2.5</v>
      </c>
      <c r="CF526">
        <v>18</v>
      </c>
      <c r="CG526">
        <v>6</v>
      </c>
      <c r="CH526">
        <v>0</v>
      </c>
      <c r="CI526">
        <v>42.95</v>
      </c>
      <c r="CJ526">
        <v>378.03480000000002</v>
      </c>
    </row>
    <row r="527" spans="1:88">
      <c r="A527">
        <v>525</v>
      </c>
      <c r="B527" t="s">
        <v>0</v>
      </c>
      <c r="C527" t="s">
        <v>1</v>
      </c>
      <c r="D527" t="s">
        <v>338</v>
      </c>
      <c r="E527" t="s">
        <v>143</v>
      </c>
      <c r="F527" t="s">
        <v>360</v>
      </c>
      <c r="G527" t="s">
        <v>106</v>
      </c>
      <c r="H527" t="s">
        <v>101</v>
      </c>
      <c r="J527">
        <v>2</v>
      </c>
      <c r="K527" t="s">
        <v>146</v>
      </c>
      <c r="L527" t="s">
        <v>297</v>
      </c>
      <c r="M527" t="s">
        <v>206</v>
      </c>
      <c r="N527" t="s">
        <v>131</v>
      </c>
      <c r="O527">
        <v>155</v>
      </c>
      <c r="Q527">
        <v>537</v>
      </c>
      <c r="R527">
        <v>83</v>
      </c>
      <c r="S527">
        <v>4.25</v>
      </c>
      <c r="T527">
        <v>4.1660000000000004</v>
      </c>
      <c r="U527">
        <v>6.78</v>
      </c>
      <c r="V527">
        <v>2283.35</v>
      </c>
      <c r="W527">
        <v>564</v>
      </c>
      <c r="X527">
        <v>1.3332999999999999</v>
      </c>
      <c r="Y527">
        <v>416</v>
      </c>
      <c r="Z527">
        <v>5.49</v>
      </c>
      <c r="AJ527">
        <v>2</v>
      </c>
      <c r="AK527">
        <v>18</v>
      </c>
      <c r="AM527">
        <v>0</v>
      </c>
      <c r="AO527" t="s">
        <v>403</v>
      </c>
      <c r="AT527">
        <v>59</v>
      </c>
      <c r="AV527">
        <v>46.2</v>
      </c>
      <c r="AW527">
        <v>0.46875</v>
      </c>
      <c r="AX527">
        <v>3.75</v>
      </c>
      <c r="AY527">
        <v>56.5</v>
      </c>
      <c r="AZ527">
        <v>5.125</v>
      </c>
      <c r="BA527">
        <v>358.98</v>
      </c>
      <c r="BB527">
        <v>5.49</v>
      </c>
      <c r="BC527">
        <v>61</v>
      </c>
      <c r="BD527">
        <v>0.25</v>
      </c>
      <c r="BE527">
        <v>2.75</v>
      </c>
      <c r="BF527">
        <v>20.125</v>
      </c>
      <c r="BG527">
        <v>2.75</v>
      </c>
      <c r="BH527">
        <v>56.92</v>
      </c>
      <c r="BI527">
        <v>6.03</v>
      </c>
      <c r="BJ527">
        <v>9</v>
      </c>
      <c r="BL527">
        <v>415.9</v>
      </c>
      <c r="BM527">
        <v>69</v>
      </c>
      <c r="BN527">
        <v>221.13339999999999</v>
      </c>
      <c r="BO527">
        <v>2122</v>
      </c>
      <c r="BP527">
        <v>0</v>
      </c>
      <c r="BQ527">
        <v>53</v>
      </c>
      <c r="BR527">
        <v>53</v>
      </c>
      <c r="BS527">
        <v>53.04</v>
      </c>
      <c r="BT527">
        <v>0</v>
      </c>
      <c r="BV527">
        <v>0</v>
      </c>
      <c r="BW527" t="s">
        <v>655</v>
      </c>
      <c r="BX527">
        <v>0.17</v>
      </c>
      <c r="BY527">
        <v>9.0167999999999999</v>
      </c>
      <c r="BZ527">
        <v>0</v>
      </c>
      <c r="CA527">
        <v>1</v>
      </c>
      <c r="CB527">
        <v>0.6</v>
      </c>
      <c r="CC527" s="3">
        <v>7.1269159999999998E-2</v>
      </c>
      <c r="CD527">
        <v>2.875</v>
      </c>
      <c r="CE527">
        <v>2.5</v>
      </c>
      <c r="CF527">
        <v>18</v>
      </c>
      <c r="CG527">
        <v>6</v>
      </c>
      <c r="CH527">
        <v>0</v>
      </c>
      <c r="CI527">
        <v>53.04</v>
      </c>
      <c r="CJ527">
        <v>481.96480000000003</v>
      </c>
    </row>
    <row r="528" spans="1:88">
      <c r="A528">
        <v>526</v>
      </c>
      <c r="B528" t="s">
        <v>0</v>
      </c>
      <c r="C528" t="s">
        <v>1</v>
      </c>
      <c r="D528" t="s">
        <v>8</v>
      </c>
      <c r="E528" t="s">
        <v>300</v>
      </c>
      <c r="F528" t="s">
        <v>246</v>
      </c>
      <c r="G528" t="s">
        <v>15</v>
      </c>
      <c r="H528" t="s">
        <v>247</v>
      </c>
      <c r="J528">
        <v>2</v>
      </c>
      <c r="K528" t="s">
        <v>108</v>
      </c>
      <c r="L528" t="s">
        <v>454</v>
      </c>
      <c r="M528" t="s">
        <v>589</v>
      </c>
      <c r="N528" t="s">
        <v>202</v>
      </c>
      <c r="O528">
        <v>178</v>
      </c>
      <c r="Q528">
        <v>934</v>
      </c>
      <c r="R528">
        <v>124</v>
      </c>
      <c r="S528">
        <v>4.25</v>
      </c>
      <c r="T528">
        <v>4.6959999999999997</v>
      </c>
      <c r="U528">
        <v>7.05</v>
      </c>
      <c r="V528">
        <v>3967.71</v>
      </c>
      <c r="W528">
        <v>871</v>
      </c>
      <c r="X528">
        <v>1.3332999999999999</v>
      </c>
      <c r="Y528">
        <v>659</v>
      </c>
      <c r="Z528">
        <v>6.02</v>
      </c>
      <c r="AJ528">
        <v>2</v>
      </c>
      <c r="AK528">
        <v>18</v>
      </c>
      <c r="AM528">
        <v>0</v>
      </c>
      <c r="AO528" t="s">
        <v>250</v>
      </c>
      <c r="AT528">
        <v>67</v>
      </c>
      <c r="AV528">
        <v>71.099999999999994</v>
      </c>
      <c r="AW528" t="s">
        <v>6</v>
      </c>
      <c r="AX528" t="s">
        <v>6</v>
      </c>
      <c r="AY528" t="s">
        <v>6</v>
      </c>
      <c r="AZ528" t="s">
        <v>6</v>
      </c>
      <c r="BA528" t="s">
        <v>6</v>
      </c>
      <c r="BB528" t="s">
        <v>6</v>
      </c>
      <c r="BC528" t="s">
        <v>6</v>
      </c>
      <c r="BD528" t="s">
        <v>6</v>
      </c>
      <c r="BE528" t="s">
        <v>6</v>
      </c>
      <c r="BF528" t="s">
        <v>6</v>
      </c>
      <c r="BG528" t="s">
        <v>6</v>
      </c>
      <c r="BH528" t="s">
        <v>6</v>
      </c>
      <c r="BI528" t="s">
        <v>6</v>
      </c>
      <c r="BJ528" t="s">
        <v>6</v>
      </c>
      <c r="BN528">
        <v>606.1585</v>
      </c>
      <c r="BO528">
        <v>2977</v>
      </c>
      <c r="BP528">
        <v>0</v>
      </c>
      <c r="BQ528">
        <v>61</v>
      </c>
      <c r="BR528">
        <v>61</v>
      </c>
      <c r="BS528">
        <v>61.04</v>
      </c>
      <c r="BT528">
        <v>0</v>
      </c>
      <c r="BV528">
        <v>0</v>
      </c>
      <c r="BW528" t="s">
        <v>655</v>
      </c>
      <c r="BX528">
        <v>0.17</v>
      </c>
      <c r="BY528">
        <v>10.376799999999999</v>
      </c>
      <c r="BZ528">
        <v>0</v>
      </c>
      <c r="CA528">
        <v>1</v>
      </c>
      <c r="CB528">
        <v>0.6</v>
      </c>
      <c r="CC528" s="3">
        <v>7.1269159999999998E-2</v>
      </c>
      <c r="CD528">
        <v>2.875</v>
      </c>
      <c r="CE528">
        <v>2.5</v>
      </c>
      <c r="CF528">
        <v>18</v>
      </c>
      <c r="CG528">
        <v>6</v>
      </c>
      <c r="CH528">
        <v>0</v>
      </c>
      <c r="CI528">
        <v>61.04</v>
      </c>
      <c r="CJ528">
        <v>852.10889999999995</v>
      </c>
    </row>
    <row r="529" spans="1:88">
      <c r="A529">
        <v>527</v>
      </c>
      <c r="B529" t="s">
        <v>0</v>
      </c>
      <c r="C529" t="s">
        <v>1</v>
      </c>
      <c r="D529" t="s">
        <v>169</v>
      </c>
      <c r="E529" t="s">
        <v>3</v>
      </c>
      <c r="F529" t="s">
        <v>404</v>
      </c>
      <c r="G529" t="s">
        <v>106</v>
      </c>
      <c r="H529" t="s">
        <v>190</v>
      </c>
      <c r="J529">
        <v>2</v>
      </c>
      <c r="K529" t="s">
        <v>146</v>
      </c>
      <c r="L529" t="s">
        <v>363</v>
      </c>
      <c r="M529" t="s">
        <v>383</v>
      </c>
      <c r="N529" t="s">
        <v>119</v>
      </c>
      <c r="O529">
        <v>125</v>
      </c>
      <c r="Q529">
        <v>386</v>
      </c>
      <c r="R529">
        <v>74</v>
      </c>
      <c r="S529">
        <v>4.25</v>
      </c>
      <c r="T529">
        <v>3.4350000000000001</v>
      </c>
      <c r="U529">
        <v>6.26</v>
      </c>
      <c r="V529">
        <v>1641.47</v>
      </c>
      <c r="W529">
        <v>463</v>
      </c>
      <c r="X529">
        <v>1.3332999999999999</v>
      </c>
      <c r="Y529">
        <v>345</v>
      </c>
      <c r="Z529">
        <v>4.76</v>
      </c>
      <c r="AJ529">
        <v>2</v>
      </c>
      <c r="AK529">
        <v>18</v>
      </c>
      <c r="AM529">
        <v>0</v>
      </c>
      <c r="AO529" t="s">
        <v>406</v>
      </c>
      <c r="AT529">
        <v>49</v>
      </c>
      <c r="AV529">
        <v>40.4</v>
      </c>
      <c r="AW529">
        <v>0</v>
      </c>
      <c r="AX529">
        <v>0</v>
      </c>
      <c r="AY529">
        <v>41.25</v>
      </c>
      <c r="AZ529">
        <v>4.125</v>
      </c>
      <c r="BA529">
        <v>0</v>
      </c>
      <c r="BB529">
        <v>0</v>
      </c>
      <c r="BC529">
        <v>42</v>
      </c>
      <c r="BN529">
        <v>192.6</v>
      </c>
      <c r="BO529">
        <v>2797</v>
      </c>
      <c r="BP529">
        <v>0</v>
      </c>
      <c r="BQ529">
        <v>43</v>
      </c>
      <c r="BR529">
        <v>43</v>
      </c>
      <c r="BS529">
        <v>42.6</v>
      </c>
      <c r="BT529">
        <v>0</v>
      </c>
      <c r="BV529">
        <v>0</v>
      </c>
      <c r="BW529" t="s">
        <v>655</v>
      </c>
      <c r="BX529">
        <v>0.17</v>
      </c>
      <c r="BY529">
        <v>7.242</v>
      </c>
      <c r="BZ529">
        <v>0</v>
      </c>
      <c r="CA529">
        <v>1</v>
      </c>
      <c r="CB529">
        <v>0.6</v>
      </c>
      <c r="CC529" s="3">
        <v>7.1269159999999998E-2</v>
      </c>
      <c r="CD529">
        <v>2.875</v>
      </c>
      <c r="CE529">
        <v>2.5</v>
      </c>
      <c r="CF529">
        <v>18</v>
      </c>
      <c r="CG529">
        <v>6</v>
      </c>
      <c r="CH529">
        <v>0</v>
      </c>
      <c r="CI529">
        <v>42.6</v>
      </c>
      <c r="CJ529">
        <v>338.52140000000003</v>
      </c>
    </row>
    <row r="530" spans="1:88">
      <c r="A530">
        <v>528</v>
      </c>
      <c r="B530" t="s">
        <v>13</v>
      </c>
      <c r="C530" t="s">
        <v>1</v>
      </c>
      <c r="D530" t="s">
        <v>120</v>
      </c>
      <c r="E530" t="s">
        <v>338</v>
      </c>
      <c r="F530" t="s">
        <v>112</v>
      </c>
      <c r="G530" t="s">
        <v>106</v>
      </c>
      <c r="H530" t="s">
        <v>590</v>
      </c>
      <c r="J530">
        <v>2</v>
      </c>
      <c r="K530" t="s">
        <v>108</v>
      </c>
      <c r="L530" t="s">
        <v>143</v>
      </c>
      <c r="M530" t="s">
        <v>339</v>
      </c>
      <c r="N530" t="s">
        <v>340</v>
      </c>
      <c r="O530">
        <v>135</v>
      </c>
      <c r="Q530">
        <v>584</v>
      </c>
      <c r="R530">
        <v>101</v>
      </c>
      <c r="S530">
        <v>4.25</v>
      </c>
      <c r="T530">
        <v>3.6850000000000001</v>
      </c>
      <c r="U530">
        <v>6.45</v>
      </c>
      <c r="V530">
        <v>2480.29</v>
      </c>
      <c r="W530">
        <v>649</v>
      </c>
      <c r="X530">
        <v>1.3332999999999999</v>
      </c>
      <c r="Y530">
        <v>495</v>
      </c>
      <c r="Z530">
        <v>5.01</v>
      </c>
      <c r="AJ530">
        <v>2</v>
      </c>
      <c r="AK530">
        <v>18</v>
      </c>
      <c r="AM530">
        <v>0</v>
      </c>
      <c r="AO530" t="s">
        <v>517</v>
      </c>
      <c r="AT530">
        <v>52</v>
      </c>
      <c r="AV530">
        <v>57.3</v>
      </c>
      <c r="AW530">
        <v>0.46875</v>
      </c>
      <c r="AX530">
        <v>3.75</v>
      </c>
      <c r="AY530">
        <v>51.5</v>
      </c>
      <c r="AZ530">
        <v>4.75</v>
      </c>
      <c r="BA530">
        <v>393.37</v>
      </c>
      <c r="BB530">
        <v>5.01</v>
      </c>
      <c r="BC530">
        <v>55</v>
      </c>
      <c r="BD530">
        <v>0.3125</v>
      </c>
      <c r="BE530">
        <v>2.75</v>
      </c>
      <c r="BF530">
        <v>35.375</v>
      </c>
      <c r="BG530">
        <v>3.125</v>
      </c>
      <c r="BH530">
        <v>101.69</v>
      </c>
      <c r="BI530">
        <v>6.28</v>
      </c>
      <c r="BJ530">
        <v>19</v>
      </c>
      <c r="BL530">
        <v>495.06</v>
      </c>
      <c r="BM530">
        <v>74</v>
      </c>
      <c r="BN530">
        <v>274.63339999999999</v>
      </c>
      <c r="BO530">
        <v>1376</v>
      </c>
      <c r="BP530">
        <v>0</v>
      </c>
      <c r="BQ530">
        <v>46</v>
      </c>
      <c r="BR530">
        <v>46</v>
      </c>
      <c r="BS530">
        <v>46.08</v>
      </c>
      <c r="BT530">
        <v>0</v>
      </c>
      <c r="BV530">
        <v>0</v>
      </c>
      <c r="BW530" t="s">
        <v>655</v>
      </c>
      <c r="BX530">
        <v>0.17</v>
      </c>
      <c r="BY530">
        <v>7.8336009999999998</v>
      </c>
      <c r="BZ530">
        <v>0</v>
      </c>
      <c r="CA530">
        <v>1</v>
      </c>
      <c r="CB530">
        <v>0.6</v>
      </c>
      <c r="CC530" s="3">
        <v>7.1269159999999998E-2</v>
      </c>
      <c r="CD530">
        <v>2.875</v>
      </c>
      <c r="CE530">
        <v>2.5</v>
      </c>
      <c r="CF530">
        <v>18</v>
      </c>
      <c r="CG530">
        <v>6</v>
      </c>
      <c r="CH530">
        <v>0</v>
      </c>
      <c r="CI530">
        <v>46.08</v>
      </c>
      <c r="CJ530">
        <v>518.47460000000001</v>
      </c>
    </row>
    <row r="531" spans="1:88">
      <c r="A531">
        <v>529</v>
      </c>
      <c r="B531" t="s">
        <v>0</v>
      </c>
      <c r="C531" t="s">
        <v>1</v>
      </c>
      <c r="D531" t="s">
        <v>279</v>
      </c>
      <c r="E531" t="s">
        <v>268</v>
      </c>
      <c r="F531" t="s">
        <v>236</v>
      </c>
      <c r="G531" t="s">
        <v>106</v>
      </c>
      <c r="H531" t="s">
        <v>143</v>
      </c>
      <c r="J531">
        <v>2</v>
      </c>
      <c r="K531" t="s">
        <v>146</v>
      </c>
      <c r="L531" t="s">
        <v>133</v>
      </c>
      <c r="M531" t="s">
        <v>270</v>
      </c>
      <c r="N531" t="s">
        <v>153</v>
      </c>
      <c r="O531">
        <v>123</v>
      </c>
      <c r="Q531">
        <v>505</v>
      </c>
      <c r="R531">
        <v>95</v>
      </c>
      <c r="S531">
        <v>4.25</v>
      </c>
      <c r="T531">
        <v>3.3849999999999998</v>
      </c>
      <c r="U531">
        <v>6.22</v>
      </c>
      <c r="V531">
        <v>2144.42</v>
      </c>
      <c r="W531">
        <v>592</v>
      </c>
      <c r="X531">
        <v>1.3332999999999999</v>
      </c>
      <c r="Y531">
        <v>455</v>
      </c>
      <c r="Z531">
        <v>4.71</v>
      </c>
      <c r="AJ531">
        <v>2</v>
      </c>
      <c r="AK531">
        <v>18</v>
      </c>
      <c r="AM531">
        <v>0</v>
      </c>
      <c r="AO531" t="s">
        <v>206</v>
      </c>
      <c r="AT531">
        <v>48</v>
      </c>
      <c r="AV531">
        <v>53.9</v>
      </c>
      <c r="AW531">
        <v>0.46875</v>
      </c>
      <c r="AX531">
        <v>3.75</v>
      </c>
      <c r="AY531">
        <v>48.5</v>
      </c>
      <c r="AZ531">
        <v>4.375</v>
      </c>
      <c r="BA531">
        <v>418.43</v>
      </c>
      <c r="BB531">
        <v>4.71</v>
      </c>
      <c r="BC531">
        <v>52</v>
      </c>
      <c r="BD531">
        <v>0.25</v>
      </c>
      <c r="BE531">
        <v>2.75</v>
      </c>
      <c r="BF531">
        <v>31.125</v>
      </c>
      <c r="BG531">
        <v>2.375</v>
      </c>
      <c r="BH531">
        <v>36.86</v>
      </c>
      <c r="BI531">
        <v>9.3100009999999997</v>
      </c>
      <c r="BJ531">
        <v>14</v>
      </c>
      <c r="BL531">
        <v>455.29</v>
      </c>
      <c r="BM531">
        <v>65</v>
      </c>
      <c r="BN531">
        <v>258.58339999999998</v>
      </c>
      <c r="BO531">
        <v>1552</v>
      </c>
      <c r="BP531">
        <v>0</v>
      </c>
      <c r="BQ531">
        <v>42</v>
      </c>
      <c r="BR531">
        <v>42</v>
      </c>
      <c r="BS531">
        <v>41.91</v>
      </c>
      <c r="BT531">
        <v>0</v>
      </c>
      <c r="BV531">
        <v>0</v>
      </c>
      <c r="BW531" t="s">
        <v>655</v>
      </c>
      <c r="BX531">
        <v>0.17</v>
      </c>
      <c r="BY531">
        <v>7.1246999999999998</v>
      </c>
      <c r="BZ531">
        <v>0</v>
      </c>
      <c r="CA531">
        <v>1</v>
      </c>
      <c r="CB531">
        <v>0.6</v>
      </c>
      <c r="CC531" s="3">
        <v>7.1269159999999998E-2</v>
      </c>
      <c r="CD531">
        <v>2.875</v>
      </c>
      <c r="CE531">
        <v>2.5</v>
      </c>
      <c r="CF531">
        <v>18</v>
      </c>
      <c r="CG531">
        <v>6</v>
      </c>
      <c r="CH531">
        <v>0</v>
      </c>
      <c r="CI531">
        <v>41.91</v>
      </c>
      <c r="CJ531">
        <v>443.5532</v>
      </c>
    </row>
    <row r="532" spans="1:88">
      <c r="A532">
        <v>530</v>
      </c>
      <c r="B532" t="s">
        <v>13</v>
      </c>
      <c r="C532" t="s">
        <v>1</v>
      </c>
      <c r="D532" t="s">
        <v>8</v>
      </c>
      <c r="E532" t="s">
        <v>139</v>
      </c>
      <c r="F532" t="s">
        <v>246</v>
      </c>
      <c r="G532" t="s">
        <v>214</v>
      </c>
      <c r="H532" t="s">
        <v>247</v>
      </c>
      <c r="J532">
        <v>2</v>
      </c>
      <c r="K532" t="s">
        <v>108</v>
      </c>
      <c r="L532" t="s">
        <v>158</v>
      </c>
      <c r="M532" t="s">
        <v>385</v>
      </c>
      <c r="N532" t="s">
        <v>177</v>
      </c>
      <c r="O532">
        <v>109</v>
      </c>
      <c r="Q532">
        <v>594</v>
      </c>
      <c r="R532">
        <v>124</v>
      </c>
      <c r="S532">
        <v>4.25</v>
      </c>
      <c r="T532">
        <v>3.024</v>
      </c>
      <c r="U532">
        <v>6.11</v>
      </c>
      <c r="V532">
        <v>2526.4499999999998</v>
      </c>
      <c r="W532">
        <v>755</v>
      </c>
      <c r="X532">
        <v>1.3332999999999999</v>
      </c>
      <c r="Y532">
        <v>581</v>
      </c>
      <c r="Z532">
        <v>4.3499999999999996</v>
      </c>
      <c r="AJ532">
        <v>2</v>
      </c>
      <c r="AK532">
        <v>18</v>
      </c>
      <c r="AM532">
        <v>0</v>
      </c>
      <c r="AO532" t="s">
        <v>250</v>
      </c>
      <c r="AT532">
        <v>43</v>
      </c>
      <c r="AV532">
        <v>71.099999999999994</v>
      </c>
      <c r="AW532">
        <v>0.46875</v>
      </c>
      <c r="AX532">
        <v>3.75</v>
      </c>
      <c r="AY532">
        <v>44.75</v>
      </c>
      <c r="AZ532">
        <v>4.125</v>
      </c>
      <c r="BA532">
        <v>453.06</v>
      </c>
      <c r="BB532">
        <v>4.3499999999999996</v>
      </c>
      <c r="BC532">
        <v>48</v>
      </c>
      <c r="BD532">
        <v>0.3125</v>
      </c>
      <c r="BE532">
        <v>2.75</v>
      </c>
      <c r="BF532">
        <v>28.125</v>
      </c>
      <c r="BG532">
        <v>2.75</v>
      </c>
      <c r="BH532">
        <v>127.72</v>
      </c>
      <c r="BI532">
        <v>5</v>
      </c>
      <c r="BJ532">
        <v>15</v>
      </c>
      <c r="BL532">
        <v>580.78</v>
      </c>
      <c r="BM532">
        <v>62</v>
      </c>
      <c r="BN532">
        <v>345.28</v>
      </c>
      <c r="BO532">
        <v>1092</v>
      </c>
      <c r="BP532">
        <v>0</v>
      </c>
      <c r="BQ532">
        <v>37</v>
      </c>
      <c r="BR532">
        <v>37</v>
      </c>
      <c r="BS532">
        <v>37.04</v>
      </c>
      <c r="BT532">
        <v>0</v>
      </c>
      <c r="BV532">
        <v>0</v>
      </c>
      <c r="BW532" t="s">
        <v>655</v>
      </c>
      <c r="BX532">
        <v>0.17</v>
      </c>
      <c r="BY532">
        <v>6.2968000000000002</v>
      </c>
      <c r="BZ532">
        <v>0</v>
      </c>
      <c r="CA532">
        <v>1</v>
      </c>
      <c r="CB532">
        <v>0.6</v>
      </c>
      <c r="CC532" s="3">
        <v>7.1269159999999998E-2</v>
      </c>
      <c r="CD532">
        <v>2.875</v>
      </c>
      <c r="CE532">
        <v>2.5</v>
      </c>
      <c r="CF532">
        <v>18</v>
      </c>
      <c r="CG532">
        <v>6</v>
      </c>
      <c r="CH532">
        <v>0</v>
      </c>
      <c r="CI532">
        <v>37.04</v>
      </c>
      <c r="CJ532">
        <v>517.07270000000005</v>
      </c>
    </row>
    <row r="533" spans="1:88">
      <c r="A533">
        <v>531</v>
      </c>
      <c r="B533" t="s">
        <v>0</v>
      </c>
      <c r="C533" t="s">
        <v>1</v>
      </c>
      <c r="D533" t="s">
        <v>510</v>
      </c>
      <c r="E533" t="s">
        <v>228</v>
      </c>
      <c r="F533" t="s">
        <v>409</v>
      </c>
      <c r="G533" t="s">
        <v>106</v>
      </c>
      <c r="H533" t="s">
        <v>346</v>
      </c>
      <c r="J533">
        <v>2</v>
      </c>
      <c r="K533" t="s">
        <v>146</v>
      </c>
      <c r="L533" t="s">
        <v>174</v>
      </c>
      <c r="M533" t="s">
        <v>230</v>
      </c>
      <c r="N533" t="s">
        <v>231</v>
      </c>
      <c r="O533">
        <v>102</v>
      </c>
      <c r="Q533">
        <v>248</v>
      </c>
      <c r="R533">
        <v>54</v>
      </c>
      <c r="S533">
        <v>4.25</v>
      </c>
      <c r="T533">
        <v>2.8380000000000001</v>
      </c>
      <c r="U533">
        <v>5.96</v>
      </c>
      <c r="V533">
        <v>1052.8900000000001</v>
      </c>
      <c r="W533">
        <v>322</v>
      </c>
      <c r="X533">
        <v>1.3332999999999999</v>
      </c>
      <c r="Y533">
        <v>252</v>
      </c>
      <c r="Z533">
        <v>4.17</v>
      </c>
      <c r="AJ533">
        <v>2</v>
      </c>
      <c r="AK533">
        <v>18</v>
      </c>
      <c r="AM533">
        <v>0</v>
      </c>
      <c r="AO533" t="s">
        <v>407</v>
      </c>
      <c r="AT533">
        <v>41</v>
      </c>
      <c r="AV533">
        <v>31</v>
      </c>
      <c r="AW533">
        <v>0</v>
      </c>
      <c r="AX533">
        <v>0</v>
      </c>
      <c r="AY533">
        <v>25.625</v>
      </c>
      <c r="AZ533">
        <v>3.125</v>
      </c>
      <c r="BA533">
        <v>0</v>
      </c>
      <c r="BB533">
        <v>0</v>
      </c>
      <c r="BC533">
        <v>23</v>
      </c>
      <c r="BN533">
        <v>146.23339999999999</v>
      </c>
      <c r="BO533">
        <v>4853</v>
      </c>
      <c r="BP533">
        <v>0</v>
      </c>
      <c r="BQ533">
        <v>35</v>
      </c>
      <c r="BR533">
        <v>35</v>
      </c>
      <c r="BS533">
        <v>34.6</v>
      </c>
      <c r="BT533">
        <v>0</v>
      </c>
      <c r="BV533">
        <v>0</v>
      </c>
      <c r="BW533" t="s">
        <v>655</v>
      </c>
      <c r="BX533">
        <v>0.17</v>
      </c>
      <c r="BY533">
        <v>5.8819999999999997</v>
      </c>
      <c r="BZ533">
        <v>0</v>
      </c>
      <c r="CA533">
        <v>1</v>
      </c>
      <c r="CB533">
        <v>0.6</v>
      </c>
      <c r="CC533" s="3">
        <v>7.1269159999999998E-2</v>
      </c>
      <c r="CD533">
        <v>2.875</v>
      </c>
      <c r="CE533">
        <v>2.5</v>
      </c>
      <c r="CF533">
        <v>18</v>
      </c>
      <c r="CG533">
        <v>6</v>
      </c>
      <c r="CH533">
        <v>0</v>
      </c>
      <c r="CI533">
        <v>34.6</v>
      </c>
      <c r="CJ533">
        <v>210.8355</v>
      </c>
    </row>
    <row r="534" spans="1:88">
      <c r="A534">
        <v>532</v>
      </c>
      <c r="B534" t="s">
        <v>0</v>
      </c>
      <c r="C534" t="s">
        <v>1</v>
      </c>
      <c r="D534" t="s">
        <v>178</v>
      </c>
      <c r="E534" t="s">
        <v>178</v>
      </c>
      <c r="F534" t="s">
        <v>408</v>
      </c>
      <c r="G534" t="s">
        <v>106</v>
      </c>
      <c r="H534" t="s">
        <v>141</v>
      </c>
      <c r="J534">
        <v>2</v>
      </c>
      <c r="K534" t="s">
        <v>146</v>
      </c>
      <c r="L534" t="s">
        <v>127</v>
      </c>
      <c r="M534" t="s">
        <v>179</v>
      </c>
      <c r="N534" t="s">
        <v>180</v>
      </c>
      <c r="O534">
        <v>95</v>
      </c>
      <c r="Q534">
        <v>238</v>
      </c>
      <c r="R534">
        <v>60</v>
      </c>
      <c r="S534">
        <v>4.25</v>
      </c>
      <c r="T534">
        <v>2.649</v>
      </c>
      <c r="U534">
        <v>5.81</v>
      </c>
      <c r="V534">
        <v>1010.82</v>
      </c>
      <c r="W534">
        <v>350</v>
      </c>
      <c r="X534">
        <v>1.3332999999999999</v>
      </c>
      <c r="Y534">
        <v>254</v>
      </c>
      <c r="Z534">
        <v>3.98</v>
      </c>
      <c r="AJ534">
        <v>2</v>
      </c>
      <c r="AK534">
        <v>18</v>
      </c>
      <c r="AM534">
        <v>0</v>
      </c>
      <c r="AO534" t="s">
        <v>409</v>
      </c>
      <c r="AT534">
        <v>38</v>
      </c>
      <c r="AV534">
        <v>31.7</v>
      </c>
      <c r="AW534">
        <v>0</v>
      </c>
      <c r="AX534">
        <v>0</v>
      </c>
      <c r="AY534">
        <v>25.5</v>
      </c>
      <c r="AZ534">
        <v>3</v>
      </c>
      <c r="BA534">
        <v>0</v>
      </c>
      <c r="BB534">
        <v>0</v>
      </c>
      <c r="BC534">
        <v>22</v>
      </c>
      <c r="BN534">
        <v>149.80000000000001</v>
      </c>
      <c r="BO534">
        <v>4624</v>
      </c>
      <c r="BP534">
        <v>0</v>
      </c>
      <c r="BQ534">
        <v>32</v>
      </c>
      <c r="BR534">
        <v>32</v>
      </c>
      <c r="BS534">
        <v>32.17</v>
      </c>
      <c r="BT534">
        <v>0</v>
      </c>
      <c r="BV534">
        <v>0</v>
      </c>
      <c r="BW534" t="s">
        <v>655</v>
      </c>
      <c r="BX534">
        <v>0.17</v>
      </c>
      <c r="BY534">
        <v>5.4688999999999997</v>
      </c>
      <c r="BZ534">
        <v>0</v>
      </c>
      <c r="CA534">
        <v>1</v>
      </c>
      <c r="CB534">
        <v>0.6</v>
      </c>
      <c r="CC534" s="3">
        <v>7.1269159999999998E-2</v>
      </c>
      <c r="CD534">
        <v>2.875</v>
      </c>
      <c r="CE534">
        <v>2.5</v>
      </c>
      <c r="CF534">
        <v>18</v>
      </c>
      <c r="CG534">
        <v>6</v>
      </c>
      <c r="CH534">
        <v>0</v>
      </c>
      <c r="CI534">
        <v>32.17</v>
      </c>
      <c r="CJ534">
        <v>200.61369999999999</v>
      </c>
    </row>
    <row r="535" spans="1:88">
      <c r="A535">
        <v>533</v>
      </c>
      <c r="B535" t="s">
        <v>13</v>
      </c>
      <c r="C535" t="s">
        <v>1</v>
      </c>
      <c r="D535" t="s">
        <v>133</v>
      </c>
      <c r="E535" t="s">
        <v>174</v>
      </c>
      <c r="F535" t="s">
        <v>298</v>
      </c>
      <c r="G535" t="s">
        <v>106</v>
      </c>
      <c r="H535" t="s">
        <v>257</v>
      </c>
      <c r="J535">
        <v>2</v>
      </c>
      <c r="K535" t="s">
        <v>146</v>
      </c>
      <c r="L535" t="s">
        <v>257</v>
      </c>
      <c r="M535" t="s">
        <v>312</v>
      </c>
      <c r="N535" t="s">
        <v>3</v>
      </c>
      <c r="O535">
        <v>122</v>
      </c>
      <c r="Q535">
        <v>458</v>
      </c>
      <c r="R535">
        <v>88</v>
      </c>
      <c r="S535">
        <v>4.25</v>
      </c>
      <c r="T535">
        <v>3.359</v>
      </c>
      <c r="U535">
        <v>6.22</v>
      </c>
      <c r="V535">
        <v>1944.71</v>
      </c>
      <c r="W535">
        <v>546</v>
      </c>
      <c r="X535">
        <v>1.3332999999999999</v>
      </c>
      <c r="Y535">
        <v>415</v>
      </c>
      <c r="Z535">
        <v>4.6900000000000004</v>
      </c>
      <c r="AJ535">
        <v>2</v>
      </c>
      <c r="AK535">
        <v>18</v>
      </c>
      <c r="AM535">
        <v>0</v>
      </c>
      <c r="AO535" t="s">
        <v>301</v>
      </c>
      <c r="AT535">
        <v>48</v>
      </c>
      <c r="AV535">
        <v>49.1</v>
      </c>
      <c r="AW535">
        <v>0</v>
      </c>
      <c r="AX535">
        <v>0</v>
      </c>
      <c r="AY535">
        <v>48.875</v>
      </c>
      <c r="AZ535">
        <v>4.375</v>
      </c>
      <c r="BA535">
        <v>0</v>
      </c>
      <c r="BB535">
        <v>0</v>
      </c>
      <c r="BC535">
        <v>53</v>
      </c>
      <c r="BN535">
        <v>235.40010000000001</v>
      </c>
      <c r="BO535">
        <v>1873</v>
      </c>
      <c r="BP535">
        <v>0</v>
      </c>
      <c r="BQ535">
        <v>42</v>
      </c>
      <c r="BR535">
        <v>42</v>
      </c>
      <c r="BS535">
        <v>41.56</v>
      </c>
      <c r="BT535">
        <v>0</v>
      </c>
      <c r="BV535">
        <v>0</v>
      </c>
      <c r="BW535" t="s">
        <v>655</v>
      </c>
      <c r="BX535">
        <v>0.17</v>
      </c>
      <c r="BY535">
        <v>7.0652010000000001</v>
      </c>
      <c r="BZ535">
        <v>0</v>
      </c>
      <c r="CA535">
        <v>1</v>
      </c>
      <c r="CB535">
        <v>0.6</v>
      </c>
      <c r="CC535" s="3">
        <v>7.1269159999999998E-2</v>
      </c>
      <c r="CD535">
        <v>2.875</v>
      </c>
      <c r="CE535">
        <v>2.5</v>
      </c>
      <c r="CF535">
        <v>18</v>
      </c>
      <c r="CG535">
        <v>6</v>
      </c>
      <c r="CH535">
        <v>0</v>
      </c>
      <c r="CI535">
        <v>41.56</v>
      </c>
      <c r="CJ535">
        <v>401.34370000000001</v>
      </c>
    </row>
    <row r="536" spans="1:88">
      <c r="A536">
        <v>534</v>
      </c>
      <c r="B536" t="s">
        <v>0</v>
      </c>
      <c r="C536" t="s">
        <v>1</v>
      </c>
      <c r="D536" t="s">
        <v>111</v>
      </c>
      <c r="E536" t="s">
        <v>143</v>
      </c>
      <c r="F536" t="s">
        <v>156</v>
      </c>
      <c r="G536" t="s">
        <v>214</v>
      </c>
      <c r="H536" t="s">
        <v>157</v>
      </c>
      <c r="J536">
        <v>2</v>
      </c>
      <c r="K536" t="s">
        <v>108</v>
      </c>
      <c r="L536" t="s">
        <v>297</v>
      </c>
      <c r="M536" t="s">
        <v>206</v>
      </c>
      <c r="N536" t="s">
        <v>131</v>
      </c>
      <c r="O536">
        <v>155</v>
      </c>
      <c r="Q536">
        <v>783</v>
      </c>
      <c r="R536">
        <v>118</v>
      </c>
      <c r="S536">
        <v>4.25</v>
      </c>
      <c r="T536">
        <v>4.1660000000000004</v>
      </c>
      <c r="U536">
        <v>6.78</v>
      </c>
      <c r="V536">
        <v>3328.81</v>
      </c>
      <c r="W536">
        <v>799</v>
      </c>
      <c r="X536">
        <v>1.3332999999999999</v>
      </c>
      <c r="Y536">
        <v>606</v>
      </c>
      <c r="Z536">
        <v>5.49</v>
      </c>
      <c r="AJ536">
        <v>2</v>
      </c>
      <c r="AK536">
        <v>18</v>
      </c>
      <c r="AM536">
        <v>0</v>
      </c>
      <c r="AO536" t="s">
        <v>160</v>
      </c>
      <c r="AT536">
        <v>59</v>
      </c>
      <c r="AV536">
        <v>67.8</v>
      </c>
      <c r="AW536">
        <v>0.4375</v>
      </c>
      <c r="AX536">
        <v>3.75</v>
      </c>
      <c r="AY536">
        <v>46.875</v>
      </c>
      <c r="AZ536">
        <v>4.75</v>
      </c>
      <c r="BA536">
        <v>303.17</v>
      </c>
      <c r="BB536">
        <v>5.42</v>
      </c>
      <c r="BC536">
        <v>47</v>
      </c>
      <c r="BD536">
        <v>0.4375</v>
      </c>
      <c r="BE536">
        <v>3.75</v>
      </c>
      <c r="BF536">
        <v>46.875</v>
      </c>
      <c r="BG536">
        <v>4.75</v>
      </c>
      <c r="BH536">
        <v>303.17</v>
      </c>
      <c r="BI536">
        <v>5.42</v>
      </c>
      <c r="BJ536">
        <v>47</v>
      </c>
      <c r="BL536">
        <v>606.34</v>
      </c>
      <c r="BM536">
        <v>94</v>
      </c>
      <c r="BN536">
        <v>329.09500000000003</v>
      </c>
      <c r="BO536">
        <v>1202</v>
      </c>
      <c r="BP536">
        <v>0</v>
      </c>
      <c r="BQ536">
        <v>53</v>
      </c>
      <c r="BR536">
        <v>53</v>
      </c>
      <c r="BS536">
        <v>53.04</v>
      </c>
      <c r="BT536">
        <v>0</v>
      </c>
      <c r="BV536">
        <v>0</v>
      </c>
      <c r="BW536" t="s">
        <v>655</v>
      </c>
      <c r="BX536">
        <v>0.17</v>
      </c>
      <c r="BY536">
        <v>9.0167999999999999</v>
      </c>
      <c r="BZ536">
        <v>0</v>
      </c>
      <c r="CA536">
        <v>1</v>
      </c>
      <c r="CB536">
        <v>0.6</v>
      </c>
      <c r="CC536" s="3">
        <v>7.1269159999999998E-2</v>
      </c>
      <c r="CD536">
        <v>2.875</v>
      </c>
      <c r="CE536">
        <v>2.5</v>
      </c>
      <c r="CF536">
        <v>18</v>
      </c>
      <c r="CG536">
        <v>6</v>
      </c>
      <c r="CH536">
        <v>0</v>
      </c>
      <c r="CI536">
        <v>53.04</v>
      </c>
      <c r="CJ536">
        <v>706.40909999999997</v>
      </c>
    </row>
    <row r="537" spans="1:88">
      <c r="A537">
        <v>535</v>
      </c>
      <c r="B537" t="s">
        <v>0</v>
      </c>
      <c r="C537" t="s">
        <v>1</v>
      </c>
      <c r="D537" t="s">
        <v>268</v>
      </c>
      <c r="E537" t="s">
        <v>338</v>
      </c>
      <c r="F537" t="s">
        <v>308</v>
      </c>
      <c r="G537" t="s">
        <v>106</v>
      </c>
      <c r="H537" t="s">
        <v>174</v>
      </c>
      <c r="J537">
        <v>2</v>
      </c>
      <c r="K537" t="s">
        <v>146</v>
      </c>
      <c r="L537" t="s">
        <v>143</v>
      </c>
      <c r="M537" t="s">
        <v>339</v>
      </c>
      <c r="N537" t="s">
        <v>340</v>
      </c>
      <c r="O537">
        <v>135</v>
      </c>
      <c r="Q537">
        <v>429</v>
      </c>
      <c r="R537">
        <v>76</v>
      </c>
      <c r="S537">
        <v>4.25</v>
      </c>
      <c r="T537">
        <v>3.6850000000000001</v>
      </c>
      <c r="U537">
        <v>6.45</v>
      </c>
      <c r="V537">
        <v>1823.5</v>
      </c>
      <c r="W537">
        <v>492</v>
      </c>
      <c r="X537">
        <v>1.3332999999999999</v>
      </c>
      <c r="Y537">
        <v>364</v>
      </c>
      <c r="Z537">
        <v>5.01</v>
      </c>
      <c r="AJ537">
        <v>2</v>
      </c>
      <c r="AK537">
        <v>18</v>
      </c>
      <c r="AM537">
        <v>0</v>
      </c>
      <c r="AO537" t="s">
        <v>312</v>
      </c>
      <c r="AT537">
        <v>52</v>
      </c>
      <c r="AV537">
        <v>41.9</v>
      </c>
      <c r="AW537">
        <v>0</v>
      </c>
      <c r="AX537">
        <v>0</v>
      </c>
      <c r="AY537">
        <v>55.75</v>
      </c>
      <c r="AZ537">
        <v>4.75</v>
      </c>
      <c r="BA537">
        <v>0</v>
      </c>
      <c r="BB537">
        <v>0</v>
      </c>
      <c r="BC537">
        <v>60</v>
      </c>
      <c r="BN537">
        <v>199.73339999999999</v>
      </c>
      <c r="BO537">
        <v>2601</v>
      </c>
      <c r="BP537">
        <v>0</v>
      </c>
      <c r="BQ537">
        <v>46</v>
      </c>
      <c r="BR537">
        <v>46</v>
      </c>
      <c r="BS537">
        <v>46.08</v>
      </c>
      <c r="BT537">
        <v>0</v>
      </c>
      <c r="BV537">
        <v>0</v>
      </c>
      <c r="BW537" t="s">
        <v>655</v>
      </c>
      <c r="BX537">
        <v>0.17</v>
      </c>
      <c r="BY537">
        <v>7.8336009999999998</v>
      </c>
      <c r="BZ537">
        <v>0</v>
      </c>
      <c r="CA537">
        <v>1</v>
      </c>
      <c r="CB537">
        <v>0.6</v>
      </c>
      <c r="CC537" s="3">
        <v>7.1269159999999998E-2</v>
      </c>
      <c r="CD537">
        <v>2.875</v>
      </c>
      <c r="CE537">
        <v>2.5</v>
      </c>
      <c r="CF537">
        <v>18</v>
      </c>
      <c r="CG537">
        <v>6</v>
      </c>
      <c r="CH537">
        <v>0</v>
      </c>
      <c r="CI537">
        <v>46.08</v>
      </c>
      <c r="CJ537">
        <v>379.3116</v>
      </c>
    </row>
    <row r="538" spans="1:88">
      <c r="A538">
        <v>536</v>
      </c>
      <c r="B538" t="s">
        <v>13</v>
      </c>
      <c r="C538" t="s">
        <v>1</v>
      </c>
      <c r="D538" t="s">
        <v>279</v>
      </c>
      <c r="E538" t="s">
        <v>113</v>
      </c>
      <c r="F538" t="s">
        <v>236</v>
      </c>
      <c r="G538" t="s">
        <v>106</v>
      </c>
      <c r="H538" t="s">
        <v>143</v>
      </c>
      <c r="J538">
        <v>2</v>
      </c>
      <c r="K538" t="s">
        <v>146</v>
      </c>
      <c r="L538" t="s">
        <v>116</v>
      </c>
      <c r="M538" t="s">
        <v>117</v>
      </c>
      <c r="N538" t="s">
        <v>14</v>
      </c>
      <c r="O538">
        <v>179</v>
      </c>
      <c r="Q538">
        <v>714</v>
      </c>
      <c r="R538">
        <v>95</v>
      </c>
      <c r="S538">
        <v>4.25</v>
      </c>
      <c r="T538">
        <v>4.7190000000000003</v>
      </c>
      <c r="U538">
        <v>7.05</v>
      </c>
      <c r="V538">
        <v>3034.71</v>
      </c>
      <c r="W538">
        <v>671</v>
      </c>
      <c r="X538">
        <v>1.3332999999999999</v>
      </c>
      <c r="Y538">
        <v>502</v>
      </c>
      <c r="Z538">
        <v>6.05</v>
      </c>
      <c r="AJ538">
        <v>2</v>
      </c>
      <c r="AK538">
        <v>18</v>
      </c>
      <c r="AM538">
        <v>0</v>
      </c>
      <c r="AO538" t="s">
        <v>206</v>
      </c>
      <c r="AT538">
        <v>68</v>
      </c>
      <c r="AV538">
        <v>53.9</v>
      </c>
      <c r="AW538">
        <v>0.4375</v>
      </c>
      <c r="AX538">
        <v>3.75</v>
      </c>
      <c r="AY538">
        <v>51.625</v>
      </c>
      <c r="AZ538">
        <v>5.25</v>
      </c>
      <c r="BA538">
        <v>275.88</v>
      </c>
      <c r="BB538">
        <v>5.96</v>
      </c>
      <c r="BC538">
        <v>52</v>
      </c>
      <c r="BD538">
        <v>0.4375</v>
      </c>
      <c r="BE538">
        <v>3.75</v>
      </c>
      <c r="BF538">
        <v>63</v>
      </c>
      <c r="BG538">
        <v>5.25</v>
      </c>
      <c r="BH538">
        <v>225.72</v>
      </c>
      <c r="BI538">
        <v>7.29</v>
      </c>
      <c r="BJ538">
        <v>64</v>
      </c>
      <c r="BL538">
        <v>501.6</v>
      </c>
      <c r="BM538">
        <v>115</v>
      </c>
      <c r="BN538">
        <v>258.58339999999998</v>
      </c>
      <c r="BO538">
        <v>1552</v>
      </c>
      <c r="BP538">
        <v>0</v>
      </c>
      <c r="BQ538">
        <v>61</v>
      </c>
      <c r="BR538">
        <v>61</v>
      </c>
      <c r="BS538">
        <v>61.39</v>
      </c>
      <c r="BT538">
        <v>0</v>
      </c>
      <c r="BV538">
        <v>0</v>
      </c>
      <c r="BW538" t="s">
        <v>655</v>
      </c>
      <c r="BX538">
        <v>0.17</v>
      </c>
      <c r="BY538">
        <v>10.436299999999999</v>
      </c>
      <c r="BZ538">
        <v>0</v>
      </c>
      <c r="CA538">
        <v>1</v>
      </c>
      <c r="CB538">
        <v>0.6</v>
      </c>
      <c r="CC538" s="3">
        <v>7.1269159999999998E-2</v>
      </c>
      <c r="CD538">
        <v>2.875</v>
      </c>
      <c r="CE538">
        <v>2.5</v>
      </c>
      <c r="CF538">
        <v>18</v>
      </c>
      <c r="CG538">
        <v>6</v>
      </c>
      <c r="CH538">
        <v>0</v>
      </c>
      <c r="CI538">
        <v>61.39</v>
      </c>
      <c r="CJ538">
        <v>649.7192</v>
      </c>
    </row>
    <row r="539" spans="1:88">
      <c r="A539">
        <v>537</v>
      </c>
      <c r="B539" t="s">
        <v>0</v>
      </c>
      <c r="C539" t="s">
        <v>1</v>
      </c>
      <c r="D539" t="s">
        <v>143</v>
      </c>
      <c r="E539" t="s">
        <v>99</v>
      </c>
      <c r="F539" t="s">
        <v>144</v>
      </c>
      <c r="G539" t="s">
        <v>106</v>
      </c>
      <c r="H539" t="s">
        <v>145</v>
      </c>
      <c r="J539">
        <v>2</v>
      </c>
      <c r="K539" t="s">
        <v>146</v>
      </c>
      <c r="L539" t="s">
        <v>393</v>
      </c>
      <c r="M539" t="s">
        <v>184</v>
      </c>
      <c r="N539" t="s">
        <v>185</v>
      </c>
      <c r="O539">
        <v>149</v>
      </c>
      <c r="Q539">
        <v>598</v>
      </c>
      <c r="R539">
        <v>95</v>
      </c>
      <c r="S539">
        <v>4.25</v>
      </c>
      <c r="T539">
        <v>4.024</v>
      </c>
      <c r="U539">
        <v>6.71</v>
      </c>
      <c r="V539">
        <v>2540.6</v>
      </c>
      <c r="W539">
        <v>635</v>
      </c>
      <c r="X539">
        <v>1.3332999999999999</v>
      </c>
      <c r="Y539">
        <v>475</v>
      </c>
      <c r="Z539">
        <v>5.35</v>
      </c>
      <c r="AJ539">
        <v>2</v>
      </c>
      <c r="AK539">
        <v>18</v>
      </c>
      <c r="AM539">
        <v>0</v>
      </c>
      <c r="AO539" t="s">
        <v>149</v>
      </c>
      <c r="AT539">
        <v>57</v>
      </c>
      <c r="AV539">
        <v>53.5</v>
      </c>
      <c r="AW539">
        <v>0.46875</v>
      </c>
      <c r="AX539">
        <v>3.75</v>
      </c>
      <c r="AY539">
        <v>55</v>
      </c>
      <c r="AZ539">
        <v>5</v>
      </c>
      <c r="BA539">
        <v>368.37</v>
      </c>
      <c r="BB539">
        <v>5.35</v>
      </c>
      <c r="BC539">
        <v>59</v>
      </c>
      <c r="BD539">
        <v>0.3125</v>
      </c>
      <c r="BE539">
        <v>2.75</v>
      </c>
      <c r="BF539">
        <v>33.75</v>
      </c>
      <c r="BG539">
        <v>3.375</v>
      </c>
      <c r="BH539">
        <v>106.5</v>
      </c>
      <c r="BI539">
        <v>6</v>
      </c>
      <c r="BJ539">
        <v>18</v>
      </c>
      <c r="BL539">
        <v>474.87</v>
      </c>
      <c r="BM539">
        <v>77</v>
      </c>
      <c r="BN539">
        <v>256.80009999999999</v>
      </c>
      <c r="BO539">
        <v>1574</v>
      </c>
      <c r="BP539">
        <v>0</v>
      </c>
      <c r="BQ539">
        <v>51</v>
      </c>
      <c r="BR539">
        <v>51</v>
      </c>
      <c r="BS539">
        <v>50.95</v>
      </c>
      <c r="BT539">
        <v>0</v>
      </c>
      <c r="BV539">
        <v>0</v>
      </c>
      <c r="BW539" t="s">
        <v>655</v>
      </c>
      <c r="BX539">
        <v>0.17</v>
      </c>
      <c r="BY539">
        <v>8.6615000000000002</v>
      </c>
      <c r="BZ539">
        <v>0</v>
      </c>
      <c r="CA539">
        <v>1</v>
      </c>
      <c r="CB539">
        <v>0.6</v>
      </c>
      <c r="CC539" s="3">
        <v>7.1269159999999998E-2</v>
      </c>
      <c r="CD539">
        <v>2.875</v>
      </c>
      <c r="CE539">
        <v>2.5</v>
      </c>
      <c r="CF539">
        <v>18</v>
      </c>
      <c r="CG539">
        <v>6</v>
      </c>
      <c r="CH539">
        <v>0</v>
      </c>
      <c r="CI539">
        <v>50.95</v>
      </c>
      <c r="CJ539">
        <v>535.59659999999997</v>
      </c>
    </row>
    <row r="540" spans="1:88">
      <c r="A540">
        <v>538</v>
      </c>
      <c r="B540" t="s">
        <v>13</v>
      </c>
      <c r="C540" t="s">
        <v>1</v>
      </c>
      <c r="D540" t="s">
        <v>8</v>
      </c>
      <c r="E540" t="s">
        <v>123</v>
      </c>
      <c r="F540" t="s">
        <v>246</v>
      </c>
      <c r="G540" t="s">
        <v>15</v>
      </c>
      <c r="H540" t="s">
        <v>247</v>
      </c>
      <c r="J540">
        <v>2</v>
      </c>
      <c r="K540" t="s">
        <v>108</v>
      </c>
      <c r="L540" t="s">
        <v>8</v>
      </c>
      <c r="M540" t="s">
        <v>147</v>
      </c>
      <c r="N540" t="s">
        <v>148</v>
      </c>
      <c r="O540">
        <v>183</v>
      </c>
      <c r="Q540">
        <v>958</v>
      </c>
      <c r="R540">
        <v>124</v>
      </c>
      <c r="S540">
        <v>4.25</v>
      </c>
      <c r="T540">
        <v>4.8079999999999998</v>
      </c>
      <c r="U540">
        <v>7.12</v>
      </c>
      <c r="V540">
        <v>4072.22</v>
      </c>
      <c r="W540">
        <v>880</v>
      </c>
      <c r="X540">
        <v>1.3332999999999999</v>
      </c>
      <c r="Y540">
        <v>663</v>
      </c>
      <c r="Z540">
        <v>6.14</v>
      </c>
      <c r="AJ540">
        <v>2</v>
      </c>
      <c r="AK540">
        <v>18</v>
      </c>
      <c r="AM540">
        <v>0</v>
      </c>
      <c r="AO540" t="s">
        <v>250</v>
      </c>
      <c r="AT540">
        <v>69</v>
      </c>
      <c r="AV540">
        <v>71.099999999999994</v>
      </c>
      <c r="AW540" t="s">
        <v>6</v>
      </c>
      <c r="AX540" t="s">
        <v>6</v>
      </c>
      <c r="AY540" t="s">
        <v>6</v>
      </c>
      <c r="AZ540" t="s">
        <v>6</v>
      </c>
      <c r="BA540" t="s">
        <v>6</v>
      </c>
      <c r="BB540" t="s">
        <v>6</v>
      </c>
      <c r="BC540" t="s">
        <v>6</v>
      </c>
      <c r="BD540" t="s">
        <v>6</v>
      </c>
      <c r="BE540" t="s">
        <v>6</v>
      </c>
      <c r="BF540" t="s">
        <v>6</v>
      </c>
      <c r="BG540" t="s">
        <v>6</v>
      </c>
      <c r="BH540" t="s">
        <v>6</v>
      </c>
      <c r="BI540" t="s">
        <v>6</v>
      </c>
      <c r="BJ540" t="s">
        <v>6</v>
      </c>
      <c r="BN540">
        <v>606.1585</v>
      </c>
      <c r="BO540">
        <v>2977</v>
      </c>
      <c r="BP540">
        <v>0</v>
      </c>
      <c r="BQ540">
        <v>63</v>
      </c>
      <c r="BR540">
        <v>63</v>
      </c>
      <c r="BS540">
        <v>62.78</v>
      </c>
      <c r="BT540">
        <v>0</v>
      </c>
      <c r="BV540">
        <v>0</v>
      </c>
      <c r="BW540" t="s">
        <v>655</v>
      </c>
      <c r="BX540">
        <v>0.17</v>
      </c>
      <c r="BY540">
        <v>10.672599999999999</v>
      </c>
      <c r="BZ540">
        <v>0</v>
      </c>
      <c r="CA540">
        <v>1</v>
      </c>
      <c r="CB540">
        <v>0.6</v>
      </c>
      <c r="CC540" s="3">
        <v>7.1269159999999998E-2</v>
      </c>
      <c r="CD540">
        <v>2.875</v>
      </c>
      <c r="CE540">
        <v>2.5</v>
      </c>
      <c r="CF540">
        <v>18</v>
      </c>
      <c r="CG540">
        <v>6</v>
      </c>
      <c r="CH540">
        <v>0</v>
      </c>
      <c r="CI540">
        <v>62.78</v>
      </c>
      <c r="CJ540">
        <v>876.39909999999998</v>
      </c>
    </row>
    <row r="541" spans="1:88">
      <c r="A541">
        <v>539</v>
      </c>
      <c r="B541" t="s">
        <v>13</v>
      </c>
      <c r="C541" t="s">
        <v>1</v>
      </c>
      <c r="D541" t="s">
        <v>143</v>
      </c>
      <c r="E541" t="s">
        <v>195</v>
      </c>
      <c r="F541" t="s">
        <v>144</v>
      </c>
      <c r="G541" t="s">
        <v>106</v>
      </c>
      <c r="H541" t="s">
        <v>145</v>
      </c>
      <c r="J541">
        <v>2</v>
      </c>
      <c r="K541" t="s">
        <v>146</v>
      </c>
      <c r="L541" t="s">
        <v>476</v>
      </c>
      <c r="M541" t="s">
        <v>256</v>
      </c>
      <c r="N541" t="s">
        <v>99</v>
      </c>
      <c r="O541">
        <v>146</v>
      </c>
      <c r="Q541">
        <v>587</v>
      </c>
      <c r="R541">
        <v>95</v>
      </c>
      <c r="S541">
        <v>4.25</v>
      </c>
      <c r="T541">
        <v>3.952</v>
      </c>
      <c r="U541">
        <v>6.63</v>
      </c>
      <c r="V541">
        <v>2493.38</v>
      </c>
      <c r="W541">
        <v>627</v>
      </c>
      <c r="X541">
        <v>1.3332999999999999</v>
      </c>
      <c r="Y541">
        <v>472</v>
      </c>
      <c r="Z541">
        <v>5.28</v>
      </c>
      <c r="AJ541">
        <v>2</v>
      </c>
      <c r="AK541">
        <v>18</v>
      </c>
      <c r="AM541">
        <v>0</v>
      </c>
      <c r="AO541" t="s">
        <v>149</v>
      </c>
      <c r="AT541">
        <v>56</v>
      </c>
      <c r="AV541">
        <v>53.5</v>
      </c>
      <c r="AW541">
        <v>0.46875</v>
      </c>
      <c r="AX541">
        <v>3.75</v>
      </c>
      <c r="AY541">
        <v>54.25</v>
      </c>
      <c r="AZ541">
        <v>5</v>
      </c>
      <c r="BA541">
        <v>373.26</v>
      </c>
      <c r="BB541">
        <v>5.28</v>
      </c>
      <c r="BC541">
        <v>58</v>
      </c>
      <c r="BD541">
        <v>0.3125</v>
      </c>
      <c r="BE541">
        <v>2.75</v>
      </c>
      <c r="BF541">
        <v>36.375</v>
      </c>
      <c r="BG541">
        <v>3.25</v>
      </c>
      <c r="BH541">
        <v>98.97</v>
      </c>
      <c r="BI541">
        <v>6.45</v>
      </c>
      <c r="BJ541">
        <v>19</v>
      </c>
      <c r="BL541">
        <v>472.23</v>
      </c>
      <c r="BM541">
        <v>77</v>
      </c>
      <c r="BN541">
        <v>256.80009999999999</v>
      </c>
      <c r="BO541">
        <v>1574</v>
      </c>
      <c r="BP541">
        <v>0</v>
      </c>
      <c r="BQ541">
        <v>50</v>
      </c>
      <c r="BR541">
        <v>50</v>
      </c>
      <c r="BS541">
        <v>49.91</v>
      </c>
      <c r="BT541">
        <v>0</v>
      </c>
      <c r="BV541">
        <v>0</v>
      </c>
      <c r="BW541" t="s">
        <v>655</v>
      </c>
      <c r="BX541">
        <v>0.17</v>
      </c>
      <c r="BY541">
        <v>8.4847000000000001</v>
      </c>
      <c r="BZ541">
        <v>0</v>
      </c>
      <c r="CA541">
        <v>1</v>
      </c>
      <c r="CB541">
        <v>0.6</v>
      </c>
      <c r="CC541" s="3">
        <v>7.1269159999999998E-2</v>
      </c>
      <c r="CD541">
        <v>2.875</v>
      </c>
      <c r="CE541">
        <v>2.5</v>
      </c>
      <c r="CF541">
        <v>18</v>
      </c>
      <c r="CG541">
        <v>6</v>
      </c>
      <c r="CH541">
        <v>0</v>
      </c>
      <c r="CI541">
        <v>49.91</v>
      </c>
      <c r="CJ541">
        <v>524.66399999999999</v>
      </c>
    </row>
    <row r="542" spans="1:88">
      <c r="A542">
        <v>540</v>
      </c>
      <c r="B542" t="s">
        <v>0</v>
      </c>
      <c r="C542" t="s">
        <v>1</v>
      </c>
      <c r="D542" t="s">
        <v>267</v>
      </c>
      <c r="E542" t="s">
        <v>316</v>
      </c>
      <c r="F542" t="s">
        <v>269</v>
      </c>
      <c r="G542" t="s">
        <v>106</v>
      </c>
      <c r="H542" t="s">
        <v>131</v>
      </c>
      <c r="J542">
        <v>2</v>
      </c>
      <c r="K542" t="s">
        <v>146</v>
      </c>
      <c r="L542" t="s">
        <v>457</v>
      </c>
      <c r="M542" t="s">
        <v>591</v>
      </c>
      <c r="N542" t="s">
        <v>197</v>
      </c>
      <c r="O542">
        <v>170</v>
      </c>
      <c r="Q542">
        <v>694</v>
      </c>
      <c r="R542">
        <v>97</v>
      </c>
      <c r="S542">
        <v>4.25</v>
      </c>
      <c r="T542">
        <v>4.5149999999999997</v>
      </c>
      <c r="U542">
        <v>6.9</v>
      </c>
      <c r="V542">
        <v>2949.24</v>
      </c>
      <c r="W542">
        <v>669</v>
      </c>
      <c r="X542">
        <v>1.3332999999999999</v>
      </c>
      <c r="Y542">
        <v>505</v>
      </c>
      <c r="Z542">
        <v>5.84</v>
      </c>
      <c r="AJ542">
        <v>2</v>
      </c>
      <c r="AK542">
        <v>18</v>
      </c>
      <c r="AM542">
        <v>0</v>
      </c>
      <c r="AO542" t="s">
        <v>271</v>
      </c>
      <c r="AT542">
        <v>64</v>
      </c>
      <c r="AV542">
        <v>54.9</v>
      </c>
      <c r="AW542">
        <v>0.4375</v>
      </c>
      <c r="AX542">
        <v>3.75</v>
      </c>
      <c r="AY542">
        <v>51.25</v>
      </c>
      <c r="AZ542">
        <v>5.125</v>
      </c>
      <c r="BA542">
        <v>277.75</v>
      </c>
      <c r="BB542">
        <v>5.92</v>
      </c>
      <c r="BC542">
        <v>52</v>
      </c>
      <c r="BD542">
        <v>0.40625</v>
      </c>
      <c r="BE542">
        <v>3.75</v>
      </c>
      <c r="BF542">
        <v>42.75</v>
      </c>
      <c r="BG542">
        <v>4.75</v>
      </c>
      <c r="BH542">
        <v>227.25</v>
      </c>
      <c r="BI542">
        <v>5.82</v>
      </c>
      <c r="BJ542">
        <v>41</v>
      </c>
      <c r="BL542">
        <v>505</v>
      </c>
      <c r="BM542">
        <v>92</v>
      </c>
      <c r="BN542">
        <v>263.93340000000001</v>
      </c>
      <c r="BO542">
        <v>1490</v>
      </c>
      <c r="BP542">
        <v>0</v>
      </c>
      <c r="BQ542">
        <v>58</v>
      </c>
      <c r="BR542">
        <v>58</v>
      </c>
      <c r="BS542">
        <v>58.26</v>
      </c>
      <c r="BT542">
        <v>0</v>
      </c>
      <c r="BV542">
        <v>0</v>
      </c>
      <c r="BW542" t="s">
        <v>655</v>
      </c>
      <c r="BX542">
        <v>0.17</v>
      </c>
      <c r="BY542">
        <v>9.9041990000000002</v>
      </c>
      <c r="BZ542">
        <v>0</v>
      </c>
      <c r="CA542">
        <v>1</v>
      </c>
      <c r="CB542">
        <v>0.6</v>
      </c>
      <c r="CC542" s="3">
        <v>7.1269159999999998E-2</v>
      </c>
      <c r="CD542">
        <v>2.875</v>
      </c>
      <c r="CE542">
        <v>2.5</v>
      </c>
      <c r="CF542">
        <v>18</v>
      </c>
      <c r="CG542">
        <v>6</v>
      </c>
      <c r="CH542">
        <v>0</v>
      </c>
      <c r="CI542">
        <v>58.26</v>
      </c>
      <c r="CJ542">
        <v>629.04930000000002</v>
      </c>
    </row>
    <row r="543" spans="1:88">
      <c r="A543">
        <v>541</v>
      </c>
      <c r="B543" t="s">
        <v>0</v>
      </c>
      <c r="C543" t="s">
        <v>1</v>
      </c>
      <c r="D543" t="s">
        <v>162</v>
      </c>
      <c r="E543" t="s">
        <v>158</v>
      </c>
      <c r="F543" t="s">
        <v>100</v>
      </c>
      <c r="G543" t="s">
        <v>106</v>
      </c>
      <c r="H543" t="s">
        <v>158</v>
      </c>
      <c r="J543">
        <v>2</v>
      </c>
      <c r="K543" t="s">
        <v>146</v>
      </c>
      <c r="L543" t="s">
        <v>99</v>
      </c>
      <c r="M543" t="s">
        <v>121</v>
      </c>
      <c r="N543" t="s">
        <v>235</v>
      </c>
      <c r="O543">
        <v>129</v>
      </c>
      <c r="Q543">
        <v>436</v>
      </c>
      <c r="R543">
        <v>80</v>
      </c>
      <c r="S543">
        <v>4.25</v>
      </c>
      <c r="T543">
        <v>3.536</v>
      </c>
      <c r="U543">
        <v>6.33</v>
      </c>
      <c r="V543">
        <v>1853.34</v>
      </c>
      <c r="W543">
        <v>508</v>
      </c>
      <c r="X543">
        <v>1.3332999999999999</v>
      </c>
      <c r="Y543">
        <v>381</v>
      </c>
      <c r="Z543">
        <v>4.8600000000000003</v>
      </c>
      <c r="AJ543">
        <v>2</v>
      </c>
      <c r="AK543">
        <v>18</v>
      </c>
      <c r="AM543">
        <v>0</v>
      </c>
      <c r="AO543" t="s">
        <v>121</v>
      </c>
      <c r="AT543">
        <v>50</v>
      </c>
      <c r="AV543">
        <v>44.4</v>
      </c>
      <c r="AW543">
        <v>0</v>
      </c>
      <c r="AX543">
        <v>0</v>
      </c>
      <c r="AY543">
        <v>53.125</v>
      </c>
      <c r="AZ543">
        <v>4.5</v>
      </c>
      <c r="BA543">
        <v>0</v>
      </c>
      <c r="BB543">
        <v>0</v>
      </c>
      <c r="BC543">
        <v>57</v>
      </c>
      <c r="BN543">
        <v>212.2167</v>
      </c>
      <c r="BO543">
        <v>2304</v>
      </c>
      <c r="BP543">
        <v>0</v>
      </c>
      <c r="BQ543">
        <v>44</v>
      </c>
      <c r="BR543">
        <v>44</v>
      </c>
      <c r="BS543">
        <v>44</v>
      </c>
      <c r="BT543">
        <v>0</v>
      </c>
      <c r="BV543">
        <v>0</v>
      </c>
      <c r="BW543" t="s">
        <v>655</v>
      </c>
      <c r="BX543">
        <v>0.17</v>
      </c>
      <c r="BY543">
        <v>7.48</v>
      </c>
      <c r="BZ543">
        <v>0</v>
      </c>
      <c r="CA543">
        <v>1</v>
      </c>
      <c r="CB543">
        <v>0.6</v>
      </c>
      <c r="CC543" s="3">
        <v>7.1269159999999998E-2</v>
      </c>
      <c r="CD543">
        <v>2.875</v>
      </c>
      <c r="CE543">
        <v>2.5</v>
      </c>
      <c r="CF543">
        <v>18</v>
      </c>
      <c r="CG543">
        <v>6</v>
      </c>
      <c r="CH543">
        <v>0</v>
      </c>
      <c r="CI543">
        <v>44</v>
      </c>
      <c r="CJ543">
        <v>384.14080000000001</v>
      </c>
    </row>
    <row r="544" spans="1:88">
      <c r="A544">
        <v>542</v>
      </c>
      <c r="B544" t="s">
        <v>0</v>
      </c>
      <c r="C544" t="s">
        <v>1</v>
      </c>
      <c r="D544" t="s">
        <v>2</v>
      </c>
      <c r="E544" t="s">
        <v>113</v>
      </c>
      <c r="F544" t="s">
        <v>154</v>
      </c>
      <c r="G544" t="s">
        <v>106</v>
      </c>
      <c r="H544" t="s">
        <v>217</v>
      </c>
      <c r="J544">
        <v>2</v>
      </c>
      <c r="K544" t="s">
        <v>146</v>
      </c>
      <c r="L544" t="s">
        <v>116</v>
      </c>
      <c r="M544" t="s">
        <v>117</v>
      </c>
      <c r="N544" t="s">
        <v>14</v>
      </c>
      <c r="O544">
        <v>179</v>
      </c>
      <c r="Q544">
        <v>482</v>
      </c>
      <c r="R544">
        <v>67</v>
      </c>
      <c r="S544">
        <v>4.25</v>
      </c>
      <c r="T544">
        <v>4.7190000000000003</v>
      </c>
      <c r="U544">
        <v>7.05</v>
      </c>
      <c r="V544">
        <v>2047.99</v>
      </c>
      <c r="W544">
        <v>473</v>
      </c>
      <c r="X544">
        <v>1.5</v>
      </c>
      <c r="Y544">
        <v>330</v>
      </c>
      <c r="Z544">
        <v>6.21</v>
      </c>
      <c r="AJ544">
        <v>2</v>
      </c>
      <c r="AK544">
        <v>18</v>
      </c>
      <c r="AM544">
        <v>0</v>
      </c>
      <c r="AO544" t="s">
        <v>218</v>
      </c>
      <c r="AT544">
        <v>68</v>
      </c>
      <c r="AV544">
        <v>36.1</v>
      </c>
      <c r="AW544">
        <v>0.46875</v>
      </c>
      <c r="AX544">
        <v>3.75</v>
      </c>
      <c r="AY544">
        <v>63.875</v>
      </c>
      <c r="AZ544">
        <v>5.875</v>
      </c>
      <c r="BA544">
        <v>317.36</v>
      </c>
      <c r="BB544">
        <v>6.21</v>
      </c>
      <c r="BC544">
        <v>69</v>
      </c>
      <c r="BD544">
        <v>0.1875</v>
      </c>
      <c r="BE544">
        <v>2.75</v>
      </c>
      <c r="BF544">
        <v>21.375</v>
      </c>
      <c r="BG544">
        <v>2.375</v>
      </c>
      <c r="BH544">
        <v>12.42</v>
      </c>
      <c r="BI544">
        <v>12.21</v>
      </c>
      <c r="BJ544">
        <v>7</v>
      </c>
      <c r="BL544">
        <v>329.78</v>
      </c>
      <c r="BM544">
        <v>75</v>
      </c>
      <c r="BN544">
        <v>171.2</v>
      </c>
      <c r="BO544">
        <v>3540</v>
      </c>
      <c r="BP544">
        <v>0</v>
      </c>
      <c r="BQ544">
        <v>61</v>
      </c>
      <c r="BR544">
        <v>61</v>
      </c>
      <c r="BS544">
        <v>61.39</v>
      </c>
      <c r="BT544">
        <v>0</v>
      </c>
      <c r="BV544">
        <v>0</v>
      </c>
      <c r="BW544" t="s">
        <v>655</v>
      </c>
      <c r="BX544">
        <v>0.17</v>
      </c>
      <c r="BY544">
        <v>10.436299999999999</v>
      </c>
      <c r="BZ544">
        <v>0</v>
      </c>
      <c r="CA544">
        <v>1</v>
      </c>
      <c r="CB544">
        <v>0.6</v>
      </c>
      <c r="CC544" s="3">
        <v>7.1269159999999998E-2</v>
      </c>
      <c r="CD544">
        <v>2.875</v>
      </c>
      <c r="CE544">
        <v>2.5</v>
      </c>
      <c r="CF544">
        <v>18</v>
      </c>
      <c r="CG544">
        <v>6</v>
      </c>
      <c r="CH544">
        <v>0</v>
      </c>
      <c r="CI544">
        <v>61.39</v>
      </c>
      <c r="CJ544">
        <v>435.33370000000002</v>
      </c>
    </row>
    <row r="545" spans="1:88">
      <c r="A545">
        <v>543</v>
      </c>
      <c r="B545" t="s">
        <v>13</v>
      </c>
      <c r="C545" t="s">
        <v>1</v>
      </c>
      <c r="D545" t="s">
        <v>143</v>
      </c>
      <c r="E545" t="s">
        <v>3</v>
      </c>
      <c r="F545" t="s">
        <v>144</v>
      </c>
      <c r="G545" t="s">
        <v>106</v>
      </c>
      <c r="H545" t="s">
        <v>145</v>
      </c>
      <c r="J545">
        <v>2</v>
      </c>
      <c r="K545" t="s">
        <v>146</v>
      </c>
      <c r="L545" t="s">
        <v>363</v>
      </c>
      <c r="M545" t="s">
        <v>383</v>
      </c>
      <c r="N545" t="s">
        <v>119</v>
      </c>
      <c r="O545">
        <v>125</v>
      </c>
      <c r="Q545">
        <v>509</v>
      </c>
      <c r="R545">
        <v>95</v>
      </c>
      <c r="S545">
        <v>4.25</v>
      </c>
      <c r="T545">
        <v>3.4350000000000001</v>
      </c>
      <c r="U545">
        <v>6.26</v>
      </c>
      <c r="V545">
        <v>2161.5500000000002</v>
      </c>
      <c r="W545">
        <v>592</v>
      </c>
      <c r="X545">
        <v>1.3332999999999999</v>
      </c>
      <c r="Y545">
        <v>454</v>
      </c>
      <c r="Z545">
        <v>4.76</v>
      </c>
      <c r="AJ545">
        <v>2</v>
      </c>
      <c r="AK545">
        <v>18</v>
      </c>
      <c r="AM545">
        <v>0</v>
      </c>
      <c r="AO545" t="s">
        <v>149</v>
      </c>
      <c r="AT545">
        <v>49</v>
      </c>
      <c r="AV545">
        <v>53.5</v>
      </c>
      <c r="AW545">
        <v>0.46875</v>
      </c>
      <c r="AX545">
        <v>3.75</v>
      </c>
      <c r="AY545">
        <v>49</v>
      </c>
      <c r="AZ545">
        <v>4.5</v>
      </c>
      <c r="BA545">
        <v>414.03</v>
      </c>
      <c r="BB545">
        <v>4.76</v>
      </c>
      <c r="BC545">
        <v>53</v>
      </c>
      <c r="BD545">
        <v>0.25</v>
      </c>
      <c r="BE545">
        <v>2.75</v>
      </c>
      <c r="BF545">
        <v>28.625</v>
      </c>
      <c r="BG545">
        <v>2.375</v>
      </c>
      <c r="BH545">
        <v>40.07</v>
      </c>
      <c r="BI545">
        <v>8.57</v>
      </c>
      <c r="BJ545">
        <v>13</v>
      </c>
      <c r="BL545">
        <v>454.1</v>
      </c>
      <c r="BM545">
        <v>65</v>
      </c>
      <c r="BN545">
        <v>256.80009999999999</v>
      </c>
      <c r="BO545">
        <v>1574</v>
      </c>
      <c r="BP545">
        <v>0</v>
      </c>
      <c r="BQ545">
        <v>43</v>
      </c>
      <c r="BR545">
        <v>43</v>
      </c>
      <c r="BS545">
        <v>42.6</v>
      </c>
      <c r="BT545">
        <v>0</v>
      </c>
      <c r="BV545">
        <v>0</v>
      </c>
      <c r="BW545" t="s">
        <v>655</v>
      </c>
      <c r="BX545">
        <v>0.17</v>
      </c>
      <c r="BY545">
        <v>7.242</v>
      </c>
      <c r="BZ545">
        <v>0</v>
      </c>
      <c r="CA545">
        <v>1</v>
      </c>
      <c r="CB545">
        <v>0.6</v>
      </c>
      <c r="CC545" s="3">
        <v>7.1269159999999998E-2</v>
      </c>
      <c r="CD545">
        <v>2.875</v>
      </c>
      <c r="CE545">
        <v>2.5</v>
      </c>
      <c r="CF545">
        <v>18</v>
      </c>
      <c r="CG545">
        <v>6</v>
      </c>
      <c r="CH545">
        <v>0</v>
      </c>
      <c r="CI545">
        <v>42.6</v>
      </c>
      <c r="CJ545">
        <v>447.81979999999999</v>
      </c>
    </row>
    <row r="546" spans="1:88">
      <c r="A546">
        <v>544</v>
      </c>
      <c r="B546" t="s">
        <v>0</v>
      </c>
      <c r="C546" t="s">
        <v>1</v>
      </c>
      <c r="D546" t="s">
        <v>169</v>
      </c>
      <c r="E546" t="s">
        <v>181</v>
      </c>
      <c r="F546" t="s">
        <v>404</v>
      </c>
      <c r="G546" t="s">
        <v>106</v>
      </c>
      <c r="H546" t="s">
        <v>190</v>
      </c>
      <c r="J546">
        <v>2</v>
      </c>
      <c r="K546" t="s">
        <v>146</v>
      </c>
      <c r="L546" t="s">
        <v>202</v>
      </c>
      <c r="M546" t="s">
        <v>313</v>
      </c>
      <c r="N546" t="s">
        <v>314</v>
      </c>
      <c r="O546">
        <v>161</v>
      </c>
      <c r="Q546">
        <v>488</v>
      </c>
      <c r="R546">
        <v>74</v>
      </c>
      <c r="S546">
        <v>4.25</v>
      </c>
      <c r="T546">
        <v>4.3070000000000004</v>
      </c>
      <c r="U546">
        <v>6.75</v>
      </c>
      <c r="V546">
        <v>2073.6999999999998</v>
      </c>
      <c r="W546">
        <v>499</v>
      </c>
      <c r="X546">
        <v>1.3332999999999999</v>
      </c>
      <c r="Y546">
        <v>368</v>
      </c>
      <c r="Z546">
        <v>5.64</v>
      </c>
      <c r="AJ546">
        <v>2</v>
      </c>
      <c r="AK546">
        <v>18</v>
      </c>
      <c r="AM546">
        <v>0</v>
      </c>
      <c r="AO546" t="s">
        <v>406</v>
      </c>
      <c r="AT546">
        <v>61</v>
      </c>
      <c r="AV546">
        <v>40.4</v>
      </c>
      <c r="AW546">
        <v>0.46875</v>
      </c>
      <c r="AX546">
        <v>3.75</v>
      </c>
      <c r="AY546">
        <v>58</v>
      </c>
      <c r="AZ546">
        <v>5.25</v>
      </c>
      <c r="BA546">
        <v>349.43</v>
      </c>
      <c r="BB546">
        <v>5.64</v>
      </c>
      <c r="BC546">
        <v>62</v>
      </c>
      <c r="BD546">
        <v>0.1875</v>
      </c>
      <c r="BE546">
        <v>2.75</v>
      </c>
      <c r="BF546">
        <v>14.625</v>
      </c>
      <c r="BG546">
        <v>2.125</v>
      </c>
      <c r="BH546">
        <v>18.239999999999998</v>
      </c>
      <c r="BI546">
        <v>8.3100009999999997</v>
      </c>
      <c r="BJ546">
        <v>5</v>
      </c>
      <c r="BL546">
        <v>367.67</v>
      </c>
      <c r="BM546">
        <v>67</v>
      </c>
      <c r="BN546">
        <v>192.6</v>
      </c>
      <c r="BO546">
        <v>2797</v>
      </c>
      <c r="BP546">
        <v>0</v>
      </c>
      <c r="BQ546">
        <v>55</v>
      </c>
      <c r="BR546">
        <v>55</v>
      </c>
      <c r="BS546">
        <v>55.13</v>
      </c>
      <c r="BT546">
        <v>0</v>
      </c>
      <c r="BV546">
        <v>0</v>
      </c>
      <c r="BW546" t="s">
        <v>655</v>
      </c>
      <c r="BX546">
        <v>0.17</v>
      </c>
      <c r="BY546">
        <v>9.3720999999999997</v>
      </c>
      <c r="BZ546">
        <v>0</v>
      </c>
      <c r="CA546">
        <v>1</v>
      </c>
      <c r="CB546">
        <v>0.6</v>
      </c>
      <c r="CC546" s="3">
        <v>7.1269159999999998E-2</v>
      </c>
      <c r="CD546">
        <v>2.875</v>
      </c>
      <c r="CE546">
        <v>2.5</v>
      </c>
      <c r="CF546">
        <v>18</v>
      </c>
      <c r="CG546">
        <v>6</v>
      </c>
      <c r="CH546">
        <v>0</v>
      </c>
      <c r="CI546">
        <v>55.13</v>
      </c>
      <c r="CJ546">
        <v>438.09120000000001</v>
      </c>
    </row>
    <row r="547" spans="1:88">
      <c r="A547">
        <v>545</v>
      </c>
      <c r="B547" t="s">
        <v>0</v>
      </c>
      <c r="C547" t="s">
        <v>1</v>
      </c>
      <c r="D547" t="s">
        <v>3</v>
      </c>
      <c r="E547" t="s">
        <v>167</v>
      </c>
      <c r="F547" t="s">
        <v>306</v>
      </c>
      <c r="G547" t="s">
        <v>106</v>
      </c>
      <c r="H547" t="s">
        <v>307</v>
      </c>
      <c r="J547">
        <v>2</v>
      </c>
      <c r="K547" t="s">
        <v>146</v>
      </c>
      <c r="L547" t="s">
        <v>207</v>
      </c>
      <c r="M547" t="s">
        <v>327</v>
      </c>
      <c r="N547" t="s">
        <v>330</v>
      </c>
      <c r="O547">
        <v>133</v>
      </c>
      <c r="Q547">
        <v>430</v>
      </c>
      <c r="R547">
        <v>77</v>
      </c>
      <c r="S547">
        <v>4.25</v>
      </c>
      <c r="T547">
        <v>3.6349999999999998</v>
      </c>
      <c r="U547">
        <v>6.41</v>
      </c>
      <c r="V547">
        <v>1829.45</v>
      </c>
      <c r="W547">
        <v>496</v>
      </c>
      <c r="X547">
        <v>1.3332999999999999</v>
      </c>
      <c r="Y547">
        <v>369</v>
      </c>
      <c r="Z547">
        <v>4.96</v>
      </c>
      <c r="AJ547">
        <v>2</v>
      </c>
      <c r="AK547">
        <v>18</v>
      </c>
      <c r="AM547">
        <v>0</v>
      </c>
      <c r="AO547" t="s">
        <v>308</v>
      </c>
      <c r="AT547">
        <v>52</v>
      </c>
      <c r="AV547">
        <v>42.6</v>
      </c>
      <c r="AW547">
        <v>0</v>
      </c>
      <c r="AX547">
        <v>0</v>
      </c>
      <c r="AY547">
        <v>55</v>
      </c>
      <c r="AZ547">
        <v>4.625</v>
      </c>
      <c r="BA547">
        <v>0</v>
      </c>
      <c r="BB547">
        <v>0</v>
      </c>
      <c r="BC547">
        <v>59</v>
      </c>
      <c r="BN547">
        <v>203.3</v>
      </c>
      <c r="BO547">
        <v>2511</v>
      </c>
      <c r="BP547">
        <v>0</v>
      </c>
      <c r="BQ547">
        <v>45</v>
      </c>
      <c r="BR547">
        <v>45</v>
      </c>
      <c r="BS547">
        <v>45.39</v>
      </c>
      <c r="BT547">
        <v>0</v>
      </c>
      <c r="BV547">
        <v>0</v>
      </c>
      <c r="BW547" t="s">
        <v>655</v>
      </c>
      <c r="BX547">
        <v>0.17</v>
      </c>
      <c r="BY547">
        <v>7.7163000000000004</v>
      </c>
      <c r="BZ547">
        <v>0</v>
      </c>
      <c r="CA547">
        <v>1</v>
      </c>
      <c r="CB547">
        <v>0.6</v>
      </c>
      <c r="CC547" s="3">
        <v>7.1269159999999998E-2</v>
      </c>
      <c r="CD547">
        <v>2.875</v>
      </c>
      <c r="CE547">
        <v>2.5</v>
      </c>
      <c r="CF547">
        <v>18</v>
      </c>
      <c r="CG547">
        <v>6</v>
      </c>
      <c r="CH547">
        <v>0</v>
      </c>
      <c r="CI547">
        <v>45.39</v>
      </c>
      <c r="CJ547">
        <v>380.10149999999999</v>
      </c>
    </row>
    <row r="548" spans="1:88">
      <c r="A548">
        <v>546</v>
      </c>
      <c r="B548" t="s">
        <v>0</v>
      </c>
      <c r="C548" t="s">
        <v>1</v>
      </c>
      <c r="D548" t="s">
        <v>366</v>
      </c>
      <c r="E548" t="s">
        <v>96</v>
      </c>
      <c r="F548" t="s">
        <v>379</v>
      </c>
      <c r="G548" t="s">
        <v>106</v>
      </c>
      <c r="H548" t="s">
        <v>228</v>
      </c>
      <c r="J548">
        <v>2</v>
      </c>
      <c r="K548" t="s">
        <v>146</v>
      </c>
      <c r="L548" t="s">
        <v>293</v>
      </c>
      <c r="M548" t="s">
        <v>100</v>
      </c>
      <c r="N548" t="s">
        <v>101</v>
      </c>
      <c r="O548">
        <v>131</v>
      </c>
      <c r="Q548">
        <v>346</v>
      </c>
      <c r="R548">
        <v>65</v>
      </c>
      <c r="S548">
        <v>4.25</v>
      </c>
      <c r="T548">
        <v>3.5859999999999999</v>
      </c>
      <c r="U548">
        <v>6.37</v>
      </c>
      <c r="V548">
        <v>1472.28</v>
      </c>
      <c r="W548">
        <v>413</v>
      </c>
      <c r="X548">
        <v>1.3332999999999999</v>
      </c>
      <c r="Y548">
        <v>300</v>
      </c>
      <c r="Z548">
        <v>4.91</v>
      </c>
      <c r="AJ548">
        <v>2</v>
      </c>
      <c r="AK548">
        <v>18</v>
      </c>
      <c r="AM548">
        <v>0</v>
      </c>
      <c r="AO548" t="s">
        <v>230</v>
      </c>
      <c r="AT548">
        <v>51</v>
      </c>
      <c r="AV548">
        <v>34.6</v>
      </c>
      <c r="AW548">
        <v>0</v>
      </c>
      <c r="AX548">
        <v>0</v>
      </c>
      <c r="AY548">
        <v>47.5</v>
      </c>
      <c r="AZ548">
        <v>4.25</v>
      </c>
      <c r="BA548">
        <v>0</v>
      </c>
      <c r="BB548">
        <v>0</v>
      </c>
      <c r="BC548">
        <v>48</v>
      </c>
      <c r="BN548">
        <v>164.0667</v>
      </c>
      <c r="BO548">
        <v>3855</v>
      </c>
      <c r="BP548">
        <v>0</v>
      </c>
      <c r="BQ548">
        <v>45</v>
      </c>
      <c r="BR548">
        <v>45</v>
      </c>
      <c r="BS548">
        <v>44.69</v>
      </c>
      <c r="BT548">
        <v>0</v>
      </c>
      <c r="BV548">
        <v>0</v>
      </c>
      <c r="BW548" t="s">
        <v>655</v>
      </c>
      <c r="BX548">
        <v>0.17</v>
      </c>
      <c r="BY548">
        <v>7.5972999999999997</v>
      </c>
      <c r="BZ548">
        <v>0</v>
      </c>
      <c r="CA548">
        <v>1</v>
      </c>
      <c r="CB548">
        <v>0.6</v>
      </c>
      <c r="CC548" s="3">
        <v>7.1269159999999998E-2</v>
      </c>
      <c r="CD548">
        <v>2.875</v>
      </c>
      <c r="CE548">
        <v>2.5</v>
      </c>
      <c r="CF548">
        <v>18</v>
      </c>
      <c r="CG548">
        <v>6</v>
      </c>
      <c r="CH548">
        <v>0</v>
      </c>
      <c r="CI548">
        <v>44.69</v>
      </c>
      <c r="CJ548">
        <v>304.16930000000002</v>
      </c>
    </row>
    <row r="549" spans="1:88">
      <c r="A549">
        <v>547</v>
      </c>
      <c r="B549" t="s">
        <v>13</v>
      </c>
      <c r="C549" t="s">
        <v>1</v>
      </c>
      <c r="D549" t="s">
        <v>317</v>
      </c>
      <c r="E549" t="s">
        <v>176</v>
      </c>
      <c r="F549" t="s">
        <v>318</v>
      </c>
      <c r="G549" t="s">
        <v>106</v>
      </c>
      <c r="H549" t="s">
        <v>180</v>
      </c>
      <c r="J549">
        <v>2</v>
      </c>
      <c r="K549" t="s">
        <v>146</v>
      </c>
      <c r="L549" t="s">
        <v>167</v>
      </c>
      <c r="M549" t="s">
        <v>226</v>
      </c>
      <c r="N549" t="s">
        <v>227</v>
      </c>
      <c r="O549">
        <v>113</v>
      </c>
      <c r="Q549">
        <v>290</v>
      </c>
      <c r="R549">
        <v>62</v>
      </c>
      <c r="S549">
        <v>4.25</v>
      </c>
      <c r="T549">
        <v>3.1280000000000001</v>
      </c>
      <c r="U549">
        <v>6.18</v>
      </c>
      <c r="V549">
        <v>1233.98</v>
      </c>
      <c r="W549">
        <v>386</v>
      </c>
      <c r="X549">
        <v>1.5</v>
      </c>
      <c r="Y549">
        <v>267</v>
      </c>
      <c r="Z549">
        <v>4.62</v>
      </c>
      <c r="AJ549">
        <v>2</v>
      </c>
      <c r="AK549">
        <v>18</v>
      </c>
      <c r="AM549">
        <v>0</v>
      </c>
      <c r="AO549" t="s">
        <v>319</v>
      </c>
      <c r="AT549">
        <v>45</v>
      </c>
      <c r="AV549">
        <v>33.200000000000003</v>
      </c>
      <c r="AW549">
        <v>0</v>
      </c>
      <c r="AX549">
        <v>0</v>
      </c>
      <c r="AY549">
        <v>36.375</v>
      </c>
      <c r="AZ549">
        <v>3.75</v>
      </c>
      <c r="BA549">
        <v>0</v>
      </c>
      <c r="BB549">
        <v>0</v>
      </c>
      <c r="BC549">
        <v>35</v>
      </c>
      <c r="BN549">
        <v>156.93340000000001</v>
      </c>
      <c r="BO549">
        <v>4213</v>
      </c>
      <c r="BP549">
        <v>0</v>
      </c>
      <c r="BQ549">
        <v>38</v>
      </c>
      <c r="BR549">
        <v>38</v>
      </c>
      <c r="BS549">
        <v>38.43</v>
      </c>
      <c r="BT549">
        <v>0</v>
      </c>
      <c r="BV549">
        <v>0</v>
      </c>
      <c r="BW549" t="s">
        <v>655</v>
      </c>
      <c r="BX549">
        <v>0.17</v>
      </c>
      <c r="BY549">
        <v>6.5331000000000001</v>
      </c>
      <c r="BZ549">
        <v>0</v>
      </c>
      <c r="CA549">
        <v>1</v>
      </c>
      <c r="CB549">
        <v>0.6</v>
      </c>
      <c r="CC549" s="3">
        <v>7.1269159999999998E-2</v>
      </c>
      <c r="CD549">
        <v>2.875</v>
      </c>
      <c r="CE549">
        <v>2.5</v>
      </c>
      <c r="CF549">
        <v>18</v>
      </c>
      <c r="CG549">
        <v>6</v>
      </c>
      <c r="CH549">
        <v>0</v>
      </c>
      <c r="CI549">
        <v>38.43</v>
      </c>
      <c r="CJ549">
        <v>250.6069</v>
      </c>
    </row>
    <row r="550" spans="1:88">
      <c r="A550">
        <v>548</v>
      </c>
      <c r="B550" t="s">
        <v>0</v>
      </c>
      <c r="C550" t="s">
        <v>1</v>
      </c>
      <c r="D550" t="s">
        <v>330</v>
      </c>
      <c r="E550" t="s">
        <v>143</v>
      </c>
      <c r="F550" t="s">
        <v>490</v>
      </c>
      <c r="G550" t="s">
        <v>106</v>
      </c>
      <c r="H550" t="s">
        <v>338</v>
      </c>
      <c r="J550">
        <v>2</v>
      </c>
      <c r="K550" t="s">
        <v>146</v>
      </c>
      <c r="L550" t="s">
        <v>297</v>
      </c>
      <c r="M550" t="s">
        <v>206</v>
      </c>
      <c r="N550" t="s">
        <v>131</v>
      </c>
      <c r="O550">
        <v>155</v>
      </c>
      <c r="Q550">
        <v>541</v>
      </c>
      <c r="R550">
        <v>84</v>
      </c>
      <c r="S550">
        <v>4.25</v>
      </c>
      <c r="T550">
        <v>4.1660000000000004</v>
      </c>
      <c r="U550">
        <v>6.78</v>
      </c>
      <c r="V550">
        <v>2300.9499999999998</v>
      </c>
      <c r="W550">
        <v>568</v>
      </c>
      <c r="X550">
        <v>1.3332999999999999</v>
      </c>
      <c r="Y550">
        <v>419</v>
      </c>
      <c r="Z550">
        <v>5.49</v>
      </c>
      <c r="AJ550">
        <v>2</v>
      </c>
      <c r="AK550">
        <v>18</v>
      </c>
      <c r="AM550">
        <v>0</v>
      </c>
      <c r="AO550" t="s">
        <v>339</v>
      </c>
      <c r="AT550">
        <v>59</v>
      </c>
      <c r="AV550">
        <v>46.6</v>
      </c>
      <c r="AW550">
        <v>0.46875</v>
      </c>
      <c r="AX550">
        <v>3.75</v>
      </c>
      <c r="AY550">
        <v>56.5</v>
      </c>
      <c r="AZ550">
        <v>5.125</v>
      </c>
      <c r="BA550">
        <v>358.98</v>
      </c>
      <c r="BB550">
        <v>5.49</v>
      </c>
      <c r="BC550">
        <v>61</v>
      </c>
      <c r="BD550">
        <v>0.25</v>
      </c>
      <c r="BE550">
        <v>2.75</v>
      </c>
      <c r="BF550">
        <v>19.125</v>
      </c>
      <c r="BG550">
        <v>2.75</v>
      </c>
      <c r="BH550">
        <v>60.12</v>
      </c>
      <c r="BI550">
        <v>5.71</v>
      </c>
      <c r="BJ550">
        <v>8</v>
      </c>
      <c r="BL550">
        <v>419.1</v>
      </c>
      <c r="BM550">
        <v>68</v>
      </c>
      <c r="BN550">
        <v>222.91669999999999</v>
      </c>
      <c r="BO550">
        <v>2088</v>
      </c>
      <c r="BP550">
        <v>0</v>
      </c>
      <c r="BQ550">
        <v>53</v>
      </c>
      <c r="BR550">
        <v>53</v>
      </c>
      <c r="BS550">
        <v>53.04</v>
      </c>
      <c r="BT550">
        <v>0</v>
      </c>
      <c r="BV550">
        <v>0</v>
      </c>
      <c r="BW550" t="s">
        <v>655</v>
      </c>
      <c r="BX550">
        <v>0.17</v>
      </c>
      <c r="BY550">
        <v>9.0167999999999999</v>
      </c>
      <c r="BZ550">
        <v>0</v>
      </c>
      <c r="CA550">
        <v>1</v>
      </c>
      <c r="CB550">
        <v>0.6</v>
      </c>
      <c r="CC550" s="3">
        <v>7.1269159999999998E-2</v>
      </c>
      <c r="CD550">
        <v>2.875</v>
      </c>
      <c r="CE550">
        <v>2.5</v>
      </c>
      <c r="CF550">
        <v>18</v>
      </c>
      <c r="CG550">
        <v>6</v>
      </c>
      <c r="CH550">
        <v>0</v>
      </c>
      <c r="CI550">
        <v>53.04</v>
      </c>
      <c r="CJ550">
        <v>485.74489999999997</v>
      </c>
    </row>
    <row r="551" spans="1:88">
      <c r="A551">
        <v>549</v>
      </c>
      <c r="B551" t="s">
        <v>13</v>
      </c>
      <c r="C551" t="s">
        <v>1</v>
      </c>
      <c r="D551" t="s">
        <v>340</v>
      </c>
      <c r="E551" t="s">
        <v>172</v>
      </c>
      <c r="F551" t="s">
        <v>384</v>
      </c>
      <c r="G551" t="s">
        <v>106</v>
      </c>
      <c r="H551" t="s">
        <v>172</v>
      </c>
      <c r="J551">
        <v>2</v>
      </c>
      <c r="K551" t="s">
        <v>146</v>
      </c>
      <c r="L551" t="s">
        <v>233</v>
      </c>
      <c r="M551" t="s">
        <v>490</v>
      </c>
      <c r="N551" t="s">
        <v>128</v>
      </c>
      <c r="O551">
        <v>137</v>
      </c>
      <c r="Q551">
        <v>490</v>
      </c>
      <c r="R551">
        <v>85</v>
      </c>
      <c r="S551">
        <v>4.25</v>
      </c>
      <c r="T551">
        <v>3.734</v>
      </c>
      <c r="U551">
        <v>6.48</v>
      </c>
      <c r="V551">
        <v>2084.1999999999998</v>
      </c>
      <c r="W551">
        <v>550</v>
      </c>
      <c r="X551">
        <v>1.3332999999999999</v>
      </c>
      <c r="Y551">
        <v>412</v>
      </c>
      <c r="Z551">
        <v>5.0599999999999996</v>
      </c>
      <c r="AJ551">
        <v>2</v>
      </c>
      <c r="AK551">
        <v>18</v>
      </c>
      <c r="AM551">
        <v>0</v>
      </c>
      <c r="AO551" t="s">
        <v>490</v>
      </c>
      <c r="AT551">
        <v>53</v>
      </c>
      <c r="AV551">
        <v>47.3</v>
      </c>
      <c r="AW551">
        <v>0.375</v>
      </c>
      <c r="AX551">
        <v>3.75</v>
      </c>
      <c r="AY551">
        <v>31.375</v>
      </c>
      <c r="AZ551">
        <v>3.75</v>
      </c>
      <c r="BA551">
        <v>205.94</v>
      </c>
      <c r="BB551">
        <v>5.23</v>
      </c>
      <c r="BC551">
        <v>28</v>
      </c>
      <c r="BD551">
        <v>0.375</v>
      </c>
      <c r="BE551">
        <v>3.75</v>
      </c>
      <c r="BF551">
        <v>31.375</v>
      </c>
      <c r="BG551">
        <v>3.75</v>
      </c>
      <c r="BH551">
        <v>205.94</v>
      </c>
      <c r="BI551">
        <v>5.23</v>
      </c>
      <c r="BJ551">
        <v>28</v>
      </c>
      <c r="BL551">
        <v>411.88</v>
      </c>
      <c r="BM551">
        <v>55</v>
      </c>
      <c r="BN551">
        <v>226.48339999999999</v>
      </c>
      <c r="BO551">
        <v>2023</v>
      </c>
      <c r="BP551">
        <v>0</v>
      </c>
      <c r="BQ551">
        <v>47</v>
      </c>
      <c r="BR551">
        <v>47</v>
      </c>
      <c r="BS551">
        <v>46.78</v>
      </c>
      <c r="BT551">
        <v>0</v>
      </c>
      <c r="BV551">
        <v>0</v>
      </c>
      <c r="BW551" t="s">
        <v>655</v>
      </c>
      <c r="BX551">
        <v>0.17</v>
      </c>
      <c r="BY551">
        <v>7.9526000000000003</v>
      </c>
      <c r="BZ551">
        <v>0</v>
      </c>
      <c r="CA551">
        <v>1</v>
      </c>
      <c r="CB551">
        <v>0.6</v>
      </c>
      <c r="CC551" s="3">
        <v>7.1269159999999998E-2</v>
      </c>
      <c r="CD551">
        <v>2.875</v>
      </c>
      <c r="CE551">
        <v>2.5</v>
      </c>
      <c r="CF551">
        <v>18</v>
      </c>
      <c r="CG551">
        <v>6</v>
      </c>
      <c r="CH551">
        <v>0</v>
      </c>
      <c r="CI551">
        <v>46.78</v>
      </c>
      <c r="CJ551">
        <v>435.08319999999998</v>
      </c>
    </row>
    <row r="552" spans="1:88">
      <c r="A552">
        <v>550</v>
      </c>
      <c r="B552" t="s">
        <v>0</v>
      </c>
      <c r="C552" t="s">
        <v>1</v>
      </c>
      <c r="D552" t="s">
        <v>96</v>
      </c>
      <c r="E552" t="s">
        <v>341</v>
      </c>
      <c r="F552" t="s">
        <v>198</v>
      </c>
      <c r="G552" t="s">
        <v>106</v>
      </c>
      <c r="H552" t="s">
        <v>162</v>
      </c>
      <c r="J552">
        <v>2</v>
      </c>
      <c r="K552" t="s">
        <v>146</v>
      </c>
      <c r="L552" t="s">
        <v>366</v>
      </c>
      <c r="M552" t="s">
        <v>499</v>
      </c>
      <c r="N552" t="s">
        <v>284</v>
      </c>
      <c r="O552">
        <v>83</v>
      </c>
      <c r="Q552">
        <v>296</v>
      </c>
      <c r="R552">
        <v>81</v>
      </c>
      <c r="S552">
        <v>4.25</v>
      </c>
      <c r="T552">
        <v>2.3170000000000002</v>
      </c>
      <c r="U552">
        <v>5.55</v>
      </c>
      <c r="V552">
        <v>1258.08</v>
      </c>
      <c r="W552">
        <v>449</v>
      </c>
      <c r="X552">
        <v>1.3332999999999999</v>
      </c>
      <c r="Y552">
        <v>345</v>
      </c>
      <c r="Z552">
        <v>3.65</v>
      </c>
      <c r="AJ552">
        <v>2</v>
      </c>
      <c r="AK552">
        <v>18</v>
      </c>
      <c r="AM552">
        <v>0</v>
      </c>
      <c r="AO552" t="s">
        <v>166</v>
      </c>
      <c r="AT552">
        <v>34</v>
      </c>
      <c r="AV552">
        <v>44.8</v>
      </c>
      <c r="AW552">
        <v>0</v>
      </c>
      <c r="AX552">
        <v>0</v>
      </c>
      <c r="AY552">
        <v>28.25</v>
      </c>
      <c r="AZ552">
        <v>3</v>
      </c>
      <c r="BA552">
        <v>0</v>
      </c>
      <c r="BB552">
        <v>0</v>
      </c>
      <c r="BC552">
        <v>27</v>
      </c>
      <c r="BN552">
        <v>214</v>
      </c>
      <c r="BO552">
        <v>2266</v>
      </c>
      <c r="BP552">
        <v>0</v>
      </c>
      <c r="BQ552">
        <v>28</v>
      </c>
      <c r="BR552">
        <v>28</v>
      </c>
      <c r="BS552">
        <v>28</v>
      </c>
      <c r="BT552">
        <v>0</v>
      </c>
      <c r="BV552">
        <v>0</v>
      </c>
      <c r="BW552" t="s">
        <v>655</v>
      </c>
      <c r="BX552">
        <v>0.17</v>
      </c>
      <c r="BY552">
        <v>4.76</v>
      </c>
      <c r="BZ552">
        <v>0</v>
      </c>
      <c r="CA552">
        <v>1</v>
      </c>
      <c r="CB552">
        <v>0.6</v>
      </c>
      <c r="CC552" s="3">
        <v>7.1269159999999998E-2</v>
      </c>
      <c r="CD552">
        <v>2.875</v>
      </c>
      <c r="CE552">
        <v>2.5</v>
      </c>
      <c r="CF552">
        <v>18</v>
      </c>
      <c r="CG552">
        <v>6</v>
      </c>
      <c r="CH552">
        <v>0</v>
      </c>
      <c r="CI552">
        <v>28</v>
      </c>
      <c r="CJ552">
        <v>246.4487</v>
      </c>
    </row>
    <row r="553" spans="1:88">
      <c r="A553">
        <v>551</v>
      </c>
      <c r="B553" t="s">
        <v>0</v>
      </c>
      <c r="C553" t="s">
        <v>1</v>
      </c>
      <c r="D553" t="s">
        <v>185</v>
      </c>
      <c r="E553" t="s">
        <v>113</v>
      </c>
      <c r="F553" t="s">
        <v>211</v>
      </c>
      <c r="G553" t="s">
        <v>106</v>
      </c>
      <c r="H553" t="s">
        <v>293</v>
      </c>
      <c r="J553">
        <v>2</v>
      </c>
      <c r="K553" t="s">
        <v>146</v>
      </c>
      <c r="L553" t="s">
        <v>116</v>
      </c>
      <c r="M553" t="s">
        <v>117</v>
      </c>
      <c r="N553" t="s">
        <v>14</v>
      </c>
      <c r="O553">
        <v>179</v>
      </c>
      <c r="Q553">
        <v>695</v>
      </c>
      <c r="R553">
        <v>93</v>
      </c>
      <c r="S553">
        <v>4.25</v>
      </c>
      <c r="T553">
        <v>4.7190000000000003</v>
      </c>
      <c r="U553">
        <v>7.05</v>
      </c>
      <c r="V553">
        <v>2954.17</v>
      </c>
      <c r="W553">
        <v>655</v>
      </c>
      <c r="X553">
        <v>1.3332999999999999</v>
      </c>
      <c r="Y553">
        <v>488</v>
      </c>
      <c r="Z553">
        <v>6.05</v>
      </c>
      <c r="AJ553">
        <v>2</v>
      </c>
      <c r="AK553">
        <v>18</v>
      </c>
      <c r="AM553">
        <v>0</v>
      </c>
      <c r="AO553" t="s">
        <v>465</v>
      </c>
      <c r="AT553">
        <v>68</v>
      </c>
      <c r="AV553">
        <v>52.4</v>
      </c>
      <c r="AW553">
        <v>0.4375</v>
      </c>
      <c r="AX553">
        <v>3.75</v>
      </c>
      <c r="AY553">
        <v>53</v>
      </c>
      <c r="AZ553">
        <v>5.25</v>
      </c>
      <c r="BA553">
        <v>268.55</v>
      </c>
      <c r="BB553">
        <v>6.12</v>
      </c>
      <c r="BC553">
        <v>54</v>
      </c>
      <c r="BD553">
        <v>0.40625</v>
      </c>
      <c r="BE553">
        <v>3.75</v>
      </c>
      <c r="BF553">
        <v>44.25</v>
      </c>
      <c r="BG553">
        <v>4.875</v>
      </c>
      <c r="BH553">
        <v>219.74</v>
      </c>
      <c r="BI553">
        <v>6.02</v>
      </c>
      <c r="BJ553">
        <v>42</v>
      </c>
      <c r="BL553">
        <v>488.29</v>
      </c>
      <c r="BM553">
        <v>95</v>
      </c>
      <c r="BN553">
        <v>251.45009999999999</v>
      </c>
      <c r="BO553">
        <v>1641</v>
      </c>
      <c r="BP553">
        <v>0</v>
      </c>
      <c r="BQ553">
        <v>61</v>
      </c>
      <c r="BR553">
        <v>61</v>
      </c>
      <c r="BS553">
        <v>61.39</v>
      </c>
      <c r="BT553">
        <v>0</v>
      </c>
      <c r="BV553">
        <v>0</v>
      </c>
      <c r="BW553" t="s">
        <v>655</v>
      </c>
      <c r="BX553">
        <v>0.17</v>
      </c>
      <c r="BY553">
        <v>10.436299999999999</v>
      </c>
      <c r="BZ553">
        <v>0</v>
      </c>
      <c r="CA553">
        <v>1</v>
      </c>
      <c r="CB553">
        <v>0.6</v>
      </c>
      <c r="CC553" s="3">
        <v>7.1269159999999998E-2</v>
      </c>
      <c r="CD553">
        <v>2.875</v>
      </c>
      <c r="CE553">
        <v>2.5</v>
      </c>
      <c r="CF553">
        <v>18</v>
      </c>
      <c r="CG553">
        <v>6</v>
      </c>
      <c r="CH553">
        <v>0</v>
      </c>
      <c r="CI553">
        <v>61.39</v>
      </c>
      <c r="CJ553">
        <v>632.2183</v>
      </c>
    </row>
    <row r="554" spans="1:88">
      <c r="A554">
        <v>552</v>
      </c>
      <c r="B554" t="s">
        <v>0</v>
      </c>
      <c r="C554" t="s">
        <v>1</v>
      </c>
      <c r="D554" t="s">
        <v>2</v>
      </c>
      <c r="E554" t="s">
        <v>167</v>
      </c>
      <c r="F554" t="s">
        <v>154</v>
      </c>
      <c r="G554" t="s">
        <v>106</v>
      </c>
      <c r="H554" t="s">
        <v>217</v>
      </c>
      <c r="J554">
        <v>2</v>
      </c>
      <c r="K554" t="s">
        <v>146</v>
      </c>
      <c r="L554" t="s">
        <v>207</v>
      </c>
      <c r="M554" t="s">
        <v>327</v>
      </c>
      <c r="N554" t="s">
        <v>330</v>
      </c>
      <c r="O554">
        <v>133</v>
      </c>
      <c r="Q554">
        <v>366</v>
      </c>
      <c r="R554">
        <v>67</v>
      </c>
      <c r="S554">
        <v>4.25</v>
      </c>
      <c r="T554">
        <v>3.6349999999999998</v>
      </c>
      <c r="U554">
        <v>6.41</v>
      </c>
      <c r="V554">
        <v>1554.18</v>
      </c>
      <c r="W554">
        <v>430</v>
      </c>
      <c r="X554">
        <v>1.3332999999999999</v>
      </c>
      <c r="Y554">
        <v>313</v>
      </c>
      <c r="Z554">
        <v>4.96</v>
      </c>
      <c r="AJ554">
        <v>2</v>
      </c>
      <c r="AK554">
        <v>18</v>
      </c>
      <c r="AM554">
        <v>0</v>
      </c>
      <c r="AO554" t="s">
        <v>218</v>
      </c>
      <c r="AT554">
        <v>52</v>
      </c>
      <c r="AV554">
        <v>36.1</v>
      </c>
      <c r="AW554">
        <v>0</v>
      </c>
      <c r="AX554">
        <v>0</v>
      </c>
      <c r="AY554">
        <v>45.375</v>
      </c>
      <c r="AZ554">
        <v>4.375</v>
      </c>
      <c r="BA554">
        <v>0</v>
      </c>
      <c r="BB554">
        <v>0</v>
      </c>
      <c r="BC554">
        <v>46</v>
      </c>
      <c r="BN554">
        <v>171.2</v>
      </c>
      <c r="BO554">
        <v>3540</v>
      </c>
      <c r="BP554">
        <v>0</v>
      </c>
      <c r="BQ554">
        <v>45</v>
      </c>
      <c r="BR554">
        <v>45</v>
      </c>
      <c r="BS554">
        <v>45.39</v>
      </c>
      <c r="BT554">
        <v>0</v>
      </c>
      <c r="BV554">
        <v>0</v>
      </c>
      <c r="BW554" t="s">
        <v>655</v>
      </c>
      <c r="BX554">
        <v>0.17</v>
      </c>
      <c r="BY554">
        <v>7.7163000000000004</v>
      </c>
      <c r="BZ554">
        <v>0</v>
      </c>
      <c r="CA554">
        <v>1</v>
      </c>
      <c r="CB554">
        <v>0.6</v>
      </c>
      <c r="CC554" s="3">
        <v>7.1269159999999998E-2</v>
      </c>
      <c r="CD554">
        <v>2.875</v>
      </c>
      <c r="CE554">
        <v>2.5</v>
      </c>
      <c r="CF554">
        <v>18</v>
      </c>
      <c r="CG554">
        <v>6</v>
      </c>
      <c r="CH554">
        <v>0</v>
      </c>
      <c r="CI554">
        <v>45.39</v>
      </c>
      <c r="CJ554">
        <v>321.8732</v>
      </c>
    </row>
    <row r="555" spans="1:88">
      <c r="A555">
        <v>553</v>
      </c>
      <c r="B555" t="s">
        <v>13</v>
      </c>
      <c r="C555" t="s">
        <v>1</v>
      </c>
      <c r="D555" t="s">
        <v>375</v>
      </c>
      <c r="E555" t="s">
        <v>219</v>
      </c>
      <c r="F555" t="s">
        <v>140</v>
      </c>
      <c r="G555" t="s">
        <v>106</v>
      </c>
      <c r="H555" t="s">
        <v>342</v>
      </c>
      <c r="J555">
        <v>2</v>
      </c>
      <c r="K555" t="s">
        <v>146</v>
      </c>
      <c r="L555" t="s">
        <v>369</v>
      </c>
      <c r="M555" t="s">
        <v>220</v>
      </c>
      <c r="N555" t="s">
        <v>221</v>
      </c>
      <c r="O555">
        <v>101</v>
      </c>
      <c r="Q555">
        <v>237</v>
      </c>
      <c r="R555">
        <v>52</v>
      </c>
      <c r="S555">
        <v>4.25</v>
      </c>
      <c r="T555">
        <v>2.8119999999999998</v>
      </c>
      <c r="U555">
        <v>5.92</v>
      </c>
      <c r="V555">
        <v>1008.1</v>
      </c>
      <c r="W555">
        <v>310</v>
      </c>
      <c r="X555">
        <v>1.3332999999999999</v>
      </c>
      <c r="Y555">
        <v>244</v>
      </c>
      <c r="Z555">
        <v>4.1399999999999997</v>
      </c>
      <c r="AJ555">
        <v>2</v>
      </c>
      <c r="AK555">
        <v>18</v>
      </c>
      <c r="AM555">
        <v>0</v>
      </c>
      <c r="AO555" t="s">
        <v>345</v>
      </c>
      <c r="AT555">
        <v>40</v>
      </c>
      <c r="AV555">
        <v>29.9</v>
      </c>
      <c r="AW555">
        <v>0</v>
      </c>
      <c r="AX555">
        <v>0</v>
      </c>
      <c r="AY555">
        <v>26.5</v>
      </c>
      <c r="AZ555">
        <v>3.125</v>
      </c>
      <c r="BA555">
        <v>0</v>
      </c>
      <c r="BB555">
        <v>0</v>
      </c>
      <c r="BC555">
        <v>23</v>
      </c>
      <c r="BN555">
        <v>140.88339999999999</v>
      </c>
      <c r="BO555">
        <v>5228</v>
      </c>
      <c r="BP555">
        <v>0</v>
      </c>
      <c r="BQ555">
        <v>34</v>
      </c>
      <c r="BR555">
        <v>34</v>
      </c>
      <c r="BS555">
        <v>34.26</v>
      </c>
      <c r="BT555">
        <v>0</v>
      </c>
      <c r="BV555">
        <v>0</v>
      </c>
      <c r="BW555" t="s">
        <v>655</v>
      </c>
      <c r="BX555">
        <v>0.17</v>
      </c>
      <c r="BY555">
        <v>5.8242000000000003</v>
      </c>
      <c r="BZ555">
        <v>0</v>
      </c>
      <c r="CA555">
        <v>1</v>
      </c>
      <c r="CB555">
        <v>0.6</v>
      </c>
      <c r="CC555" s="3">
        <v>7.1269159999999998E-2</v>
      </c>
      <c r="CD555">
        <v>2.875</v>
      </c>
      <c r="CE555">
        <v>2.5</v>
      </c>
      <c r="CF555">
        <v>18</v>
      </c>
      <c r="CG555">
        <v>6</v>
      </c>
      <c r="CH555">
        <v>0</v>
      </c>
      <c r="CI555">
        <v>34.26</v>
      </c>
      <c r="CJ555">
        <v>201.43870000000001</v>
      </c>
    </row>
    <row r="556" spans="1:88">
      <c r="A556">
        <v>554</v>
      </c>
      <c r="B556" t="s">
        <v>0</v>
      </c>
      <c r="C556" t="s">
        <v>1</v>
      </c>
      <c r="D556" t="s">
        <v>702</v>
      </c>
      <c r="E556" t="s">
        <v>113</v>
      </c>
      <c r="F556" t="s">
        <v>703</v>
      </c>
      <c r="G556" t="s">
        <v>20</v>
      </c>
      <c r="H556" t="s">
        <v>702</v>
      </c>
      <c r="J556">
        <v>2</v>
      </c>
      <c r="K556" t="s">
        <v>9</v>
      </c>
      <c r="L556" t="s">
        <v>116</v>
      </c>
      <c r="M556" t="s">
        <v>117</v>
      </c>
      <c r="N556" t="s">
        <v>14</v>
      </c>
      <c r="O556">
        <v>179</v>
      </c>
      <c r="Q556">
        <v>1315</v>
      </c>
      <c r="R556">
        <v>173</v>
      </c>
      <c r="S556">
        <v>4.25</v>
      </c>
      <c r="T556">
        <v>4.7190000000000003</v>
      </c>
      <c r="U556">
        <v>7.05</v>
      </c>
      <c r="V556">
        <v>5587.94</v>
      </c>
      <c r="W556">
        <v>1218</v>
      </c>
      <c r="X556">
        <v>1.3332999999999999</v>
      </c>
      <c r="Y556">
        <v>924</v>
      </c>
      <c r="Z556">
        <v>6.05</v>
      </c>
      <c r="AJ556">
        <v>2</v>
      </c>
      <c r="AK556">
        <v>18</v>
      </c>
      <c r="AM556">
        <v>0</v>
      </c>
      <c r="AO556" t="s">
        <v>704</v>
      </c>
      <c r="AT556">
        <v>68</v>
      </c>
      <c r="AV556">
        <v>99.4</v>
      </c>
      <c r="AW556" t="s">
        <v>6</v>
      </c>
      <c r="AX556" t="s">
        <v>6</v>
      </c>
      <c r="AY556" t="s">
        <v>6</v>
      </c>
      <c r="AZ556" t="s">
        <v>6</v>
      </c>
      <c r="BA556" t="s">
        <v>6</v>
      </c>
      <c r="BB556" t="s">
        <v>6</v>
      </c>
      <c r="BC556" t="s">
        <v>6</v>
      </c>
      <c r="BD556" t="s">
        <v>6</v>
      </c>
      <c r="BE556" t="s">
        <v>6</v>
      </c>
      <c r="BF556" t="s">
        <v>6</v>
      </c>
      <c r="BG556" t="s">
        <v>6</v>
      </c>
      <c r="BH556" t="s">
        <v>6</v>
      </c>
      <c r="BI556" t="s">
        <v>6</v>
      </c>
      <c r="BJ556" t="s">
        <v>6</v>
      </c>
      <c r="BN556">
        <v>746.94380000000001</v>
      </c>
      <c r="BO556">
        <v>2146</v>
      </c>
      <c r="BP556">
        <v>0</v>
      </c>
      <c r="BQ556">
        <v>61</v>
      </c>
      <c r="BR556">
        <v>61</v>
      </c>
      <c r="BS556">
        <v>61.39</v>
      </c>
      <c r="BT556">
        <v>0</v>
      </c>
      <c r="BV556">
        <v>6</v>
      </c>
      <c r="BW556" t="s">
        <v>655</v>
      </c>
      <c r="BX556">
        <v>0.27933330000000001</v>
      </c>
      <c r="BY556">
        <v>17.14827</v>
      </c>
      <c r="BZ556">
        <v>0</v>
      </c>
      <c r="CA556">
        <v>1</v>
      </c>
      <c r="CB556">
        <v>0.6</v>
      </c>
      <c r="CC556" s="3">
        <v>7.1269159999999998E-2</v>
      </c>
      <c r="CD556">
        <v>2.875</v>
      </c>
      <c r="CE556">
        <v>2.5</v>
      </c>
      <c r="CF556">
        <v>18</v>
      </c>
      <c r="CG556">
        <v>6</v>
      </c>
      <c r="CH556">
        <v>0</v>
      </c>
      <c r="CI556">
        <v>61.39</v>
      </c>
      <c r="CJ556">
        <v>1198.2619999999999</v>
      </c>
    </row>
    <row r="557" spans="1:88">
      <c r="A557">
        <v>555</v>
      </c>
      <c r="B557" t="s">
        <v>0</v>
      </c>
      <c r="C557" t="s">
        <v>1</v>
      </c>
      <c r="D557" t="s">
        <v>143</v>
      </c>
      <c r="E557" t="s">
        <v>131</v>
      </c>
      <c r="F557" t="s">
        <v>144</v>
      </c>
      <c r="G557" t="s">
        <v>106</v>
      </c>
      <c r="H557" t="s">
        <v>145</v>
      </c>
      <c r="J557">
        <v>2</v>
      </c>
      <c r="K557" t="s">
        <v>146</v>
      </c>
      <c r="L557" t="s">
        <v>300</v>
      </c>
      <c r="M557" t="s">
        <v>271</v>
      </c>
      <c r="N557" t="s">
        <v>181</v>
      </c>
      <c r="O557">
        <v>158</v>
      </c>
      <c r="Q557">
        <v>631</v>
      </c>
      <c r="R557">
        <v>95</v>
      </c>
      <c r="S557">
        <v>4.25</v>
      </c>
      <c r="T557">
        <v>4.2370000000000001</v>
      </c>
      <c r="U557">
        <v>6.86</v>
      </c>
      <c r="V557">
        <v>2682.72</v>
      </c>
      <c r="W557">
        <v>649</v>
      </c>
      <c r="X557">
        <v>1.3332999999999999</v>
      </c>
      <c r="Y557">
        <v>482</v>
      </c>
      <c r="Z557">
        <v>5.57</v>
      </c>
      <c r="AJ557">
        <v>2</v>
      </c>
      <c r="AK557">
        <v>18</v>
      </c>
      <c r="AM557">
        <v>0</v>
      </c>
      <c r="AO557" t="s">
        <v>149</v>
      </c>
      <c r="AT557">
        <v>60</v>
      </c>
      <c r="AV557">
        <v>53.5</v>
      </c>
      <c r="AW557">
        <v>0.40625</v>
      </c>
      <c r="AX557">
        <v>3.75</v>
      </c>
      <c r="AY557">
        <v>40.375</v>
      </c>
      <c r="AZ557">
        <v>4.5</v>
      </c>
      <c r="BA557">
        <v>240.81</v>
      </c>
      <c r="BB557">
        <v>5.5</v>
      </c>
      <c r="BC557">
        <v>38</v>
      </c>
      <c r="BD557">
        <v>0.40625</v>
      </c>
      <c r="BE557">
        <v>3.75</v>
      </c>
      <c r="BF557">
        <v>40.375</v>
      </c>
      <c r="BG557">
        <v>4.5</v>
      </c>
      <c r="BH557">
        <v>240.81</v>
      </c>
      <c r="BI557">
        <v>5.5</v>
      </c>
      <c r="BJ557">
        <v>38</v>
      </c>
      <c r="BL557">
        <v>481.62</v>
      </c>
      <c r="BM557">
        <v>76</v>
      </c>
      <c r="BN557">
        <v>256.80009999999999</v>
      </c>
      <c r="BO557">
        <v>1574</v>
      </c>
      <c r="BP557">
        <v>0</v>
      </c>
      <c r="BQ557">
        <v>54</v>
      </c>
      <c r="BR557">
        <v>54</v>
      </c>
      <c r="BS557">
        <v>54.08</v>
      </c>
      <c r="BT557">
        <v>0</v>
      </c>
      <c r="BV557">
        <v>0</v>
      </c>
      <c r="BW557" t="s">
        <v>655</v>
      </c>
      <c r="BX557">
        <v>0.17</v>
      </c>
      <c r="BY557">
        <v>9.1936009999999992</v>
      </c>
      <c r="BZ557">
        <v>0</v>
      </c>
      <c r="CA557">
        <v>1</v>
      </c>
      <c r="CB557">
        <v>0.6</v>
      </c>
      <c r="CC557" s="3">
        <v>7.1269159999999998E-2</v>
      </c>
      <c r="CD557">
        <v>2.875</v>
      </c>
      <c r="CE557">
        <v>2.5</v>
      </c>
      <c r="CF557">
        <v>18</v>
      </c>
      <c r="CG557">
        <v>6</v>
      </c>
      <c r="CH557">
        <v>0</v>
      </c>
      <c r="CI557">
        <v>54.08</v>
      </c>
      <c r="CJ557">
        <v>568.49980000000005</v>
      </c>
    </row>
    <row r="558" spans="1:88">
      <c r="A558">
        <v>556</v>
      </c>
      <c r="B558" t="s">
        <v>13</v>
      </c>
      <c r="C558" t="s">
        <v>1</v>
      </c>
      <c r="D558" t="s">
        <v>8</v>
      </c>
      <c r="E558" t="s">
        <v>476</v>
      </c>
      <c r="F558" t="s">
        <v>246</v>
      </c>
      <c r="G558" t="s">
        <v>15</v>
      </c>
      <c r="H558" t="s">
        <v>247</v>
      </c>
      <c r="J558">
        <v>2</v>
      </c>
      <c r="K558" t="s">
        <v>108</v>
      </c>
      <c r="L558" t="s">
        <v>148</v>
      </c>
      <c r="M558" t="s">
        <v>550</v>
      </c>
      <c r="N558" t="s">
        <v>393</v>
      </c>
      <c r="O558">
        <v>166</v>
      </c>
      <c r="Q558">
        <v>875</v>
      </c>
      <c r="R558">
        <v>124</v>
      </c>
      <c r="S558">
        <v>4.25</v>
      </c>
      <c r="T558">
        <v>4.423</v>
      </c>
      <c r="U558">
        <v>6.86</v>
      </c>
      <c r="V558">
        <v>3716.71</v>
      </c>
      <c r="W558">
        <v>848</v>
      </c>
      <c r="X558">
        <v>1.3332999999999999</v>
      </c>
      <c r="Y558">
        <v>646</v>
      </c>
      <c r="Z558">
        <v>5.75</v>
      </c>
      <c r="AJ558">
        <v>2</v>
      </c>
      <c r="AK558">
        <v>18</v>
      </c>
      <c r="AM558">
        <v>0</v>
      </c>
      <c r="AO558" t="s">
        <v>250</v>
      </c>
      <c r="AT558">
        <v>63</v>
      </c>
      <c r="AV558">
        <v>71.099999999999994</v>
      </c>
      <c r="AW558" t="s">
        <v>6</v>
      </c>
      <c r="AX558" t="s">
        <v>6</v>
      </c>
      <c r="AY558" t="s">
        <v>6</v>
      </c>
      <c r="AZ558" t="s">
        <v>6</v>
      </c>
      <c r="BA558" t="s">
        <v>6</v>
      </c>
      <c r="BB558" t="s">
        <v>6</v>
      </c>
      <c r="BC558" t="s">
        <v>6</v>
      </c>
      <c r="BD558" t="s">
        <v>6</v>
      </c>
      <c r="BE558" t="s">
        <v>6</v>
      </c>
      <c r="BF558" t="s">
        <v>6</v>
      </c>
      <c r="BG558" t="s">
        <v>6</v>
      </c>
      <c r="BH558" t="s">
        <v>6</v>
      </c>
      <c r="BI558" t="s">
        <v>6</v>
      </c>
      <c r="BJ558" t="s">
        <v>6</v>
      </c>
      <c r="BN558">
        <v>606.1585</v>
      </c>
      <c r="BO558">
        <v>2977</v>
      </c>
      <c r="BP558">
        <v>0</v>
      </c>
      <c r="BQ558">
        <v>57</v>
      </c>
      <c r="BR558">
        <v>57</v>
      </c>
      <c r="BS558">
        <v>56.86</v>
      </c>
      <c r="BT558">
        <v>0</v>
      </c>
      <c r="BV558">
        <v>0</v>
      </c>
      <c r="BW558" t="s">
        <v>655</v>
      </c>
      <c r="BX558">
        <v>0.17</v>
      </c>
      <c r="BY558">
        <v>9.6662009999999992</v>
      </c>
      <c r="BZ558">
        <v>0</v>
      </c>
      <c r="CA558">
        <v>1</v>
      </c>
      <c r="CB558">
        <v>0.6</v>
      </c>
      <c r="CC558" s="3">
        <v>7.1269159999999998E-2</v>
      </c>
      <c r="CD558">
        <v>2.875</v>
      </c>
      <c r="CE558">
        <v>2.5</v>
      </c>
      <c r="CF558">
        <v>18</v>
      </c>
      <c r="CG558">
        <v>6</v>
      </c>
      <c r="CH558">
        <v>0</v>
      </c>
      <c r="CI558">
        <v>56.86</v>
      </c>
      <c r="CJ558">
        <v>793.7568</v>
      </c>
    </row>
    <row r="559" spans="1:88">
      <c r="A559">
        <v>557</v>
      </c>
      <c r="B559" t="s">
        <v>13</v>
      </c>
      <c r="C559" t="s">
        <v>1</v>
      </c>
      <c r="D559" t="s">
        <v>580</v>
      </c>
      <c r="E559" t="s">
        <v>438</v>
      </c>
      <c r="F559" t="s">
        <v>371</v>
      </c>
      <c r="G559" t="s">
        <v>106</v>
      </c>
      <c r="H559" t="s">
        <v>493</v>
      </c>
      <c r="J559">
        <v>2</v>
      </c>
      <c r="K559" t="s">
        <v>146</v>
      </c>
      <c r="L559" t="s">
        <v>399</v>
      </c>
      <c r="M559" t="s">
        <v>467</v>
      </c>
      <c r="N559" t="s">
        <v>382</v>
      </c>
      <c r="O559">
        <v>97</v>
      </c>
      <c r="Q559">
        <v>123</v>
      </c>
      <c r="R559">
        <v>30</v>
      </c>
      <c r="S559">
        <v>4.25</v>
      </c>
      <c r="T559">
        <v>2.7040000000000002</v>
      </c>
      <c r="U559">
        <v>5.85</v>
      </c>
      <c r="V559">
        <v>523.77009999999996</v>
      </c>
      <c r="W559">
        <v>175</v>
      </c>
      <c r="X559">
        <v>1.3332999999999999</v>
      </c>
      <c r="Y559">
        <v>130</v>
      </c>
      <c r="Z559">
        <v>4.03</v>
      </c>
      <c r="AJ559">
        <v>2</v>
      </c>
      <c r="AK559">
        <v>18</v>
      </c>
      <c r="AM559">
        <v>0</v>
      </c>
      <c r="AO559" t="s">
        <v>592</v>
      </c>
      <c r="AT559">
        <v>39</v>
      </c>
      <c r="AV559">
        <v>15.7</v>
      </c>
      <c r="AW559">
        <v>0</v>
      </c>
      <c r="AX559">
        <v>0</v>
      </c>
      <c r="AY559">
        <v>19.625</v>
      </c>
      <c r="AZ559">
        <v>2.5</v>
      </c>
      <c r="BA559">
        <v>0</v>
      </c>
      <c r="BB559">
        <v>0</v>
      </c>
      <c r="BC559">
        <v>15</v>
      </c>
      <c r="BN559">
        <v>71.333349999999996</v>
      </c>
      <c r="BO559">
        <v>20393</v>
      </c>
      <c r="BP559">
        <v>0</v>
      </c>
      <c r="BQ559">
        <v>33</v>
      </c>
      <c r="BR559">
        <v>33</v>
      </c>
      <c r="BS559">
        <v>32.86</v>
      </c>
      <c r="BT559">
        <v>0</v>
      </c>
      <c r="BV559">
        <v>0</v>
      </c>
      <c r="BW559" t="s">
        <v>655</v>
      </c>
      <c r="BX559">
        <v>0.17</v>
      </c>
      <c r="BY559">
        <v>5.5861999999999998</v>
      </c>
      <c r="BZ559">
        <v>0</v>
      </c>
      <c r="CA559">
        <v>1</v>
      </c>
      <c r="CB559">
        <v>0.6</v>
      </c>
      <c r="CC559" s="3">
        <v>7.1269159999999998E-2</v>
      </c>
      <c r="CD559">
        <v>2.875</v>
      </c>
      <c r="CE559">
        <v>2.5</v>
      </c>
      <c r="CF559">
        <v>18</v>
      </c>
      <c r="CG559">
        <v>6</v>
      </c>
      <c r="CH559">
        <v>0</v>
      </c>
      <c r="CI559">
        <v>32.86</v>
      </c>
      <c r="CJ559">
        <v>101.8728</v>
      </c>
    </row>
    <row r="560" spans="1:88">
      <c r="A560">
        <v>558</v>
      </c>
      <c r="B560" t="s">
        <v>13</v>
      </c>
      <c r="C560" t="s">
        <v>1</v>
      </c>
      <c r="D560" t="s">
        <v>366</v>
      </c>
      <c r="E560" t="s">
        <v>5</v>
      </c>
      <c r="F560" t="s">
        <v>379</v>
      </c>
      <c r="G560" t="s">
        <v>106</v>
      </c>
      <c r="H560" t="s">
        <v>228</v>
      </c>
      <c r="J560">
        <v>2</v>
      </c>
      <c r="K560" t="s">
        <v>146</v>
      </c>
      <c r="L560" t="s">
        <v>162</v>
      </c>
      <c r="M560" t="s">
        <v>155</v>
      </c>
      <c r="N560" t="s">
        <v>176</v>
      </c>
      <c r="O560">
        <v>110</v>
      </c>
      <c r="Q560">
        <v>296</v>
      </c>
      <c r="R560">
        <v>65</v>
      </c>
      <c r="S560">
        <v>4.25</v>
      </c>
      <c r="T560">
        <v>3.05</v>
      </c>
      <c r="U560">
        <v>6.11</v>
      </c>
      <c r="V560">
        <v>1255.8699999999999</v>
      </c>
      <c r="W560">
        <v>396</v>
      </c>
      <c r="X560">
        <v>1.3332999999999999</v>
      </c>
      <c r="Y560">
        <v>287</v>
      </c>
      <c r="Z560">
        <v>4.38</v>
      </c>
      <c r="AJ560">
        <v>2</v>
      </c>
      <c r="AK560">
        <v>18</v>
      </c>
      <c r="AM560">
        <v>0</v>
      </c>
      <c r="AO560" t="s">
        <v>230</v>
      </c>
      <c r="AT560">
        <v>44</v>
      </c>
      <c r="AV560">
        <v>34.6</v>
      </c>
      <c r="AW560">
        <v>0</v>
      </c>
      <c r="AX560">
        <v>0</v>
      </c>
      <c r="AY560">
        <v>33.875</v>
      </c>
      <c r="AZ560">
        <v>3.5</v>
      </c>
      <c r="BA560">
        <v>0</v>
      </c>
      <c r="BB560">
        <v>0</v>
      </c>
      <c r="BC560">
        <v>32</v>
      </c>
      <c r="BN560">
        <v>164.0667</v>
      </c>
      <c r="BO560">
        <v>3855</v>
      </c>
      <c r="BP560">
        <v>0</v>
      </c>
      <c r="BQ560">
        <v>37</v>
      </c>
      <c r="BR560">
        <v>37</v>
      </c>
      <c r="BS560">
        <v>37.39</v>
      </c>
      <c r="BT560">
        <v>0</v>
      </c>
      <c r="BV560">
        <v>0</v>
      </c>
      <c r="BW560" t="s">
        <v>655</v>
      </c>
      <c r="BX560">
        <v>0.17</v>
      </c>
      <c r="BY560">
        <v>6.3563000000000001</v>
      </c>
      <c r="BZ560">
        <v>0</v>
      </c>
      <c r="CA560">
        <v>1</v>
      </c>
      <c r="CB560">
        <v>0.6</v>
      </c>
      <c r="CC560" s="3">
        <v>7.1269159999999998E-2</v>
      </c>
      <c r="CD560">
        <v>2.875</v>
      </c>
      <c r="CE560">
        <v>2.5</v>
      </c>
      <c r="CF560">
        <v>18</v>
      </c>
      <c r="CG560">
        <v>6</v>
      </c>
      <c r="CH560">
        <v>0</v>
      </c>
      <c r="CI560">
        <v>37.39</v>
      </c>
      <c r="CJ560">
        <v>254.48400000000001</v>
      </c>
    </row>
    <row r="561" spans="1:88">
      <c r="A561">
        <v>559</v>
      </c>
      <c r="B561" t="s">
        <v>13</v>
      </c>
      <c r="C561" t="s">
        <v>1</v>
      </c>
      <c r="D561" t="s">
        <v>381</v>
      </c>
      <c r="E561" t="s">
        <v>127</v>
      </c>
      <c r="F561" t="s">
        <v>132</v>
      </c>
      <c r="G561" t="s">
        <v>106</v>
      </c>
      <c r="H561" t="s">
        <v>340</v>
      </c>
      <c r="J561">
        <v>2</v>
      </c>
      <c r="K561" t="s">
        <v>146</v>
      </c>
      <c r="L561" t="s">
        <v>338</v>
      </c>
      <c r="M561" t="s">
        <v>189</v>
      </c>
      <c r="N561" t="s">
        <v>190</v>
      </c>
      <c r="O561">
        <v>115</v>
      </c>
      <c r="Q561">
        <v>421</v>
      </c>
      <c r="R561">
        <v>85</v>
      </c>
      <c r="S561">
        <v>4.25</v>
      </c>
      <c r="T561">
        <v>3.18</v>
      </c>
      <c r="U561">
        <v>6.22</v>
      </c>
      <c r="V561">
        <v>1789.67</v>
      </c>
      <c r="W561">
        <v>531</v>
      </c>
      <c r="X561">
        <v>1.3332999999999999</v>
      </c>
      <c r="Y561">
        <v>397</v>
      </c>
      <c r="Z561">
        <v>4.51</v>
      </c>
      <c r="AJ561">
        <v>2</v>
      </c>
      <c r="AK561">
        <v>18</v>
      </c>
      <c r="AM561">
        <v>0</v>
      </c>
      <c r="AO561" t="s">
        <v>359</v>
      </c>
      <c r="AT561">
        <v>45</v>
      </c>
      <c r="AV561">
        <v>47.7</v>
      </c>
      <c r="AW561">
        <v>0</v>
      </c>
      <c r="AX561">
        <v>0</v>
      </c>
      <c r="AY561">
        <v>51.125</v>
      </c>
      <c r="AZ561">
        <v>4.25</v>
      </c>
      <c r="BA561">
        <v>0</v>
      </c>
      <c r="BB561">
        <v>0</v>
      </c>
      <c r="BC561">
        <v>55</v>
      </c>
      <c r="BN561">
        <v>228.26669999999999</v>
      </c>
      <c r="BO561">
        <v>1992</v>
      </c>
      <c r="BP561">
        <v>0</v>
      </c>
      <c r="BQ561">
        <v>39</v>
      </c>
      <c r="BR561">
        <v>39</v>
      </c>
      <c r="BS561">
        <v>39.130000000000003</v>
      </c>
      <c r="BT561">
        <v>0</v>
      </c>
      <c r="BV561">
        <v>0</v>
      </c>
      <c r="BW561" t="s">
        <v>655</v>
      </c>
      <c r="BX561">
        <v>0.17</v>
      </c>
      <c r="BY561">
        <v>6.6520999999999999</v>
      </c>
      <c r="BZ561">
        <v>0</v>
      </c>
      <c r="CA561">
        <v>1</v>
      </c>
      <c r="CB561">
        <v>0.6</v>
      </c>
      <c r="CC561" s="3">
        <v>7.1269159999999998E-2</v>
      </c>
      <c r="CD561">
        <v>2.875</v>
      </c>
      <c r="CE561">
        <v>2.5</v>
      </c>
      <c r="CF561">
        <v>18</v>
      </c>
      <c r="CG561">
        <v>6</v>
      </c>
      <c r="CH561">
        <v>0</v>
      </c>
      <c r="CI561">
        <v>39.130000000000003</v>
      </c>
      <c r="CJ561">
        <v>366.72219999999999</v>
      </c>
    </row>
    <row r="562" spans="1:88">
      <c r="A562">
        <v>560</v>
      </c>
      <c r="B562" t="s">
        <v>0</v>
      </c>
      <c r="C562" t="s">
        <v>1</v>
      </c>
      <c r="D562" t="s">
        <v>530</v>
      </c>
      <c r="E562" t="s">
        <v>136</v>
      </c>
      <c r="F562" t="s">
        <v>531</v>
      </c>
      <c r="G562" t="s">
        <v>106</v>
      </c>
      <c r="H562" t="s">
        <v>491</v>
      </c>
      <c r="J562">
        <v>2</v>
      </c>
      <c r="K562" t="s">
        <v>146</v>
      </c>
      <c r="L562" t="s">
        <v>150</v>
      </c>
      <c r="M562" t="s">
        <v>140</v>
      </c>
      <c r="N562" t="s">
        <v>141</v>
      </c>
      <c r="O562">
        <v>91</v>
      </c>
      <c r="Q562">
        <v>109</v>
      </c>
      <c r="R562">
        <v>28</v>
      </c>
      <c r="S562">
        <v>4.25</v>
      </c>
      <c r="T562">
        <v>2.54</v>
      </c>
      <c r="U562">
        <v>5.73</v>
      </c>
      <c r="V562">
        <v>462.27</v>
      </c>
      <c r="W562">
        <v>162</v>
      </c>
      <c r="X562">
        <v>1.3332999999999999</v>
      </c>
      <c r="Y562">
        <v>119</v>
      </c>
      <c r="Z562">
        <v>3.87</v>
      </c>
      <c r="AJ562">
        <v>2</v>
      </c>
      <c r="AK562">
        <v>18</v>
      </c>
      <c r="AM562">
        <v>0</v>
      </c>
      <c r="AO562" t="s">
        <v>492</v>
      </c>
      <c r="AT562">
        <v>37</v>
      </c>
      <c r="AV562">
        <v>14.7</v>
      </c>
      <c r="AW562">
        <v>0</v>
      </c>
      <c r="AX562">
        <v>0</v>
      </c>
      <c r="AY562">
        <v>21.375</v>
      </c>
      <c r="AZ562">
        <v>2.375</v>
      </c>
      <c r="BA562">
        <v>0</v>
      </c>
      <c r="BB562">
        <v>0</v>
      </c>
      <c r="BC562">
        <v>16</v>
      </c>
      <c r="BN562">
        <v>65.983350000000002</v>
      </c>
      <c r="BO562">
        <v>23834</v>
      </c>
      <c r="BP562">
        <v>0</v>
      </c>
      <c r="BQ562">
        <v>31</v>
      </c>
      <c r="BR562">
        <v>31</v>
      </c>
      <c r="BS562">
        <v>30.78</v>
      </c>
      <c r="BT562">
        <v>0</v>
      </c>
      <c r="BV562">
        <v>0</v>
      </c>
      <c r="BW562" t="s">
        <v>655</v>
      </c>
      <c r="BX562">
        <v>0.17</v>
      </c>
      <c r="BY562">
        <v>5.2325999999999997</v>
      </c>
      <c r="BZ562">
        <v>0</v>
      </c>
      <c r="CA562">
        <v>1</v>
      </c>
      <c r="CB562">
        <v>0.6</v>
      </c>
      <c r="CC562" s="3">
        <v>7.1269159999999998E-2</v>
      </c>
      <c r="CD562">
        <v>2.875</v>
      </c>
      <c r="CE562">
        <v>2.5</v>
      </c>
      <c r="CF562">
        <v>18</v>
      </c>
      <c r="CG562">
        <v>6</v>
      </c>
      <c r="CH562">
        <v>0</v>
      </c>
      <c r="CI562">
        <v>30.78</v>
      </c>
      <c r="CJ562">
        <v>88.843419999999995</v>
      </c>
    </row>
    <row r="563" spans="1:88">
      <c r="A563">
        <v>561</v>
      </c>
      <c r="B563" t="s">
        <v>13</v>
      </c>
      <c r="C563" t="s">
        <v>1</v>
      </c>
      <c r="D563" t="s">
        <v>251</v>
      </c>
      <c r="E563" t="s">
        <v>113</v>
      </c>
      <c r="F563" t="s">
        <v>266</v>
      </c>
      <c r="G563" t="s">
        <v>106</v>
      </c>
      <c r="H563" t="s">
        <v>291</v>
      </c>
      <c r="J563">
        <v>2</v>
      </c>
      <c r="K563" t="s">
        <v>108</v>
      </c>
      <c r="L563" t="s">
        <v>116</v>
      </c>
      <c r="M563" t="s">
        <v>117</v>
      </c>
      <c r="N563" t="s">
        <v>14</v>
      </c>
      <c r="O563">
        <v>179</v>
      </c>
      <c r="Q563">
        <v>815</v>
      </c>
      <c r="R563">
        <v>107</v>
      </c>
      <c r="S563">
        <v>4.25</v>
      </c>
      <c r="T563">
        <v>4.7190000000000003</v>
      </c>
      <c r="U563">
        <v>7.05</v>
      </c>
      <c r="V563">
        <v>3465.15</v>
      </c>
      <c r="W563">
        <v>758</v>
      </c>
      <c r="X563">
        <v>1.3332999999999999</v>
      </c>
      <c r="Y563">
        <v>573</v>
      </c>
      <c r="Z563">
        <v>6.05</v>
      </c>
      <c r="AJ563">
        <v>2</v>
      </c>
      <c r="AK563">
        <v>18</v>
      </c>
      <c r="AM563">
        <v>0</v>
      </c>
      <c r="AO563" t="s">
        <v>292</v>
      </c>
      <c r="AT563">
        <v>68</v>
      </c>
      <c r="AV563">
        <v>61.6</v>
      </c>
      <c r="AW563">
        <v>0.46875</v>
      </c>
      <c r="AX563">
        <v>3.75</v>
      </c>
      <c r="AY563">
        <v>64.375</v>
      </c>
      <c r="AZ563">
        <v>5.625</v>
      </c>
      <c r="BA563">
        <v>315.01</v>
      </c>
      <c r="BB563">
        <v>6.25</v>
      </c>
      <c r="BC563">
        <v>69</v>
      </c>
      <c r="BD563">
        <v>0.4375</v>
      </c>
      <c r="BE563">
        <v>3.75</v>
      </c>
      <c r="BF563">
        <v>55.25</v>
      </c>
      <c r="BG563">
        <v>5.25</v>
      </c>
      <c r="BH563">
        <v>257.74</v>
      </c>
      <c r="BI563">
        <v>6.38</v>
      </c>
      <c r="BJ563">
        <v>56</v>
      </c>
      <c r="BL563">
        <v>572.75</v>
      </c>
      <c r="BM563">
        <v>124</v>
      </c>
      <c r="BN563">
        <v>296.03339999999997</v>
      </c>
      <c r="BO563">
        <v>1184</v>
      </c>
      <c r="BP563">
        <v>0</v>
      </c>
      <c r="BQ563">
        <v>61</v>
      </c>
      <c r="BR563">
        <v>61</v>
      </c>
      <c r="BS563">
        <v>61.39</v>
      </c>
      <c r="BT563">
        <v>0</v>
      </c>
      <c r="BV563">
        <v>0</v>
      </c>
      <c r="BW563" t="s">
        <v>655</v>
      </c>
      <c r="BX563">
        <v>0.17</v>
      </c>
      <c r="BY563">
        <v>10.436299999999999</v>
      </c>
      <c r="BZ563">
        <v>0</v>
      </c>
      <c r="CA563">
        <v>1</v>
      </c>
      <c r="CB563">
        <v>0.6</v>
      </c>
      <c r="CC563" s="3">
        <v>7.1269159999999998E-2</v>
      </c>
      <c r="CD563">
        <v>2.875</v>
      </c>
      <c r="CE563">
        <v>2.5</v>
      </c>
      <c r="CF563">
        <v>18</v>
      </c>
      <c r="CG563">
        <v>6</v>
      </c>
      <c r="CH563">
        <v>0</v>
      </c>
      <c r="CI563">
        <v>61.39</v>
      </c>
      <c r="CJ563">
        <v>743.23940000000005</v>
      </c>
    </row>
    <row r="564" spans="1:88">
      <c r="A564">
        <v>562</v>
      </c>
      <c r="B564" t="s">
        <v>0</v>
      </c>
      <c r="C564" t="s">
        <v>1</v>
      </c>
      <c r="D564" t="s">
        <v>143</v>
      </c>
      <c r="E564" t="s">
        <v>366</v>
      </c>
      <c r="F564" t="s">
        <v>144</v>
      </c>
      <c r="G564" t="s">
        <v>106</v>
      </c>
      <c r="H564" t="s">
        <v>145</v>
      </c>
      <c r="J564">
        <v>2</v>
      </c>
      <c r="K564" t="s">
        <v>146</v>
      </c>
      <c r="L564" t="s">
        <v>268</v>
      </c>
      <c r="M564" t="s">
        <v>370</v>
      </c>
      <c r="N564" t="s">
        <v>217</v>
      </c>
      <c r="O564">
        <v>103</v>
      </c>
      <c r="Q564">
        <v>427</v>
      </c>
      <c r="R564">
        <v>95</v>
      </c>
      <c r="S564">
        <v>4.25</v>
      </c>
      <c r="T564">
        <v>2.8650000000000002</v>
      </c>
      <c r="U564">
        <v>5.96</v>
      </c>
      <c r="V564">
        <v>1814.24</v>
      </c>
      <c r="W564">
        <v>564</v>
      </c>
      <c r="X564">
        <v>1.3332999999999999</v>
      </c>
      <c r="Y564">
        <v>433</v>
      </c>
      <c r="Z564">
        <v>4.1900000000000004</v>
      </c>
      <c r="AJ564">
        <v>2</v>
      </c>
      <c r="AK564">
        <v>18</v>
      </c>
      <c r="AM564">
        <v>0</v>
      </c>
      <c r="AO564" t="s">
        <v>149</v>
      </c>
      <c r="AT564">
        <v>41</v>
      </c>
      <c r="AV564">
        <v>53.5</v>
      </c>
      <c r="AW564">
        <v>0</v>
      </c>
      <c r="AX564">
        <v>0</v>
      </c>
      <c r="AY564">
        <v>46.875</v>
      </c>
      <c r="AZ564">
        <v>3.875</v>
      </c>
      <c r="BA564">
        <v>0</v>
      </c>
      <c r="BB564">
        <v>0</v>
      </c>
      <c r="BC564">
        <v>50</v>
      </c>
      <c r="BN564">
        <v>256.80009999999999</v>
      </c>
      <c r="BO564">
        <v>1574</v>
      </c>
      <c r="BP564">
        <v>0</v>
      </c>
      <c r="BQ564">
        <v>35</v>
      </c>
      <c r="BR564">
        <v>35</v>
      </c>
      <c r="BS564">
        <v>34.950000000000003</v>
      </c>
      <c r="BT564">
        <v>0</v>
      </c>
      <c r="BV564">
        <v>0</v>
      </c>
      <c r="BW564" t="s">
        <v>655</v>
      </c>
      <c r="BX564">
        <v>0.17</v>
      </c>
      <c r="BY564">
        <v>5.9414999999999996</v>
      </c>
      <c r="BZ564">
        <v>0</v>
      </c>
      <c r="CA564">
        <v>1</v>
      </c>
      <c r="CB564">
        <v>0.6</v>
      </c>
      <c r="CC564" s="3">
        <v>7.1269159999999998E-2</v>
      </c>
      <c r="CD564">
        <v>2.875</v>
      </c>
      <c r="CE564">
        <v>2.5</v>
      </c>
      <c r="CF564">
        <v>18</v>
      </c>
      <c r="CG564">
        <v>6</v>
      </c>
      <c r="CH564">
        <v>0</v>
      </c>
      <c r="CI564">
        <v>34.950000000000003</v>
      </c>
      <c r="CJ564">
        <v>367.40140000000002</v>
      </c>
    </row>
    <row r="565" spans="1:88">
      <c r="A565">
        <v>563</v>
      </c>
      <c r="B565" t="s">
        <v>0</v>
      </c>
      <c r="C565" t="s">
        <v>1</v>
      </c>
      <c r="D565" t="s">
        <v>167</v>
      </c>
      <c r="E565" t="s">
        <v>133</v>
      </c>
      <c r="F565" t="s">
        <v>403</v>
      </c>
      <c r="G565" t="s">
        <v>106</v>
      </c>
      <c r="H565" t="s">
        <v>235</v>
      </c>
      <c r="J565">
        <v>2</v>
      </c>
      <c r="K565" t="s">
        <v>146</v>
      </c>
      <c r="L565" t="s">
        <v>353</v>
      </c>
      <c r="M565" t="s">
        <v>194</v>
      </c>
      <c r="N565" t="s">
        <v>195</v>
      </c>
      <c r="O565">
        <v>143</v>
      </c>
      <c r="Q565">
        <v>491</v>
      </c>
      <c r="R565">
        <v>82</v>
      </c>
      <c r="S565">
        <v>4.25</v>
      </c>
      <c r="T565">
        <v>3.88</v>
      </c>
      <c r="U565">
        <v>6.6</v>
      </c>
      <c r="V565">
        <v>2086.19</v>
      </c>
      <c r="W565">
        <v>541</v>
      </c>
      <c r="X565">
        <v>1.3332999999999999</v>
      </c>
      <c r="Y565">
        <v>400</v>
      </c>
      <c r="Z565">
        <v>5.21</v>
      </c>
      <c r="AJ565">
        <v>2</v>
      </c>
      <c r="AK565">
        <v>18</v>
      </c>
      <c r="AM565">
        <v>0</v>
      </c>
      <c r="AO565" t="s">
        <v>198</v>
      </c>
      <c r="AT565">
        <v>55</v>
      </c>
      <c r="AV565">
        <v>45.5</v>
      </c>
      <c r="AW565">
        <v>0.46875</v>
      </c>
      <c r="AX565">
        <v>3.75</v>
      </c>
      <c r="AY565">
        <v>53.625</v>
      </c>
      <c r="AZ565">
        <v>4.875</v>
      </c>
      <c r="BA565">
        <v>378.27</v>
      </c>
      <c r="BB565">
        <v>5.21</v>
      </c>
      <c r="BC565">
        <v>58</v>
      </c>
      <c r="BD565">
        <v>0.1875</v>
      </c>
      <c r="BE565">
        <v>2.75</v>
      </c>
      <c r="BF565">
        <v>12</v>
      </c>
      <c r="BG565">
        <v>2</v>
      </c>
      <c r="BH565">
        <v>22.15</v>
      </c>
      <c r="BI565">
        <v>6.84</v>
      </c>
      <c r="BJ565">
        <v>4</v>
      </c>
      <c r="BL565">
        <v>400.42</v>
      </c>
      <c r="BM565">
        <v>61</v>
      </c>
      <c r="BN565">
        <v>217.5667</v>
      </c>
      <c r="BO565">
        <v>2192</v>
      </c>
      <c r="BP565">
        <v>0</v>
      </c>
      <c r="BQ565">
        <v>49</v>
      </c>
      <c r="BR565">
        <v>49</v>
      </c>
      <c r="BS565">
        <v>48.86</v>
      </c>
      <c r="BT565">
        <v>0</v>
      </c>
      <c r="BV565">
        <v>0</v>
      </c>
      <c r="BW565" t="s">
        <v>655</v>
      </c>
      <c r="BX565">
        <v>0.17</v>
      </c>
      <c r="BY565">
        <v>8.3062000000000005</v>
      </c>
      <c r="BZ565">
        <v>0</v>
      </c>
      <c r="CA565">
        <v>1</v>
      </c>
      <c r="CB565">
        <v>0.6</v>
      </c>
      <c r="CC565" s="3">
        <v>7.1269159999999998E-2</v>
      </c>
      <c r="CD565">
        <v>2.875</v>
      </c>
      <c r="CE565">
        <v>2.5</v>
      </c>
      <c r="CF565">
        <v>18</v>
      </c>
      <c r="CG565">
        <v>6</v>
      </c>
      <c r="CH565">
        <v>0</v>
      </c>
      <c r="CI565">
        <v>48.86</v>
      </c>
      <c r="CJ565">
        <v>437.01749999999998</v>
      </c>
    </row>
    <row r="566" spans="1:88">
      <c r="A566">
        <v>564</v>
      </c>
      <c r="B566" t="s">
        <v>0</v>
      </c>
      <c r="C566" t="s">
        <v>1</v>
      </c>
      <c r="D566" t="s">
        <v>151</v>
      </c>
      <c r="E566" t="s">
        <v>190</v>
      </c>
      <c r="F566" t="s">
        <v>385</v>
      </c>
      <c r="G566" t="s">
        <v>106</v>
      </c>
      <c r="H566" t="s">
        <v>2</v>
      </c>
      <c r="J566">
        <v>2</v>
      </c>
      <c r="K566" t="s">
        <v>146</v>
      </c>
      <c r="L566" t="s">
        <v>340</v>
      </c>
      <c r="M566" t="s">
        <v>406</v>
      </c>
      <c r="N566" t="s">
        <v>369</v>
      </c>
      <c r="O566">
        <v>118</v>
      </c>
      <c r="Q566">
        <v>331</v>
      </c>
      <c r="R566">
        <v>68</v>
      </c>
      <c r="S566">
        <v>4.25</v>
      </c>
      <c r="T566">
        <v>3.2570000000000001</v>
      </c>
      <c r="U566">
        <v>6.15</v>
      </c>
      <c r="V566">
        <v>1406.83</v>
      </c>
      <c r="W566">
        <v>416</v>
      </c>
      <c r="X566">
        <v>1.3332999999999999</v>
      </c>
      <c r="Y566">
        <v>306</v>
      </c>
      <c r="Z566">
        <v>4.59</v>
      </c>
      <c r="AJ566">
        <v>2</v>
      </c>
      <c r="AK566">
        <v>18</v>
      </c>
      <c r="AM566">
        <v>0</v>
      </c>
      <c r="AO566" t="s">
        <v>4</v>
      </c>
      <c r="AT566">
        <v>46</v>
      </c>
      <c r="AV566">
        <v>36.4</v>
      </c>
      <c r="AW566">
        <v>0</v>
      </c>
      <c r="AX566">
        <v>0</v>
      </c>
      <c r="AY566">
        <v>46.375</v>
      </c>
      <c r="AZ566">
        <v>4</v>
      </c>
      <c r="BA566">
        <v>0</v>
      </c>
      <c r="BB566">
        <v>0</v>
      </c>
      <c r="BC566">
        <v>47</v>
      </c>
      <c r="BN566">
        <v>172.98339999999999</v>
      </c>
      <c r="BO566">
        <v>3468</v>
      </c>
      <c r="BP566">
        <v>0</v>
      </c>
      <c r="BQ566">
        <v>40</v>
      </c>
      <c r="BR566">
        <v>40</v>
      </c>
      <c r="BS566">
        <v>40.17</v>
      </c>
      <c r="BT566">
        <v>0</v>
      </c>
      <c r="BV566">
        <v>0</v>
      </c>
      <c r="BW566" t="s">
        <v>655</v>
      </c>
      <c r="BX566">
        <v>0.17</v>
      </c>
      <c r="BY566">
        <v>6.8289</v>
      </c>
      <c r="BZ566">
        <v>0</v>
      </c>
      <c r="CA566">
        <v>1</v>
      </c>
      <c r="CB566">
        <v>0.6</v>
      </c>
      <c r="CC566" s="3">
        <v>7.1269159999999998E-2</v>
      </c>
      <c r="CD566">
        <v>2.875</v>
      </c>
      <c r="CE566">
        <v>2.5</v>
      </c>
      <c r="CF566">
        <v>18</v>
      </c>
      <c r="CG566">
        <v>6</v>
      </c>
      <c r="CH566">
        <v>0</v>
      </c>
      <c r="CI566">
        <v>40.17</v>
      </c>
      <c r="CJ566">
        <v>287.71960000000001</v>
      </c>
    </row>
    <row r="567" spans="1:88">
      <c r="A567">
        <v>565</v>
      </c>
      <c r="B567" t="s">
        <v>13</v>
      </c>
      <c r="C567" t="s">
        <v>1</v>
      </c>
      <c r="D567" t="s">
        <v>131</v>
      </c>
      <c r="E567" t="s">
        <v>143</v>
      </c>
      <c r="F567" t="s">
        <v>232</v>
      </c>
      <c r="G567" t="s">
        <v>106</v>
      </c>
      <c r="H567" t="s">
        <v>233</v>
      </c>
      <c r="J567">
        <v>2</v>
      </c>
      <c r="K567" t="s">
        <v>146</v>
      </c>
      <c r="L567" t="s">
        <v>297</v>
      </c>
      <c r="M567" t="s">
        <v>206</v>
      </c>
      <c r="N567" t="s">
        <v>131</v>
      </c>
      <c r="O567">
        <v>155</v>
      </c>
      <c r="Q567">
        <v>633</v>
      </c>
      <c r="R567">
        <v>96</v>
      </c>
      <c r="S567">
        <v>4.25</v>
      </c>
      <c r="T567">
        <v>4.1660000000000004</v>
      </c>
      <c r="U567">
        <v>6.78</v>
      </c>
      <c r="V567">
        <v>2688.33</v>
      </c>
      <c r="W567">
        <v>653</v>
      </c>
      <c r="X567">
        <v>1.3332999999999999</v>
      </c>
      <c r="Y567">
        <v>490</v>
      </c>
      <c r="Z567">
        <v>5.49</v>
      </c>
      <c r="AJ567">
        <v>2</v>
      </c>
      <c r="AK567">
        <v>18</v>
      </c>
      <c r="AM567">
        <v>0</v>
      </c>
      <c r="AO567" t="s">
        <v>236</v>
      </c>
      <c r="AT567">
        <v>59</v>
      </c>
      <c r="AV567">
        <v>54.6</v>
      </c>
      <c r="AW567">
        <v>0.40625</v>
      </c>
      <c r="AX567">
        <v>3.75</v>
      </c>
      <c r="AY567">
        <v>39.75</v>
      </c>
      <c r="AZ567">
        <v>4.5</v>
      </c>
      <c r="BA567">
        <v>244.83</v>
      </c>
      <c r="BB567">
        <v>5.41</v>
      </c>
      <c r="BC567">
        <v>38</v>
      </c>
      <c r="BD567">
        <v>0.40625</v>
      </c>
      <c r="BE567">
        <v>3.75</v>
      </c>
      <c r="BF567">
        <v>39.75</v>
      </c>
      <c r="BG567">
        <v>4.5</v>
      </c>
      <c r="BH567">
        <v>244.83</v>
      </c>
      <c r="BI567">
        <v>5.41</v>
      </c>
      <c r="BJ567">
        <v>38</v>
      </c>
      <c r="BL567">
        <v>489.66</v>
      </c>
      <c r="BM567">
        <v>75</v>
      </c>
      <c r="BN567">
        <v>262.14999999999998</v>
      </c>
      <c r="BO567">
        <v>1510</v>
      </c>
      <c r="BP567">
        <v>0</v>
      </c>
      <c r="BQ567">
        <v>53</v>
      </c>
      <c r="BR567">
        <v>53</v>
      </c>
      <c r="BS567">
        <v>53.04</v>
      </c>
      <c r="BT567">
        <v>0</v>
      </c>
      <c r="BV567">
        <v>0</v>
      </c>
      <c r="BW567" t="s">
        <v>655</v>
      </c>
      <c r="BX567">
        <v>0.17</v>
      </c>
      <c r="BY567">
        <v>9.0167999999999999</v>
      </c>
      <c r="BZ567">
        <v>0</v>
      </c>
      <c r="CA567">
        <v>1</v>
      </c>
      <c r="CB567">
        <v>0.6</v>
      </c>
      <c r="CC567" s="3">
        <v>7.1269159999999998E-2</v>
      </c>
      <c r="CD567">
        <v>2.875</v>
      </c>
      <c r="CE567">
        <v>2.5</v>
      </c>
      <c r="CF567">
        <v>18</v>
      </c>
      <c r="CG567">
        <v>6</v>
      </c>
      <c r="CH567">
        <v>0</v>
      </c>
      <c r="CI567">
        <v>53.04</v>
      </c>
      <c r="CJ567">
        <v>568.90750000000003</v>
      </c>
    </row>
    <row r="568" spans="1:88">
      <c r="A568">
        <v>566</v>
      </c>
      <c r="B568" t="s">
        <v>13</v>
      </c>
      <c r="C568" t="s">
        <v>1</v>
      </c>
      <c r="D568" t="s">
        <v>365</v>
      </c>
      <c r="E568" t="s">
        <v>320</v>
      </c>
      <c r="F568" t="s">
        <v>367</v>
      </c>
      <c r="G568" t="s">
        <v>106</v>
      </c>
      <c r="H568" t="s">
        <v>368</v>
      </c>
      <c r="J568">
        <v>2</v>
      </c>
      <c r="K568" t="s">
        <v>146</v>
      </c>
      <c r="L568" t="s">
        <v>224</v>
      </c>
      <c r="M568" t="s">
        <v>500</v>
      </c>
      <c r="N568" t="s">
        <v>501</v>
      </c>
      <c r="O568">
        <v>59</v>
      </c>
      <c r="Q568">
        <v>84</v>
      </c>
      <c r="R568">
        <v>31</v>
      </c>
      <c r="S568">
        <v>4.25</v>
      </c>
      <c r="T568">
        <v>1.613</v>
      </c>
      <c r="U568">
        <v>5.17</v>
      </c>
      <c r="V568">
        <v>355.17</v>
      </c>
      <c r="W568">
        <v>161</v>
      </c>
      <c r="X568">
        <v>1.3332999999999999</v>
      </c>
      <c r="Y568">
        <v>121</v>
      </c>
      <c r="Z568">
        <v>2.94</v>
      </c>
      <c r="AJ568">
        <v>2</v>
      </c>
      <c r="AK568">
        <v>18</v>
      </c>
      <c r="AM568">
        <v>0</v>
      </c>
      <c r="AO568" t="s">
        <v>371</v>
      </c>
      <c r="AT568">
        <v>26</v>
      </c>
      <c r="AV568">
        <v>16.5</v>
      </c>
      <c r="AW568">
        <v>0</v>
      </c>
      <c r="AX568">
        <v>0</v>
      </c>
      <c r="AY568">
        <v>21.125</v>
      </c>
      <c r="AZ568">
        <v>1.875</v>
      </c>
      <c r="BA568">
        <v>0</v>
      </c>
      <c r="BB568">
        <v>0</v>
      </c>
      <c r="BC568">
        <v>16</v>
      </c>
      <c r="BN568">
        <v>74.900009999999995</v>
      </c>
      <c r="BO568">
        <v>18497</v>
      </c>
      <c r="BP568">
        <v>0</v>
      </c>
      <c r="BQ568">
        <v>20</v>
      </c>
      <c r="BR568">
        <v>20</v>
      </c>
      <c r="BS568">
        <v>19.649999999999999</v>
      </c>
      <c r="BT568">
        <v>0</v>
      </c>
      <c r="BV568">
        <v>0</v>
      </c>
      <c r="BW568" t="s">
        <v>655</v>
      </c>
      <c r="BX568">
        <v>0.17</v>
      </c>
      <c r="BY568">
        <v>3.3405</v>
      </c>
      <c r="BZ568">
        <v>0</v>
      </c>
      <c r="CA568">
        <v>1</v>
      </c>
      <c r="CB568">
        <v>0.6</v>
      </c>
      <c r="CC568" s="3">
        <v>7.1269159999999998E-2</v>
      </c>
      <c r="CD568">
        <v>2.875</v>
      </c>
      <c r="CE568">
        <v>2.5</v>
      </c>
      <c r="CF568">
        <v>18</v>
      </c>
      <c r="CG568">
        <v>6</v>
      </c>
      <c r="CH568">
        <v>0</v>
      </c>
      <c r="CI568">
        <v>19.649999999999999</v>
      </c>
      <c r="CJ568">
        <v>63.719970000000004</v>
      </c>
    </row>
    <row r="569" spans="1:88">
      <c r="A569">
        <v>567</v>
      </c>
      <c r="B569" t="s">
        <v>13</v>
      </c>
      <c r="C569" t="s">
        <v>1</v>
      </c>
      <c r="D569" t="s">
        <v>233</v>
      </c>
      <c r="E569" t="s">
        <v>234</v>
      </c>
      <c r="F569" t="s">
        <v>271</v>
      </c>
      <c r="G569" t="s">
        <v>106</v>
      </c>
      <c r="H569" t="s">
        <v>279</v>
      </c>
      <c r="J569">
        <v>2</v>
      </c>
      <c r="K569" t="s">
        <v>146</v>
      </c>
      <c r="L569" t="s">
        <v>103</v>
      </c>
      <c r="M569" t="s">
        <v>435</v>
      </c>
      <c r="N569" t="s">
        <v>295</v>
      </c>
      <c r="O569">
        <v>147</v>
      </c>
      <c r="Q569">
        <v>598</v>
      </c>
      <c r="R569">
        <v>96</v>
      </c>
      <c r="S569">
        <v>4.25</v>
      </c>
      <c r="T569">
        <v>3.976</v>
      </c>
      <c r="U569">
        <v>6.67</v>
      </c>
      <c r="V569">
        <v>2542.81</v>
      </c>
      <c r="W569">
        <v>639</v>
      </c>
      <c r="X569">
        <v>1.3332999999999999</v>
      </c>
      <c r="Y569">
        <v>480</v>
      </c>
      <c r="Z569">
        <v>5.3</v>
      </c>
      <c r="AJ569">
        <v>2</v>
      </c>
      <c r="AK569">
        <v>18</v>
      </c>
      <c r="AM569">
        <v>0</v>
      </c>
      <c r="AO569" t="s">
        <v>144</v>
      </c>
      <c r="AT569">
        <v>56</v>
      </c>
      <c r="AV569">
        <v>54.2</v>
      </c>
      <c r="AW569">
        <v>0.46875</v>
      </c>
      <c r="AX569">
        <v>3.75</v>
      </c>
      <c r="AY569">
        <v>54.5</v>
      </c>
      <c r="AZ569">
        <v>5</v>
      </c>
      <c r="BA569">
        <v>371.85</v>
      </c>
      <c r="BB569">
        <v>5.3</v>
      </c>
      <c r="BC569">
        <v>59</v>
      </c>
      <c r="BD569">
        <v>0.3125</v>
      </c>
      <c r="BE569">
        <v>2.75</v>
      </c>
      <c r="BF569">
        <v>33.375</v>
      </c>
      <c r="BG569">
        <v>3.25</v>
      </c>
      <c r="BH569">
        <v>107.91</v>
      </c>
      <c r="BI569">
        <v>5.92</v>
      </c>
      <c r="BJ569">
        <v>18</v>
      </c>
      <c r="BL569">
        <v>479.76</v>
      </c>
      <c r="BM569">
        <v>76</v>
      </c>
      <c r="BN569">
        <v>260.36669999999998</v>
      </c>
      <c r="BO569">
        <v>1531</v>
      </c>
      <c r="BP569">
        <v>0</v>
      </c>
      <c r="BQ569">
        <v>50</v>
      </c>
      <c r="BR569">
        <v>50</v>
      </c>
      <c r="BS569">
        <v>50.26</v>
      </c>
      <c r="BT569">
        <v>0</v>
      </c>
      <c r="BV569">
        <v>0</v>
      </c>
      <c r="BW569" t="s">
        <v>655</v>
      </c>
      <c r="BX569">
        <v>0.17</v>
      </c>
      <c r="BY569">
        <v>8.5442</v>
      </c>
      <c r="BZ569">
        <v>0</v>
      </c>
      <c r="CA569">
        <v>1</v>
      </c>
      <c r="CB569">
        <v>0.6</v>
      </c>
      <c r="CC569" s="3">
        <v>7.1269159999999998E-2</v>
      </c>
      <c r="CD569">
        <v>2.875</v>
      </c>
      <c r="CE569">
        <v>2.5</v>
      </c>
      <c r="CF569">
        <v>18</v>
      </c>
      <c r="CG569">
        <v>6</v>
      </c>
      <c r="CH569">
        <v>0</v>
      </c>
      <c r="CI569">
        <v>50.26</v>
      </c>
      <c r="CJ569">
        <v>535.50710000000004</v>
      </c>
    </row>
    <row r="570" spans="1:88">
      <c r="A570">
        <v>568</v>
      </c>
      <c r="B570" t="s">
        <v>0</v>
      </c>
      <c r="C570" t="s">
        <v>1</v>
      </c>
      <c r="D570" t="s">
        <v>96</v>
      </c>
      <c r="E570" t="s">
        <v>466</v>
      </c>
      <c r="F570" t="s">
        <v>198</v>
      </c>
      <c r="G570" t="s">
        <v>106</v>
      </c>
      <c r="H570" t="s">
        <v>162</v>
      </c>
      <c r="J570">
        <v>2</v>
      </c>
      <c r="K570" t="s">
        <v>146</v>
      </c>
      <c r="L570" t="s">
        <v>210</v>
      </c>
      <c r="M570" t="s">
        <v>593</v>
      </c>
      <c r="N570" t="s">
        <v>297</v>
      </c>
      <c r="O570">
        <v>172</v>
      </c>
      <c r="Q570">
        <v>574</v>
      </c>
      <c r="R570">
        <v>81</v>
      </c>
      <c r="S570">
        <v>4.25</v>
      </c>
      <c r="T570">
        <v>4.5599999999999996</v>
      </c>
      <c r="U570">
        <v>6.93</v>
      </c>
      <c r="V570">
        <v>2438.2199999999998</v>
      </c>
      <c r="W570">
        <v>560</v>
      </c>
      <c r="X570">
        <v>1.3332999999999999</v>
      </c>
      <c r="Y570">
        <v>414</v>
      </c>
      <c r="Z570">
        <v>5.89</v>
      </c>
      <c r="AJ570">
        <v>2</v>
      </c>
      <c r="AK570">
        <v>18</v>
      </c>
      <c r="AM570">
        <v>0</v>
      </c>
      <c r="AO570" t="s">
        <v>166</v>
      </c>
      <c r="AT570">
        <v>65</v>
      </c>
      <c r="AV570">
        <v>44.8</v>
      </c>
      <c r="AW570">
        <v>0.46875</v>
      </c>
      <c r="AX570">
        <v>3.75</v>
      </c>
      <c r="AY570">
        <v>60.625</v>
      </c>
      <c r="AZ570">
        <v>5.5</v>
      </c>
      <c r="BA570">
        <v>334.6</v>
      </c>
      <c r="BB570">
        <v>5.89</v>
      </c>
      <c r="BC570">
        <v>65</v>
      </c>
      <c r="BD570">
        <v>0.3125</v>
      </c>
      <c r="BE570">
        <v>2.75</v>
      </c>
      <c r="BF570">
        <v>45.375</v>
      </c>
      <c r="BG570">
        <v>3.625</v>
      </c>
      <c r="BH570">
        <v>79.349999999999994</v>
      </c>
      <c r="BI570">
        <v>8.0500000000000007</v>
      </c>
      <c r="BJ570">
        <v>24</v>
      </c>
      <c r="BL570">
        <v>413.95</v>
      </c>
      <c r="BM570">
        <v>89</v>
      </c>
      <c r="BN570">
        <v>214</v>
      </c>
      <c r="BO570">
        <v>2266</v>
      </c>
      <c r="BP570">
        <v>0</v>
      </c>
      <c r="BQ570">
        <v>59</v>
      </c>
      <c r="BR570">
        <v>59</v>
      </c>
      <c r="BS570">
        <v>58.95</v>
      </c>
      <c r="BT570">
        <v>0</v>
      </c>
      <c r="BV570">
        <v>0</v>
      </c>
      <c r="BW570" t="s">
        <v>655</v>
      </c>
      <c r="BX570">
        <v>0.17</v>
      </c>
      <c r="BY570">
        <v>10.0215</v>
      </c>
      <c r="BZ570">
        <v>0</v>
      </c>
      <c r="CA570">
        <v>1</v>
      </c>
      <c r="CB570">
        <v>0.6</v>
      </c>
      <c r="CC570" s="3">
        <v>7.1269159999999998E-2</v>
      </c>
      <c r="CD570">
        <v>2.875</v>
      </c>
      <c r="CE570">
        <v>2.5</v>
      </c>
      <c r="CF570">
        <v>18</v>
      </c>
      <c r="CG570">
        <v>6</v>
      </c>
      <c r="CH570">
        <v>0</v>
      </c>
      <c r="CI570">
        <v>58.95</v>
      </c>
      <c r="CJ570">
        <v>518.86270000000002</v>
      </c>
    </row>
    <row r="571" spans="1:88">
      <c r="A571">
        <v>569</v>
      </c>
      <c r="B571" t="s">
        <v>13</v>
      </c>
      <c r="C571" t="s">
        <v>1</v>
      </c>
      <c r="D571" t="s">
        <v>314</v>
      </c>
      <c r="E571" t="s">
        <v>438</v>
      </c>
      <c r="F571" t="s">
        <v>479</v>
      </c>
      <c r="G571" t="s">
        <v>106</v>
      </c>
      <c r="H571" t="s">
        <v>594</v>
      </c>
      <c r="J571">
        <v>2</v>
      </c>
      <c r="K571" t="s">
        <v>108</v>
      </c>
      <c r="L571" t="s">
        <v>399</v>
      </c>
      <c r="M571" t="s">
        <v>467</v>
      </c>
      <c r="N571" t="s">
        <v>382</v>
      </c>
      <c r="O571">
        <v>97</v>
      </c>
      <c r="Q571">
        <v>430</v>
      </c>
      <c r="R571">
        <v>100</v>
      </c>
      <c r="S571">
        <v>4.25</v>
      </c>
      <c r="T571">
        <v>2.7040000000000002</v>
      </c>
      <c r="U571">
        <v>5.85</v>
      </c>
      <c r="V571">
        <v>1827.11</v>
      </c>
      <c r="W571">
        <v>585</v>
      </c>
      <c r="X571">
        <v>1.3332999999999999</v>
      </c>
      <c r="Y571">
        <v>453</v>
      </c>
      <c r="Z571">
        <v>4.03</v>
      </c>
      <c r="AJ571">
        <v>2</v>
      </c>
      <c r="AK571">
        <v>18</v>
      </c>
      <c r="AM571">
        <v>0</v>
      </c>
      <c r="AO571" t="s">
        <v>571</v>
      </c>
      <c r="AT571">
        <v>39</v>
      </c>
      <c r="AV571">
        <v>56.9</v>
      </c>
      <c r="AW571">
        <v>0</v>
      </c>
      <c r="AX571">
        <v>0</v>
      </c>
      <c r="AY571">
        <v>44.75</v>
      </c>
      <c r="AZ571">
        <v>3.75</v>
      </c>
      <c r="BA571">
        <v>0</v>
      </c>
      <c r="BB571">
        <v>0</v>
      </c>
      <c r="BC571">
        <v>48</v>
      </c>
      <c r="BN571">
        <v>272.85000000000002</v>
      </c>
      <c r="BO571">
        <v>1394</v>
      </c>
      <c r="BP571">
        <v>0</v>
      </c>
      <c r="BQ571">
        <v>33</v>
      </c>
      <c r="BR571">
        <v>33</v>
      </c>
      <c r="BS571">
        <v>32.86</v>
      </c>
      <c r="BT571">
        <v>0</v>
      </c>
      <c r="BV571">
        <v>0</v>
      </c>
      <c r="BW571" t="s">
        <v>655</v>
      </c>
      <c r="BX571">
        <v>0.17</v>
      </c>
      <c r="BY571">
        <v>5.5861999999999998</v>
      </c>
      <c r="BZ571">
        <v>0</v>
      </c>
      <c r="CA571">
        <v>1</v>
      </c>
      <c r="CB571">
        <v>0.6</v>
      </c>
      <c r="CC571" s="3">
        <v>7.1269159999999998E-2</v>
      </c>
      <c r="CD571">
        <v>2.875</v>
      </c>
      <c r="CE571">
        <v>2.5</v>
      </c>
      <c r="CF571">
        <v>18</v>
      </c>
      <c r="CG571">
        <v>6</v>
      </c>
      <c r="CH571">
        <v>0</v>
      </c>
      <c r="CI571">
        <v>32.86</v>
      </c>
      <c r="CJ571">
        <v>367.38630000000001</v>
      </c>
    </row>
    <row r="572" spans="1:88">
      <c r="A572">
        <v>570</v>
      </c>
      <c r="B572" t="s">
        <v>0</v>
      </c>
      <c r="C572" t="s">
        <v>1</v>
      </c>
      <c r="D572" t="s">
        <v>2</v>
      </c>
      <c r="E572" t="s">
        <v>5</v>
      </c>
      <c r="F572" t="s">
        <v>154</v>
      </c>
      <c r="G572" t="s">
        <v>106</v>
      </c>
      <c r="H572" t="s">
        <v>217</v>
      </c>
      <c r="J572">
        <v>2</v>
      </c>
      <c r="K572" t="s">
        <v>146</v>
      </c>
      <c r="L572" t="s">
        <v>162</v>
      </c>
      <c r="M572" t="s">
        <v>155</v>
      </c>
      <c r="N572" t="s">
        <v>176</v>
      </c>
      <c r="O572">
        <v>110</v>
      </c>
      <c r="Q572">
        <v>308</v>
      </c>
      <c r="R572">
        <v>67</v>
      </c>
      <c r="S572">
        <v>4.25</v>
      </c>
      <c r="T572">
        <v>3.05</v>
      </c>
      <c r="U572">
        <v>6.11</v>
      </c>
      <c r="V572">
        <v>1307.3</v>
      </c>
      <c r="W572">
        <v>410</v>
      </c>
      <c r="X572">
        <v>1.3332999999999999</v>
      </c>
      <c r="Y572">
        <v>298</v>
      </c>
      <c r="Z572">
        <v>4.38</v>
      </c>
      <c r="AJ572">
        <v>2</v>
      </c>
      <c r="AK572">
        <v>18</v>
      </c>
      <c r="AM572">
        <v>0</v>
      </c>
      <c r="AO572" t="s">
        <v>218</v>
      </c>
      <c r="AT572">
        <v>44</v>
      </c>
      <c r="AV572">
        <v>36.1</v>
      </c>
      <c r="AW572">
        <v>0</v>
      </c>
      <c r="AX572">
        <v>0</v>
      </c>
      <c r="AY572">
        <v>32.625</v>
      </c>
      <c r="AZ572">
        <v>3.5</v>
      </c>
      <c r="BA572">
        <v>0</v>
      </c>
      <c r="BB572">
        <v>0</v>
      </c>
      <c r="BC572">
        <v>31</v>
      </c>
      <c r="BN572">
        <v>171.2</v>
      </c>
      <c r="BO572">
        <v>3540</v>
      </c>
      <c r="BP572">
        <v>0</v>
      </c>
      <c r="BQ572">
        <v>37</v>
      </c>
      <c r="BR572">
        <v>37</v>
      </c>
      <c r="BS572">
        <v>37.39</v>
      </c>
      <c r="BT572">
        <v>0</v>
      </c>
      <c r="BV572">
        <v>0</v>
      </c>
      <c r="BW572" t="s">
        <v>655</v>
      </c>
      <c r="BX572">
        <v>0.17</v>
      </c>
      <c r="BY572">
        <v>6.3563000000000001</v>
      </c>
      <c r="BZ572">
        <v>0</v>
      </c>
      <c r="CA572">
        <v>1</v>
      </c>
      <c r="CB572">
        <v>0.6</v>
      </c>
      <c r="CC572" s="3">
        <v>7.1269159999999998E-2</v>
      </c>
      <c r="CD572">
        <v>2.875</v>
      </c>
      <c r="CE572">
        <v>2.5</v>
      </c>
      <c r="CF572">
        <v>18</v>
      </c>
      <c r="CG572">
        <v>6</v>
      </c>
      <c r="CH572">
        <v>0</v>
      </c>
      <c r="CI572">
        <v>37.39</v>
      </c>
      <c r="CJ572">
        <v>265.14299999999997</v>
      </c>
    </row>
    <row r="573" spans="1:88">
      <c r="A573">
        <v>571</v>
      </c>
      <c r="B573" t="s">
        <v>0</v>
      </c>
      <c r="C573" t="s">
        <v>1</v>
      </c>
      <c r="D573" t="s">
        <v>5</v>
      </c>
      <c r="E573" t="s">
        <v>382</v>
      </c>
      <c r="F573" t="s">
        <v>159</v>
      </c>
      <c r="G573" t="s">
        <v>106</v>
      </c>
      <c r="H573" t="s">
        <v>139</v>
      </c>
      <c r="J573">
        <v>2</v>
      </c>
      <c r="K573" t="s">
        <v>146</v>
      </c>
      <c r="L573" t="s">
        <v>229</v>
      </c>
      <c r="M573" t="s">
        <v>318</v>
      </c>
      <c r="N573" t="s">
        <v>366</v>
      </c>
      <c r="O573">
        <v>100</v>
      </c>
      <c r="Q573">
        <v>291</v>
      </c>
      <c r="R573">
        <v>69</v>
      </c>
      <c r="S573">
        <v>4.25</v>
      </c>
      <c r="T573">
        <v>2.7850000000000001</v>
      </c>
      <c r="U573">
        <v>5.92</v>
      </c>
      <c r="V573">
        <v>1235.3900000000001</v>
      </c>
      <c r="W573">
        <v>407</v>
      </c>
      <c r="X573">
        <v>1.3332999999999999</v>
      </c>
      <c r="Y573">
        <v>301</v>
      </c>
      <c r="Z573">
        <v>4.1100000000000003</v>
      </c>
      <c r="AJ573">
        <v>2</v>
      </c>
      <c r="AK573">
        <v>18</v>
      </c>
      <c r="AM573">
        <v>0</v>
      </c>
      <c r="AO573" t="s">
        <v>385</v>
      </c>
      <c r="AT573">
        <v>40</v>
      </c>
      <c r="AV573">
        <v>37.200000000000003</v>
      </c>
      <c r="AW573">
        <v>0</v>
      </c>
      <c r="AX573">
        <v>0</v>
      </c>
      <c r="AY573">
        <v>32.375</v>
      </c>
      <c r="AZ573">
        <v>3.375</v>
      </c>
      <c r="BA573">
        <v>0</v>
      </c>
      <c r="BB573">
        <v>0</v>
      </c>
      <c r="BC573">
        <v>31</v>
      </c>
      <c r="BN573">
        <v>176.55</v>
      </c>
      <c r="BO573">
        <v>3329</v>
      </c>
      <c r="BP573">
        <v>0</v>
      </c>
      <c r="BQ573">
        <v>34</v>
      </c>
      <c r="BR573">
        <v>34</v>
      </c>
      <c r="BS573">
        <v>33.909999999999997</v>
      </c>
      <c r="BT573">
        <v>0</v>
      </c>
      <c r="BV573">
        <v>0</v>
      </c>
      <c r="BW573" t="s">
        <v>655</v>
      </c>
      <c r="BX573">
        <v>0.17</v>
      </c>
      <c r="BY573">
        <v>5.7647000000000004</v>
      </c>
      <c r="BZ573">
        <v>0</v>
      </c>
      <c r="CA573">
        <v>1</v>
      </c>
      <c r="CB573">
        <v>0.6</v>
      </c>
      <c r="CC573" s="3">
        <v>7.1269159999999998E-2</v>
      </c>
      <c r="CD573">
        <v>2.875</v>
      </c>
      <c r="CE573">
        <v>2.5</v>
      </c>
      <c r="CF573">
        <v>18</v>
      </c>
      <c r="CG573">
        <v>6</v>
      </c>
      <c r="CH573">
        <v>0</v>
      </c>
      <c r="CI573">
        <v>33.909999999999997</v>
      </c>
      <c r="CJ573">
        <v>247.71559999999999</v>
      </c>
    </row>
    <row r="574" spans="1:88">
      <c r="A574">
        <v>572</v>
      </c>
      <c r="B574" t="s">
        <v>13</v>
      </c>
      <c r="C574" t="s">
        <v>1</v>
      </c>
      <c r="D574" t="s">
        <v>195</v>
      </c>
      <c r="E574" t="s">
        <v>316</v>
      </c>
      <c r="F574" t="s">
        <v>435</v>
      </c>
      <c r="G574" t="s">
        <v>106</v>
      </c>
      <c r="H574" t="s">
        <v>363</v>
      </c>
      <c r="J574">
        <v>2</v>
      </c>
      <c r="K574" t="s">
        <v>146</v>
      </c>
      <c r="L574" t="s">
        <v>457</v>
      </c>
      <c r="M574" t="s">
        <v>591</v>
      </c>
      <c r="N574" t="s">
        <v>197</v>
      </c>
      <c r="O574">
        <v>170</v>
      </c>
      <c r="Q574">
        <v>635</v>
      </c>
      <c r="R574">
        <v>89</v>
      </c>
      <c r="S574">
        <v>4.25</v>
      </c>
      <c r="T574">
        <v>4.5149999999999997</v>
      </c>
      <c r="U574">
        <v>6.9</v>
      </c>
      <c r="V574">
        <v>2699.77</v>
      </c>
      <c r="W574">
        <v>617</v>
      </c>
      <c r="X574">
        <v>1.3332999999999999</v>
      </c>
      <c r="Y574">
        <v>462</v>
      </c>
      <c r="Z574">
        <v>5.84</v>
      </c>
      <c r="AJ574">
        <v>2</v>
      </c>
      <c r="AK574">
        <v>18</v>
      </c>
      <c r="AM574">
        <v>0</v>
      </c>
      <c r="AO574" t="s">
        <v>461</v>
      </c>
      <c r="AT574">
        <v>64</v>
      </c>
      <c r="AV574">
        <v>50.2</v>
      </c>
      <c r="AW574" t="s">
        <v>6</v>
      </c>
      <c r="AX574" t="s">
        <v>6</v>
      </c>
      <c r="AY574" t="s">
        <v>6</v>
      </c>
      <c r="AZ574" t="s">
        <v>6</v>
      </c>
      <c r="BA574" t="s">
        <v>6</v>
      </c>
      <c r="BB574" t="s">
        <v>6</v>
      </c>
      <c r="BC574" t="s">
        <v>6</v>
      </c>
      <c r="BD574" t="s">
        <v>6</v>
      </c>
      <c r="BE574" t="s">
        <v>6</v>
      </c>
      <c r="BF574" t="s">
        <v>6</v>
      </c>
      <c r="BG574" t="s">
        <v>6</v>
      </c>
      <c r="BH574" t="s">
        <v>6</v>
      </c>
      <c r="BI574" t="s">
        <v>6</v>
      </c>
      <c r="BJ574" t="s">
        <v>6</v>
      </c>
      <c r="BN574">
        <v>240.75</v>
      </c>
      <c r="BO574">
        <v>1790</v>
      </c>
      <c r="BP574">
        <v>0</v>
      </c>
      <c r="BQ574">
        <v>58</v>
      </c>
      <c r="BR574">
        <v>58</v>
      </c>
      <c r="BS574">
        <v>58.26</v>
      </c>
      <c r="BT574">
        <v>0</v>
      </c>
      <c r="BV574">
        <v>0</v>
      </c>
      <c r="BW574" t="s">
        <v>655</v>
      </c>
      <c r="BX574">
        <v>0.17</v>
      </c>
      <c r="BY574">
        <v>9.9041990000000002</v>
      </c>
      <c r="BZ574">
        <v>0</v>
      </c>
      <c r="CA574">
        <v>1</v>
      </c>
      <c r="CB574">
        <v>0.6</v>
      </c>
      <c r="CC574" s="3">
        <v>7.1269159999999998E-2</v>
      </c>
      <c r="CD574">
        <v>2.875</v>
      </c>
      <c r="CE574">
        <v>2.5</v>
      </c>
      <c r="CF574">
        <v>18</v>
      </c>
      <c r="CG574">
        <v>6</v>
      </c>
      <c r="CH574">
        <v>0</v>
      </c>
      <c r="CI574">
        <v>58.26</v>
      </c>
      <c r="CJ574">
        <v>575.07159999999999</v>
      </c>
    </row>
    <row r="575" spans="1:88">
      <c r="A575">
        <v>573</v>
      </c>
      <c r="B575" t="s">
        <v>13</v>
      </c>
      <c r="C575" t="s">
        <v>1</v>
      </c>
      <c r="D575" t="s">
        <v>381</v>
      </c>
      <c r="E575" t="s">
        <v>133</v>
      </c>
      <c r="F575" t="s">
        <v>132</v>
      </c>
      <c r="G575" t="s">
        <v>106</v>
      </c>
      <c r="H575" t="s">
        <v>340</v>
      </c>
      <c r="J575">
        <v>2</v>
      </c>
      <c r="K575" t="s">
        <v>146</v>
      </c>
      <c r="L575" t="s">
        <v>353</v>
      </c>
      <c r="M575" t="s">
        <v>194</v>
      </c>
      <c r="N575" t="s">
        <v>195</v>
      </c>
      <c r="O575">
        <v>143</v>
      </c>
      <c r="Q575">
        <v>514</v>
      </c>
      <c r="R575">
        <v>85</v>
      </c>
      <c r="S575">
        <v>4.25</v>
      </c>
      <c r="T575">
        <v>3.88</v>
      </c>
      <c r="U575">
        <v>6.6</v>
      </c>
      <c r="V575">
        <v>2184.2399999999998</v>
      </c>
      <c r="W575">
        <v>564</v>
      </c>
      <c r="X575">
        <v>1.3332999999999999</v>
      </c>
      <c r="Y575">
        <v>419</v>
      </c>
      <c r="Z575">
        <v>5.21</v>
      </c>
      <c r="AJ575">
        <v>2</v>
      </c>
      <c r="AK575">
        <v>18</v>
      </c>
      <c r="AM575">
        <v>0</v>
      </c>
      <c r="AO575" t="s">
        <v>359</v>
      </c>
      <c r="AT575">
        <v>55</v>
      </c>
      <c r="AV575">
        <v>47.7</v>
      </c>
      <c r="AW575">
        <v>0.46875</v>
      </c>
      <c r="AX575">
        <v>3.75</v>
      </c>
      <c r="AY575">
        <v>53.625</v>
      </c>
      <c r="AZ575">
        <v>4.875</v>
      </c>
      <c r="BA575">
        <v>378.27</v>
      </c>
      <c r="BB575">
        <v>5.21</v>
      </c>
      <c r="BC575">
        <v>58</v>
      </c>
      <c r="BD575">
        <v>0.25</v>
      </c>
      <c r="BE575">
        <v>2.75</v>
      </c>
      <c r="BF575">
        <v>28</v>
      </c>
      <c r="BG575">
        <v>2.625</v>
      </c>
      <c r="BH575">
        <v>40.96</v>
      </c>
      <c r="BI575">
        <v>8.3800000000000008</v>
      </c>
      <c r="BJ575">
        <v>12</v>
      </c>
      <c r="BL575">
        <v>419.23</v>
      </c>
      <c r="BM575">
        <v>69</v>
      </c>
      <c r="BN575">
        <v>228.26669999999999</v>
      </c>
      <c r="BO575">
        <v>1992</v>
      </c>
      <c r="BP575">
        <v>0</v>
      </c>
      <c r="BQ575">
        <v>49</v>
      </c>
      <c r="BR575">
        <v>49</v>
      </c>
      <c r="BS575">
        <v>48.86</v>
      </c>
      <c r="BT575">
        <v>0</v>
      </c>
      <c r="BV575">
        <v>0</v>
      </c>
      <c r="BW575" t="s">
        <v>655</v>
      </c>
      <c r="BX575">
        <v>0.17</v>
      </c>
      <c r="BY575">
        <v>8.3062000000000005</v>
      </c>
      <c r="BZ575">
        <v>0</v>
      </c>
      <c r="CA575">
        <v>1</v>
      </c>
      <c r="CB575">
        <v>0.6</v>
      </c>
      <c r="CC575" s="3">
        <v>7.1269159999999998E-2</v>
      </c>
      <c r="CD575">
        <v>2.875</v>
      </c>
      <c r="CE575">
        <v>2.5</v>
      </c>
      <c r="CF575">
        <v>18</v>
      </c>
      <c r="CG575">
        <v>6</v>
      </c>
      <c r="CH575">
        <v>0</v>
      </c>
      <c r="CI575">
        <v>48.86</v>
      </c>
      <c r="CJ575">
        <v>457.91070000000002</v>
      </c>
    </row>
    <row r="576" spans="1:88">
      <c r="A576">
        <v>574</v>
      </c>
      <c r="B576" t="s">
        <v>0</v>
      </c>
      <c r="C576" t="s">
        <v>1</v>
      </c>
      <c r="D576" t="s">
        <v>330</v>
      </c>
      <c r="E576" t="s">
        <v>382</v>
      </c>
      <c r="F576" t="s">
        <v>490</v>
      </c>
      <c r="G576" t="s">
        <v>106</v>
      </c>
      <c r="H576" t="s">
        <v>338</v>
      </c>
      <c r="J576">
        <v>2</v>
      </c>
      <c r="K576" t="s">
        <v>146</v>
      </c>
      <c r="L576" t="s">
        <v>229</v>
      </c>
      <c r="M576" t="s">
        <v>318</v>
      </c>
      <c r="N576" t="s">
        <v>366</v>
      </c>
      <c r="O576">
        <v>100</v>
      </c>
      <c r="Q576">
        <v>363</v>
      </c>
      <c r="R576">
        <v>84</v>
      </c>
      <c r="S576">
        <v>4.25</v>
      </c>
      <c r="T576">
        <v>2.7850000000000001</v>
      </c>
      <c r="U576">
        <v>5.92</v>
      </c>
      <c r="V576">
        <v>1542.53</v>
      </c>
      <c r="W576">
        <v>496</v>
      </c>
      <c r="X576">
        <v>1.3332999999999999</v>
      </c>
      <c r="Y576">
        <v>375</v>
      </c>
      <c r="Z576">
        <v>4.1100000000000003</v>
      </c>
      <c r="AJ576">
        <v>2</v>
      </c>
      <c r="AK576">
        <v>18</v>
      </c>
      <c r="AM576">
        <v>0</v>
      </c>
      <c r="AO576" t="s">
        <v>339</v>
      </c>
      <c r="AT576">
        <v>40</v>
      </c>
      <c r="AV576">
        <v>46.6</v>
      </c>
      <c r="AW576">
        <v>0</v>
      </c>
      <c r="AX576">
        <v>0</v>
      </c>
      <c r="AY576">
        <v>37.875</v>
      </c>
      <c r="AZ576">
        <v>3.625</v>
      </c>
      <c r="BA576">
        <v>0</v>
      </c>
      <c r="BB576">
        <v>0</v>
      </c>
      <c r="BC576">
        <v>38</v>
      </c>
      <c r="BN576">
        <v>222.91669999999999</v>
      </c>
      <c r="BO576">
        <v>2088</v>
      </c>
      <c r="BP576">
        <v>0</v>
      </c>
      <c r="BQ576">
        <v>34</v>
      </c>
      <c r="BR576">
        <v>34</v>
      </c>
      <c r="BS576">
        <v>33.909999999999997</v>
      </c>
      <c r="BT576">
        <v>0</v>
      </c>
      <c r="BV576">
        <v>0</v>
      </c>
      <c r="BW576" t="s">
        <v>655</v>
      </c>
      <c r="BX576">
        <v>0.17</v>
      </c>
      <c r="BY576">
        <v>5.7647000000000004</v>
      </c>
      <c r="BZ576">
        <v>0</v>
      </c>
      <c r="CA576">
        <v>1</v>
      </c>
      <c r="CB576">
        <v>0.6</v>
      </c>
      <c r="CC576" s="3">
        <v>7.1269159999999998E-2</v>
      </c>
      <c r="CD576">
        <v>2.875</v>
      </c>
      <c r="CE576">
        <v>2.5</v>
      </c>
      <c r="CF576">
        <v>18</v>
      </c>
      <c r="CG576">
        <v>6</v>
      </c>
      <c r="CH576">
        <v>0</v>
      </c>
      <c r="CI576">
        <v>33.909999999999997</v>
      </c>
      <c r="CJ576">
        <v>310.55070000000001</v>
      </c>
    </row>
    <row r="577" spans="1:88">
      <c r="A577">
        <v>575</v>
      </c>
      <c r="B577" t="s">
        <v>13</v>
      </c>
      <c r="C577" t="s">
        <v>1</v>
      </c>
      <c r="D577" t="s">
        <v>5</v>
      </c>
      <c r="E577" t="s">
        <v>5</v>
      </c>
      <c r="F577" t="s">
        <v>159</v>
      </c>
      <c r="G577" t="s">
        <v>106</v>
      </c>
      <c r="H577" t="s">
        <v>139</v>
      </c>
      <c r="J577">
        <v>2</v>
      </c>
      <c r="K577" t="s">
        <v>146</v>
      </c>
      <c r="L577" t="s">
        <v>162</v>
      </c>
      <c r="M577" t="s">
        <v>155</v>
      </c>
      <c r="N577" t="s">
        <v>176</v>
      </c>
      <c r="O577">
        <v>110</v>
      </c>
      <c r="Q577">
        <v>317</v>
      </c>
      <c r="R577">
        <v>69</v>
      </c>
      <c r="S577">
        <v>4.25</v>
      </c>
      <c r="T577">
        <v>3.05</v>
      </c>
      <c r="U577">
        <v>6.11</v>
      </c>
      <c r="V577">
        <v>1345.93</v>
      </c>
      <c r="W577">
        <v>420</v>
      </c>
      <c r="X577">
        <v>1.3332999999999999</v>
      </c>
      <c r="Y577">
        <v>307</v>
      </c>
      <c r="Z577">
        <v>4.38</v>
      </c>
      <c r="AJ577">
        <v>2</v>
      </c>
      <c r="AK577">
        <v>18</v>
      </c>
      <c r="AM577">
        <v>0</v>
      </c>
      <c r="AO577" t="s">
        <v>385</v>
      </c>
      <c r="AT577">
        <v>44</v>
      </c>
      <c r="AV577">
        <v>37.200000000000003</v>
      </c>
      <c r="AW577">
        <v>0</v>
      </c>
      <c r="AX577">
        <v>0</v>
      </c>
      <c r="AY577">
        <v>46.25</v>
      </c>
      <c r="AZ577">
        <v>3.875</v>
      </c>
      <c r="BA577">
        <v>0</v>
      </c>
      <c r="BB577">
        <v>0</v>
      </c>
      <c r="BC577">
        <v>47</v>
      </c>
      <c r="BN577">
        <v>176.55</v>
      </c>
      <c r="BO577">
        <v>3329</v>
      </c>
      <c r="BP577">
        <v>0</v>
      </c>
      <c r="BQ577">
        <v>37</v>
      </c>
      <c r="BR577">
        <v>37</v>
      </c>
      <c r="BS577">
        <v>37.39</v>
      </c>
      <c r="BT577">
        <v>0</v>
      </c>
      <c r="BV577">
        <v>0</v>
      </c>
      <c r="BW577" t="s">
        <v>655</v>
      </c>
      <c r="BX577">
        <v>0.17</v>
      </c>
      <c r="BY577">
        <v>6.3563000000000001</v>
      </c>
      <c r="BZ577">
        <v>0</v>
      </c>
      <c r="CA577">
        <v>1</v>
      </c>
      <c r="CB577">
        <v>0.6</v>
      </c>
      <c r="CC577" s="3">
        <v>7.1269159999999998E-2</v>
      </c>
      <c r="CD577">
        <v>2.875</v>
      </c>
      <c r="CE577">
        <v>2.5</v>
      </c>
      <c r="CF577">
        <v>18</v>
      </c>
      <c r="CG577">
        <v>6</v>
      </c>
      <c r="CH577">
        <v>0</v>
      </c>
      <c r="CI577">
        <v>37.39</v>
      </c>
      <c r="CJ577">
        <v>273.13729999999998</v>
      </c>
    </row>
    <row r="578" spans="1:88">
      <c r="A578">
        <v>576</v>
      </c>
      <c r="B578" t="s">
        <v>0</v>
      </c>
      <c r="C578" t="s">
        <v>1</v>
      </c>
      <c r="D578" t="s">
        <v>150</v>
      </c>
      <c r="E578" t="s">
        <v>464</v>
      </c>
      <c r="F578" t="s">
        <v>152</v>
      </c>
      <c r="G578" t="s">
        <v>106</v>
      </c>
      <c r="H578" t="s">
        <v>5</v>
      </c>
      <c r="J578">
        <v>2</v>
      </c>
      <c r="K578" t="s">
        <v>146</v>
      </c>
      <c r="L578" t="s">
        <v>227</v>
      </c>
      <c r="M578" t="s">
        <v>408</v>
      </c>
      <c r="N578" t="s">
        <v>317</v>
      </c>
      <c r="O578">
        <v>96</v>
      </c>
      <c r="Q578">
        <v>283</v>
      </c>
      <c r="R578">
        <v>69</v>
      </c>
      <c r="S578">
        <v>4.25</v>
      </c>
      <c r="T578">
        <v>2.677</v>
      </c>
      <c r="U578">
        <v>5.85</v>
      </c>
      <c r="V578">
        <v>1202.57</v>
      </c>
      <c r="W578">
        <v>406</v>
      </c>
      <c r="X578">
        <v>1.3332999999999999</v>
      </c>
      <c r="Y578">
        <v>300</v>
      </c>
      <c r="Z578">
        <v>4.01</v>
      </c>
      <c r="AJ578">
        <v>2</v>
      </c>
      <c r="AK578">
        <v>18</v>
      </c>
      <c r="AM578">
        <v>0</v>
      </c>
      <c r="AO578" t="s">
        <v>155</v>
      </c>
      <c r="AT578">
        <v>39</v>
      </c>
      <c r="AV578">
        <v>37.5</v>
      </c>
      <c r="AW578">
        <v>0</v>
      </c>
      <c r="AX578">
        <v>0</v>
      </c>
      <c r="AY578">
        <v>32.5</v>
      </c>
      <c r="AZ578">
        <v>3.25</v>
      </c>
      <c r="BA578">
        <v>0</v>
      </c>
      <c r="BB578">
        <v>0</v>
      </c>
      <c r="BC578">
        <v>31</v>
      </c>
      <c r="BN578">
        <v>178.33340000000001</v>
      </c>
      <c r="BO578">
        <v>3263</v>
      </c>
      <c r="BP578">
        <v>0</v>
      </c>
      <c r="BQ578">
        <v>33</v>
      </c>
      <c r="BR578">
        <v>33</v>
      </c>
      <c r="BS578">
        <v>32.520000000000003</v>
      </c>
      <c r="BT578">
        <v>0</v>
      </c>
      <c r="BV578">
        <v>0</v>
      </c>
      <c r="BW578" t="s">
        <v>655</v>
      </c>
      <c r="BX578">
        <v>0.17</v>
      </c>
      <c r="BY578">
        <v>5.5284000000000004</v>
      </c>
      <c r="BZ578">
        <v>0</v>
      </c>
      <c r="CA578">
        <v>1</v>
      </c>
      <c r="CB578">
        <v>0.6</v>
      </c>
      <c r="CC578" s="3">
        <v>7.1269159999999998E-2</v>
      </c>
      <c r="CD578">
        <v>2.875</v>
      </c>
      <c r="CE578">
        <v>2.5</v>
      </c>
      <c r="CF578">
        <v>18</v>
      </c>
      <c r="CG578">
        <v>6</v>
      </c>
      <c r="CH578">
        <v>0</v>
      </c>
      <c r="CI578">
        <v>32.520000000000003</v>
      </c>
      <c r="CJ578">
        <v>239.8792</v>
      </c>
    </row>
    <row r="579" spans="1:88">
      <c r="A579">
        <v>577</v>
      </c>
      <c r="B579" t="s">
        <v>13</v>
      </c>
      <c r="C579" t="s">
        <v>1</v>
      </c>
      <c r="D579" t="s">
        <v>2</v>
      </c>
      <c r="E579" t="s">
        <v>227</v>
      </c>
      <c r="F579" t="s">
        <v>154</v>
      </c>
      <c r="G579" t="s">
        <v>106</v>
      </c>
      <c r="H579" t="s">
        <v>217</v>
      </c>
      <c r="J579">
        <v>2</v>
      </c>
      <c r="K579" t="s">
        <v>146</v>
      </c>
      <c r="L579" t="s">
        <v>330</v>
      </c>
      <c r="M579" t="s">
        <v>129</v>
      </c>
      <c r="N579" t="s">
        <v>169</v>
      </c>
      <c r="O579">
        <v>116</v>
      </c>
      <c r="Q579">
        <v>323</v>
      </c>
      <c r="R579">
        <v>67</v>
      </c>
      <c r="S579">
        <v>4.25</v>
      </c>
      <c r="T579">
        <v>3.206</v>
      </c>
      <c r="U579">
        <v>6.22</v>
      </c>
      <c r="V579">
        <v>1371.51</v>
      </c>
      <c r="W579">
        <v>417</v>
      </c>
      <c r="X579">
        <v>1.3332999999999999</v>
      </c>
      <c r="Y579">
        <v>303</v>
      </c>
      <c r="Z579">
        <v>4.53</v>
      </c>
      <c r="AJ579">
        <v>2</v>
      </c>
      <c r="AK579">
        <v>18</v>
      </c>
      <c r="AM579">
        <v>0</v>
      </c>
      <c r="AO579" t="s">
        <v>218</v>
      </c>
      <c r="AT579">
        <v>46</v>
      </c>
      <c r="AV579">
        <v>36.1</v>
      </c>
      <c r="AW579">
        <v>0</v>
      </c>
      <c r="AX579">
        <v>0</v>
      </c>
      <c r="AY579">
        <v>47</v>
      </c>
      <c r="AZ579">
        <v>4</v>
      </c>
      <c r="BA579">
        <v>0</v>
      </c>
      <c r="BB579">
        <v>0</v>
      </c>
      <c r="BC579">
        <v>48</v>
      </c>
      <c r="BN579">
        <v>171.2</v>
      </c>
      <c r="BO579">
        <v>3540</v>
      </c>
      <c r="BP579">
        <v>0</v>
      </c>
      <c r="BQ579">
        <v>39</v>
      </c>
      <c r="BR579">
        <v>39</v>
      </c>
      <c r="BS579">
        <v>39.47</v>
      </c>
      <c r="BT579">
        <v>0</v>
      </c>
      <c r="BV579">
        <v>0</v>
      </c>
      <c r="BW579" t="s">
        <v>655</v>
      </c>
      <c r="BX579">
        <v>0.17</v>
      </c>
      <c r="BY579">
        <v>6.7099010000000003</v>
      </c>
      <c r="BZ579">
        <v>0</v>
      </c>
      <c r="CA579">
        <v>1</v>
      </c>
      <c r="CB579">
        <v>0.6</v>
      </c>
      <c r="CC579" s="3">
        <v>7.1269159999999998E-2</v>
      </c>
      <c r="CD579">
        <v>2.875</v>
      </c>
      <c r="CE579">
        <v>2.5</v>
      </c>
      <c r="CF579">
        <v>18</v>
      </c>
      <c r="CG579">
        <v>6</v>
      </c>
      <c r="CH579">
        <v>0</v>
      </c>
      <c r="CI579">
        <v>39.47</v>
      </c>
      <c r="CJ579">
        <v>279.8929</v>
      </c>
    </row>
    <row r="580" spans="1:88">
      <c r="A580">
        <v>578</v>
      </c>
      <c r="B580" t="s">
        <v>0</v>
      </c>
      <c r="C580" t="s">
        <v>1</v>
      </c>
      <c r="D580" t="s">
        <v>565</v>
      </c>
      <c r="E580" t="s">
        <v>197</v>
      </c>
      <c r="F580" t="s">
        <v>566</v>
      </c>
      <c r="G580" t="s">
        <v>15</v>
      </c>
      <c r="H580" t="s">
        <v>565</v>
      </c>
      <c r="J580">
        <v>2</v>
      </c>
      <c r="K580" t="s">
        <v>9</v>
      </c>
      <c r="L580" t="s">
        <v>199</v>
      </c>
      <c r="M580" t="s">
        <v>200</v>
      </c>
      <c r="N580" t="s">
        <v>201</v>
      </c>
      <c r="O580">
        <v>173</v>
      </c>
      <c r="Q580">
        <v>1053</v>
      </c>
      <c r="R580">
        <v>143</v>
      </c>
      <c r="S580">
        <v>4.25</v>
      </c>
      <c r="T580">
        <v>4.5830000000000002</v>
      </c>
      <c r="U580">
        <v>6.97</v>
      </c>
      <c r="V580">
        <v>4475.93</v>
      </c>
      <c r="W580">
        <v>993</v>
      </c>
      <c r="X580">
        <v>1.3332999999999999</v>
      </c>
      <c r="Y580">
        <v>757</v>
      </c>
      <c r="Z580">
        <v>5.91</v>
      </c>
      <c r="AJ580">
        <v>2</v>
      </c>
      <c r="AK580">
        <v>18</v>
      </c>
      <c r="AM580">
        <v>0</v>
      </c>
      <c r="AO580" t="s">
        <v>567</v>
      </c>
      <c r="AT580">
        <v>65</v>
      </c>
      <c r="AV580">
        <v>81.900000000000006</v>
      </c>
      <c r="AW580" t="s">
        <v>6</v>
      </c>
      <c r="AX580" t="s">
        <v>6</v>
      </c>
      <c r="AY580" t="s">
        <v>6</v>
      </c>
      <c r="AZ580" t="s">
        <v>6</v>
      </c>
      <c r="BA580" t="s">
        <v>6</v>
      </c>
      <c r="BB580" t="s">
        <v>6</v>
      </c>
      <c r="BC580" t="s">
        <v>6</v>
      </c>
      <c r="BD580" t="s">
        <v>6</v>
      </c>
      <c r="BE580" t="s">
        <v>6</v>
      </c>
      <c r="BF580" t="s">
        <v>6</v>
      </c>
      <c r="BG580" t="s">
        <v>6</v>
      </c>
      <c r="BH580" t="s">
        <v>6</v>
      </c>
      <c r="BI580" t="s">
        <v>6</v>
      </c>
      <c r="BJ580" t="s">
        <v>6</v>
      </c>
      <c r="BN580">
        <v>700.87080000000003</v>
      </c>
      <c r="BO580">
        <v>2227</v>
      </c>
      <c r="BP580">
        <v>0</v>
      </c>
      <c r="BQ580">
        <v>59</v>
      </c>
      <c r="BR580">
        <v>59</v>
      </c>
      <c r="BS580">
        <v>59.3</v>
      </c>
      <c r="BT580">
        <v>0</v>
      </c>
      <c r="BV580">
        <v>6</v>
      </c>
      <c r="BW580" t="s">
        <v>655</v>
      </c>
      <c r="BX580">
        <v>0.27933330000000001</v>
      </c>
      <c r="BY580">
        <v>16.56447</v>
      </c>
      <c r="BZ580">
        <v>0</v>
      </c>
      <c r="CA580">
        <v>1</v>
      </c>
      <c r="CB580">
        <v>0.6</v>
      </c>
      <c r="CC580" s="3">
        <v>7.1269159999999998E-2</v>
      </c>
      <c r="CD580">
        <v>2.875</v>
      </c>
      <c r="CE580">
        <v>2.5</v>
      </c>
      <c r="CF580">
        <v>18</v>
      </c>
      <c r="CG580">
        <v>6</v>
      </c>
      <c r="CH580">
        <v>0</v>
      </c>
      <c r="CI580">
        <v>59.3</v>
      </c>
      <c r="CJ580">
        <v>954.60659999999996</v>
      </c>
    </row>
    <row r="581" spans="1:88">
      <c r="A581">
        <v>579</v>
      </c>
      <c r="B581" t="s">
        <v>0</v>
      </c>
      <c r="C581" t="s">
        <v>1</v>
      </c>
      <c r="D581" t="s">
        <v>425</v>
      </c>
      <c r="E581" t="s">
        <v>502</v>
      </c>
      <c r="F581" t="s">
        <v>290</v>
      </c>
      <c r="G581" t="s">
        <v>15</v>
      </c>
      <c r="H581" t="s">
        <v>426</v>
      </c>
      <c r="J581">
        <v>2</v>
      </c>
      <c r="K581" t="s">
        <v>440</v>
      </c>
      <c r="L581" t="s">
        <v>635</v>
      </c>
      <c r="M581" t="s">
        <v>595</v>
      </c>
      <c r="N581" t="s">
        <v>596</v>
      </c>
      <c r="O581">
        <v>252</v>
      </c>
      <c r="Q581">
        <v>1376</v>
      </c>
      <c r="R581">
        <v>143</v>
      </c>
      <c r="S581">
        <v>4.25</v>
      </c>
      <c r="T581">
        <v>6.2590000000000003</v>
      </c>
      <c r="U581">
        <v>7.95</v>
      </c>
      <c r="V581">
        <v>5847.36</v>
      </c>
      <c r="W581">
        <v>1138</v>
      </c>
      <c r="X581">
        <v>1.5</v>
      </c>
      <c r="Y581">
        <v>754</v>
      </c>
      <c r="Z581">
        <v>7.75</v>
      </c>
      <c r="AJ581">
        <v>2</v>
      </c>
      <c r="AK581">
        <v>18</v>
      </c>
      <c r="AM581">
        <v>0</v>
      </c>
      <c r="AO581" t="s">
        <v>427</v>
      </c>
      <c r="AT581">
        <v>93</v>
      </c>
      <c r="AV581">
        <v>75.400000000000006</v>
      </c>
      <c r="AW581" t="s">
        <v>6</v>
      </c>
      <c r="AX581" t="s">
        <v>6</v>
      </c>
      <c r="AY581" t="s">
        <v>6</v>
      </c>
      <c r="AZ581" t="s">
        <v>6</v>
      </c>
      <c r="BA581" t="s">
        <v>6</v>
      </c>
      <c r="BB581" t="s">
        <v>6</v>
      </c>
      <c r="BC581" t="s">
        <v>6</v>
      </c>
      <c r="BD581" t="s">
        <v>6</v>
      </c>
      <c r="BE581" t="s">
        <v>6</v>
      </c>
      <c r="BF581" t="s">
        <v>6</v>
      </c>
      <c r="BG581" t="s">
        <v>6</v>
      </c>
      <c r="BH581" t="s">
        <v>6</v>
      </c>
      <c r="BI581" t="s">
        <v>6</v>
      </c>
      <c r="BJ581" t="s">
        <v>6</v>
      </c>
      <c r="BN581">
        <v>644.04330000000004</v>
      </c>
      <c r="BO581">
        <v>2637</v>
      </c>
      <c r="BP581">
        <v>0</v>
      </c>
      <c r="BQ581">
        <v>87</v>
      </c>
      <c r="BR581">
        <v>87</v>
      </c>
      <c r="BS581">
        <v>86.78</v>
      </c>
      <c r="BT581">
        <v>0</v>
      </c>
      <c r="BU581" t="s">
        <v>444</v>
      </c>
      <c r="BV581">
        <v>0</v>
      </c>
      <c r="BW581" t="s">
        <v>655</v>
      </c>
      <c r="BX581">
        <v>0.17</v>
      </c>
      <c r="BY581">
        <v>14.752599999999999</v>
      </c>
      <c r="BZ581">
        <v>0</v>
      </c>
      <c r="CA581">
        <v>1</v>
      </c>
      <c r="CB581">
        <v>0.6</v>
      </c>
      <c r="CC581" s="3">
        <v>7.1269159999999998E-2</v>
      </c>
      <c r="CD581">
        <v>2.875</v>
      </c>
      <c r="CE581">
        <v>2.5</v>
      </c>
      <c r="CF581">
        <v>18</v>
      </c>
      <c r="CG581">
        <v>6</v>
      </c>
      <c r="CH581">
        <v>0</v>
      </c>
      <c r="CI581">
        <v>86.78</v>
      </c>
      <c r="CJ581">
        <v>1285.652</v>
      </c>
    </row>
    <row r="582" spans="1:88">
      <c r="A582">
        <v>580</v>
      </c>
      <c r="B582" t="s">
        <v>0</v>
      </c>
      <c r="C582" t="s">
        <v>1</v>
      </c>
      <c r="D582" t="s">
        <v>96</v>
      </c>
      <c r="E582" t="s">
        <v>425</v>
      </c>
      <c r="F582" t="s">
        <v>198</v>
      </c>
      <c r="G582" t="s">
        <v>106</v>
      </c>
      <c r="H582" t="s">
        <v>162</v>
      </c>
      <c r="J582">
        <v>2</v>
      </c>
      <c r="K582" t="s">
        <v>146</v>
      </c>
      <c r="L582" t="s">
        <v>420</v>
      </c>
      <c r="M582" t="s">
        <v>586</v>
      </c>
      <c r="N582" t="s">
        <v>245</v>
      </c>
      <c r="O582">
        <v>215</v>
      </c>
      <c r="Q582">
        <v>708</v>
      </c>
      <c r="R582">
        <v>85</v>
      </c>
      <c r="S582">
        <v>4.25</v>
      </c>
      <c r="T582">
        <v>5.5019999999999998</v>
      </c>
      <c r="U582">
        <v>7.5</v>
      </c>
      <c r="V582">
        <v>3008.66</v>
      </c>
      <c r="W582">
        <v>638</v>
      </c>
      <c r="X582">
        <v>1.5</v>
      </c>
      <c r="Y582">
        <v>430</v>
      </c>
      <c r="Z582">
        <v>7</v>
      </c>
      <c r="AJ582">
        <v>2</v>
      </c>
      <c r="AK582">
        <v>18</v>
      </c>
      <c r="AM582">
        <v>0</v>
      </c>
      <c r="AO582" t="s">
        <v>166</v>
      </c>
      <c r="AT582">
        <v>80</v>
      </c>
      <c r="AV582">
        <v>44.8</v>
      </c>
      <c r="AW582">
        <v>0.4375</v>
      </c>
      <c r="AX582">
        <v>3.75</v>
      </c>
      <c r="AY582">
        <v>60.25</v>
      </c>
      <c r="AZ582">
        <v>6.125</v>
      </c>
      <c r="BA582">
        <v>236.38</v>
      </c>
      <c r="BB582">
        <v>6.96</v>
      </c>
      <c r="BC582">
        <v>61</v>
      </c>
      <c r="BD582">
        <v>0.4375</v>
      </c>
      <c r="BE582">
        <v>3.75</v>
      </c>
      <c r="BF582">
        <v>73.625</v>
      </c>
      <c r="BG582">
        <v>6.125</v>
      </c>
      <c r="BH582">
        <v>193.41</v>
      </c>
      <c r="BI582">
        <v>8.5</v>
      </c>
      <c r="BJ582">
        <v>74</v>
      </c>
      <c r="BL582">
        <v>429.79</v>
      </c>
      <c r="BM582">
        <v>135</v>
      </c>
      <c r="BN582">
        <v>214</v>
      </c>
      <c r="BO582">
        <v>2266</v>
      </c>
      <c r="BP582">
        <v>0</v>
      </c>
      <c r="BQ582">
        <v>74</v>
      </c>
      <c r="BR582">
        <v>74</v>
      </c>
      <c r="BS582">
        <v>73.91001</v>
      </c>
      <c r="BT582">
        <v>0</v>
      </c>
      <c r="BV582">
        <v>0</v>
      </c>
      <c r="BW582" t="s">
        <v>655</v>
      </c>
      <c r="BX582">
        <v>0.17</v>
      </c>
      <c r="BY582">
        <v>12.5647</v>
      </c>
      <c r="BZ582">
        <v>0</v>
      </c>
      <c r="CA582">
        <v>1</v>
      </c>
      <c r="CB582">
        <v>0.6</v>
      </c>
      <c r="CC582" s="3">
        <v>7.1269159999999998E-2</v>
      </c>
      <c r="CD582">
        <v>2.875</v>
      </c>
      <c r="CE582">
        <v>2.5</v>
      </c>
      <c r="CF582">
        <v>18</v>
      </c>
      <c r="CG582">
        <v>6</v>
      </c>
      <c r="CH582">
        <v>0</v>
      </c>
      <c r="CI582">
        <v>73.91001</v>
      </c>
      <c r="CJ582">
        <v>650.5367</v>
      </c>
    </row>
    <row r="583" spans="1:88">
      <c r="A583">
        <v>581</v>
      </c>
      <c r="B583" t="s">
        <v>0</v>
      </c>
      <c r="C583" t="s">
        <v>1</v>
      </c>
      <c r="D583" t="s">
        <v>205</v>
      </c>
      <c r="E583" t="s">
        <v>2</v>
      </c>
      <c r="F583" t="s">
        <v>573</v>
      </c>
      <c r="G583" t="s">
        <v>106</v>
      </c>
      <c r="H583" t="s">
        <v>574</v>
      </c>
      <c r="J583">
        <v>2</v>
      </c>
      <c r="K583" t="s">
        <v>108</v>
      </c>
      <c r="L583" t="s">
        <v>122</v>
      </c>
      <c r="M583" t="s">
        <v>4</v>
      </c>
      <c r="N583" t="s">
        <v>5</v>
      </c>
      <c r="O583">
        <v>107</v>
      </c>
      <c r="Q583">
        <v>528</v>
      </c>
      <c r="R583">
        <v>112</v>
      </c>
      <c r="S583">
        <v>4.25</v>
      </c>
      <c r="T583">
        <v>2.9710000000000001</v>
      </c>
      <c r="U583">
        <v>6.07</v>
      </c>
      <c r="V583">
        <v>2245.9899999999998</v>
      </c>
      <c r="W583">
        <v>677</v>
      </c>
      <c r="X583">
        <v>1.3332999999999999</v>
      </c>
      <c r="Y583">
        <v>522</v>
      </c>
      <c r="Z583">
        <v>4.3</v>
      </c>
      <c r="AJ583">
        <v>2</v>
      </c>
      <c r="AK583">
        <v>18</v>
      </c>
      <c r="AM583">
        <v>0</v>
      </c>
      <c r="AO583" t="s">
        <v>192</v>
      </c>
      <c r="AT583">
        <v>42</v>
      </c>
      <c r="AV583">
        <v>64.2</v>
      </c>
      <c r="AW583">
        <v>0.46875</v>
      </c>
      <c r="AX583">
        <v>3.75</v>
      </c>
      <c r="AY583">
        <v>44.25</v>
      </c>
      <c r="AZ583">
        <v>4</v>
      </c>
      <c r="BA583">
        <v>458.33</v>
      </c>
      <c r="BB583">
        <v>4.3</v>
      </c>
      <c r="BC583">
        <v>48</v>
      </c>
      <c r="BD583">
        <v>0.25</v>
      </c>
      <c r="BE583">
        <v>2.75</v>
      </c>
      <c r="BF583">
        <v>18</v>
      </c>
      <c r="BG583">
        <v>2.125</v>
      </c>
      <c r="BH583">
        <v>63.99</v>
      </c>
      <c r="BI583">
        <v>5.36</v>
      </c>
      <c r="BJ583">
        <v>8</v>
      </c>
      <c r="BL583">
        <v>522.32000000000005</v>
      </c>
      <c r="BM583">
        <v>55</v>
      </c>
      <c r="BN583">
        <v>308.51670000000001</v>
      </c>
      <c r="BO583">
        <v>1090</v>
      </c>
      <c r="BP583">
        <v>0</v>
      </c>
      <c r="BQ583">
        <v>36</v>
      </c>
      <c r="BR583">
        <v>36</v>
      </c>
      <c r="BS583">
        <v>36.340000000000003</v>
      </c>
      <c r="BT583">
        <v>0</v>
      </c>
      <c r="BV583">
        <v>0</v>
      </c>
      <c r="BW583" t="s">
        <v>655</v>
      </c>
      <c r="BX583">
        <v>0.17</v>
      </c>
      <c r="BY583">
        <v>6.1778000000000004</v>
      </c>
      <c r="BZ583">
        <v>0</v>
      </c>
      <c r="CA583">
        <v>1</v>
      </c>
      <c r="CB583">
        <v>0.6</v>
      </c>
      <c r="CC583" s="3">
        <v>7.1269159999999998E-2</v>
      </c>
      <c r="CD583">
        <v>2.875</v>
      </c>
      <c r="CE583">
        <v>2.5</v>
      </c>
      <c r="CF583">
        <v>18</v>
      </c>
      <c r="CG583">
        <v>6</v>
      </c>
      <c r="CH583">
        <v>0</v>
      </c>
      <c r="CI583">
        <v>36.340000000000003</v>
      </c>
      <c r="CJ583">
        <v>458.09230000000002</v>
      </c>
    </row>
    <row r="584" spans="1:88">
      <c r="A584">
        <v>582</v>
      </c>
      <c r="B584" t="s">
        <v>0</v>
      </c>
      <c r="C584" t="s">
        <v>1</v>
      </c>
      <c r="D584" t="s">
        <v>113</v>
      </c>
      <c r="E584" t="s">
        <v>96</v>
      </c>
      <c r="F584" t="s">
        <v>262</v>
      </c>
      <c r="G584" t="s">
        <v>106</v>
      </c>
      <c r="H584" t="s">
        <v>263</v>
      </c>
      <c r="J584">
        <v>2</v>
      </c>
      <c r="K584" t="s">
        <v>108</v>
      </c>
      <c r="L584" t="s">
        <v>293</v>
      </c>
      <c r="M584" t="s">
        <v>100</v>
      </c>
      <c r="N584" t="s">
        <v>101</v>
      </c>
      <c r="O584">
        <v>131</v>
      </c>
      <c r="Q584">
        <v>617</v>
      </c>
      <c r="R584">
        <v>109</v>
      </c>
      <c r="S584">
        <v>4.25</v>
      </c>
      <c r="T584">
        <v>3.5859999999999999</v>
      </c>
      <c r="U584">
        <v>6.37</v>
      </c>
      <c r="V584">
        <v>2623.95</v>
      </c>
      <c r="W584">
        <v>692</v>
      </c>
      <c r="X584">
        <v>1.3332999999999999</v>
      </c>
      <c r="Y584">
        <v>534</v>
      </c>
      <c r="Z584">
        <v>4.91</v>
      </c>
      <c r="AJ584">
        <v>2</v>
      </c>
      <c r="AK584">
        <v>18</v>
      </c>
      <c r="AM584">
        <v>0</v>
      </c>
      <c r="AO584" t="s">
        <v>266</v>
      </c>
      <c r="AT584">
        <v>51</v>
      </c>
      <c r="AV584">
        <v>62.3</v>
      </c>
      <c r="AW584">
        <v>0.40625</v>
      </c>
      <c r="AX584">
        <v>3.75</v>
      </c>
      <c r="AY584">
        <v>36.375</v>
      </c>
      <c r="AZ584">
        <v>4</v>
      </c>
      <c r="BA584">
        <v>267.2</v>
      </c>
      <c r="BB584">
        <v>4.95</v>
      </c>
      <c r="BC584">
        <v>35</v>
      </c>
      <c r="BD584">
        <v>0.40625</v>
      </c>
      <c r="BE584">
        <v>3.75</v>
      </c>
      <c r="BF584">
        <v>36.375</v>
      </c>
      <c r="BG584">
        <v>4</v>
      </c>
      <c r="BH584">
        <v>267.2</v>
      </c>
      <c r="BI584">
        <v>4.95</v>
      </c>
      <c r="BJ584">
        <v>35</v>
      </c>
      <c r="BL584">
        <v>534.4</v>
      </c>
      <c r="BM584">
        <v>69</v>
      </c>
      <c r="BN584">
        <v>299.60000000000002</v>
      </c>
      <c r="BO584">
        <v>1156</v>
      </c>
      <c r="BP584">
        <v>0</v>
      </c>
      <c r="BQ584">
        <v>45</v>
      </c>
      <c r="BR584">
        <v>45</v>
      </c>
      <c r="BS584">
        <v>44.69</v>
      </c>
      <c r="BT584">
        <v>0</v>
      </c>
      <c r="BV584">
        <v>0</v>
      </c>
      <c r="BW584" t="s">
        <v>655</v>
      </c>
      <c r="BX584">
        <v>0.17</v>
      </c>
      <c r="BY584">
        <v>7.5972999999999997</v>
      </c>
      <c r="BZ584">
        <v>0</v>
      </c>
      <c r="CA584">
        <v>1</v>
      </c>
      <c r="CB584">
        <v>0.6</v>
      </c>
      <c r="CC584" s="3">
        <v>7.1269159999999998E-2</v>
      </c>
      <c r="CD584">
        <v>2.875</v>
      </c>
      <c r="CE584">
        <v>2.5</v>
      </c>
      <c r="CF584">
        <v>18</v>
      </c>
      <c r="CG584">
        <v>6</v>
      </c>
      <c r="CH584">
        <v>0</v>
      </c>
      <c r="CI584">
        <v>44.69</v>
      </c>
      <c r="CJ584">
        <v>547.42510000000004</v>
      </c>
    </row>
    <row r="585" spans="1:88">
      <c r="A585">
        <v>583</v>
      </c>
      <c r="B585" t="s">
        <v>13</v>
      </c>
      <c r="C585" t="s">
        <v>1</v>
      </c>
      <c r="D585" t="s">
        <v>113</v>
      </c>
      <c r="E585" t="s">
        <v>201</v>
      </c>
      <c r="F585" t="s">
        <v>262</v>
      </c>
      <c r="G585" t="s">
        <v>106</v>
      </c>
      <c r="H585" t="s">
        <v>263</v>
      </c>
      <c r="J585">
        <v>2</v>
      </c>
      <c r="K585" t="s">
        <v>108</v>
      </c>
      <c r="L585" t="s">
        <v>161</v>
      </c>
      <c r="M585" t="s">
        <v>558</v>
      </c>
      <c r="N585" t="s">
        <v>113</v>
      </c>
      <c r="O585">
        <v>176</v>
      </c>
      <c r="Q585">
        <v>812</v>
      </c>
      <c r="R585">
        <v>109</v>
      </c>
      <c r="S585">
        <v>4.25</v>
      </c>
      <c r="T585">
        <v>4.6509999999999998</v>
      </c>
      <c r="U585">
        <v>7.01</v>
      </c>
      <c r="V585">
        <v>3449.98</v>
      </c>
      <c r="W585">
        <v>761</v>
      </c>
      <c r="X585">
        <v>1.3332999999999999</v>
      </c>
      <c r="Y585">
        <v>577</v>
      </c>
      <c r="Z585">
        <v>5.98</v>
      </c>
      <c r="AJ585">
        <v>2</v>
      </c>
      <c r="AK585">
        <v>18</v>
      </c>
      <c r="AM585">
        <v>0</v>
      </c>
      <c r="AO585" t="s">
        <v>266</v>
      </c>
      <c r="AT585">
        <v>66</v>
      </c>
      <c r="AV585">
        <v>62.3</v>
      </c>
      <c r="AW585">
        <v>0.46875</v>
      </c>
      <c r="AX585">
        <v>3.75</v>
      </c>
      <c r="AY585">
        <v>63.875</v>
      </c>
      <c r="AZ585">
        <v>5.625</v>
      </c>
      <c r="BA585">
        <v>317.3</v>
      </c>
      <c r="BB585">
        <v>6.21</v>
      </c>
      <c r="BC585">
        <v>69</v>
      </c>
      <c r="BD585">
        <v>0.4375</v>
      </c>
      <c r="BE585">
        <v>3.75</v>
      </c>
      <c r="BF585">
        <v>54.75</v>
      </c>
      <c r="BG585">
        <v>5.25</v>
      </c>
      <c r="BH585">
        <v>259.60000000000002</v>
      </c>
      <c r="BI585">
        <v>6.33</v>
      </c>
      <c r="BJ585">
        <v>55</v>
      </c>
      <c r="BL585">
        <v>576.9</v>
      </c>
      <c r="BM585">
        <v>124</v>
      </c>
      <c r="BN585">
        <v>299.60000000000002</v>
      </c>
      <c r="BO585">
        <v>1156</v>
      </c>
      <c r="BP585">
        <v>0</v>
      </c>
      <c r="BQ585">
        <v>60</v>
      </c>
      <c r="BR585">
        <v>60</v>
      </c>
      <c r="BS585">
        <v>60.34</v>
      </c>
      <c r="BT585">
        <v>0</v>
      </c>
      <c r="BV585">
        <v>0</v>
      </c>
      <c r="BW585" t="s">
        <v>655</v>
      </c>
      <c r="BX585">
        <v>0.17</v>
      </c>
      <c r="BY585">
        <v>10.2578</v>
      </c>
      <c r="BZ585">
        <v>0</v>
      </c>
      <c r="CA585">
        <v>1</v>
      </c>
      <c r="CB585">
        <v>0.6</v>
      </c>
      <c r="CC585" s="3">
        <v>7.1269159999999998E-2</v>
      </c>
      <c r="CD585">
        <v>2.875</v>
      </c>
      <c r="CE585">
        <v>2.5</v>
      </c>
      <c r="CF585">
        <v>18</v>
      </c>
      <c r="CG585">
        <v>6</v>
      </c>
      <c r="CH585">
        <v>0</v>
      </c>
      <c r="CI585">
        <v>60.34</v>
      </c>
      <c r="CJ585">
        <v>739.12800000000004</v>
      </c>
    </row>
    <row r="586" spans="1:88">
      <c r="A586">
        <v>584</v>
      </c>
      <c r="B586" t="s">
        <v>0</v>
      </c>
      <c r="C586" t="s">
        <v>1</v>
      </c>
      <c r="D586" t="s">
        <v>363</v>
      </c>
      <c r="E586" t="s">
        <v>135</v>
      </c>
      <c r="F586" t="s">
        <v>256</v>
      </c>
      <c r="G586" t="s">
        <v>106</v>
      </c>
      <c r="H586" t="s">
        <v>364</v>
      </c>
      <c r="J586">
        <v>2</v>
      </c>
      <c r="K586" t="s">
        <v>146</v>
      </c>
      <c r="L586" t="s">
        <v>136</v>
      </c>
      <c r="M586" t="s">
        <v>361</v>
      </c>
      <c r="N586" t="s">
        <v>412</v>
      </c>
      <c r="O586">
        <v>71</v>
      </c>
      <c r="Q586">
        <v>287</v>
      </c>
      <c r="R586">
        <v>89</v>
      </c>
      <c r="S586">
        <v>4.25</v>
      </c>
      <c r="T586">
        <v>1.972</v>
      </c>
      <c r="U586">
        <v>5.47</v>
      </c>
      <c r="V586">
        <v>1221.3599999999999</v>
      </c>
      <c r="W586">
        <v>486</v>
      </c>
      <c r="X586">
        <v>1.3332999999999999</v>
      </c>
      <c r="Y586">
        <v>370</v>
      </c>
      <c r="Z586">
        <v>3.3</v>
      </c>
      <c r="AJ586">
        <v>2</v>
      </c>
      <c r="AK586">
        <v>18</v>
      </c>
      <c r="AM586">
        <v>0</v>
      </c>
      <c r="AO586" t="s">
        <v>298</v>
      </c>
      <c r="AT586">
        <v>30</v>
      </c>
      <c r="AV586">
        <v>49.9</v>
      </c>
      <c r="AW586">
        <v>0</v>
      </c>
      <c r="AX586">
        <v>0</v>
      </c>
      <c r="AY586">
        <v>26.25</v>
      </c>
      <c r="AZ586">
        <v>2.625</v>
      </c>
      <c r="BA586">
        <v>0</v>
      </c>
      <c r="BB586">
        <v>0</v>
      </c>
      <c r="BC586">
        <v>25</v>
      </c>
      <c r="BN586">
        <v>238.9667</v>
      </c>
      <c r="BO586">
        <v>1817</v>
      </c>
      <c r="BP586">
        <v>0</v>
      </c>
      <c r="BQ586">
        <v>24</v>
      </c>
      <c r="BR586">
        <v>24</v>
      </c>
      <c r="BS586">
        <v>23.82</v>
      </c>
      <c r="BT586">
        <v>0</v>
      </c>
      <c r="BV586">
        <v>0</v>
      </c>
      <c r="BW586" t="s">
        <v>655</v>
      </c>
      <c r="BX586">
        <v>0.17</v>
      </c>
      <c r="BY586">
        <v>4.0494000000000003</v>
      </c>
      <c r="BZ586">
        <v>0</v>
      </c>
      <c r="CA586">
        <v>1</v>
      </c>
      <c r="CB586">
        <v>0.6</v>
      </c>
      <c r="CC586" s="3">
        <v>7.1269159999999998E-2</v>
      </c>
      <c r="CD586">
        <v>2.875</v>
      </c>
      <c r="CE586">
        <v>2.5</v>
      </c>
      <c r="CF586">
        <v>18</v>
      </c>
      <c r="CG586">
        <v>6</v>
      </c>
      <c r="CH586">
        <v>0</v>
      </c>
      <c r="CI586">
        <v>23.82</v>
      </c>
      <c r="CJ586">
        <v>233.42429999999999</v>
      </c>
    </row>
    <row r="587" spans="1:88">
      <c r="A587">
        <v>585</v>
      </c>
      <c r="B587" t="s">
        <v>0</v>
      </c>
      <c r="C587" t="s">
        <v>1</v>
      </c>
      <c r="D587" t="s">
        <v>148</v>
      </c>
      <c r="E587" t="s">
        <v>5</v>
      </c>
      <c r="F587" t="s">
        <v>496</v>
      </c>
      <c r="G587" t="s">
        <v>106</v>
      </c>
      <c r="H587" t="s">
        <v>585</v>
      </c>
      <c r="J587">
        <v>2</v>
      </c>
      <c r="K587" t="s">
        <v>108</v>
      </c>
      <c r="L587" t="s">
        <v>162</v>
      </c>
      <c r="M587" t="s">
        <v>155</v>
      </c>
      <c r="N587" t="s">
        <v>176</v>
      </c>
      <c r="O587">
        <v>110</v>
      </c>
      <c r="Q587">
        <v>548</v>
      </c>
      <c r="R587">
        <v>113</v>
      </c>
      <c r="S587">
        <v>4.25</v>
      </c>
      <c r="T587">
        <v>3.05</v>
      </c>
      <c r="U587">
        <v>6.11</v>
      </c>
      <c r="V587">
        <v>2328.7399999999998</v>
      </c>
      <c r="W587">
        <v>690</v>
      </c>
      <c r="X587">
        <v>1.3332999999999999</v>
      </c>
      <c r="Y587">
        <v>532</v>
      </c>
      <c r="Z587">
        <v>4.38</v>
      </c>
      <c r="AJ587">
        <v>2</v>
      </c>
      <c r="AK587">
        <v>18</v>
      </c>
      <c r="AM587">
        <v>0</v>
      </c>
      <c r="AO587" t="s">
        <v>573</v>
      </c>
      <c r="AT587">
        <v>44</v>
      </c>
      <c r="AV587">
        <v>64.900000000000006</v>
      </c>
      <c r="AW587">
        <v>0.40625</v>
      </c>
      <c r="AX587">
        <v>3.75</v>
      </c>
      <c r="AY587">
        <v>33.25</v>
      </c>
      <c r="AZ587">
        <v>3.5</v>
      </c>
      <c r="BA587">
        <v>292.41000000000003</v>
      </c>
      <c r="BB587">
        <v>4.5199999999999996</v>
      </c>
      <c r="BC587">
        <v>32</v>
      </c>
      <c r="BD587">
        <v>0.375</v>
      </c>
      <c r="BE587">
        <v>3.75</v>
      </c>
      <c r="BF587">
        <v>27</v>
      </c>
      <c r="BG587">
        <v>3.25</v>
      </c>
      <c r="BH587">
        <v>239.25</v>
      </c>
      <c r="BI587">
        <v>4.5</v>
      </c>
      <c r="BJ587">
        <v>24</v>
      </c>
      <c r="BL587">
        <v>531.66010000000006</v>
      </c>
      <c r="BM587">
        <v>55</v>
      </c>
      <c r="BN587">
        <v>312.08339999999998</v>
      </c>
      <c r="BO587">
        <v>1065</v>
      </c>
      <c r="BP587">
        <v>0</v>
      </c>
      <c r="BQ587">
        <v>37</v>
      </c>
      <c r="BR587">
        <v>37</v>
      </c>
      <c r="BS587">
        <v>37.39</v>
      </c>
      <c r="BT587">
        <v>0</v>
      </c>
      <c r="BV587">
        <v>0</v>
      </c>
      <c r="BW587" t="s">
        <v>655</v>
      </c>
      <c r="BX587">
        <v>0.17</v>
      </c>
      <c r="BY587">
        <v>6.3563000000000001</v>
      </c>
      <c r="BZ587">
        <v>0</v>
      </c>
      <c r="CA587">
        <v>1</v>
      </c>
      <c r="CB587">
        <v>0.6</v>
      </c>
      <c r="CC587" s="3">
        <v>7.1269159999999998E-2</v>
      </c>
      <c r="CD587">
        <v>2.875</v>
      </c>
      <c r="CE587">
        <v>2.5</v>
      </c>
      <c r="CF587">
        <v>18</v>
      </c>
      <c r="CG587">
        <v>6</v>
      </c>
      <c r="CH587">
        <v>0</v>
      </c>
      <c r="CI587">
        <v>37.39</v>
      </c>
      <c r="CJ587">
        <v>476.65780000000001</v>
      </c>
    </row>
    <row r="588" spans="1:88">
      <c r="A588">
        <v>586</v>
      </c>
      <c r="B588" t="s">
        <v>13</v>
      </c>
      <c r="C588" t="s">
        <v>1</v>
      </c>
      <c r="D588" t="s">
        <v>96</v>
      </c>
      <c r="E588" t="s">
        <v>133</v>
      </c>
      <c r="F588" t="s">
        <v>198</v>
      </c>
      <c r="G588" t="s">
        <v>106</v>
      </c>
      <c r="H588" t="s">
        <v>162</v>
      </c>
      <c r="J588">
        <v>2</v>
      </c>
      <c r="K588" t="s">
        <v>146</v>
      </c>
      <c r="L588" t="s">
        <v>353</v>
      </c>
      <c r="M588" t="s">
        <v>194</v>
      </c>
      <c r="N588" t="s">
        <v>195</v>
      </c>
      <c r="O588">
        <v>143</v>
      </c>
      <c r="Q588">
        <v>483</v>
      </c>
      <c r="R588">
        <v>81</v>
      </c>
      <c r="S588">
        <v>4.25</v>
      </c>
      <c r="T588">
        <v>3.88</v>
      </c>
      <c r="U588">
        <v>6.6</v>
      </c>
      <c r="V588">
        <v>2053.4699999999998</v>
      </c>
      <c r="W588">
        <v>534</v>
      </c>
      <c r="X588">
        <v>1.3332999999999999</v>
      </c>
      <c r="Y588">
        <v>394</v>
      </c>
      <c r="Z588">
        <v>5.21</v>
      </c>
      <c r="AJ588">
        <v>2</v>
      </c>
      <c r="AK588">
        <v>18</v>
      </c>
      <c r="AM588">
        <v>0</v>
      </c>
      <c r="AO588" t="s">
        <v>166</v>
      </c>
      <c r="AT588">
        <v>55</v>
      </c>
      <c r="AV588">
        <v>44.8</v>
      </c>
      <c r="AW588">
        <v>0.46875</v>
      </c>
      <c r="AX588">
        <v>3.75</v>
      </c>
      <c r="AY588">
        <v>53.625</v>
      </c>
      <c r="AZ588">
        <v>4.875</v>
      </c>
      <c r="BA588">
        <v>378.27</v>
      </c>
      <c r="BB588">
        <v>5.21</v>
      </c>
      <c r="BC588">
        <v>58</v>
      </c>
      <c r="BD588">
        <v>0.1875</v>
      </c>
      <c r="BE588">
        <v>2.75</v>
      </c>
      <c r="BF588">
        <v>16.75</v>
      </c>
      <c r="BG588">
        <v>2</v>
      </c>
      <c r="BH588">
        <v>15.87</v>
      </c>
      <c r="BI588">
        <v>9.5500000000000007</v>
      </c>
      <c r="BJ588">
        <v>6</v>
      </c>
      <c r="BL588">
        <v>394.14</v>
      </c>
      <c r="BM588">
        <v>63</v>
      </c>
      <c r="BN588">
        <v>214</v>
      </c>
      <c r="BO588">
        <v>2266</v>
      </c>
      <c r="BP588">
        <v>0</v>
      </c>
      <c r="BQ588">
        <v>49</v>
      </c>
      <c r="BR588">
        <v>49</v>
      </c>
      <c r="BS588">
        <v>48.86</v>
      </c>
      <c r="BT588">
        <v>0</v>
      </c>
      <c r="BV588">
        <v>0</v>
      </c>
      <c r="BW588" t="s">
        <v>655</v>
      </c>
      <c r="BX588">
        <v>0.17</v>
      </c>
      <c r="BY588">
        <v>8.3062000000000005</v>
      </c>
      <c r="BZ588">
        <v>0</v>
      </c>
      <c r="CA588">
        <v>1</v>
      </c>
      <c r="CB588">
        <v>0.6</v>
      </c>
      <c r="CC588" s="3">
        <v>7.1269159999999998E-2</v>
      </c>
      <c r="CD588">
        <v>2.875</v>
      </c>
      <c r="CE588">
        <v>2.5</v>
      </c>
      <c r="CF588">
        <v>18</v>
      </c>
      <c r="CG588">
        <v>6</v>
      </c>
      <c r="CH588">
        <v>0</v>
      </c>
      <c r="CI588">
        <v>48.86</v>
      </c>
      <c r="CJ588">
        <v>430.05309999999997</v>
      </c>
    </row>
    <row r="589" spans="1:88">
      <c r="A589">
        <v>587</v>
      </c>
      <c r="B589" t="s">
        <v>13</v>
      </c>
      <c r="C589" t="s">
        <v>1</v>
      </c>
      <c r="D589" t="s">
        <v>255</v>
      </c>
      <c r="E589" t="s">
        <v>113</v>
      </c>
      <c r="F589" t="s">
        <v>196</v>
      </c>
      <c r="G589" t="s">
        <v>214</v>
      </c>
      <c r="H589" t="s">
        <v>410</v>
      </c>
      <c r="J589">
        <v>2</v>
      </c>
      <c r="K589" t="s">
        <v>108</v>
      </c>
      <c r="L589" t="s">
        <v>116</v>
      </c>
      <c r="M589" t="s">
        <v>117</v>
      </c>
      <c r="N589" t="s">
        <v>14</v>
      </c>
      <c r="O589">
        <v>179</v>
      </c>
      <c r="Q589">
        <v>830</v>
      </c>
      <c r="R589">
        <v>109</v>
      </c>
      <c r="S589">
        <v>4.25</v>
      </c>
      <c r="T589">
        <v>4.7190000000000003</v>
      </c>
      <c r="U589">
        <v>7.05</v>
      </c>
      <c r="V589">
        <v>3525.58</v>
      </c>
      <c r="W589">
        <v>770</v>
      </c>
      <c r="X589">
        <v>1.3332999999999999</v>
      </c>
      <c r="Y589">
        <v>583</v>
      </c>
      <c r="Z589">
        <v>6.05</v>
      </c>
      <c r="AJ589">
        <v>2</v>
      </c>
      <c r="AK589">
        <v>18</v>
      </c>
      <c r="AM589">
        <v>0</v>
      </c>
      <c r="AO589" t="s">
        <v>411</v>
      </c>
      <c r="AT589">
        <v>68</v>
      </c>
      <c r="AV589">
        <v>62.7</v>
      </c>
      <c r="AW589">
        <v>0.46875</v>
      </c>
      <c r="AX589">
        <v>3.75</v>
      </c>
      <c r="AY589">
        <v>63.25</v>
      </c>
      <c r="AZ589">
        <v>5.625</v>
      </c>
      <c r="BA589">
        <v>320.5</v>
      </c>
      <c r="BB589">
        <v>6.14</v>
      </c>
      <c r="BC589">
        <v>68</v>
      </c>
      <c r="BD589">
        <v>0.4375</v>
      </c>
      <c r="BE589">
        <v>3.75</v>
      </c>
      <c r="BF589">
        <v>54.25</v>
      </c>
      <c r="BG589">
        <v>5.25</v>
      </c>
      <c r="BH589">
        <v>262.24</v>
      </c>
      <c r="BI589">
        <v>6.27</v>
      </c>
      <c r="BJ589">
        <v>55</v>
      </c>
      <c r="BL589">
        <v>582.74</v>
      </c>
      <c r="BM589">
        <v>122</v>
      </c>
      <c r="BN589">
        <v>303.91829999999999</v>
      </c>
      <c r="BO589">
        <v>1410</v>
      </c>
      <c r="BP589">
        <v>0</v>
      </c>
      <c r="BQ589">
        <v>61</v>
      </c>
      <c r="BR589">
        <v>61</v>
      </c>
      <c r="BS589">
        <v>61.39</v>
      </c>
      <c r="BT589">
        <v>0</v>
      </c>
      <c r="BV589">
        <v>0</v>
      </c>
      <c r="BW589" t="s">
        <v>655</v>
      </c>
      <c r="BX589">
        <v>0.17</v>
      </c>
      <c r="BY589">
        <v>10.436299999999999</v>
      </c>
      <c r="BZ589">
        <v>0</v>
      </c>
      <c r="CA589">
        <v>1</v>
      </c>
      <c r="CB589">
        <v>0.6</v>
      </c>
      <c r="CC589" s="3">
        <v>7.1269159999999998E-2</v>
      </c>
      <c r="CD589">
        <v>2.875</v>
      </c>
      <c r="CE589">
        <v>2.5</v>
      </c>
      <c r="CF589">
        <v>18</v>
      </c>
      <c r="CG589">
        <v>6</v>
      </c>
      <c r="CH589">
        <v>0</v>
      </c>
      <c r="CI589">
        <v>61.39</v>
      </c>
      <c r="CJ589">
        <v>756.36500000000001</v>
      </c>
    </row>
    <row r="590" spans="1:88">
      <c r="A590">
        <v>588</v>
      </c>
      <c r="B590" t="s">
        <v>0</v>
      </c>
      <c r="C590" t="s">
        <v>1</v>
      </c>
      <c r="D590" t="s">
        <v>8</v>
      </c>
      <c r="E590" t="s">
        <v>139</v>
      </c>
      <c r="F590" t="s">
        <v>246</v>
      </c>
      <c r="G590" t="s">
        <v>214</v>
      </c>
      <c r="H590" t="s">
        <v>247</v>
      </c>
      <c r="J590">
        <v>2</v>
      </c>
      <c r="K590" t="s">
        <v>108</v>
      </c>
      <c r="L590" t="s">
        <v>158</v>
      </c>
      <c r="M590" t="s">
        <v>385</v>
      </c>
      <c r="N590" t="s">
        <v>177</v>
      </c>
      <c r="O590">
        <v>109</v>
      </c>
      <c r="Q590">
        <v>594</v>
      </c>
      <c r="R590">
        <v>124</v>
      </c>
      <c r="S590">
        <v>4.25</v>
      </c>
      <c r="T590">
        <v>3.024</v>
      </c>
      <c r="U590">
        <v>6.11</v>
      </c>
      <c r="V590">
        <v>2526.4499999999998</v>
      </c>
      <c r="W590">
        <v>755</v>
      </c>
      <c r="X590">
        <v>1.3332999999999999</v>
      </c>
      <c r="Y590">
        <v>581</v>
      </c>
      <c r="Z590">
        <v>4.3499999999999996</v>
      </c>
      <c r="AJ590">
        <v>2</v>
      </c>
      <c r="AK590">
        <v>18</v>
      </c>
      <c r="AM590">
        <v>0</v>
      </c>
      <c r="AO590" t="s">
        <v>250</v>
      </c>
      <c r="AT590">
        <v>43</v>
      </c>
      <c r="AV590">
        <v>71.099999999999994</v>
      </c>
      <c r="AW590">
        <v>0.46875</v>
      </c>
      <c r="AX590">
        <v>3.75</v>
      </c>
      <c r="AY590">
        <v>44.75</v>
      </c>
      <c r="AZ590">
        <v>4.125</v>
      </c>
      <c r="BA590">
        <v>453.06</v>
      </c>
      <c r="BB590">
        <v>4.3499999999999996</v>
      </c>
      <c r="BC590">
        <v>48</v>
      </c>
      <c r="BD590">
        <v>0.3125</v>
      </c>
      <c r="BE590">
        <v>2.75</v>
      </c>
      <c r="BF590">
        <v>28.125</v>
      </c>
      <c r="BG590">
        <v>2.75</v>
      </c>
      <c r="BH590">
        <v>127.72</v>
      </c>
      <c r="BI590">
        <v>5</v>
      </c>
      <c r="BJ590">
        <v>15</v>
      </c>
      <c r="BL590">
        <v>580.78</v>
      </c>
      <c r="BM590">
        <v>62</v>
      </c>
      <c r="BN590">
        <v>345.28</v>
      </c>
      <c r="BO590">
        <v>1092</v>
      </c>
      <c r="BP590">
        <v>0</v>
      </c>
      <c r="BQ590">
        <v>37</v>
      </c>
      <c r="BR590">
        <v>37</v>
      </c>
      <c r="BS590">
        <v>37.04</v>
      </c>
      <c r="BT590">
        <v>0</v>
      </c>
      <c r="BV590">
        <v>0</v>
      </c>
      <c r="BW590" t="s">
        <v>655</v>
      </c>
      <c r="BX590">
        <v>0.17</v>
      </c>
      <c r="BY590">
        <v>6.2968000000000002</v>
      </c>
      <c r="BZ590">
        <v>0</v>
      </c>
      <c r="CA590">
        <v>1</v>
      </c>
      <c r="CB590">
        <v>0.6</v>
      </c>
      <c r="CC590" s="3">
        <v>7.1269159999999998E-2</v>
      </c>
      <c r="CD590">
        <v>2.875</v>
      </c>
      <c r="CE590">
        <v>2.5</v>
      </c>
      <c r="CF590">
        <v>18</v>
      </c>
      <c r="CG590">
        <v>6</v>
      </c>
      <c r="CH590">
        <v>0</v>
      </c>
      <c r="CI590">
        <v>37.04</v>
      </c>
      <c r="CJ590">
        <v>517.07270000000005</v>
      </c>
    </row>
    <row r="591" spans="1:88">
      <c r="A591">
        <v>589</v>
      </c>
      <c r="B591" t="s">
        <v>0</v>
      </c>
      <c r="C591" t="s">
        <v>1</v>
      </c>
      <c r="D591" t="s">
        <v>145</v>
      </c>
      <c r="E591" t="s">
        <v>19</v>
      </c>
      <c r="F591" t="s">
        <v>206</v>
      </c>
      <c r="G591" t="s">
        <v>106</v>
      </c>
      <c r="H591" t="s">
        <v>207</v>
      </c>
      <c r="J591">
        <v>2</v>
      </c>
      <c r="K591" t="s">
        <v>146</v>
      </c>
      <c r="L591" t="s">
        <v>302</v>
      </c>
      <c r="M591" t="s">
        <v>433</v>
      </c>
      <c r="N591" t="s">
        <v>434</v>
      </c>
      <c r="O591">
        <v>185</v>
      </c>
      <c r="Q591">
        <v>727</v>
      </c>
      <c r="R591">
        <v>94</v>
      </c>
      <c r="S591">
        <v>4.25</v>
      </c>
      <c r="T591">
        <v>4.8529999999999998</v>
      </c>
      <c r="U591">
        <v>7.16</v>
      </c>
      <c r="V591">
        <v>3088.22</v>
      </c>
      <c r="W591">
        <v>673</v>
      </c>
      <c r="X591">
        <v>1.3332999999999999</v>
      </c>
      <c r="Y591">
        <v>500</v>
      </c>
      <c r="Z591">
        <v>6.18</v>
      </c>
      <c r="AJ591">
        <v>2</v>
      </c>
      <c r="AK591">
        <v>18</v>
      </c>
      <c r="AM591">
        <v>0</v>
      </c>
      <c r="AO591" t="s">
        <v>211</v>
      </c>
      <c r="AT591">
        <v>70</v>
      </c>
      <c r="AV591">
        <v>53.1</v>
      </c>
      <c r="AW591" t="s">
        <v>6</v>
      </c>
      <c r="AX591" t="s">
        <v>6</v>
      </c>
      <c r="AY591" t="s">
        <v>6</v>
      </c>
      <c r="AZ591" t="s">
        <v>6</v>
      </c>
      <c r="BA591" t="s">
        <v>6</v>
      </c>
      <c r="BB591" t="s">
        <v>6</v>
      </c>
      <c r="BC591" t="s">
        <v>6</v>
      </c>
      <c r="BD591" t="s">
        <v>6</v>
      </c>
      <c r="BE591" t="s">
        <v>6</v>
      </c>
      <c r="BF591" t="s">
        <v>6</v>
      </c>
      <c r="BG591" t="s">
        <v>6</v>
      </c>
      <c r="BH591" t="s">
        <v>6</v>
      </c>
      <c r="BI591" t="s">
        <v>6</v>
      </c>
      <c r="BJ591" t="s">
        <v>6</v>
      </c>
      <c r="BN591">
        <v>255.01669999999999</v>
      </c>
      <c r="BO591">
        <v>1596</v>
      </c>
      <c r="BP591">
        <v>0</v>
      </c>
      <c r="BQ591">
        <v>63</v>
      </c>
      <c r="BR591">
        <v>63</v>
      </c>
      <c r="BS591">
        <v>63.47</v>
      </c>
      <c r="BT591">
        <v>0</v>
      </c>
      <c r="BV591">
        <v>0</v>
      </c>
      <c r="BW591" t="s">
        <v>655</v>
      </c>
      <c r="BX591">
        <v>0.17</v>
      </c>
      <c r="BY591">
        <v>10.789899999999999</v>
      </c>
      <c r="BZ591">
        <v>0</v>
      </c>
      <c r="CA591">
        <v>1</v>
      </c>
      <c r="CB591">
        <v>0.6</v>
      </c>
      <c r="CC591" s="3">
        <v>7.1269159999999998E-2</v>
      </c>
      <c r="CD591">
        <v>2.875</v>
      </c>
      <c r="CE591">
        <v>2.5</v>
      </c>
      <c r="CF591">
        <v>18</v>
      </c>
      <c r="CG591">
        <v>6</v>
      </c>
      <c r="CH591">
        <v>0</v>
      </c>
      <c r="CI591">
        <v>63.47</v>
      </c>
      <c r="CJ591">
        <v>662.68600000000004</v>
      </c>
    </row>
    <row r="592" spans="1:88">
      <c r="A592">
        <v>590</v>
      </c>
      <c r="B592" t="s">
        <v>0</v>
      </c>
      <c r="C592" t="s">
        <v>1</v>
      </c>
      <c r="D592" t="s">
        <v>233</v>
      </c>
      <c r="E592" t="s">
        <v>143</v>
      </c>
      <c r="F592" t="s">
        <v>271</v>
      </c>
      <c r="G592" t="s">
        <v>106</v>
      </c>
      <c r="H592" t="s">
        <v>279</v>
      </c>
      <c r="J592">
        <v>2</v>
      </c>
      <c r="K592" t="s">
        <v>146</v>
      </c>
      <c r="L592" t="s">
        <v>297</v>
      </c>
      <c r="M592" t="s">
        <v>206</v>
      </c>
      <c r="N592" t="s">
        <v>131</v>
      </c>
      <c r="O592">
        <v>155</v>
      </c>
      <c r="Q592">
        <v>628</v>
      </c>
      <c r="R592">
        <v>96</v>
      </c>
      <c r="S592">
        <v>4.25</v>
      </c>
      <c r="T592">
        <v>4.1660000000000004</v>
      </c>
      <c r="U592">
        <v>6.78</v>
      </c>
      <c r="V592">
        <v>2670.7</v>
      </c>
      <c r="W592">
        <v>649</v>
      </c>
      <c r="X592">
        <v>1.3332999999999999</v>
      </c>
      <c r="Y592">
        <v>486</v>
      </c>
      <c r="Z592">
        <v>5.49</v>
      </c>
      <c r="AJ592">
        <v>2</v>
      </c>
      <c r="AK592">
        <v>18</v>
      </c>
      <c r="AM592">
        <v>0</v>
      </c>
      <c r="AO592" t="s">
        <v>144</v>
      </c>
      <c r="AT592">
        <v>59</v>
      </c>
      <c r="AV592">
        <v>54.2</v>
      </c>
      <c r="AW592">
        <v>0.40625</v>
      </c>
      <c r="AX592">
        <v>3.75</v>
      </c>
      <c r="AY592">
        <v>40</v>
      </c>
      <c r="AZ592">
        <v>4.5</v>
      </c>
      <c r="BA592">
        <v>243.23</v>
      </c>
      <c r="BB592">
        <v>5.44</v>
      </c>
      <c r="BC592">
        <v>38</v>
      </c>
      <c r="BD592">
        <v>0.40625</v>
      </c>
      <c r="BE592">
        <v>3.75</v>
      </c>
      <c r="BF592">
        <v>40</v>
      </c>
      <c r="BG592">
        <v>4.5</v>
      </c>
      <c r="BH592">
        <v>243.23</v>
      </c>
      <c r="BI592">
        <v>5.44</v>
      </c>
      <c r="BJ592">
        <v>38</v>
      </c>
      <c r="BL592">
        <v>486.46</v>
      </c>
      <c r="BM592">
        <v>75</v>
      </c>
      <c r="BN592">
        <v>260.36669999999998</v>
      </c>
      <c r="BO592">
        <v>1531</v>
      </c>
      <c r="BP592">
        <v>0</v>
      </c>
      <c r="BQ592">
        <v>53</v>
      </c>
      <c r="BR592">
        <v>53</v>
      </c>
      <c r="BS592">
        <v>53.04</v>
      </c>
      <c r="BT592">
        <v>0</v>
      </c>
      <c r="BV592">
        <v>0</v>
      </c>
      <c r="BW592" t="s">
        <v>655</v>
      </c>
      <c r="BX592">
        <v>0.17</v>
      </c>
      <c r="BY592">
        <v>9.0167999999999999</v>
      </c>
      <c r="BZ592">
        <v>0</v>
      </c>
      <c r="CA592">
        <v>1</v>
      </c>
      <c r="CB592">
        <v>0.6</v>
      </c>
      <c r="CC592" s="3">
        <v>7.1269159999999998E-2</v>
      </c>
      <c r="CD592">
        <v>2.875</v>
      </c>
      <c r="CE592">
        <v>2.5</v>
      </c>
      <c r="CF592">
        <v>18</v>
      </c>
      <c r="CG592">
        <v>6</v>
      </c>
      <c r="CH592">
        <v>0</v>
      </c>
      <c r="CI592">
        <v>53.04</v>
      </c>
      <c r="CJ592">
        <v>565.12729999999999</v>
      </c>
    </row>
    <row r="593" spans="1:88">
      <c r="A593">
        <v>591</v>
      </c>
      <c r="B593" t="s">
        <v>0</v>
      </c>
      <c r="C593" t="s">
        <v>1</v>
      </c>
      <c r="D593" t="s">
        <v>8</v>
      </c>
      <c r="E593" t="s">
        <v>123</v>
      </c>
      <c r="F593" t="s">
        <v>246</v>
      </c>
      <c r="G593" t="s">
        <v>15</v>
      </c>
      <c r="H593" t="s">
        <v>247</v>
      </c>
      <c r="J593">
        <v>2</v>
      </c>
      <c r="K593" t="s">
        <v>108</v>
      </c>
      <c r="L593" t="s">
        <v>8</v>
      </c>
      <c r="M593" t="s">
        <v>147</v>
      </c>
      <c r="N593" t="s">
        <v>148</v>
      </c>
      <c r="O593">
        <v>183</v>
      </c>
      <c r="Q593">
        <v>958</v>
      </c>
      <c r="R593">
        <v>124</v>
      </c>
      <c r="S593">
        <v>4.25</v>
      </c>
      <c r="T593">
        <v>4.8079999999999998</v>
      </c>
      <c r="U593">
        <v>7.12</v>
      </c>
      <c r="V593">
        <v>4072.22</v>
      </c>
      <c r="W593">
        <v>880</v>
      </c>
      <c r="X593">
        <v>1.3332999999999999</v>
      </c>
      <c r="Y593">
        <v>663</v>
      </c>
      <c r="Z593">
        <v>6.14</v>
      </c>
      <c r="AJ593">
        <v>2</v>
      </c>
      <c r="AK593">
        <v>18</v>
      </c>
      <c r="AM593">
        <v>0</v>
      </c>
      <c r="AO593" t="s">
        <v>250</v>
      </c>
      <c r="AT593">
        <v>69</v>
      </c>
      <c r="AV593">
        <v>71.099999999999994</v>
      </c>
      <c r="AW593" t="s">
        <v>6</v>
      </c>
      <c r="AX593" t="s">
        <v>6</v>
      </c>
      <c r="AY593" t="s">
        <v>6</v>
      </c>
      <c r="AZ593" t="s">
        <v>6</v>
      </c>
      <c r="BA593" t="s">
        <v>6</v>
      </c>
      <c r="BB593" t="s">
        <v>6</v>
      </c>
      <c r="BC593" t="s">
        <v>6</v>
      </c>
      <c r="BD593" t="s">
        <v>6</v>
      </c>
      <c r="BE593" t="s">
        <v>6</v>
      </c>
      <c r="BF593" t="s">
        <v>6</v>
      </c>
      <c r="BG593" t="s">
        <v>6</v>
      </c>
      <c r="BH593" t="s">
        <v>6</v>
      </c>
      <c r="BI593" t="s">
        <v>6</v>
      </c>
      <c r="BJ593" t="s">
        <v>6</v>
      </c>
      <c r="BN593">
        <v>606.1585</v>
      </c>
      <c r="BO593">
        <v>2977</v>
      </c>
      <c r="BP593">
        <v>0</v>
      </c>
      <c r="BQ593">
        <v>63</v>
      </c>
      <c r="BR593">
        <v>63</v>
      </c>
      <c r="BS593">
        <v>62.78</v>
      </c>
      <c r="BT593">
        <v>0</v>
      </c>
      <c r="BV593">
        <v>0</v>
      </c>
      <c r="BW593" t="s">
        <v>655</v>
      </c>
      <c r="BX593">
        <v>0.17</v>
      </c>
      <c r="BY593">
        <v>10.672599999999999</v>
      </c>
      <c r="BZ593">
        <v>0</v>
      </c>
      <c r="CA593">
        <v>1</v>
      </c>
      <c r="CB593">
        <v>0.6</v>
      </c>
      <c r="CC593" s="3">
        <v>7.1269159999999998E-2</v>
      </c>
      <c r="CD593">
        <v>2.875</v>
      </c>
      <c r="CE593">
        <v>2.5</v>
      </c>
      <c r="CF593">
        <v>18</v>
      </c>
      <c r="CG593">
        <v>6</v>
      </c>
      <c r="CH593">
        <v>0</v>
      </c>
      <c r="CI593">
        <v>62.78</v>
      </c>
      <c r="CJ593">
        <v>876.39909999999998</v>
      </c>
    </row>
    <row r="594" spans="1:88">
      <c r="A594">
        <v>592</v>
      </c>
      <c r="B594" t="s">
        <v>0</v>
      </c>
      <c r="C594" t="s">
        <v>1</v>
      </c>
      <c r="D594" t="s">
        <v>257</v>
      </c>
      <c r="E594" t="s">
        <v>235</v>
      </c>
      <c r="F594" t="s">
        <v>194</v>
      </c>
      <c r="G594" t="s">
        <v>106</v>
      </c>
      <c r="H594" t="s">
        <v>259</v>
      </c>
      <c r="J594">
        <v>2</v>
      </c>
      <c r="K594" t="s">
        <v>146</v>
      </c>
      <c r="L594" t="s">
        <v>185</v>
      </c>
      <c r="M594" t="s">
        <v>198</v>
      </c>
      <c r="N594" t="s">
        <v>338</v>
      </c>
      <c r="O594">
        <v>132</v>
      </c>
      <c r="Q594">
        <v>488</v>
      </c>
      <c r="R594">
        <v>87</v>
      </c>
      <c r="S594">
        <v>4.25</v>
      </c>
      <c r="T594">
        <v>3.61</v>
      </c>
      <c r="U594">
        <v>6.37</v>
      </c>
      <c r="V594">
        <v>2074.89</v>
      </c>
      <c r="W594">
        <v>555</v>
      </c>
      <c r="X594">
        <v>1.3332999999999999</v>
      </c>
      <c r="Y594">
        <v>420</v>
      </c>
      <c r="Z594">
        <v>4.9400000000000004</v>
      </c>
      <c r="AJ594">
        <v>2</v>
      </c>
      <c r="AK594">
        <v>18</v>
      </c>
      <c r="AM594">
        <v>0</v>
      </c>
      <c r="AO594" t="s">
        <v>261</v>
      </c>
      <c r="AT594">
        <v>51</v>
      </c>
      <c r="AV594">
        <v>48.8</v>
      </c>
      <c r="AW594">
        <v>0.46875</v>
      </c>
      <c r="AX594">
        <v>3.75</v>
      </c>
      <c r="AY594">
        <v>50.875</v>
      </c>
      <c r="AZ594">
        <v>4.625</v>
      </c>
      <c r="BA594">
        <v>398.95</v>
      </c>
      <c r="BB594">
        <v>4.9400000000000004</v>
      </c>
      <c r="BC594">
        <v>55</v>
      </c>
      <c r="BD594">
        <v>0.1875</v>
      </c>
      <c r="BE594">
        <v>2.75</v>
      </c>
      <c r="BF594">
        <v>12.625</v>
      </c>
      <c r="BG594">
        <v>1.875</v>
      </c>
      <c r="BH594">
        <v>21.05</v>
      </c>
      <c r="BI594">
        <v>7.2</v>
      </c>
      <c r="BJ594">
        <v>4</v>
      </c>
      <c r="BL594">
        <v>420</v>
      </c>
      <c r="BM594">
        <v>58</v>
      </c>
      <c r="BN594">
        <v>233.61670000000001</v>
      </c>
      <c r="BO594">
        <v>1901</v>
      </c>
      <c r="BP594">
        <v>0</v>
      </c>
      <c r="BQ594">
        <v>45</v>
      </c>
      <c r="BR594">
        <v>45</v>
      </c>
      <c r="BS594">
        <v>45.04</v>
      </c>
      <c r="BT594">
        <v>0</v>
      </c>
      <c r="BV594">
        <v>0</v>
      </c>
      <c r="BW594" t="s">
        <v>655</v>
      </c>
      <c r="BX594">
        <v>0.17</v>
      </c>
      <c r="BY594">
        <v>7.6568009999999997</v>
      </c>
      <c r="BZ594">
        <v>0</v>
      </c>
      <c r="CA594">
        <v>1</v>
      </c>
      <c r="CB594">
        <v>0.6</v>
      </c>
      <c r="CC594" s="3">
        <v>7.1269159999999998E-2</v>
      </c>
      <c r="CD594">
        <v>2.875</v>
      </c>
      <c r="CE594">
        <v>2.5</v>
      </c>
      <c r="CF594">
        <v>18</v>
      </c>
      <c r="CG594">
        <v>6</v>
      </c>
      <c r="CH594">
        <v>0</v>
      </c>
      <c r="CI594">
        <v>45.04</v>
      </c>
      <c r="CJ594">
        <v>431.74</v>
      </c>
    </row>
    <row r="595" spans="1:88">
      <c r="A595">
        <v>593</v>
      </c>
      <c r="B595" t="s">
        <v>0</v>
      </c>
      <c r="C595" t="s">
        <v>1</v>
      </c>
      <c r="D595" t="s">
        <v>5</v>
      </c>
      <c r="E595" t="s">
        <v>139</v>
      </c>
      <c r="F595" t="s">
        <v>159</v>
      </c>
      <c r="G595" t="s">
        <v>106</v>
      </c>
      <c r="H595" t="s">
        <v>139</v>
      </c>
      <c r="J595">
        <v>2</v>
      </c>
      <c r="K595" t="s">
        <v>146</v>
      </c>
      <c r="L595" t="s">
        <v>158</v>
      </c>
      <c r="M595" t="s">
        <v>385</v>
      </c>
      <c r="N595" t="s">
        <v>177</v>
      </c>
      <c r="O595">
        <v>109</v>
      </c>
      <c r="Q595">
        <v>314</v>
      </c>
      <c r="R595">
        <v>69</v>
      </c>
      <c r="S595">
        <v>4.25</v>
      </c>
      <c r="T595">
        <v>3.024</v>
      </c>
      <c r="U595">
        <v>6.11</v>
      </c>
      <c r="V595">
        <v>1334.79</v>
      </c>
      <c r="W595">
        <v>420</v>
      </c>
      <c r="X595">
        <v>1.3332999999999999</v>
      </c>
      <c r="Y595">
        <v>307</v>
      </c>
      <c r="Z595">
        <v>4.3499999999999996</v>
      </c>
      <c r="AJ595">
        <v>2</v>
      </c>
      <c r="AK595">
        <v>18</v>
      </c>
      <c r="AM595">
        <v>0</v>
      </c>
      <c r="AO595" t="s">
        <v>385</v>
      </c>
      <c r="AT595">
        <v>43</v>
      </c>
      <c r="AV595">
        <v>37.200000000000003</v>
      </c>
      <c r="AW595">
        <v>0</v>
      </c>
      <c r="AX595">
        <v>0</v>
      </c>
      <c r="AY595">
        <v>31.75</v>
      </c>
      <c r="AZ595">
        <v>3.5</v>
      </c>
      <c r="BA595">
        <v>0</v>
      </c>
      <c r="BB595">
        <v>0</v>
      </c>
      <c r="BC595">
        <v>30</v>
      </c>
      <c r="BN595">
        <v>176.55</v>
      </c>
      <c r="BO595">
        <v>3329</v>
      </c>
      <c r="BP595">
        <v>0</v>
      </c>
      <c r="BQ595">
        <v>37</v>
      </c>
      <c r="BR595">
        <v>37</v>
      </c>
      <c r="BS595">
        <v>37.04</v>
      </c>
      <c r="BT595">
        <v>0</v>
      </c>
      <c r="BV595">
        <v>0</v>
      </c>
      <c r="BW595" t="s">
        <v>655</v>
      </c>
      <c r="BX595">
        <v>0.17</v>
      </c>
      <c r="BY595">
        <v>6.2968000000000002</v>
      </c>
      <c r="BZ595">
        <v>0</v>
      </c>
      <c r="CA595">
        <v>1</v>
      </c>
      <c r="CB595">
        <v>0.6</v>
      </c>
      <c r="CC595" s="3">
        <v>7.1269159999999998E-2</v>
      </c>
      <c r="CD595">
        <v>2.875</v>
      </c>
      <c r="CE595">
        <v>2.5</v>
      </c>
      <c r="CF595">
        <v>18</v>
      </c>
      <c r="CG595">
        <v>6</v>
      </c>
      <c r="CH595">
        <v>0</v>
      </c>
      <c r="CI595">
        <v>37.04</v>
      </c>
      <c r="CJ595">
        <v>270.58049999999997</v>
      </c>
    </row>
    <row r="596" spans="1:88">
      <c r="A596">
        <v>594</v>
      </c>
      <c r="B596" t="s">
        <v>0</v>
      </c>
      <c r="C596" t="s">
        <v>1</v>
      </c>
      <c r="D596" t="s">
        <v>705</v>
      </c>
      <c r="E596" t="s">
        <v>104</v>
      </c>
      <c r="F596" t="s">
        <v>706</v>
      </c>
      <c r="G596" t="s">
        <v>735</v>
      </c>
      <c r="H596" t="s">
        <v>739</v>
      </c>
      <c r="J596">
        <v>2</v>
      </c>
      <c r="K596" t="s">
        <v>668</v>
      </c>
      <c r="L596" t="s">
        <v>109</v>
      </c>
      <c r="M596" t="s">
        <v>110</v>
      </c>
      <c r="N596" t="s">
        <v>111</v>
      </c>
      <c r="O596">
        <v>191</v>
      </c>
      <c r="Q596">
        <v>1594</v>
      </c>
      <c r="R596">
        <v>197</v>
      </c>
      <c r="S596">
        <v>4.3125</v>
      </c>
      <c r="T596">
        <v>4.9429999999999996</v>
      </c>
      <c r="U596">
        <v>7.33</v>
      </c>
      <c r="V596">
        <v>6873.09</v>
      </c>
      <c r="W596">
        <v>1447</v>
      </c>
      <c r="X596">
        <v>1.3332999999999999</v>
      </c>
      <c r="Y596">
        <v>1096</v>
      </c>
      <c r="Z596">
        <v>6.27</v>
      </c>
      <c r="AJ596">
        <v>2</v>
      </c>
      <c r="AK596">
        <v>18</v>
      </c>
      <c r="AM596">
        <v>0</v>
      </c>
      <c r="AO596" t="s">
        <v>707</v>
      </c>
      <c r="AT596">
        <v>72</v>
      </c>
      <c r="AV596">
        <v>113.5</v>
      </c>
      <c r="AW596" t="s">
        <v>6</v>
      </c>
      <c r="AX596" t="s">
        <v>6</v>
      </c>
      <c r="AY596" t="s">
        <v>6</v>
      </c>
      <c r="AZ596" t="s">
        <v>6</v>
      </c>
      <c r="BA596" t="s">
        <v>6</v>
      </c>
      <c r="BB596" t="s">
        <v>6</v>
      </c>
      <c r="BC596" t="s">
        <v>6</v>
      </c>
      <c r="BD596" t="s">
        <v>6</v>
      </c>
      <c r="BE596" t="s">
        <v>6</v>
      </c>
      <c r="BF596" t="s">
        <v>6</v>
      </c>
      <c r="BG596" t="s">
        <v>6</v>
      </c>
      <c r="BH596" t="s">
        <v>6</v>
      </c>
      <c r="BI596" t="s">
        <v>6</v>
      </c>
      <c r="BJ596" t="s">
        <v>6</v>
      </c>
      <c r="BN596">
        <v>1245.732</v>
      </c>
      <c r="BO596">
        <v>4255</v>
      </c>
      <c r="BP596">
        <v>0</v>
      </c>
      <c r="BQ596">
        <v>66</v>
      </c>
      <c r="BR596">
        <v>66</v>
      </c>
      <c r="BS596">
        <v>65.56</v>
      </c>
      <c r="BT596">
        <v>0</v>
      </c>
      <c r="BV596">
        <v>6</v>
      </c>
      <c r="BW596" t="s">
        <v>655</v>
      </c>
      <c r="BX596">
        <v>0.27933340000000001</v>
      </c>
      <c r="BY596">
        <v>18.313089999999999</v>
      </c>
      <c r="BZ596">
        <v>0</v>
      </c>
      <c r="CA596">
        <v>1</v>
      </c>
      <c r="CB596">
        <v>0.6</v>
      </c>
      <c r="CC596" s="3">
        <v>7.1269159999999998E-2</v>
      </c>
      <c r="CD596">
        <v>2.875</v>
      </c>
      <c r="CE596">
        <v>2.5</v>
      </c>
      <c r="CF596">
        <v>18</v>
      </c>
      <c r="CG596">
        <v>6</v>
      </c>
      <c r="CH596">
        <v>0</v>
      </c>
      <c r="CI596">
        <v>65.56</v>
      </c>
      <c r="CJ596">
        <v>1461.8789999999999</v>
      </c>
    </row>
    <row r="597" spans="1:88">
      <c r="A597">
        <v>595</v>
      </c>
      <c r="B597" t="s">
        <v>13</v>
      </c>
      <c r="C597" t="s">
        <v>1</v>
      </c>
      <c r="D597" t="s">
        <v>133</v>
      </c>
      <c r="E597" t="s">
        <v>176</v>
      </c>
      <c r="F597" t="s">
        <v>298</v>
      </c>
      <c r="G597" t="s">
        <v>106</v>
      </c>
      <c r="H597" t="s">
        <v>257</v>
      </c>
      <c r="J597">
        <v>2</v>
      </c>
      <c r="K597" t="s">
        <v>146</v>
      </c>
      <c r="L597" t="s">
        <v>167</v>
      </c>
      <c r="M597" t="s">
        <v>226</v>
      </c>
      <c r="N597" t="s">
        <v>227</v>
      </c>
      <c r="O597">
        <v>113</v>
      </c>
      <c r="Q597">
        <v>427</v>
      </c>
      <c r="R597">
        <v>88</v>
      </c>
      <c r="S597">
        <v>4.25</v>
      </c>
      <c r="T597">
        <v>3.1280000000000001</v>
      </c>
      <c r="U597">
        <v>6.18</v>
      </c>
      <c r="V597">
        <v>1814.02</v>
      </c>
      <c r="W597">
        <v>542</v>
      </c>
      <c r="X597">
        <v>1.3332999999999999</v>
      </c>
      <c r="Y597">
        <v>407</v>
      </c>
      <c r="Z597">
        <v>4.46</v>
      </c>
      <c r="AJ597">
        <v>2</v>
      </c>
      <c r="AK597">
        <v>18</v>
      </c>
      <c r="AM597">
        <v>0</v>
      </c>
      <c r="AO597" t="s">
        <v>301</v>
      </c>
      <c r="AT597">
        <v>45</v>
      </c>
      <c r="AV597">
        <v>49.1</v>
      </c>
      <c r="AW597">
        <v>0</v>
      </c>
      <c r="AX597">
        <v>0</v>
      </c>
      <c r="AY597">
        <v>49.875</v>
      </c>
      <c r="AZ597">
        <v>4.125</v>
      </c>
      <c r="BA597">
        <v>0</v>
      </c>
      <c r="BB597">
        <v>0</v>
      </c>
      <c r="BC597">
        <v>54</v>
      </c>
      <c r="BN597">
        <v>235.40010000000001</v>
      </c>
      <c r="BO597">
        <v>1873</v>
      </c>
      <c r="BP597">
        <v>0</v>
      </c>
      <c r="BQ597">
        <v>38</v>
      </c>
      <c r="BR597">
        <v>38</v>
      </c>
      <c r="BS597">
        <v>38.43</v>
      </c>
      <c r="BT597">
        <v>0</v>
      </c>
      <c r="BV597">
        <v>0</v>
      </c>
      <c r="BW597" t="s">
        <v>655</v>
      </c>
      <c r="BX597">
        <v>0.17</v>
      </c>
      <c r="BY597">
        <v>6.5331000000000001</v>
      </c>
      <c r="BZ597">
        <v>0</v>
      </c>
      <c r="CA597">
        <v>1</v>
      </c>
      <c r="CB597">
        <v>0.6</v>
      </c>
      <c r="CC597" s="3">
        <v>7.1269159999999998E-2</v>
      </c>
      <c r="CD597">
        <v>2.875</v>
      </c>
      <c r="CE597">
        <v>2.5</v>
      </c>
      <c r="CF597">
        <v>18</v>
      </c>
      <c r="CG597">
        <v>6</v>
      </c>
      <c r="CH597">
        <v>0</v>
      </c>
      <c r="CI597">
        <v>38.43</v>
      </c>
      <c r="CJ597">
        <v>371.11739999999998</v>
      </c>
    </row>
    <row r="598" spans="1:88">
      <c r="A598">
        <v>596</v>
      </c>
      <c r="B598" t="s">
        <v>0</v>
      </c>
      <c r="C598" t="s">
        <v>1</v>
      </c>
      <c r="D598" t="s">
        <v>222</v>
      </c>
      <c r="E598" t="s">
        <v>464</v>
      </c>
      <c r="F598" t="s">
        <v>223</v>
      </c>
      <c r="G598" t="s">
        <v>106</v>
      </c>
      <c r="H598" t="s">
        <v>224</v>
      </c>
      <c r="J598">
        <v>2</v>
      </c>
      <c r="K598" t="s">
        <v>146</v>
      </c>
      <c r="L598" t="s">
        <v>227</v>
      </c>
      <c r="M598" t="s">
        <v>408</v>
      </c>
      <c r="N598" t="s">
        <v>317</v>
      </c>
      <c r="O598">
        <v>96</v>
      </c>
      <c r="Q598">
        <v>200</v>
      </c>
      <c r="R598">
        <v>47</v>
      </c>
      <c r="S598">
        <v>4.25</v>
      </c>
      <c r="T598">
        <v>2.677</v>
      </c>
      <c r="U598">
        <v>5.85</v>
      </c>
      <c r="V598">
        <v>849.4</v>
      </c>
      <c r="W598">
        <v>272</v>
      </c>
      <c r="X598">
        <v>1.3332999999999999</v>
      </c>
      <c r="Y598">
        <v>212</v>
      </c>
      <c r="Z598">
        <v>4.01</v>
      </c>
      <c r="AJ598">
        <v>2</v>
      </c>
      <c r="AK598">
        <v>18</v>
      </c>
      <c r="AM598">
        <v>0</v>
      </c>
      <c r="AO598" t="s">
        <v>225</v>
      </c>
      <c r="AT598">
        <v>39</v>
      </c>
      <c r="AV598">
        <v>26.3</v>
      </c>
      <c r="AW598">
        <v>0</v>
      </c>
      <c r="AX598">
        <v>0</v>
      </c>
      <c r="AY598">
        <v>30.5</v>
      </c>
      <c r="AZ598">
        <v>3</v>
      </c>
      <c r="BA598">
        <v>0</v>
      </c>
      <c r="BB598">
        <v>0</v>
      </c>
      <c r="BC598">
        <v>27</v>
      </c>
      <c r="BN598">
        <v>123.05</v>
      </c>
      <c r="BO598">
        <v>6853</v>
      </c>
      <c r="BP598">
        <v>0</v>
      </c>
      <c r="BQ598">
        <v>33</v>
      </c>
      <c r="BR598">
        <v>33</v>
      </c>
      <c r="BS598">
        <v>32.520000000000003</v>
      </c>
      <c r="BT598">
        <v>0</v>
      </c>
      <c r="BV598">
        <v>0</v>
      </c>
      <c r="BW598" t="s">
        <v>655</v>
      </c>
      <c r="BX598">
        <v>0.17</v>
      </c>
      <c r="BY598">
        <v>5.5284000000000004</v>
      </c>
      <c r="BZ598">
        <v>0</v>
      </c>
      <c r="CA598">
        <v>1</v>
      </c>
      <c r="CB598">
        <v>0.6</v>
      </c>
      <c r="CC598" s="3">
        <v>7.1269159999999998E-2</v>
      </c>
      <c r="CD598">
        <v>2.875</v>
      </c>
      <c r="CE598">
        <v>2.5</v>
      </c>
      <c r="CF598">
        <v>18</v>
      </c>
      <c r="CG598">
        <v>6</v>
      </c>
      <c r="CH598">
        <v>0</v>
      </c>
      <c r="CI598">
        <v>32.520000000000003</v>
      </c>
      <c r="CJ598">
        <v>168.03129999999999</v>
      </c>
    </row>
    <row r="599" spans="1:88">
      <c r="A599">
        <v>597</v>
      </c>
      <c r="B599" t="s">
        <v>0</v>
      </c>
      <c r="C599" t="s">
        <v>1</v>
      </c>
      <c r="D599" t="s">
        <v>341</v>
      </c>
      <c r="E599" t="s">
        <v>178</v>
      </c>
      <c r="F599" t="s">
        <v>343</v>
      </c>
      <c r="G599" t="s">
        <v>106</v>
      </c>
      <c r="H599" t="s">
        <v>344</v>
      </c>
      <c r="J599">
        <v>2</v>
      </c>
      <c r="K599" t="s">
        <v>146</v>
      </c>
      <c r="L599" t="s">
        <v>127</v>
      </c>
      <c r="M599" t="s">
        <v>179</v>
      </c>
      <c r="N599" t="s">
        <v>180</v>
      </c>
      <c r="O599">
        <v>95</v>
      </c>
      <c r="Q599">
        <v>206</v>
      </c>
      <c r="R599">
        <v>48</v>
      </c>
      <c r="S599">
        <v>4.25</v>
      </c>
      <c r="T599">
        <v>2.649</v>
      </c>
      <c r="U599">
        <v>5.81</v>
      </c>
      <c r="V599">
        <v>875.33</v>
      </c>
      <c r="W599">
        <v>281</v>
      </c>
      <c r="X599">
        <v>1.3332999999999999</v>
      </c>
      <c r="Y599">
        <v>220</v>
      </c>
      <c r="Z599">
        <v>3.98</v>
      </c>
      <c r="AJ599">
        <v>2</v>
      </c>
      <c r="AK599">
        <v>18</v>
      </c>
      <c r="AM599">
        <v>0</v>
      </c>
      <c r="AO599" t="s">
        <v>347</v>
      </c>
      <c r="AT599">
        <v>38</v>
      </c>
      <c r="AV599">
        <v>27.4</v>
      </c>
      <c r="AW599">
        <v>0</v>
      </c>
      <c r="AX599">
        <v>0</v>
      </c>
      <c r="AY599">
        <v>29.375</v>
      </c>
      <c r="AZ599">
        <v>3</v>
      </c>
      <c r="BA599">
        <v>0</v>
      </c>
      <c r="BB599">
        <v>0</v>
      </c>
      <c r="BC599">
        <v>26</v>
      </c>
      <c r="BN599">
        <v>128.4</v>
      </c>
      <c r="BO599">
        <v>6294</v>
      </c>
      <c r="BP599">
        <v>0</v>
      </c>
      <c r="BQ599">
        <v>32</v>
      </c>
      <c r="BR599">
        <v>32</v>
      </c>
      <c r="BS599">
        <v>32.17</v>
      </c>
      <c r="BT599">
        <v>0</v>
      </c>
      <c r="BV599">
        <v>0</v>
      </c>
      <c r="BW599" t="s">
        <v>655</v>
      </c>
      <c r="BX599">
        <v>0.17</v>
      </c>
      <c r="BY599">
        <v>5.4688999999999997</v>
      </c>
      <c r="BZ599">
        <v>0</v>
      </c>
      <c r="CA599">
        <v>1</v>
      </c>
      <c r="CB599">
        <v>0.6</v>
      </c>
      <c r="CC599" s="3">
        <v>7.1269159999999998E-2</v>
      </c>
      <c r="CD599">
        <v>2.875</v>
      </c>
      <c r="CE599">
        <v>2.5</v>
      </c>
      <c r="CF599">
        <v>18</v>
      </c>
      <c r="CG599">
        <v>6</v>
      </c>
      <c r="CH599">
        <v>0</v>
      </c>
      <c r="CI599">
        <v>32.17</v>
      </c>
      <c r="CJ599">
        <v>173.101</v>
      </c>
    </row>
    <row r="600" spans="1:88">
      <c r="A600">
        <v>598</v>
      </c>
      <c r="B600" t="s">
        <v>0</v>
      </c>
      <c r="C600" t="s">
        <v>1</v>
      </c>
      <c r="D600" t="s">
        <v>514</v>
      </c>
      <c r="E600" t="s">
        <v>178</v>
      </c>
      <c r="F600" t="s">
        <v>515</v>
      </c>
      <c r="G600" t="s">
        <v>15</v>
      </c>
      <c r="H600" t="s">
        <v>514</v>
      </c>
      <c r="J600">
        <v>2</v>
      </c>
      <c r="K600" t="s">
        <v>9</v>
      </c>
      <c r="L600" t="s">
        <v>127</v>
      </c>
      <c r="M600" t="s">
        <v>179</v>
      </c>
      <c r="N600" t="s">
        <v>180</v>
      </c>
      <c r="O600">
        <v>95</v>
      </c>
      <c r="Q600">
        <v>617</v>
      </c>
      <c r="R600">
        <v>144</v>
      </c>
      <c r="S600">
        <v>4.25</v>
      </c>
      <c r="T600">
        <v>2.649</v>
      </c>
      <c r="U600">
        <v>5.81</v>
      </c>
      <c r="V600">
        <v>2621.39</v>
      </c>
      <c r="W600">
        <v>839</v>
      </c>
      <c r="X600">
        <v>1.3332999999999999</v>
      </c>
      <c r="Y600">
        <v>659</v>
      </c>
      <c r="Z600">
        <v>3.98</v>
      </c>
      <c r="AJ600">
        <v>2</v>
      </c>
      <c r="AK600">
        <v>18</v>
      </c>
      <c r="AM600">
        <v>0</v>
      </c>
      <c r="AO600" t="s">
        <v>516</v>
      </c>
      <c r="AT600">
        <v>38</v>
      </c>
      <c r="AV600">
        <v>83</v>
      </c>
      <c r="AW600" t="s">
        <v>6</v>
      </c>
      <c r="AX600" t="s">
        <v>6</v>
      </c>
      <c r="AY600" t="s">
        <v>6</v>
      </c>
      <c r="AZ600" t="s">
        <v>6</v>
      </c>
      <c r="BA600" t="s">
        <v>6</v>
      </c>
      <c r="BB600" t="s">
        <v>6</v>
      </c>
      <c r="BC600" t="s">
        <v>6</v>
      </c>
      <c r="BD600" t="s">
        <v>6</v>
      </c>
      <c r="BE600" t="s">
        <v>6</v>
      </c>
      <c r="BF600" t="s">
        <v>6</v>
      </c>
      <c r="BG600" t="s">
        <v>6</v>
      </c>
      <c r="BH600" t="s">
        <v>6</v>
      </c>
      <c r="BI600" t="s">
        <v>6</v>
      </c>
      <c r="BJ600" t="s">
        <v>6</v>
      </c>
      <c r="BN600">
        <v>710.34199999999998</v>
      </c>
      <c r="BO600">
        <v>2168</v>
      </c>
      <c r="BP600">
        <v>0</v>
      </c>
      <c r="BQ600">
        <v>32</v>
      </c>
      <c r="BR600">
        <v>32</v>
      </c>
      <c r="BS600">
        <v>32.17</v>
      </c>
      <c r="BT600">
        <v>0</v>
      </c>
      <c r="BV600">
        <v>6</v>
      </c>
      <c r="BW600" t="s">
        <v>655</v>
      </c>
      <c r="BX600">
        <v>0.27933340000000001</v>
      </c>
      <c r="BY600">
        <v>8.9861540000000009</v>
      </c>
      <c r="BZ600">
        <v>0</v>
      </c>
      <c r="CA600">
        <v>1</v>
      </c>
      <c r="CB600">
        <v>0.6</v>
      </c>
      <c r="CC600" s="3">
        <v>7.1269159999999998E-2</v>
      </c>
      <c r="CD600">
        <v>2.875</v>
      </c>
      <c r="CE600">
        <v>2.5</v>
      </c>
      <c r="CF600">
        <v>18</v>
      </c>
      <c r="CG600">
        <v>6</v>
      </c>
      <c r="CH600">
        <v>0</v>
      </c>
      <c r="CI600">
        <v>32.17</v>
      </c>
      <c r="CJ600">
        <v>524.74829999999997</v>
      </c>
    </row>
    <row r="601" spans="1:88">
      <c r="A601">
        <v>599</v>
      </c>
      <c r="B601" t="s">
        <v>13</v>
      </c>
      <c r="C601" t="s">
        <v>1</v>
      </c>
      <c r="D601" t="s">
        <v>96</v>
      </c>
      <c r="E601" t="s">
        <v>2</v>
      </c>
      <c r="F601" t="s">
        <v>198</v>
      </c>
      <c r="G601" t="s">
        <v>106</v>
      </c>
      <c r="H601" t="s">
        <v>162</v>
      </c>
      <c r="J601">
        <v>2</v>
      </c>
      <c r="K601" t="s">
        <v>146</v>
      </c>
      <c r="L601" t="s">
        <v>122</v>
      </c>
      <c r="M601" t="s">
        <v>4</v>
      </c>
      <c r="N601" t="s">
        <v>5</v>
      </c>
      <c r="O601">
        <v>107</v>
      </c>
      <c r="Q601">
        <v>371</v>
      </c>
      <c r="R601">
        <v>81</v>
      </c>
      <c r="S601">
        <v>4.25</v>
      </c>
      <c r="T601">
        <v>2.9710000000000001</v>
      </c>
      <c r="U601">
        <v>6.07</v>
      </c>
      <c r="V601">
        <v>1576.11</v>
      </c>
      <c r="W601">
        <v>491</v>
      </c>
      <c r="X601">
        <v>1.3332999999999999</v>
      </c>
      <c r="Y601">
        <v>367</v>
      </c>
      <c r="Z601">
        <v>4.3</v>
      </c>
      <c r="AJ601">
        <v>2</v>
      </c>
      <c r="AK601">
        <v>18</v>
      </c>
      <c r="AM601">
        <v>0</v>
      </c>
      <c r="AO601" t="s">
        <v>166</v>
      </c>
      <c r="AT601">
        <v>42</v>
      </c>
      <c r="AV601">
        <v>44.8</v>
      </c>
      <c r="AW601">
        <v>0</v>
      </c>
      <c r="AX601">
        <v>0</v>
      </c>
      <c r="AY601">
        <v>38.875</v>
      </c>
      <c r="AZ601">
        <v>3.75</v>
      </c>
      <c r="BA601">
        <v>0</v>
      </c>
      <c r="BB601">
        <v>0</v>
      </c>
      <c r="BC601">
        <v>39</v>
      </c>
      <c r="BN601">
        <v>214</v>
      </c>
      <c r="BO601">
        <v>2266</v>
      </c>
      <c r="BP601">
        <v>0</v>
      </c>
      <c r="BQ601">
        <v>36</v>
      </c>
      <c r="BR601">
        <v>36</v>
      </c>
      <c r="BS601">
        <v>36.340000000000003</v>
      </c>
      <c r="BT601">
        <v>0</v>
      </c>
      <c r="BV601">
        <v>0</v>
      </c>
      <c r="BW601" t="s">
        <v>655</v>
      </c>
      <c r="BX601">
        <v>0.17</v>
      </c>
      <c r="BY601">
        <v>6.1778000000000004</v>
      </c>
      <c r="BZ601">
        <v>0</v>
      </c>
      <c r="CA601">
        <v>1</v>
      </c>
      <c r="CB601">
        <v>0.6</v>
      </c>
      <c r="CC601" s="3">
        <v>7.1269159999999998E-2</v>
      </c>
      <c r="CD601">
        <v>2.875</v>
      </c>
      <c r="CE601">
        <v>2.5</v>
      </c>
      <c r="CF601">
        <v>18</v>
      </c>
      <c r="CG601">
        <v>6</v>
      </c>
      <c r="CH601">
        <v>0</v>
      </c>
      <c r="CI601">
        <v>36.340000000000003</v>
      </c>
      <c r="CJ601">
        <v>319.8553</v>
      </c>
    </row>
    <row r="602" spans="1:88">
      <c r="A602">
        <v>600</v>
      </c>
      <c r="B602" t="s">
        <v>0</v>
      </c>
      <c r="C602" t="s">
        <v>1</v>
      </c>
      <c r="D602" t="s">
        <v>153</v>
      </c>
      <c r="E602" t="s">
        <v>153</v>
      </c>
      <c r="F602" t="s">
        <v>126</v>
      </c>
      <c r="G602" t="s">
        <v>106</v>
      </c>
      <c r="H602" t="s">
        <v>3</v>
      </c>
      <c r="J602">
        <v>2</v>
      </c>
      <c r="K602" t="s">
        <v>146</v>
      </c>
      <c r="L602" t="s">
        <v>195</v>
      </c>
      <c r="M602" t="s">
        <v>306</v>
      </c>
      <c r="N602" t="s">
        <v>158</v>
      </c>
      <c r="O602">
        <v>126</v>
      </c>
      <c r="Q602">
        <v>413</v>
      </c>
      <c r="R602">
        <v>78</v>
      </c>
      <c r="S602">
        <v>4.25</v>
      </c>
      <c r="T602">
        <v>3.46</v>
      </c>
      <c r="U602">
        <v>6.26</v>
      </c>
      <c r="V602">
        <v>1755.42</v>
      </c>
      <c r="W602">
        <v>488</v>
      </c>
      <c r="X602">
        <v>1.3332999999999999</v>
      </c>
      <c r="Y602">
        <v>366</v>
      </c>
      <c r="Z602">
        <v>4.79</v>
      </c>
      <c r="AJ602">
        <v>2</v>
      </c>
      <c r="AK602">
        <v>18</v>
      </c>
      <c r="AM602">
        <v>0</v>
      </c>
      <c r="AO602" t="s">
        <v>383</v>
      </c>
      <c r="AT602">
        <v>49</v>
      </c>
      <c r="AV602">
        <v>43</v>
      </c>
      <c r="AW602">
        <v>0</v>
      </c>
      <c r="AX602">
        <v>0</v>
      </c>
      <c r="AY602">
        <v>55.375</v>
      </c>
      <c r="AZ602">
        <v>4.5</v>
      </c>
      <c r="BA602">
        <v>0</v>
      </c>
      <c r="BB602">
        <v>0</v>
      </c>
      <c r="BC602">
        <v>59</v>
      </c>
      <c r="BN602">
        <v>205.08340000000001</v>
      </c>
      <c r="BO602">
        <v>2467</v>
      </c>
      <c r="BP602">
        <v>0</v>
      </c>
      <c r="BQ602">
        <v>43</v>
      </c>
      <c r="BR602">
        <v>43</v>
      </c>
      <c r="BS602">
        <v>42.95</v>
      </c>
      <c r="BT602">
        <v>0</v>
      </c>
      <c r="BV602">
        <v>0</v>
      </c>
      <c r="BW602" t="s">
        <v>655</v>
      </c>
      <c r="BX602">
        <v>0.17</v>
      </c>
      <c r="BY602">
        <v>7.301501</v>
      </c>
      <c r="BZ602">
        <v>0</v>
      </c>
      <c r="CA602">
        <v>1</v>
      </c>
      <c r="CB602">
        <v>0.6</v>
      </c>
      <c r="CC602" s="3">
        <v>7.1269159999999998E-2</v>
      </c>
      <c r="CD602">
        <v>2.875</v>
      </c>
      <c r="CE602">
        <v>2.5</v>
      </c>
      <c r="CF602">
        <v>18</v>
      </c>
      <c r="CG602">
        <v>6</v>
      </c>
      <c r="CH602">
        <v>0</v>
      </c>
      <c r="CI602">
        <v>42.95</v>
      </c>
      <c r="CJ602">
        <v>362.72969999999998</v>
      </c>
    </row>
    <row r="603" spans="1:88">
      <c r="A603">
        <v>601</v>
      </c>
      <c r="B603" t="s">
        <v>0</v>
      </c>
      <c r="C603" t="s">
        <v>1</v>
      </c>
      <c r="D603" t="s">
        <v>113</v>
      </c>
      <c r="E603" t="s">
        <v>197</v>
      </c>
      <c r="F603" t="s">
        <v>262</v>
      </c>
      <c r="G603" t="s">
        <v>106</v>
      </c>
      <c r="H603" t="s">
        <v>263</v>
      </c>
      <c r="J603">
        <v>2</v>
      </c>
      <c r="K603" t="s">
        <v>108</v>
      </c>
      <c r="L603" t="s">
        <v>199</v>
      </c>
      <c r="M603" t="s">
        <v>200</v>
      </c>
      <c r="N603" t="s">
        <v>201</v>
      </c>
      <c r="O603">
        <v>173</v>
      </c>
      <c r="Q603">
        <v>799</v>
      </c>
      <c r="R603">
        <v>109</v>
      </c>
      <c r="S603">
        <v>4.25</v>
      </c>
      <c r="T603">
        <v>4.5830000000000002</v>
      </c>
      <c r="U603">
        <v>6.97</v>
      </c>
      <c r="V603">
        <v>3395.07</v>
      </c>
      <c r="W603">
        <v>757</v>
      </c>
      <c r="X603">
        <v>1.3332999999999999</v>
      </c>
      <c r="Y603">
        <v>574</v>
      </c>
      <c r="Z603">
        <v>5.91</v>
      </c>
      <c r="AJ603">
        <v>2</v>
      </c>
      <c r="AK603">
        <v>18</v>
      </c>
      <c r="AM603">
        <v>0</v>
      </c>
      <c r="AO603" t="s">
        <v>266</v>
      </c>
      <c r="AT603">
        <v>65</v>
      </c>
      <c r="AV603">
        <v>62.3</v>
      </c>
      <c r="AW603">
        <v>0.46875</v>
      </c>
      <c r="AX603">
        <v>3.75</v>
      </c>
      <c r="AY603">
        <v>64.125</v>
      </c>
      <c r="AZ603">
        <v>5.5</v>
      </c>
      <c r="BA603">
        <v>315.95</v>
      </c>
      <c r="BB603">
        <v>6.23</v>
      </c>
      <c r="BC603">
        <v>69</v>
      </c>
      <c r="BD603">
        <v>0.4375</v>
      </c>
      <c r="BE603">
        <v>3.75</v>
      </c>
      <c r="BF603">
        <v>55</v>
      </c>
      <c r="BG603">
        <v>5.125</v>
      </c>
      <c r="BH603">
        <v>258.51</v>
      </c>
      <c r="BI603">
        <v>6.36</v>
      </c>
      <c r="BJ603">
        <v>56</v>
      </c>
      <c r="BL603">
        <v>574.46</v>
      </c>
      <c r="BM603">
        <v>124</v>
      </c>
      <c r="BN603">
        <v>299.60000000000002</v>
      </c>
      <c r="BO603">
        <v>1156</v>
      </c>
      <c r="BP603">
        <v>0</v>
      </c>
      <c r="BQ603">
        <v>59</v>
      </c>
      <c r="BR603">
        <v>59</v>
      </c>
      <c r="BS603">
        <v>59.3</v>
      </c>
      <c r="BT603">
        <v>0</v>
      </c>
      <c r="BV603">
        <v>0</v>
      </c>
      <c r="BW603" t="s">
        <v>655</v>
      </c>
      <c r="BX603">
        <v>0.17</v>
      </c>
      <c r="BY603">
        <v>10.081</v>
      </c>
      <c r="BZ603">
        <v>0</v>
      </c>
      <c r="CA603">
        <v>1</v>
      </c>
      <c r="CB603">
        <v>0.6</v>
      </c>
      <c r="CC603" s="3">
        <v>7.1269159999999998E-2</v>
      </c>
      <c r="CD603">
        <v>2.875</v>
      </c>
      <c r="CE603">
        <v>2.5</v>
      </c>
      <c r="CF603">
        <v>18</v>
      </c>
      <c r="CG603">
        <v>6</v>
      </c>
      <c r="CH603">
        <v>0</v>
      </c>
      <c r="CI603">
        <v>59.3</v>
      </c>
      <c r="CJ603">
        <v>726.3886</v>
      </c>
    </row>
    <row r="604" spans="1:88">
      <c r="A604">
        <v>602</v>
      </c>
      <c r="B604" t="s">
        <v>0</v>
      </c>
      <c r="C604" t="s">
        <v>1</v>
      </c>
      <c r="D604" t="s">
        <v>454</v>
      </c>
      <c r="E604" t="s">
        <v>113</v>
      </c>
      <c r="F604" t="s">
        <v>417</v>
      </c>
      <c r="G604" t="s">
        <v>15</v>
      </c>
      <c r="H604" t="s">
        <v>497</v>
      </c>
      <c r="J604">
        <v>2</v>
      </c>
      <c r="K604" t="s">
        <v>108</v>
      </c>
      <c r="L604" t="s">
        <v>116</v>
      </c>
      <c r="M604" t="s">
        <v>117</v>
      </c>
      <c r="N604" t="s">
        <v>14</v>
      </c>
      <c r="O604">
        <v>179</v>
      </c>
      <c r="Q604">
        <v>915</v>
      </c>
      <c r="R604">
        <v>120</v>
      </c>
      <c r="S604">
        <v>4.25</v>
      </c>
      <c r="T604">
        <v>4.7190000000000003</v>
      </c>
      <c r="U604">
        <v>7.05</v>
      </c>
      <c r="V604">
        <v>3888.02</v>
      </c>
      <c r="W604">
        <v>849</v>
      </c>
      <c r="X604">
        <v>1.3332999999999999</v>
      </c>
      <c r="Y604">
        <v>643</v>
      </c>
      <c r="Z604">
        <v>6.05</v>
      </c>
      <c r="AJ604">
        <v>2</v>
      </c>
      <c r="AK604">
        <v>18</v>
      </c>
      <c r="AM604">
        <v>0</v>
      </c>
      <c r="AO604" t="s">
        <v>163</v>
      </c>
      <c r="AT604">
        <v>68</v>
      </c>
      <c r="AV604">
        <v>69.2</v>
      </c>
      <c r="AW604" t="s">
        <v>6</v>
      </c>
      <c r="AX604" t="s">
        <v>6</v>
      </c>
      <c r="AY604" t="s">
        <v>6</v>
      </c>
      <c r="AZ604" t="s">
        <v>6</v>
      </c>
      <c r="BA604" t="s">
        <v>6</v>
      </c>
      <c r="BB604" t="s">
        <v>6</v>
      </c>
      <c r="BC604" t="s">
        <v>6</v>
      </c>
      <c r="BD604" t="s">
        <v>6</v>
      </c>
      <c r="BE604" t="s">
        <v>6</v>
      </c>
      <c r="BF604" t="s">
        <v>6</v>
      </c>
      <c r="BG604" t="s">
        <v>6</v>
      </c>
      <c r="BH604" t="s">
        <v>6</v>
      </c>
      <c r="BI604" t="s">
        <v>6</v>
      </c>
      <c r="BJ604" t="s">
        <v>6</v>
      </c>
      <c r="BN604">
        <v>590.37310000000002</v>
      </c>
      <c r="BO604">
        <v>3138</v>
      </c>
      <c r="BP604">
        <v>0</v>
      </c>
      <c r="BQ604">
        <v>61</v>
      </c>
      <c r="BR604">
        <v>61</v>
      </c>
      <c r="BS604">
        <v>61.39</v>
      </c>
      <c r="BT604">
        <v>0</v>
      </c>
      <c r="BV604">
        <v>0</v>
      </c>
      <c r="BW604" t="s">
        <v>655</v>
      </c>
      <c r="BX604">
        <v>0.17</v>
      </c>
      <c r="BY604">
        <v>10.436299999999999</v>
      </c>
      <c r="BZ604">
        <v>0</v>
      </c>
      <c r="CA604">
        <v>1</v>
      </c>
      <c r="CB604">
        <v>0.6</v>
      </c>
      <c r="CC604" s="3">
        <v>7.1269159999999998E-2</v>
      </c>
      <c r="CD604">
        <v>2.875</v>
      </c>
      <c r="CE604">
        <v>2.5</v>
      </c>
      <c r="CF604">
        <v>18</v>
      </c>
      <c r="CG604">
        <v>6</v>
      </c>
      <c r="CH604">
        <v>0</v>
      </c>
      <c r="CI604">
        <v>61.39</v>
      </c>
      <c r="CJ604">
        <v>835.11890000000005</v>
      </c>
    </row>
    <row r="605" spans="1:88">
      <c r="A605">
        <v>603</v>
      </c>
      <c r="B605" t="s">
        <v>13</v>
      </c>
      <c r="C605" t="s">
        <v>1</v>
      </c>
      <c r="D605" t="s">
        <v>96</v>
      </c>
      <c r="E605" t="s">
        <v>131</v>
      </c>
      <c r="F605" t="s">
        <v>198</v>
      </c>
      <c r="G605" t="s">
        <v>106</v>
      </c>
      <c r="H605" t="s">
        <v>162</v>
      </c>
      <c r="J605">
        <v>2</v>
      </c>
      <c r="K605" t="s">
        <v>146</v>
      </c>
      <c r="L605" t="s">
        <v>300</v>
      </c>
      <c r="M605" t="s">
        <v>271</v>
      </c>
      <c r="N605" t="s">
        <v>181</v>
      </c>
      <c r="O605">
        <v>158</v>
      </c>
      <c r="Q605">
        <v>530</v>
      </c>
      <c r="R605">
        <v>81</v>
      </c>
      <c r="S605">
        <v>4.25</v>
      </c>
      <c r="T605">
        <v>4.2370000000000001</v>
      </c>
      <c r="U605">
        <v>6.86</v>
      </c>
      <c r="V605">
        <v>2252.54</v>
      </c>
      <c r="W605">
        <v>555</v>
      </c>
      <c r="X605">
        <v>1.3332999999999999</v>
      </c>
      <c r="Y605">
        <v>404</v>
      </c>
      <c r="Z605">
        <v>5.57</v>
      </c>
      <c r="AJ605">
        <v>2</v>
      </c>
      <c r="AK605">
        <v>18</v>
      </c>
      <c r="AM605">
        <v>0</v>
      </c>
      <c r="AO605" t="s">
        <v>166</v>
      </c>
      <c r="AT605">
        <v>60</v>
      </c>
      <c r="AV605">
        <v>44.8</v>
      </c>
      <c r="AW605">
        <v>0.46875</v>
      </c>
      <c r="AX605">
        <v>3.75</v>
      </c>
      <c r="AY605">
        <v>57.25</v>
      </c>
      <c r="AZ605">
        <v>5.25</v>
      </c>
      <c r="BA605">
        <v>353.82</v>
      </c>
      <c r="BB605">
        <v>5.57</v>
      </c>
      <c r="BC605">
        <v>62</v>
      </c>
      <c r="BD605">
        <v>0.25</v>
      </c>
      <c r="BE605">
        <v>2.75</v>
      </c>
      <c r="BF605">
        <v>22.75</v>
      </c>
      <c r="BG605">
        <v>2.75</v>
      </c>
      <c r="BH605">
        <v>50.57</v>
      </c>
      <c r="BI605">
        <v>6.79</v>
      </c>
      <c r="BJ605">
        <v>10</v>
      </c>
      <c r="BL605">
        <v>404.39</v>
      </c>
      <c r="BM605">
        <v>71</v>
      </c>
      <c r="BN605">
        <v>214</v>
      </c>
      <c r="BO605">
        <v>2266</v>
      </c>
      <c r="BP605">
        <v>0</v>
      </c>
      <c r="BQ605">
        <v>54</v>
      </c>
      <c r="BR605">
        <v>54</v>
      </c>
      <c r="BS605">
        <v>54.08</v>
      </c>
      <c r="BT605">
        <v>0</v>
      </c>
      <c r="BV605">
        <v>0</v>
      </c>
      <c r="BW605" t="s">
        <v>655</v>
      </c>
      <c r="BX605">
        <v>0.17</v>
      </c>
      <c r="BY605">
        <v>9.1936009999999992</v>
      </c>
      <c r="BZ605">
        <v>0</v>
      </c>
      <c r="CA605">
        <v>1</v>
      </c>
      <c r="CB605">
        <v>0.6</v>
      </c>
      <c r="CC605" s="3">
        <v>7.1269159999999998E-2</v>
      </c>
      <c r="CD605">
        <v>2.875</v>
      </c>
      <c r="CE605">
        <v>2.5</v>
      </c>
      <c r="CF605">
        <v>18</v>
      </c>
      <c r="CG605">
        <v>6</v>
      </c>
      <c r="CH605">
        <v>0</v>
      </c>
      <c r="CI605">
        <v>54.08</v>
      </c>
      <c r="CJ605">
        <v>475.9982</v>
      </c>
    </row>
    <row r="606" spans="1:88">
      <c r="A606">
        <v>604</v>
      </c>
      <c r="B606" t="s">
        <v>0</v>
      </c>
      <c r="C606" t="s">
        <v>1</v>
      </c>
      <c r="D606" t="s">
        <v>176</v>
      </c>
      <c r="E606" t="s">
        <v>128</v>
      </c>
      <c r="F606" t="s">
        <v>134</v>
      </c>
      <c r="G606" t="s">
        <v>106</v>
      </c>
      <c r="H606" t="s">
        <v>177</v>
      </c>
      <c r="J606">
        <v>2</v>
      </c>
      <c r="K606" t="s">
        <v>146</v>
      </c>
      <c r="L606" t="s">
        <v>272</v>
      </c>
      <c r="M606" t="s">
        <v>132</v>
      </c>
      <c r="N606" t="s">
        <v>133</v>
      </c>
      <c r="O606">
        <v>140</v>
      </c>
      <c r="Q606">
        <v>406</v>
      </c>
      <c r="R606">
        <v>71</v>
      </c>
      <c r="S606">
        <v>4.25</v>
      </c>
      <c r="T606">
        <v>3.8069999999999999</v>
      </c>
      <c r="U606">
        <v>6.52</v>
      </c>
      <c r="V606">
        <v>1725.37</v>
      </c>
      <c r="W606">
        <v>460</v>
      </c>
      <c r="X606">
        <v>1.3332999999999999</v>
      </c>
      <c r="Y606">
        <v>336</v>
      </c>
      <c r="Z606">
        <v>5.14</v>
      </c>
      <c r="AJ606">
        <v>2</v>
      </c>
      <c r="AK606">
        <v>18</v>
      </c>
      <c r="AM606">
        <v>0</v>
      </c>
      <c r="AO606" t="s">
        <v>152</v>
      </c>
      <c r="AT606">
        <v>54</v>
      </c>
      <c r="AV606">
        <v>38.200000000000003</v>
      </c>
      <c r="AW606">
        <v>0</v>
      </c>
      <c r="AX606">
        <v>0</v>
      </c>
      <c r="AY606">
        <v>60.375</v>
      </c>
      <c r="AZ606">
        <v>4.875</v>
      </c>
      <c r="BA606">
        <v>0</v>
      </c>
      <c r="BB606">
        <v>0</v>
      </c>
      <c r="BC606">
        <v>65</v>
      </c>
      <c r="BN606">
        <v>181.9</v>
      </c>
      <c r="BO606">
        <v>3136</v>
      </c>
      <c r="BP606">
        <v>0</v>
      </c>
      <c r="BQ606">
        <v>48</v>
      </c>
      <c r="BR606">
        <v>48</v>
      </c>
      <c r="BS606">
        <v>47.82</v>
      </c>
      <c r="BT606">
        <v>0</v>
      </c>
      <c r="BV606">
        <v>0</v>
      </c>
      <c r="BW606" t="s">
        <v>655</v>
      </c>
      <c r="BX606">
        <v>0.17</v>
      </c>
      <c r="BY606">
        <v>8.1294000000000004</v>
      </c>
      <c r="BZ606">
        <v>0</v>
      </c>
      <c r="CA606">
        <v>1</v>
      </c>
      <c r="CB606">
        <v>0.6</v>
      </c>
      <c r="CC606" s="3">
        <v>7.1269159999999998E-2</v>
      </c>
      <c r="CD606">
        <v>2.875</v>
      </c>
      <c r="CE606">
        <v>2.5</v>
      </c>
      <c r="CF606">
        <v>18</v>
      </c>
      <c r="CG606">
        <v>6</v>
      </c>
      <c r="CH606">
        <v>0</v>
      </c>
      <c r="CI606">
        <v>47.82</v>
      </c>
      <c r="CJ606">
        <v>359.55360000000002</v>
      </c>
    </row>
    <row r="607" spans="1:88">
      <c r="A607">
        <v>605</v>
      </c>
      <c r="B607" t="s">
        <v>13</v>
      </c>
      <c r="C607" t="s">
        <v>1</v>
      </c>
      <c r="D607" t="s">
        <v>169</v>
      </c>
      <c r="E607" t="s">
        <v>178</v>
      </c>
      <c r="F607" t="s">
        <v>404</v>
      </c>
      <c r="G607" t="s">
        <v>106</v>
      </c>
      <c r="H607" t="s">
        <v>190</v>
      </c>
      <c r="J607">
        <v>2</v>
      </c>
      <c r="K607" t="s">
        <v>146</v>
      </c>
      <c r="L607" t="s">
        <v>127</v>
      </c>
      <c r="M607" t="s">
        <v>179</v>
      </c>
      <c r="N607" t="s">
        <v>180</v>
      </c>
      <c r="O607">
        <v>95</v>
      </c>
      <c r="Q607">
        <v>302</v>
      </c>
      <c r="R607">
        <v>74</v>
      </c>
      <c r="S607">
        <v>4.25</v>
      </c>
      <c r="T607">
        <v>2.649</v>
      </c>
      <c r="U607">
        <v>5.81</v>
      </c>
      <c r="V607">
        <v>1281.67</v>
      </c>
      <c r="W607">
        <v>430</v>
      </c>
      <c r="X607">
        <v>1.3332999999999999</v>
      </c>
      <c r="Y607">
        <v>322</v>
      </c>
      <c r="Z607">
        <v>3.98</v>
      </c>
      <c r="AJ607">
        <v>2</v>
      </c>
      <c r="AK607">
        <v>18</v>
      </c>
      <c r="AM607">
        <v>0</v>
      </c>
      <c r="AO607" t="s">
        <v>406</v>
      </c>
      <c r="AT607">
        <v>38</v>
      </c>
      <c r="AV607">
        <v>40.4</v>
      </c>
      <c r="AW607">
        <v>0</v>
      </c>
      <c r="AX607">
        <v>0</v>
      </c>
      <c r="AY607">
        <v>30.25</v>
      </c>
      <c r="AZ607">
        <v>3.25</v>
      </c>
      <c r="BA607">
        <v>0</v>
      </c>
      <c r="BB607">
        <v>0</v>
      </c>
      <c r="BC607">
        <v>29</v>
      </c>
      <c r="BN607">
        <v>192.6</v>
      </c>
      <c r="BO607">
        <v>2797</v>
      </c>
      <c r="BP607">
        <v>0</v>
      </c>
      <c r="BQ607">
        <v>32</v>
      </c>
      <c r="BR607">
        <v>32</v>
      </c>
      <c r="BS607">
        <v>32.17</v>
      </c>
      <c r="BT607">
        <v>0</v>
      </c>
      <c r="BV607">
        <v>0</v>
      </c>
      <c r="BW607" t="s">
        <v>655</v>
      </c>
      <c r="BX607">
        <v>0.17</v>
      </c>
      <c r="BY607">
        <v>5.4688999999999997</v>
      </c>
      <c r="BZ607">
        <v>0</v>
      </c>
      <c r="CA607">
        <v>1</v>
      </c>
      <c r="CB607">
        <v>0.6</v>
      </c>
      <c r="CC607" s="3">
        <v>7.1269159999999998E-2</v>
      </c>
      <c r="CD607">
        <v>2.875</v>
      </c>
      <c r="CE607">
        <v>2.5</v>
      </c>
      <c r="CF607">
        <v>18</v>
      </c>
      <c r="CG607">
        <v>6</v>
      </c>
      <c r="CH607">
        <v>0</v>
      </c>
      <c r="CI607">
        <v>32.17</v>
      </c>
      <c r="CJ607">
        <v>255.63919999999999</v>
      </c>
    </row>
    <row r="608" spans="1:88">
      <c r="A608">
        <v>606</v>
      </c>
      <c r="B608" t="s">
        <v>13</v>
      </c>
      <c r="C608" t="s">
        <v>1</v>
      </c>
      <c r="D608" t="s">
        <v>278</v>
      </c>
      <c r="E608" t="s">
        <v>393</v>
      </c>
      <c r="F608" t="s">
        <v>239</v>
      </c>
      <c r="G608" t="s">
        <v>15</v>
      </c>
      <c r="H608" t="s">
        <v>458</v>
      </c>
      <c r="J608">
        <v>2</v>
      </c>
      <c r="K608" t="s">
        <v>108</v>
      </c>
      <c r="L608" t="s">
        <v>168</v>
      </c>
      <c r="M608" t="s">
        <v>475</v>
      </c>
      <c r="N608" t="s">
        <v>466</v>
      </c>
      <c r="O608">
        <v>169</v>
      </c>
      <c r="Q608">
        <v>907</v>
      </c>
      <c r="R608">
        <v>126</v>
      </c>
      <c r="S608">
        <v>4.25</v>
      </c>
      <c r="T608">
        <v>4.492</v>
      </c>
      <c r="U608">
        <v>6.9</v>
      </c>
      <c r="V608">
        <v>3856.06</v>
      </c>
      <c r="W608">
        <v>870</v>
      </c>
      <c r="X608">
        <v>1.3332999999999999</v>
      </c>
      <c r="Y608">
        <v>663</v>
      </c>
      <c r="Z608">
        <v>5.82</v>
      </c>
      <c r="AJ608">
        <v>2</v>
      </c>
      <c r="AK608">
        <v>18</v>
      </c>
      <c r="AM608">
        <v>0</v>
      </c>
      <c r="AO608" t="s">
        <v>401</v>
      </c>
      <c r="AT608">
        <v>64</v>
      </c>
      <c r="AV608">
        <v>72.5</v>
      </c>
      <c r="AW608" t="s">
        <v>6</v>
      </c>
      <c r="AX608" t="s">
        <v>6</v>
      </c>
      <c r="AY608" t="s">
        <v>6</v>
      </c>
      <c r="AZ608" t="s">
        <v>6</v>
      </c>
      <c r="BA608" t="s">
        <v>6</v>
      </c>
      <c r="BB608" t="s">
        <v>6</v>
      </c>
      <c r="BC608" t="s">
        <v>6</v>
      </c>
      <c r="BD608" t="s">
        <v>6</v>
      </c>
      <c r="BE608" t="s">
        <v>6</v>
      </c>
      <c r="BF608" t="s">
        <v>6</v>
      </c>
      <c r="BG608" t="s">
        <v>6</v>
      </c>
      <c r="BH608" t="s">
        <v>6</v>
      </c>
      <c r="BI608" t="s">
        <v>6</v>
      </c>
      <c r="BJ608" t="s">
        <v>6</v>
      </c>
      <c r="BN608">
        <v>618.78679999999997</v>
      </c>
      <c r="BO608">
        <v>2857</v>
      </c>
      <c r="BP608">
        <v>0</v>
      </c>
      <c r="BQ608">
        <v>58</v>
      </c>
      <c r="BR608">
        <v>58</v>
      </c>
      <c r="BS608">
        <v>57.91</v>
      </c>
      <c r="BT608">
        <v>0</v>
      </c>
      <c r="BV608">
        <v>0</v>
      </c>
      <c r="BW608" t="s">
        <v>655</v>
      </c>
      <c r="BX608">
        <v>0.17</v>
      </c>
      <c r="BY608">
        <v>9.8446999999999996</v>
      </c>
      <c r="BZ608">
        <v>0</v>
      </c>
      <c r="CA608">
        <v>1</v>
      </c>
      <c r="CB608">
        <v>0.6</v>
      </c>
      <c r="CC608" s="3">
        <v>7.1269159999999998E-2</v>
      </c>
      <c r="CD608">
        <v>2.875</v>
      </c>
      <c r="CE608">
        <v>2.5</v>
      </c>
      <c r="CF608">
        <v>18</v>
      </c>
      <c r="CG608">
        <v>6</v>
      </c>
      <c r="CH608">
        <v>0</v>
      </c>
      <c r="CI608">
        <v>57.91</v>
      </c>
      <c r="CJ608">
        <v>824.92340000000002</v>
      </c>
    </row>
    <row r="609" spans="1:88">
      <c r="A609">
        <v>607</v>
      </c>
      <c r="B609" t="s">
        <v>0</v>
      </c>
      <c r="C609" t="s">
        <v>1</v>
      </c>
      <c r="D609" t="s">
        <v>219</v>
      </c>
      <c r="E609" t="s">
        <v>2</v>
      </c>
      <c r="F609" t="s">
        <v>230</v>
      </c>
      <c r="G609" t="s">
        <v>106</v>
      </c>
      <c r="H609" t="s">
        <v>382</v>
      </c>
      <c r="J609">
        <v>2</v>
      </c>
      <c r="K609" t="s">
        <v>146</v>
      </c>
      <c r="L609" t="s">
        <v>122</v>
      </c>
      <c r="M609" t="s">
        <v>4</v>
      </c>
      <c r="N609" t="s">
        <v>5</v>
      </c>
      <c r="O609">
        <v>107</v>
      </c>
      <c r="Q609">
        <v>282</v>
      </c>
      <c r="R609">
        <v>64</v>
      </c>
      <c r="S609">
        <v>4.25</v>
      </c>
      <c r="T609">
        <v>2.9710000000000001</v>
      </c>
      <c r="U609">
        <v>6.07</v>
      </c>
      <c r="V609">
        <v>1199.5999999999999</v>
      </c>
      <c r="W609">
        <v>386</v>
      </c>
      <c r="X609">
        <v>1.5</v>
      </c>
      <c r="Y609">
        <v>268</v>
      </c>
      <c r="Z609">
        <v>4.47</v>
      </c>
      <c r="AJ609">
        <v>2</v>
      </c>
      <c r="AK609">
        <v>18</v>
      </c>
      <c r="AM609">
        <v>0</v>
      </c>
      <c r="AO609" t="s">
        <v>318</v>
      </c>
      <c r="AT609">
        <v>42</v>
      </c>
      <c r="AV609">
        <v>33.9</v>
      </c>
      <c r="AW609">
        <v>0</v>
      </c>
      <c r="AX609">
        <v>0</v>
      </c>
      <c r="AY609">
        <v>36.25</v>
      </c>
      <c r="AZ609">
        <v>3.625</v>
      </c>
      <c r="BA609">
        <v>0</v>
      </c>
      <c r="BB609">
        <v>0</v>
      </c>
      <c r="BC609">
        <v>34</v>
      </c>
      <c r="BN609">
        <v>160.5</v>
      </c>
      <c r="BO609">
        <v>4028</v>
      </c>
      <c r="BP609">
        <v>0</v>
      </c>
      <c r="BQ609">
        <v>36</v>
      </c>
      <c r="BR609">
        <v>36</v>
      </c>
      <c r="BS609">
        <v>36.340000000000003</v>
      </c>
      <c r="BT609">
        <v>0</v>
      </c>
      <c r="BV609">
        <v>0</v>
      </c>
      <c r="BW609" t="s">
        <v>655</v>
      </c>
      <c r="BX609">
        <v>0.17</v>
      </c>
      <c r="BY609">
        <v>6.1778000000000004</v>
      </c>
      <c r="BZ609">
        <v>0</v>
      </c>
      <c r="CA609">
        <v>1</v>
      </c>
      <c r="CB609">
        <v>0.6</v>
      </c>
      <c r="CC609" s="3">
        <v>7.1269159999999998E-2</v>
      </c>
      <c r="CD609">
        <v>2.875</v>
      </c>
      <c r="CE609">
        <v>2.5</v>
      </c>
      <c r="CF609">
        <v>18</v>
      </c>
      <c r="CG609">
        <v>6</v>
      </c>
      <c r="CH609">
        <v>0</v>
      </c>
      <c r="CI609">
        <v>36.340000000000003</v>
      </c>
      <c r="CJ609">
        <v>242.1576</v>
      </c>
    </row>
    <row r="610" spans="1:88">
      <c r="A610">
        <v>608</v>
      </c>
      <c r="B610" t="s">
        <v>13</v>
      </c>
      <c r="C610" t="s">
        <v>1</v>
      </c>
      <c r="D610" t="s">
        <v>233</v>
      </c>
      <c r="E610" t="s">
        <v>113</v>
      </c>
      <c r="F610" t="s">
        <v>271</v>
      </c>
      <c r="G610" t="s">
        <v>106</v>
      </c>
      <c r="H610" t="s">
        <v>279</v>
      </c>
      <c r="J610">
        <v>2</v>
      </c>
      <c r="K610" t="s">
        <v>146</v>
      </c>
      <c r="L610" t="s">
        <v>116</v>
      </c>
      <c r="M610" t="s">
        <v>117</v>
      </c>
      <c r="N610" t="s">
        <v>14</v>
      </c>
      <c r="O610">
        <v>179</v>
      </c>
      <c r="Q610">
        <v>719</v>
      </c>
      <c r="R610">
        <v>96</v>
      </c>
      <c r="S610">
        <v>4.25</v>
      </c>
      <c r="T610">
        <v>4.7190000000000003</v>
      </c>
      <c r="U610">
        <v>7.05</v>
      </c>
      <c r="V610">
        <v>3054.85</v>
      </c>
      <c r="W610">
        <v>675</v>
      </c>
      <c r="X610">
        <v>1.3332999999999999</v>
      </c>
      <c r="Y610">
        <v>505</v>
      </c>
      <c r="Z610">
        <v>6.05</v>
      </c>
      <c r="AJ610">
        <v>2</v>
      </c>
      <c r="AK610">
        <v>18</v>
      </c>
      <c r="AM610">
        <v>0</v>
      </c>
      <c r="AO610" t="s">
        <v>144</v>
      </c>
      <c r="AT610">
        <v>68</v>
      </c>
      <c r="AV610">
        <v>54.2</v>
      </c>
      <c r="AW610" t="s">
        <v>6</v>
      </c>
      <c r="AX610" t="s">
        <v>6</v>
      </c>
      <c r="AY610" t="s">
        <v>6</v>
      </c>
      <c r="AZ610" t="s">
        <v>6</v>
      </c>
      <c r="BA610" t="s">
        <v>6</v>
      </c>
      <c r="BB610" t="s">
        <v>6</v>
      </c>
      <c r="BC610" t="s">
        <v>6</v>
      </c>
      <c r="BD610" t="s">
        <v>6</v>
      </c>
      <c r="BE610" t="s">
        <v>6</v>
      </c>
      <c r="BF610" t="s">
        <v>6</v>
      </c>
      <c r="BG610" t="s">
        <v>6</v>
      </c>
      <c r="BH610" t="s">
        <v>6</v>
      </c>
      <c r="BI610" t="s">
        <v>6</v>
      </c>
      <c r="BJ610" t="s">
        <v>6</v>
      </c>
      <c r="BN610">
        <v>260.36669999999998</v>
      </c>
      <c r="BO610">
        <v>1531</v>
      </c>
      <c r="BP610">
        <v>0</v>
      </c>
      <c r="BQ610">
        <v>61</v>
      </c>
      <c r="BR610">
        <v>61</v>
      </c>
      <c r="BS610">
        <v>61.39</v>
      </c>
      <c r="BT610">
        <v>0</v>
      </c>
      <c r="BV610">
        <v>0</v>
      </c>
      <c r="BW610" t="s">
        <v>655</v>
      </c>
      <c r="BX610">
        <v>0.17</v>
      </c>
      <c r="BY610">
        <v>10.436299999999999</v>
      </c>
      <c r="BZ610">
        <v>0</v>
      </c>
      <c r="CA610">
        <v>1</v>
      </c>
      <c r="CB610">
        <v>0.6</v>
      </c>
      <c r="CC610" s="3">
        <v>7.1269159999999998E-2</v>
      </c>
      <c r="CD610">
        <v>2.875</v>
      </c>
      <c r="CE610">
        <v>2.5</v>
      </c>
      <c r="CF610">
        <v>18</v>
      </c>
      <c r="CG610">
        <v>6</v>
      </c>
      <c r="CH610">
        <v>0</v>
      </c>
      <c r="CI610">
        <v>61.39</v>
      </c>
      <c r="CJ610">
        <v>654.09439999999995</v>
      </c>
    </row>
    <row r="611" spans="1:88">
      <c r="A611">
        <v>609</v>
      </c>
      <c r="B611" t="s">
        <v>0</v>
      </c>
      <c r="C611" t="s">
        <v>1</v>
      </c>
      <c r="D611" t="s">
        <v>165</v>
      </c>
      <c r="E611" t="s">
        <v>104</v>
      </c>
      <c r="F611" t="s">
        <v>184</v>
      </c>
      <c r="G611" t="s">
        <v>106</v>
      </c>
      <c r="H611" t="s">
        <v>234</v>
      </c>
      <c r="J611">
        <v>2</v>
      </c>
      <c r="K611" t="s">
        <v>146</v>
      </c>
      <c r="L611" t="s">
        <v>109</v>
      </c>
      <c r="M611" t="s">
        <v>110</v>
      </c>
      <c r="N611" t="s">
        <v>111</v>
      </c>
      <c r="O611">
        <v>191</v>
      </c>
      <c r="Q611">
        <v>719</v>
      </c>
      <c r="R611">
        <v>91</v>
      </c>
      <c r="S611">
        <v>4.25</v>
      </c>
      <c r="T611">
        <v>4.9850000000000003</v>
      </c>
      <c r="U611">
        <v>7.27</v>
      </c>
      <c r="V611">
        <v>3054.09</v>
      </c>
      <c r="W611">
        <v>659</v>
      </c>
      <c r="X611">
        <v>1.3332999999999999</v>
      </c>
      <c r="Y611">
        <v>484</v>
      </c>
      <c r="Z611">
        <v>6.31</v>
      </c>
      <c r="AJ611">
        <v>2</v>
      </c>
      <c r="AK611">
        <v>18</v>
      </c>
      <c r="AM611">
        <v>0</v>
      </c>
      <c r="AO611" t="s">
        <v>435</v>
      </c>
      <c r="AT611">
        <v>72</v>
      </c>
      <c r="AV611">
        <v>51</v>
      </c>
      <c r="AW611" t="s">
        <v>6</v>
      </c>
      <c r="AX611" t="s">
        <v>6</v>
      </c>
      <c r="AY611" t="s">
        <v>6</v>
      </c>
      <c r="AZ611" t="s">
        <v>6</v>
      </c>
      <c r="BA611" t="s">
        <v>6</v>
      </c>
      <c r="BB611" t="s">
        <v>6</v>
      </c>
      <c r="BC611" t="s">
        <v>6</v>
      </c>
      <c r="BD611" t="s">
        <v>6</v>
      </c>
      <c r="BE611" t="s">
        <v>6</v>
      </c>
      <c r="BF611" t="s">
        <v>6</v>
      </c>
      <c r="BG611" t="s">
        <v>6</v>
      </c>
      <c r="BH611" t="s">
        <v>6</v>
      </c>
      <c r="BI611" t="s">
        <v>6</v>
      </c>
      <c r="BJ611" t="s">
        <v>6</v>
      </c>
      <c r="BN611">
        <v>244.3167</v>
      </c>
      <c r="BO611">
        <v>1738</v>
      </c>
      <c r="BP611">
        <v>0</v>
      </c>
      <c r="BQ611">
        <v>66</v>
      </c>
      <c r="BR611">
        <v>66</v>
      </c>
      <c r="BS611">
        <v>65.56</v>
      </c>
      <c r="BT611">
        <v>0</v>
      </c>
      <c r="BV611">
        <v>0</v>
      </c>
      <c r="BW611" t="s">
        <v>655</v>
      </c>
      <c r="BX611">
        <v>0.17</v>
      </c>
      <c r="BY611">
        <v>11.145200000000001</v>
      </c>
      <c r="BZ611">
        <v>0</v>
      </c>
      <c r="CA611">
        <v>1</v>
      </c>
      <c r="CB611">
        <v>0.6</v>
      </c>
      <c r="CC611" s="3">
        <v>7.1269159999999998E-2</v>
      </c>
      <c r="CD611">
        <v>2.875</v>
      </c>
      <c r="CE611">
        <v>2.5</v>
      </c>
      <c r="CF611">
        <v>18</v>
      </c>
      <c r="CG611">
        <v>6</v>
      </c>
      <c r="CH611">
        <v>0</v>
      </c>
      <c r="CI611">
        <v>65.56</v>
      </c>
      <c r="CJ611">
        <v>656.47299999999996</v>
      </c>
    </row>
    <row r="612" spans="1:88">
      <c r="A612">
        <v>610</v>
      </c>
      <c r="B612" t="s">
        <v>13</v>
      </c>
      <c r="C612" t="s">
        <v>1</v>
      </c>
      <c r="D612" t="s">
        <v>283</v>
      </c>
      <c r="E612" t="s">
        <v>180</v>
      </c>
      <c r="F612" t="s">
        <v>243</v>
      </c>
      <c r="G612" t="s">
        <v>106</v>
      </c>
      <c r="H612" t="s">
        <v>284</v>
      </c>
      <c r="J612">
        <v>2</v>
      </c>
      <c r="K612" t="s">
        <v>146</v>
      </c>
      <c r="L612" t="s">
        <v>190</v>
      </c>
      <c r="M612" t="s">
        <v>319</v>
      </c>
      <c r="N612" t="s">
        <v>219</v>
      </c>
      <c r="O612">
        <v>98</v>
      </c>
      <c r="Q612">
        <v>223</v>
      </c>
      <c r="R612">
        <v>51</v>
      </c>
      <c r="S612">
        <v>4.25</v>
      </c>
      <c r="T612">
        <v>2.7309999999999999</v>
      </c>
      <c r="U612">
        <v>5.88</v>
      </c>
      <c r="V612">
        <v>946.3</v>
      </c>
      <c r="W612">
        <v>298</v>
      </c>
      <c r="X612">
        <v>1.3332999999999999</v>
      </c>
      <c r="Y612">
        <v>233</v>
      </c>
      <c r="Z612">
        <v>4.0599999999999996</v>
      </c>
      <c r="AJ612">
        <v>2</v>
      </c>
      <c r="AK612">
        <v>18</v>
      </c>
      <c r="AM612">
        <v>0</v>
      </c>
      <c r="AO612" t="s">
        <v>285</v>
      </c>
      <c r="AT612">
        <v>39</v>
      </c>
      <c r="AV612">
        <v>28.8</v>
      </c>
      <c r="AW612">
        <v>0</v>
      </c>
      <c r="AX612">
        <v>0</v>
      </c>
      <c r="AY612">
        <v>27.75</v>
      </c>
      <c r="AZ612">
        <v>3</v>
      </c>
      <c r="BA612">
        <v>0</v>
      </c>
      <c r="BB612">
        <v>0</v>
      </c>
      <c r="BC612">
        <v>25</v>
      </c>
      <c r="BN612">
        <v>135.5334</v>
      </c>
      <c r="BO612">
        <v>5649</v>
      </c>
      <c r="BP612">
        <v>0</v>
      </c>
      <c r="BQ612">
        <v>33</v>
      </c>
      <c r="BR612">
        <v>33</v>
      </c>
      <c r="BS612">
        <v>33.21</v>
      </c>
      <c r="BT612">
        <v>0</v>
      </c>
      <c r="BV612">
        <v>0</v>
      </c>
      <c r="BW612" t="s">
        <v>655</v>
      </c>
      <c r="BX612">
        <v>0.17</v>
      </c>
      <c r="BY612">
        <v>5.6456999999999997</v>
      </c>
      <c r="BZ612">
        <v>0</v>
      </c>
      <c r="CA612">
        <v>1</v>
      </c>
      <c r="CB612">
        <v>0.6</v>
      </c>
      <c r="CC612" s="3">
        <v>7.1269159999999998E-2</v>
      </c>
      <c r="CD612">
        <v>2.875</v>
      </c>
      <c r="CE612">
        <v>2.5</v>
      </c>
      <c r="CF612">
        <v>18</v>
      </c>
      <c r="CG612">
        <v>6</v>
      </c>
      <c r="CH612">
        <v>0</v>
      </c>
      <c r="CI612">
        <v>33.21</v>
      </c>
      <c r="CJ612">
        <v>188.1645</v>
      </c>
    </row>
    <row r="613" spans="1:88">
      <c r="A613">
        <v>611</v>
      </c>
      <c r="B613" t="s">
        <v>0</v>
      </c>
      <c r="C613" t="s">
        <v>1</v>
      </c>
      <c r="D613" t="s">
        <v>169</v>
      </c>
      <c r="E613" t="s">
        <v>2</v>
      </c>
      <c r="F613" t="s">
        <v>404</v>
      </c>
      <c r="G613" t="s">
        <v>106</v>
      </c>
      <c r="H613" t="s">
        <v>190</v>
      </c>
      <c r="J613">
        <v>2</v>
      </c>
      <c r="K613" t="s">
        <v>146</v>
      </c>
      <c r="L613" t="s">
        <v>122</v>
      </c>
      <c r="M613" t="s">
        <v>4</v>
      </c>
      <c r="N613" t="s">
        <v>5</v>
      </c>
      <c r="O613">
        <v>107</v>
      </c>
      <c r="Q613">
        <v>335</v>
      </c>
      <c r="R613">
        <v>74</v>
      </c>
      <c r="S613">
        <v>4.25</v>
      </c>
      <c r="T613">
        <v>2.9710000000000001</v>
      </c>
      <c r="U613">
        <v>6.07</v>
      </c>
      <c r="V613">
        <v>1425.53</v>
      </c>
      <c r="W613">
        <v>449</v>
      </c>
      <c r="X613">
        <v>1.3332999999999999</v>
      </c>
      <c r="Y613">
        <v>332</v>
      </c>
      <c r="Z613">
        <v>4.3</v>
      </c>
      <c r="AJ613">
        <v>2</v>
      </c>
      <c r="AK613">
        <v>18</v>
      </c>
      <c r="AM613">
        <v>0</v>
      </c>
      <c r="AO613" t="s">
        <v>406</v>
      </c>
      <c r="AT613">
        <v>42</v>
      </c>
      <c r="AV613">
        <v>40.4</v>
      </c>
      <c r="AW613">
        <v>0</v>
      </c>
      <c r="AX613">
        <v>0</v>
      </c>
      <c r="AY613">
        <v>42.875</v>
      </c>
      <c r="AZ613">
        <v>3.75</v>
      </c>
      <c r="BA613">
        <v>0</v>
      </c>
      <c r="BB613">
        <v>0</v>
      </c>
      <c r="BC613">
        <v>43</v>
      </c>
      <c r="BN613">
        <v>192.6</v>
      </c>
      <c r="BO613">
        <v>2797</v>
      </c>
      <c r="BP613">
        <v>0</v>
      </c>
      <c r="BQ613">
        <v>36</v>
      </c>
      <c r="BR613">
        <v>36</v>
      </c>
      <c r="BS613">
        <v>36.340000000000003</v>
      </c>
      <c r="BT613">
        <v>0</v>
      </c>
      <c r="BV613">
        <v>0</v>
      </c>
      <c r="BW613" t="s">
        <v>655</v>
      </c>
      <c r="BX613">
        <v>0.17</v>
      </c>
      <c r="BY613">
        <v>6.1778000000000004</v>
      </c>
      <c r="BZ613">
        <v>0</v>
      </c>
      <c r="CA613">
        <v>1</v>
      </c>
      <c r="CB613">
        <v>0.6</v>
      </c>
      <c r="CC613" s="3">
        <v>7.1269159999999998E-2</v>
      </c>
      <c r="CD613">
        <v>2.875</v>
      </c>
      <c r="CE613">
        <v>2.5</v>
      </c>
      <c r="CF613">
        <v>18</v>
      </c>
      <c r="CG613">
        <v>6</v>
      </c>
      <c r="CH613">
        <v>0</v>
      </c>
      <c r="CI613">
        <v>36.340000000000003</v>
      </c>
      <c r="CJ613">
        <v>288.77620000000002</v>
      </c>
    </row>
    <row r="614" spans="1:88">
      <c r="A614">
        <v>612</v>
      </c>
      <c r="B614" t="s">
        <v>0</v>
      </c>
      <c r="C614" t="s">
        <v>1</v>
      </c>
      <c r="D614" t="s">
        <v>195</v>
      </c>
      <c r="E614" t="s">
        <v>143</v>
      </c>
      <c r="F614" t="s">
        <v>435</v>
      </c>
      <c r="G614" t="s">
        <v>106</v>
      </c>
      <c r="H614" t="s">
        <v>363</v>
      </c>
      <c r="J614">
        <v>2</v>
      </c>
      <c r="K614" t="s">
        <v>146</v>
      </c>
      <c r="L614" t="s">
        <v>297</v>
      </c>
      <c r="M614" t="s">
        <v>206</v>
      </c>
      <c r="N614" t="s">
        <v>131</v>
      </c>
      <c r="O614">
        <v>155</v>
      </c>
      <c r="Q614">
        <v>583</v>
      </c>
      <c r="R614">
        <v>89</v>
      </c>
      <c r="S614">
        <v>4.25</v>
      </c>
      <c r="T614">
        <v>4.1660000000000004</v>
      </c>
      <c r="U614">
        <v>6.78</v>
      </c>
      <c r="V614">
        <v>2477.02</v>
      </c>
      <c r="W614">
        <v>606</v>
      </c>
      <c r="X614">
        <v>1.3332999999999999</v>
      </c>
      <c r="Y614">
        <v>451</v>
      </c>
      <c r="Z614">
        <v>5.49</v>
      </c>
      <c r="AJ614">
        <v>2</v>
      </c>
      <c r="AK614">
        <v>18</v>
      </c>
      <c r="AM614">
        <v>0</v>
      </c>
      <c r="AO614" t="s">
        <v>461</v>
      </c>
      <c r="AT614">
        <v>59</v>
      </c>
      <c r="AV614">
        <v>50.2</v>
      </c>
      <c r="AW614">
        <v>0.46875</v>
      </c>
      <c r="AX614">
        <v>3.75</v>
      </c>
      <c r="AY614">
        <v>56.5</v>
      </c>
      <c r="AZ614">
        <v>5.125</v>
      </c>
      <c r="BA614">
        <v>358.98</v>
      </c>
      <c r="BB614">
        <v>5.49</v>
      </c>
      <c r="BC614">
        <v>61</v>
      </c>
      <c r="BD614">
        <v>0.3125</v>
      </c>
      <c r="BE614">
        <v>2.75</v>
      </c>
      <c r="BF614">
        <v>39</v>
      </c>
      <c r="BG614">
        <v>3.375</v>
      </c>
      <c r="BH614">
        <v>92.19</v>
      </c>
      <c r="BI614">
        <v>6.93</v>
      </c>
      <c r="BJ614">
        <v>21</v>
      </c>
      <c r="BL614">
        <v>451.17</v>
      </c>
      <c r="BM614">
        <v>81</v>
      </c>
      <c r="BN614">
        <v>240.75</v>
      </c>
      <c r="BO614">
        <v>1790</v>
      </c>
      <c r="BP614">
        <v>0</v>
      </c>
      <c r="BQ614">
        <v>53</v>
      </c>
      <c r="BR614">
        <v>53</v>
      </c>
      <c r="BS614">
        <v>53.04</v>
      </c>
      <c r="BT614">
        <v>0</v>
      </c>
      <c r="BV614">
        <v>0</v>
      </c>
      <c r="BW614" t="s">
        <v>655</v>
      </c>
      <c r="BX614">
        <v>0.17</v>
      </c>
      <c r="BY614">
        <v>9.0167999999999999</v>
      </c>
      <c r="BZ614">
        <v>0</v>
      </c>
      <c r="CA614">
        <v>1</v>
      </c>
      <c r="CB614">
        <v>0.6</v>
      </c>
      <c r="CC614" s="3">
        <v>7.1269159999999998E-2</v>
      </c>
      <c r="CD614">
        <v>2.875</v>
      </c>
      <c r="CE614">
        <v>2.5</v>
      </c>
      <c r="CF614">
        <v>18</v>
      </c>
      <c r="CG614">
        <v>6</v>
      </c>
      <c r="CH614">
        <v>0</v>
      </c>
      <c r="CI614">
        <v>53.04</v>
      </c>
      <c r="CJ614">
        <v>523.54610000000002</v>
      </c>
    </row>
    <row r="615" spans="1:88">
      <c r="A615">
        <v>613</v>
      </c>
      <c r="B615" t="s">
        <v>0</v>
      </c>
      <c r="C615" t="s">
        <v>1</v>
      </c>
      <c r="D615" t="s">
        <v>381</v>
      </c>
      <c r="E615" t="s">
        <v>127</v>
      </c>
      <c r="F615" t="s">
        <v>132</v>
      </c>
      <c r="G615" t="s">
        <v>106</v>
      </c>
      <c r="H615" t="s">
        <v>340</v>
      </c>
      <c r="J615">
        <v>2</v>
      </c>
      <c r="K615" t="s">
        <v>146</v>
      </c>
      <c r="L615" t="s">
        <v>338</v>
      </c>
      <c r="M615" t="s">
        <v>189</v>
      </c>
      <c r="N615" t="s">
        <v>190</v>
      </c>
      <c r="O615">
        <v>115</v>
      </c>
      <c r="Q615">
        <v>421</v>
      </c>
      <c r="R615">
        <v>85</v>
      </c>
      <c r="S615">
        <v>4.25</v>
      </c>
      <c r="T615">
        <v>3.18</v>
      </c>
      <c r="U615">
        <v>6.22</v>
      </c>
      <c r="V615">
        <v>1789.67</v>
      </c>
      <c r="W615">
        <v>531</v>
      </c>
      <c r="X615">
        <v>1.3332999999999999</v>
      </c>
      <c r="Y615">
        <v>397</v>
      </c>
      <c r="Z615">
        <v>4.51</v>
      </c>
      <c r="AJ615">
        <v>2</v>
      </c>
      <c r="AK615">
        <v>18</v>
      </c>
      <c r="AM615">
        <v>0</v>
      </c>
      <c r="AO615" t="s">
        <v>359</v>
      </c>
      <c r="AT615">
        <v>45</v>
      </c>
      <c r="AV615">
        <v>47.7</v>
      </c>
      <c r="AW615">
        <v>0</v>
      </c>
      <c r="AX615">
        <v>0</v>
      </c>
      <c r="AY615">
        <v>51.125</v>
      </c>
      <c r="AZ615">
        <v>4.25</v>
      </c>
      <c r="BA615">
        <v>0</v>
      </c>
      <c r="BB615">
        <v>0</v>
      </c>
      <c r="BC615">
        <v>55</v>
      </c>
      <c r="BN615">
        <v>228.26669999999999</v>
      </c>
      <c r="BO615">
        <v>1992</v>
      </c>
      <c r="BP615">
        <v>0</v>
      </c>
      <c r="BQ615">
        <v>39</v>
      </c>
      <c r="BR615">
        <v>39</v>
      </c>
      <c r="BS615">
        <v>39.130000000000003</v>
      </c>
      <c r="BT615">
        <v>0</v>
      </c>
      <c r="BV615">
        <v>0</v>
      </c>
      <c r="BW615" t="s">
        <v>655</v>
      </c>
      <c r="BX615">
        <v>0.17</v>
      </c>
      <c r="BY615">
        <v>6.6520999999999999</v>
      </c>
      <c r="BZ615">
        <v>0</v>
      </c>
      <c r="CA615">
        <v>1</v>
      </c>
      <c r="CB615">
        <v>0.6</v>
      </c>
      <c r="CC615" s="3">
        <v>7.1269159999999998E-2</v>
      </c>
      <c r="CD615">
        <v>2.875</v>
      </c>
      <c r="CE615">
        <v>2.5</v>
      </c>
      <c r="CF615">
        <v>18</v>
      </c>
      <c r="CG615">
        <v>6</v>
      </c>
      <c r="CH615">
        <v>0</v>
      </c>
      <c r="CI615">
        <v>39.130000000000003</v>
      </c>
      <c r="CJ615">
        <v>366.72219999999999</v>
      </c>
    </row>
    <row r="616" spans="1:88">
      <c r="A616">
        <v>614</v>
      </c>
      <c r="B616" t="s">
        <v>0</v>
      </c>
      <c r="C616" t="s">
        <v>1</v>
      </c>
      <c r="D616" t="s">
        <v>5</v>
      </c>
      <c r="E616" t="s">
        <v>235</v>
      </c>
      <c r="F616" t="s">
        <v>159</v>
      </c>
      <c r="G616" t="s">
        <v>106</v>
      </c>
      <c r="H616" t="s">
        <v>139</v>
      </c>
      <c r="J616">
        <v>2</v>
      </c>
      <c r="K616" t="s">
        <v>146</v>
      </c>
      <c r="L616" t="s">
        <v>185</v>
      </c>
      <c r="M616" t="s">
        <v>198</v>
      </c>
      <c r="N616" t="s">
        <v>338</v>
      </c>
      <c r="O616">
        <v>132</v>
      </c>
      <c r="Q616">
        <v>374</v>
      </c>
      <c r="R616">
        <v>69</v>
      </c>
      <c r="S616">
        <v>4.25</v>
      </c>
      <c r="T616">
        <v>3.61</v>
      </c>
      <c r="U616">
        <v>6.37</v>
      </c>
      <c r="V616">
        <v>1588.94</v>
      </c>
      <c r="W616">
        <v>438</v>
      </c>
      <c r="X616">
        <v>1.3332999999999999</v>
      </c>
      <c r="Y616">
        <v>322</v>
      </c>
      <c r="Z616">
        <v>4.9400000000000004</v>
      </c>
      <c r="AJ616">
        <v>2</v>
      </c>
      <c r="AK616">
        <v>18</v>
      </c>
      <c r="AM616">
        <v>0</v>
      </c>
      <c r="AO616" t="s">
        <v>385</v>
      </c>
      <c r="AT616">
        <v>51</v>
      </c>
      <c r="AV616">
        <v>37.200000000000003</v>
      </c>
      <c r="AW616">
        <v>0</v>
      </c>
      <c r="AX616">
        <v>0</v>
      </c>
      <c r="AY616">
        <v>44.25</v>
      </c>
      <c r="AZ616">
        <v>4.375</v>
      </c>
      <c r="BA616">
        <v>0</v>
      </c>
      <c r="BB616">
        <v>0</v>
      </c>
      <c r="BC616">
        <v>45</v>
      </c>
      <c r="BN616">
        <v>176.55</v>
      </c>
      <c r="BO616">
        <v>3329</v>
      </c>
      <c r="BP616">
        <v>0</v>
      </c>
      <c r="BQ616">
        <v>45</v>
      </c>
      <c r="BR616">
        <v>45</v>
      </c>
      <c r="BS616">
        <v>45.04</v>
      </c>
      <c r="BT616">
        <v>0</v>
      </c>
      <c r="BV616">
        <v>0</v>
      </c>
      <c r="BW616" t="s">
        <v>655</v>
      </c>
      <c r="BX616">
        <v>0.17</v>
      </c>
      <c r="BY616">
        <v>7.6568009999999997</v>
      </c>
      <c r="BZ616">
        <v>0</v>
      </c>
      <c r="CA616">
        <v>1</v>
      </c>
      <c r="CB616">
        <v>0.6</v>
      </c>
      <c r="CC616" s="3">
        <v>7.1269159999999998E-2</v>
      </c>
      <c r="CD616">
        <v>2.875</v>
      </c>
      <c r="CE616">
        <v>2.5</v>
      </c>
      <c r="CF616">
        <v>18</v>
      </c>
      <c r="CG616">
        <v>6</v>
      </c>
      <c r="CH616">
        <v>0</v>
      </c>
      <c r="CI616">
        <v>45.04</v>
      </c>
      <c r="CJ616">
        <v>329.02120000000002</v>
      </c>
    </row>
    <row r="617" spans="1:88">
      <c r="A617">
        <v>615</v>
      </c>
      <c r="B617" t="s">
        <v>13</v>
      </c>
      <c r="C617" t="s">
        <v>1</v>
      </c>
      <c r="D617" t="s">
        <v>491</v>
      </c>
      <c r="E617" t="s">
        <v>178</v>
      </c>
      <c r="F617" t="s">
        <v>597</v>
      </c>
      <c r="G617" t="s">
        <v>106</v>
      </c>
      <c r="H617" t="s">
        <v>598</v>
      </c>
      <c r="J617">
        <v>2</v>
      </c>
      <c r="K617" t="s">
        <v>146</v>
      </c>
      <c r="L617" t="s">
        <v>127</v>
      </c>
      <c r="M617" t="s">
        <v>179</v>
      </c>
      <c r="N617" t="s">
        <v>180</v>
      </c>
      <c r="O617">
        <v>95</v>
      </c>
      <c r="Q617">
        <v>110</v>
      </c>
      <c r="R617">
        <v>28</v>
      </c>
      <c r="S617">
        <v>4.25</v>
      </c>
      <c r="T617">
        <v>2.649</v>
      </c>
      <c r="U617">
        <v>5.81</v>
      </c>
      <c r="V617">
        <v>469.03</v>
      </c>
      <c r="W617">
        <v>161</v>
      </c>
      <c r="X617">
        <v>1.3332999999999999</v>
      </c>
      <c r="Y617">
        <v>118</v>
      </c>
      <c r="Z617">
        <v>3.98</v>
      </c>
      <c r="AJ617">
        <v>2</v>
      </c>
      <c r="AK617">
        <v>18</v>
      </c>
      <c r="AM617">
        <v>0</v>
      </c>
      <c r="AO617" t="s">
        <v>599</v>
      </c>
      <c r="AT617">
        <v>38</v>
      </c>
      <c r="AV617">
        <v>14.3</v>
      </c>
      <c r="AW617">
        <v>0</v>
      </c>
      <c r="AX617">
        <v>0</v>
      </c>
      <c r="AY617">
        <v>21.625</v>
      </c>
      <c r="AZ617">
        <v>2.5</v>
      </c>
      <c r="BA617">
        <v>0</v>
      </c>
      <c r="BB617">
        <v>0</v>
      </c>
      <c r="BC617">
        <v>16</v>
      </c>
      <c r="BN617">
        <v>64.200010000000006</v>
      </c>
      <c r="BO617">
        <v>25177</v>
      </c>
      <c r="BP617">
        <v>0</v>
      </c>
      <c r="BQ617">
        <v>32</v>
      </c>
      <c r="BR617">
        <v>32</v>
      </c>
      <c r="BS617">
        <v>32.17</v>
      </c>
      <c r="BT617">
        <v>0</v>
      </c>
      <c r="BV617">
        <v>0</v>
      </c>
      <c r="BW617" t="s">
        <v>655</v>
      </c>
      <c r="BX617">
        <v>0.17</v>
      </c>
      <c r="BY617">
        <v>5.4688999999999997</v>
      </c>
      <c r="BZ617">
        <v>0</v>
      </c>
      <c r="CA617">
        <v>1</v>
      </c>
      <c r="CB617">
        <v>0.6</v>
      </c>
      <c r="CC617" s="3">
        <v>7.1269159999999998E-2</v>
      </c>
      <c r="CD617">
        <v>2.875</v>
      </c>
      <c r="CE617">
        <v>2.5</v>
      </c>
      <c r="CF617">
        <v>18</v>
      </c>
      <c r="CG617">
        <v>6</v>
      </c>
      <c r="CH617">
        <v>0</v>
      </c>
      <c r="CI617">
        <v>32.17</v>
      </c>
      <c r="CJ617">
        <v>90.562780000000004</v>
      </c>
    </row>
    <row r="618" spans="1:88">
      <c r="A618">
        <v>616</v>
      </c>
      <c r="B618" t="s">
        <v>0</v>
      </c>
      <c r="C618" t="s">
        <v>1</v>
      </c>
      <c r="D618" t="s">
        <v>103</v>
      </c>
      <c r="E618" t="s">
        <v>113</v>
      </c>
      <c r="F618" t="s">
        <v>105</v>
      </c>
      <c r="G618" t="s">
        <v>106</v>
      </c>
      <c r="H618" t="s">
        <v>107</v>
      </c>
      <c r="J618">
        <v>2</v>
      </c>
      <c r="K618" t="s">
        <v>108</v>
      </c>
      <c r="L618" t="s">
        <v>116</v>
      </c>
      <c r="M618" t="s">
        <v>117</v>
      </c>
      <c r="N618" t="s">
        <v>14</v>
      </c>
      <c r="O618">
        <v>179</v>
      </c>
      <c r="Q618">
        <v>768</v>
      </c>
      <c r="R618">
        <v>102</v>
      </c>
      <c r="S618">
        <v>4.25</v>
      </c>
      <c r="T618">
        <v>4.7190000000000003</v>
      </c>
      <c r="U618">
        <v>7.05</v>
      </c>
      <c r="V618">
        <v>3263.78</v>
      </c>
      <c r="W618">
        <v>717</v>
      </c>
      <c r="X618">
        <v>1.3332999999999999</v>
      </c>
      <c r="Y618">
        <v>539</v>
      </c>
      <c r="Z618">
        <v>6.05</v>
      </c>
      <c r="AJ618">
        <v>2</v>
      </c>
      <c r="AK618">
        <v>18</v>
      </c>
      <c r="AM618">
        <v>0</v>
      </c>
      <c r="AO618" t="s">
        <v>112</v>
      </c>
      <c r="AT618">
        <v>68</v>
      </c>
      <c r="AV618">
        <v>58</v>
      </c>
      <c r="AW618">
        <v>0.4375</v>
      </c>
      <c r="AX618">
        <v>3.75</v>
      </c>
      <c r="AY618">
        <v>52.75</v>
      </c>
      <c r="AZ618">
        <v>5.25</v>
      </c>
      <c r="BA618">
        <v>269.73</v>
      </c>
      <c r="BB618">
        <v>6.1</v>
      </c>
      <c r="BC618">
        <v>53</v>
      </c>
      <c r="BD618">
        <v>0.4375</v>
      </c>
      <c r="BE618">
        <v>3.75</v>
      </c>
      <c r="BF618">
        <v>52.75</v>
      </c>
      <c r="BG618">
        <v>5.25</v>
      </c>
      <c r="BH618">
        <v>269.73</v>
      </c>
      <c r="BI618">
        <v>6.1</v>
      </c>
      <c r="BJ618">
        <v>53</v>
      </c>
      <c r="BL618">
        <v>539.46</v>
      </c>
      <c r="BM618">
        <v>106</v>
      </c>
      <c r="BN618">
        <v>278.20010000000002</v>
      </c>
      <c r="BO618">
        <v>1341</v>
      </c>
      <c r="BP618">
        <v>0</v>
      </c>
      <c r="BQ618">
        <v>61</v>
      </c>
      <c r="BR618">
        <v>61</v>
      </c>
      <c r="BS618">
        <v>61.39</v>
      </c>
      <c r="BT618">
        <v>0</v>
      </c>
      <c r="BV618">
        <v>0</v>
      </c>
      <c r="BW618" t="s">
        <v>655</v>
      </c>
      <c r="BX618">
        <v>0.17</v>
      </c>
      <c r="BY618">
        <v>10.436299999999999</v>
      </c>
      <c r="BZ618">
        <v>0</v>
      </c>
      <c r="CA618">
        <v>1</v>
      </c>
      <c r="CB618">
        <v>0.6</v>
      </c>
      <c r="CC618" s="3">
        <v>7.1269159999999998E-2</v>
      </c>
      <c r="CD618">
        <v>2.875</v>
      </c>
      <c r="CE618">
        <v>2.5</v>
      </c>
      <c r="CF618">
        <v>18</v>
      </c>
      <c r="CG618">
        <v>6</v>
      </c>
      <c r="CH618">
        <v>0</v>
      </c>
      <c r="CI618">
        <v>61.39</v>
      </c>
      <c r="CJ618">
        <v>699.4873</v>
      </c>
    </row>
    <row r="619" spans="1:88">
      <c r="A619">
        <v>617</v>
      </c>
      <c r="B619" t="s">
        <v>0</v>
      </c>
      <c r="C619" t="s">
        <v>1</v>
      </c>
      <c r="D619" t="s">
        <v>316</v>
      </c>
      <c r="E619" t="s">
        <v>552</v>
      </c>
      <c r="F619" t="s">
        <v>349</v>
      </c>
      <c r="G619" t="s">
        <v>106</v>
      </c>
      <c r="H619" t="s">
        <v>350</v>
      </c>
      <c r="J619">
        <v>2</v>
      </c>
      <c r="K619" t="s">
        <v>108</v>
      </c>
      <c r="L619" t="s">
        <v>104</v>
      </c>
      <c r="M619" t="s">
        <v>600</v>
      </c>
      <c r="N619" t="s">
        <v>348</v>
      </c>
      <c r="O619">
        <v>171</v>
      </c>
      <c r="Q619">
        <v>749</v>
      </c>
      <c r="R619">
        <v>103</v>
      </c>
      <c r="S619">
        <v>4.25</v>
      </c>
      <c r="T619">
        <v>4.5380000000000003</v>
      </c>
      <c r="U619">
        <v>6.93</v>
      </c>
      <c r="V619">
        <v>3184.52</v>
      </c>
      <c r="W619">
        <v>717</v>
      </c>
      <c r="X619">
        <v>1.3332999999999999</v>
      </c>
      <c r="Y619">
        <v>543</v>
      </c>
      <c r="Z619">
        <v>5.87</v>
      </c>
      <c r="AJ619">
        <v>2</v>
      </c>
      <c r="AK619">
        <v>18</v>
      </c>
      <c r="AM619">
        <v>0</v>
      </c>
      <c r="AO619" t="s">
        <v>352</v>
      </c>
      <c r="AT619">
        <v>65</v>
      </c>
      <c r="AV619">
        <v>59.1</v>
      </c>
      <c r="AW619">
        <v>0.4375</v>
      </c>
      <c r="AX619">
        <v>3.75</v>
      </c>
      <c r="AY619">
        <v>52.5</v>
      </c>
      <c r="AZ619">
        <v>5.125</v>
      </c>
      <c r="BA619">
        <v>271.24</v>
      </c>
      <c r="BB619">
        <v>6.06</v>
      </c>
      <c r="BC619">
        <v>53</v>
      </c>
      <c r="BD619">
        <v>0.4375</v>
      </c>
      <c r="BE619">
        <v>3.75</v>
      </c>
      <c r="BF619">
        <v>52.5</v>
      </c>
      <c r="BG619">
        <v>5.125</v>
      </c>
      <c r="BH619">
        <v>271.24</v>
      </c>
      <c r="BI619">
        <v>6.06</v>
      </c>
      <c r="BJ619">
        <v>53</v>
      </c>
      <c r="BL619">
        <v>542.48</v>
      </c>
      <c r="BM619">
        <v>106</v>
      </c>
      <c r="BN619">
        <v>283.55009999999999</v>
      </c>
      <c r="BO619">
        <v>1291</v>
      </c>
      <c r="BP619">
        <v>0</v>
      </c>
      <c r="BQ619">
        <v>59</v>
      </c>
      <c r="BR619">
        <v>59</v>
      </c>
      <c r="BS619">
        <v>58.6</v>
      </c>
      <c r="BT619">
        <v>0</v>
      </c>
      <c r="BV619">
        <v>0</v>
      </c>
      <c r="BW619" t="s">
        <v>655</v>
      </c>
      <c r="BX619">
        <v>0.17</v>
      </c>
      <c r="BY619">
        <v>9.9619999999999997</v>
      </c>
      <c r="BZ619">
        <v>0</v>
      </c>
      <c r="CA619">
        <v>1</v>
      </c>
      <c r="CB619">
        <v>0.6</v>
      </c>
      <c r="CC619" s="3">
        <v>7.1269159999999998E-2</v>
      </c>
      <c r="CD619">
        <v>2.875</v>
      </c>
      <c r="CE619">
        <v>2.5</v>
      </c>
      <c r="CF619">
        <v>18</v>
      </c>
      <c r="CG619">
        <v>6</v>
      </c>
      <c r="CH619">
        <v>0</v>
      </c>
      <c r="CI619">
        <v>58.6</v>
      </c>
      <c r="CJ619">
        <v>680.22659999999996</v>
      </c>
    </row>
    <row r="620" spans="1:88">
      <c r="A620">
        <v>618</v>
      </c>
      <c r="B620" t="s">
        <v>13</v>
      </c>
      <c r="C620" t="s">
        <v>1</v>
      </c>
      <c r="D620" t="s">
        <v>162</v>
      </c>
      <c r="E620" t="s">
        <v>2</v>
      </c>
      <c r="F620" t="s">
        <v>100</v>
      </c>
      <c r="G620" t="s">
        <v>106</v>
      </c>
      <c r="H620" t="s">
        <v>158</v>
      </c>
      <c r="J620">
        <v>2</v>
      </c>
      <c r="K620" t="s">
        <v>146</v>
      </c>
      <c r="L620" t="s">
        <v>122</v>
      </c>
      <c r="M620" t="s">
        <v>4</v>
      </c>
      <c r="N620" t="s">
        <v>5</v>
      </c>
      <c r="O620">
        <v>107</v>
      </c>
      <c r="Q620">
        <v>368</v>
      </c>
      <c r="R620">
        <v>80</v>
      </c>
      <c r="S620">
        <v>4.25</v>
      </c>
      <c r="T620">
        <v>2.9710000000000001</v>
      </c>
      <c r="U620">
        <v>6.07</v>
      </c>
      <c r="V620">
        <v>1563.57</v>
      </c>
      <c r="W620">
        <v>487</v>
      </c>
      <c r="X620">
        <v>1.3332999999999999</v>
      </c>
      <c r="Y620">
        <v>364</v>
      </c>
      <c r="Z620">
        <v>4.3</v>
      </c>
      <c r="AJ620">
        <v>2</v>
      </c>
      <c r="AK620">
        <v>18</v>
      </c>
      <c r="AM620">
        <v>0</v>
      </c>
      <c r="AO620" t="s">
        <v>121</v>
      </c>
      <c r="AT620">
        <v>42</v>
      </c>
      <c r="AV620">
        <v>44.4</v>
      </c>
      <c r="AW620">
        <v>0</v>
      </c>
      <c r="AX620">
        <v>0</v>
      </c>
      <c r="AY620">
        <v>39.125</v>
      </c>
      <c r="AZ620">
        <v>3.75</v>
      </c>
      <c r="BA620">
        <v>0</v>
      </c>
      <c r="BB620">
        <v>0</v>
      </c>
      <c r="BC620">
        <v>40</v>
      </c>
      <c r="BN620">
        <v>212.2167</v>
      </c>
      <c r="BO620">
        <v>2304</v>
      </c>
      <c r="BP620">
        <v>0</v>
      </c>
      <c r="BQ620">
        <v>36</v>
      </c>
      <c r="BR620">
        <v>36</v>
      </c>
      <c r="BS620">
        <v>36.340000000000003</v>
      </c>
      <c r="BT620">
        <v>0</v>
      </c>
      <c r="BV620">
        <v>0</v>
      </c>
      <c r="BW620" t="s">
        <v>655</v>
      </c>
      <c r="BX620">
        <v>0.17</v>
      </c>
      <c r="BY620">
        <v>6.1778000000000004</v>
      </c>
      <c r="BZ620">
        <v>0</v>
      </c>
      <c r="CA620">
        <v>1</v>
      </c>
      <c r="CB620">
        <v>0.6</v>
      </c>
      <c r="CC620" s="3">
        <v>7.1269159999999998E-2</v>
      </c>
      <c r="CD620">
        <v>2.875</v>
      </c>
      <c r="CE620">
        <v>2.5</v>
      </c>
      <c r="CF620">
        <v>18</v>
      </c>
      <c r="CG620">
        <v>6</v>
      </c>
      <c r="CH620">
        <v>0</v>
      </c>
      <c r="CI620">
        <v>36.340000000000003</v>
      </c>
      <c r="CJ620">
        <v>317.26530000000002</v>
      </c>
    </row>
    <row r="621" spans="1:88">
      <c r="A621">
        <v>619</v>
      </c>
      <c r="B621" t="s">
        <v>0</v>
      </c>
      <c r="C621" t="s">
        <v>1</v>
      </c>
      <c r="D621" t="s">
        <v>143</v>
      </c>
      <c r="E621" t="s">
        <v>353</v>
      </c>
      <c r="F621" t="s">
        <v>144</v>
      </c>
      <c r="G621" t="s">
        <v>106</v>
      </c>
      <c r="H621" t="s">
        <v>145</v>
      </c>
      <c r="J621">
        <v>2</v>
      </c>
      <c r="K621" t="s">
        <v>146</v>
      </c>
      <c r="L621" t="s">
        <v>123</v>
      </c>
      <c r="M621" t="s">
        <v>509</v>
      </c>
      <c r="N621" t="s">
        <v>476</v>
      </c>
      <c r="O621">
        <v>163</v>
      </c>
      <c r="Q621">
        <v>650</v>
      </c>
      <c r="R621">
        <v>95</v>
      </c>
      <c r="S621">
        <v>4.25</v>
      </c>
      <c r="T621">
        <v>4.3529999999999998</v>
      </c>
      <c r="U621">
        <v>6.82</v>
      </c>
      <c r="V621">
        <v>2761.73</v>
      </c>
      <c r="W621">
        <v>645</v>
      </c>
      <c r="X621">
        <v>1.3332999999999999</v>
      </c>
      <c r="Y621">
        <v>486</v>
      </c>
      <c r="Z621">
        <v>5.68</v>
      </c>
      <c r="AJ621">
        <v>2</v>
      </c>
      <c r="AK621">
        <v>18</v>
      </c>
      <c r="AM621">
        <v>0</v>
      </c>
      <c r="AO621" t="s">
        <v>149</v>
      </c>
      <c r="AT621">
        <v>62</v>
      </c>
      <c r="AV621">
        <v>53.5</v>
      </c>
      <c r="AW621" t="s">
        <v>6</v>
      </c>
      <c r="AX621" t="s">
        <v>6</v>
      </c>
      <c r="AY621" t="s">
        <v>6</v>
      </c>
      <c r="AZ621" t="s">
        <v>6</v>
      </c>
      <c r="BA621" t="s">
        <v>6</v>
      </c>
      <c r="BB621" t="s">
        <v>6</v>
      </c>
      <c r="BC621" t="s">
        <v>6</v>
      </c>
      <c r="BD621" t="s">
        <v>6</v>
      </c>
      <c r="BE621" t="s">
        <v>6</v>
      </c>
      <c r="BF621" t="s">
        <v>6</v>
      </c>
      <c r="BG621" t="s">
        <v>6</v>
      </c>
      <c r="BH621" t="s">
        <v>6</v>
      </c>
      <c r="BI621" t="s">
        <v>6</v>
      </c>
      <c r="BJ621" t="s">
        <v>6</v>
      </c>
      <c r="BN621">
        <v>256.80009999999999</v>
      </c>
      <c r="BO621">
        <v>1574</v>
      </c>
      <c r="BP621">
        <v>0</v>
      </c>
      <c r="BQ621">
        <v>56</v>
      </c>
      <c r="BR621">
        <v>56</v>
      </c>
      <c r="BS621">
        <v>55.82</v>
      </c>
      <c r="BT621">
        <v>0</v>
      </c>
      <c r="BV621">
        <v>0</v>
      </c>
      <c r="BW621" t="s">
        <v>655</v>
      </c>
      <c r="BX621">
        <v>0.17</v>
      </c>
      <c r="BY621">
        <v>9.4893999999999998</v>
      </c>
      <c r="BZ621">
        <v>0</v>
      </c>
      <c r="CA621">
        <v>1</v>
      </c>
      <c r="CB621">
        <v>0.6</v>
      </c>
      <c r="CC621" s="3">
        <v>7.1269159999999998E-2</v>
      </c>
      <c r="CD621">
        <v>2.875</v>
      </c>
      <c r="CE621">
        <v>2.5</v>
      </c>
      <c r="CF621">
        <v>18</v>
      </c>
      <c r="CG621">
        <v>6</v>
      </c>
      <c r="CH621">
        <v>0</v>
      </c>
      <c r="CI621">
        <v>55.82</v>
      </c>
      <c r="CJ621">
        <v>586.79100000000005</v>
      </c>
    </row>
    <row r="622" spans="1:88">
      <c r="A622">
        <v>620</v>
      </c>
      <c r="B622" t="s">
        <v>13</v>
      </c>
      <c r="C622" t="s">
        <v>1</v>
      </c>
      <c r="D622" t="s">
        <v>8</v>
      </c>
      <c r="E622" t="s">
        <v>197</v>
      </c>
      <c r="F622" t="s">
        <v>246</v>
      </c>
      <c r="G622" t="s">
        <v>15</v>
      </c>
      <c r="H622" t="s">
        <v>247</v>
      </c>
      <c r="J622">
        <v>2</v>
      </c>
      <c r="K622" t="s">
        <v>108</v>
      </c>
      <c r="L622" t="s">
        <v>199</v>
      </c>
      <c r="M622" t="s">
        <v>200</v>
      </c>
      <c r="N622" t="s">
        <v>201</v>
      </c>
      <c r="O622">
        <v>173</v>
      </c>
      <c r="Q622">
        <v>909</v>
      </c>
      <c r="R622">
        <v>124</v>
      </c>
      <c r="S622">
        <v>4.25</v>
      </c>
      <c r="T622">
        <v>4.5830000000000002</v>
      </c>
      <c r="U622">
        <v>6.97</v>
      </c>
      <c r="V622">
        <v>3863.2</v>
      </c>
      <c r="W622">
        <v>862</v>
      </c>
      <c r="X622">
        <v>1.3332999999999999</v>
      </c>
      <c r="Y622">
        <v>654</v>
      </c>
      <c r="Z622">
        <v>5.91</v>
      </c>
      <c r="AJ622">
        <v>2</v>
      </c>
      <c r="AK622">
        <v>18</v>
      </c>
      <c r="AM622">
        <v>0</v>
      </c>
      <c r="AO622" t="s">
        <v>250</v>
      </c>
      <c r="AT622">
        <v>65</v>
      </c>
      <c r="AV622">
        <v>71.099999999999994</v>
      </c>
      <c r="AW622" t="s">
        <v>6</v>
      </c>
      <c r="AX622" t="s">
        <v>6</v>
      </c>
      <c r="AY622" t="s">
        <v>6</v>
      </c>
      <c r="AZ622" t="s">
        <v>6</v>
      </c>
      <c r="BA622" t="s">
        <v>6</v>
      </c>
      <c r="BB622" t="s">
        <v>6</v>
      </c>
      <c r="BC622" t="s">
        <v>6</v>
      </c>
      <c r="BD622" t="s">
        <v>6</v>
      </c>
      <c r="BE622" t="s">
        <v>6</v>
      </c>
      <c r="BF622" t="s">
        <v>6</v>
      </c>
      <c r="BG622" t="s">
        <v>6</v>
      </c>
      <c r="BH622" t="s">
        <v>6</v>
      </c>
      <c r="BI622" t="s">
        <v>6</v>
      </c>
      <c r="BJ622" t="s">
        <v>6</v>
      </c>
      <c r="BN622">
        <v>606.1585</v>
      </c>
      <c r="BO622">
        <v>2977</v>
      </c>
      <c r="BP622">
        <v>0</v>
      </c>
      <c r="BQ622">
        <v>59</v>
      </c>
      <c r="BR622">
        <v>59</v>
      </c>
      <c r="BS622">
        <v>59.3</v>
      </c>
      <c r="BT622">
        <v>0</v>
      </c>
      <c r="BV622">
        <v>0</v>
      </c>
      <c r="BW622" t="s">
        <v>655</v>
      </c>
      <c r="BX622">
        <v>0.17</v>
      </c>
      <c r="BY622">
        <v>10.081</v>
      </c>
      <c r="BZ622">
        <v>0</v>
      </c>
      <c r="CA622">
        <v>1</v>
      </c>
      <c r="CB622">
        <v>0.6</v>
      </c>
      <c r="CC622" s="3">
        <v>7.1269159999999998E-2</v>
      </c>
      <c r="CD622">
        <v>2.875</v>
      </c>
      <c r="CE622">
        <v>2.5</v>
      </c>
      <c r="CF622">
        <v>18</v>
      </c>
      <c r="CG622">
        <v>6</v>
      </c>
      <c r="CH622">
        <v>0</v>
      </c>
      <c r="CI622">
        <v>59.3</v>
      </c>
      <c r="CJ622">
        <v>827.81889999999999</v>
      </c>
    </row>
    <row r="623" spans="1:88">
      <c r="A623">
        <v>621</v>
      </c>
      <c r="B623" t="s">
        <v>0</v>
      </c>
      <c r="C623" t="s">
        <v>1</v>
      </c>
      <c r="D623" t="s">
        <v>369</v>
      </c>
      <c r="E623" t="s">
        <v>176</v>
      </c>
      <c r="F623" t="s">
        <v>312</v>
      </c>
      <c r="G623" t="s">
        <v>106</v>
      </c>
      <c r="H623" t="s">
        <v>229</v>
      </c>
      <c r="J623">
        <v>2</v>
      </c>
      <c r="K623" t="s">
        <v>146</v>
      </c>
      <c r="L623" t="s">
        <v>167</v>
      </c>
      <c r="M623" t="s">
        <v>226</v>
      </c>
      <c r="N623" t="s">
        <v>227</v>
      </c>
      <c r="O623">
        <v>113</v>
      </c>
      <c r="Q623">
        <v>359</v>
      </c>
      <c r="R623">
        <v>75</v>
      </c>
      <c r="S623">
        <v>4.25</v>
      </c>
      <c r="T623">
        <v>3.1280000000000001</v>
      </c>
      <c r="U623">
        <v>6.18</v>
      </c>
      <c r="V623">
        <v>1523.96</v>
      </c>
      <c r="W623">
        <v>464</v>
      </c>
      <c r="X623">
        <v>1.3332999999999999</v>
      </c>
      <c r="Y623">
        <v>342</v>
      </c>
      <c r="Z623">
        <v>4.46</v>
      </c>
      <c r="AJ623">
        <v>2</v>
      </c>
      <c r="AK623">
        <v>18</v>
      </c>
      <c r="AM623">
        <v>0</v>
      </c>
      <c r="AO623" t="s">
        <v>404</v>
      </c>
      <c r="AT623">
        <v>45</v>
      </c>
      <c r="AV623">
        <v>41.1</v>
      </c>
      <c r="AW623">
        <v>0</v>
      </c>
      <c r="AX623">
        <v>0</v>
      </c>
      <c r="AY623">
        <v>41.625</v>
      </c>
      <c r="AZ623">
        <v>3.875</v>
      </c>
      <c r="BA623">
        <v>0</v>
      </c>
      <c r="BB623">
        <v>0</v>
      </c>
      <c r="BC623">
        <v>42</v>
      </c>
      <c r="BN623">
        <v>196.16669999999999</v>
      </c>
      <c r="BO623">
        <v>2697</v>
      </c>
      <c r="BP623">
        <v>0</v>
      </c>
      <c r="BQ623">
        <v>38</v>
      </c>
      <c r="BR623">
        <v>38</v>
      </c>
      <c r="BS623">
        <v>38.43</v>
      </c>
      <c r="BT623">
        <v>0</v>
      </c>
      <c r="BV623">
        <v>0</v>
      </c>
      <c r="BW623" t="s">
        <v>655</v>
      </c>
      <c r="BX623">
        <v>0.17</v>
      </c>
      <c r="BY623">
        <v>6.5331000000000001</v>
      </c>
      <c r="BZ623">
        <v>0</v>
      </c>
      <c r="CA623">
        <v>1</v>
      </c>
      <c r="CB623">
        <v>0.6</v>
      </c>
      <c r="CC623" s="3">
        <v>7.1269159999999998E-2</v>
      </c>
      <c r="CD623">
        <v>2.875</v>
      </c>
      <c r="CE623">
        <v>2.5</v>
      </c>
      <c r="CF623">
        <v>18</v>
      </c>
      <c r="CG623">
        <v>6</v>
      </c>
      <c r="CH623">
        <v>0</v>
      </c>
      <c r="CI623">
        <v>38.43</v>
      </c>
      <c r="CJ623">
        <v>310.86219999999997</v>
      </c>
    </row>
    <row r="624" spans="1:88">
      <c r="A624">
        <v>622</v>
      </c>
      <c r="B624" t="s">
        <v>0</v>
      </c>
      <c r="C624" t="s">
        <v>1</v>
      </c>
      <c r="D624" t="s">
        <v>324</v>
      </c>
      <c r="E624" t="s">
        <v>169</v>
      </c>
      <c r="F624" t="s">
        <v>325</v>
      </c>
      <c r="G624" t="s">
        <v>15</v>
      </c>
      <c r="H624" t="s">
        <v>324</v>
      </c>
      <c r="J624">
        <v>2</v>
      </c>
      <c r="K624" t="s">
        <v>9</v>
      </c>
      <c r="L624" t="s">
        <v>381</v>
      </c>
      <c r="M624" t="s">
        <v>173</v>
      </c>
      <c r="N624" t="s">
        <v>174</v>
      </c>
      <c r="O624">
        <v>119</v>
      </c>
      <c r="Q624">
        <v>791</v>
      </c>
      <c r="R624">
        <v>151</v>
      </c>
      <c r="S624">
        <v>4.25</v>
      </c>
      <c r="T624">
        <v>3.2829999999999999</v>
      </c>
      <c r="U624">
        <v>6.15</v>
      </c>
      <c r="V624">
        <v>3362.17</v>
      </c>
      <c r="W624">
        <v>931</v>
      </c>
      <c r="X624">
        <v>1.3332999999999999</v>
      </c>
      <c r="Y624">
        <v>729</v>
      </c>
      <c r="Z624">
        <v>4.6100000000000003</v>
      </c>
      <c r="AJ624">
        <v>2</v>
      </c>
      <c r="AK624">
        <v>18</v>
      </c>
      <c r="AM624">
        <v>0</v>
      </c>
      <c r="AO624" t="s">
        <v>326</v>
      </c>
      <c r="AT624">
        <v>47</v>
      </c>
      <c r="AV624">
        <v>87</v>
      </c>
      <c r="AW624" t="s">
        <v>6</v>
      </c>
      <c r="AX624" t="s">
        <v>6</v>
      </c>
      <c r="AY624" t="s">
        <v>6</v>
      </c>
      <c r="AZ624" t="s">
        <v>6</v>
      </c>
      <c r="BA624" t="s">
        <v>6</v>
      </c>
      <c r="BB624" t="s">
        <v>6</v>
      </c>
      <c r="BC624" t="s">
        <v>6</v>
      </c>
      <c r="BD624" t="s">
        <v>6</v>
      </c>
      <c r="BE624" t="s">
        <v>6</v>
      </c>
      <c r="BF624" t="s">
        <v>6</v>
      </c>
      <c r="BG624" t="s">
        <v>6</v>
      </c>
      <c r="BH624" t="s">
        <v>6</v>
      </c>
      <c r="BI624" t="s">
        <v>6</v>
      </c>
      <c r="BJ624" t="s">
        <v>6</v>
      </c>
      <c r="BN624">
        <v>745.06970000000001</v>
      </c>
      <c r="BO624">
        <v>1970</v>
      </c>
      <c r="BP624">
        <v>0</v>
      </c>
      <c r="BQ624">
        <v>41</v>
      </c>
      <c r="BR624">
        <v>41</v>
      </c>
      <c r="BS624">
        <v>40.520000000000003</v>
      </c>
      <c r="BT624">
        <v>0</v>
      </c>
      <c r="BV624">
        <v>6</v>
      </c>
      <c r="BW624" t="s">
        <v>655</v>
      </c>
      <c r="BX624">
        <v>0.27933340000000001</v>
      </c>
      <c r="BY624">
        <v>11.31859</v>
      </c>
      <c r="BZ624">
        <v>0</v>
      </c>
      <c r="CA624">
        <v>1</v>
      </c>
      <c r="CB624">
        <v>0.6</v>
      </c>
      <c r="CC624" s="3">
        <v>7.1269159999999998E-2</v>
      </c>
      <c r="CD624">
        <v>2.875</v>
      </c>
      <c r="CE624">
        <v>2.5</v>
      </c>
      <c r="CF624">
        <v>18</v>
      </c>
      <c r="CG624">
        <v>6</v>
      </c>
      <c r="CH624">
        <v>0</v>
      </c>
      <c r="CI624">
        <v>40.520000000000003</v>
      </c>
      <c r="CJ624">
        <v>692.71730000000002</v>
      </c>
    </row>
    <row r="625" spans="1:88">
      <c r="A625">
        <v>623</v>
      </c>
      <c r="B625" t="s">
        <v>13</v>
      </c>
      <c r="C625" t="s">
        <v>1</v>
      </c>
      <c r="D625" t="s">
        <v>324</v>
      </c>
      <c r="E625" t="s">
        <v>233</v>
      </c>
      <c r="F625" t="s">
        <v>325</v>
      </c>
      <c r="G625" t="s">
        <v>15</v>
      </c>
      <c r="H625" t="s">
        <v>324</v>
      </c>
      <c r="J625">
        <v>2</v>
      </c>
      <c r="K625" t="s">
        <v>9</v>
      </c>
      <c r="L625" t="s">
        <v>251</v>
      </c>
      <c r="M625" t="s">
        <v>236</v>
      </c>
      <c r="N625" t="s">
        <v>272</v>
      </c>
      <c r="O625">
        <v>157</v>
      </c>
      <c r="Q625">
        <v>1021</v>
      </c>
      <c r="R625">
        <v>151</v>
      </c>
      <c r="S625">
        <v>4.25</v>
      </c>
      <c r="T625">
        <v>4.2130000000000001</v>
      </c>
      <c r="U625">
        <v>6.82</v>
      </c>
      <c r="V625">
        <v>4337.63</v>
      </c>
      <c r="W625">
        <v>1032</v>
      </c>
      <c r="X625">
        <v>1.3332999999999999</v>
      </c>
      <c r="Y625">
        <v>783</v>
      </c>
      <c r="Z625">
        <v>5.54</v>
      </c>
      <c r="AJ625">
        <v>2</v>
      </c>
      <c r="AK625">
        <v>18</v>
      </c>
      <c r="AM625">
        <v>0</v>
      </c>
      <c r="AO625" t="s">
        <v>326</v>
      </c>
      <c r="AT625">
        <v>60</v>
      </c>
      <c r="AV625">
        <v>87</v>
      </c>
      <c r="AW625" t="s">
        <v>6</v>
      </c>
      <c r="AX625" t="s">
        <v>6</v>
      </c>
      <c r="AY625" t="s">
        <v>6</v>
      </c>
      <c r="AZ625" t="s">
        <v>6</v>
      </c>
      <c r="BA625" t="s">
        <v>6</v>
      </c>
      <c r="BB625" t="s">
        <v>6</v>
      </c>
      <c r="BC625" t="s">
        <v>6</v>
      </c>
      <c r="BD625" t="s">
        <v>6</v>
      </c>
      <c r="BE625" t="s">
        <v>6</v>
      </c>
      <c r="BF625" t="s">
        <v>6</v>
      </c>
      <c r="BG625" t="s">
        <v>6</v>
      </c>
      <c r="BH625" t="s">
        <v>6</v>
      </c>
      <c r="BI625" t="s">
        <v>6</v>
      </c>
      <c r="BJ625" t="s">
        <v>6</v>
      </c>
      <c r="BN625">
        <v>745.06970000000001</v>
      </c>
      <c r="BO625">
        <v>1970</v>
      </c>
      <c r="BP625">
        <v>0</v>
      </c>
      <c r="BQ625">
        <v>54</v>
      </c>
      <c r="BR625">
        <v>54</v>
      </c>
      <c r="BS625">
        <v>53.73</v>
      </c>
      <c r="BT625">
        <v>0</v>
      </c>
      <c r="BV625">
        <v>6</v>
      </c>
      <c r="BW625" t="s">
        <v>655</v>
      </c>
      <c r="BX625">
        <v>0.27933340000000001</v>
      </c>
      <c r="BY625">
        <v>15.00858</v>
      </c>
      <c r="BZ625">
        <v>0</v>
      </c>
      <c r="CA625">
        <v>1</v>
      </c>
      <c r="CB625">
        <v>0.6</v>
      </c>
      <c r="CC625" s="3">
        <v>7.1269159999999998E-2</v>
      </c>
      <c r="CD625">
        <v>2.875</v>
      </c>
      <c r="CE625">
        <v>2.5</v>
      </c>
      <c r="CF625">
        <v>18</v>
      </c>
      <c r="CG625">
        <v>6</v>
      </c>
      <c r="CH625">
        <v>0</v>
      </c>
      <c r="CI625">
        <v>53.73</v>
      </c>
      <c r="CJ625">
        <v>918.55129999999997</v>
      </c>
    </row>
    <row r="626" spans="1:88">
      <c r="A626">
        <v>624</v>
      </c>
      <c r="B626" t="s">
        <v>0</v>
      </c>
      <c r="C626" t="s">
        <v>1</v>
      </c>
      <c r="D626" t="s">
        <v>103</v>
      </c>
      <c r="E626" t="s">
        <v>219</v>
      </c>
      <c r="F626" t="s">
        <v>105</v>
      </c>
      <c r="G626" t="s">
        <v>106</v>
      </c>
      <c r="H626" t="s">
        <v>107</v>
      </c>
      <c r="J626">
        <v>2</v>
      </c>
      <c r="K626" t="s">
        <v>108</v>
      </c>
      <c r="L626" t="s">
        <v>369</v>
      </c>
      <c r="M626" t="s">
        <v>220</v>
      </c>
      <c r="N626" t="s">
        <v>221</v>
      </c>
      <c r="O626">
        <v>101</v>
      </c>
      <c r="Q626">
        <v>454</v>
      </c>
      <c r="R626">
        <v>102</v>
      </c>
      <c r="S626">
        <v>4.25</v>
      </c>
      <c r="T626">
        <v>2.8119999999999998</v>
      </c>
      <c r="U626">
        <v>5.92</v>
      </c>
      <c r="V626">
        <v>1930.39</v>
      </c>
      <c r="W626">
        <v>602</v>
      </c>
      <c r="X626">
        <v>1.3332999999999999</v>
      </c>
      <c r="Y626">
        <v>466</v>
      </c>
      <c r="Z626">
        <v>4.1399999999999997</v>
      </c>
      <c r="AJ626">
        <v>2</v>
      </c>
      <c r="AK626">
        <v>18</v>
      </c>
      <c r="AM626">
        <v>0</v>
      </c>
      <c r="AO626" t="s">
        <v>112</v>
      </c>
      <c r="AT626">
        <v>40</v>
      </c>
      <c r="AV626">
        <v>58</v>
      </c>
      <c r="AW626">
        <v>0</v>
      </c>
      <c r="AX626">
        <v>0</v>
      </c>
      <c r="AY626">
        <v>43.5</v>
      </c>
      <c r="AZ626">
        <v>3.875</v>
      </c>
      <c r="BA626">
        <v>0</v>
      </c>
      <c r="BB626">
        <v>0</v>
      </c>
      <c r="BC626">
        <v>47</v>
      </c>
      <c r="BN626">
        <v>278.20010000000002</v>
      </c>
      <c r="BO626">
        <v>1341</v>
      </c>
      <c r="BP626">
        <v>0</v>
      </c>
      <c r="BQ626">
        <v>34</v>
      </c>
      <c r="BR626">
        <v>34</v>
      </c>
      <c r="BS626">
        <v>34.26</v>
      </c>
      <c r="BT626">
        <v>0</v>
      </c>
      <c r="BV626">
        <v>0</v>
      </c>
      <c r="BW626" t="s">
        <v>655</v>
      </c>
      <c r="BX626">
        <v>0.17</v>
      </c>
      <c r="BY626">
        <v>5.8242000000000003</v>
      </c>
      <c r="BZ626">
        <v>0</v>
      </c>
      <c r="CA626">
        <v>1</v>
      </c>
      <c r="CB626">
        <v>0.6</v>
      </c>
      <c r="CC626" s="3">
        <v>7.1269159999999998E-2</v>
      </c>
      <c r="CD626">
        <v>2.875</v>
      </c>
      <c r="CE626">
        <v>2.5</v>
      </c>
      <c r="CF626">
        <v>18</v>
      </c>
      <c r="CG626">
        <v>6</v>
      </c>
      <c r="CH626">
        <v>0</v>
      </c>
      <c r="CI626">
        <v>34.26</v>
      </c>
      <c r="CJ626">
        <v>390.36380000000003</v>
      </c>
    </row>
    <row r="627" spans="1:88">
      <c r="A627">
        <v>625</v>
      </c>
      <c r="B627" t="s">
        <v>0</v>
      </c>
      <c r="C627" t="s">
        <v>1</v>
      </c>
      <c r="D627" t="s">
        <v>267</v>
      </c>
      <c r="E627" t="s">
        <v>205</v>
      </c>
      <c r="F627" t="s">
        <v>269</v>
      </c>
      <c r="G627" t="s">
        <v>106</v>
      </c>
      <c r="H627" t="s">
        <v>131</v>
      </c>
      <c r="J627">
        <v>2</v>
      </c>
      <c r="K627" t="s">
        <v>146</v>
      </c>
      <c r="L627" t="s">
        <v>459</v>
      </c>
      <c r="M627" t="s">
        <v>601</v>
      </c>
      <c r="N627" t="s">
        <v>455</v>
      </c>
      <c r="O627">
        <v>184</v>
      </c>
      <c r="Q627">
        <v>747</v>
      </c>
      <c r="R627">
        <v>97</v>
      </c>
      <c r="S627">
        <v>4.25</v>
      </c>
      <c r="T627">
        <v>4.8310000000000004</v>
      </c>
      <c r="U627">
        <v>7.16</v>
      </c>
      <c r="V627">
        <v>3176.23</v>
      </c>
      <c r="W627">
        <v>694</v>
      </c>
      <c r="X627">
        <v>1.3332999999999999</v>
      </c>
      <c r="Y627">
        <v>516</v>
      </c>
      <c r="Z627">
        <v>6.16</v>
      </c>
      <c r="AJ627">
        <v>2</v>
      </c>
      <c r="AK627">
        <v>18</v>
      </c>
      <c r="AM627">
        <v>0</v>
      </c>
      <c r="AO627" t="s">
        <v>271</v>
      </c>
      <c r="AT627">
        <v>69</v>
      </c>
      <c r="AV627">
        <v>54.9</v>
      </c>
      <c r="AW627">
        <v>0.4375</v>
      </c>
      <c r="AX627">
        <v>3.75</v>
      </c>
      <c r="AY627">
        <v>55.25</v>
      </c>
      <c r="AZ627">
        <v>5.375</v>
      </c>
      <c r="BA627">
        <v>257.81</v>
      </c>
      <c r="BB627">
        <v>6.38</v>
      </c>
      <c r="BC627">
        <v>56</v>
      </c>
      <c r="BD627">
        <v>0.4375</v>
      </c>
      <c r="BE627">
        <v>3.75</v>
      </c>
      <c r="BF627">
        <v>55.25</v>
      </c>
      <c r="BG627">
        <v>5.375</v>
      </c>
      <c r="BH627">
        <v>257.81</v>
      </c>
      <c r="BI627">
        <v>6.38</v>
      </c>
      <c r="BJ627">
        <v>56</v>
      </c>
      <c r="BL627">
        <v>515.62</v>
      </c>
      <c r="BM627">
        <v>111</v>
      </c>
      <c r="BN627">
        <v>263.93340000000001</v>
      </c>
      <c r="BO627">
        <v>1490</v>
      </c>
      <c r="BP627">
        <v>0</v>
      </c>
      <c r="BQ627">
        <v>63</v>
      </c>
      <c r="BR627">
        <v>63</v>
      </c>
      <c r="BS627">
        <v>63.13</v>
      </c>
      <c r="BT627">
        <v>0</v>
      </c>
      <c r="BV627">
        <v>0</v>
      </c>
      <c r="BW627" t="s">
        <v>655</v>
      </c>
      <c r="BX627">
        <v>0.17</v>
      </c>
      <c r="BY627">
        <v>10.732100000000001</v>
      </c>
      <c r="BZ627">
        <v>0</v>
      </c>
      <c r="CA627">
        <v>1</v>
      </c>
      <c r="CB627">
        <v>0.6</v>
      </c>
      <c r="CC627" s="3">
        <v>7.1269159999999998E-2</v>
      </c>
      <c r="CD627">
        <v>2.875</v>
      </c>
      <c r="CE627">
        <v>2.5</v>
      </c>
      <c r="CF627">
        <v>18</v>
      </c>
      <c r="CG627">
        <v>6</v>
      </c>
      <c r="CH627">
        <v>0</v>
      </c>
      <c r="CI627">
        <v>63.13</v>
      </c>
      <c r="CJ627">
        <v>681.63210000000004</v>
      </c>
    </row>
    <row r="628" spans="1:88">
      <c r="A628">
        <v>626</v>
      </c>
      <c r="B628" t="s">
        <v>13</v>
      </c>
      <c r="C628" t="s">
        <v>1</v>
      </c>
      <c r="D628" t="s">
        <v>268</v>
      </c>
      <c r="E628" t="s">
        <v>167</v>
      </c>
      <c r="F628" t="s">
        <v>308</v>
      </c>
      <c r="G628" t="s">
        <v>106</v>
      </c>
      <c r="H628" t="s">
        <v>174</v>
      </c>
      <c r="J628">
        <v>2</v>
      </c>
      <c r="K628" t="s">
        <v>146</v>
      </c>
      <c r="L628" t="s">
        <v>207</v>
      </c>
      <c r="M628" t="s">
        <v>327</v>
      </c>
      <c r="N628" t="s">
        <v>330</v>
      </c>
      <c r="O628">
        <v>133</v>
      </c>
      <c r="Q628">
        <v>423</v>
      </c>
      <c r="R628">
        <v>76</v>
      </c>
      <c r="S628">
        <v>4.25</v>
      </c>
      <c r="T628">
        <v>3.6349999999999998</v>
      </c>
      <c r="U628">
        <v>6.41</v>
      </c>
      <c r="V628">
        <v>1798.85</v>
      </c>
      <c r="W628">
        <v>489</v>
      </c>
      <c r="X628">
        <v>1.3332999999999999</v>
      </c>
      <c r="Y628">
        <v>363</v>
      </c>
      <c r="Z628">
        <v>4.96</v>
      </c>
      <c r="AJ628">
        <v>2</v>
      </c>
      <c r="AK628">
        <v>18</v>
      </c>
      <c r="AM628">
        <v>0</v>
      </c>
      <c r="AO628" t="s">
        <v>312</v>
      </c>
      <c r="AT628">
        <v>52</v>
      </c>
      <c r="AV628">
        <v>41.9</v>
      </c>
      <c r="AW628">
        <v>0</v>
      </c>
      <c r="AX628">
        <v>0</v>
      </c>
      <c r="AY628">
        <v>55.875</v>
      </c>
      <c r="AZ628">
        <v>4.625</v>
      </c>
      <c r="BA628">
        <v>0</v>
      </c>
      <c r="BB628">
        <v>0</v>
      </c>
      <c r="BC628">
        <v>60</v>
      </c>
      <c r="BN628">
        <v>199.73339999999999</v>
      </c>
      <c r="BO628">
        <v>2601</v>
      </c>
      <c r="BP628">
        <v>0</v>
      </c>
      <c r="BQ628">
        <v>45</v>
      </c>
      <c r="BR628">
        <v>45</v>
      </c>
      <c r="BS628">
        <v>45.39</v>
      </c>
      <c r="BT628">
        <v>0</v>
      </c>
      <c r="BV628">
        <v>0</v>
      </c>
      <c r="BW628" t="s">
        <v>655</v>
      </c>
      <c r="BX628">
        <v>0.17</v>
      </c>
      <c r="BY628">
        <v>7.7163000000000004</v>
      </c>
      <c r="BZ628">
        <v>0</v>
      </c>
      <c r="CA628">
        <v>1</v>
      </c>
      <c r="CB628">
        <v>0.6</v>
      </c>
      <c r="CC628" s="3">
        <v>7.1269159999999998E-2</v>
      </c>
      <c r="CD628">
        <v>2.875</v>
      </c>
      <c r="CE628">
        <v>2.5</v>
      </c>
      <c r="CF628">
        <v>18</v>
      </c>
      <c r="CG628">
        <v>6</v>
      </c>
      <c r="CH628">
        <v>0</v>
      </c>
      <c r="CI628">
        <v>45.39</v>
      </c>
      <c r="CJ628">
        <v>373.6318</v>
      </c>
    </row>
    <row r="629" spans="1:88">
      <c r="A629">
        <v>627</v>
      </c>
      <c r="B629" t="s">
        <v>13</v>
      </c>
      <c r="C629" t="s">
        <v>1</v>
      </c>
      <c r="D629" t="s">
        <v>2</v>
      </c>
      <c r="E629" t="s">
        <v>267</v>
      </c>
      <c r="F629" t="s">
        <v>154</v>
      </c>
      <c r="G629" t="s">
        <v>106</v>
      </c>
      <c r="H629" t="s">
        <v>217</v>
      </c>
      <c r="J629">
        <v>2</v>
      </c>
      <c r="K629" t="s">
        <v>146</v>
      </c>
      <c r="L629" t="s">
        <v>113</v>
      </c>
      <c r="M629" t="s">
        <v>232</v>
      </c>
      <c r="N629" t="s">
        <v>258</v>
      </c>
      <c r="O629">
        <v>159</v>
      </c>
      <c r="Q629">
        <v>431</v>
      </c>
      <c r="R629">
        <v>67</v>
      </c>
      <c r="S629">
        <v>4.25</v>
      </c>
      <c r="T629">
        <v>4.26</v>
      </c>
      <c r="U629">
        <v>6.75</v>
      </c>
      <c r="V629">
        <v>1833.19</v>
      </c>
      <c r="W629">
        <v>453</v>
      </c>
      <c r="X629">
        <v>1.3332999999999999</v>
      </c>
      <c r="Y629">
        <v>328</v>
      </c>
      <c r="Z629">
        <v>5.59</v>
      </c>
      <c r="AJ629">
        <v>2</v>
      </c>
      <c r="AK629">
        <v>18</v>
      </c>
      <c r="AM629">
        <v>0</v>
      </c>
      <c r="AO629" t="s">
        <v>218</v>
      </c>
      <c r="AT629">
        <v>61</v>
      </c>
      <c r="AV629">
        <v>36.1</v>
      </c>
      <c r="AW629">
        <v>0</v>
      </c>
      <c r="AX629">
        <v>0</v>
      </c>
      <c r="AY629">
        <v>61.875</v>
      </c>
      <c r="AZ629">
        <v>5.25</v>
      </c>
      <c r="BA629">
        <v>0</v>
      </c>
      <c r="BB629">
        <v>0</v>
      </c>
      <c r="BC629">
        <v>66</v>
      </c>
      <c r="BN629">
        <v>171.2</v>
      </c>
      <c r="BO629">
        <v>3540</v>
      </c>
      <c r="BP629">
        <v>0</v>
      </c>
      <c r="BQ629">
        <v>54</v>
      </c>
      <c r="BR629">
        <v>54</v>
      </c>
      <c r="BS629">
        <v>54.43</v>
      </c>
      <c r="BT629">
        <v>0</v>
      </c>
      <c r="BV629">
        <v>0</v>
      </c>
      <c r="BW629" t="s">
        <v>655</v>
      </c>
      <c r="BX629">
        <v>0.17</v>
      </c>
      <c r="BY629">
        <v>9.2531009999999991</v>
      </c>
      <c r="BZ629">
        <v>0</v>
      </c>
      <c r="CA629">
        <v>1</v>
      </c>
      <c r="CB629">
        <v>0.6</v>
      </c>
      <c r="CC629" s="3">
        <v>7.1269159999999998E-2</v>
      </c>
      <c r="CD629">
        <v>2.875</v>
      </c>
      <c r="CE629">
        <v>2.5</v>
      </c>
      <c r="CF629">
        <v>18</v>
      </c>
      <c r="CG629">
        <v>6</v>
      </c>
      <c r="CH629">
        <v>0</v>
      </c>
      <c r="CI629">
        <v>54.43</v>
      </c>
      <c r="CJ629">
        <v>385.97840000000002</v>
      </c>
    </row>
    <row r="630" spans="1:88">
      <c r="A630">
        <v>628</v>
      </c>
      <c r="B630" t="s">
        <v>0</v>
      </c>
      <c r="C630" t="s">
        <v>1</v>
      </c>
      <c r="D630" t="s">
        <v>151</v>
      </c>
      <c r="E630" t="s">
        <v>3</v>
      </c>
      <c r="F630" t="s">
        <v>385</v>
      </c>
      <c r="G630" t="s">
        <v>106</v>
      </c>
      <c r="H630" t="s">
        <v>2</v>
      </c>
      <c r="J630">
        <v>2</v>
      </c>
      <c r="K630" t="s">
        <v>146</v>
      </c>
      <c r="L630" t="s">
        <v>363</v>
      </c>
      <c r="M630" t="s">
        <v>383</v>
      </c>
      <c r="N630" t="s">
        <v>119</v>
      </c>
      <c r="O630">
        <v>125</v>
      </c>
      <c r="Q630">
        <v>349</v>
      </c>
      <c r="R630">
        <v>68</v>
      </c>
      <c r="S630">
        <v>4.25</v>
      </c>
      <c r="T630">
        <v>3.4350000000000001</v>
      </c>
      <c r="U630">
        <v>6.26</v>
      </c>
      <c r="V630">
        <v>1482.57</v>
      </c>
      <c r="W630">
        <v>423</v>
      </c>
      <c r="X630">
        <v>1.3332999999999999</v>
      </c>
      <c r="Y630">
        <v>311</v>
      </c>
      <c r="Z630">
        <v>4.76</v>
      </c>
      <c r="AJ630">
        <v>2</v>
      </c>
      <c r="AK630">
        <v>18</v>
      </c>
      <c r="AM630">
        <v>0</v>
      </c>
      <c r="AO630" t="s">
        <v>4</v>
      </c>
      <c r="AT630">
        <v>49</v>
      </c>
      <c r="AV630">
        <v>36.4</v>
      </c>
      <c r="AW630">
        <v>0</v>
      </c>
      <c r="AX630">
        <v>0</v>
      </c>
      <c r="AY630">
        <v>45.625</v>
      </c>
      <c r="AZ630">
        <v>4.125</v>
      </c>
      <c r="BA630">
        <v>0</v>
      </c>
      <c r="BB630">
        <v>0</v>
      </c>
      <c r="BC630">
        <v>46</v>
      </c>
      <c r="BN630">
        <v>172.98339999999999</v>
      </c>
      <c r="BO630">
        <v>3468</v>
      </c>
      <c r="BP630">
        <v>0</v>
      </c>
      <c r="BQ630">
        <v>43</v>
      </c>
      <c r="BR630">
        <v>43</v>
      </c>
      <c r="BS630">
        <v>42.6</v>
      </c>
      <c r="BT630">
        <v>0</v>
      </c>
      <c r="BV630">
        <v>0</v>
      </c>
      <c r="BW630" t="s">
        <v>655</v>
      </c>
      <c r="BX630">
        <v>0.17</v>
      </c>
      <c r="BY630">
        <v>7.242</v>
      </c>
      <c r="BZ630">
        <v>0</v>
      </c>
      <c r="CA630">
        <v>1</v>
      </c>
      <c r="CB630">
        <v>0.6</v>
      </c>
      <c r="CC630" s="3">
        <v>7.1269159999999998E-2</v>
      </c>
      <c r="CD630">
        <v>2.875</v>
      </c>
      <c r="CE630">
        <v>2.5</v>
      </c>
      <c r="CF630">
        <v>18</v>
      </c>
      <c r="CG630">
        <v>6</v>
      </c>
      <c r="CH630">
        <v>0</v>
      </c>
      <c r="CI630">
        <v>42.6</v>
      </c>
      <c r="CJ630">
        <v>305.12459999999999</v>
      </c>
    </row>
    <row r="631" spans="1:88">
      <c r="A631">
        <v>629</v>
      </c>
      <c r="B631" t="s">
        <v>0</v>
      </c>
      <c r="C631" t="s">
        <v>1</v>
      </c>
      <c r="D631" t="s">
        <v>169</v>
      </c>
      <c r="E631" t="s">
        <v>133</v>
      </c>
      <c r="F631" t="s">
        <v>404</v>
      </c>
      <c r="G631" t="s">
        <v>106</v>
      </c>
      <c r="H631" t="s">
        <v>190</v>
      </c>
      <c r="J631">
        <v>2</v>
      </c>
      <c r="K631" t="s">
        <v>146</v>
      </c>
      <c r="L631" t="s">
        <v>353</v>
      </c>
      <c r="M631" t="s">
        <v>194</v>
      </c>
      <c r="N631" t="s">
        <v>195</v>
      </c>
      <c r="O631">
        <v>143</v>
      </c>
      <c r="Q631">
        <v>437</v>
      </c>
      <c r="R631">
        <v>74</v>
      </c>
      <c r="S631">
        <v>4.25</v>
      </c>
      <c r="T631">
        <v>3.88</v>
      </c>
      <c r="U631">
        <v>6.6</v>
      </c>
      <c r="V631">
        <v>1857.42</v>
      </c>
      <c r="W631">
        <v>488</v>
      </c>
      <c r="X631">
        <v>1.3332999999999999</v>
      </c>
      <c r="Y631">
        <v>357</v>
      </c>
      <c r="Z631">
        <v>5.21</v>
      </c>
      <c r="AJ631">
        <v>2</v>
      </c>
      <c r="AK631">
        <v>18</v>
      </c>
      <c r="AM631">
        <v>0</v>
      </c>
      <c r="AO631" t="s">
        <v>406</v>
      </c>
      <c r="AT631">
        <v>55</v>
      </c>
      <c r="AV631">
        <v>40.4</v>
      </c>
      <c r="AW631">
        <v>0</v>
      </c>
      <c r="AX631">
        <v>0</v>
      </c>
      <c r="AY631">
        <v>56.875</v>
      </c>
      <c r="AZ631">
        <v>4.875</v>
      </c>
      <c r="BA631">
        <v>0</v>
      </c>
      <c r="BB631">
        <v>0</v>
      </c>
      <c r="BC631">
        <v>61</v>
      </c>
      <c r="BN631">
        <v>192.6</v>
      </c>
      <c r="BO631">
        <v>2797</v>
      </c>
      <c r="BP631">
        <v>0</v>
      </c>
      <c r="BQ631">
        <v>49</v>
      </c>
      <c r="BR631">
        <v>49</v>
      </c>
      <c r="BS631">
        <v>48.86</v>
      </c>
      <c r="BT631">
        <v>0</v>
      </c>
      <c r="BV631">
        <v>0</v>
      </c>
      <c r="BW631" t="s">
        <v>655</v>
      </c>
      <c r="BX631">
        <v>0.17</v>
      </c>
      <c r="BY631">
        <v>8.3062000000000005</v>
      </c>
      <c r="BZ631">
        <v>0</v>
      </c>
      <c r="CA631">
        <v>1</v>
      </c>
      <c r="CB631">
        <v>0.6</v>
      </c>
      <c r="CC631" s="3">
        <v>7.1269159999999998E-2</v>
      </c>
      <c r="CD631">
        <v>2.875</v>
      </c>
      <c r="CE631">
        <v>2.5</v>
      </c>
      <c r="CF631">
        <v>18</v>
      </c>
      <c r="CG631">
        <v>6</v>
      </c>
      <c r="CH631">
        <v>0</v>
      </c>
      <c r="CI631">
        <v>48.86</v>
      </c>
      <c r="CJ631">
        <v>388.26650000000001</v>
      </c>
    </row>
    <row r="632" spans="1:88">
      <c r="A632">
        <v>630</v>
      </c>
      <c r="B632" t="s">
        <v>0</v>
      </c>
      <c r="C632" t="s">
        <v>1</v>
      </c>
      <c r="D632" t="s">
        <v>172</v>
      </c>
      <c r="E632" t="s">
        <v>99</v>
      </c>
      <c r="F632" t="s">
        <v>359</v>
      </c>
      <c r="G632" t="s">
        <v>106</v>
      </c>
      <c r="H632" t="s">
        <v>330</v>
      </c>
      <c r="J632">
        <v>2</v>
      </c>
      <c r="K632" t="s">
        <v>146</v>
      </c>
      <c r="L632" t="s">
        <v>393</v>
      </c>
      <c r="M632" t="s">
        <v>184</v>
      </c>
      <c r="N632" t="s">
        <v>185</v>
      </c>
      <c r="O632">
        <v>149</v>
      </c>
      <c r="Q632">
        <v>526</v>
      </c>
      <c r="R632">
        <v>84</v>
      </c>
      <c r="S632">
        <v>4.25</v>
      </c>
      <c r="T632">
        <v>4.024</v>
      </c>
      <c r="U632">
        <v>6.71</v>
      </c>
      <c r="V632">
        <v>2235.0300000000002</v>
      </c>
      <c r="W632">
        <v>566</v>
      </c>
      <c r="X632">
        <v>1.3332999999999999</v>
      </c>
      <c r="Y632">
        <v>418</v>
      </c>
      <c r="Z632">
        <v>5.35</v>
      </c>
      <c r="AJ632">
        <v>2</v>
      </c>
      <c r="AK632">
        <v>18</v>
      </c>
      <c r="AM632">
        <v>0</v>
      </c>
      <c r="AO632" t="s">
        <v>360</v>
      </c>
      <c r="AT632">
        <v>57</v>
      </c>
      <c r="AV632">
        <v>47</v>
      </c>
      <c r="AW632">
        <v>0.46875</v>
      </c>
      <c r="AX632">
        <v>3.75</v>
      </c>
      <c r="AY632">
        <v>55</v>
      </c>
      <c r="AZ632">
        <v>5</v>
      </c>
      <c r="BA632">
        <v>368.37</v>
      </c>
      <c r="BB632">
        <v>5.35</v>
      </c>
      <c r="BC632">
        <v>59</v>
      </c>
      <c r="BD632">
        <v>0.25</v>
      </c>
      <c r="BE632">
        <v>2.75</v>
      </c>
      <c r="BF632">
        <v>23.25</v>
      </c>
      <c r="BG632">
        <v>2.625</v>
      </c>
      <c r="BH632">
        <v>49.39</v>
      </c>
      <c r="BI632">
        <v>6.95</v>
      </c>
      <c r="BJ632">
        <v>10</v>
      </c>
      <c r="BL632">
        <v>417.76</v>
      </c>
      <c r="BM632">
        <v>69</v>
      </c>
      <c r="BN632">
        <v>224.70009999999999</v>
      </c>
      <c r="BO632">
        <v>2055</v>
      </c>
      <c r="BP632">
        <v>0</v>
      </c>
      <c r="BQ632">
        <v>51</v>
      </c>
      <c r="BR632">
        <v>51</v>
      </c>
      <c r="BS632">
        <v>50.95</v>
      </c>
      <c r="BT632">
        <v>0</v>
      </c>
      <c r="BV632">
        <v>0</v>
      </c>
      <c r="BW632" t="s">
        <v>655</v>
      </c>
      <c r="BX632">
        <v>0.17</v>
      </c>
      <c r="BY632">
        <v>8.6615000000000002</v>
      </c>
      <c r="BZ632">
        <v>0</v>
      </c>
      <c r="CA632">
        <v>1</v>
      </c>
      <c r="CB632">
        <v>0.6</v>
      </c>
      <c r="CC632" s="3">
        <v>7.1269159999999998E-2</v>
      </c>
      <c r="CD632">
        <v>2.875</v>
      </c>
      <c r="CE632">
        <v>2.5</v>
      </c>
      <c r="CF632">
        <v>18</v>
      </c>
      <c r="CG632">
        <v>6</v>
      </c>
      <c r="CH632">
        <v>0</v>
      </c>
      <c r="CI632">
        <v>50.95</v>
      </c>
      <c r="CJ632">
        <v>470.23570000000001</v>
      </c>
    </row>
    <row r="633" spans="1:88">
      <c r="A633">
        <v>631</v>
      </c>
      <c r="B633" t="s">
        <v>0</v>
      </c>
      <c r="C633" t="s">
        <v>1</v>
      </c>
      <c r="D633" t="s">
        <v>177</v>
      </c>
      <c r="E633" t="s">
        <v>2</v>
      </c>
      <c r="F633" t="s">
        <v>226</v>
      </c>
      <c r="G633" t="s">
        <v>106</v>
      </c>
      <c r="H633" t="s">
        <v>150</v>
      </c>
      <c r="J633">
        <v>2</v>
      </c>
      <c r="K633" t="s">
        <v>146</v>
      </c>
      <c r="L633" t="s">
        <v>122</v>
      </c>
      <c r="M633" t="s">
        <v>4</v>
      </c>
      <c r="N633" t="s">
        <v>5</v>
      </c>
      <c r="O633">
        <v>107</v>
      </c>
      <c r="Q633">
        <v>315</v>
      </c>
      <c r="R633">
        <v>70</v>
      </c>
      <c r="S633">
        <v>4.25</v>
      </c>
      <c r="T633">
        <v>2.9710000000000001</v>
      </c>
      <c r="U633">
        <v>6.07</v>
      </c>
      <c r="V633">
        <v>1337.68</v>
      </c>
      <c r="W633">
        <v>425</v>
      </c>
      <c r="X633">
        <v>1.3332999999999999</v>
      </c>
      <c r="Y633">
        <v>311</v>
      </c>
      <c r="Z633">
        <v>4.3</v>
      </c>
      <c r="AJ633">
        <v>2</v>
      </c>
      <c r="AK633">
        <v>18</v>
      </c>
      <c r="AM633">
        <v>0</v>
      </c>
      <c r="AO633" t="s">
        <v>159</v>
      </c>
      <c r="AT633">
        <v>42</v>
      </c>
      <c r="AV633">
        <v>37.9</v>
      </c>
      <c r="AW633">
        <v>0</v>
      </c>
      <c r="AX633">
        <v>0</v>
      </c>
      <c r="AY633">
        <v>31.25</v>
      </c>
      <c r="AZ633">
        <v>3.5</v>
      </c>
      <c r="BA633">
        <v>0</v>
      </c>
      <c r="BB633">
        <v>0</v>
      </c>
      <c r="BC633">
        <v>30</v>
      </c>
      <c r="BN633">
        <v>180.11670000000001</v>
      </c>
      <c r="BO633">
        <v>3199</v>
      </c>
      <c r="BP633">
        <v>0</v>
      </c>
      <c r="BQ633">
        <v>36</v>
      </c>
      <c r="BR633">
        <v>36</v>
      </c>
      <c r="BS633">
        <v>36.340000000000003</v>
      </c>
      <c r="BT633">
        <v>0</v>
      </c>
      <c r="BV633">
        <v>0</v>
      </c>
      <c r="BW633" t="s">
        <v>655</v>
      </c>
      <c r="BX633">
        <v>0.17</v>
      </c>
      <c r="BY633">
        <v>6.1778000000000004</v>
      </c>
      <c r="BZ633">
        <v>0</v>
      </c>
      <c r="CA633">
        <v>1</v>
      </c>
      <c r="CB633">
        <v>0.6</v>
      </c>
      <c r="CC633" s="3">
        <v>7.1269159999999998E-2</v>
      </c>
      <c r="CD633">
        <v>2.875</v>
      </c>
      <c r="CE633">
        <v>2.5</v>
      </c>
      <c r="CF633">
        <v>18</v>
      </c>
      <c r="CG633">
        <v>6</v>
      </c>
      <c r="CH633">
        <v>0</v>
      </c>
      <c r="CI633">
        <v>36.340000000000003</v>
      </c>
      <c r="CJ633">
        <v>270.64679999999998</v>
      </c>
    </row>
    <row r="634" spans="1:88">
      <c r="A634">
        <v>632</v>
      </c>
      <c r="B634" t="s">
        <v>0</v>
      </c>
      <c r="C634" t="s">
        <v>1</v>
      </c>
      <c r="D634" t="s">
        <v>2</v>
      </c>
      <c r="E634" t="s">
        <v>127</v>
      </c>
      <c r="F634" t="s">
        <v>154</v>
      </c>
      <c r="G634" t="s">
        <v>106</v>
      </c>
      <c r="H634" t="s">
        <v>217</v>
      </c>
      <c r="J634">
        <v>2</v>
      </c>
      <c r="K634" t="s">
        <v>146</v>
      </c>
      <c r="L634" t="s">
        <v>338</v>
      </c>
      <c r="M634" t="s">
        <v>189</v>
      </c>
      <c r="N634" t="s">
        <v>190</v>
      </c>
      <c r="O634">
        <v>115</v>
      </c>
      <c r="Q634">
        <v>320</v>
      </c>
      <c r="R634">
        <v>67</v>
      </c>
      <c r="S634">
        <v>4.25</v>
      </c>
      <c r="T634">
        <v>3.18</v>
      </c>
      <c r="U634">
        <v>6.22</v>
      </c>
      <c r="V634">
        <v>1361.02</v>
      </c>
      <c r="W634">
        <v>417</v>
      </c>
      <c r="X634">
        <v>1.3332999999999999</v>
      </c>
      <c r="Y634">
        <v>302</v>
      </c>
      <c r="Z634">
        <v>4.51</v>
      </c>
      <c r="AJ634">
        <v>2</v>
      </c>
      <c r="AK634">
        <v>18</v>
      </c>
      <c r="AM634">
        <v>0</v>
      </c>
      <c r="AO634" t="s">
        <v>218</v>
      </c>
      <c r="AT634">
        <v>45</v>
      </c>
      <c r="AV634">
        <v>36.1</v>
      </c>
      <c r="AW634">
        <v>0</v>
      </c>
      <c r="AX634">
        <v>0</v>
      </c>
      <c r="AY634">
        <v>47.125</v>
      </c>
      <c r="AZ634">
        <v>4</v>
      </c>
      <c r="BA634">
        <v>0</v>
      </c>
      <c r="BB634">
        <v>0</v>
      </c>
      <c r="BC634">
        <v>48</v>
      </c>
      <c r="BN634">
        <v>171.2</v>
      </c>
      <c r="BO634">
        <v>3540</v>
      </c>
      <c r="BP634">
        <v>0</v>
      </c>
      <c r="BQ634">
        <v>39</v>
      </c>
      <c r="BR634">
        <v>39</v>
      </c>
      <c r="BS634">
        <v>39.130000000000003</v>
      </c>
      <c r="BT634">
        <v>0</v>
      </c>
      <c r="BV634">
        <v>0</v>
      </c>
      <c r="BW634" t="s">
        <v>655</v>
      </c>
      <c r="BX634">
        <v>0.17</v>
      </c>
      <c r="BY634">
        <v>6.6520999999999999</v>
      </c>
      <c r="BZ634">
        <v>0</v>
      </c>
      <c r="CA634">
        <v>1</v>
      </c>
      <c r="CB634">
        <v>0.6</v>
      </c>
      <c r="CC634" s="3">
        <v>7.1269159999999998E-2</v>
      </c>
      <c r="CD634">
        <v>2.875</v>
      </c>
      <c r="CE634">
        <v>2.5</v>
      </c>
      <c r="CF634">
        <v>18</v>
      </c>
      <c r="CG634">
        <v>6</v>
      </c>
      <c r="CH634">
        <v>0</v>
      </c>
      <c r="CI634">
        <v>39.130000000000003</v>
      </c>
      <c r="CJ634">
        <v>277.48180000000002</v>
      </c>
    </row>
    <row r="635" spans="1:88">
      <c r="A635">
        <v>633</v>
      </c>
      <c r="B635" t="s">
        <v>0</v>
      </c>
      <c r="C635" t="s">
        <v>1</v>
      </c>
      <c r="D635" t="s">
        <v>241</v>
      </c>
      <c r="E635" t="s">
        <v>176</v>
      </c>
      <c r="F635" t="s">
        <v>345</v>
      </c>
      <c r="G635" t="s">
        <v>106</v>
      </c>
      <c r="H635" t="s">
        <v>283</v>
      </c>
      <c r="J635">
        <v>2</v>
      </c>
      <c r="K635" t="s">
        <v>146</v>
      </c>
      <c r="L635" t="s">
        <v>167</v>
      </c>
      <c r="M635" t="s">
        <v>226</v>
      </c>
      <c r="N635" t="s">
        <v>227</v>
      </c>
      <c r="O635">
        <v>113</v>
      </c>
      <c r="Q635">
        <v>256</v>
      </c>
      <c r="R635">
        <v>51</v>
      </c>
      <c r="S635">
        <v>4.25</v>
      </c>
      <c r="T635">
        <v>3.1280000000000001</v>
      </c>
      <c r="U635">
        <v>6.18</v>
      </c>
      <c r="V635">
        <v>1088.97</v>
      </c>
      <c r="W635">
        <v>316</v>
      </c>
      <c r="X635">
        <v>1.3332999999999999</v>
      </c>
      <c r="Y635">
        <v>244</v>
      </c>
      <c r="Z635">
        <v>4.46</v>
      </c>
      <c r="AJ635">
        <v>2</v>
      </c>
      <c r="AK635">
        <v>18</v>
      </c>
      <c r="AM635">
        <v>0</v>
      </c>
      <c r="AO635" t="s">
        <v>374</v>
      </c>
      <c r="AT635">
        <v>45</v>
      </c>
      <c r="AV635">
        <v>29.2</v>
      </c>
      <c r="AW635">
        <v>0</v>
      </c>
      <c r="AX635">
        <v>0</v>
      </c>
      <c r="AY635">
        <v>26.5</v>
      </c>
      <c r="AZ635">
        <v>3.375</v>
      </c>
      <c r="BA635">
        <v>0</v>
      </c>
      <c r="BB635">
        <v>0</v>
      </c>
      <c r="BC635">
        <v>23</v>
      </c>
      <c r="BN635">
        <v>137.3167</v>
      </c>
      <c r="BO635">
        <v>5503</v>
      </c>
      <c r="BP635">
        <v>0</v>
      </c>
      <c r="BQ635">
        <v>38</v>
      </c>
      <c r="BR635">
        <v>38</v>
      </c>
      <c r="BS635">
        <v>38.43</v>
      </c>
      <c r="BT635">
        <v>0</v>
      </c>
      <c r="BV635">
        <v>0</v>
      </c>
      <c r="BW635" t="s">
        <v>655</v>
      </c>
      <c r="BX635">
        <v>0.17</v>
      </c>
      <c r="BY635">
        <v>6.5331000000000001</v>
      </c>
      <c r="BZ635">
        <v>0</v>
      </c>
      <c r="CA635">
        <v>1</v>
      </c>
      <c r="CB635">
        <v>0.6</v>
      </c>
      <c r="CC635" s="3">
        <v>7.1269159999999998E-2</v>
      </c>
      <c r="CD635">
        <v>2.875</v>
      </c>
      <c r="CE635">
        <v>2.5</v>
      </c>
      <c r="CF635">
        <v>18</v>
      </c>
      <c r="CG635">
        <v>6</v>
      </c>
      <c r="CH635">
        <v>0</v>
      </c>
      <c r="CI635">
        <v>38.43</v>
      </c>
      <c r="CJ635">
        <v>220.47929999999999</v>
      </c>
    </row>
    <row r="636" spans="1:88">
      <c r="A636">
        <v>634</v>
      </c>
      <c r="B636" t="s">
        <v>0</v>
      </c>
      <c r="C636" t="s">
        <v>1</v>
      </c>
      <c r="D636" t="s">
        <v>245</v>
      </c>
      <c r="E636" t="s">
        <v>104</v>
      </c>
      <c r="F636" t="s">
        <v>535</v>
      </c>
      <c r="G636" t="s">
        <v>15</v>
      </c>
      <c r="H636" t="s">
        <v>583</v>
      </c>
      <c r="J636">
        <v>2</v>
      </c>
      <c r="K636" t="s">
        <v>108</v>
      </c>
      <c r="L636" t="s">
        <v>109</v>
      </c>
      <c r="M636" t="s">
        <v>110</v>
      </c>
      <c r="N636" t="s">
        <v>111</v>
      </c>
      <c r="O636">
        <v>191</v>
      </c>
      <c r="Q636">
        <v>1073</v>
      </c>
      <c r="R636">
        <v>133</v>
      </c>
      <c r="S636">
        <v>4.25</v>
      </c>
      <c r="T636">
        <v>4.9850000000000003</v>
      </c>
      <c r="U636">
        <v>7.27</v>
      </c>
      <c r="V636">
        <v>4560.12</v>
      </c>
      <c r="W636">
        <v>967</v>
      </c>
      <c r="X636">
        <v>1.3332999999999999</v>
      </c>
      <c r="Y636">
        <v>723</v>
      </c>
      <c r="Z636">
        <v>6.31</v>
      </c>
      <c r="AJ636">
        <v>2</v>
      </c>
      <c r="AK636">
        <v>18</v>
      </c>
      <c r="AM636">
        <v>0</v>
      </c>
      <c r="AO636" t="s">
        <v>526</v>
      </c>
      <c r="AT636">
        <v>72</v>
      </c>
      <c r="AV636">
        <v>76.5</v>
      </c>
      <c r="AW636" t="s">
        <v>6</v>
      </c>
      <c r="AX636" t="s">
        <v>6</v>
      </c>
      <c r="AY636" t="s">
        <v>6</v>
      </c>
      <c r="AZ636" t="s">
        <v>6</v>
      </c>
      <c r="BA636" t="s">
        <v>6</v>
      </c>
      <c r="BB636" t="s">
        <v>6</v>
      </c>
      <c r="BC636" t="s">
        <v>6</v>
      </c>
      <c r="BD636" t="s">
        <v>6</v>
      </c>
      <c r="BE636" t="s">
        <v>6</v>
      </c>
      <c r="BF636" t="s">
        <v>6</v>
      </c>
      <c r="BG636" t="s">
        <v>6</v>
      </c>
      <c r="BH636" t="s">
        <v>6</v>
      </c>
      <c r="BI636" t="s">
        <v>6</v>
      </c>
      <c r="BJ636" t="s">
        <v>6</v>
      </c>
      <c r="BN636">
        <v>653.51459999999997</v>
      </c>
      <c r="BO636">
        <v>2561</v>
      </c>
      <c r="BP636">
        <v>0</v>
      </c>
      <c r="BQ636">
        <v>66</v>
      </c>
      <c r="BR636">
        <v>66</v>
      </c>
      <c r="BS636">
        <v>65.56</v>
      </c>
      <c r="BT636">
        <v>0</v>
      </c>
      <c r="BV636">
        <v>0</v>
      </c>
      <c r="BW636" t="s">
        <v>655</v>
      </c>
      <c r="BX636">
        <v>0.17</v>
      </c>
      <c r="BY636">
        <v>11.145200000000001</v>
      </c>
      <c r="BZ636">
        <v>0</v>
      </c>
      <c r="CA636">
        <v>1</v>
      </c>
      <c r="CB636">
        <v>0.6</v>
      </c>
      <c r="CC636" s="3">
        <v>7.1269159999999998E-2</v>
      </c>
      <c r="CD636">
        <v>2.875</v>
      </c>
      <c r="CE636">
        <v>2.5</v>
      </c>
      <c r="CF636">
        <v>18</v>
      </c>
      <c r="CG636">
        <v>6</v>
      </c>
      <c r="CH636">
        <v>0</v>
      </c>
      <c r="CI636">
        <v>65.56</v>
      </c>
      <c r="CJ636">
        <v>985.29359999999997</v>
      </c>
    </row>
    <row r="637" spans="1:88">
      <c r="A637">
        <v>635</v>
      </c>
      <c r="B637" t="s">
        <v>13</v>
      </c>
      <c r="C637" t="s">
        <v>1</v>
      </c>
      <c r="D637" t="s">
        <v>2</v>
      </c>
      <c r="E637" t="s">
        <v>268</v>
      </c>
      <c r="F637" t="s">
        <v>154</v>
      </c>
      <c r="G637" t="s">
        <v>106</v>
      </c>
      <c r="H637" t="s">
        <v>217</v>
      </c>
      <c r="J637">
        <v>2</v>
      </c>
      <c r="K637" t="s">
        <v>146</v>
      </c>
      <c r="L637" t="s">
        <v>133</v>
      </c>
      <c r="M637" t="s">
        <v>270</v>
      </c>
      <c r="N637" t="s">
        <v>153</v>
      </c>
      <c r="O637">
        <v>123</v>
      </c>
      <c r="Q637">
        <v>340</v>
      </c>
      <c r="R637">
        <v>67</v>
      </c>
      <c r="S637">
        <v>4.25</v>
      </c>
      <c r="T637">
        <v>3.3849999999999998</v>
      </c>
      <c r="U637">
        <v>6.22</v>
      </c>
      <c r="V637">
        <v>1446.82</v>
      </c>
      <c r="W637">
        <v>417</v>
      </c>
      <c r="X637">
        <v>1.3332999999999999</v>
      </c>
      <c r="Y637">
        <v>307</v>
      </c>
      <c r="Z637">
        <v>4.71</v>
      </c>
      <c r="AJ637">
        <v>2</v>
      </c>
      <c r="AK637">
        <v>18</v>
      </c>
      <c r="AM637">
        <v>0</v>
      </c>
      <c r="AO637" t="s">
        <v>218</v>
      </c>
      <c r="AT637">
        <v>48</v>
      </c>
      <c r="AV637">
        <v>36.1</v>
      </c>
      <c r="AW637">
        <v>0</v>
      </c>
      <c r="AX637">
        <v>0</v>
      </c>
      <c r="AY637">
        <v>46.375</v>
      </c>
      <c r="AZ637">
        <v>4.125</v>
      </c>
      <c r="BA637">
        <v>0</v>
      </c>
      <c r="BB637">
        <v>0</v>
      </c>
      <c r="BC637">
        <v>47</v>
      </c>
      <c r="BN637">
        <v>171.2</v>
      </c>
      <c r="BO637">
        <v>3540</v>
      </c>
      <c r="BP637">
        <v>0</v>
      </c>
      <c r="BQ637">
        <v>42</v>
      </c>
      <c r="BR637">
        <v>42</v>
      </c>
      <c r="BS637">
        <v>41.91</v>
      </c>
      <c r="BT637">
        <v>0</v>
      </c>
      <c r="BV637">
        <v>0</v>
      </c>
      <c r="BW637" t="s">
        <v>655</v>
      </c>
      <c r="BX637">
        <v>0.17</v>
      </c>
      <c r="BY637">
        <v>7.1246999999999998</v>
      </c>
      <c r="BZ637">
        <v>0</v>
      </c>
      <c r="CA637">
        <v>1</v>
      </c>
      <c r="CB637">
        <v>0.6</v>
      </c>
      <c r="CC637" s="3">
        <v>7.1269159999999998E-2</v>
      </c>
      <c r="CD637">
        <v>2.875</v>
      </c>
      <c r="CE637">
        <v>2.5</v>
      </c>
      <c r="CF637">
        <v>18</v>
      </c>
      <c r="CG637">
        <v>6</v>
      </c>
      <c r="CH637">
        <v>0</v>
      </c>
      <c r="CI637">
        <v>41.91</v>
      </c>
      <c r="CJ637">
        <v>297.19560000000001</v>
      </c>
    </row>
    <row r="638" spans="1:88">
      <c r="A638">
        <v>636</v>
      </c>
      <c r="B638" t="s">
        <v>0</v>
      </c>
      <c r="C638" t="s">
        <v>1</v>
      </c>
      <c r="D638" t="s">
        <v>130</v>
      </c>
      <c r="E638" t="s">
        <v>139</v>
      </c>
      <c r="F638" t="s">
        <v>189</v>
      </c>
      <c r="G638" t="s">
        <v>106</v>
      </c>
      <c r="H638" t="s">
        <v>176</v>
      </c>
      <c r="J638">
        <v>2</v>
      </c>
      <c r="K638" t="s">
        <v>146</v>
      </c>
      <c r="L638" t="s">
        <v>158</v>
      </c>
      <c r="M638" t="s">
        <v>385</v>
      </c>
      <c r="N638" t="s">
        <v>177</v>
      </c>
      <c r="O638">
        <v>109</v>
      </c>
      <c r="Q638">
        <v>326</v>
      </c>
      <c r="R638">
        <v>71</v>
      </c>
      <c r="S638">
        <v>4.25</v>
      </c>
      <c r="T638">
        <v>3.024</v>
      </c>
      <c r="U638">
        <v>6.11</v>
      </c>
      <c r="V638">
        <v>1385.84</v>
      </c>
      <c r="W638">
        <v>434</v>
      </c>
      <c r="X638">
        <v>1.3332999999999999</v>
      </c>
      <c r="Y638">
        <v>319</v>
      </c>
      <c r="Z638">
        <v>4.3499999999999996</v>
      </c>
      <c r="AJ638">
        <v>2</v>
      </c>
      <c r="AK638">
        <v>18</v>
      </c>
      <c r="AM638">
        <v>0</v>
      </c>
      <c r="AO638" t="s">
        <v>226</v>
      </c>
      <c r="AT638">
        <v>43</v>
      </c>
      <c r="AV638">
        <v>38.6</v>
      </c>
      <c r="AW638">
        <v>0</v>
      </c>
      <c r="AX638">
        <v>0</v>
      </c>
      <c r="AY638">
        <v>44.625</v>
      </c>
      <c r="AZ638">
        <v>3.75</v>
      </c>
      <c r="BA638">
        <v>0</v>
      </c>
      <c r="BB638">
        <v>0</v>
      </c>
      <c r="BC638">
        <v>45</v>
      </c>
      <c r="BN638">
        <v>183.68340000000001</v>
      </c>
      <c r="BO638">
        <v>3076</v>
      </c>
      <c r="BP638">
        <v>0</v>
      </c>
      <c r="BQ638">
        <v>37</v>
      </c>
      <c r="BR638">
        <v>37</v>
      </c>
      <c r="BS638">
        <v>37.04</v>
      </c>
      <c r="BT638">
        <v>0</v>
      </c>
      <c r="BV638">
        <v>0</v>
      </c>
      <c r="BW638" t="s">
        <v>655</v>
      </c>
      <c r="BX638">
        <v>0.17</v>
      </c>
      <c r="BY638">
        <v>6.2968000000000002</v>
      </c>
      <c r="BZ638">
        <v>0</v>
      </c>
      <c r="CA638">
        <v>1</v>
      </c>
      <c r="CB638">
        <v>0.6</v>
      </c>
      <c r="CC638" s="3">
        <v>7.1269159999999998E-2</v>
      </c>
      <c r="CD638">
        <v>2.875</v>
      </c>
      <c r="CE638">
        <v>2.5</v>
      </c>
      <c r="CF638">
        <v>18</v>
      </c>
      <c r="CG638">
        <v>6</v>
      </c>
      <c r="CH638">
        <v>0</v>
      </c>
      <c r="CI638">
        <v>37.04</v>
      </c>
      <c r="CJ638">
        <v>281.1397</v>
      </c>
    </row>
    <row r="639" spans="1:88">
      <c r="A639">
        <v>637</v>
      </c>
      <c r="B639" t="s">
        <v>0</v>
      </c>
      <c r="C639" t="s">
        <v>1</v>
      </c>
      <c r="D639" t="s">
        <v>283</v>
      </c>
      <c r="E639" t="s">
        <v>169</v>
      </c>
      <c r="F639" t="s">
        <v>243</v>
      </c>
      <c r="G639" t="s">
        <v>106</v>
      </c>
      <c r="H639" t="s">
        <v>284</v>
      </c>
      <c r="J639">
        <v>2</v>
      </c>
      <c r="K639" t="s">
        <v>146</v>
      </c>
      <c r="L639" t="s">
        <v>381</v>
      </c>
      <c r="M639" t="s">
        <v>173</v>
      </c>
      <c r="N639" t="s">
        <v>174</v>
      </c>
      <c r="O639">
        <v>119</v>
      </c>
      <c r="Q639">
        <v>265</v>
      </c>
      <c r="R639">
        <v>51</v>
      </c>
      <c r="S639">
        <v>4.25</v>
      </c>
      <c r="T639">
        <v>3.2829999999999999</v>
      </c>
      <c r="U639">
        <v>6.15</v>
      </c>
      <c r="V639">
        <v>1127.6099999999999</v>
      </c>
      <c r="W639">
        <v>311</v>
      </c>
      <c r="X639">
        <v>1.3332999999999999</v>
      </c>
      <c r="Y639">
        <v>245</v>
      </c>
      <c r="Z639">
        <v>4.6100000000000003</v>
      </c>
      <c r="AJ639">
        <v>2</v>
      </c>
      <c r="AK639">
        <v>18</v>
      </c>
      <c r="AM639">
        <v>0</v>
      </c>
      <c r="AO639" t="s">
        <v>285</v>
      </c>
      <c r="AT639">
        <v>47</v>
      </c>
      <c r="AV639">
        <v>28.8</v>
      </c>
      <c r="AW639">
        <v>0</v>
      </c>
      <c r="AX639">
        <v>0</v>
      </c>
      <c r="AY639">
        <v>39.75</v>
      </c>
      <c r="AZ639">
        <v>3.75</v>
      </c>
      <c r="BA639">
        <v>0</v>
      </c>
      <c r="BB639">
        <v>0</v>
      </c>
      <c r="BC639">
        <v>38</v>
      </c>
      <c r="BN639">
        <v>135.5334</v>
      </c>
      <c r="BO639">
        <v>5649</v>
      </c>
      <c r="BP639">
        <v>0</v>
      </c>
      <c r="BQ639">
        <v>41</v>
      </c>
      <c r="BR639">
        <v>41</v>
      </c>
      <c r="BS639">
        <v>40.520000000000003</v>
      </c>
      <c r="BT639">
        <v>0</v>
      </c>
      <c r="BV639">
        <v>0</v>
      </c>
      <c r="BW639" t="s">
        <v>655</v>
      </c>
      <c r="BX639">
        <v>0.17</v>
      </c>
      <c r="BY639">
        <v>6.8883999999999999</v>
      </c>
      <c r="BZ639">
        <v>0</v>
      </c>
      <c r="CA639">
        <v>1</v>
      </c>
      <c r="CB639">
        <v>0.6</v>
      </c>
      <c r="CC639" s="3">
        <v>7.1269159999999998E-2</v>
      </c>
      <c r="CD639">
        <v>2.875</v>
      </c>
      <c r="CE639">
        <v>2.5</v>
      </c>
      <c r="CF639">
        <v>18</v>
      </c>
      <c r="CG639">
        <v>6</v>
      </c>
      <c r="CH639">
        <v>0</v>
      </c>
      <c r="CI639">
        <v>40.520000000000003</v>
      </c>
      <c r="CJ639">
        <v>229.5822</v>
      </c>
    </row>
    <row r="640" spans="1:88">
      <c r="A640">
        <v>638</v>
      </c>
      <c r="B640" t="s">
        <v>13</v>
      </c>
      <c r="C640" t="s">
        <v>1</v>
      </c>
      <c r="D640" t="s">
        <v>302</v>
      </c>
      <c r="E640" t="s">
        <v>123</v>
      </c>
      <c r="F640" t="s">
        <v>401</v>
      </c>
      <c r="G640" t="s">
        <v>15</v>
      </c>
      <c r="H640" t="s">
        <v>402</v>
      </c>
      <c r="J640">
        <v>2</v>
      </c>
      <c r="K640" t="s">
        <v>108</v>
      </c>
      <c r="L640" t="s">
        <v>8</v>
      </c>
      <c r="M640" t="s">
        <v>147</v>
      </c>
      <c r="N640" t="s">
        <v>148</v>
      </c>
      <c r="O640">
        <v>183</v>
      </c>
      <c r="Q640">
        <v>968</v>
      </c>
      <c r="R640">
        <v>125</v>
      </c>
      <c r="S640">
        <v>4.25</v>
      </c>
      <c r="T640">
        <v>4.8079999999999998</v>
      </c>
      <c r="U640">
        <v>7.12</v>
      </c>
      <c r="V640">
        <v>4113.32</v>
      </c>
      <c r="W640">
        <v>889</v>
      </c>
      <c r="X640">
        <v>1.3332999999999999</v>
      </c>
      <c r="Y640">
        <v>670</v>
      </c>
      <c r="Z640">
        <v>6.14</v>
      </c>
      <c r="AJ640">
        <v>2</v>
      </c>
      <c r="AK640">
        <v>18</v>
      </c>
      <c r="AM640">
        <v>0</v>
      </c>
      <c r="AO640" t="s">
        <v>246</v>
      </c>
      <c r="AT640">
        <v>69</v>
      </c>
      <c r="AV640">
        <v>71.8</v>
      </c>
      <c r="AW640" t="s">
        <v>6</v>
      </c>
      <c r="AX640" t="s">
        <v>6</v>
      </c>
      <c r="AY640" t="s">
        <v>6</v>
      </c>
      <c r="AZ640" t="s">
        <v>6</v>
      </c>
      <c r="BA640" t="s">
        <v>6</v>
      </c>
      <c r="BB640" t="s">
        <v>6</v>
      </c>
      <c r="BC640" t="s">
        <v>6</v>
      </c>
      <c r="BD640" t="s">
        <v>6</v>
      </c>
      <c r="BE640" t="s">
        <v>6</v>
      </c>
      <c r="BF640" t="s">
        <v>6</v>
      </c>
      <c r="BG640" t="s">
        <v>6</v>
      </c>
      <c r="BH640" t="s">
        <v>6</v>
      </c>
      <c r="BI640" t="s">
        <v>6</v>
      </c>
      <c r="BJ640" t="s">
        <v>6</v>
      </c>
      <c r="BN640">
        <v>612.47260000000006</v>
      </c>
      <c r="BO640">
        <v>2916</v>
      </c>
      <c r="BP640">
        <v>0</v>
      </c>
      <c r="BQ640">
        <v>63</v>
      </c>
      <c r="BR640">
        <v>63</v>
      </c>
      <c r="BS640">
        <v>62.78</v>
      </c>
      <c r="BT640">
        <v>0</v>
      </c>
      <c r="BV640">
        <v>0</v>
      </c>
      <c r="BW640" t="s">
        <v>655</v>
      </c>
      <c r="BX640">
        <v>0.17</v>
      </c>
      <c r="BY640">
        <v>10.672599999999999</v>
      </c>
      <c r="BZ640">
        <v>0</v>
      </c>
      <c r="CA640">
        <v>1</v>
      </c>
      <c r="CB640">
        <v>0.6</v>
      </c>
      <c r="CC640" s="3">
        <v>7.1269159999999998E-2</v>
      </c>
      <c r="CD640">
        <v>2.875</v>
      </c>
      <c r="CE640">
        <v>2.5</v>
      </c>
      <c r="CF640">
        <v>18</v>
      </c>
      <c r="CG640">
        <v>6</v>
      </c>
      <c r="CH640">
        <v>0</v>
      </c>
      <c r="CI640">
        <v>62.78</v>
      </c>
      <c r="CJ640">
        <v>885.34760000000006</v>
      </c>
    </row>
    <row r="641" spans="1:88">
      <c r="A641">
        <v>639</v>
      </c>
      <c r="B641" t="s">
        <v>13</v>
      </c>
      <c r="C641" t="s">
        <v>1</v>
      </c>
      <c r="D641" t="s">
        <v>207</v>
      </c>
      <c r="E641" t="s">
        <v>113</v>
      </c>
      <c r="F641" t="s">
        <v>149</v>
      </c>
      <c r="G641" t="s">
        <v>106</v>
      </c>
      <c r="H641" t="s">
        <v>185</v>
      </c>
      <c r="J641">
        <v>2</v>
      </c>
      <c r="K641" t="s">
        <v>146</v>
      </c>
      <c r="L641" t="s">
        <v>116</v>
      </c>
      <c r="M641" t="s">
        <v>117</v>
      </c>
      <c r="N641" t="s">
        <v>14</v>
      </c>
      <c r="O641">
        <v>179</v>
      </c>
      <c r="Q641">
        <v>700</v>
      </c>
      <c r="R641">
        <v>93</v>
      </c>
      <c r="S641">
        <v>4.25</v>
      </c>
      <c r="T641">
        <v>4.7190000000000003</v>
      </c>
      <c r="U641">
        <v>7.05</v>
      </c>
      <c r="V641">
        <v>2974.27</v>
      </c>
      <c r="W641">
        <v>659</v>
      </c>
      <c r="X641">
        <v>1.3332999999999999</v>
      </c>
      <c r="Y641">
        <v>492</v>
      </c>
      <c r="Z641">
        <v>6.05</v>
      </c>
      <c r="AJ641">
        <v>2</v>
      </c>
      <c r="AK641">
        <v>18</v>
      </c>
      <c r="AM641">
        <v>0</v>
      </c>
      <c r="AO641" t="s">
        <v>294</v>
      </c>
      <c r="AT641">
        <v>68</v>
      </c>
      <c r="AV641">
        <v>52.8</v>
      </c>
      <c r="AW641">
        <v>0.4375</v>
      </c>
      <c r="AX641">
        <v>3.75</v>
      </c>
      <c r="AY641">
        <v>52.625</v>
      </c>
      <c r="AZ641">
        <v>5.25</v>
      </c>
      <c r="BA641">
        <v>270.38</v>
      </c>
      <c r="BB641">
        <v>6.08</v>
      </c>
      <c r="BC641">
        <v>53</v>
      </c>
      <c r="BD641">
        <v>0.40625</v>
      </c>
      <c r="BE641">
        <v>3.75</v>
      </c>
      <c r="BF641">
        <v>44</v>
      </c>
      <c r="BG641">
        <v>4.875</v>
      </c>
      <c r="BH641">
        <v>221.23</v>
      </c>
      <c r="BI641">
        <v>5.98</v>
      </c>
      <c r="BJ641">
        <v>42</v>
      </c>
      <c r="BL641">
        <v>491.61</v>
      </c>
      <c r="BM641">
        <v>94</v>
      </c>
      <c r="BN641">
        <v>253.23339999999999</v>
      </c>
      <c r="BO641">
        <v>1618</v>
      </c>
      <c r="BP641">
        <v>0</v>
      </c>
      <c r="BQ641">
        <v>61</v>
      </c>
      <c r="BR641">
        <v>61</v>
      </c>
      <c r="BS641">
        <v>61.39</v>
      </c>
      <c r="BT641">
        <v>0</v>
      </c>
      <c r="BV641">
        <v>0</v>
      </c>
      <c r="BW641" t="s">
        <v>655</v>
      </c>
      <c r="BX641">
        <v>0.17</v>
      </c>
      <c r="BY641">
        <v>10.436299999999999</v>
      </c>
      <c r="BZ641">
        <v>0</v>
      </c>
      <c r="CA641">
        <v>1</v>
      </c>
      <c r="CB641">
        <v>0.6</v>
      </c>
      <c r="CC641" s="3">
        <v>7.1269159999999998E-2</v>
      </c>
      <c r="CD641">
        <v>2.875</v>
      </c>
      <c r="CE641">
        <v>2.5</v>
      </c>
      <c r="CF641">
        <v>18</v>
      </c>
      <c r="CG641">
        <v>6</v>
      </c>
      <c r="CH641">
        <v>0</v>
      </c>
      <c r="CI641">
        <v>61.39</v>
      </c>
      <c r="CJ641">
        <v>636.59360000000004</v>
      </c>
    </row>
    <row r="642" spans="1:88">
      <c r="A642">
        <v>640</v>
      </c>
      <c r="B642" t="s">
        <v>0</v>
      </c>
      <c r="C642" t="s">
        <v>1</v>
      </c>
      <c r="D642" t="s">
        <v>464</v>
      </c>
      <c r="E642" t="s">
        <v>219</v>
      </c>
      <c r="F642" t="s">
        <v>467</v>
      </c>
      <c r="G642" t="s">
        <v>106</v>
      </c>
      <c r="H642" t="s">
        <v>178</v>
      </c>
      <c r="J642">
        <v>2</v>
      </c>
      <c r="K642" t="s">
        <v>146</v>
      </c>
      <c r="L642" t="s">
        <v>369</v>
      </c>
      <c r="M642" t="s">
        <v>220</v>
      </c>
      <c r="N642" t="s">
        <v>221</v>
      </c>
      <c r="O642">
        <v>101</v>
      </c>
      <c r="Q642">
        <v>254</v>
      </c>
      <c r="R642">
        <v>61</v>
      </c>
      <c r="S642">
        <v>4.25</v>
      </c>
      <c r="T642">
        <v>2.8119999999999998</v>
      </c>
      <c r="U642">
        <v>5.92</v>
      </c>
      <c r="V642">
        <v>1079.6199999999999</v>
      </c>
      <c r="W642">
        <v>360</v>
      </c>
      <c r="X642">
        <v>1.3332999999999999</v>
      </c>
      <c r="Y642">
        <v>261</v>
      </c>
      <c r="Z642">
        <v>4.1399999999999997</v>
      </c>
      <c r="AJ642">
        <v>2</v>
      </c>
      <c r="AK642">
        <v>18</v>
      </c>
      <c r="AM642">
        <v>0</v>
      </c>
      <c r="AO642" t="s">
        <v>179</v>
      </c>
      <c r="AT642">
        <v>40</v>
      </c>
      <c r="AV642">
        <v>32.1</v>
      </c>
      <c r="AW642">
        <v>0</v>
      </c>
      <c r="AX642">
        <v>0</v>
      </c>
      <c r="AY642">
        <v>24.75</v>
      </c>
      <c r="AZ642">
        <v>3.125</v>
      </c>
      <c r="BA642">
        <v>0</v>
      </c>
      <c r="BB642">
        <v>0</v>
      </c>
      <c r="BC642">
        <v>22</v>
      </c>
      <c r="BN642">
        <v>151.58340000000001</v>
      </c>
      <c r="BO642">
        <v>4516</v>
      </c>
      <c r="BP642">
        <v>0</v>
      </c>
      <c r="BQ642">
        <v>34</v>
      </c>
      <c r="BR642">
        <v>34</v>
      </c>
      <c r="BS642">
        <v>34.26</v>
      </c>
      <c r="BT642">
        <v>0</v>
      </c>
      <c r="BV642">
        <v>0</v>
      </c>
      <c r="BW642" t="s">
        <v>655</v>
      </c>
      <c r="BX642">
        <v>0.17</v>
      </c>
      <c r="BY642">
        <v>5.8242000000000003</v>
      </c>
      <c r="BZ642">
        <v>0</v>
      </c>
      <c r="CA642">
        <v>1</v>
      </c>
      <c r="CB642">
        <v>0.6</v>
      </c>
      <c r="CC642" s="3">
        <v>7.1269159999999998E-2</v>
      </c>
      <c r="CD642">
        <v>2.875</v>
      </c>
      <c r="CE642">
        <v>2.5</v>
      </c>
      <c r="CF642">
        <v>18</v>
      </c>
      <c r="CG642">
        <v>6</v>
      </c>
      <c r="CH642">
        <v>0</v>
      </c>
      <c r="CI642">
        <v>34.26</v>
      </c>
      <c r="CJ642">
        <v>216.08879999999999</v>
      </c>
    </row>
    <row r="643" spans="1:88">
      <c r="A643">
        <v>641</v>
      </c>
      <c r="B643" t="s">
        <v>13</v>
      </c>
      <c r="C643" t="s">
        <v>1</v>
      </c>
      <c r="D643" t="s">
        <v>143</v>
      </c>
      <c r="E643" t="s">
        <v>19</v>
      </c>
      <c r="F643" t="s">
        <v>144</v>
      </c>
      <c r="G643" t="s">
        <v>106</v>
      </c>
      <c r="H643" t="s">
        <v>145</v>
      </c>
      <c r="J643">
        <v>2</v>
      </c>
      <c r="K643" t="s">
        <v>146</v>
      </c>
      <c r="L643" t="s">
        <v>302</v>
      </c>
      <c r="M643" t="s">
        <v>433</v>
      </c>
      <c r="N643" t="s">
        <v>434</v>
      </c>
      <c r="O643">
        <v>185</v>
      </c>
      <c r="Q643">
        <v>732</v>
      </c>
      <c r="R643">
        <v>95</v>
      </c>
      <c r="S643">
        <v>4.25</v>
      </c>
      <c r="T643">
        <v>4.8529999999999998</v>
      </c>
      <c r="U643">
        <v>7.16</v>
      </c>
      <c r="V643">
        <v>3109</v>
      </c>
      <c r="W643">
        <v>677</v>
      </c>
      <c r="X643">
        <v>1.3332999999999999</v>
      </c>
      <c r="Y643">
        <v>503</v>
      </c>
      <c r="Z643">
        <v>6.18</v>
      </c>
      <c r="AJ643">
        <v>2</v>
      </c>
      <c r="AK643">
        <v>18</v>
      </c>
      <c r="AM643">
        <v>0</v>
      </c>
      <c r="AO643" t="s">
        <v>149</v>
      </c>
      <c r="AT643">
        <v>70</v>
      </c>
      <c r="AV643">
        <v>53.5</v>
      </c>
      <c r="AW643">
        <v>0.4375</v>
      </c>
      <c r="AX643">
        <v>3.75</v>
      </c>
      <c r="AY643">
        <v>56.625</v>
      </c>
      <c r="AZ643">
        <v>5.375</v>
      </c>
      <c r="BA643">
        <v>251.53</v>
      </c>
      <c r="BB643">
        <v>6.54</v>
      </c>
      <c r="BC643">
        <v>57</v>
      </c>
      <c r="BD643">
        <v>0.4375</v>
      </c>
      <c r="BE643">
        <v>3.75</v>
      </c>
      <c r="BF643">
        <v>56.625</v>
      </c>
      <c r="BG643">
        <v>5.375</v>
      </c>
      <c r="BH643">
        <v>251.53</v>
      </c>
      <c r="BI643">
        <v>6.54</v>
      </c>
      <c r="BJ643">
        <v>57</v>
      </c>
      <c r="BL643">
        <v>503.06</v>
      </c>
      <c r="BM643">
        <v>114</v>
      </c>
      <c r="BN643">
        <v>256.80009999999999</v>
      </c>
      <c r="BO643">
        <v>1574</v>
      </c>
      <c r="BP643">
        <v>0</v>
      </c>
      <c r="BQ643">
        <v>63</v>
      </c>
      <c r="BR643">
        <v>63</v>
      </c>
      <c r="BS643">
        <v>63.47</v>
      </c>
      <c r="BT643">
        <v>0</v>
      </c>
      <c r="BV643">
        <v>0</v>
      </c>
      <c r="BW643" t="s">
        <v>655</v>
      </c>
      <c r="BX643">
        <v>0.17</v>
      </c>
      <c r="BY643">
        <v>10.789899999999999</v>
      </c>
      <c r="BZ643">
        <v>0</v>
      </c>
      <c r="CA643">
        <v>1</v>
      </c>
      <c r="CB643">
        <v>0.6</v>
      </c>
      <c r="CC643" s="3">
        <v>7.1269159999999998E-2</v>
      </c>
      <c r="CD643">
        <v>2.875</v>
      </c>
      <c r="CE643">
        <v>2.5</v>
      </c>
      <c r="CF643">
        <v>18</v>
      </c>
      <c r="CG643">
        <v>6</v>
      </c>
      <c r="CH643">
        <v>0</v>
      </c>
      <c r="CI643">
        <v>63.47</v>
      </c>
      <c r="CJ643">
        <v>667.20939999999996</v>
      </c>
    </row>
    <row r="644" spans="1:88">
      <c r="A644">
        <v>642</v>
      </c>
      <c r="B644" t="s">
        <v>13</v>
      </c>
      <c r="C644" t="s">
        <v>1</v>
      </c>
      <c r="D644" t="s">
        <v>178</v>
      </c>
      <c r="E644" t="s">
        <v>150</v>
      </c>
      <c r="F644" t="s">
        <v>408</v>
      </c>
      <c r="G644" t="s">
        <v>106</v>
      </c>
      <c r="H644" t="s">
        <v>141</v>
      </c>
      <c r="J644">
        <v>2</v>
      </c>
      <c r="K644" t="s">
        <v>146</v>
      </c>
      <c r="L644" t="s">
        <v>96</v>
      </c>
      <c r="M644" t="s">
        <v>159</v>
      </c>
      <c r="N644" t="s">
        <v>130</v>
      </c>
      <c r="O644">
        <v>111</v>
      </c>
      <c r="Q644">
        <v>273</v>
      </c>
      <c r="R644">
        <v>60</v>
      </c>
      <c r="S644">
        <v>4.25</v>
      </c>
      <c r="T644">
        <v>3.0760000000000001</v>
      </c>
      <c r="U644">
        <v>6.14</v>
      </c>
      <c r="V644">
        <v>1162.2</v>
      </c>
      <c r="W644">
        <v>370</v>
      </c>
      <c r="X644">
        <v>1.5</v>
      </c>
      <c r="Y644">
        <v>254</v>
      </c>
      <c r="Z644">
        <v>4.57</v>
      </c>
      <c r="AJ644">
        <v>2</v>
      </c>
      <c r="AK644">
        <v>18</v>
      </c>
      <c r="AM644">
        <v>0</v>
      </c>
      <c r="AO644" t="s">
        <v>409</v>
      </c>
      <c r="AT644">
        <v>44</v>
      </c>
      <c r="AV644">
        <v>31.7</v>
      </c>
      <c r="AW644">
        <v>0</v>
      </c>
      <c r="AX644">
        <v>0</v>
      </c>
      <c r="AY644">
        <v>38.25</v>
      </c>
      <c r="AZ644">
        <v>3.75</v>
      </c>
      <c r="BA644">
        <v>0</v>
      </c>
      <c r="BB644">
        <v>0</v>
      </c>
      <c r="BC644">
        <v>36</v>
      </c>
      <c r="BN644">
        <v>149.80000000000001</v>
      </c>
      <c r="BO644">
        <v>4624</v>
      </c>
      <c r="BP644">
        <v>0</v>
      </c>
      <c r="BQ644">
        <v>38</v>
      </c>
      <c r="BR644">
        <v>38</v>
      </c>
      <c r="BS644">
        <v>37.729999999999997</v>
      </c>
      <c r="BT644">
        <v>0</v>
      </c>
      <c r="BV644">
        <v>0</v>
      </c>
      <c r="BW644" t="s">
        <v>655</v>
      </c>
      <c r="BX644">
        <v>0.17</v>
      </c>
      <c r="BY644">
        <v>6.4141000000000004</v>
      </c>
      <c r="BZ644">
        <v>0</v>
      </c>
      <c r="CA644">
        <v>1</v>
      </c>
      <c r="CB644">
        <v>0.6</v>
      </c>
      <c r="CC644" s="3">
        <v>7.1269159999999998E-2</v>
      </c>
      <c r="CD644">
        <v>2.875</v>
      </c>
      <c r="CE644">
        <v>2.5</v>
      </c>
      <c r="CF644">
        <v>18</v>
      </c>
      <c r="CG644">
        <v>6</v>
      </c>
      <c r="CH644">
        <v>0</v>
      </c>
      <c r="CI644">
        <v>37.729999999999997</v>
      </c>
      <c r="CJ644">
        <v>235.28620000000001</v>
      </c>
    </row>
    <row r="645" spans="1:88">
      <c r="A645">
        <v>643</v>
      </c>
      <c r="B645" t="s">
        <v>0</v>
      </c>
      <c r="C645" t="s">
        <v>1</v>
      </c>
      <c r="D645" t="s">
        <v>580</v>
      </c>
      <c r="E645" t="s">
        <v>580</v>
      </c>
      <c r="F645" t="s">
        <v>371</v>
      </c>
      <c r="G645" t="s">
        <v>106</v>
      </c>
      <c r="H645" t="s">
        <v>493</v>
      </c>
      <c r="J645">
        <v>2</v>
      </c>
      <c r="K645" t="s">
        <v>146</v>
      </c>
      <c r="L645" t="s">
        <v>135</v>
      </c>
      <c r="M645" t="s">
        <v>581</v>
      </c>
      <c r="N645" t="s">
        <v>602</v>
      </c>
      <c r="O645">
        <v>51</v>
      </c>
      <c r="Q645">
        <v>71</v>
      </c>
      <c r="R645">
        <v>30</v>
      </c>
      <c r="S645">
        <v>4.25</v>
      </c>
      <c r="T645">
        <v>1.3660000000000001</v>
      </c>
      <c r="U645">
        <v>5.0199999999999996</v>
      </c>
      <c r="V645">
        <v>301.41000000000003</v>
      </c>
      <c r="W645">
        <v>150</v>
      </c>
      <c r="X645">
        <v>1.3332999999999999</v>
      </c>
      <c r="Y645">
        <v>112</v>
      </c>
      <c r="Z645">
        <v>2.69</v>
      </c>
      <c r="AJ645">
        <v>2</v>
      </c>
      <c r="AK645">
        <v>18</v>
      </c>
      <c r="AM645">
        <v>0</v>
      </c>
      <c r="AO645" t="s">
        <v>592</v>
      </c>
      <c r="AT645">
        <v>23</v>
      </c>
      <c r="AV645">
        <v>15.7</v>
      </c>
      <c r="AW645">
        <v>0</v>
      </c>
      <c r="AX645">
        <v>0</v>
      </c>
      <c r="AY645">
        <v>10.25</v>
      </c>
      <c r="AZ645">
        <v>1.375</v>
      </c>
      <c r="BA645">
        <v>0</v>
      </c>
      <c r="BB645">
        <v>0</v>
      </c>
      <c r="BC645">
        <v>4</v>
      </c>
      <c r="BN645">
        <v>71.333349999999996</v>
      </c>
      <c r="BO645">
        <v>20393</v>
      </c>
      <c r="BP645">
        <v>0</v>
      </c>
      <c r="BQ645">
        <v>17</v>
      </c>
      <c r="BR645">
        <v>17</v>
      </c>
      <c r="BS645">
        <v>16.86</v>
      </c>
      <c r="BT645">
        <v>0</v>
      </c>
      <c r="BV645">
        <v>0</v>
      </c>
      <c r="BW645" t="s">
        <v>655</v>
      </c>
      <c r="BX645">
        <v>0.17</v>
      </c>
      <c r="BY645">
        <v>2.8662000000000001</v>
      </c>
      <c r="BZ645">
        <v>0</v>
      </c>
      <c r="CA645">
        <v>1</v>
      </c>
      <c r="CB645">
        <v>0.6</v>
      </c>
      <c r="CC645" s="3">
        <v>7.1269159999999998E-2</v>
      </c>
      <c r="CD645">
        <v>2.875</v>
      </c>
      <c r="CE645">
        <v>2.5</v>
      </c>
      <c r="CF645">
        <v>18</v>
      </c>
      <c r="CG645">
        <v>6</v>
      </c>
      <c r="CH645">
        <v>0</v>
      </c>
      <c r="CI645">
        <v>16.86</v>
      </c>
      <c r="CJ645">
        <v>52.269509999999997</v>
      </c>
    </row>
    <row r="646" spans="1:88">
      <c r="A646">
        <v>644</v>
      </c>
      <c r="B646" t="s">
        <v>13</v>
      </c>
      <c r="C646" t="s">
        <v>1</v>
      </c>
      <c r="D646" t="s">
        <v>95</v>
      </c>
      <c r="E646" t="s">
        <v>283</v>
      </c>
      <c r="F646" t="s">
        <v>97</v>
      </c>
      <c r="G646" t="s">
        <v>15</v>
      </c>
      <c r="H646" t="s">
        <v>98</v>
      </c>
      <c r="J646">
        <v>2</v>
      </c>
      <c r="K646" t="s">
        <v>108</v>
      </c>
      <c r="L646" t="s">
        <v>2</v>
      </c>
      <c r="M646" t="s">
        <v>374</v>
      </c>
      <c r="N646" t="s">
        <v>375</v>
      </c>
      <c r="O646">
        <v>87</v>
      </c>
      <c r="Q646">
        <v>550</v>
      </c>
      <c r="R646">
        <v>140</v>
      </c>
      <c r="S646">
        <v>4.25</v>
      </c>
      <c r="T646">
        <v>2.4289999999999998</v>
      </c>
      <c r="U646">
        <v>5.66</v>
      </c>
      <c r="V646">
        <v>2338.6</v>
      </c>
      <c r="W646">
        <v>792</v>
      </c>
      <c r="X646">
        <v>1.3332999999999999</v>
      </c>
      <c r="Y646">
        <v>622</v>
      </c>
      <c r="Z646">
        <v>3.76</v>
      </c>
      <c r="AJ646">
        <v>2</v>
      </c>
      <c r="AK646">
        <v>18</v>
      </c>
      <c r="AM646">
        <v>0</v>
      </c>
      <c r="AO646" t="s">
        <v>102</v>
      </c>
      <c r="AT646">
        <v>36</v>
      </c>
      <c r="AV646">
        <v>80.5</v>
      </c>
      <c r="AW646">
        <v>0</v>
      </c>
      <c r="AX646">
        <v>0</v>
      </c>
      <c r="AY646">
        <v>28.875</v>
      </c>
      <c r="AZ646">
        <v>3.75</v>
      </c>
      <c r="BA646">
        <v>0</v>
      </c>
      <c r="BB646">
        <v>0</v>
      </c>
      <c r="BC646">
        <v>52</v>
      </c>
      <c r="BN646">
        <v>688.24239999999998</v>
      </c>
      <c r="BO646">
        <v>2309</v>
      </c>
      <c r="BP646">
        <v>0</v>
      </c>
      <c r="BQ646">
        <v>29</v>
      </c>
      <c r="BR646">
        <v>29</v>
      </c>
      <c r="BS646">
        <v>29.39</v>
      </c>
      <c r="BT646">
        <v>0</v>
      </c>
      <c r="BV646">
        <v>0</v>
      </c>
      <c r="BW646" t="s">
        <v>655</v>
      </c>
      <c r="BX646">
        <v>0.17</v>
      </c>
      <c r="BY646">
        <v>4.9962999999999997</v>
      </c>
      <c r="BZ646">
        <v>0</v>
      </c>
      <c r="CA646">
        <v>1</v>
      </c>
      <c r="CB646">
        <v>0.6</v>
      </c>
      <c r="CC646" s="3">
        <v>7.1269159999999998E-2</v>
      </c>
      <c r="CD646">
        <v>2.875</v>
      </c>
      <c r="CE646">
        <v>2.5</v>
      </c>
      <c r="CF646">
        <v>18</v>
      </c>
      <c r="CG646">
        <v>6</v>
      </c>
      <c r="CH646">
        <v>0</v>
      </c>
      <c r="CI646">
        <v>29.39</v>
      </c>
      <c r="CJ646">
        <v>464.73950000000002</v>
      </c>
    </row>
    <row r="647" spans="1:88">
      <c r="A647">
        <v>645</v>
      </c>
      <c r="B647" t="s">
        <v>13</v>
      </c>
      <c r="C647" t="s">
        <v>1</v>
      </c>
      <c r="D647" t="s">
        <v>320</v>
      </c>
      <c r="E647" t="s">
        <v>2</v>
      </c>
      <c r="F647" t="s">
        <v>321</v>
      </c>
      <c r="G647" t="s">
        <v>106</v>
      </c>
      <c r="H647" t="s">
        <v>322</v>
      </c>
      <c r="J647">
        <v>2</v>
      </c>
      <c r="K647" t="s">
        <v>146</v>
      </c>
      <c r="L647" t="s">
        <v>122</v>
      </c>
      <c r="M647" t="s">
        <v>4</v>
      </c>
      <c r="N647" t="s">
        <v>5</v>
      </c>
      <c r="O647">
        <v>107</v>
      </c>
      <c r="Q647">
        <v>158</v>
      </c>
      <c r="R647">
        <v>35</v>
      </c>
      <c r="S647">
        <v>4.25</v>
      </c>
      <c r="T647">
        <v>2.9710000000000001</v>
      </c>
      <c r="U647">
        <v>6.07</v>
      </c>
      <c r="V647">
        <v>672.52</v>
      </c>
      <c r="W647">
        <v>210</v>
      </c>
      <c r="X647">
        <v>1.3332999999999999</v>
      </c>
      <c r="Y647">
        <v>156</v>
      </c>
      <c r="Z647">
        <v>4.3</v>
      </c>
      <c r="AJ647">
        <v>2</v>
      </c>
      <c r="AK647">
        <v>18</v>
      </c>
      <c r="AM647">
        <v>0</v>
      </c>
      <c r="AO647" t="s">
        <v>323</v>
      </c>
      <c r="AT647">
        <v>42</v>
      </c>
      <c r="AV647">
        <v>18.600000000000001</v>
      </c>
      <c r="AW647">
        <v>0</v>
      </c>
      <c r="AX647">
        <v>0</v>
      </c>
      <c r="AY647">
        <v>41.375</v>
      </c>
      <c r="AZ647">
        <v>3.25</v>
      </c>
      <c r="BA647">
        <v>0</v>
      </c>
      <c r="BB647">
        <v>0</v>
      </c>
      <c r="BC647">
        <v>37</v>
      </c>
      <c r="BN647">
        <v>85.600009999999997</v>
      </c>
      <c r="BO647">
        <v>14162</v>
      </c>
      <c r="BP647">
        <v>0</v>
      </c>
      <c r="BQ647">
        <v>36</v>
      </c>
      <c r="BR647">
        <v>36</v>
      </c>
      <c r="BS647">
        <v>36.340000000000003</v>
      </c>
      <c r="BT647">
        <v>0</v>
      </c>
      <c r="BV647">
        <v>0</v>
      </c>
      <c r="BW647" t="s">
        <v>655</v>
      </c>
      <c r="BX647">
        <v>0.17</v>
      </c>
      <c r="BY647">
        <v>6.1778000000000004</v>
      </c>
      <c r="BZ647">
        <v>0</v>
      </c>
      <c r="CA647">
        <v>1</v>
      </c>
      <c r="CB647">
        <v>0.6</v>
      </c>
      <c r="CC647" s="3">
        <v>7.1269159999999998E-2</v>
      </c>
      <c r="CD647">
        <v>2.875</v>
      </c>
      <c r="CE647">
        <v>2.5</v>
      </c>
      <c r="CF647">
        <v>18</v>
      </c>
      <c r="CG647">
        <v>6</v>
      </c>
      <c r="CH647">
        <v>0</v>
      </c>
      <c r="CI647">
        <v>36.340000000000003</v>
      </c>
      <c r="CJ647">
        <v>133.3809</v>
      </c>
    </row>
    <row r="648" spans="1:88">
      <c r="A648">
        <v>646</v>
      </c>
      <c r="B648" t="s">
        <v>0</v>
      </c>
      <c r="C648" t="s">
        <v>1</v>
      </c>
      <c r="D648" t="s">
        <v>284</v>
      </c>
      <c r="E648" t="s">
        <v>382</v>
      </c>
      <c r="F648" t="s">
        <v>374</v>
      </c>
      <c r="G648" t="s">
        <v>106</v>
      </c>
      <c r="H648" t="s">
        <v>448</v>
      </c>
      <c r="J648">
        <v>2</v>
      </c>
      <c r="K648" t="s">
        <v>146</v>
      </c>
      <c r="L648" t="s">
        <v>229</v>
      </c>
      <c r="M648" t="s">
        <v>318</v>
      </c>
      <c r="N648" t="s">
        <v>366</v>
      </c>
      <c r="O648">
        <v>100</v>
      </c>
      <c r="Q648">
        <v>224</v>
      </c>
      <c r="R648">
        <v>50</v>
      </c>
      <c r="S648">
        <v>4.25</v>
      </c>
      <c r="T648">
        <v>2.7850000000000001</v>
      </c>
      <c r="U648">
        <v>5.92</v>
      </c>
      <c r="V648">
        <v>951.83</v>
      </c>
      <c r="W648">
        <v>296</v>
      </c>
      <c r="X648">
        <v>1.3332999999999999</v>
      </c>
      <c r="Y648">
        <v>232</v>
      </c>
      <c r="Z648">
        <v>4.1100000000000003</v>
      </c>
      <c r="AJ648">
        <v>2</v>
      </c>
      <c r="AK648">
        <v>18</v>
      </c>
      <c r="AM648">
        <v>0</v>
      </c>
      <c r="AO648" t="s">
        <v>481</v>
      </c>
      <c r="AT648">
        <v>40</v>
      </c>
      <c r="AV648">
        <v>28.4</v>
      </c>
      <c r="AW648">
        <v>0</v>
      </c>
      <c r="AX648">
        <v>0</v>
      </c>
      <c r="AY648">
        <v>27.875</v>
      </c>
      <c r="AZ648">
        <v>3.125</v>
      </c>
      <c r="BA648">
        <v>0</v>
      </c>
      <c r="BB648">
        <v>0</v>
      </c>
      <c r="BC648">
        <v>25</v>
      </c>
      <c r="BN648">
        <v>133.75</v>
      </c>
      <c r="BO648">
        <v>5801</v>
      </c>
      <c r="BP648">
        <v>0</v>
      </c>
      <c r="BQ648">
        <v>34</v>
      </c>
      <c r="BR648">
        <v>34</v>
      </c>
      <c r="BS648">
        <v>33.909999999999997</v>
      </c>
      <c r="BT648">
        <v>0</v>
      </c>
      <c r="BV648">
        <v>0</v>
      </c>
      <c r="BW648" t="s">
        <v>655</v>
      </c>
      <c r="BX648">
        <v>0.17</v>
      </c>
      <c r="BY648">
        <v>5.7647000000000004</v>
      </c>
      <c r="BZ648">
        <v>0</v>
      </c>
      <c r="CA648">
        <v>1</v>
      </c>
      <c r="CB648">
        <v>0.6</v>
      </c>
      <c r="CC648" s="3">
        <v>7.1269159999999998E-2</v>
      </c>
      <c r="CD648">
        <v>2.875</v>
      </c>
      <c r="CE648">
        <v>2.5</v>
      </c>
      <c r="CF648">
        <v>18</v>
      </c>
      <c r="CG648">
        <v>6</v>
      </c>
      <c r="CH648">
        <v>0</v>
      </c>
      <c r="CI648">
        <v>33.909999999999997</v>
      </c>
      <c r="CJ648">
        <v>189.7139</v>
      </c>
    </row>
    <row r="649" spans="1:88">
      <c r="A649">
        <v>647</v>
      </c>
      <c r="B649" t="s">
        <v>0</v>
      </c>
      <c r="C649" t="s">
        <v>1</v>
      </c>
      <c r="D649" t="s">
        <v>233</v>
      </c>
      <c r="E649" t="s">
        <v>314</v>
      </c>
      <c r="F649" t="s">
        <v>271</v>
      </c>
      <c r="G649" t="s">
        <v>106</v>
      </c>
      <c r="H649" t="s">
        <v>279</v>
      </c>
      <c r="J649">
        <v>2</v>
      </c>
      <c r="K649" t="s">
        <v>146</v>
      </c>
      <c r="L649" t="s">
        <v>205</v>
      </c>
      <c r="M649" t="s">
        <v>603</v>
      </c>
      <c r="N649" t="s">
        <v>103</v>
      </c>
      <c r="O649">
        <v>164</v>
      </c>
      <c r="Q649">
        <v>662</v>
      </c>
      <c r="R649">
        <v>96</v>
      </c>
      <c r="S649">
        <v>4.25</v>
      </c>
      <c r="T649">
        <v>4.3769999999999998</v>
      </c>
      <c r="U649">
        <v>6.82</v>
      </c>
      <c r="V649">
        <v>2814.69</v>
      </c>
      <c r="W649">
        <v>653</v>
      </c>
      <c r="X649">
        <v>1.3332999999999999</v>
      </c>
      <c r="Y649">
        <v>493</v>
      </c>
      <c r="Z649">
        <v>5.71</v>
      </c>
      <c r="AJ649">
        <v>2</v>
      </c>
      <c r="AK649">
        <v>18</v>
      </c>
      <c r="AM649">
        <v>0</v>
      </c>
      <c r="AO649" t="s">
        <v>144</v>
      </c>
      <c r="AT649">
        <v>62</v>
      </c>
      <c r="AV649">
        <v>54.2</v>
      </c>
      <c r="AW649" t="s">
        <v>6</v>
      </c>
      <c r="AX649" t="s">
        <v>6</v>
      </c>
      <c r="AY649" t="s">
        <v>6</v>
      </c>
      <c r="AZ649" t="s">
        <v>6</v>
      </c>
      <c r="BA649" t="s">
        <v>6</v>
      </c>
      <c r="BB649" t="s">
        <v>6</v>
      </c>
      <c r="BC649" t="s">
        <v>6</v>
      </c>
      <c r="BD649" t="s">
        <v>6</v>
      </c>
      <c r="BE649" t="s">
        <v>6</v>
      </c>
      <c r="BF649" t="s">
        <v>6</v>
      </c>
      <c r="BG649" t="s">
        <v>6</v>
      </c>
      <c r="BH649" t="s">
        <v>6</v>
      </c>
      <c r="BI649" t="s">
        <v>6</v>
      </c>
      <c r="BJ649" t="s">
        <v>6</v>
      </c>
      <c r="BN649">
        <v>260.36669999999998</v>
      </c>
      <c r="BO649">
        <v>1531</v>
      </c>
      <c r="BP649">
        <v>0</v>
      </c>
      <c r="BQ649">
        <v>56</v>
      </c>
      <c r="BR649">
        <v>56</v>
      </c>
      <c r="BS649">
        <v>56.17</v>
      </c>
      <c r="BT649">
        <v>0</v>
      </c>
      <c r="BV649">
        <v>0</v>
      </c>
      <c r="BW649" t="s">
        <v>655</v>
      </c>
      <c r="BX649">
        <v>0.17</v>
      </c>
      <c r="BY649">
        <v>9.5488990000000005</v>
      </c>
      <c r="BZ649">
        <v>0</v>
      </c>
      <c r="CA649">
        <v>1</v>
      </c>
      <c r="CB649">
        <v>0.6</v>
      </c>
      <c r="CC649" s="3">
        <v>7.1269159999999998E-2</v>
      </c>
      <c r="CD649">
        <v>2.875</v>
      </c>
      <c r="CE649">
        <v>2.5</v>
      </c>
      <c r="CF649">
        <v>18</v>
      </c>
      <c r="CG649">
        <v>6</v>
      </c>
      <c r="CH649">
        <v>0</v>
      </c>
      <c r="CI649">
        <v>56.17</v>
      </c>
      <c r="CJ649">
        <v>598.47670000000005</v>
      </c>
    </row>
    <row r="650" spans="1:88">
      <c r="A650">
        <v>648</v>
      </c>
      <c r="B650" t="s">
        <v>0</v>
      </c>
      <c r="C650" t="s">
        <v>1</v>
      </c>
      <c r="D650" t="s">
        <v>8</v>
      </c>
      <c r="E650" t="s">
        <v>210</v>
      </c>
      <c r="F650" t="s">
        <v>246</v>
      </c>
      <c r="G650" t="s">
        <v>15</v>
      </c>
      <c r="H650" t="s">
        <v>247</v>
      </c>
      <c r="J650">
        <v>2</v>
      </c>
      <c r="K650" t="s">
        <v>108</v>
      </c>
      <c r="L650" t="s">
        <v>397</v>
      </c>
      <c r="M650" t="s">
        <v>604</v>
      </c>
      <c r="N650" t="s">
        <v>212</v>
      </c>
      <c r="O650">
        <v>192</v>
      </c>
      <c r="Q650">
        <v>1002</v>
      </c>
      <c r="R650">
        <v>124</v>
      </c>
      <c r="S650">
        <v>4.25</v>
      </c>
      <c r="T650">
        <v>5.0069999999999997</v>
      </c>
      <c r="U650">
        <v>7.27</v>
      </c>
      <c r="V650">
        <v>4260.1499999999996</v>
      </c>
      <c r="W650">
        <v>899</v>
      </c>
      <c r="X650">
        <v>1.3332999999999999</v>
      </c>
      <c r="Y650">
        <v>672</v>
      </c>
      <c r="Z650">
        <v>6.34</v>
      </c>
      <c r="AJ650">
        <v>2</v>
      </c>
      <c r="AK650">
        <v>18</v>
      </c>
      <c r="AM650">
        <v>0</v>
      </c>
      <c r="AO650" t="s">
        <v>250</v>
      </c>
      <c r="AT650">
        <v>72</v>
      </c>
      <c r="AV650">
        <v>71.099999999999994</v>
      </c>
      <c r="AW650" t="s">
        <v>6</v>
      </c>
      <c r="AX650" t="s">
        <v>6</v>
      </c>
      <c r="AY650" t="s">
        <v>6</v>
      </c>
      <c r="AZ650" t="s">
        <v>6</v>
      </c>
      <c r="BA650" t="s">
        <v>6</v>
      </c>
      <c r="BB650" t="s">
        <v>6</v>
      </c>
      <c r="BC650" t="s">
        <v>6</v>
      </c>
      <c r="BD650" t="s">
        <v>6</v>
      </c>
      <c r="BE650" t="s">
        <v>6</v>
      </c>
      <c r="BF650" t="s">
        <v>6</v>
      </c>
      <c r="BG650" t="s">
        <v>6</v>
      </c>
      <c r="BH650" t="s">
        <v>6</v>
      </c>
      <c r="BI650" t="s">
        <v>6</v>
      </c>
      <c r="BJ650" t="s">
        <v>6</v>
      </c>
      <c r="BN650">
        <v>606.1585</v>
      </c>
      <c r="BO650">
        <v>2977</v>
      </c>
      <c r="BP650">
        <v>0</v>
      </c>
      <c r="BQ650">
        <v>66</v>
      </c>
      <c r="BR650">
        <v>66</v>
      </c>
      <c r="BS650">
        <v>65.91001</v>
      </c>
      <c r="BT650">
        <v>0</v>
      </c>
      <c r="BV650">
        <v>0</v>
      </c>
      <c r="BW650" t="s">
        <v>655</v>
      </c>
      <c r="BX650">
        <v>0.17</v>
      </c>
      <c r="BY650">
        <v>11.204700000000001</v>
      </c>
      <c r="BZ650">
        <v>0</v>
      </c>
      <c r="CA650">
        <v>1</v>
      </c>
      <c r="CB650">
        <v>0.6</v>
      </c>
      <c r="CC650" s="3">
        <v>7.1269159999999998E-2</v>
      </c>
      <c r="CD650">
        <v>2.875</v>
      </c>
      <c r="CE650">
        <v>2.5</v>
      </c>
      <c r="CF650">
        <v>18</v>
      </c>
      <c r="CG650">
        <v>6</v>
      </c>
      <c r="CH650">
        <v>0</v>
      </c>
      <c r="CI650">
        <v>65.91001</v>
      </c>
      <c r="CJ650">
        <v>920.09349999999995</v>
      </c>
    </row>
    <row r="651" spans="1:88">
      <c r="A651">
        <v>649</v>
      </c>
      <c r="B651" t="s">
        <v>0</v>
      </c>
      <c r="C651" t="s">
        <v>1</v>
      </c>
      <c r="D651" t="s">
        <v>133</v>
      </c>
      <c r="E651" t="s">
        <v>113</v>
      </c>
      <c r="F651" t="s">
        <v>298</v>
      </c>
      <c r="G651" t="s">
        <v>106</v>
      </c>
      <c r="H651" t="s">
        <v>257</v>
      </c>
      <c r="J651">
        <v>2</v>
      </c>
      <c r="K651" t="s">
        <v>146</v>
      </c>
      <c r="L651" t="s">
        <v>116</v>
      </c>
      <c r="M651" t="s">
        <v>117</v>
      </c>
      <c r="N651" t="s">
        <v>14</v>
      </c>
      <c r="O651">
        <v>179</v>
      </c>
      <c r="Q651">
        <v>652</v>
      </c>
      <c r="R651">
        <v>88</v>
      </c>
      <c r="S651">
        <v>4.25</v>
      </c>
      <c r="T651">
        <v>4.7190000000000003</v>
      </c>
      <c r="U651">
        <v>7.05</v>
      </c>
      <c r="V651">
        <v>2772.91</v>
      </c>
      <c r="W651">
        <v>618</v>
      </c>
      <c r="X651">
        <v>1.3332999999999999</v>
      </c>
      <c r="Y651">
        <v>458</v>
      </c>
      <c r="Z651">
        <v>6.05</v>
      </c>
      <c r="AJ651">
        <v>2</v>
      </c>
      <c r="AK651">
        <v>18</v>
      </c>
      <c r="AM651">
        <v>0</v>
      </c>
      <c r="AO651" t="s">
        <v>301</v>
      </c>
      <c r="AT651">
        <v>68</v>
      </c>
      <c r="AV651">
        <v>49.1</v>
      </c>
      <c r="AW651" t="s">
        <v>6</v>
      </c>
      <c r="AX651" t="s">
        <v>6</v>
      </c>
      <c r="AY651" t="s">
        <v>6</v>
      </c>
      <c r="AZ651" t="s">
        <v>6</v>
      </c>
      <c r="BA651" t="s">
        <v>6</v>
      </c>
      <c r="BB651" t="s">
        <v>6</v>
      </c>
      <c r="BC651" t="s">
        <v>6</v>
      </c>
      <c r="BD651" t="s">
        <v>6</v>
      </c>
      <c r="BE651" t="s">
        <v>6</v>
      </c>
      <c r="BF651" t="s">
        <v>6</v>
      </c>
      <c r="BG651" t="s">
        <v>6</v>
      </c>
      <c r="BH651" t="s">
        <v>6</v>
      </c>
      <c r="BI651" t="s">
        <v>6</v>
      </c>
      <c r="BJ651" t="s">
        <v>6</v>
      </c>
      <c r="BN651">
        <v>235.40010000000001</v>
      </c>
      <c r="BO651">
        <v>1873</v>
      </c>
      <c r="BP651">
        <v>0</v>
      </c>
      <c r="BQ651">
        <v>61</v>
      </c>
      <c r="BR651">
        <v>61</v>
      </c>
      <c r="BS651">
        <v>61.39</v>
      </c>
      <c r="BT651">
        <v>0</v>
      </c>
      <c r="BV651">
        <v>0</v>
      </c>
      <c r="BW651" t="s">
        <v>655</v>
      </c>
      <c r="BX651">
        <v>0.17</v>
      </c>
      <c r="BY651">
        <v>10.436299999999999</v>
      </c>
      <c r="BZ651">
        <v>0</v>
      </c>
      <c r="CA651">
        <v>1</v>
      </c>
      <c r="CB651">
        <v>0.6</v>
      </c>
      <c r="CC651" s="3">
        <v>7.1269159999999998E-2</v>
      </c>
      <c r="CD651">
        <v>2.875</v>
      </c>
      <c r="CE651">
        <v>2.5</v>
      </c>
      <c r="CF651">
        <v>18</v>
      </c>
      <c r="CG651">
        <v>6</v>
      </c>
      <c r="CH651">
        <v>0</v>
      </c>
      <c r="CI651">
        <v>61.39</v>
      </c>
      <c r="CJ651">
        <v>592.84140000000002</v>
      </c>
    </row>
    <row r="652" spans="1:88">
      <c r="A652">
        <v>650</v>
      </c>
      <c r="B652" t="s">
        <v>0</v>
      </c>
      <c r="C652" t="s">
        <v>1</v>
      </c>
      <c r="D652" t="s">
        <v>231</v>
      </c>
      <c r="E652" t="s">
        <v>438</v>
      </c>
      <c r="F652" t="s">
        <v>218</v>
      </c>
      <c r="G652" t="s">
        <v>106</v>
      </c>
      <c r="H652" t="s">
        <v>221</v>
      </c>
      <c r="J652">
        <v>2</v>
      </c>
      <c r="K652" t="s">
        <v>146</v>
      </c>
      <c r="L652" t="s">
        <v>399</v>
      </c>
      <c r="M652" t="s">
        <v>467</v>
      </c>
      <c r="N652" t="s">
        <v>382</v>
      </c>
      <c r="O652">
        <v>97</v>
      </c>
      <c r="Q652">
        <v>269</v>
      </c>
      <c r="R652">
        <v>66</v>
      </c>
      <c r="S652">
        <v>4.25</v>
      </c>
      <c r="T652">
        <v>2.7040000000000002</v>
      </c>
      <c r="U652">
        <v>5.85</v>
      </c>
      <c r="V652">
        <v>1144.56</v>
      </c>
      <c r="W652">
        <v>386</v>
      </c>
      <c r="X652">
        <v>1.3332999999999999</v>
      </c>
      <c r="Y652">
        <v>284</v>
      </c>
      <c r="Z652">
        <v>4.03</v>
      </c>
      <c r="AJ652">
        <v>2</v>
      </c>
      <c r="AK652">
        <v>18</v>
      </c>
      <c r="AM652">
        <v>0</v>
      </c>
      <c r="AO652" t="s">
        <v>379</v>
      </c>
      <c r="AT652">
        <v>39</v>
      </c>
      <c r="AV652">
        <v>35.299999999999997</v>
      </c>
      <c r="AW652">
        <v>0</v>
      </c>
      <c r="AX652">
        <v>0</v>
      </c>
      <c r="AY652">
        <v>34.25</v>
      </c>
      <c r="AZ652">
        <v>3.25</v>
      </c>
      <c r="BA652">
        <v>0</v>
      </c>
      <c r="BB652">
        <v>0</v>
      </c>
      <c r="BC652">
        <v>32</v>
      </c>
      <c r="BN652">
        <v>167.63339999999999</v>
      </c>
      <c r="BO652">
        <v>3693</v>
      </c>
      <c r="BP652">
        <v>0</v>
      </c>
      <c r="BQ652">
        <v>33</v>
      </c>
      <c r="BR652">
        <v>33</v>
      </c>
      <c r="BS652">
        <v>32.86</v>
      </c>
      <c r="BT652">
        <v>0</v>
      </c>
      <c r="BV652">
        <v>0</v>
      </c>
      <c r="BW652" t="s">
        <v>655</v>
      </c>
      <c r="BX652">
        <v>0.17</v>
      </c>
      <c r="BY652">
        <v>5.5861999999999998</v>
      </c>
      <c r="BZ652">
        <v>0</v>
      </c>
      <c r="CA652">
        <v>1</v>
      </c>
      <c r="CB652">
        <v>0.6</v>
      </c>
      <c r="CC652" s="3">
        <v>7.1269159999999998E-2</v>
      </c>
      <c r="CD652">
        <v>2.875</v>
      </c>
      <c r="CE652">
        <v>2.5</v>
      </c>
      <c r="CF652">
        <v>18</v>
      </c>
      <c r="CG652">
        <v>6</v>
      </c>
      <c r="CH652">
        <v>0</v>
      </c>
      <c r="CI652">
        <v>32.86</v>
      </c>
      <c r="CJ652">
        <v>228.3357</v>
      </c>
    </row>
    <row r="653" spans="1:88">
      <c r="A653">
        <v>651</v>
      </c>
      <c r="B653" t="s">
        <v>13</v>
      </c>
      <c r="C653" t="s">
        <v>1</v>
      </c>
      <c r="D653" t="s">
        <v>366</v>
      </c>
      <c r="E653" t="s">
        <v>317</v>
      </c>
      <c r="F653" t="s">
        <v>379</v>
      </c>
      <c r="G653" t="s">
        <v>106</v>
      </c>
      <c r="H653" t="s">
        <v>228</v>
      </c>
      <c r="J653">
        <v>2</v>
      </c>
      <c r="K653" t="s">
        <v>146</v>
      </c>
      <c r="L653" t="s">
        <v>169</v>
      </c>
      <c r="M653" t="s">
        <v>400</v>
      </c>
      <c r="N653" t="s">
        <v>228</v>
      </c>
      <c r="O653">
        <v>99</v>
      </c>
      <c r="Q653">
        <v>269</v>
      </c>
      <c r="R653">
        <v>65</v>
      </c>
      <c r="S653">
        <v>4.25</v>
      </c>
      <c r="T653">
        <v>2.758</v>
      </c>
      <c r="U653">
        <v>5.88</v>
      </c>
      <c r="V653">
        <v>1142.31</v>
      </c>
      <c r="W653">
        <v>381</v>
      </c>
      <c r="X653">
        <v>1.3332999999999999</v>
      </c>
      <c r="Y653">
        <v>279</v>
      </c>
      <c r="Z653">
        <v>4.09</v>
      </c>
      <c r="AJ653">
        <v>2</v>
      </c>
      <c r="AK653">
        <v>18</v>
      </c>
      <c r="AM653">
        <v>0</v>
      </c>
      <c r="AO653" t="s">
        <v>230</v>
      </c>
      <c r="AT653">
        <v>40</v>
      </c>
      <c r="AV653">
        <v>34.6</v>
      </c>
      <c r="AW653">
        <v>0</v>
      </c>
      <c r="AX653">
        <v>0</v>
      </c>
      <c r="AY653">
        <v>34.875</v>
      </c>
      <c r="AZ653">
        <v>3.375</v>
      </c>
      <c r="BA653">
        <v>0</v>
      </c>
      <c r="BB653">
        <v>0</v>
      </c>
      <c r="BC653">
        <v>33</v>
      </c>
      <c r="BN653">
        <v>164.0667</v>
      </c>
      <c r="BO653">
        <v>3855</v>
      </c>
      <c r="BP653">
        <v>0</v>
      </c>
      <c r="BQ653">
        <v>34</v>
      </c>
      <c r="BR653">
        <v>34</v>
      </c>
      <c r="BS653">
        <v>33.56</v>
      </c>
      <c r="BT653">
        <v>0</v>
      </c>
      <c r="BV653">
        <v>0</v>
      </c>
      <c r="BW653" t="s">
        <v>655</v>
      </c>
      <c r="BX653">
        <v>0.17</v>
      </c>
      <c r="BY653">
        <v>5.7051999999999996</v>
      </c>
      <c r="BZ653">
        <v>0</v>
      </c>
      <c r="CA653">
        <v>1</v>
      </c>
      <c r="CB653">
        <v>0.6</v>
      </c>
      <c r="CC653" s="3">
        <v>7.1269159999999998E-2</v>
      </c>
      <c r="CD653">
        <v>2.875</v>
      </c>
      <c r="CE653">
        <v>2.5</v>
      </c>
      <c r="CF653">
        <v>18</v>
      </c>
      <c r="CG653">
        <v>6</v>
      </c>
      <c r="CH653">
        <v>0</v>
      </c>
      <c r="CI653">
        <v>33.56</v>
      </c>
      <c r="CJ653">
        <v>228.4162</v>
      </c>
    </row>
    <row r="654" spans="1:88">
      <c r="A654">
        <v>652</v>
      </c>
      <c r="B654" t="s">
        <v>13</v>
      </c>
      <c r="C654" t="s">
        <v>1</v>
      </c>
      <c r="D654" t="s">
        <v>341</v>
      </c>
      <c r="E654" t="s">
        <v>227</v>
      </c>
      <c r="F654" t="s">
        <v>343</v>
      </c>
      <c r="G654" t="s">
        <v>106</v>
      </c>
      <c r="H654" t="s">
        <v>344</v>
      </c>
      <c r="J654">
        <v>2</v>
      </c>
      <c r="K654" t="s">
        <v>146</v>
      </c>
      <c r="L654" t="s">
        <v>330</v>
      </c>
      <c r="M654" t="s">
        <v>129</v>
      </c>
      <c r="N654" t="s">
        <v>169</v>
      </c>
      <c r="O654">
        <v>116</v>
      </c>
      <c r="Q654">
        <v>246</v>
      </c>
      <c r="R654">
        <v>48</v>
      </c>
      <c r="S654">
        <v>4.25</v>
      </c>
      <c r="T654">
        <v>3.206</v>
      </c>
      <c r="U654">
        <v>6.22</v>
      </c>
      <c r="V654">
        <v>1047.58</v>
      </c>
      <c r="W654">
        <v>300</v>
      </c>
      <c r="X654">
        <v>1.3332999999999999</v>
      </c>
      <c r="Y654">
        <v>231</v>
      </c>
      <c r="Z654">
        <v>4.53</v>
      </c>
      <c r="AJ654">
        <v>2</v>
      </c>
      <c r="AK654">
        <v>18</v>
      </c>
      <c r="AM654">
        <v>0</v>
      </c>
      <c r="AO654" t="s">
        <v>347</v>
      </c>
      <c r="AT654">
        <v>46</v>
      </c>
      <c r="AV654">
        <v>27.4</v>
      </c>
      <c r="AW654">
        <v>0</v>
      </c>
      <c r="AX654">
        <v>0</v>
      </c>
      <c r="AY654">
        <v>28</v>
      </c>
      <c r="AZ654">
        <v>3.375</v>
      </c>
      <c r="BA654">
        <v>0</v>
      </c>
      <c r="BB654">
        <v>0</v>
      </c>
      <c r="BC654">
        <v>25</v>
      </c>
      <c r="BN654">
        <v>128.4</v>
      </c>
      <c r="BO654">
        <v>6294</v>
      </c>
      <c r="BP654">
        <v>0</v>
      </c>
      <c r="BQ654">
        <v>39</v>
      </c>
      <c r="BR654">
        <v>39</v>
      </c>
      <c r="BS654">
        <v>39.47</v>
      </c>
      <c r="BT654">
        <v>0</v>
      </c>
      <c r="BV654">
        <v>0</v>
      </c>
      <c r="BW654" t="s">
        <v>655</v>
      </c>
      <c r="BX654">
        <v>0.17</v>
      </c>
      <c r="BY654">
        <v>6.7099010000000003</v>
      </c>
      <c r="BZ654">
        <v>0</v>
      </c>
      <c r="CA654">
        <v>1</v>
      </c>
      <c r="CB654">
        <v>0.6</v>
      </c>
      <c r="CC654" s="3">
        <v>7.1269159999999998E-2</v>
      </c>
      <c r="CD654">
        <v>2.875</v>
      </c>
      <c r="CE654">
        <v>2.5</v>
      </c>
      <c r="CF654">
        <v>18</v>
      </c>
      <c r="CG654">
        <v>6</v>
      </c>
      <c r="CH654">
        <v>0</v>
      </c>
      <c r="CI654">
        <v>39.47</v>
      </c>
      <c r="CJ654">
        <v>212.381</v>
      </c>
    </row>
    <row r="655" spans="1:88">
      <c r="A655">
        <v>653</v>
      </c>
      <c r="B655" t="s">
        <v>13</v>
      </c>
      <c r="C655" t="s">
        <v>1</v>
      </c>
      <c r="D655" t="s">
        <v>605</v>
      </c>
      <c r="E655" t="s">
        <v>143</v>
      </c>
      <c r="F655" t="s">
        <v>472</v>
      </c>
      <c r="G655" t="s">
        <v>15</v>
      </c>
      <c r="H655" t="s">
        <v>605</v>
      </c>
      <c r="J655">
        <v>2</v>
      </c>
      <c r="K655" t="s">
        <v>9</v>
      </c>
      <c r="L655" t="s">
        <v>297</v>
      </c>
      <c r="M655" t="s">
        <v>206</v>
      </c>
      <c r="N655" t="s">
        <v>131</v>
      </c>
      <c r="O655">
        <v>155</v>
      </c>
      <c r="Q655">
        <v>967</v>
      </c>
      <c r="R655">
        <v>145</v>
      </c>
      <c r="S655">
        <v>4.25</v>
      </c>
      <c r="T655">
        <v>4.1660000000000004</v>
      </c>
      <c r="U655">
        <v>6.78</v>
      </c>
      <c r="V655">
        <v>4110.6400000000003</v>
      </c>
      <c r="W655">
        <v>983</v>
      </c>
      <c r="X655">
        <v>1.3332999999999999</v>
      </c>
      <c r="Y655">
        <v>749</v>
      </c>
      <c r="Z655">
        <v>5.49</v>
      </c>
      <c r="AJ655">
        <v>2</v>
      </c>
      <c r="AK655">
        <v>18</v>
      </c>
      <c r="AM655">
        <v>0</v>
      </c>
      <c r="AO655" t="s">
        <v>16</v>
      </c>
      <c r="AT655">
        <v>59</v>
      </c>
      <c r="AV655">
        <v>83.4</v>
      </c>
      <c r="AW655" t="s">
        <v>6</v>
      </c>
      <c r="AX655" t="s">
        <v>6</v>
      </c>
      <c r="AY655" t="s">
        <v>6</v>
      </c>
      <c r="AZ655" t="s">
        <v>6</v>
      </c>
      <c r="BA655" t="s">
        <v>6</v>
      </c>
      <c r="BB655" t="s">
        <v>6</v>
      </c>
      <c r="BC655" t="s">
        <v>6</v>
      </c>
      <c r="BD655" t="s">
        <v>6</v>
      </c>
      <c r="BE655" t="s">
        <v>6</v>
      </c>
      <c r="BF655" t="s">
        <v>6</v>
      </c>
      <c r="BG655" t="s">
        <v>6</v>
      </c>
      <c r="BH655" t="s">
        <v>6</v>
      </c>
      <c r="BI655" t="s">
        <v>6</v>
      </c>
      <c r="BJ655" t="s">
        <v>6</v>
      </c>
      <c r="BN655">
        <v>713.49900000000002</v>
      </c>
      <c r="BO655">
        <v>2149</v>
      </c>
      <c r="BP655">
        <v>0</v>
      </c>
      <c r="BQ655">
        <v>53</v>
      </c>
      <c r="BR655">
        <v>53</v>
      </c>
      <c r="BS655">
        <v>53.04</v>
      </c>
      <c r="BT655">
        <v>0</v>
      </c>
      <c r="BV655">
        <v>6</v>
      </c>
      <c r="BW655" t="s">
        <v>655</v>
      </c>
      <c r="BX655">
        <v>0.27933340000000001</v>
      </c>
      <c r="BY655">
        <v>14.81584</v>
      </c>
      <c r="BZ655">
        <v>0</v>
      </c>
      <c r="CA655">
        <v>1</v>
      </c>
      <c r="CB655">
        <v>0.6</v>
      </c>
      <c r="CC655" s="3">
        <v>7.1269159999999998E-2</v>
      </c>
      <c r="CD655">
        <v>2.875</v>
      </c>
      <c r="CE655">
        <v>2.5</v>
      </c>
      <c r="CF655">
        <v>18</v>
      </c>
      <c r="CG655">
        <v>6</v>
      </c>
      <c r="CH655">
        <v>0</v>
      </c>
      <c r="CI655">
        <v>53.04</v>
      </c>
      <c r="CJ655">
        <v>868.95420000000001</v>
      </c>
    </row>
    <row r="656" spans="1:88">
      <c r="A656">
        <v>654</v>
      </c>
      <c r="B656" t="s">
        <v>13</v>
      </c>
      <c r="C656" t="s">
        <v>1</v>
      </c>
      <c r="D656" t="s">
        <v>96</v>
      </c>
      <c r="E656" t="s">
        <v>217</v>
      </c>
      <c r="F656" t="s">
        <v>198</v>
      </c>
      <c r="G656" t="s">
        <v>106</v>
      </c>
      <c r="H656" t="s">
        <v>162</v>
      </c>
      <c r="J656">
        <v>2</v>
      </c>
      <c r="K656" t="s">
        <v>146</v>
      </c>
      <c r="L656" t="s">
        <v>153</v>
      </c>
      <c r="M656" t="s">
        <v>218</v>
      </c>
      <c r="N656" t="s">
        <v>139</v>
      </c>
      <c r="O656">
        <v>106</v>
      </c>
      <c r="Q656">
        <v>368</v>
      </c>
      <c r="R656">
        <v>81</v>
      </c>
      <c r="S656">
        <v>4.25</v>
      </c>
      <c r="T656">
        <v>2.9449999999999998</v>
      </c>
      <c r="U656">
        <v>6.03</v>
      </c>
      <c r="V656">
        <v>1563.14</v>
      </c>
      <c r="W656">
        <v>487</v>
      </c>
      <c r="X656">
        <v>1.3332999999999999</v>
      </c>
      <c r="Y656">
        <v>366</v>
      </c>
      <c r="Z656">
        <v>4.2699999999999996</v>
      </c>
      <c r="AJ656">
        <v>2</v>
      </c>
      <c r="AK656">
        <v>18</v>
      </c>
      <c r="AM656">
        <v>0</v>
      </c>
      <c r="AO656" t="s">
        <v>166</v>
      </c>
      <c r="AT656">
        <v>42</v>
      </c>
      <c r="AV656">
        <v>44.8</v>
      </c>
      <c r="AW656">
        <v>0</v>
      </c>
      <c r="AX656">
        <v>0</v>
      </c>
      <c r="AY656">
        <v>38.875</v>
      </c>
      <c r="AZ656">
        <v>3.75</v>
      </c>
      <c r="BA656">
        <v>0</v>
      </c>
      <c r="BB656">
        <v>0</v>
      </c>
      <c r="BC656">
        <v>39</v>
      </c>
      <c r="BN656">
        <v>214</v>
      </c>
      <c r="BO656">
        <v>2266</v>
      </c>
      <c r="BP656">
        <v>0</v>
      </c>
      <c r="BQ656">
        <v>36</v>
      </c>
      <c r="BR656">
        <v>36</v>
      </c>
      <c r="BS656">
        <v>36</v>
      </c>
      <c r="BT656">
        <v>0</v>
      </c>
      <c r="BV656">
        <v>0</v>
      </c>
      <c r="BW656" t="s">
        <v>655</v>
      </c>
      <c r="BX656">
        <v>0.17</v>
      </c>
      <c r="BY656">
        <v>6.12</v>
      </c>
      <c r="BZ656">
        <v>0</v>
      </c>
      <c r="CA656">
        <v>1</v>
      </c>
      <c r="CB656">
        <v>0.6</v>
      </c>
      <c r="CC656" s="3">
        <v>7.1269159999999998E-2</v>
      </c>
      <c r="CD656">
        <v>2.875</v>
      </c>
      <c r="CE656">
        <v>2.5</v>
      </c>
      <c r="CF656">
        <v>18</v>
      </c>
      <c r="CG656">
        <v>6</v>
      </c>
      <c r="CH656">
        <v>0</v>
      </c>
      <c r="CI656">
        <v>36</v>
      </c>
      <c r="CJ656">
        <v>316.86270000000002</v>
      </c>
    </row>
    <row r="657" spans="1:88">
      <c r="A657">
        <v>655</v>
      </c>
      <c r="B657" t="s">
        <v>13</v>
      </c>
      <c r="C657" t="s">
        <v>1</v>
      </c>
      <c r="D657" t="s">
        <v>113</v>
      </c>
      <c r="E657" t="s">
        <v>14</v>
      </c>
      <c r="F657" t="s">
        <v>262</v>
      </c>
      <c r="G657" t="s">
        <v>214</v>
      </c>
      <c r="H657" t="s">
        <v>263</v>
      </c>
      <c r="J657">
        <v>2</v>
      </c>
      <c r="K657" t="s">
        <v>108</v>
      </c>
      <c r="L657" t="s">
        <v>17</v>
      </c>
      <c r="M657" t="s">
        <v>18</v>
      </c>
      <c r="N657" t="s">
        <v>19</v>
      </c>
      <c r="O657">
        <v>182</v>
      </c>
      <c r="Q657">
        <v>838</v>
      </c>
      <c r="R657">
        <v>109</v>
      </c>
      <c r="S657">
        <v>4.25</v>
      </c>
      <c r="T657">
        <v>4.7859999999999996</v>
      </c>
      <c r="U657">
        <v>7.12</v>
      </c>
      <c r="V657">
        <v>3560.3</v>
      </c>
      <c r="W657">
        <v>773</v>
      </c>
      <c r="X657">
        <v>1.3332999999999999</v>
      </c>
      <c r="Y657">
        <v>583</v>
      </c>
      <c r="Z657">
        <v>6.11</v>
      </c>
      <c r="AJ657">
        <v>2</v>
      </c>
      <c r="AK657">
        <v>18</v>
      </c>
      <c r="AM657">
        <v>0</v>
      </c>
      <c r="AO657" t="s">
        <v>266</v>
      </c>
      <c r="AT657">
        <v>69</v>
      </c>
      <c r="AV657">
        <v>62.3</v>
      </c>
      <c r="AW657">
        <v>0.46875</v>
      </c>
      <c r="AX657">
        <v>3.75</v>
      </c>
      <c r="AY657">
        <v>63.25</v>
      </c>
      <c r="AZ657">
        <v>5.75</v>
      </c>
      <c r="BA657">
        <v>320.48</v>
      </c>
      <c r="BB657">
        <v>6.14</v>
      </c>
      <c r="BC657">
        <v>68</v>
      </c>
      <c r="BD657">
        <v>0.4375</v>
      </c>
      <c r="BE657">
        <v>3.75</v>
      </c>
      <c r="BF657">
        <v>54.25</v>
      </c>
      <c r="BG657">
        <v>5.375</v>
      </c>
      <c r="BH657">
        <v>262.22000000000003</v>
      </c>
      <c r="BI657">
        <v>6.27</v>
      </c>
      <c r="BJ657">
        <v>55</v>
      </c>
      <c r="BL657">
        <v>582.70000000000005</v>
      </c>
      <c r="BM657">
        <v>122</v>
      </c>
      <c r="BN657">
        <v>302.12</v>
      </c>
      <c r="BO657">
        <v>1426</v>
      </c>
      <c r="BP657">
        <v>0</v>
      </c>
      <c r="BQ657">
        <v>62</v>
      </c>
      <c r="BR657">
        <v>62</v>
      </c>
      <c r="BS657">
        <v>62.43</v>
      </c>
      <c r="BT657">
        <v>0</v>
      </c>
      <c r="BV657">
        <v>0</v>
      </c>
      <c r="BW657" t="s">
        <v>655</v>
      </c>
      <c r="BX657">
        <v>0.17</v>
      </c>
      <c r="BY657">
        <v>10.613099999999999</v>
      </c>
      <c r="BZ657">
        <v>0</v>
      </c>
      <c r="CA657">
        <v>1</v>
      </c>
      <c r="CB657">
        <v>0.6</v>
      </c>
      <c r="CC657" s="3">
        <v>7.1269159999999998E-2</v>
      </c>
      <c r="CD657">
        <v>2.875</v>
      </c>
      <c r="CE657">
        <v>2.5</v>
      </c>
      <c r="CF657">
        <v>18</v>
      </c>
      <c r="CG657">
        <v>6</v>
      </c>
      <c r="CH657">
        <v>0</v>
      </c>
      <c r="CI657">
        <v>62.43</v>
      </c>
      <c r="CJ657">
        <v>764.72910000000002</v>
      </c>
    </row>
    <row r="658" spans="1:88">
      <c r="A658">
        <v>656</v>
      </c>
      <c r="B658" t="s">
        <v>0</v>
      </c>
      <c r="C658" t="s">
        <v>1</v>
      </c>
      <c r="D658" t="s">
        <v>181</v>
      </c>
      <c r="E658" t="s">
        <v>113</v>
      </c>
      <c r="F658" t="s">
        <v>182</v>
      </c>
      <c r="G658" t="s">
        <v>106</v>
      </c>
      <c r="H658" t="s">
        <v>183</v>
      </c>
      <c r="J658">
        <v>2</v>
      </c>
      <c r="K658" t="s">
        <v>108</v>
      </c>
      <c r="L658" t="s">
        <v>116</v>
      </c>
      <c r="M658" t="s">
        <v>117</v>
      </c>
      <c r="N658" t="s">
        <v>14</v>
      </c>
      <c r="O658">
        <v>179</v>
      </c>
      <c r="Q658">
        <v>740</v>
      </c>
      <c r="R658">
        <v>98</v>
      </c>
      <c r="S658">
        <v>4.25</v>
      </c>
      <c r="T658">
        <v>4.7190000000000003</v>
      </c>
      <c r="U658">
        <v>7.05</v>
      </c>
      <c r="V658">
        <v>3142.96</v>
      </c>
      <c r="W658">
        <v>693</v>
      </c>
      <c r="X658">
        <v>1.3332999999999999</v>
      </c>
      <c r="Y658">
        <v>519</v>
      </c>
      <c r="Z658">
        <v>6.05</v>
      </c>
      <c r="AJ658">
        <v>2</v>
      </c>
      <c r="AK658">
        <v>18</v>
      </c>
      <c r="AM658">
        <v>0</v>
      </c>
      <c r="AO658" t="s">
        <v>186</v>
      </c>
      <c r="AT658">
        <v>68</v>
      </c>
      <c r="AV658">
        <v>55.8</v>
      </c>
      <c r="AW658">
        <v>0.4375</v>
      </c>
      <c r="AX658">
        <v>3.75</v>
      </c>
      <c r="AY658">
        <v>54.75</v>
      </c>
      <c r="AZ658">
        <v>5.25</v>
      </c>
      <c r="BA658">
        <v>259.74</v>
      </c>
      <c r="BB658">
        <v>6.33</v>
      </c>
      <c r="BC658">
        <v>55</v>
      </c>
      <c r="BD658">
        <v>0.4375</v>
      </c>
      <c r="BE658">
        <v>3.75</v>
      </c>
      <c r="BF658">
        <v>54.75</v>
      </c>
      <c r="BG658">
        <v>5.25</v>
      </c>
      <c r="BH658">
        <v>259.74</v>
      </c>
      <c r="BI658">
        <v>6.33</v>
      </c>
      <c r="BJ658">
        <v>55</v>
      </c>
      <c r="BL658">
        <v>519.48</v>
      </c>
      <c r="BM658">
        <v>110</v>
      </c>
      <c r="BN658">
        <v>267.5</v>
      </c>
      <c r="BO658">
        <v>1450</v>
      </c>
      <c r="BP658">
        <v>0</v>
      </c>
      <c r="BQ658">
        <v>61</v>
      </c>
      <c r="BR658">
        <v>61</v>
      </c>
      <c r="BS658">
        <v>61.39</v>
      </c>
      <c r="BT658">
        <v>0</v>
      </c>
      <c r="BV658">
        <v>0</v>
      </c>
      <c r="BW658" t="s">
        <v>655</v>
      </c>
      <c r="BX658">
        <v>0.17</v>
      </c>
      <c r="BY658">
        <v>10.436299999999999</v>
      </c>
      <c r="BZ658">
        <v>0</v>
      </c>
      <c r="CA658">
        <v>1</v>
      </c>
      <c r="CB658">
        <v>0.6</v>
      </c>
      <c r="CC658" s="3">
        <v>7.1269159999999998E-2</v>
      </c>
      <c r="CD658">
        <v>2.875</v>
      </c>
      <c r="CE658">
        <v>2.5</v>
      </c>
      <c r="CF658">
        <v>18</v>
      </c>
      <c r="CG658">
        <v>6</v>
      </c>
      <c r="CH658">
        <v>0</v>
      </c>
      <c r="CI658">
        <v>61.39</v>
      </c>
      <c r="CJ658">
        <v>673.23590000000002</v>
      </c>
    </row>
    <row r="659" spans="1:88">
      <c r="A659">
        <v>657</v>
      </c>
      <c r="B659" t="s">
        <v>13</v>
      </c>
      <c r="C659" t="s">
        <v>1</v>
      </c>
      <c r="D659" t="s">
        <v>133</v>
      </c>
      <c r="E659" t="s">
        <v>143</v>
      </c>
      <c r="F659" t="s">
        <v>298</v>
      </c>
      <c r="G659" t="s">
        <v>106</v>
      </c>
      <c r="H659" t="s">
        <v>257</v>
      </c>
      <c r="J659">
        <v>2</v>
      </c>
      <c r="K659" t="s">
        <v>146</v>
      </c>
      <c r="L659" t="s">
        <v>297</v>
      </c>
      <c r="M659" t="s">
        <v>206</v>
      </c>
      <c r="N659" t="s">
        <v>131</v>
      </c>
      <c r="O659">
        <v>155</v>
      </c>
      <c r="Q659">
        <v>570</v>
      </c>
      <c r="R659">
        <v>88</v>
      </c>
      <c r="S659">
        <v>4.25</v>
      </c>
      <c r="T659">
        <v>4.1660000000000004</v>
      </c>
      <c r="U659">
        <v>6.78</v>
      </c>
      <c r="V659">
        <v>2424.1999999999998</v>
      </c>
      <c r="W659">
        <v>595</v>
      </c>
      <c r="X659">
        <v>1.3332999999999999</v>
      </c>
      <c r="Y659">
        <v>442</v>
      </c>
      <c r="Z659">
        <v>5.49</v>
      </c>
      <c r="AJ659">
        <v>2</v>
      </c>
      <c r="AK659">
        <v>18</v>
      </c>
      <c r="AM659">
        <v>0</v>
      </c>
      <c r="AO659" t="s">
        <v>301</v>
      </c>
      <c r="AT659">
        <v>59</v>
      </c>
      <c r="AV659">
        <v>49.1</v>
      </c>
      <c r="AW659">
        <v>0.46875</v>
      </c>
      <c r="AX659">
        <v>3.75</v>
      </c>
      <c r="AY659">
        <v>56.5</v>
      </c>
      <c r="AZ659">
        <v>5.125</v>
      </c>
      <c r="BA659">
        <v>358.98</v>
      </c>
      <c r="BB659">
        <v>5.49</v>
      </c>
      <c r="BC659">
        <v>61</v>
      </c>
      <c r="BD659">
        <v>0.3125</v>
      </c>
      <c r="BE659">
        <v>2.75</v>
      </c>
      <c r="BF659">
        <v>43.5</v>
      </c>
      <c r="BG659">
        <v>3.375</v>
      </c>
      <c r="BH659">
        <v>82.57</v>
      </c>
      <c r="BI659">
        <v>7.74</v>
      </c>
      <c r="BJ659">
        <v>23</v>
      </c>
      <c r="BL659">
        <v>441.55</v>
      </c>
      <c r="BM659">
        <v>83</v>
      </c>
      <c r="BN659">
        <v>235.40010000000001</v>
      </c>
      <c r="BO659">
        <v>1873</v>
      </c>
      <c r="BP659">
        <v>0</v>
      </c>
      <c r="BQ659">
        <v>53</v>
      </c>
      <c r="BR659">
        <v>53</v>
      </c>
      <c r="BS659">
        <v>53.04</v>
      </c>
      <c r="BT659">
        <v>0</v>
      </c>
      <c r="BV659">
        <v>0</v>
      </c>
      <c r="BW659" t="s">
        <v>655</v>
      </c>
      <c r="BX659">
        <v>0.17</v>
      </c>
      <c r="BY659">
        <v>9.0167999999999999</v>
      </c>
      <c r="BZ659">
        <v>0</v>
      </c>
      <c r="CA659">
        <v>1</v>
      </c>
      <c r="CB659">
        <v>0.6</v>
      </c>
      <c r="CC659" s="3">
        <v>7.1269159999999998E-2</v>
      </c>
      <c r="CD659">
        <v>2.875</v>
      </c>
      <c r="CE659">
        <v>2.5</v>
      </c>
      <c r="CF659">
        <v>18</v>
      </c>
      <c r="CG659">
        <v>6</v>
      </c>
      <c r="CH659">
        <v>0</v>
      </c>
      <c r="CI659">
        <v>53.04</v>
      </c>
      <c r="CJ659">
        <v>512.20569999999998</v>
      </c>
    </row>
    <row r="660" spans="1:88">
      <c r="A660">
        <v>658</v>
      </c>
      <c r="B660" t="s">
        <v>13</v>
      </c>
      <c r="C660" t="s">
        <v>1</v>
      </c>
      <c r="D660" t="s">
        <v>342</v>
      </c>
      <c r="E660" t="s">
        <v>178</v>
      </c>
      <c r="F660" t="s">
        <v>484</v>
      </c>
      <c r="G660" t="s">
        <v>106</v>
      </c>
      <c r="H660" t="s">
        <v>241</v>
      </c>
      <c r="J660">
        <v>2</v>
      </c>
      <c r="K660" t="s">
        <v>146</v>
      </c>
      <c r="L660" t="s">
        <v>127</v>
      </c>
      <c r="M660" t="s">
        <v>179</v>
      </c>
      <c r="N660" t="s">
        <v>180</v>
      </c>
      <c r="O660">
        <v>95</v>
      </c>
      <c r="Q660">
        <v>222</v>
      </c>
      <c r="R660">
        <v>52</v>
      </c>
      <c r="S660">
        <v>4.25</v>
      </c>
      <c r="T660">
        <v>2.649</v>
      </c>
      <c r="U660">
        <v>5.81</v>
      </c>
      <c r="V660">
        <v>943.07</v>
      </c>
      <c r="W660">
        <v>301</v>
      </c>
      <c r="X660">
        <v>1.1666000000000001</v>
      </c>
      <c r="Y660">
        <v>248</v>
      </c>
      <c r="Z660">
        <v>3.81</v>
      </c>
      <c r="AJ660">
        <v>2</v>
      </c>
      <c r="AK660">
        <v>18</v>
      </c>
      <c r="AM660">
        <v>0</v>
      </c>
      <c r="AO660" t="s">
        <v>243</v>
      </c>
      <c r="AT660">
        <v>38</v>
      </c>
      <c r="AV660">
        <v>29.5</v>
      </c>
      <c r="AW660">
        <v>0</v>
      </c>
      <c r="AX660">
        <v>0</v>
      </c>
      <c r="AY660">
        <v>26.125</v>
      </c>
      <c r="AZ660">
        <v>2.875</v>
      </c>
      <c r="BA660">
        <v>0</v>
      </c>
      <c r="BB660">
        <v>0</v>
      </c>
      <c r="BC660">
        <v>23</v>
      </c>
      <c r="BN660">
        <v>139.1</v>
      </c>
      <c r="BO660">
        <v>5363</v>
      </c>
      <c r="BP660">
        <v>0</v>
      </c>
      <c r="BQ660">
        <v>32</v>
      </c>
      <c r="BR660">
        <v>32</v>
      </c>
      <c r="BS660">
        <v>32.17</v>
      </c>
      <c r="BT660">
        <v>0</v>
      </c>
      <c r="BV660">
        <v>0</v>
      </c>
      <c r="BW660" t="s">
        <v>655</v>
      </c>
      <c r="BX660">
        <v>0.17</v>
      </c>
      <c r="BY660">
        <v>5.4688999999999997</v>
      </c>
      <c r="BZ660">
        <v>0</v>
      </c>
      <c r="CA660">
        <v>1</v>
      </c>
      <c r="CB660">
        <v>0.6</v>
      </c>
      <c r="CC660" s="3">
        <v>7.1269159999999998E-2</v>
      </c>
      <c r="CD660">
        <v>2.875</v>
      </c>
      <c r="CE660">
        <v>2.5</v>
      </c>
      <c r="CF660">
        <v>18</v>
      </c>
      <c r="CG660">
        <v>6</v>
      </c>
      <c r="CH660">
        <v>0</v>
      </c>
      <c r="CI660">
        <v>32.17</v>
      </c>
      <c r="CJ660">
        <v>186.85740000000001</v>
      </c>
    </row>
    <row r="661" spans="1:88">
      <c r="A661">
        <v>659</v>
      </c>
      <c r="B661" t="s">
        <v>0</v>
      </c>
      <c r="C661" t="s">
        <v>1</v>
      </c>
      <c r="D661" t="s">
        <v>104</v>
      </c>
      <c r="E661" t="s">
        <v>165</v>
      </c>
      <c r="F661" t="s">
        <v>337</v>
      </c>
      <c r="G661" t="s">
        <v>214</v>
      </c>
      <c r="H661" t="s">
        <v>398</v>
      </c>
      <c r="J661">
        <v>2</v>
      </c>
      <c r="K661" t="s">
        <v>108</v>
      </c>
      <c r="L661" t="s">
        <v>125</v>
      </c>
      <c r="M661" t="s">
        <v>252</v>
      </c>
      <c r="N661" t="s">
        <v>293</v>
      </c>
      <c r="O661">
        <v>148</v>
      </c>
      <c r="Q661">
        <v>738</v>
      </c>
      <c r="R661">
        <v>116</v>
      </c>
      <c r="S661">
        <v>4.25</v>
      </c>
      <c r="T661">
        <v>4</v>
      </c>
      <c r="U661">
        <v>6.67</v>
      </c>
      <c r="V661">
        <v>3138.32</v>
      </c>
      <c r="W661">
        <v>774</v>
      </c>
      <c r="X661">
        <v>1.3332999999999999</v>
      </c>
      <c r="Y661">
        <v>589</v>
      </c>
      <c r="Z661">
        <v>5.33</v>
      </c>
      <c r="AJ661">
        <v>2</v>
      </c>
      <c r="AK661">
        <v>18</v>
      </c>
      <c r="AM661">
        <v>0</v>
      </c>
      <c r="AO661" t="s">
        <v>170</v>
      </c>
      <c r="AT661">
        <v>57</v>
      </c>
      <c r="AV661">
        <v>66.7</v>
      </c>
      <c r="AW661">
        <v>0.4375</v>
      </c>
      <c r="AX661">
        <v>3.75</v>
      </c>
      <c r="AY661">
        <v>48.375</v>
      </c>
      <c r="AZ661">
        <v>4.625</v>
      </c>
      <c r="BA661">
        <v>294.39999999999998</v>
      </c>
      <c r="BB661">
        <v>5.58</v>
      </c>
      <c r="BC661">
        <v>49</v>
      </c>
      <c r="BD661">
        <v>0.4375</v>
      </c>
      <c r="BE661">
        <v>3.75</v>
      </c>
      <c r="BF661">
        <v>48.375</v>
      </c>
      <c r="BG661">
        <v>4.625</v>
      </c>
      <c r="BH661">
        <v>294.39999999999998</v>
      </c>
      <c r="BI661">
        <v>5.58</v>
      </c>
      <c r="BJ661">
        <v>49</v>
      </c>
      <c r="BL661">
        <v>588.79999999999995</v>
      </c>
      <c r="BM661">
        <v>97</v>
      </c>
      <c r="BN661">
        <v>323.7</v>
      </c>
      <c r="BO661">
        <v>1242</v>
      </c>
      <c r="BP661">
        <v>0</v>
      </c>
      <c r="BQ661">
        <v>51</v>
      </c>
      <c r="BR661">
        <v>51</v>
      </c>
      <c r="BS661">
        <v>50.6</v>
      </c>
      <c r="BT661">
        <v>0</v>
      </c>
      <c r="BV661">
        <v>0</v>
      </c>
      <c r="BW661" t="s">
        <v>655</v>
      </c>
      <c r="BX661">
        <v>0.17</v>
      </c>
      <c r="BY661">
        <v>8.6019989999999993</v>
      </c>
      <c r="BZ661">
        <v>0</v>
      </c>
      <c r="CA661">
        <v>1</v>
      </c>
      <c r="CB661">
        <v>0.6</v>
      </c>
      <c r="CC661" s="3">
        <v>7.1269159999999998E-2</v>
      </c>
      <c r="CD661">
        <v>2.875</v>
      </c>
      <c r="CE661">
        <v>2.5</v>
      </c>
      <c r="CF661">
        <v>18</v>
      </c>
      <c r="CG661">
        <v>6</v>
      </c>
      <c r="CH661">
        <v>0</v>
      </c>
      <c r="CI661">
        <v>50.6</v>
      </c>
      <c r="CJ661">
        <v>663.09349999999995</v>
      </c>
    </row>
    <row r="662" spans="1:88">
      <c r="A662">
        <v>660</v>
      </c>
      <c r="B662" t="s">
        <v>0</v>
      </c>
      <c r="C662" t="s">
        <v>1</v>
      </c>
      <c r="D662" t="s">
        <v>96</v>
      </c>
      <c r="E662" t="s">
        <v>293</v>
      </c>
      <c r="F662" t="s">
        <v>198</v>
      </c>
      <c r="G662" t="s">
        <v>106</v>
      </c>
      <c r="H662" t="s">
        <v>162</v>
      </c>
      <c r="J662">
        <v>2</v>
      </c>
      <c r="K662" t="s">
        <v>146</v>
      </c>
      <c r="L662" t="s">
        <v>552</v>
      </c>
      <c r="M662" t="s">
        <v>465</v>
      </c>
      <c r="N662" t="s">
        <v>145</v>
      </c>
      <c r="O662">
        <v>151</v>
      </c>
      <c r="Q662">
        <v>508</v>
      </c>
      <c r="R662">
        <v>81</v>
      </c>
      <c r="S662">
        <v>4.25</v>
      </c>
      <c r="T662">
        <v>4.0720000000000001</v>
      </c>
      <c r="U662">
        <v>6.75</v>
      </c>
      <c r="V662">
        <v>2159.89</v>
      </c>
      <c r="W662">
        <v>546</v>
      </c>
      <c r="X662">
        <v>1.3332999999999999</v>
      </c>
      <c r="Y662">
        <v>400</v>
      </c>
      <c r="Z662">
        <v>5.4</v>
      </c>
      <c r="AJ662">
        <v>2</v>
      </c>
      <c r="AK662">
        <v>18</v>
      </c>
      <c r="AM662">
        <v>0</v>
      </c>
      <c r="AO662" t="s">
        <v>166</v>
      </c>
      <c r="AT662">
        <v>58</v>
      </c>
      <c r="AV662">
        <v>44.8</v>
      </c>
      <c r="AW662">
        <v>0.46875</v>
      </c>
      <c r="AX662">
        <v>3.75</v>
      </c>
      <c r="AY662">
        <v>55.5</v>
      </c>
      <c r="AZ662">
        <v>5</v>
      </c>
      <c r="BA662">
        <v>364.96</v>
      </c>
      <c r="BB662">
        <v>5.4</v>
      </c>
      <c r="BC662">
        <v>60</v>
      </c>
      <c r="BD662">
        <v>0.25</v>
      </c>
      <c r="BE662">
        <v>2.75</v>
      </c>
      <c r="BF662">
        <v>32.875</v>
      </c>
      <c r="BG662">
        <v>2.75</v>
      </c>
      <c r="BH662">
        <v>35.01</v>
      </c>
      <c r="BI662">
        <v>9.8000000000000007</v>
      </c>
      <c r="BJ662">
        <v>14</v>
      </c>
      <c r="BL662">
        <v>399.97</v>
      </c>
      <c r="BM662">
        <v>73</v>
      </c>
      <c r="BN662">
        <v>214</v>
      </c>
      <c r="BO662">
        <v>2266</v>
      </c>
      <c r="BP662">
        <v>0</v>
      </c>
      <c r="BQ662">
        <v>52</v>
      </c>
      <c r="BR662">
        <v>52</v>
      </c>
      <c r="BS662">
        <v>51.65</v>
      </c>
      <c r="BT662">
        <v>0</v>
      </c>
      <c r="BV662">
        <v>0</v>
      </c>
      <c r="BW662" t="s">
        <v>655</v>
      </c>
      <c r="BX662">
        <v>0.17</v>
      </c>
      <c r="BY662">
        <v>8.7805009999999992</v>
      </c>
      <c r="BZ662">
        <v>0</v>
      </c>
      <c r="CA662">
        <v>1</v>
      </c>
      <c r="CB662">
        <v>0.6</v>
      </c>
      <c r="CC662" s="3">
        <v>7.1269159999999998E-2</v>
      </c>
      <c r="CD662">
        <v>2.875</v>
      </c>
      <c r="CE662">
        <v>2.5</v>
      </c>
      <c r="CF662">
        <v>18</v>
      </c>
      <c r="CG662">
        <v>6</v>
      </c>
      <c r="CH662">
        <v>0</v>
      </c>
      <c r="CI662">
        <v>51.65</v>
      </c>
      <c r="CJ662">
        <v>454.60989999999998</v>
      </c>
    </row>
    <row r="663" spans="1:88">
      <c r="A663">
        <v>661</v>
      </c>
      <c r="B663" t="s">
        <v>13</v>
      </c>
      <c r="C663" t="s">
        <v>1</v>
      </c>
      <c r="D663" t="s">
        <v>113</v>
      </c>
      <c r="E663" t="s">
        <v>176</v>
      </c>
      <c r="F663" t="s">
        <v>262</v>
      </c>
      <c r="G663" t="s">
        <v>106</v>
      </c>
      <c r="H663" t="s">
        <v>263</v>
      </c>
      <c r="J663">
        <v>2</v>
      </c>
      <c r="K663" t="s">
        <v>108</v>
      </c>
      <c r="L663" t="s">
        <v>167</v>
      </c>
      <c r="M663" t="s">
        <v>226</v>
      </c>
      <c r="N663" t="s">
        <v>227</v>
      </c>
      <c r="O663">
        <v>113</v>
      </c>
      <c r="Q663">
        <v>540</v>
      </c>
      <c r="R663">
        <v>109</v>
      </c>
      <c r="S663">
        <v>4.25</v>
      </c>
      <c r="T663">
        <v>3.1280000000000001</v>
      </c>
      <c r="U663">
        <v>6.18</v>
      </c>
      <c r="V663">
        <v>2293.5100000000002</v>
      </c>
      <c r="W663">
        <v>671</v>
      </c>
      <c r="X663">
        <v>1.3332999999999999</v>
      </c>
      <c r="Y663">
        <v>514</v>
      </c>
      <c r="Z663">
        <v>4.46</v>
      </c>
      <c r="AJ663">
        <v>2</v>
      </c>
      <c r="AK663">
        <v>18</v>
      </c>
      <c r="AM663">
        <v>0</v>
      </c>
      <c r="AO663" t="s">
        <v>266</v>
      </c>
      <c r="AT663">
        <v>45</v>
      </c>
      <c r="AV663">
        <v>62.3</v>
      </c>
      <c r="AW663">
        <v>0.46875</v>
      </c>
      <c r="AX663">
        <v>3.75</v>
      </c>
      <c r="AY663">
        <v>45.875</v>
      </c>
      <c r="AZ663">
        <v>4.125</v>
      </c>
      <c r="BA663">
        <v>441.88</v>
      </c>
      <c r="BB663">
        <v>4.46</v>
      </c>
      <c r="BC663">
        <v>49</v>
      </c>
      <c r="BD663">
        <v>0.25</v>
      </c>
      <c r="BE663">
        <v>2.75</v>
      </c>
      <c r="BF663">
        <v>15.875</v>
      </c>
      <c r="BG663">
        <v>2.25</v>
      </c>
      <c r="BH663">
        <v>72.34</v>
      </c>
      <c r="BI663">
        <v>4.7300000000000004</v>
      </c>
      <c r="BJ663">
        <v>7</v>
      </c>
      <c r="BL663">
        <v>514.22</v>
      </c>
      <c r="BM663">
        <v>56</v>
      </c>
      <c r="BN663">
        <v>299.60000000000002</v>
      </c>
      <c r="BO663">
        <v>1156</v>
      </c>
      <c r="BP663">
        <v>0</v>
      </c>
      <c r="BQ663">
        <v>38</v>
      </c>
      <c r="BR663">
        <v>38</v>
      </c>
      <c r="BS663">
        <v>38.43</v>
      </c>
      <c r="BT663">
        <v>0</v>
      </c>
      <c r="BV663">
        <v>0</v>
      </c>
      <c r="BW663" t="s">
        <v>655</v>
      </c>
      <c r="BX663">
        <v>0.17</v>
      </c>
      <c r="BY663">
        <v>6.5331000000000001</v>
      </c>
      <c r="BZ663">
        <v>0</v>
      </c>
      <c r="CA663">
        <v>1</v>
      </c>
      <c r="CB663">
        <v>0.6</v>
      </c>
      <c r="CC663" s="3">
        <v>7.1269159999999998E-2</v>
      </c>
      <c r="CD663">
        <v>2.875</v>
      </c>
      <c r="CE663">
        <v>2.5</v>
      </c>
      <c r="CF663">
        <v>18</v>
      </c>
      <c r="CG663">
        <v>6</v>
      </c>
      <c r="CH663">
        <v>0</v>
      </c>
      <c r="CI663">
        <v>38.43</v>
      </c>
      <c r="CJ663">
        <v>470.7439</v>
      </c>
    </row>
    <row r="664" spans="1:88">
      <c r="A664">
        <v>662</v>
      </c>
      <c r="B664" t="s">
        <v>13</v>
      </c>
      <c r="C664" t="s">
        <v>1</v>
      </c>
      <c r="D664" t="s">
        <v>143</v>
      </c>
      <c r="E664" t="s">
        <v>2</v>
      </c>
      <c r="F664" t="s">
        <v>144</v>
      </c>
      <c r="G664" t="s">
        <v>106</v>
      </c>
      <c r="H664" t="s">
        <v>145</v>
      </c>
      <c r="J664">
        <v>2</v>
      </c>
      <c r="K664" t="s">
        <v>146</v>
      </c>
      <c r="L664" t="s">
        <v>122</v>
      </c>
      <c r="M664" t="s">
        <v>4</v>
      </c>
      <c r="N664" t="s">
        <v>5</v>
      </c>
      <c r="O664">
        <v>107</v>
      </c>
      <c r="Q664">
        <v>442</v>
      </c>
      <c r="R664">
        <v>95</v>
      </c>
      <c r="S664">
        <v>4.25</v>
      </c>
      <c r="T664">
        <v>2.9710000000000001</v>
      </c>
      <c r="U664">
        <v>6.07</v>
      </c>
      <c r="V664">
        <v>1877.35</v>
      </c>
      <c r="W664">
        <v>574</v>
      </c>
      <c r="X664">
        <v>1.3332999999999999</v>
      </c>
      <c r="Y664">
        <v>437</v>
      </c>
      <c r="Z664">
        <v>4.3</v>
      </c>
      <c r="AJ664">
        <v>2</v>
      </c>
      <c r="AK664">
        <v>18</v>
      </c>
      <c r="AM664">
        <v>0</v>
      </c>
      <c r="AO664" t="s">
        <v>149</v>
      </c>
      <c r="AT664">
        <v>42</v>
      </c>
      <c r="AV664">
        <v>53.5</v>
      </c>
      <c r="AW664">
        <v>0</v>
      </c>
      <c r="AX664">
        <v>0</v>
      </c>
      <c r="AY664">
        <v>46.375</v>
      </c>
      <c r="AZ664">
        <v>4</v>
      </c>
      <c r="BA664">
        <v>0</v>
      </c>
      <c r="BB664">
        <v>0</v>
      </c>
      <c r="BC664">
        <v>50</v>
      </c>
      <c r="BN664">
        <v>256.80009999999999</v>
      </c>
      <c r="BO664">
        <v>1574</v>
      </c>
      <c r="BP664">
        <v>0</v>
      </c>
      <c r="BQ664">
        <v>36</v>
      </c>
      <c r="BR664">
        <v>36</v>
      </c>
      <c r="BS664">
        <v>36.340000000000003</v>
      </c>
      <c r="BT664">
        <v>0</v>
      </c>
      <c r="BV664">
        <v>0</v>
      </c>
      <c r="BW664" t="s">
        <v>655</v>
      </c>
      <c r="BX664">
        <v>0.17</v>
      </c>
      <c r="BY664">
        <v>6.1778000000000004</v>
      </c>
      <c r="BZ664">
        <v>0</v>
      </c>
      <c r="CA664">
        <v>1</v>
      </c>
      <c r="CB664">
        <v>0.6</v>
      </c>
      <c r="CC664" s="3">
        <v>7.1269159999999998E-2</v>
      </c>
      <c r="CD664">
        <v>2.875</v>
      </c>
      <c r="CE664">
        <v>2.5</v>
      </c>
      <c r="CF664">
        <v>18</v>
      </c>
      <c r="CG664">
        <v>6</v>
      </c>
      <c r="CH664">
        <v>0</v>
      </c>
      <c r="CI664">
        <v>36.340000000000003</v>
      </c>
      <c r="CJ664">
        <v>382.01339999999999</v>
      </c>
    </row>
    <row r="665" spans="1:88">
      <c r="A665">
        <v>663</v>
      </c>
      <c r="B665" t="s">
        <v>0</v>
      </c>
      <c r="C665" t="s">
        <v>1</v>
      </c>
      <c r="D665" t="s">
        <v>96</v>
      </c>
      <c r="E665" t="s">
        <v>172</v>
      </c>
      <c r="F665" t="s">
        <v>198</v>
      </c>
      <c r="G665" t="s">
        <v>106</v>
      </c>
      <c r="H665" t="s">
        <v>162</v>
      </c>
      <c r="J665">
        <v>2</v>
      </c>
      <c r="K665" t="s">
        <v>146</v>
      </c>
      <c r="L665" t="s">
        <v>233</v>
      </c>
      <c r="M665" t="s">
        <v>490</v>
      </c>
      <c r="N665" t="s">
        <v>128</v>
      </c>
      <c r="O665">
        <v>137</v>
      </c>
      <c r="Q665">
        <v>465</v>
      </c>
      <c r="R665">
        <v>81</v>
      </c>
      <c r="S665">
        <v>4.25</v>
      </c>
      <c r="T665">
        <v>3.734</v>
      </c>
      <c r="U665">
        <v>6.48</v>
      </c>
      <c r="V665">
        <v>1974.16</v>
      </c>
      <c r="W665">
        <v>524</v>
      </c>
      <c r="X665">
        <v>1.3332999999999999</v>
      </c>
      <c r="Y665">
        <v>390</v>
      </c>
      <c r="Z665">
        <v>5.0599999999999996</v>
      </c>
      <c r="AJ665">
        <v>2</v>
      </c>
      <c r="AK665">
        <v>18</v>
      </c>
      <c r="AM665">
        <v>0</v>
      </c>
      <c r="AO665" t="s">
        <v>166</v>
      </c>
      <c r="AT665">
        <v>53</v>
      </c>
      <c r="AV665">
        <v>44.8</v>
      </c>
      <c r="AW665">
        <v>0</v>
      </c>
      <c r="AX665">
        <v>0</v>
      </c>
      <c r="AY665">
        <v>52</v>
      </c>
      <c r="AZ665">
        <v>4.75</v>
      </c>
      <c r="BA665">
        <v>0</v>
      </c>
      <c r="BB665">
        <v>0</v>
      </c>
      <c r="BC665">
        <v>56</v>
      </c>
      <c r="BN665">
        <v>214</v>
      </c>
      <c r="BO665">
        <v>2266</v>
      </c>
      <c r="BP665">
        <v>0</v>
      </c>
      <c r="BQ665">
        <v>47</v>
      </c>
      <c r="BR665">
        <v>47</v>
      </c>
      <c r="BS665">
        <v>46.78</v>
      </c>
      <c r="BT665">
        <v>0</v>
      </c>
      <c r="BV665">
        <v>0</v>
      </c>
      <c r="BW665" t="s">
        <v>655</v>
      </c>
      <c r="BX665">
        <v>0.17</v>
      </c>
      <c r="BY665">
        <v>7.9526000000000003</v>
      </c>
      <c r="BZ665">
        <v>0</v>
      </c>
      <c r="CA665">
        <v>1</v>
      </c>
      <c r="CB665">
        <v>0.6</v>
      </c>
      <c r="CC665" s="3">
        <v>7.1269159999999998E-2</v>
      </c>
      <c r="CD665">
        <v>2.875</v>
      </c>
      <c r="CE665">
        <v>2.5</v>
      </c>
      <c r="CF665">
        <v>18</v>
      </c>
      <c r="CG665">
        <v>6</v>
      </c>
      <c r="CH665">
        <v>0</v>
      </c>
      <c r="CI665">
        <v>46.78</v>
      </c>
      <c r="CJ665">
        <v>411.74540000000002</v>
      </c>
    </row>
    <row r="666" spans="1:88">
      <c r="A666">
        <v>664</v>
      </c>
      <c r="B666" t="s">
        <v>13</v>
      </c>
      <c r="C666" t="s">
        <v>1</v>
      </c>
      <c r="D666" t="s">
        <v>113</v>
      </c>
      <c r="E666" t="s">
        <v>320</v>
      </c>
      <c r="F666" t="s">
        <v>262</v>
      </c>
      <c r="G666" t="s">
        <v>106</v>
      </c>
      <c r="H666" t="s">
        <v>263</v>
      </c>
      <c r="J666">
        <v>2</v>
      </c>
      <c r="K666" t="s">
        <v>108</v>
      </c>
      <c r="L666" t="s">
        <v>224</v>
      </c>
      <c r="M666" t="s">
        <v>500</v>
      </c>
      <c r="N666" t="s">
        <v>501</v>
      </c>
      <c r="O666">
        <v>59</v>
      </c>
      <c r="Q666">
        <v>306</v>
      </c>
      <c r="R666">
        <v>109</v>
      </c>
      <c r="S666">
        <v>4.25</v>
      </c>
      <c r="T666">
        <v>1.613</v>
      </c>
      <c r="U666">
        <v>5.17</v>
      </c>
      <c r="V666">
        <v>1302.28</v>
      </c>
      <c r="W666">
        <v>561</v>
      </c>
      <c r="X666">
        <v>1.1666000000000001</v>
      </c>
      <c r="Y666">
        <v>470</v>
      </c>
      <c r="Z666">
        <v>2.77</v>
      </c>
      <c r="AJ666">
        <v>2</v>
      </c>
      <c r="AK666">
        <v>18</v>
      </c>
      <c r="AM666">
        <v>0</v>
      </c>
      <c r="AO666" t="s">
        <v>266</v>
      </c>
      <c r="AT666">
        <v>26</v>
      </c>
      <c r="AV666">
        <v>62.3</v>
      </c>
      <c r="AW666">
        <v>0</v>
      </c>
      <c r="AX666">
        <v>0</v>
      </c>
      <c r="AY666">
        <v>20.75</v>
      </c>
      <c r="AZ666">
        <v>2.25</v>
      </c>
      <c r="BA666">
        <v>0</v>
      </c>
      <c r="BB666">
        <v>0</v>
      </c>
      <c r="BC666">
        <v>20</v>
      </c>
      <c r="BN666">
        <v>299.60000000000002</v>
      </c>
      <c r="BO666">
        <v>1156</v>
      </c>
      <c r="BP666">
        <v>0</v>
      </c>
      <c r="BQ666">
        <v>20</v>
      </c>
      <c r="BR666">
        <v>20</v>
      </c>
      <c r="BS666">
        <v>19.649999999999999</v>
      </c>
      <c r="BT666">
        <v>0</v>
      </c>
      <c r="BV666">
        <v>0</v>
      </c>
      <c r="BW666" t="s">
        <v>655</v>
      </c>
      <c r="BX666">
        <v>0.17</v>
      </c>
      <c r="BY666">
        <v>3.3405</v>
      </c>
      <c r="BZ666">
        <v>0</v>
      </c>
      <c r="CA666">
        <v>1</v>
      </c>
      <c r="CB666">
        <v>0.6</v>
      </c>
      <c r="CC666" s="3">
        <v>7.1269159999999998E-2</v>
      </c>
      <c r="CD666">
        <v>2.875</v>
      </c>
      <c r="CE666">
        <v>2.5</v>
      </c>
      <c r="CF666">
        <v>18</v>
      </c>
      <c r="CG666">
        <v>6</v>
      </c>
      <c r="CH666">
        <v>0</v>
      </c>
      <c r="CI666">
        <v>19.649999999999999</v>
      </c>
      <c r="CJ666">
        <v>240.70050000000001</v>
      </c>
    </row>
    <row r="667" spans="1:88">
      <c r="A667">
        <v>665</v>
      </c>
      <c r="B667" t="s">
        <v>13</v>
      </c>
      <c r="C667" t="s">
        <v>1</v>
      </c>
      <c r="D667" t="s">
        <v>338</v>
      </c>
      <c r="E667" t="s">
        <v>169</v>
      </c>
      <c r="F667" t="s">
        <v>360</v>
      </c>
      <c r="G667" t="s">
        <v>106</v>
      </c>
      <c r="H667" t="s">
        <v>101</v>
      </c>
      <c r="J667">
        <v>2</v>
      </c>
      <c r="K667" t="s">
        <v>146</v>
      </c>
      <c r="L667" t="s">
        <v>381</v>
      </c>
      <c r="M667" t="s">
        <v>173</v>
      </c>
      <c r="N667" t="s">
        <v>174</v>
      </c>
      <c r="O667">
        <v>119</v>
      </c>
      <c r="Q667">
        <v>421</v>
      </c>
      <c r="R667">
        <v>83</v>
      </c>
      <c r="S667">
        <v>4.25</v>
      </c>
      <c r="T667">
        <v>3.2829999999999999</v>
      </c>
      <c r="U667">
        <v>6.15</v>
      </c>
      <c r="V667">
        <v>1790.77</v>
      </c>
      <c r="W667">
        <v>511</v>
      </c>
      <c r="X667">
        <v>1.3332999999999999</v>
      </c>
      <c r="Y667">
        <v>388</v>
      </c>
      <c r="Z667">
        <v>4.6100000000000003</v>
      </c>
      <c r="AJ667">
        <v>2</v>
      </c>
      <c r="AK667">
        <v>18</v>
      </c>
      <c r="AM667">
        <v>0</v>
      </c>
      <c r="AO667" t="s">
        <v>403</v>
      </c>
      <c r="AT667">
        <v>47</v>
      </c>
      <c r="AV667">
        <v>46.2</v>
      </c>
      <c r="AW667">
        <v>0</v>
      </c>
      <c r="AX667">
        <v>0</v>
      </c>
      <c r="AY667">
        <v>52.125</v>
      </c>
      <c r="AZ667">
        <v>4.375</v>
      </c>
      <c r="BA667">
        <v>0</v>
      </c>
      <c r="BB667">
        <v>0</v>
      </c>
      <c r="BC667">
        <v>56</v>
      </c>
      <c r="BN667">
        <v>221.13339999999999</v>
      </c>
      <c r="BO667">
        <v>2122</v>
      </c>
      <c r="BP667">
        <v>0</v>
      </c>
      <c r="BQ667">
        <v>41</v>
      </c>
      <c r="BR667">
        <v>41</v>
      </c>
      <c r="BS667">
        <v>40.520000000000003</v>
      </c>
      <c r="BT667">
        <v>0</v>
      </c>
      <c r="BV667">
        <v>0</v>
      </c>
      <c r="BW667" t="s">
        <v>655</v>
      </c>
      <c r="BX667">
        <v>0.17</v>
      </c>
      <c r="BY667">
        <v>6.8883999999999999</v>
      </c>
      <c r="BZ667">
        <v>0</v>
      </c>
      <c r="CA667">
        <v>1</v>
      </c>
      <c r="CB667">
        <v>0.6</v>
      </c>
      <c r="CC667" s="3">
        <v>7.1269159999999998E-2</v>
      </c>
      <c r="CD667">
        <v>2.875</v>
      </c>
      <c r="CE667">
        <v>2.5</v>
      </c>
      <c r="CF667">
        <v>18</v>
      </c>
      <c r="CG667">
        <v>6</v>
      </c>
      <c r="CH667">
        <v>0</v>
      </c>
      <c r="CI667">
        <v>40.520000000000003</v>
      </c>
      <c r="CJ667">
        <v>368.19779999999997</v>
      </c>
    </row>
    <row r="668" spans="1:88">
      <c r="A668">
        <v>666</v>
      </c>
      <c r="B668" t="s">
        <v>0</v>
      </c>
      <c r="C668" t="s">
        <v>1</v>
      </c>
      <c r="D668" t="s">
        <v>8</v>
      </c>
      <c r="E668" t="s">
        <v>197</v>
      </c>
      <c r="F668" t="s">
        <v>246</v>
      </c>
      <c r="G668" t="s">
        <v>15</v>
      </c>
      <c r="H668" t="s">
        <v>247</v>
      </c>
      <c r="J668">
        <v>2</v>
      </c>
      <c r="K668" t="s">
        <v>108</v>
      </c>
      <c r="L668" t="s">
        <v>199</v>
      </c>
      <c r="M668" t="s">
        <v>200</v>
      </c>
      <c r="N668" t="s">
        <v>201</v>
      </c>
      <c r="O668">
        <v>173</v>
      </c>
      <c r="Q668">
        <v>909</v>
      </c>
      <c r="R668">
        <v>124</v>
      </c>
      <c r="S668">
        <v>4.25</v>
      </c>
      <c r="T668">
        <v>4.5830000000000002</v>
      </c>
      <c r="U668">
        <v>6.97</v>
      </c>
      <c r="V668">
        <v>3863.2</v>
      </c>
      <c r="W668">
        <v>862</v>
      </c>
      <c r="X668">
        <v>1.3332999999999999</v>
      </c>
      <c r="Y668">
        <v>654</v>
      </c>
      <c r="Z668">
        <v>5.91</v>
      </c>
      <c r="AJ668">
        <v>2</v>
      </c>
      <c r="AK668">
        <v>18</v>
      </c>
      <c r="AM668">
        <v>0</v>
      </c>
      <c r="AO668" t="s">
        <v>250</v>
      </c>
      <c r="AT668">
        <v>65</v>
      </c>
      <c r="AV668">
        <v>71.099999999999994</v>
      </c>
      <c r="AW668" t="s">
        <v>6</v>
      </c>
      <c r="AX668" t="s">
        <v>6</v>
      </c>
      <c r="AY668" t="s">
        <v>6</v>
      </c>
      <c r="AZ668" t="s">
        <v>6</v>
      </c>
      <c r="BA668" t="s">
        <v>6</v>
      </c>
      <c r="BB668" t="s">
        <v>6</v>
      </c>
      <c r="BC668" t="s">
        <v>6</v>
      </c>
      <c r="BD668" t="s">
        <v>6</v>
      </c>
      <c r="BE668" t="s">
        <v>6</v>
      </c>
      <c r="BF668" t="s">
        <v>6</v>
      </c>
      <c r="BG668" t="s">
        <v>6</v>
      </c>
      <c r="BH668" t="s">
        <v>6</v>
      </c>
      <c r="BI668" t="s">
        <v>6</v>
      </c>
      <c r="BJ668" t="s">
        <v>6</v>
      </c>
      <c r="BN668">
        <v>606.1585</v>
      </c>
      <c r="BO668">
        <v>2977</v>
      </c>
      <c r="BP668">
        <v>0</v>
      </c>
      <c r="BQ668">
        <v>59</v>
      </c>
      <c r="BR668">
        <v>59</v>
      </c>
      <c r="BS668">
        <v>59.3</v>
      </c>
      <c r="BT668">
        <v>0</v>
      </c>
      <c r="BV668">
        <v>0</v>
      </c>
      <c r="BW668" t="s">
        <v>655</v>
      </c>
      <c r="BX668">
        <v>0.17</v>
      </c>
      <c r="BY668">
        <v>10.081</v>
      </c>
      <c r="BZ668">
        <v>0</v>
      </c>
      <c r="CA668">
        <v>1</v>
      </c>
      <c r="CB668">
        <v>0.6</v>
      </c>
      <c r="CC668" s="3">
        <v>7.1269159999999998E-2</v>
      </c>
      <c r="CD668">
        <v>2.875</v>
      </c>
      <c r="CE668">
        <v>2.5</v>
      </c>
      <c r="CF668">
        <v>18</v>
      </c>
      <c r="CG668">
        <v>6</v>
      </c>
      <c r="CH668">
        <v>0</v>
      </c>
      <c r="CI668">
        <v>59.3</v>
      </c>
      <c r="CJ668">
        <v>827.81889999999999</v>
      </c>
    </row>
    <row r="669" spans="1:88">
      <c r="A669">
        <v>667</v>
      </c>
      <c r="B669" t="s">
        <v>0</v>
      </c>
      <c r="C669" t="s">
        <v>1</v>
      </c>
      <c r="D669" t="s">
        <v>158</v>
      </c>
      <c r="E669" t="s">
        <v>167</v>
      </c>
      <c r="F669" t="s">
        <v>166</v>
      </c>
      <c r="G669" t="s">
        <v>106</v>
      </c>
      <c r="H669" t="s">
        <v>119</v>
      </c>
      <c r="J669">
        <v>2</v>
      </c>
      <c r="K669" t="s">
        <v>146</v>
      </c>
      <c r="L669" t="s">
        <v>207</v>
      </c>
      <c r="M669" t="s">
        <v>327</v>
      </c>
      <c r="N669" t="s">
        <v>330</v>
      </c>
      <c r="O669">
        <v>133</v>
      </c>
      <c r="Q669">
        <v>445</v>
      </c>
      <c r="R669">
        <v>80</v>
      </c>
      <c r="S669">
        <v>4.25</v>
      </c>
      <c r="T669">
        <v>3.6349999999999998</v>
      </c>
      <c r="U669">
        <v>6.41</v>
      </c>
      <c r="V669">
        <v>1890.61</v>
      </c>
      <c r="W669">
        <v>511</v>
      </c>
      <c r="X669">
        <v>1.3332999999999999</v>
      </c>
      <c r="Y669">
        <v>381</v>
      </c>
      <c r="Z669">
        <v>4.96</v>
      </c>
      <c r="AJ669">
        <v>2</v>
      </c>
      <c r="AK669">
        <v>18</v>
      </c>
      <c r="AM669">
        <v>0</v>
      </c>
      <c r="AO669" t="s">
        <v>286</v>
      </c>
      <c r="AT669">
        <v>52</v>
      </c>
      <c r="AV669">
        <v>44.1</v>
      </c>
      <c r="AW669">
        <v>0</v>
      </c>
      <c r="AX669">
        <v>0</v>
      </c>
      <c r="AY669">
        <v>53.125</v>
      </c>
      <c r="AZ669">
        <v>4.625</v>
      </c>
      <c r="BA669">
        <v>0</v>
      </c>
      <c r="BB669">
        <v>0</v>
      </c>
      <c r="BC669">
        <v>57</v>
      </c>
      <c r="BN669">
        <v>210.43340000000001</v>
      </c>
      <c r="BO669">
        <v>2343</v>
      </c>
      <c r="BP669">
        <v>0</v>
      </c>
      <c r="BQ669">
        <v>45</v>
      </c>
      <c r="BR669">
        <v>45</v>
      </c>
      <c r="BS669">
        <v>45.39</v>
      </c>
      <c r="BT669">
        <v>0</v>
      </c>
      <c r="BV669">
        <v>0</v>
      </c>
      <c r="BW669" t="s">
        <v>655</v>
      </c>
      <c r="BX669">
        <v>0.17</v>
      </c>
      <c r="BY669">
        <v>7.7163000000000004</v>
      </c>
      <c r="BZ669">
        <v>0</v>
      </c>
      <c r="CA669">
        <v>1</v>
      </c>
      <c r="CB669">
        <v>0.6</v>
      </c>
      <c r="CC669" s="3">
        <v>7.1269159999999998E-2</v>
      </c>
      <c r="CD669">
        <v>2.875</v>
      </c>
      <c r="CE669">
        <v>2.5</v>
      </c>
      <c r="CF669">
        <v>18</v>
      </c>
      <c r="CG669">
        <v>6</v>
      </c>
      <c r="CH669">
        <v>0</v>
      </c>
      <c r="CI669">
        <v>45.39</v>
      </c>
      <c r="CJ669">
        <v>393.0412</v>
      </c>
    </row>
    <row r="670" spans="1:88">
      <c r="A670">
        <v>668</v>
      </c>
      <c r="B670" t="s">
        <v>0</v>
      </c>
      <c r="C670" t="s">
        <v>1</v>
      </c>
      <c r="D670" t="s">
        <v>542</v>
      </c>
      <c r="E670" t="s">
        <v>113</v>
      </c>
      <c r="F670" t="s">
        <v>543</v>
      </c>
      <c r="G670" t="s">
        <v>20</v>
      </c>
      <c r="H670" t="s">
        <v>542</v>
      </c>
      <c r="J670">
        <v>2</v>
      </c>
      <c r="K670" t="s">
        <v>9</v>
      </c>
      <c r="L670" t="s">
        <v>116</v>
      </c>
      <c r="M670" t="s">
        <v>117</v>
      </c>
      <c r="N670" t="s">
        <v>14</v>
      </c>
      <c r="O670">
        <v>179</v>
      </c>
      <c r="Q670">
        <v>1244</v>
      </c>
      <c r="R670">
        <v>163</v>
      </c>
      <c r="S670">
        <v>4.25</v>
      </c>
      <c r="T670">
        <v>4.7190000000000003</v>
      </c>
      <c r="U670">
        <v>7.05</v>
      </c>
      <c r="V670">
        <v>5285.89</v>
      </c>
      <c r="W670">
        <v>1152</v>
      </c>
      <c r="X670">
        <v>1.3332999999999999</v>
      </c>
      <c r="Y670">
        <v>874</v>
      </c>
      <c r="Z670">
        <v>6.05</v>
      </c>
      <c r="AJ670">
        <v>2</v>
      </c>
      <c r="AK670">
        <v>18</v>
      </c>
      <c r="AM670">
        <v>0</v>
      </c>
      <c r="AO670" t="s">
        <v>698</v>
      </c>
      <c r="AT670">
        <v>68</v>
      </c>
      <c r="AV670">
        <v>93.9</v>
      </c>
      <c r="AW670" t="s">
        <v>6</v>
      </c>
      <c r="AX670" t="s">
        <v>6</v>
      </c>
      <c r="AY670" t="s">
        <v>6</v>
      </c>
      <c r="AZ670" t="s">
        <v>6</v>
      </c>
      <c r="BA670" t="s">
        <v>6</v>
      </c>
      <c r="BB670" t="s">
        <v>6</v>
      </c>
      <c r="BC670" t="s">
        <v>6</v>
      </c>
      <c r="BD670" t="s">
        <v>6</v>
      </c>
      <c r="BE670" t="s">
        <v>6</v>
      </c>
      <c r="BF670" t="s">
        <v>6</v>
      </c>
      <c r="BG670" t="s">
        <v>6</v>
      </c>
      <c r="BH670" t="s">
        <v>6</v>
      </c>
      <c r="BI670" t="s">
        <v>6</v>
      </c>
      <c r="BJ670" t="s">
        <v>6</v>
      </c>
      <c r="BN670">
        <v>705.44680000000005</v>
      </c>
      <c r="BO670">
        <v>2406</v>
      </c>
      <c r="BP670">
        <v>0</v>
      </c>
      <c r="BQ670">
        <v>61</v>
      </c>
      <c r="BR670">
        <v>61</v>
      </c>
      <c r="BS670">
        <v>61.39</v>
      </c>
      <c r="BT670">
        <v>0</v>
      </c>
      <c r="BV670">
        <v>6</v>
      </c>
      <c r="BW670" t="s">
        <v>655</v>
      </c>
      <c r="BX670">
        <v>0.27933330000000001</v>
      </c>
      <c r="BY670">
        <v>17.14827</v>
      </c>
      <c r="BZ670">
        <v>0</v>
      </c>
      <c r="CA670">
        <v>1</v>
      </c>
      <c r="CB670">
        <v>0.6</v>
      </c>
      <c r="CC670" s="3">
        <v>7.1269159999999998E-2</v>
      </c>
      <c r="CD670">
        <v>2.875</v>
      </c>
      <c r="CE670">
        <v>2.5</v>
      </c>
      <c r="CF670">
        <v>18</v>
      </c>
      <c r="CG670">
        <v>6</v>
      </c>
      <c r="CH670">
        <v>0</v>
      </c>
      <c r="CI670">
        <v>61.39</v>
      </c>
      <c r="CJ670">
        <v>1132.633</v>
      </c>
    </row>
    <row r="671" spans="1:88">
      <c r="A671">
        <v>670</v>
      </c>
      <c r="B671" t="s">
        <v>0</v>
      </c>
      <c r="C671" t="s">
        <v>1</v>
      </c>
      <c r="D671" t="s">
        <v>242</v>
      </c>
      <c r="E671" t="s">
        <v>438</v>
      </c>
      <c r="F671" t="s">
        <v>362</v>
      </c>
      <c r="G671" t="s">
        <v>106</v>
      </c>
      <c r="H671" t="s">
        <v>537</v>
      </c>
      <c r="J671">
        <v>2</v>
      </c>
      <c r="K671" t="s">
        <v>146</v>
      </c>
      <c r="L671" t="s">
        <v>399</v>
      </c>
      <c r="M671" t="s">
        <v>467</v>
      </c>
      <c r="N671" t="s">
        <v>382</v>
      </c>
      <c r="O671">
        <v>97</v>
      </c>
      <c r="Q671">
        <v>169</v>
      </c>
      <c r="R671">
        <v>40</v>
      </c>
      <c r="S671">
        <v>4.25</v>
      </c>
      <c r="T671">
        <v>2.7040000000000002</v>
      </c>
      <c r="U671">
        <v>5.85</v>
      </c>
      <c r="V671">
        <v>719.22</v>
      </c>
      <c r="W671">
        <v>232</v>
      </c>
      <c r="X671">
        <v>1.3332999999999999</v>
      </c>
      <c r="Y671">
        <v>178</v>
      </c>
      <c r="Z671">
        <v>4.03</v>
      </c>
      <c r="AJ671">
        <v>2</v>
      </c>
      <c r="AK671">
        <v>18</v>
      </c>
      <c r="AM671">
        <v>0</v>
      </c>
      <c r="AO671" t="s">
        <v>606</v>
      </c>
      <c r="AT671">
        <v>39</v>
      </c>
      <c r="AV671">
        <v>21.9</v>
      </c>
      <c r="AW671">
        <v>0</v>
      </c>
      <c r="AX671">
        <v>0</v>
      </c>
      <c r="AY671">
        <v>36.25</v>
      </c>
      <c r="AZ671">
        <v>3</v>
      </c>
      <c r="BA671">
        <v>0</v>
      </c>
      <c r="BB671">
        <v>0</v>
      </c>
      <c r="BC671">
        <v>32</v>
      </c>
      <c r="BN671">
        <v>101.65</v>
      </c>
      <c r="BO671">
        <v>10043</v>
      </c>
      <c r="BP671">
        <v>0</v>
      </c>
      <c r="BQ671">
        <v>33</v>
      </c>
      <c r="BR671">
        <v>33</v>
      </c>
      <c r="BS671">
        <v>32.86</v>
      </c>
      <c r="BT671">
        <v>0</v>
      </c>
      <c r="BV671">
        <v>0</v>
      </c>
      <c r="BW671" t="s">
        <v>655</v>
      </c>
      <c r="BX671">
        <v>0.17</v>
      </c>
      <c r="BY671">
        <v>5.5861999999999998</v>
      </c>
      <c r="BZ671">
        <v>0</v>
      </c>
      <c r="CA671">
        <v>1</v>
      </c>
      <c r="CB671">
        <v>0.6</v>
      </c>
      <c r="CC671" s="3">
        <v>7.1269159999999998E-2</v>
      </c>
      <c r="CD671">
        <v>2.875</v>
      </c>
      <c r="CE671">
        <v>2.5</v>
      </c>
      <c r="CF671">
        <v>18</v>
      </c>
      <c r="CG671">
        <v>6</v>
      </c>
      <c r="CH671">
        <v>0</v>
      </c>
      <c r="CI671">
        <v>32.86</v>
      </c>
      <c r="CJ671">
        <v>141.68520000000001</v>
      </c>
    </row>
    <row r="672" spans="1:88">
      <c r="A672">
        <v>671</v>
      </c>
      <c r="B672" t="s">
        <v>13</v>
      </c>
      <c r="C672" t="s">
        <v>1</v>
      </c>
      <c r="D672" t="s">
        <v>181</v>
      </c>
      <c r="E672" t="s">
        <v>172</v>
      </c>
      <c r="F672" t="s">
        <v>182</v>
      </c>
      <c r="G672" t="s">
        <v>106</v>
      </c>
      <c r="H672" t="s">
        <v>183</v>
      </c>
      <c r="J672">
        <v>2</v>
      </c>
      <c r="K672" t="s">
        <v>108</v>
      </c>
      <c r="L672" t="s">
        <v>233</v>
      </c>
      <c r="M672" t="s">
        <v>490</v>
      </c>
      <c r="N672" t="s">
        <v>128</v>
      </c>
      <c r="O672">
        <v>137</v>
      </c>
      <c r="Q672">
        <v>577</v>
      </c>
      <c r="R672">
        <v>98</v>
      </c>
      <c r="S672">
        <v>4.25</v>
      </c>
      <c r="T672">
        <v>3.734</v>
      </c>
      <c r="U672">
        <v>6.48</v>
      </c>
      <c r="V672">
        <v>2451.44</v>
      </c>
      <c r="W672">
        <v>637</v>
      </c>
      <c r="X672">
        <v>1.3332999999999999</v>
      </c>
      <c r="Y672">
        <v>484</v>
      </c>
      <c r="Z672">
        <v>5.0599999999999996</v>
      </c>
      <c r="AJ672">
        <v>2</v>
      </c>
      <c r="AK672">
        <v>18</v>
      </c>
      <c r="AM672">
        <v>0</v>
      </c>
      <c r="AO672" t="s">
        <v>186</v>
      </c>
      <c r="AT672">
        <v>53</v>
      </c>
      <c r="AV672">
        <v>55.8</v>
      </c>
      <c r="AW672">
        <v>0.46875</v>
      </c>
      <c r="AX672">
        <v>3.75</v>
      </c>
      <c r="AY672">
        <v>52</v>
      </c>
      <c r="AZ672">
        <v>4.75</v>
      </c>
      <c r="BA672">
        <v>389.49</v>
      </c>
      <c r="BB672">
        <v>5.0599999999999996</v>
      </c>
      <c r="BC672">
        <v>56</v>
      </c>
      <c r="BD672">
        <v>0.3125</v>
      </c>
      <c r="BE672">
        <v>2.75</v>
      </c>
      <c r="BF672">
        <v>37.875</v>
      </c>
      <c r="BG672">
        <v>3.125</v>
      </c>
      <c r="BH672">
        <v>94.980009999999993</v>
      </c>
      <c r="BI672">
        <v>6.72</v>
      </c>
      <c r="BJ672">
        <v>20</v>
      </c>
      <c r="BL672">
        <v>484.47</v>
      </c>
      <c r="BM672">
        <v>76</v>
      </c>
      <c r="BN672">
        <v>267.5</v>
      </c>
      <c r="BO672">
        <v>1450</v>
      </c>
      <c r="BP672">
        <v>0</v>
      </c>
      <c r="BQ672">
        <v>47</v>
      </c>
      <c r="BR672">
        <v>47</v>
      </c>
      <c r="BS672">
        <v>46.78</v>
      </c>
      <c r="BT672">
        <v>0</v>
      </c>
      <c r="BV672">
        <v>0</v>
      </c>
      <c r="BW672" t="s">
        <v>655</v>
      </c>
      <c r="BX672">
        <v>0.17</v>
      </c>
      <c r="BY672">
        <v>7.9526000000000003</v>
      </c>
      <c r="BZ672">
        <v>0</v>
      </c>
      <c r="CA672">
        <v>1</v>
      </c>
      <c r="CB672">
        <v>0.6</v>
      </c>
      <c r="CC672" s="3">
        <v>7.1269159999999998E-2</v>
      </c>
      <c r="CD672">
        <v>2.875</v>
      </c>
      <c r="CE672">
        <v>2.5</v>
      </c>
      <c r="CF672">
        <v>18</v>
      </c>
      <c r="CG672">
        <v>6</v>
      </c>
      <c r="CH672">
        <v>0</v>
      </c>
      <c r="CI672">
        <v>46.78</v>
      </c>
      <c r="CJ672">
        <v>513.01480000000004</v>
      </c>
    </row>
    <row r="673" spans="1:88">
      <c r="A673">
        <v>672</v>
      </c>
      <c r="B673" t="s">
        <v>0</v>
      </c>
      <c r="C673" t="s">
        <v>1</v>
      </c>
      <c r="D673" t="s">
        <v>341</v>
      </c>
      <c r="E673" t="s">
        <v>219</v>
      </c>
      <c r="F673" t="s">
        <v>343</v>
      </c>
      <c r="G673" t="s">
        <v>106</v>
      </c>
      <c r="H673" t="s">
        <v>344</v>
      </c>
      <c r="J673">
        <v>2</v>
      </c>
      <c r="K673" t="s">
        <v>146</v>
      </c>
      <c r="L673" t="s">
        <v>369</v>
      </c>
      <c r="M673" t="s">
        <v>220</v>
      </c>
      <c r="N673" t="s">
        <v>221</v>
      </c>
      <c r="O673">
        <v>101</v>
      </c>
      <c r="Q673">
        <v>218</v>
      </c>
      <c r="R673">
        <v>48</v>
      </c>
      <c r="S673">
        <v>4.25</v>
      </c>
      <c r="T673">
        <v>2.8119999999999998</v>
      </c>
      <c r="U673">
        <v>5.92</v>
      </c>
      <c r="V673">
        <v>924.67</v>
      </c>
      <c r="W673">
        <v>286</v>
      </c>
      <c r="X673">
        <v>1.3332999999999999</v>
      </c>
      <c r="Y673">
        <v>223</v>
      </c>
      <c r="Z673">
        <v>4.1399999999999997</v>
      </c>
      <c r="AJ673">
        <v>2</v>
      </c>
      <c r="AK673">
        <v>18</v>
      </c>
      <c r="AM673">
        <v>0</v>
      </c>
      <c r="AO673" t="s">
        <v>347</v>
      </c>
      <c r="AT673">
        <v>40</v>
      </c>
      <c r="AV673">
        <v>27.4</v>
      </c>
      <c r="AW673">
        <v>0</v>
      </c>
      <c r="AX673">
        <v>0</v>
      </c>
      <c r="AY673">
        <v>28.875</v>
      </c>
      <c r="AZ673">
        <v>3.125</v>
      </c>
      <c r="BA673">
        <v>0</v>
      </c>
      <c r="BB673">
        <v>0</v>
      </c>
      <c r="BC673">
        <v>26</v>
      </c>
      <c r="BN673">
        <v>128.4</v>
      </c>
      <c r="BO673">
        <v>6294</v>
      </c>
      <c r="BP673">
        <v>0</v>
      </c>
      <c r="BQ673">
        <v>34</v>
      </c>
      <c r="BR673">
        <v>34</v>
      </c>
      <c r="BS673">
        <v>34.26</v>
      </c>
      <c r="BT673">
        <v>0</v>
      </c>
      <c r="BV673">
        <v>0</v>
      </c>
      <c r="BW673" t="s">
        <v>655</v>
      </c>
      <c r="BX673">
        <v>0.17</v>
      </c>
      <c r="BY673">
        <v>5.8242000000000003</v>
      </c>
      <c r="BZ673">
        <v>0</v>
      </c>
      <c r="CA673">
        <v>1</v>
      </c>
      <c r="CB673">
        <v>0.6</v>
      </c>
      <c r="CC673" s="3">
        <v>7.1269159999999998E-2</v>
      </c>
      <c r="CD673">
        <v>2.875</v>
      </c>
      <c r="CE673">
        <v>2.5</v>
      </c>
      <c r="CF673">
        <v>18</v>
      </c>
      <c r="CG673">
        <v>6</v>
      </c>
      <c r="CH673">
        <v>0</v>
      </c>
      <c r="CI673">
        <v>34.26</v>
      </c>
      <c r="CJ673">
        <v>184.34690000000001</v>
      </c>
    </row>
    <row r="674" spans="1:88">
      <c r="A674">
        <v>673</v>
      </c>
      <c r="B674" t="s">
        <v>0</v>
      </c>
      <c r="C674" t="s">
        <v>1</v>
      </c>
      <c r="D674" t="s">
        <v>425</v>
      </c>
      <c r="E674" t="s">
        <v>267</v>
      </c>
      <c r="F674" t="s">
        <v>290</v>
      </c>
      <c r="G674" t="s">
        <v>15</v>
      </c>
      <c r="H674" t="s">
        <v>426</v>
      </c>
      <c r="J674">
        <v>2</v>
      </c>
      <c r="K674" t="s">
        <v>108</v>
      </c>
      <c r="L674" t="s">
        <v>113</v>
      </c>
      <c r="M674" t="s">
        <v>232</v>
      </c>
      <c r="N674" t="s">
        <v>258</v>
      </c>
      <c r="O674">
        <v>159</v>
      </c>
      <c r="Q674">
        <v>891</v>
      </c>
      <c r="R674">
        <v>131</v>
      </c>
      <c r="S674">
        <v>4.25</v>
      </c>
      <c r="T674">
        <v>4.26</v>
      </c>
      <c r="U674">
        <v>6.75</v>
      </c>
      <c r="V674">
        <v>3787.09</v>
      </c>
      <c r="W674">
        <v>885</v>
      </c>
      <c r="X674">
        <v>1.3332999999999999</v>
      </c>
      <c r="Y674">
        <v>677</v>
      </c>
      <c r="Z674">
        <v>5.59</v>
      </c>
      <c r="AJ674">
        <v>2</v>
      </c>
      <c r="AK674">
        <v>18</v>
      </c>
      <c r="AM674">
        <v>0</v>
      </c>
      <c r="AO674" t="s">
        <v>427</v>
      </c>
      <c r="AT674">
        <v>61</v>
      </c>
      <c r="AV674">
        <v>75.400000000000006</v>
      </c>
      <c r="AW674" t="s">
        <v>6</v>
      </c>
      <c r="AX674" t="s">
        <v>6</v>
      </c>
      <c r="AY674" t="s">
        <v>6</v>
      </c>
      <c r="AZ674" t="s">
        <v>6</v>
      </c>
      <c r="BA674" t="s">
        <v>6</v>
      </c>
      <c r="BB674" t="s">
        <v>6</v>
      </c>
      <c r="BC674" t="s">
        <v>6</v>
      </c>
      <c r="BD674" t="s">
        <v>6</v>
      </c>
      <c r="BE674" t="s">
        <v>6</v>
      </c>
      <c r="BF674" t="s">
        <v>6</v>
      </c>
      <c r="BG674" t="s">
        <v>6</v>
      </c>
      <c r="BH674" t="s">
        <v>6</v>
      </c>
      <c r="BI674" t="s">
        <v>6</v>
      </c>
      <c r="BJ674" t="s">
        <v>6</v>
      </c>
      <c r="BN674">
        <v>644.04330000000004</v>
      </c>
      <c r="BO674">
        <v>2637</v>
      </c>
      <c r="BP674">
        <v>0</v>
      </c>
      <c r="BQ674">
        <v>54</v>
      </c>
      <c r="BR674">
        <v>54</v>
      </c>
      <c r="BS674">
        <v>54.43</v>
      </c>
      <c r="BT674">
        <v>0</v>
      </c>
      <c r="BV674">
        <v>0</v>
      </c>
      <c r="BW674" t="s">
        <v>655</v>
      </c>
      <c r="BX674">
        <v>0.17</v>
      </c>
      <c r="BY674">
        <v>9.2531009999999991</v>
      </c>
      <c r="BZ674">
        <v>0</v>
      </c>
      <c r="CA674">
        <v>1</v>
      </c>
      <c r="CB674">
        <v>0.6</v>
      </c>
      <c r="CC674" s="3">
        <v>7.1269159999999998E-2</v>
      </c>
      <c r="CD674">
        <v>2.875</v>
      </c>
      <c r="CE674">
        <v>2.5</v>
      </c>
      <c r="CF674">
        <v>18</v>
      </c>
      <c r="CG674">
        <v>6</v>
      </c>
      <c r="CH674">
        <v>0</v>
      </c>
      <c r="CI674">
        <v>54.43</v>
      </c>
      <c r="CJ674">
        <v>806.38459999999998</v>
      </c>
    </row>
    <row r="675" spans="1:88">
      <c r="A675">
        <v>674</v>
      </c>
      <c r="B675" t="s">
        <v>0</v>
      </c>
      <c r="C675" t="s">
        <v>1</v>
      </c>
      <c r="D675" t="s">
        <v>278</v>
      </c>
      <c r="E675" t="s">
        <v>178</v>
      </c>
      <c r="F675" t="s">
        <v>239</v>
      </c>
      <c r="G675" t="s">
        <v>214</v>
      </c>
      <c r="H675" t="s">
        <v>458</v>
      </c>
      <c r="J675">
        <v>2</v>
      </c>
      <c r="K675" t="s">
        <v>108</v>
      </c>
      <c r="L675" t="s">
        <v>127</v>
      </c>
      <c r="M675" t="s">
        <v>179</v>
      </c>
      <c r="N675" t="s">
        <v>180</v>
      </c>
      <c r="O675">
        <v>95</v>
      </c>
      <c r="Q675">
        <v>536</v>
      </c>
      <c r="R675">
        <v>126</v>
      </c>
      <c r="S675">
        <v>4.25</v>
      </c>
      <c r="T675">
        <v>2.649</v>
      </c>
      <c r="U675">
        <v>5.81</v>
      </c>
      <c r="V675">
        <v>2279.14</v>
      </c>
      <c r="W675">
        <v>733</v>
      </c>
      <c r="X675">
        <v>1.3332999999999999</v>
      </c>
      <c r="Y675">
        <v>573</v>
      </c>
      <c r="Z675">
        <v>3.98</v>
      </c>
      <c r="AJ675">
        <v>2</v>
      </c>
      <c r="AK675">
        <v>18</v>
      </c>
      <c r="AM675">
        <v>0</v>
      </c>
      <c r="AO675" t="s">
        <v>401</v>
      </c>
      <c r="AT675">
        <v>38</v>
      </c>
      <c r="AV675">
        <v>72.5</v>
      </c>
      <c r="AW675">
        <v>0.46875</v>
      </c>
      <c r="AX675">
        <v>3.75</v>
      </c>
      <c r="AY675">
        <v>41</v>
      </c>
      <c r="AZ675">
        <v>3.75</v>
      </c>
      <c r="BA675">
        <v>495.18</v>
      </c>
      <c r="BB675">
        <v>3.98</v>
      </c>
      <c r="BC675">
        <v>44</v>
      </c>
      <c r="BD675">
        <v>0.25</v>
      </c>
      <c r="BE675">
        <v>2.75</v>
      </c>
      <c r="BF675">
        <v>14.875</v>
      </c>
      <c r="BG675">
        <v>2</v>
      </c>
      <c r="BH675">
        <v>77.459999999999994</v>
      </c>
      <c r="BI675">
        <v>4.42</v>
      </c>
      <c r="BJ675">
        <v>6</v>
      </c>
      <c r="BL675">
        <v>572.64</v>
      </c>
      <c r="BM675">
        <v>50</v>
      </c>
      <c r="BN675">
        <v>352.47329999999999</v>
      </c>
      <c r="BO675">
        <v>1048</v>
      </c>
      <c r="BP675">
        <v>0</v>
      </c>
      <c r="BQ675">
        <v>32</v>
      </c>
      <c r="BR675">
        <v>32</v>
      </c>
      <c r="BS675">
        <v>32.17</v>
      </c>
      <c r="BT675">
        <v>0</v>
      </c>
      <c r="BV675">
        <v>0</v>
      </c>
      <c r="BW675" t="s">
        <v>655</v>
      </c>
      <c r="BX675">
        <v>0.17</v>
      </c>
      <c r="BY675">
        <v>5.4688999999999997</v>
      </c>
      <c r="BZ675">
        <v>0</v>
      </c>
      <c r="CA675">
        <v>1</v>
      </c>
      <c r="CB675">
        <v>0.6</v>
      </c>
      <c r="CC675" s="3">
        <v>7.1269159999999998E-2</v>
      </c>
      <c r="CD675">
        <v>2.875</v>
      </c>
      <c r="CE675">
        <v>2.5</v>
      </c>
      <c r="CF675">
        <v>18</v>
      </c>
      <c r="CG675">
        <v>6</v>
      </c>
      <c r="CH675">
        <v>0</v>
      </c>
      <c r="CI675">
        <v>32.17</v>
      </c>
      <c r="CJ675">
        <v>458.25909999999999</v>
      </c>
    </row>
    <row r="676" spans="1:88">
      <c r="A676">
        <v>675</v>
      </c>
      <c r="B676" t="s">
        <v>0</v>
      </c>
      <c r="C676" t="s">
        <v>1</v>
      </c>
      <c r="D676" t="s">
        <v>167</v>
      </c>
      <c r="E676" t="s">
        <v>96</v>
      </c>
      <c r="F676" t="s">
        <v>403</v>
      </c>
      <c r="G676" t="s">
        <v>106</v>
      </c>
      <c r="H676" t="s">
        <v>235</v>
      </c>
      <c r="J676">
        <v>2</v>
      </c>
      <c r="K676" t="s">
        <v>146</v>
      </c>
      <c r="L676" t="s">
        <v>293</v>
      </c>
      <c r="M676" t="s">
        <v>100</v>
      </c>
      <c r="N676" t="s">
        <v>101</v>
      </c>
      <c r="O676">
        <v>131</v>
      </c>
      <c r="Q676">
        <v>453</v>
      </c>
      <c r="R676">
        <v>82</v>
      </c>
      <c r="S676">
        <v>4.25</v>
      </c>
      <c r="T676">
        <v>3.5859999999999999</v>
      </c>
      <c r="U676">
        <v>6.37</v>
      </c>
      <c r="V676">
        <v>1924.65</v>
      </c>
      <c r="W676">
        <v>522</v>
      </c>
      <c r="X676">
        <v>1.3332999999999999</v>
      </c>
      <c r="Y676">
        <v>392</v>
      </c>
      <c r="Z676">
        <v>4.91</v>
      </c>
      <c r="AJ676">
        <v>2</v>
      </c>
      <c r="AK676">
        <v>18</v>
      </c>
      <c r="AM676">
        <v>0</v>
      </c>
      <c r="AO676" t="s">
        <v>198</v>
      </c>
      <c r="AT676">
        <v>51</v>
      </c>
      <c r="AV676">
        <v>45.5</v>
      </c>
      <c r="AW676">
        <v>0</v>
      </c>
      <c r="AX676">
        <v>0</v>
      </c>
      <c r="AY676">
        <v>51.75</v>
      </c>
      <c r="AZ676">
        <v>4.625</v>
      </c>
      <c r="BA676">
        <v>0</v>
      </c>
      <c r="BB676">
        <v>0</v>
      </c>
      <c r="BC676">
        <v>56</v>
      </c>
      <c r="BN676">
        <v>217.5667</v>
      </c>
      <c r="BO676">
        <v>2192</v>
      </c>
      <c r="BP676">
        <v>0</v>
      </c>
      <c r="BQ676">
        <v>45</v>
      </c>
      <c r="BR676">
        <v>45</v>
      </c>
      <c r="BS676">
        <v>44.69</v>
      </c>
      <c r="BT676">
        <v>0</v>
      </c>
      <c r="BV676">
        <v>0</v>
      </c>
      <c r="BW676" t="s">
        <v>655</v>
      </c>
      <c r="BX676">
        <v>0.17</v>
      </c>
      <c r="BY676">
        <v>7.5972999999999997</v>
      </c>
      <c r="BZ676">
        <v>0</v>
      </c>
      <c r="CA676">
        <v>1</v>
      </c>
      <c r="CB676">
        <v>0.6</v>
      </c>
      <c r="CC676" s="3">
        <v>7.1269159999999998E-2</v>
      </c>
      <c r="CD676">
        <v>2.875</v>
      </c>
      <c r="CE676">
        <v>2.5</v>
      </c>
      <c r="CF676">
        <v>18</v>
      </c>
      <c r="CG676">
        <v>6</v>
      </c>
      <c r="CH676">
        <v>0</v>
      </c>
      <c r="CI676">
        <v>44.69</v>
      </c>
      <c r="CJ676">
        <v>399.71980000000002</v>
      </c>
    </row>
    <row r="677" spans="1:88">
      <c r="A677">
        <v>676</v>
      </c>
      <c r="B677" t="s">
        <v>13</v>
      </c>
      <c r="C677" t="s">
        <v>1</v>
      </c>
      <c r="D677" t="s">
        <v>368</v>
      </c>
      <c r="E677" t="s">
        <v>178</v>
      </c>
      <c r="F677" t="s">
        <v>579</v>
      </c>
      <c r="G677" t="s">
        <v>106</v>
      </c>
      <c r="H677" t="s">
        <v>580</v>
      </c>
      <c r="J677">
        <v>2</v>
      </c>
      <c r="K677" t="s">
        <v>146</v>
      </c>
      <c r="L677" t="s">
        <v>127</v>
      </c>
      <c r="M677" t="s">
        <v>179</v>
      </c>
      <c r="N677" t="s">
        <v>180</v>
      </c>
      <c r="O677">
        <v>95</v>
      </c>
      <c r="Q677">
        <v>124</v>
      </c>
      <c r="R677">
        <v>31</v>
      </c>
      <c r="S677">
        <v>4.25</v>
      </c>
      <c r="T677">
        <v>2.649</v>
      </c>
      <c r="U677">
        <v>5.81</v>
      </c>
      <c r="V677">
        <v>525.46</v>
      </c>
      <c r="W677">
        <v>177</v>
      </c>
      <c r="X677">
        <v>1.3332999999999999</v>
      </c>
      <c r="Y677">
        <v>132</v>
      </c>
      <c r="Z677">
        <v>3.98</v>
      </c>
      <c r="AJ677">
        <v>2</v>
      </c>
      <c r="AK677">
        <v>18</v>
      </c>
      <c r="AM677">
        <v>0</v>
      </c>
      <c r="AO677" t="s">
        <v>581</v>
      </c>
      <c r="AT677">
        <v>38</v>
      </c>
      <c r="AV677">
        <v>16.100000000000001</v>
      </c>
      <c r="AW677">
        <v>0</v>
      </c>
      <c r="AX677">
        <v>0</v>
      </c>
      <c r="AY677">
        <v>19.375</v>
      </c>
      <c r="AZ677">
        <v>2.5</v>
      </c>
      <c r="BA677">
        <v>0</v>
      </c>
      <c r="BB677">
        <v>0</v>
      </c>
      <c r="BC677">
        <v>14</v>
      </c>
      <c r="BN677">
        <v>73.116680000000002</v>
      </c>
      <c r="BO677">
        <v>19410</v>
      </c>
      <c r="BP677">
        <v>0</v>
      </c>
      <c r="BQ677">
        <v>32</v>
      </c>
      <c r="BR677">
        <v>32</v>
      </c>
      <c r="BS677">
        <v>32.17</v>
      </c>
      <c r="BT677">
        <v>0</v>
      </c>
      <c r="BV677">
        <v>0</v>
      </c>
      <c r="BW677" t="s">
        <v>655</v>
      </c>
      <c r="BX677">
        <v>0.17</v>
      </c>
      <c r="BY677">
        <v>5.4688999999999997</v>
      </c>
      <c r="BZ677">
        <v>0</v>
      </c>
      <c r="CA677">
        <v>1</v>
      </c>
      <c r="CB677">
        <v>0.6</v>
      </c>
      <c r="CC677" s="3">
        <v>7.1269159999999998E-2</v>
      </c>
      <c r="CD677">
        <v>2.875</v>
      </c>
      <c r="CE677">
        <v>2.5</v>
      </c>
      <c r="CF677">
        <v>18</v>
      </c>
      <c r="CG677">
        <v>6</v>
      </c>
      <c r="CH677">
        <v>0</v>
      </c>
      <c r="CI677">
        <v>32.17</v>
      </c>
      <c r="CJ677">
        <v>102.0264</v>
      </c>
    </row>
    <row r="678" spans="1:88">
      <c r="A678">
        <v>677</v>
      </c>
      <c r="B678" t="s">
        <v>13</v>
      </c>
      <c r="C678" t="s">
        <v>1</v>
      </c>
      <c r="D678" t="s">
        <v>143</v>
      </c>
      <c r="E678" t="s">
        <v>103</v>
      </c>
      <c r="F678" t="s">
        <v>144</v>
      </c>
      <c r="G678" t="s">
        <v>106</v>
      </c>
      <c r="H678" t="s">
        <v>145</v>
      </c>
      <c r="J678">
        <v>2</v>
      </c>
      <c r="K678" t="s">
        <v>146</v>
      </c>
      <c r="L678" t="s">
        <v>455</v>
      </c>
      <c r="M678" t="s">
        <v>315</v>
      </c>
      <c r="N678" t="s">
        <v>316</v>
      </c>
      <c r="O678">
        <v>167</v>
      </c>
      <c r="Q678">
        <v>665</v>
      </c>
      <c r="R678">
        <v>95</v>
      </c>
      <c r="S678">
        <v>4.25</v>
      </c>
      <c r="T678">
        <v>4.4459999999999997</v>
      </c>
      <c r="U678">
        <v>6.86</v>
      </c>
      <c r="V678">
        <v>2824.8</v>
      </c>
      <c r="W678">
        <v>649</v>
      </c>
      <c r="X678">
        <v>1.3332999999999999</v>
      </c>
      <c r="Y678">
        <v>490</v>
      </c>
      <c r="Z678">
        <v>5.77</v>
      </c>
      <c r="AJ678">
        <v>2</v>
      </c>
      <c r="AK678">
        <v>18</v>
      </c>
      <c r="AM678">
        <v>0</v>
      </c>
      <c r="AO678" t="s">
        <v>149</v>
      </c>
      <c r="AT678">
        <v>63</v>
      </c>
      <c r="AV678">
        <v>53.5</v>
      </c>
      <c r="AW678">
        <v>0.4375</v>
      </c>
      <c r="AX678">
        <v>3.75</v>
      </c>
      <c r="AY678">
        <v>52.875</v>
      </c>
      <c r="AZ678">
        <v>5</v>
      </c>
      <c r="BA678">
        <v>269.25</v>
      </c>
      <c r="BB678">
        <v>6.11</v>
      </c>
      <c r="BC678">
        <v>53</v>
      </c>
      <c r="BD678">
        <v>0.40625</v>
      </c>
      <c r="BE678">
        <v>3.75</v>
      </c>
      <c r="BF678">
        <v>44.125</v>
      </c>
      <c r="BG678">
        <v>4.625</v>
      </c>
      <c r="BH678">
        <v>220.31</v>
      </c>
      <c r="BI678">
        <v>6.01</v>
      </c>
      <c r="BJ678">
        <v>42</v>
      </c>
      <c r="BL678">
        <v>489.56</v>
      </c>
      <c r="BM678">
        <v>95</v>
      </c>
      <c r="BN678">
        <v>256.80009999999999</v>
      </c>
      <c r="BO678">
        <v>1574</v>
      </c>
      <c r="BP678">
        <v>0</v>
      </c>
      <c r="BQ678">
        <v>57</v>
      </c>
      <c r="BR678">
        <v>57</v>
      </c>
      <c r="BS678">
        <v>57.21</v>
      </c>
      <c r="BT678">
        <v>0</v>
      </c>
      <c r="BV678">
        <v>0</v>
      </c>
      <c r="BW678" t="s">
        <v>655</v>
      </c>
      <c r="BX678">
        <v>0.17</v>
      </c>
      <c r="BY678">
        <v>9.7257010000000008</v>
      </c>
      <c r="BZ678">
        <v>0</v>
      </c>
      <c r="CA678">
        <v>1</v>
      </c>
      <c r="CB678">
        <v>0.6</v>
      </c>
      <c r="CC678" s="3">
        <v>7.1269159999999998E-2</v>
      </c>
      <c r="CD678">
        <v>2.875</v>
      </c>
      <c r="CE678">
        <v>2.5</v>
      </c>
      <c r="CF678">
        <v>18</v>
      </c>
      <c r="CG678">
        <v>6</v>
      </c>
      <c r="CH678">
        <v>0</v>
      </c>
      <c r="CI678">
        <v>57.21</v>
      </c>
      <c r="CJ678">
        <v>601.40300000000002</v>
      </c>
    </row>
    <row r="679" spans="1:88">
      <c r="A679">
        <v>678</v>
      </c>
      <c r="B679" t="s">
        <v>0</v>
      </c>
      <c r="C679" t="s">
        <v>1</v>
      </c>
      <c r="D679" t="s">
        <v>203</v>
      </c>
      <c r="E679" t="s">
        <v>139</v>
      </c>
      <c r="F679" t="s">
        <v>250</v>
      </c>
      <c r="G679" t="s">
        <v>214</v>
      </c>
      <c r="H679" t="s">
        <v>538</v>
      </c>
      <c r="J679">
        <v>2</v>
      </c>
      <c r="K679" t="s">
        <v>108</v>
      </c>
      <c r="L679" t="s">
        <v>158</v>
      </c>
      <c r="M679" t="s">
        <v>385</v>
      </c>
      <c r="N679" t="s">
        <v>177</v>
      </c>
      <c r="O679">
        <v>109</v>
      </c>
      <c r="Q679">
        <v>588</v>
      </c>
      <c r="R679">
        <v>122</v>
      </c>
      <c r="S679">
        <v>4.25</v>
      </c>
      <c r="T679">
        <v>3.024</v>
      </c>
      <c r="U679">
        <v>6.11</v>
      </c>
      <c r="V679">
        <v>2500.91</v>
      </c>
      <c r="W679">
        <v>748</v>
      </c>
      <c r="X679">
        <v>1.3332999999999999</v>
      </c>
      <c r="Y679">
        <v>575</v>
      </c>
      <c r="Z679">
        <v>4.3499999999999996</v>
      </c>
      <c r="AJ679">
        <v>2</v>
      </c>
      <c r="AK679">
        <v>18</v>
      </c>
      <c r="AM679">
        <v>0</v>
      </c>
      <c r="AO679" t="s">
        <v>539</v>
      </c>
      <c r="AT679">
        <v>43</v>
      </c>
      <c r="AV679">
        <v>70.3</v>
      </c>
      <c r="AW679">
        <v>0.46875</v>
      </c>
      <c r="AX679">
        <v>3.75</v>
      </c>
      <c r="AY679">
        <v>44.75</v>
      </c>
      <c r="AZ679">
        <v>4.125</v>
      </c>
      <c r="BA679">
        <v>453.06</v>
      </c>
      <c r="BB679">
        <v>4.3499999999999996</v>
      </c>
      <c r="BC679">
        <v>48</v>
      </c>
      <c r="BD679">
        <v>0.3125</v>
      </c>
      <c r="BE679">
        <v>2.75</v>
      </c>
      <c r="BF679">
        <v>29.5</v>
      </c>
      <c r="BG679">
        <v>2.75</v>
      </c>
      <c r="BH679">
        <v>121.85</v>
      </c>
      <c r="BI679">
        <v>5.24</v>
      </c>
      <c r="BJ679">
        <v>16</v>
      </c>
      <c r="BL679">
        <v>574.91</v>
      </c>
      <c r="BM679">
        <v>63</v>
      </c>
      <c r="BN679">
        <v>341.68329999999997</v>
      </c>
      <c r="BO679">
        <v>1115</v>
      </c>
      <c r="BP679">
        <v>0</v>
      </c>
      <c r="BQ679">
        <v>37</v>
      </c>
      <c r="BR679">
        <v>37</v>
      </c>
      <c r="BS679">
        <v>37.04</v>
      </c>
      <c r="BT679">
        <v>0</v>
      </c>
      <c r="BV679">
        <v>0</v>
      </c>
      <c r="BW679" t="s">
        <v>655</v>
      </c>
      <c r="BX679">
        <v>0.17</v>
      </c>
      <c r="BY679">
        <v>6.2968000000000002</v>
      </c>
      <c r="BZ679">
        <v>0</v>
      </c>
      <c r="CA679">
        <v>1</v>
      </c>
      <c r="CB679">
        <v>0.6</v>
      </c>
      <c r="CC679" s="3">
        <v>7.1269159999999998E-2</v>
      </c>
      <c r="CD679">
        <v>2.875</v>
      </c>
      <c r="CE679">
        <v>2.5</v>
      </c>
      <c r="CF679">
        <v>18</v>
      </c>
      <c r="CG679">
        <v>6</v>
      </c>
      <c r="CH679">
        <v>0</v>
      </c>
      <c r="CI679">
        <v>37.04</v>
      </c>
      <c r="CJ679">
        <v>511.79309999999998</v>
      </c>
    </row>
    <row r="680" spans="1:88">
      <c r="A680">
        <v>679</v>
      </c>
      <c r="B680" t="s">
        <v>0</v>
      </c>
      <c r="C680" t="s">
        <v>1</v>
      </c>
      <c r="D680" t="s">
        <v>113</v>
      </c>
      <c r="E680" t="s">
        <v>143</v>
      </c>
      <c r="F680" t="s">
        <v>262</v>
      </c>
      <c r="G680" t="s">
        <v>106</v>
      </c>
      <c r="H680" t="s">
        <v>263</v>
      </c>
      <c r="J680">
        <v>2</v>
      </c>
      <c r="K680" t="s">
        <v>108</v>
      </c>
      <c r="L680" t="s">
        <v>297</v>
      </c>
      <c r="M680" t="s">
        <v>206</v>
      </c>
      <c r="N680" t="s">
        <v>131</v>
      </c>
      <c r="O680">
        <v>155</v>
      </c>
      <c r="Q680">
        <v>721</v>
      </c>
      <c r="R680">
        <v>109</v>
      </c>
      <c r="S680">
        <v>4.25</v>
      </c>
      <c r="T680">
        <v>4.1660000000000004</v>
      </c>
      <c r="U680">
        <v>6.78</v>
      </c>
      <c r="V680">
        <v>3064.67</v>
      </c>
      <c r="W680">
        <v>736</v>
      </c>
      <c r="X680">
        <v>1.3332999999999999</v>
      </c>
      <c r="Y680">
        <v>558</v>
      </c>
      <c r="Z680">
        <v>5.49</v>
      </c>
      <c r="AJ680">
        <v>2</v>
      </c>
      <c r="AK680">
        <v>18</v>
      </c>
      <c r="AM680">
        <v>0</v>
      </c>
      <c r="AO680" t="s">
        <v>266</v>
      </c>
      <c r="AT680">
        <v>59</v>
      </c>
      <c r="AV680">
        <v>62.3</v>
      </c>
      <c r="AW680" t="s">
        <v>6</v>
      </c>
      <c r="AX680" t="s">
        <v>6</v>
      </c>
      <c r="AY680" t="s">
        <v>6</v>
      </c>
      <c r="AZ680" t="s">
        <v>6</v>
      </c>
      <c r="BA680" t="s">
        <v>6</v>
      </c>
      <c r="BB680" t="s">
        <v>6</v>
      </c>
      <c r="BC680" t="s">
        <v>6</v>
      </c>
      <c r="BD680" t="s">
        <v>6</v>
      </c>
      <c r="BE680" t="s">
        <v>6</v>
      </c>
      <c r="BF680" t="s">
        <v>6</v>
      </c>
      <c r="BG680" t="s">
        <v>6</v>
      </c>
      <c r="BH680" t="s">
        <v>6</v>
      </c>
      <c r="BI680" t="s">
        <v>6</v>
      </c>
      <c r="BJ680" t="s">
        <v>6</v>
      </c>
      <c r="BN680">
        <v>299.60000000000002</v>
      </c>
      <c r="BO680">
        <v>1156</v>
      </c>
      <c r="BP680">
        <v>0</v>
      </c>
      <c r="BQ680">
        <v>53</v>
      </c>
      <c r="BR680">
        <v>53</v>
      </c>
      <c r="BS680">
        <v>53.04</v>
      </c>
      <c r="BT680">
        <v>0</v>
      </c>
      <c r="BV680">
        <v>0</v>
      </c>
      <c r="BW680" t="s">
        <v>655</v>
      </c>
      <c r="BX680">
        <v>0.17</v>
      </c>
      <c r="BY680">
        <v>9.0167999999999999</v>
      </c>
      <c r="BZ680">
        <v>0</v>
      </c>
      <c r="CA680">
        <v>1</v>
      </c>
      <c r="CB680">
        <v>0.6</v>
      </c>
      <c r="CC680" s="3">
        <v>7.1269159999999998E-2</v>
      </c>
      <c r="CD680">
        <v>2.875</v>
      </c>
      <c r="CE680">
        <v>2.5</v>
      </c>
      <c r="CF680">
        <v>18</v>
      </c>
      <c r="CG680">
        <v>6</v>
      </c>
      <c r="CH680">
        <v>0</v>
      </c>
      <c r="CI680">
        <v>53.04</v>
      </c>
      <c r="CJ680">
        <v>649.70740000000001</v>
      </c>
    </row>
    <row r="681" spans="1:88">
      <c r="A681">
        <v>680</v>
      </c>
      <c r="B681" t="s">
        <v>0</v>
      </c>
      <c r="C681" t="s">
        <v>1</v>
      </c>
      <c r="D681" t="s">
        <v>12</v>
      </c>
      <c r="E681" t="s">
        <v>8</v>
      </c>
      <c r="F681" t="s">
        <v>387</v>
      </c>
      <c r="G681" t="s">
        <v>15</v>
      </c>
      <c r="H681" t="s">
        <v>388</v>
      </c>
      <c r="J681">
        <v>2</v>
      </c>
      <c r="K681" t="s">
        <v>108</v>
      </c>
      <c r="L681" t="s">
        <v>10</v>
      </c>
      <c r="M681" t="s">
        <v>11</v>
      </c>
      <c r="N681" t="s">
        <v>12</v>
      </c>
      <c r="O681">
        <v>203</v>
      </c>
      <c r="Q681">
        <v>1072</v>
      </c>
      <c r="R681">
        <v>137</v>
      </c>
      <c r="S681">
        <v>4.25</v>
      </c>
      <c r="T681">
        <v>5.2460000000000004</v>
      </c>
      <c r="U681">
        <v>7.35</v>
      </c>
      <c r="V681">
        <v>4557.5200000000004</v>
      </c>
      <c r="W681">
        <v>1006</v>
      </c>
      <c r="X681">
        <v>1.5</v>
      </c>
      <c r="Y681">
        <v>676</v>
      </c>
      <c r="Z681">
        <v>6.74</v>
      </c>
      <c r="AJ681">
        <v>2</v>
      </c>
      <c r="AK681">
        <v>18</v>
      </c>
      <c r="AM681">
        <v>0</v>
      </c>
      <c r="AO681" t="s">
        <v>389</v>
      </c>
      <c r="AT681">
        <v>76</v>
      </c>
      <c r="AV681">
        <v>72.099999999999994</v>
      </c>
      <c r="AW681" t="s">
        <v>6</v>
      </c>
      <c r="AX681" t="s">
        <v>6</v>
      </c>
      <c r="AY681" t="s">
        <v>6</v>
      </c>
      <c r="AZ681" t="s">
        <v>6</v>
      </c>
      <c r="BA681" t="s">
        <v>6</v>
      </c>
      <c r="BB681" t="s">
        <v>6</v>
      </c>
      <c r="BC681" t="s">
        <v>6</v>
      </c>
      <c r="BD681" t="s">
        <v>6</v>
      </c>
      <c r="BE681" t="s">
        <v>6</v>
      </c>
      <c r="BF681" t="s">
        <v>6</v>
      </c>
      <c r="BG681" t="s">
        <v>6</v>
      </c>
      <c r="BH681" t="s">
        <v>6</v>
      </c>
      <c r="BI681" t="s">
        <v>6</v>
      </c>
      <c r="BJ681" t="s">
        <v>6</v>
      </c>
      <c r="BN681">
        <v>615.62959999999998</v>
      </c>
      <c r="BO681">
        <v>2886</v>
      </c>
      <c r="BP681">
        <v>0</v>
      </c>
      <c r="BQ681">
        <v>70</v>
      </c>
      <c r="BR681">
        <v>70</v>
      </c>
      <c r="BS681">
        <v>69.730009999999993</v>
      </c>
      <c r="BT681">
        <v>0</v>
      </c>
      <c r="BV681">
        <v>0</v>
      </c>
      <c r="BW681" t="s">
        <v>655</v>
      </c>
      <c r="BX681">
        <v>0.17</v>
      </c>
      <c r="BY681">
        <v>11.854100000000001</v>
      </c>
      <c r="BZ681">
        <v>0</v>
      </c>
      <c r="CA681">
        <v>1</v>
      </c>
      <c r="CB681">
        <v>0.6</v>
      </c>
      <c r="CC681" s="3">
        <v>7.1269159999999998E-2</v>
      </c>
      <c r="CD681">
        <v>2.875</v>
      </c>
      <c r="CE681">
        <v>2.5</v>
      </c>
      <c r="CF681">
        <v>18</v>
      </c>
      <c r="CG681">
        <v>6</v>
      </c>
      <c r="CH681">
        <v>0</v>
      </c>
      <c r="CI681">
        <v>69.730009999999993</v>
      </c>
      <c r="CJ681">
        <v>988.32889999999998</v>
      </c>
    </row>
    <row r="682" spans="1:88">
      <c r="A682">
        <v>681</v>
      </c>
      <c r="B682" t="s">
        <v>0</v>
      </c>
      <c r="C682" t="s">
        <v>1</v>
      </c>
      <c r="D682" t="s">
        <v>267</v>
      </c>
      <c r="E682" t="s">
        <v>233</v>
      </c>
      <c r="F682" t="s">
        <v>269</v>
      </c>
      <c r="G682" t="s">
        <v>106</v>
      </c>
      <c r="H682" t="s">
        <v>131</v>
      </c>
      <c r="J682">
        <v>2</v>
      </c>
      <c r="K682" t="s">
        <v>146</v>
      </c>
      <c r="L682" t="s">
        <v>251</v>
      </c>
      <c r="M682" t="s">
        <v>236</v>
      </c>
      <c r="N682" t="s">
        <v>272</v>
      </c>
      <c r="O682">
        <v>157</v>
      </c>
      <c r="Q682">
        <v>644</v>
      </c>
      <c r="R682">
        <v>97</v>
      </c>
      <c r="S682">
        <v>4.25</v>
      </c>
      <c r="T682">
        <v>4.2130000000000001</v>
      </c>
      <c r="U682">
        <v>6.82</v>
      </c>
      <c r="V682">
        <v>2738.1</v>
      </c>
      <c r="W682">
        <v>661</v>
      </c>
      <c r="X682">
        <v>1.3332999999999999</v>
      </c>
      <c r="Y682">
        <v>494</v>
      </c>
      <c r="Z682">
        <v>5.54</v>
      </c>
      <c r="AJ682">
        <v>2</v>
      </c>
      <c r="AK682">
        <v>18</v>
      </c>
      <c r="AM682">
        <v>0</v>
      </c>
      <c r="AO682" t="s">
        <v>271</v>
      </c>
      <c r="AT682">
        <v>60</v>
      </c>
      <c r="AV682">
        <v>54.9</v>
      </c>
      <c r="AW682" t="s">
        <v>6</v>
      </c>
      <c r="AX682" t="s">
        <v>6</v>
      </c>
      <c r="AY682" t="s">
        <v>6</v>
      </c>
      <c r="AZ682" t="s">
        <v>6</v>
      </c>
      <c r="BA682" t="s">
        <v>6</v>
      </c>
      <c r="BB682" t="s">
        <v>6</v>
      </c>
      <c r="BC682" t="s">
        <v>6</v>
      </c>
      <c r="BD682" t="s">
        <v>6</v>
      </c>
      <c r="BE682" t="s">
        <v>6</v>
      </c>
      <c r="BF682" t="s">
        <v>6</v>
      </c>
      <c r="BG682" t="s">
        <v>6</v>
      </c>
      <c r="BH682" t="s">
        <v>6</v>
      </c>
      <c r="BI682" t="s">
        <v>6</v>
      </c>
      <c r="BJ682" t="s">
        <v>6</v>
      </c>
      <c r="BN682">
        <v>263.93340000000001</v>
      </c>
      <c r="BO682">
        <v>1490</v>
      </c>
      <c r="BP682">
        <v>0</v>
      </c>
      <c r="BQ682">
        <v>54</v>
      </c>
      <c r="BR682">
        <v>54</v>
      </c>
      <c r="BS682">
        <v>53.73</v>
      </c>
      <c r="BT682">
        <v>0</v>
      </c>
      <c r="BV682">
        <v>0</v>
      </c>
      <c r="BW682" t="s">
        <v>655</v>
      </c>
      <c r="BX682">
        <v>0.17</v>
      </c>
      <c r="BY682">
        <v>9.1341000000000001</v>
      </c>
      <c r="BZ682">
        <v>0</v>
      </c>
      <c r="CA682">
        <v>1</v>
      </c>
      <c r="CB682">
        <v>0.6</v>
      </c>
      <c r="CC682" s="3">
        <v>7.1269159999999998E-2</v>
      </c>
      <c r="CD682">
        <v>2.875</v>
      </c>
      <c r="CE682">
        <v>2.5</v>
      </c>
      <c r="CF682">
        <v>18</v>
      </c>
      <c r="CG682">
        <v>6</v>
      </c>
      <c r="CH682">
        <v>0</v>
      </c>
      <c r="CI682">
        <v>53.73</v>
      </c>
      <c r="CJ682">
        <v>580.1377</v>
      </c>
    </row>
    <row r="683" spans="1:88">
      <c r="A683">
        <v>682</v>
      </c>
      <c r="B683" t="s">
        <v>13</v>
      </c>
      <c r="C683" t="s">
        <v>1</v>
      </c>
      <c r="D683" t="s">
        <v>235</v>
      </c>
      <c r="E683" t="s">
        <v>96</v>
      </c>
      <c r="F683" t="s">
        <v>327</v>
      </c>
      <c r="G683" t="s">
        <v>106</v>
      </c>
      <c r="H683" t="s">
        <v>96</v>
      </c>
      <c r="J683">
        <v>2</v>
      </c>
      <c r="K683" t="s">
        <v>146</v>
      </c>
      <c r="L683" t="s">
        <v>293</v>
      </c>
      <c r="M683" t="s">
        <v>100</v>
      </c>
      <c r="N683" t="s">
        <v>101</v>
      </c>
      <c r="O683">
        <v>131</v>
      </c>
      <c r="Q683">
        <v>449</v>
      </c>
      <c r="R683">
        <v>81</v>
      </c>
      <c r="S683">
        <v>4.25</v>
      </c>
      <c r="T683">
        <v>3.5859999999999999</v>
      </c>
      <c r="U683">
        <v>6.37</v>
      </c>
      <c r="V683">
        <v>1909.61</v>
      </c>
      <c r="W683">
        <v>519</v>
      </c>
      <c r="X683">
        <v>1.3332999999999999</v>
      </c>
      <c r="Y683">
        <v>389</v>
      </c>
      <c r="Z683">
        <v>4.91</v>
      </c>
      <c r="AJ683">
        <v>2</v>
      </c>
      <c r="AK683">
        <v>18</v>
      </c>
      <c r="AM683">
        <v>0</v>
      </c>
      <c r="AO683" t="s">
        <v>100</v>
      </c>
      <c r="AT683">
        <v>51</v>
      </c>
      <c r="AV683">
        <v>45.1</v>
      </c>
      <c r="AW683">
        <v>0</v>
      </c>
      <c r="AX683">
        <v>0</v>
      </c>
      <c r="AY683">
        <v>52.125</v>
      </c>
      <c r="AZ683">
        <v>4.625</v>
      </c>
      <c r="BA683">
        <v>0</v>
      </c>
      <c r="BB683">
        <v>0</v>
      </c>
      <c r="BC683">
        <v>56</v>
      </c>
      <c r="BN683">
        <v>215.7834</v>
      </c>
      <c r="BO683">
        <v>2229</v>
      </c>
      <c r="BP683">
        <v>0</v>
      </c>
      <c r="BQ683">
        <v>45</v>
      </c>
      <c r="BR683">
        <v>45</v>
      </c>
      <c r="BS683">
        <v>44.69</v>
      </c>
      <c r="BT683">
        <v>0</v>
      </c>
      <c r="BV683">
        <v>0</v>
      </c>
      <c r="BW683" t="s">
        <v>655</v>
      </c>
      <c r="BX683">
        <v>0.17</v>
      </c>
      <c r="BY683">
        <v>7.5972999999999997</v>
      </c>
      <c r="BZ683">
        <v>0</v>
      </c>
      <c r="CA683">
        <v>1</v>
      </c>
      <c r="CB683">
        <v>0.6</v>
      </c>
      <c r="CC683" s="3">
        <v>7.1269159999999998E-2</v>
      </c>
      <c r="CD683">
        <v>2.875</v>
      </c>
      <c r="CE683">
        <v>2.5</v>
      </c>
      <c r="CF683">
        <v>18</v>
      </c>
      <c r="CG683">
        <v>6</v>
      </c>
      <c r="CH683">
        <v>0</v>
      </c>
      <c r="CI683">
        <v>44.69</v>
      </c>
      <c r="CJ683">
        <v>396.53480000000002</v>
      </c>
    </row>
    <row r="684" spans="1:88">
      <c r="A684">
        <v>683</v>
      </c>
      <c r="B684" t="s">
        <v>0</v>
      </c>
      <c r="C684" t="s">
        <v>1</v>
      </c>
      <c r="D684" t="s">
        <v>466</v>
      </c>
      <c r="E684" t="s">
        <v>113</v>
      </c>
      <c r="F684" t="s">
        <v>578</v>
      </c>
      <c r="G684" t="s">
        <v>106</v>
      </c>
      <c r="H684" t="s">
        <v>607</v>
      </c>
      <c r="J684">
        <v>2</v>
      </c>
      <c r="K684" t="s">
        <v>108</v>
      </c>
      <c r="L684" t="s">
        <v>116</v>
      </c>
      <c r="M684" t="s">
        <v>117</v>
      </c>
      <c r="N684" t="s">
        <v>14</v>
      </c>
      <c r="O684">
        <v>179</v>
      </c>
      <c r="Q684">
        <v>792</v>
      </c>
      <c r="R684">
        <v>105</v>
      </c>
      <c r="S684">
        <v>4.25</v>
      </c>
      <c r="T684">
        <v>4.7190000000000003</v>
      </c>
      <c r="U684">
        <v>7.05</v>
      </c>
      <c r="V684">
        <v>3364.42</v>
      </c>
      <c r="W684">
        <v>737</v>
      </c>
      <c r="X684">
        <v>1.3332999999999999</v>
      </c>
      <c r="Y684">
        <v>556</v>
      </c>
      <c r="Z684">
        <v>6.05</v>
      </c>
      <c r="AJ684">
        <v>2</v>
      </c>
      <c r="AK684">
        <v>18</v>
      </c>
      <c r="AM684">
        <v>0</v>
      </c>
      <c r="AO684" t="s">
        <v>349</v>
      </c>
      <c r="AT684">
        <v>68</v>
      </c>
      <c r="AV684">
        <v>59.8</v>
      </c>
      <c r="AW684" t="s">
        <v>6</v>
      </c>
      <c r="AX684" t="s">
        <v>6</v>
      </c>
      <c r="AY684" t="s">
        <v>6</v>
      </c>
      <c r="AZ684" t="s">
        <v>6</v>
      </c>
      <c r="BA684" t="s">
        <v>6</v>
      </c>
      <c r="BB684" t="s">
        <v>6</v>
      </c>
      <c r="BC684" t="s">
        <v>6</v>
      </c>
      <c r="BD684" t="s">
        <v>6</v>
      </c>
      <c r="BE684" t="s">
        <v>6</v>
      </c>
      <c r="BF684" t="s">
        <v>6</v>
      </c>
      <c r="BG684" t="s">
        <v>6</v>
      </c>
      <c r="BH684" t="s">
        <v>6</v>
      </c>
      <c r="BI684" t="s">
        <v>6</v>
      </c>
      <c r="BJ684" t="s">
        <v>6</v>
      </c>
      <c r="BN684">
        <v>287.11669999999998</v>
      </c>
      <c r="BO684">
        <v>1259</v>
      </c>
      <c r="BP684">
        <v>0</v>
      </c>
      <c r="BQ684">
        <v>61</v>
      </c>
      <c r="BR684">
        <v>61</v>
      </c>
      <c r="BS684">
        <v>61.39</v>
      </c>
      <c r="BT684">
        <v>0</v>
      </c>
      <c r="BV684">
        <v>0</v>
      </c>
      <c r="BW684" t="s">
        <v>655</v>
      </c>
      <c r="BX684">
        <v>0.17</v>
      </c>
      <c r="BY684">
        <v>10.436299999999999</v>
      </c>
      <c r="BZ684">
        <v>0</v>
      </c>
      <c r="CA684">
        <v>1</v>
      </c>
      <c r="CB684">
        <v>0.6</v>
      </c>
      <c r="CC684" s="3">
        <v>7.1269159999999998E-2</v>
      </c>
      <c r="CD684">
        <v>2.875</v>
      </c>
      <c r="CE684">
        <v>2.5</v>
      </c>
      <c r="CF684">
        <v>18</v>
      </c>
      <c r="CG684">
        <v>6</v>
      </c>
      <c r="CH684">
        <v>0</v>
      </c>
      <c r="CI684">
        <v>61.39</v>
      </c>
      <c r="CJ684">
        <v>721.36329999999998</v>
      </c>
    </row>
    <row r="685" spans="1:88">
      <c r="A685">
        <v>684</v>
      </c>
      <c r="B685" t="s">
        <v>13</v>
      </c>
      <c r="C685" t="s">
        <v>1</v>
      </c>
      <c r="D685" t="s">
        <v>113</v>
      </c>
      <c r="E685" t="s">
        <v>103</v>
      </c>
      <c r="F685" t="s">
        <v>262</v>
      </c>
      <c r="G685" t="s">
        <v>106</v>
      </c>
      <c r="H685" t="s">
        <v>263</v>
      </c>
      <c r="J685">
        <v>2</v>
      </c>
      <c r="K685" t="s">
        <v>108</v>
      </c>
      <c r="L685" t="s">
        <v>455</v>
      </c>
      <c r="M685" t="s">
        <v>315</v>
      </c>
      <c r="N685" t="s">
        <v>316</v>
      </c>
      <c r="O685">
        <v>167</v>
      </c>
      <c r="Q685">
        <v>773</v>
      </c>
      <c r="R685">
        <v>109</v>
      </c>
      <c r="S685">
        <v>4.25</v>
      </c>
      <c r="T685">
        <v>4.4459999999999997</v>
      </c>
      <c r="U685">
        <v>6.86</v>
      </c>
      <c r="V685">
        <v>3284.78</v>
      </c>
      <c r="W685">
        <v>745</v>
      </c>
      <c r="X685">
        <v>1.3332999999999999</v>
      </c>
      <c r="Y685">
        <v>569</v>
      </c>
      <c r="Z685">
        <v>5.77</v>
      </c>
      <c r="AJ685">
        <v>2</v>
      </c>
      <c r="AK685">
        <v>18</v>
      </c>
      <c r="AM685">
        <v>0</v>
      </c>
      <c r="AO685" t="s">
        <v>266</v>
      </c>
      <c r="AT685">
        <v>63</v>
      </c>
      <c r="AV685">
        <v>62.3</v>
      </c>
      <c r="AW685">
        <v>0.4375</v>
      </c>
      <c r="AX685">
        <v>3.75</v>
      </c>
      <c r="AY685">
        <v>50</v>
      </c>
      <c r="AZ685">
        <v>5</v>
      </c>
      <c r="BA685">
        <v>284.64</v>
      </c>
      <c r="BB685">
        <v>5.78</v>
      </c>
      <c r="BC685">
        <v>51</v>
      </c>
      <c r="BD685">
        <v>0.4375</v>
      </c>
      <c r="BE685">
        <v>3.75</v>
      </c>
      <c r="BF685">
        <v>50</v>
      </c>
      <c r="BG685">
        <v>5</v>
      </c>
      <c r="BH685">
        <v>284.64</v>
      </c>
      <c r="BI685">
        <v>5.78</v>
      </c>
      <c r="BJ685">
        <v>51</v>
      </c>
      <c r="BL685">
        <v>569.28</v>
      </c>
      <c r="BM685">
        <v>101</v>
      </c>
      <c r="BN685">
        <v>299.60000000000002</v>
      </c>
      <c r="BO685">
        <v>1156</v>
      </c>
      <c r="BP685">
        <v>0</v>
      </c>
      <c r="BQ685">
        <v>57</v>
      </c>
      <c r="BR685">
        <v>57</v>
      </c>
      <c r="BS685">
        <v>57.21</v>
      </c>
      <c r="BT685">
        <v>0</v>
      </c>
      <c r="BV685">
        <v>0</v>
      </c>
      <c r="BW685" t="s">
        <v>655</v>
      </c>
      <c r="BX685">
        <v>0.17</v>
      </c>
      <c r="BY685">
        <v>9.7257010000000008</v>
      </c>
      <c r="BZ685">
        <v>0</v>
      </c>
      <c r="CA685">
        <v>1</v>
      </c>
      <c r="CB685">
        <v>0.6</v>
      </c>
      <c r="CC685" s="3">
        <v>7.1269159999999998E-2</v>
      </c>
      <c r="CD685">
        <v>2.875</v>
      </c>
      <c r="CE685">
        <v>2.5</v>
      </c>
      <c r="CF685">
        <v>18</v>
      </c>
      <c r="CG685">
        <v>6</v>
      </c>
      <c r="CH685">
        <v>0</v>
      </c>
      <c r="CI685">
        <v>57.21</v>
      </c>
      <c r="CJ685">
        <v>700.78740000000005</v>
      </c>
    </row>
    <row r="686" spans="1:88">
      <c r="A686">
        <v>685</v>
      </c>
      <c r="B686" t="s">
        <v>0</v>
      </c>
      <c r="C686" t="s">
        <v>1</v>
      </c>
      <c r="D686" t="s">
        <v>207</v>
      </c>
      <c r="E686" t="s">
        <v>251</v>
      </c>
      <c r="F686" t="s">
        <v>149</v>
      </c>
      <c r="G686" t="s">
        <v>106</v>
      </c>
      <c r="H686" t="s">
        <v>185</v>
      </c>
      <c r="J686">
        <v>2</v>
      </c>
      <c r="K686" t="s">
        <v>146</v>
      </c>
      <c r="L686" t="s">
        <v>253</v>
      </c>
      <c r="M686" t="s">
        <v>254</v>
      </c>
      <c r="N686" t="s">
        <v>255</v>
      </c>
      <c r="O686">
        <v>177</v>
      </c>
      <c r="Q686">
        <v>692</v>
      </c>
      <c r="R686">
        <v>93</v>
      </c>
      <c r="S686">
        <v>4.25</v>
      </c>
      <c r="T686">
        <v>4.6740000000000004</v>
      </c>
      <c r="U686">
        <v>7.05</v>
      </c>
      <c r="V686">
        <v>2942.95</v>
      </c>
      <c r="W686">
        <v>659</v>
      </c>
      <c r="X686">
        <v>1.3332999999999999</v>
      </c>
      <c r="Y686">
        <v>490</v>
      </c>
      <c r="Z686">
        <v>6</v>
      </c>
      <c r="AJ686">
        <v>2</v>
      </c>
      <c r="AK686">
        <v>18</v>
      </c>
      <c r="AM686">
        <v>0</v>
      </c>
      <c r="AO686" t="s">
        <v>294</v>
      </c>
      <c r="AT686">
        <v>67</v>
      </c>
      <c r="AV686">
        <v>52.8</v>
      </c>
      <c r="AW686">
        <v>0.4375</v>
      </c>
      <c r="AX686">
        <v>3.75</v>
      </c>
      <c r="AY686">
        <v>52.75</v>
      </c>
      <c r="AZ686">
        <v>5.25</v>
      </c>
      <c r="BA686">
        <v>269.76</v>
      </c>
      <c r="BB686">
        <v>6.1</v>
      </c>
      <c r="BC686">
        <v>53</v>
      </c>
      <c r="BD686">
        <v>0.40625</v>
      </c>
      <c r="BE686">
        <v>3.75</v>
      </c>
      <c r="BF686">
        <v>44.125</v>
      </c>
      <c r="BG686">
        <v>4.875</v>
      </c>
      <c r="BH686">
        <v>220.72</v>
      </c>
      <c r="BI686">
        <v>6</v>
      </c>
      <c r="BJ686">
        <v>42</v>
      </c>
      <c r="BL686">
        <v>490.48</v>
      </c>
      <c r="BM686">
        <v>95</v>
      </c>
      <c r="BN686">
        <v>253.23339999999999</v>
      </c>
      <c r="BO686">
        <v>1618</v>
      </c>
      <c r="BP686">
        <v>0</v>
      </c>
      <c r="BQ686">
        <v>61</v>
      </c>
      <c r="BR686">
        <v>61</v>
      </c>
      <c r="BS686">
        <v>60.69</v>
      </c>
      <c r="BT686">
        <v>0</v>
      </c>
      <c r="BV686">
        <v>0</v>
      </c>
      <c r="BW686" t="s">
        <v>655</v>
      </c>
      <c r="BX686">
        <v>0.17</v>
      </c>
      <c r="BY686">
        <v>10.317299999999999</v>
      </c>
      <c r="BZ686">
        <v>0</v>
      </c>
      <c r="CA686">
        <v>1</v>
      </c>
      <c r="CB686">
        <v>0.6</v>
      </c>
      <c r="CC686" s="3">
        <v>7.1269159999999998E-2</v>
      </c>
      <c r="CD686">
        <v>2.875</v>
      </c>
      <c r="CE686">
        <v>2.5</v>
      </c>
      <c r="CF686">
        <v>18</v>
      </c>
      <c r="CG686">
        <v>6</v>
      </c>
      <c r="CH686">
        <v>0</v>
      </c>
      <c r="CI686">
        <v>60.69</v>
      </c>
      <c r="CJ686">
        <v>629.3347</v>
      </c>
    </row>
    <row r="687" spans="1:88">
      <c r="A687">
        <v>686</v>
      </c>
      <c r="B687" t="s">
        <v>0</v>
      </c>
      <c r="C687" t="s">
        <v>1</v>
      </c>
      <c r="D687" t="s">
        <v>135</v>
      </c>
      <c r="E687" t="s">
        <v>176</v>
      </c>
      <c r="F687" t="s">
        <v>137</v>
      </c>
      <c r="G687" t="s">
        <v>106</v>
      </c>
      <c r="H687" t="s">
        <v>138</v>
      </c>
      <c r="J687">
        <v>2</v>
      </c>
      <c r="K687" t="s">
        <v>146</v>
      </c>
      <c r="L687" t="s">
        <v>167</v>
      </c>
      <c r="M687" t="s">
        <v>226</v>
      </c>
      <c r="N687" t="s">
        <v>227</v>
      </c>
      <c r="O687">
        <v>113</v>
      </c>
      <c r="Q687">
        <v>203</v>
      </c>
      <c r="R687">
        <v>41</v>
      </c>
      <c r="S687">
        <v>4.25</v>
      </c>
      <c r="T687">
        <v>3.1280000000000001</v>
      </c>
      <c r="U687">
        <v>6.18</v>
      </c>
      <c r="V687">
        <v>864.83</v>
      </c>
      <c r="W687">
        <v>256</v>
      </c>
      <c r="X687">
        <v>1.3332999999999999</v>
      </c>
      <c r="Y687">
        <v>194</v>
      </c>
      <c r="Z687">
        <v>4.46</v>
      </c>
      <c r="AJ687">
        <v>2</v>
      </c>
      <c r="AK687">
        <v>18</v>
      </c>
      <c r="AM687">
        <v>0</v>
      </c>
      <c r="AO687" t="s">
        <v>142</v>
      </c>
      <c r="AT687">
        <v>45</v>
      </c>
      <c r="AV687">
        <v>23</v>
      </c>
      <c r="AW687">
        <v>0</v>
      </c>
      <c r="AX687">
        <v>0</v>
      </c>
      <c r="AY687">
        <v>33.375</v>
      </c>
      <c r="AZ687">
        <v>3.375</v>
      </c>
      <c r="BA687">
        <v>0</v>
      </c>
      <c r="BB687">
        <v>0</v>
      </c>
      <c r="BC687">
        <v>29</v>
      </c>
      <c r="BN687">
        <v>107</v>
      </c>
      <c r="BO687">
        <v>9064</v>
      </c>
      <c r="BP687">
        <v>0</v>
      </c>
      <c r="BQ687">
        <v>38</v>
      </c>
      <c r="BR687">
        <v>38</v>
      </c>
      <c r="BS687">
        <v>38.43</v>
      </c>
      <c r="BT687">
        <v>0</v>
      </c>
      <c r="BV687">
        <v>0</v>
      </c>
      <c r="BW687" t="s">
        <v>655</v>
      </c>
      <c r="BX687">
        <v>0.17</v>
      </c>
      <c r="BY687">
        <v>6.5331000000000001</v>
      </c>
      <c r="BZ687">
        <v>0</v>
      </c>
      <c r="CA687">
        <v>1</v>
      </c>
      <c r="CB687">
        <v>0.6</v>
      </c>
      <c r="CC687" s="3">
        <v>7.1269159999999998E-2</v>
      </c>
      <c r="CD687">
        <v>2.875</v>
      </c>
      <c r="CE687">
        <v>2.5</v>
      </c>
      <c r="CF687">
        <v>18</v>
      </c>
      <c r="CG687">
        <v>6</v>
      </c>
      <c r="CH687">
        <v>0</v>
      </c>
      <c r="CI687">
        <v>38.43</v>
      </c>
      <c r="CJ687">
        <v>173.91849999999999</v>
      </c>
    </row>
    <row r="688" spans="1:88">
      <c r="A688">
        <v>687</v>
      </c>
      <c r="B688" t="s">
        <v>0</v>
      </c>
      <c r="C688" t="s">
        <v>1</v>
      </c>
      <c r="D688" t="s">
        <v>17</v>
      </c>
      <c r="E688" t="s">
        <v>161</v>
      </c>
      <c r="F688" t="s">
        <v>418</v>
      </c>
      <c r="G688" t="s">
        <v>15</v>
      </c>
      <c r="H688" t="s">
        <v>419</v>
      </c>
      <c r="J688">
        <v>2</v>
      </c>
      <c r="K688" t="s">
        <v>108</v>
      </c>
      <c r="L688" t="s">
        <v>525</v>
      </c>
      <c r="M688" t="s">
        <v>608</v>
      </c>
      <c r="N688" t="s">
        <v>116</v>
      </c>
      <c r="O688">
        <v>196</v>
      </c>
      <c r="Q688">
        <v>1017</v>
      </c>
      <c r="R688">
        <v>123</v>
      </c>
      <c r="S688">
        <v>4.25</v>
      </c>
      <c r="T688">
        <v>5.0949999999999998</v>
      </c>
      <c r="U688">
        <v>7.35</v>
      </c>
      <c r="V688">
        <v>4321.6899999999996</v>
      </c>
      <c r="W688">
        <v>904</v>
      </c>
      <c r="X688">
        <v>1.3332999999999999</v>
      </c>
      <c r="Y688">
        <v>673</v>
      </c>
      <c r="Z688">
        <v>6.42</v>
      </c>
      <c r="AJ688">
        <v>2</v>
      </c>
      <c r="AK688">
        <v>18</v>
      </c>
      <c r="AM688">
        <v>0</v>
      </c>
      <c r="AO688" t="s">
        <v>415</v>
      </c>
      <c r="AT688">
        <v>73</v>
      </c>
      <c r="AV688">
        <v>70.7</v>
      </c>
      <c r="AW688" t="s">
        <v>6</v>
      </c>
      <c r="AX688" t="s">
        <v>6</v>
      </c>
      <c r="AY688" t="s">
        <v>6</v>
      </c>
      <c r="AZ688" t="s">
        <v>6</v>
      </c>
      <c r="BA688" t="s">
        <v>6</v>
      </c>
      <c r="BB688" t="s">
        <v>6</v>
      </c>
      <c r="BC688" t="s">
        <v>6</v>
      </c>
      <c r="BD688" t="s">
        <v>6</v>
      </c>
      <c r="BE688" t="s">
        <v>6</v>
      </c>
      <c r="BF688" t="s">
        <v>6</v>
      </c>
      <c r="BG688" t="s">
        <v>6</v>
      </c>
      <c r="BH688" t="s">
        <v>6</v>
      </c>
      <c r="BI688" t="s">
        <v>6</v>
      </c>
      <c r="BJ688" t="s">
        <v>6</v>
      </c>
      <c r="BN688">
        <v>603.00139999999999</v>
      </c>
      <c r="BO688">
        <v>3008</v>
      </c>
      <c r="BP688">
        <v>0</v>
      </c>
      <c r="BQ688">
        <v>67</v>
      </c>
      <c r="BR688">
        <v>67</v>
      </c>
      <c r="BS688">
        <v>67.3</v>
      </c>
      <c r="BT688">
        <v>0</v>
      </c>
      <c r="BV688">
        <v>0</v>
      </c>
      <c r="BW688" t="s">
        <v>655</v>
      </c>
      <c r="BX688">
        <v>0.17</v>
      </c>
      <c r="BY688">
        <v>11.441000000000001</v>
      </c>
      <c r="BZ688">
        <v>0</v>
      </c>
      <c r="CA688">
        <v>1</v>
      </c>
      <c r="CB688">
        <v>0.6</v>
      </c>
      <c r="CC688" s="3">
        <v>7.1269159999999998E-2</v>
      </c>
      <c r="CD688">
        <v>2.875</v>
      </c>
      <c r="CE688">
        <v>2.5</v>
      </c>
      <c r="CF688">
        <v>18</v>
      </c>
      <c r="CG688">
        <v>6</v>
      </c>
      <c r="CH688">
        <v>0</v>
      </c>
      <c r="CI688">
        <v>67.3</v>
      </c>
      <c r="CJ688">
        <v>934.70119999999997</v>
      </c>
    </row>
    <row r="689" spans="1:88">
      <c r="A689">
        <v>688</v>
      </c>
      <c r="B689" t="s">
        <v>0</v>
      </c>
      <c r="C689" t="s">
        <v>1</v>
      </c>
      <c r="D689" t="s">
        <v>303</v>
      </c>
      <c r="E689" t="s">
        <v>96</v>
      </c>
      <c r="F689" t="s">
        <v>424</v>
      </c>
      <c r="G689" t="s">
        <v>15</v>
      </c>
      <c r="H689" t="s">
        <v>609</v>
      </c>
      <c r="J689">
        <v>2</v>
      </c>
      <c r="K689" t="s">
        <v>108</v>
      </c>
      <c r="L689" t="s">
        <v>293</v>
      </c>
      <c r="M689" t="s">
        <v>100</v>
      </c>
      <c r="N689" t="s">
        <v>101</v>
      </c>
      <c r="O689">
        <v>131</v>
      </c>
      <c r="Q689">
        <v>781</v>
      </c>
      <c r="R689">
        <v>137</v>
      </c>
      <c r="S689">
        <v>4.25</v>
      </c>
      <c r="T689">
        <v>3.5859999999999999</v>
      </c>
      <c r="U689">
        <v>6.37</v>
      </c>
      <c r="V689">
        <v>3317.59</v>
      </c>
      <c r="W689">
        <v>876</v>
      </c>
      <c r="X689">
        <v>1.3332999999999999</v>
      </c>
      <c r="Y689">
        <v>676</v>
      </c>
      <c r="Z689">
        <v>4.91</v>
      </c>
      <c r="AJ689">
        <v>2</v>
      </c>
      <c r="AK689">
        <v>18</v>
      </c>
      <c r="AM689">
        <v>0</v>
      </c>
      <c r="AO689" t="s">
        <v>610</v>
      </c>
      <c r="AT689">
        <v>51</v>
      </c>
      <c r="AV689">
        <v>79</v>
      </c>
      <c r="AW689" t="s">
        <v>6</v>
      </c>
      <c r="AX689" t="s">
        <v>6</v>
      </c>
      <c r="AY689" t="s">
        <v>6</v>
      </c>
      <c r="AZ689" t="s">
        <v>6</v>
      </c>
      <c r="BA689" t="s">
        <v>6</v>
      </c>
      <c r="BB689" t="s">
        <v>6</v>
      </c>
      <c r="BC689" t="s">
        <v>6</v>
      </c>
      <c r="BD689" t="s">
        <v>6</v>
      </c>
      <c r="BE689" t="s">
        <v>6</v>
      </c>
      <c r="BF689" t="s">
        <v>6</v>
      </c>
      <c r="BG689" t="s">
        <v>6</v>
      </c>
      <c r="BH689" t="s">
        <v>6</v>
      </c>
      <c r="BI689" t="s">
        <v>6</v>
      </c>
      <c r="BJ689" t="s">
        <v>6</v>
      </c>
      <c r="BN689">
        <v>675.61410000000001</v>
      </c>
      <c r="BO689">
        <v>2396</v>
      </c>
      <c r="BP689">
        <v>0</v>
      </c>
      <c r="BQ689">
        <v>45</v>
      </c>
      <c r="BR689">
        <v>45</v>
      </c>
      <c r="BS689">
        <v>44.69</v>
      </c>
      <c r="BT689">
        <v>0</v>
      </c>
      <c r="BV689">
        <v>0</v>
      </c>
      <c r="BW689" t="s">
        <v>655</v>
      </c>
      <c r="BX689">
        <v>0.17</v>
      </c>
      <c r="BY689">
        <v>7.5972999999999997</v>
      </c>
      <c r="BZ689">
        <v>0</v>
      </c>
      <c r="CA689">
        <v>1</v>
      </c>
      <c r="CB689">
        <v>0.6</v>
      </c>
      <c r="CC689" s="3">
        <v>7.1269159999999998E-2</v>
      </c>
      <c r="CD689">
        <v>2.875</v>
      </c>
      <c r="CE689">
        <v>2.5</v>
      </c>
      <c r="CF689">
        <v>18</v>
      </c>
      <c r="CG689">
        <v>6</v>
      </c>
      <c r="CH689">
        <v>0</v>
      </c>
      <c r="CI689">
        <v>44.69</v>
      </c>
      <c r="CJ689">
        <v>693.93589999999995</v>
      </c>
    </row>
    <row r="690" spans="1:88">
      <c r="A690">
        <v>689</v>
      </c>
      <c r="B690" t="s">
        <v>0</v>
      </c>
      <c r="C690" t="s">
        <v>1</v>
      </c>
      <c r="D690" t="s">
        <v>425</v>
      </c>
      <c r="E690" t="s">
        <v>96</v>
      </c>
      <c r="F690" t="s">
        <v>290</v>
      </c>
      <c r="G690" t="s">
        <v>15</v>
      </c>
      <c r="H690" t="s">
        <v>426</v>
      </c>
      <c r="J690">
        <v>2</v>
      </c>
      <c r="K690" t="s">
        <v>108</v>
      </c>
      <c r="L690" t="s">
        <v>293</v>
      </c>
      <c r="M690" t="s">
        <v>100</v>
      </c>
      <c r="N690" t="s">
        <v>101</v>
      </c>
      <c r="O690">
        <v>131</v>
      </c>
      <c r="Q690">
        <v>745</v>
      </c>
      <c r="R690">
        <v>131</v>
      </c>
      <c r="S690">
        <v>4.25</v>
      </c>
      <c r="T690">
        <v>3.5859999999999999</v>
      </c>
      <c r="U690">
        <v>6.37</v>
      </c>
      <c r="V690">
        <v>3166.8</v>
      </c>
      <c r="W690">
        <v>836</v>
      </c>
      <c r="X690">
        <v>1.3332999999999999</v>
      </c>
      <c r="Y690">
        <v>645</v>
      </c>
      <c r="Z690">
        <v>4.91</v>
      </c>
      <c r="AJ690">
        <v>2</v>
      </c>
      <c r="AK690">
        <v>18</v>
      </c>
      <c r="AM690">
        <v>0</v>
      </c>
      <c r="AO690" t="s">
        <v>427</v>
      </c>
      <c r="AT690">
        <v>51</v>
      </c>
      <c r="AV690">
        <v>75.400000000000006</v>
      </c>
      <c r="AW690" t="s">
        <v>6</v>
      </c>
      <c r="AX690" t="s">
        <v>6</v>
      </c>
      <c r="AY690" t="s">
        <v>6</v>
      </c>
      <c r="AZ690" t="s">
        <v>6</v>
      </c>
      <c r="BA690" t="s">
        <v>6</v>
      </c>
      <c r="BB690" t="s">
        <v>6</v>
      </c>
      <c r="BC690" t="s">
        <v>6</v>
      </c>
      <c r="BD690" t="s">
        <v>6</v>
      </c>
      <c r="BE690" t="s">
        <v>6</v>
      </c>
      <c r="BF690" t="s">
        <v>6</v>
      </c>
      <c r="BG690" t="s">
        <v>6</v>
      </c>
      <c r="BH690" t="s">
        <v>6</v>
      </c>
      <c r="BI690" t="s">
        <v>6</v>
      </c>
      <c r="BJ690" t="s">
        <v>6</v>
      </c>
      <c r="BN690">
        <v>644.04330000000004</v>
      </c>
      <c r="BO690">
        <v>2637</v>
      </c>
      <c r="BP690">
        <v>0</v>
      </c>
      <c r="BQ690">
        <v>45</v>
      </c>
      <c r="BR690">
        <v>45</v>
      </c>
      <c r="BS690">
        <v>44.69</v>
      </c>
      <c r="BT690">
        <v>0</v>
      </c>
      <c r="BV690">
        <v>0</v>
      </c>
      <c r="BW690" t="s">
        <v>655</v>
      </c>
      <c r="BX690">
        <v>0.17</v>
      </c>
      <c r="BY690">
        <v>7.5972999999999997</v>
      </c>
      <c r="BZ690">
        <v>0</v>
      </c>
      <c r="CA690">
        <v>1</v>
      </c>
      <c r="CB690">
        <v>0.6</v>
      </c>
      <c r="CC690" s="3">
        <v>7.1269159999999998E-2</v>
      </c>
      <c r="CD690">
        <v>2.875</v>
      </c>
      <c r="CE690">
        <v>2.5</v>
      </c>
      <c r="CF690">
        <v>18</v>
      </c>
      <c r="CG690">
        <v>6</v>
      </c>
      <c r="CH690">
        <v>0</v>
      </c>
      <c r="CI690">
        <v>44.69</v>
      </c>
      <c r="CJ690">
        <v>662.08569999999997</v>
      </c>
    </row>
    <row r="691" spans="1:88">
      <c r="A691">
        <v>690</v>
      </c>
      <c r="B691" t="s">
        <v>0</v>
      </c>
      <c r="C691" t="s">
        <v>1</v>
      </c>
      <c r="D691" t="s">
        <v>104</v>
      </c>
      <c r="E691" t="s">
        <v>8</v>
      </c>
      <c r="F691" t="s">
        <v>337</v>
      </c>
      <c r="G691" t="s">
        <v>15</v>
      </c>
      <c r="H691" t="s">
        <v>398</v>
      </c>
      <c r="J691">
        <v>2</v>
      </c>
      <c r="K691" t="s">
        <v>108</v>
      </c>
      <c r="L691" t="s">
        <v>10</v>
      </c>
      <c r="M691" t="s">
        <v>11</v>
      </c>
      <c r="N691" t="s">
        <v>12</v>
      </c>
      <c r="O691">
        <v>203</v>
      </c>
      <c r="Q691">
        <v>992</v>
      </c>
      <c r="R691">
        <v>127</v>
      </c>
      <c r="S691">
        <v>4.25</v>
      </c>
      <c r="T691">
        <v>5.2460000000000004</v>
      </c>
      <c r="U691">
        <v>7.35</v>
      </c>
      <c r="V691">
        <v>4217.57</v>
      </c>
      <c r="W691">
        <v>930</v>
      </c>
      <c r="X691">
        <v>1.5</v>
      </c>
      <c r="Y691">
        <v>626</v>
      </c>
      <c r="Z691">
        <v>6.74</v>
      </c>
      <c r="AJ691">
        <v>2</v>
      </c>
      <c r="AK691">
        <v>18</v>
      </c>
      <c r="AM691">
        <v>0</v>
      </c>
      <c r="AO691" t="s">
        <v>170</v>
      </c>
      <c r="AT691">
        <v>76</v>
      </c>
      <c r="AV691">
        <v>66.7</v>
      </c>
      <c r="AW691" t="s">
        <v>6</v>
      </c>
      <c r="AX691" t="s">
        <v>6</v>
      </c>
      <c r="AY691" t="s">
        <v>6</v>
      </c>
      <c r="AZ691" t="s">
        <v>6</v>
      </c>
      <c r="BA691" t="s">
        <v>6</v>
      </c>
      <c r="BB691" t="s">
        <v>6</v>
      </c>
      <c r="BC691" t="s">
        <v>6</v>
      </c>
      <c r="BD691" t="s">
        <v>6</v>
      </c>
      <c r="BE691" t="s">
        <v>6</v>
      </c>
      <c r="BF691" t="s">
        <v>6</v>
      </c>
      <c r="BG691" t="s">
        <v>6</v>
      </c>
      <c r="BH691" t="s">
        <v>6</v>
      </c>
      <c r="BI691" t="s">
        <v>6</v>
      </c>
      <c r="BJ691" t="s">
        <v>6</v>
      </c>
      <c r="BN691">
        <v>568.27359999999999</v>
      </c>
      <c r="BO691">
        <v>3387</v>
      </c>
      <c r="BP691">
        <v>0</v>
      </c>
      <c r="BQ691">
        <v>70</v>
      </c>
      <c r="BR691">
        <v>70</v>
      </c>
      <c r="BS691">
        <v>69.730009999999993</v>
      </c>
      <c r="BT691">
        <v>0</v>
      </c>
      <c r="BV691">
        <v>0</v>
      </c>
      <c r="BW691" t="s">
        <v>655</v>
      </c>
      <c r="BX691">
        <v>0.17</v>
      </c>
      <c r="BY691">
        <v>11.854100000000001</v>
      </c>
      <c r="BZ691">
        <v>0</v>
      </c>
      <c r="CA691">
        <v>1</v>
      </c>
      <c r="CB691">
        <v>0.6</v>
      </c>
      <c r="CC691" s="3">
        <v>7.1269159999999998E-2</v>
      </c>
      <c r="CD691">
        <v>2.875</v>
      </c>
      <c r="CE691">
        <v>2.5</v>
      </c>
      <c r="CF691">
        <v>18</v>
      </c>
      <c r="CG691">
        <v>6</v>
      </c>
      <c r="CH691">
        <v>0</v>
      </c>
      <c r="CI691">
        <v>69.730009999999993</v>
      </c>
      <c r="CJ691">
        <v>913.78489999999999</v>
      </c>
    </row>
    <row r="692" spans="1:88">
      <c r="A692">
        <v>691</v>
      </c>
      <c r="B692" t="s">
        <v>0</v>
      </c>
      <c r="C692" t="s">
        <v>1</v>
      </c>
      <c r="D692" t="s">
        <v>272</v>
      </c>
      <c r="E692" t="s">
        <v>432</v>
      </c>
      <c r="F692" t="s">
        <v>273</v>
      </c>
      <c r="G692" t="s">
        <v>106</v>
      </c>
      <c r="H692" t="s">
        <v>274</v>
      </c>
      <c r="J692">
        <v>2</v>
      </c>
      <c r="K692" t="s">
        <v>440</v>
      </c>
      <c r="L692" t="s">
        <v>688</v>
      </c>
      <c r="M692" t="s">
        <v>611</v>
      </c>
      <c r="N692" t="s">
        <v>542</v>
      </c>
      <c r="O692">
        <v>263</v>
      </c>
      <c r="Q692">
        <v>1058</v>
      </c>
      <c r="R692">
        <v>105</v>
      </c>
      <c r="S692">
        <v>4.25</v>
      </c>
      <c r="T692">
        <v>6.476</v>
      </c>
      <c r="U692">
        <v>8.1000010000000007</v>
      </c>
      <c r="V692">
        <v>4496.5</v>
      </c>
      <c r="W692">
        <v>852</v>
      </c>
      <c r="X692">
        <v>1.5</v>
      </c>
      <c r="Y692">
        <v>564</v>
      </c>
      <c r="Z692">
        <v>7.97</v>
      </c>
      <c r="AJ692">
        <v>2</v>
      </c>
      <c r="AK692">
        <v>18</v>
      </c>
      <c r="AM692">
        <v>0</v>
      </c>
      <c r="AO692" t="s">
        <v>275</v>
      </c>
      <c r="AT692">
        <v>97</v>
      </c>
      <c r="AV692">
        <v>55.4</v>
      </c>
      <c r="AW692" t="s">
        <v>6</v>
      </c>
      <c r="AX692" t="s">
        <v>6</v>
      </c>
      <c r="AY692" t="s">
        <v>6</v>
      </c>
      <c r="AZ692" t="s">
        <v>6</v>
      </c>
      <c r="BA692" t="s">
        <v>6</v>
      </c>
      <c r="BB692" t="s">
        <v>6</v>
      </c>
      <c r="BC692" t="s">
        <v>6</v>
      </c>
      <c r="BD692" t="s">
        <v>6</v>
      </c>
      <c r="BE692" t="s">
        <v>6</v>
      </c>
      <c r="BF692" t="s">
        <v>6</v>
      </c>
      <c r="BG692" t="s">
        <v>6</v>
      </c>
      <c r="BH692" t="s">
        <v>6</v>
      </c>
      <c r="BI692" t="s">
        <v>6</v>
      </c>
      <c r="BJ692" t="s">
        <v>6</v>
      </c>
      <c r="BN692">
        <v>265.7167</v>
      </c>
      <c r="BO692">
        <v>1470</v>
      </c>
      <c r="BP692">
        <v>0</v>
      </c>
      <c r="BQ692">
        <v>91</v>
      </c>
      <c r="BR692">
        <v>91</v>
      </c>
      <c r="BS692">
        <v>90.6</v>
      </c>
      <c r="BT692">
        <v>0</v>
      </c>
      <c r="BU692" t="s">
        <v>444</v>
      </c>
      <c r="BV692">
        <v>0</v>
      </c>
      <c r="BW692" t="s">
        <v>655</v>
      </c>
      <c r="BX692">
        <v>0.17</v>
      </c>
      <c r="BY692">
        <v>15.401999999999999</v>
      </c>
      <c r="BZ692">
        <v>0</v>
      </c>
      <c r="CA692">
        <v>1</v>
      </c>
      <c r="CB692">
        <v>0.6</v>
      </c>
      <c r="CC692" s="3">
        <v>7.1269159999999998E-2</v>
      </c>
      <c r="CD692">
        <v>2.875</v>
      </c>
      <c r="CE692">
        <v>2.5</v>
      </c>
      <c r="CF692">
        <v>18</v>
      </c>
      <c r="CG692">
        <v>6</v>
      </c>
      <c r="CH692">
        <v>0</v>
      </c>
      <c r="CI692">
        <v>90.6</v>
      </c>
      <c r="CJ692">
        <v>987.11159999999995</v>
      </c>
    </row>
    <row r="693" spans="1:88">
      <c r="A693">
        <v>692</v>
      </c>
      <c r="B693" t="s">
        <v>0</v>
      </c>
      <c r="C693" t="s">
        <v>1</v>
      </c>
      <c r="D693" t="s">
        <v>302</v>
      </c>
      <c r="E693" t="s">
        <v>111</v>
      </c>
      <c r="F693" t="s">
        <v>401</v>
      </c>
      <c r="G693" t="s">
        <v>15</v>
      </c>
      <c r="H693" t="s">
        <v>402</v>
      </c>
      <c r="J693">
        <v>2</v>
      </c>
      <c r="K693" t="s">
        <v>108</v>
      </c>
      <c r="L693" t="s">
        <v>612</v>
      </c>
      <c r="M693" t="s">
        <v>613</v>
      </c>
      <c r="N693" t="s">
        <v>253</v>
      </c>
      <c r="O693">
        <v>194</v>
      </c>
      <c r="Q693">
        <v>1022</v>
      </c>
      <c r="R693">
        <v>125</v>
      </c>
      <c r="S693">
        <v>4.25</v>
      </c>
      <c r="T693">
        <v>5.0510000000000002</v>
      </c>
      <c r="U693">
        <v>7.31</v>
      </c>
      <c r="V693">
        <v>4345.0200000000004</v>
      </c>
      <c r="W693">
        <v>913</v>
      </c>
      <c r="X693">
        <v>1.3332999999999999</v>
      </c>
      <c r="Y693">
        <v>681</v>
      </c>
      <c r="Z693">
        <v>6.38</v>
      </c>
      <c r="AJ693">
        <v>2</v>
      </c>
      <c r="AK693">
        <v>18</v>
      </c>
      <c r="AM693">
        <v>0</v>
      </c>
      <c r="AO693" t="s">
        <v>246</v>
      </c>
      <c r="AT693">
        <v>73</v>
      </c>
      <c r="AV693">
        <v>71.8</v>
      </c>
      <c r="AW693" t="s">
        <v>6</v>
      </c>
      <c r="AX693" t="s">
        <v>6</v>
      </c>
      <c r="AY693" t="s">
        <v>6</v>
      </c>
      <c r="AZ693" t="s">
        <v>6</v>
      </c>
      <c r="BA693" t="s">
        <v>6</v>
      </c>
      <c r="BB693" t="s">
        <v>6</v>
      </c>
      <c r="BC693" t="s">
        <v>6</v>
      </c>
      <c r="BD693" t="s">
        <v>6</v>
      </c>
      <c r="BE693" t="s">
        <v>6</v>
      </c>
      <c r="BF693" t="s">
        <v>6</v>
      </c>
      <c r="BG693" t="s">
        <v>6</v>
      </c>
      <c r="BH693" t="s">
        <v>6</v>
      </c>
      <c r="BI693" t="s">
        <v>6</v>
      </c>
      <c r="BJ693" t="s">
        <v>6</v>
      </c>
      <c r="BN693">
        <v>612.47260000000006</v>
      </c>
      <c r="BO693">
        <v>2916</v>
      </c>
      <c r="BP693">
        <v>0</v>
      </c>
      <c r="BQ693">
        <v>67</v>
      </c>
      <c r="BR693">
        <v>67</v>
      </c>
      <c r="BS693">
        <v>66.599999999999994</v>
      </c>
      <c r="BT693">
        <v>0</v>
      </c>
      <c r="BV693">
        <v>0</v>
      </c>
      <c r="BW693" t="s">
        <v>655</v>
      </c>
      <c r="BX693">
        <v>0.17</v>
      </c>
      <c r="BY693">
        <v>11.321999999999999</v>
      </c>
      <c r="BZ693">
        <v>0</v>
      </c>
      <c r="CA693">
        <v>1</v>
      </c>
      <c r="CB693">
        <v>0.6</v>
      </c>
      <c r="CC693" s="3">
        <v>7.1269159999999998E-2</v>
      </c>
      <c r="CD693">
        <v>2.875</v>
      </c>
      <c r="CE693">
        <v>2.5</v>
      </c>
      <c r="CF693">
        <v>18</v>
      </c>
      <c r="CG693">
        <v>6</v>
      </c>
      <c r="CH693">
        <v>0</v>
      </c>
      <c r="CI693">
        <v>66.599999999999994</v>
      </c>
      <c r="CJ693">
        <v>939.21879999999999</v>
      </c>
    </row>
    <row r="694" spans="1:88">
      <c r="A694">
        <v>693</v>
      </c>
      <c r="B694" t="s">
        <v>0</v>
      </c>
      <c r="C694" t="s">
        <v>1</v>
      </c>
      <c r="D694" t="s">
        <v>381</v>
      </c>
      <c r="E694" t="s">
        <v>316</v>
      </c>
      <c r="F694" t="s">
        <v>132</v>
      </c>
      <c r="G694" t="s">
        <v>106</v>
      </c>
      <c r="H694" t="s">
        <v>340</v>
      </c>
      <c r="J694">
        <v>2</v>
      </c>
      <c r="K694" t="s">
        <v>146</v>
      </c>
      <c r="L694" t="s">
        <v>457</v>
      </c>
      <c r="M694" t="s">
        <v>591</v>
      </c>
      <c r="N694" t="s">
        <v>197</v>
      </c>
      <c r="O694">
        <v>170</v>
      </c>
      <c r="Q694">
        <v>604</v>
      </c>
      <c r="R694">
        <v>85</v>
      </c>
      <c r="S694">
        <v>4.25</v>
      </c>
      <c r="T694">
        <v>4.5149999999999997</v>
      </c>
      <c r="U694">
        <v>6.9</v>
      </c>
      <c r="V694">
        <v>2565.4699999999998</v>
      </c>
      <c r="W694">
        <v>589</v>
      </c>
      <c r="X694">
        <v>1.3332999999999999</v>
      </c>
      <c r="Y694">
        <v>439</v>
      </c>
      <c r="Z694">
        <v>5.84</v>
      </c>
      <c r="AJ694">
        <v>2</v>
      </c>
      <c r="AK694">
        <v>18</v>
      </c>
      <c r="AM694">
        <v>0</v>
      </c>
      <c r="AO694" t="s">
        <v>359</v>
      </c>
      <c r="AT694">
        <v>64</v>
      </c>
      <c r="AV694">
        <v>47.7</v>
      </c>
      <c r="AW694">
        <v>0.46875</v>
      </c>
      <c r="AX694">
        <v>3.75</v>
      </c>
      <c r="AY694">
        <v>60.125</v>
      </c>
      <c r="AZ694">
        <v>5.5</v>
      </c>
      <c r="BA694">
        <v>337.46</v>
      </c>
      <c r="BB694">
        <v>5.84</v>
      </c>
      <c r="BC694">
        <v>65</v>
      </c>
      <c r="BD694">
        <v>0.3125</v>
      </c>
      <c r="BE694">
        <v>2.75</v>
      </c>
      <c r="BF694">
        <v>35.375</v>
      </c>
      <c r="BG694">
        <v>3.625</v>
      </c>
      <c r="BH694">
        <v>101.83</v>
      </c>
      <c r="BI694">
        <v>6.27</v>
      </c>
      <c r="BJ694">
        <v>19</v>
      </c>
      <c r="BL694">
        <v>439.29</v>
      </c>
      <c r="BM694">
        <v>83</v>
      </c>
      <c r="BN694">
        <v>228.26669999999999</v>
      </c>
      <c r="BO694">
        <v>1992</v>
      </c>
      <c r="BP694">
        <v>0</v>
      </c>
      <c r="BQ694">
        <v>58</v>
      </c>
      <c r="BR694">
        <v>58</v>
      </c>
      <c r="BS694">
        <v>58.26</v>
      </c>
      <c r="BT694">
        <v>0</v>
      </c>
      <c r="BV694">
        <v>0</v>
      </c>
      <c r="BW694" t="s">
        <v>655</v>
      </c>
      <c r="BX694">
        <v>0.17</v>
      </c>
      <c r="BY694">
        <v>9.9041990000000002</v>
      </c>
      <c r="BZ694">
        <v>0</v>
      </c>
      <c r="CA694">
        <v>1</v>
      </c>
      <c r="CB694">
        <v>0.6</v>
      </c>
      <c r="CC694" s="3">
        <v>7.1269159999999998E-2</v>
      </c>
      <c r="CD694">
        <v>2.875</v>
      </c>
      <c r="CE694">
        <v>2.5</v>
      </c>
      <c r="CF694">
        <v>18</v>
      </c>
      <c r="CG694">
        <v>6</v>
      </c>
      <c r="CH694">
        <v>0</v>
      </c>
      <c r="CI694">
        <v>58.26</v>
      </c>
      <c r="CJ694">
        <v>546.00649999999996</v>
      </c>
    </row>
    <row r="695" spans="1:88">
      <c r="A695">
        <v>694</v>
      </c>
      <c r="B695" t="s">
        <v>0</v>
      </c>
      <c r="C695" t="s">
        <v>1</v>
      </c>
      <c r="D695" t="s">
        <v>133</v>
      </c>
      <c r="E695" t="s">
        <v>234</v>
      </c>
      <c r="F695" t="s">
        <v>298</v>
      </c>
      <c r="G695" t="s">
        <v>106</v>
      </c>
      <c r="H695" t="s">
        <v>257</v>
      </c>
      <c r="J695">
        <v>2</v>
      </c>
      <c r="K695" t="s">
        <v>146</v>
      </c>
      <c r="L695" t="s">
        <v>103</v>
      </c>
      <c r="M695" t="s">
        <v>435</v>
      </c>
      <c r="N695" t="s">
        <v>295</v>
      </c>
      <c r="O695">
        <v>147</v>
      </c>
      <c r="Q695">
        <v>543</v>
      </c>
      <c r="R695">
        <v>88</v>
      </c>
      <c r="S695">
        <v>4.25</v>
      </c>
      <c r="T695">
        <v>3.976</v>
      </c>
      <c r="U695">
        <v>6.67</v>
      </c>
      <c r="V695">
        <v>2308.09</v>
      </c>
      <c r="W695">
        <v>585</v>
      </c>
      <c r="X695">
        <v>1.3332999999999999</v>
      </c>
      <c r="Y695">
        <v>435</v>
      </c>
      <c r="Z695">
        <v>5.3</v>
      </c>
      <c r="AJ695">
        <v>2</v>
      </c>
      <c r="AK695">
        <v>18</v>
      </c>
      <c r="AM695">
        <v>0</v>
      </c>
      <c r="AO695" t="s">
        <v>301</v>
      </c>
      <c r="AT695">
        <v>56</v>
      </c>
      <c r="AV695">
        <v>49.1</v>
      </c>
      <c r="AW695">
        <v>0.46875</v>
      </c>
      <c r="AX695">
        <v>3.75</v>
      </c>
      <c r="AY695">
        <v>54.5</v>
      </c>
      <c r="AZ695">
        <v>5</v>
      </c>
      <c r="BA695">
        <v>371.85</v>
      </c>
      <c r="BB695">
        <v>5.3</v>
      </c>
      <c r="BC695">
        <v>59</v>
      </c>
      <c r="BD695">
        <v>0.25</v>
      </c>
      <c r="BE695">
        <v>2.75</v>
      </c>
      <c r="BF695">
        <v>18</v>
      </c>
      <c r="BG695">
        <v>2.625</v>
      </c>
      <c r="BH695">
        <v>63.63</v>
      </c>
      <c r="BI695">
        <v>5.39</v>
      </c>
      <c r="BJ695">
        <v>8</v>
      </c>
      <c r="BL695">
        <v>435.48</v>
      </c>
      <c r="BM695">
        <v>66</v>
      </c>
      <c r="BN695">
        <v>235.40010000000001</v>
      </c>
      <c r="BO695">
        <v>1873</v>
      </c>
      <c r="BP695">
        <v>0</v>
      </c>
      <c r="BQ695">
        <v>50</v>
      </c>
      <c r="BR695">
        <v>50</v>
      </c>
      <c r="BS695">
        <v>50.26</v>
      </c>
      <c r="BT695">
        <v>0</v>
      </c>
      <c r="BV695">
        <v>0</v>
      </c>
      <c r="BW695" t="s">
        <v>655</v>
      </c>
      <c r="BX695">
        <v>0.17</v>
      </c>
      <c r="BY695">
        <v>8.5442</v>
      </c>
      <c r="BZ695">
        <v>0</v>
      </c>
      <c r="CA695">
        <v>1</v>
      </c>
      <c r="CB695">
        <v>0.6</v>
      </c>
      <c r="CC695" s="3">
        <v>7.1269159999999998E-2</v>
      </c>
      <c r="CD695">
        <v>2.875</v>
      </c>
      <c r="CE695">
        <v>2.5</v>
      </c>
      <c r="CF695">
        <v>18</v>
      </c>
      <c r="CG695">
        <v>6</v>
      </c>
      <c r="CH695">
        <v>0</v>
      </c>
      <c r="CI695">
        <v>50.26</v>
      </c>
      <c r="CJ695">
        <v>485.35930000000002</v>
      </c>
    </row>
    <row r="696" spans="1:88">
      <c r="A696">
        <v>695</v>
      </c>
      <c r="B696" t="s">
        <v>13</v>
      </c>
      <c r="C696" t="s">
        <v>1</v>
      </c>
      <c r="D696" t="s">
        <v>181</v>
      </c>
      <c r="E696" t="s">
        <v>104</v>
      </c>
      <c r="F696" t="s">
        <v>182</v>
      </c>
      <c r="G696" t="s">
        <v>106</v>
      </c>
      <c r="H696" t="s">
        <v>183</v>
      </c>
      <c r="J696">
        <v>2</v>
      </c>
      <c r="K696" t="s">
        <v>108</v>
      </c>
      <c r="L696" t="s">
        <v>109</v>
      </c>
      <c r="M696" t="s">
        <v>110</v>
      </c>
      <c r="N696" t="s">
        <v>111</v>
      </c>
      <c r="O696">
        <v>191</v>
      </c>
      <c r="Q696">
        <v>786</v>
      </c>
      <c r="R696">
        <v>98</v>
      </c>
      <c r="S696">
        <v>4.25</v>
      </c>
      <c r="T696">
        <v>4.9850000000000003</v>
      </c>
      <c r="U696">
        <v>7.27</v>
      </c>
      <c r="V696">
        <v>3340.33</v>
      </c>
      <c r="W696">
        <v>714</v>
      </c>
      <c r="X696">
        <v>1.3332999999999999</v>
      </c>
      <c r="Y696">
        <v>529</v>
      </c>
      <c r="Z696">
        <v>6.31</v>
      </c>
      <c r="AJ696">
        <v>2</v>
      </c>
      <c r="AK696">
        <v>18</v>
      </c>
      <c r="AM696">
        <v>0</v>
      </c>
      <c r="AO696" t="s">
        <v>186</v>
      </c>
      <c r="AT696">
        <v>72</v>
      </c>
      <c r="AV696">
        <v>55.8</v>
      </c>
      <c r="AW696">
        <v>0.4375</v>
      </c>
      <c r="AX696">
        <v>3.75</v>
      </c>
      <c r="AY696">
        <v>53.75</v>
      </c>
      <c r="AZ696">
        <v>5.5</v>
      </c>
      <c r="BA696">
        <v>264.68</v>
      </c>
      <c r="BB696">
        <v>6.21</v>
      </c>
      <c r="BC696">
        <v>54</v>
      </c>
      <c r="BD696">
        <v>0.4375</v>
      </c>
      <c r="BE696">
        <v>3.75</v>
      </c>
      <c r="BF696">
        <v>53.75</v>
      </c>
      <c r="BG696">
        <v>5.5</v>
      </c>
      <c r="BH696">
        <v>264.68</v>
      </c>
      <c r="BI696">
        <v>6.21</v>
      </c>
      <c r="BJ696">
        <v>54</v>
      </c>
      <c r="BL696">
        <v>529.36</v>
      </c>
      <c r="BM696">
        <v>108</v>
      </c>
      <c r="BN696">
        <v>267.5</v>
      </c>
      <c r="BO696">
        <v>1450</v>
      </c>
      <c r="BP696">
        <v>0</v>
      </c>
      <c r="BQ696">
        <v>66</v>
      </c>
      <c r="BR696">
        <v>66</v>
      </c>
      <c r="BS696">
        <v>65.56</v>
      </c>
      <c r="BT696">
        <v>0</v>
      </c>
      <c r="BV696">
        <v>0</v>
      </c>
      <c r="BW696" t="s">
        <v>655</v>
      </c>
      <c r="BX696">
        <v>0.17</v>
      </c>
      <c r="BY696">
        <v>11.145200000000001</v>
      </c>
      <c r="BZ696">
        <v>0</v>
      </c>
      <c r="CA696">
        <v>1</v>
      </c>
      <c r="CB696">
        <v>0.6</v>
      </c>
      <c r="CC696" s="3">
        <v>7.1269159999999998E-2</v>
      </c>
      <c r="CD696">
        <v>2.875</v>
      </c>
      <c r="CE696">
        <v>2.5</v>
      </c>
      <c r="CF696">
        <v>18</v>
      </c>
      <c r="CG696">
        <v>6</v>
      </c>
      <c r="CH696">
        <v>0</v>
      </c>
      <c r="CI696">
        <v>65.56</v>
      </c>
      <c r="CJ696">
        <v>718.9665</v>
      </c>
    </row>
    <row r="697" spans="1:88">
      <c r="A697">
        <v>696</v>
      </c>
      <c r="B697" t="s">
        <v>0</v>
      </c>
      <c r="C697" t="s">
        <v>1</v>
      </c>
      <c r="D697" t="s">
        <v>143</v>
      </c>
      <c r="E697" t="s">
        <v>19</v>
      </c>
      <c r="F697" t="s">
        <v>144</v>
      </c>
      <c r="G697" t="s">
        <v>106</v>
      </c>
      <c r="H697" t="s">
        <v>145</v>
      </c>
      <c r="J697">
        <v>2</v>
      </c>
      <c r="K697" t="s">
        <v>146</v>
      </c>
      <c r="L697" t="s">
        <v>302</v>
      </c>
      <c r="M697" t="s">
        <v>433</v>
      </c>
      <c r="N697" t="s">
        <v>434</v>
      </c>
      <c r="O697">
        <v>185</v>
      </c>
      <c r="Q697">
        <v>732</v>
      </c>
      <c r="R697">
        <v>95</v>
      </c>
      <c r="S697">
        <v>4.25</v>
      </c>
      <c r="T697">
        <v>4.8529999999999998</v>
      </c>
      <c r="U697">
        <v>7.16</v>
      </c>
      <c r="V697">
        <v>3109</v>
      </c>
      <c r="W697">
        <v>677</v>
      </c>
      <c r="X697">
        <v>1.3332999999999999</v>
      </c>
      <c r="Y697">
        <v>503</v>
      </c>
      <c r="Z697">
        <v>6.18</v>
      </c>
      <c r="AJ697">
        <v>2</v>
      </c>
      <c r="AK697">
        <v>18</v>
      </c>
      <c r="AM697">
        <v>0</v>
      </c>
      <c r="AO697" t="s">
        <v>149</v>
      </c>
      <c r="AT697">
        <v>70</v>
      </c>
      <c r="AV697">
        <v>53.5</v>
      </c>
      <c r="AW697">
        <v>0.4375</v>
      </c>
      <c r="AX697">
        <v>3.75</v>
      </c>
      <c r="AY697">
        <v>56.625</v>
      </c>
      <c r="AZ697">
        <v>5.375</v>
      </c>
      <c r="BA697">
        <v>251.53</v>
      </c>
      <c r="BB697">
        <v>6.54</v>
      </c>
      <c r="BC697">
        <v>57</v>
      </c>
      <c r="BD697">
        <v>0.4375</v>
      </c>
      <c r="BE697">
        <v>3.75</v>
      </c>
      <c r="BF697">
        <v>56.625</v>
      </c>
      <c r="BG697">
        <v>5.375</v>
      </c>
      <c r="BH697">
        <v>251.53</v>
      </c>
      <c r="BI697">
        <v>6.54</v>
      </c>
      <c r="BJ697">
        <v>57</v>
      </c>
      <c r="BL697">
        <v>503.06</v>
      </c>
      <c r="BM697">
        <v>114</v>
      </c>
      <c r="BN697">
        <v>256.80009999999999</v>
      </c>
      <c r="BO697">
        <v>1574</v>
      </c>
      <c r="BP697">
        <v>0</v>
      </c>
      <c r="BQ697">
        <v>63</v>
      </c>
      <c r="BR697">
        <v>63</v>
      </c>
      <c r="BS697">
        <v>63.47</v>
      </c>
      <c r="BT697">
        <v>0</v>
      </c>
      <c r="BV697">
        <v>0</v>
      </c>
      <c r="BW697" t="s">
        <v>655</v>
      </c>
      <c r="BX697">
        <v>0.17</v>
      </c>
      <c r="BY697">
        <v>10.789899999999999</v>
      </c>
      <c r="BZ697">
        <v>0</v>
      </c>
      <c r="CA697">
        <v>1</v>
      </c>
      <c r="CB697">
        <v>0.6</v>
      </c>
      <c r="CC697" s="3">
        <v>7.1269159999999998E-2</v>
      </c>
      <c r="CD697">
        <v>2.875</v>
      </c>
      <c r="CE697">
        <v>2.5</v>
      </c>
      <c r="CF697">
        <v>18</v>
      </c>
      <c r="CG697">
        <v>6</v>
      </c>
      <c r="CH697">
        <v>0</v>
      </c>
      <c r="CI697">
        <v>63.47</v>
      </c>
      <c r="CJ697">
        <v>667.20939999999996</v>
      </c>
    </row>
    <row r="698" spans="1:88">
      <c r="A698">
        <v>697</v>
      </c>
      <c r="B698" t="s">
        <v>13</v>
      </c>
      <c r="C698" t="s">
        <v>1</v>
      </c>
      <c r="D698" t="s">
        <v>8</v>
      </c>
      <c r="E698" t="s">
        <v>143</v>
      </c>
      <c r="F698" t="s">
        <v>246</v>
      </c>
      <c r="G698" t="s">
        <v>15</v>
      </c>
      <c r="H698" t="s">
        <v>247</v>
      </c>
      <c r="J698">
        <v>2</v>
      </c>
      <c r="K698" t="s">
        <v>108</v>
      </c>
      <c r="L698" t="s">
        <v>297</v>
      </c>
      <c r="M698" t="s">
        <v>206</v>
      </c>
      <c r="N698" t="s">
        <v>131</v>
      </c>
      <c r="O698">
        <v>155</v>
      </c>
      <c r="Q698">
        <v>821</v>
      </c>
      <c r="R698">
        <v>124</v>
      </c>
      <c r="S698">
        <v>4.25</v>
      </c>
      <c r="T698">
        <v>4.1660000000000004</v>
      </c>
      <c r="U698">
        <v>6.78</v>
      </c>
      <c r="V698">
        <v>3487.29</v>
      </c>
      <c r="W698">
        <v>838</v>
      </c>
      <c r="X698">
        <v>1.3332999999999999</v>
      </c>
      <c r="Y698">
        <v>635</v>
      </c>
      <c r="Z698">
        <v>5.49</v>
      </c>
      <c r="AJ698">
        <v>2</v>
      </c>
      <c r="AK698">
        <v>18</v>
      </c>
      <c r="AM698">
        <v>0</v>
      </c>
      <c r="AO698" t="s">
        <v>250</v>
      </c>
      <c r="AT698">
        <v>59</v>
      </c>
      <c r="AV698">
        <v>71.099999999999994</v>
      </c>
      <c r="AW698" t="s">
        <v>6</v>
      </c>
      <c r="AX698" t="s">
        <v>6</v>
      </c>
      <c r="AY698" t="s">
        <v>6</v>
      </c>
      <c r="AZ698" t="s">
        <v>6</v>
      </c>
      <c r="BA698" t="s">
        <v>6</v>
      </c>
      <c r="BB698" t="s">
        <v>6</v>
      </c>
      <c r="BC698" t="s">
        <v>6</v>
      </c>
      <c r="BD698" t="s">
        <v>6</v>
      </c>
      <c r="BE698" t="s">
        <v>6</v>
      </c>
      <c r="BF698" t="s">
        <v>6</v>
      </c>
      <c r="BG698" t="s">
        <v>6</v>
      </c>
      <c r="BH698" t="s">
        <v>6</v>
      </c>
      <c r="BI698" t="s">
        <v>6</v>
      </c>
      <c r="BJ698" t="s">
        <v>6</v>
      </c>
      <c r="BN698">
        <v>606.1585</v>
      </c>
      <c r="BO698">
        <v>2977</v>
      </c>
      <c r="BP698">
        <v>0</v>
      </c>
      <c r="BQ698">
        <v>53</v>
      </c>
      <c r="BR698">
        <v>53</v>
      </c>
      <c r="BS698">
        <v>53.04</v>
      </c>
      <c r="BT698">
        <v>0</v>
      </c>
      <c r="BV698">
        <v>0</v>
      </c>
      <c r="BW698" t="s">
        <v>655</v>
      </c>
      <c r="BX698">
        <v>0.17</v>
      </c>
      <c r="BY698">
        <v>9.0167999999999999</v>
      </c>
      <c r="BZ698">
        <v>0</v>
      </c>
      <c r="CA698">
        <v>1</v>
      </c>
      <c r="CB698">
        <v>0.6</v>
      </c>
      <c r="CC698" s="3">
        <v>7.1269159999999998E-2</v>
      </c>
      <c r="CD698">
        <v>2.875</v>
      </c>
      <c r="CE698">
        <v>2.5</v>
      </c>
      <c r="CF698">
        <v>18</v>
      </c>
      <c r="CG698">
        <v>6</v>
      </c>
      <c r="CH698">
        <v>0</v>
      </c>
      <c r="CI698">
        <v>53.04</v>
      </c>
      <c r="CJ698">
        <v>740.43020000000001</v>
      </c>
    </row>
    <row r="699" spans="1:88">
      <c r="A699">
        <v>698</v>
      </c>
      <c r="B699" t="s">
        <v>0</v>
      </c>
      <c r="C699" t="s">
        <v>1</v>
      </c>
      <c r="D699" t="s">
        <v>113</v>
      </c>
      <c r="E699" t="s">
        <v>165</v>
      </c>
      <c r="F699" t="s">
        <v>262</v>
      </c>
      <c r="G699" t="s">
        <v>106</v>
      </c>
      <c r="H699" t="s">
        <v>263</v>
      </c>
      <c r="J699">
        <v>2</v>
      </c>
      <c r="K699" t="s">
        <v>108</v>
      </c>
      <c r="L699" t="s">
        <v>125</v>
      </c>
      <c r="M699" t="s">
        <v>252</v>
      </c>
      <c r="N699" t="s">
        <v>293</v>
      </c>
      <c r="O699">
        <v>148</v>
      </c>
      <c r="Q699">
        <v>691</v>
      </c>
      <c r="R699">
        <v>109</v>
      </c>
      <c r="S699">
        <v>4.25</v>
      </c>
      <c r="T699">
        <v>4</v>
      </c>
      <c r="U699">
        <v>6.67</v>
      </c>
      <c r="V699">
        <v>2935.9</v>
      </c>
      <c r="W699">
        <v>724</v>
      </c>
      <c r="X699">
        <v>1.3332999999999999</v>
      </c>
      <c r="Y699">
        <v>551</v>
      </c>
      <c r="Z699">
        <v>5.33</v>
      </c>
      <c r="AJ699">
        <v>2</v>
      </c>
      <c r="AK699">
        <v>18</v>
      </c>
      <c r="AM699">
        <v>0</v>
      </c>
      <c r="AO699" t="s">
        <v>266</v>
      </c>
      <c r="AT699">
        <v>57</v>
      </c>
      <c r="AV699">
        <v>62.3</v>
      </c>
      <c r="AW699">
        <v>0.4375</v>
      </c>
      <c r="AX699">
        <v>3.75</v>
      </c>
      <c r="AY699">
        <v>47</v>
      </c>
      <c r="AZ699">
        <v>4.625</v>
      </c>
      <c r="BA699">
        <v>302.95</v>
      </c>
      <c r="BB699">
        <v>5.43</v>
      </c>
      <c r="BC699">
        <v>48</v>
      </c>
      <c r="BD699">
        <v>0.40625</v>
      </c>
      <c r="BE699">
        <v>3.75</v>
      </c>
      <c r="BF699">
        <v>39.25</v>
      </c>
      <c r="BG699">
        <v>4.375</v>
      </c>
      <c r="BH699">
        <v>247.87</v>
      </c>
      <c r="BI699">
        <v>5.34</v>
      </c>
      <c r="BJ699">
        <v>37</v>
      </c>
      <c r="BL699">
        <v>550.82000000000005</v>
      </c>
      <c r="BM699">
        <v>84</v>
      </c>
      <c r="BN699">
        <v>299.60000000000002</v>
      </c>
      <c r="BO699">
        <v>1156</v>
      </c>
      <c r="BP699">
        <v>0</v>
      </c>
      <c r="BQ699">
        <v>51</v>
      </c>
      <c r="BR699">
        <v>51</v>
      </c>
      <c r="BS699">
        <v>50.6</v>
      </c>
      <c r="BT699">
        <v>0</v>
      </c>
      <c r="BV699">
        <v>0</v>
      </c>
      <c r="BW699" t="s">
        <v>655</v>
      </c>
      <c r="BX699">
        <v>0.17</v>
      </c>
      <c r="BY699">
        <v>8.6019989999999993</v>
      </c>
      <c r="BZ699">
        <v>0</v>
      </c>
      <c r="CA699">
        <v>1</v>
      </c>
      <c r="CB699">
        <v>0.6</v>
      </c>
      <c r="CC699" s="3">
        <v>7.1269159999999998E-2</v>
      </c>
      <c r="CD699">
        <v>2.875</v>
      </c>
      <c r="CE699">
        <v>2.5</v>
      </c>
      <c r="CF699">
        <v>18</v>
      </c>
      <c r="CG699">
        <v>6</v>
      </c>
      <c r="CH699">
        <v>0</v>
      </c>
      <c r="CI699">
        <v>50.6</v>
      </c>
      <c r="CJ699">
        <v>619.81899999999996</v>
      </c>
    </row>
    <row r="700" spans="1:88">
      <c r="A700">
        <v>699</v>
      </c>
      <c r="B700" t="s">
        <v>0</v>
      </c>
      <c r="C700" t="s">
        <v>1</v>
      </c>
      <c r="D700" t="s">
        <v>255</v>
      </c>
      <c r="E700" t="s">
        <v>233</v>
      </c>
      <c r="F700" t="s">
        <v>196</v>
      </c>
      <c r="G700" t="s">
        <v>106</v>
      </c>
      <c r="H700" t="s">
        <v>410</v>
      </c>
      <c r="J700">
        <v>2</v>
      </c>
      <c r="K700" t="s">
        <v>108</v>
      </c>
      <c r="L700" t="s">
        <v>251</v>
      </c>
      <c r="M700" t="s">
        <v>236</v>
      </c>
      <c r="N700" t="s">
        <v>272</v>
      </c>
      <c r="O700">
        <v>157</v>
      </c>
      <c r="Q700">
        <v>734</v>
      </c>
      <c r="R700">
        <v>109</v>
      </c>
      <c r="S700">
        <v>4.25</v>
      </c>
      <c r="T700">
        <v>4.2130000000000001</v>
      </c>
      <c r="U700">
        <v>6.82</v>
      </c>
      <c r="V700">
        <v>3118.94</v>
      </c>
      <c r="W700">
        <v>745</v>
      </c>
      <c r="X700">
        <v>1.3332999999999999</v>
      </c>
      <c r="Y700">
        <v>563</v>
      </c>
      <c r="Z700">
        <v>5.54</v>
      </c>
      <c r="AJ700">
        <v>2</v>
      </c>
      <c r="AK700">
        <v>18</v>
      </c>
      <c r="AM700">
        <v>0</v>
      </c>
      <c r="AO700" t="s">
        <v>411</v>
      </c>
      <c r="AT700">
        <v>60</v>
      </c>
      <c r="AV700">
        <v>62.7</v>
      </c>
      <c r="AW700">
        <v>0.4375</v>
      </c>
      <c r="AX700">
        <v>3.75</v>
      </c>
      <c r="AY700">
        <v>50.5</v>
      </c>
      <c r="AZ700">
        <v>4.875</v>
      </c>
      <c r="BA700">
        <v>281.49</v>
      </c>
      <c r="BB700">
        <v>5.84</v>
      </c>
      <c r="BC700">
        <v>51</v>
      </c>
      <c r="BD700">
        <v>0.4375</v>
      </c>
      <c r="BE700">
        <v>3.75</v>
      </c>
      <c r="BF700">
        <v>50.5</v>
      </c>
      <c r="BG700">
        <v>4.875</v>
      </c>
      <c r="BH700">
        <v>281.49</v>
      </c>
      <c r="BI700">
        <v>5.84</v>
      </c>
      <c r="BJ700">
        <v>51</v>
      </c>
      <c r="BL700">
        <v>562.98</v>
      </c>
      <c r="BM700">
        <v>102</v>
      </c>
      <c r="BN700">
        <v>301.38339999999999</v>
      </c>
      <c r="BO700">
        <v>1142</v>
      </c>
      <c r="BP700">
        <v>0</v>
      </c>
      <c r="BQ700">
        <v>54</v>
      </c>
      <c r="BR700">
        <v>54</v>
      </c>
      <c r="BS700">
        <v>53.73</v>
      </c>
      <c r="BT700">
        <v>0</v>
      </c>
      <c r="BV700">
        <v>0</v>
      </c>
      <c r="BW700" t="s">
        <v>655</v>
      </c>
      <c r="BX700">
        <v>0.17</v>
      </c>
      <c r="BY700">
        <v>9.1341000000000001</v>
      </c>
      <c r="BZ700">
        <v>0</v>
      </c>
      <c r="CA700">
        <v>1</v>
      </c>
      <c r="CB700">
        <v>0.6</v>
      </c>
      <c r="CC700" s="3">
        <v>7.1269159999999998E-2</v>
      </c>
      <c r="CD700">
        <v>2.875</v>
      </c>
      <c r="CE700">
        <v>2.5</v>
      </c>
      <c r="CF700">
        <v>18</v>
      </c>
      <c r="CG700">
        <v>6</v>
      </c>
      <c r="CH700">
        <v>0</v>
      </c>
      <c r="CI700">
        <v>53.73</v>
      </c>
      <c r="CJ700">
        <v>661.98879999999997</v>
      </c>
    </row>
    <row r="701" spans="1:88">
      <c r="A701">
        <v>700</v>
      </c>
      <c r="B701" t="s">
        <v>0</v>
      </c>
      <c r="C701" t="s">
        <v>1</v>
      </c>
      <c r="D701" t="s">
        <v>176</v>
      </c>
      <c r="E701" t="s">
        <v>177</v>
      </c>
      <c r="F701" t="s">
        <v>134</v>
      </c>
      <c r="G701" t="s">
        <v>106</v>
      </c>
      <c r="H701" t="s">
        <v>177</v>
      </c>
      <c r="J701">
        <v>2</v>
      </c>
      <c r="K701" t="s">
        <v>146</v>
      </c>
      <c r="L701" t="s">
        <v>235</v>
      </c>
      <c r="M701" t="s">
        <v>152</v>
      </c>
      <c r="N701" t="s">
        <v>127</v>
      </c>
      <c r="O701">
        <v>112</v>
      </c>
      <c r="Q701">
        <v>331</v>
      </c>
      <c r="R701">
        <v>71</v>
      </c>
      <c r="S701">
        <v>4.25</v>
      </c>
      <c r="T701">
        <v>3.1019999999999999</v>
      </c>
      <c r="U701">
        <v>6.14</v>
      </c>
      <c r="V701">
        <v>1407.09</v>
      </c>
      <c r="W701">
        <v>433</v>
      </c>
      <c r="X701">
        <v>1.3332999999999999</v>
      </c>
      <c r="Y701">
        <v>318</v>
      </c>
      <c r="Z701">
        <v>4.43</v>
      </c>
      <c r="AJ701">
        <v>2</v>
      </c>
      <c r="AK701">
        <v>18</v>
      </c>
      <c r="AM701">
        <v>0</v>
      </c>
      <c r="AO701" t="s">
        <v>152</v>
      </c>
      <c r="AT701">
        <v>44</v>
      </c>
      <c r="AV701">
        <v>38.200000000000003</v>
      </c>
      <c r="AW701">
        <v>0</v>
      </c>
      <c r="AX701">
        <v>0</v>
      </c>
      <c r="AY701">
        <v>44.75</v>
      </c>
      <c r="AZ701">
        <v>3.875</v>
      </c>
      <c r="BA701">
        <v>0</v>
      </c>
      <c r="BB701">
        <v>0</v>
      </c>
      <c r="BC701">
        <v>45</v>
      </c>
      <c r="BN701">
        <v>181.9</v>
      </c>
      <c r="BO701">
        <v>3136</v>
      </c>
      <c r="BP701">
        <v>0</v>
      </c>
      <c r="BQ701">
        <v>38</v>
      </c>
      <c r="BR701">
        <v>38</v>
      </c>
      <c r="BS701">
        <v>38.08</v>
      </c>
      <c r="BT701">
        <v>0</v>
      </c>
      <c r="BV701">
        <v>0</v>
      </c>
      <c r="BW701" t="s">
        <v>655</v>
      </c>
      <c r="BX701">
        <v>0.17</v>
      </c>
      <c r="BY701">
        <v>6.4736010000000004</v>
      </c>
      <c r="BZ701">
        <v>0</v>
      </c>
      <c r="CA701">
        <v>1</v>
      </c>
      <c r="CB701">
        <v>0.6</v>
      </c>
      <c r="CC701" s="3">
        <v>7.1269159999999998E-2</v>
      </c>
      <c r="CD701">
        <v>2.875</v>
      </c>
      <c r="CE701">
        <v>2.5</v>
      </c>
      <c r="CF701">
        <v>18</v>
      </c>
      <c r="CG701">
        <v>6</v>
      </c>
      <c r="CH701">
        <v>0</v>
      </c>
      <c r="CI701">
        <v>38.08</v>
      </c>
      <c r="CJ701">
        <v>286.31959999999998</v>
      </c>
    </row>
    <row r="702" spans="1:88">
      <c r="A702">
        <v>701</v>
      </c>
      <c r="B702" t="s">
        <v>0</v>
      </c>
      <c r="C702" t="s">
        <v>1</v>
      </c>
      <c r="D702" t="s">
        <v>279</v>
      </c>
      <c r="E702" t="s">
        <v>328</v>
      </c>
      <c r="F702" t="s">
        <v>236</v>
      </c>
      <c r="G702" t="s">
        <v>106</v>
      </c>
      <c r="H702" t="s">
        <v>143</v>
      </c>
      <c r="J702">
        <v>2</v>
      </c>
      <c r="K702" t="s">
        <v>440</v>
      </c>
      <c r="L702" t="s">
        <v>547</v>
      </c>
      <c r="M702" t="s">
        <v>614</v>
      </c>
      <c r="N702" t="s">
        <v>615</v>
      </c>
      <c r="O702">
        <v>251</v>
      </c>
      <c r="Q702">
        <v>983</v>
      </c>
      <c r="R702">
        <v>102</v>
      </c>
      <c r="S702">
        <v>4.25</v>
      </c>
      <c r="T702">
        <v>6.2389999999999999</v>
      </c>
      <c r="U702">
        <v>8.0600009999999997</v>
      </c>
      <c r="V702">
        <v>4179.1099999999997</v>
      </c>
      <c r="W702">
        <v>824</v>
      </c>
      <c r="X702">
        <v>1.5</v>
      </c>
      <c r="Y702">
        <v>541</v>
      </c>
      <c r="Z702">
        <v>7.73</v>
      </c>
      <c r="AJ702">
        <v>2</v>
      </c>
      <c r="AK702">
        <v>18</v>
      </c>
      <c r="AM702">
        <v>0</v>
      </c>
      <c r="AO702" t="s">
        <v>206</v>
      </c>
      <c r="AT702">
        <v>93</v>
      </c>
      <c r="AV702">
        <v>53.9</v>
      </c>
      <c r="AW702" t="s">
        <v>6</v>
      </c>
      <c r="AX702" t="s">
        <v>6</v>
      </c>
      <c r="AY702" t="s">
        <v>6</v>
      </c>
      <c r="AZ702" t="s">
        <v>6</v>
      </c>
      <c r="BA702" t="s">
        <v>6</v>
      </c>
      <c r="BB702" t="s">
        <v>6</v>
      </c>
      <c r="BC702" t="s">
        <v>6</v>
      </c>
      <c r="BD702" t="s">
        <v>6</v>
      </c>
      <c r="BE702" t="s">
        <v>6</v>
      </c>
      <c r="BF702" t="s">
        <v>6</v>
      </c>
      <c r="BG702" t="s">
        <v>6</v>
      </c>
      <c r="BH702" t="s">
        <v>6</v>
      </c>
      <c r="BI702" t="s">
        <v>6</v>
      </c>
      <c r="BJ702" t="s">
        <v>6</v>
      </c>
      <c r="BN702">
        <v>258.58339999999998</v>
      </c>
      <c r="BO702">
        <v>1552</v>
      </c>
      <c r="BP702">
        <v>0</v>
      </c>
      <c r="BQ702">
        <v>86</v>
      </c>
      <c r="BR702">
        <v>86</v>
      </c>
      <c r="BS702">
        <v>86.43</v>
      </c>
      <c r="BT702">
        <v>0</v>
      </c>
      <c r="BU702" t="s">
        <v>444</v>
      </c>
      <c r="BV702">
        <v>0</v>
      </c>
      <c r="BW702" t="s">
        <v>655</v>
      </c>
      <c r="BX702">
        <v>0.17</v>
      </c>
      <c r="BY702">
        <v>14.693099999999999</v>
      </c>
      <c r="BZ702">
        <v>0</v>
      </c>
      <c r="CA702">
        <v>1</v>
      </c>
      <c r="CB702">
        <v>0.6</v>
      </c>
      <c r="CC702" s="3">
        <v>7.1269159999999998E-2</v>
      </c>
      <c r="CD702">
        <v>2.875</v>
      </c>
      <c r="CE702">
        <v>2.5</v>
      </c>
      <c r="CF702">
        <v>18</v>
      </c>
      <c r="CG702">
        <v>6</v>
      </c>
      <c r="CH702">
        <v>0</v>
      </c>
      <c r="CI702">
        <v>86.43</v>
      </c>
      <c r="CJ702">
        <v>914.72929999999997</v>
      </c>
    </row>
    <row r="703" spans="1:88">
      <c r="A703">
        <v>702</v>
      </c>
      <c r="B703" t="s">
        <v>0</v>
      </c>
      <c r="C703" t="s">
        <v>1</v>
      </c>
      <c r="D703" t="s">
        <v>434</v>
      </c>
      <c r="E703" t="s">
        <v>2</v>
      </c>
      <c r="F703" t="s">
        <v>494</v>
      </c>
      <c r="G703" t="s">
        <v>106</v>
      </c>
      <c r="H703" t="s">
        <v>495</v>
      </c>
      <c r="J703">
        <v>2</v>
      </c>
      <c r="K703" t="s">
        <v>108</v>
      </c>
      <c r="L703" t="s">
        <v>122</v>
      </c>
      <c r="M703" t="s">
        <v>4</v>
      </c>
      <c r="N703" t="s">
        <v>5</v>
      </c>
      <c r="O703">
        <v>107</v>
      </c>
      <c r="Q703">
        <v>540</v>
      </c>
      <c r="R703">
        <v>114</v>
      </c>
      <c r="S703">
        <v>4.25</v>
      </c>
      <c r="T703">
        <v>2.9710000000000001</v>
      </c>
      <c r="U703">
        <v>6.07</v>
      </c>
      <c r="V703">
        <v>2296.14</v>
      </c>
      <c r="W703">
        <v>693</v>
      </c>
      <c r="X703">
        <v>1.3332999999999999</v>
      </c>
      <c r="Y703">
        <v>534</v>
      </c>
      <c r="Z703">
        <v>4.3</v>
      </c>
      <c r="AJ703">
        <v>2</v>
      </c>
      <c r="AK703">
        <v>18</v>
      </c>
      <c r="AM703">
        <v>0</v>
      </c>
      <c r="AO703" t="s">
        <v>496</v>
      </c>
      <c r="AT703">
        <v>42</v>
      </c>
      <c r="AV703">
        <v>65.599999999999994</v>
      </c>
      <c r="AW703">
        <v>0.46875</v>
      </c>
      <c r="AX703">
        <v>3.75</v>
      </c>
      <c r="AY703">
        <v>44.25</v>
      </c>
      <c r="AZ703">
        <v>4</v>
      </c>
      <c r="BA703">
        <v>458.33</v>
      </c>
      <c r="BB703">
        <v>4.3</v>
      </c>
      <c r="BC703">
        <v>48</v>
      </c>
      <c r="BD703">
        <v>0.25</v>
      </c>
      <c r="BE703">
        <v>2.75</v>
      </c>
      <c r="BF703">
        <v>15.125</v>
      </c>
      <c r="BG703">
        <v>2.125</v>
      </c>
      <c r="BH703">
        <v>75.64</v>
      </c>
      <c r="BI703">
        <v>4.54</v>
      </c>
      <c r="BJ703">
        <v>7</v>
      </c>
      <c r="BL703">
        <v>533.97</v>
      </c>
      <c r="BM703">
        <v>54</v>
      </c>
      <c r="BN703">
        <v>315.65010000000001</v>
      </c>
      <c r="BO703">
        <v>1041</v>
      </c>
      <c r="BP703">
        <v>0</v>
      </c>
      <c r="BQ703">
        <v>36</v>
      </c>
      <c r="BR703">
        <v>36</v>
      </c>
      <c r="BS703">
        <v>36.340000000000003</v>
      </c>
      <c r="BT703">
        <v>0</v>
      </c>
      <c r="BV703">
        <v>0</v>
      </c>
      <c r="BW703" t="s">
        <v>655</v>
      </c>
      <c r="BX703">
        <v>0.17</v>
      </c>
      <c r="BY703">
        <v>6.1778000000000004</v>
      </c>
      <c r="BZ703">
        <v>0</v>
      </c>
      <c r="CA703">
        <v>1</v>
      </c>
      <c r="CB703">
        <v>0.6</v>
      </c>
      <c r="CC703" s="3">
        <v>7.1269159999999998E-2</v>
      </c>
      <c r="CD703">
        <v>2.875</v>
      </c>
      <c r="CE703">
        <v>2.5</v>
      </c>
      <c r="CF703">
        <v>18</v>
      </c>
      <c r="CG703">
        <v>6</v>
      </c>
      <c r="CH703">
        <v>0</v>
      </c>
      <c r="CI703">
        <v>36.340000000000003</v>
      </c>
      <c r="CJ703">
        <v>468.452</v>
      </c>
    </row>
    <row r="704" spans="1:88">
      <c r="A704">
        <v>703</v>
      </c>
      <c r="B704" t="s">
        <v>0</v>
      </c>
      <c r="C704" t="s">
        <v>1</v>
      </c>
      <c r="D704" t="s">
        <v>96</v>
      </c>
      <c r="E704" t="s">
        <v>123</v>
      </c>
      <c r="F704" t="s">
        <v>198</v>
      </c>
      <c r="G704" t="s">
        <v>106</v>
      </c>
      <c r="H704" t="s">
        <v>162</v>
      </c>
      <c r="J704">
        <v>2</v>
      </c>
      <c r="K704" t="s">
        <v>146</v>
      </c>
      <c r="L704" t="s">
        <v>8</v>
      </c>
      <c r="M704" t="s">
        <v>147</v>
      </c>
      <c r="N704" t="s">
        <v>148</v>
      </c>
      <c r="O704">
        <v>183</v>
      </c>
      <c r="Q704">
        <v>608</v>
      </c>
      <c r="R704">
        <v>81</v>
      </c>
      <c r="S704">
        <v>4.25</v>
      </c>
      <c r="T704">
        <v>4.8079999999999998</v>
      </c>
      <c r="U704">
        <v>7.12</v>
      </c>
      <c r="V704">
        <v>2584.25</v>
      </c>
      <c r="W704">
        <v>576</v>
      </c>
      <c r="X704">
        <v>1.3332999999999999</v>
      </c>
      <c r="Y704">
        <v>421</v>
      </c>
      <c r="Z704">
        <v>6.14</v>
      </c>
      <c r="AJ704">
        <v>2</v>
      </c>
      <c r="AK704">
        <v>18</v>
      </c>
      <c r="AM704">
        <v>0</v>
      </c>
      <c r="AO704" t="s">
        <v>166</v>
      </c>
      <c r="AT704">
        <v>69</v>
      </c>
      <c r="AV704">
        <v>44.8</v>
      </c>
      <c r="AW704">
        <v>0.46875</v>
      </c>
      <c r="AX704">
        <v>3.75</v>
      </c>
      <c r="AY704">
        <v>63.125</v>
      </c>
      <c r="AZ704">
        <v>5.75</v>
      </c>
      <c r="BA704">
        <v>320.98</v>
      </c>
      <c r="BB704">
        <v>6.14</v>
      </c>
      <c r="BC704">
        <v>68</v>
      </c>
      <c r="BD704">
        <v>0.3125</v>
      </c>
      <c r="BE704">
        <v>2.75</v>
      </c>
      <c r="BF704">
        <v>36</v>
      </c>
      <c r="BG704">
        <v>3.875</v>
      </c>
      <c r="BH704">
        <v>99.89</v>
      </c>
      <c r="BI704">
        <v>6.39</v>
      </c>
      <c r="BJ704">
        <v>19</v>
      </c>
      <c r="BL704">
        <v>420.87</v>
      </c>
      <c r="BM704">
        <v>86</v>
      </c>
      <c r="BN704">
        <v>214</v>
      </c>
      <c r="BO704">
        <v>2266</v>
      </c>
      <c r="BP704">
        <v>0</v>
      </c>
      <c r="BQ704">
        <v>63</v>
      </c>
      <c r="BR704">
        <v>63</v>
      </c>
      <c r="BS704">
        <v>62.78</v>
      </c>
      <c r="BT704">
        <v>0</v>
      </c>
      <c r="BV704">
        <v>0</v>
      </c>
      <c r="BW704" t="s">
        <v>655</v>
      </c>
      <c r="BX704">
        <v>0.17</v>
      </c>
      <c r="BY704">
        <v>10.672599999999999</v>
      </c>
      <c r="BZ704">
        <v>0</v>
      </c>
      <c r="CA704">
        <v>1</v>
      </c>
      <c r="CB704">
        <v>0.6</v>
      </c>
      <c r="CC704" s="3">
        <v>7.1269159999999998E-2</v>
      </c>
      <c r="CD704">
        <v>2.875</v>
      </c>
      <c r="CE704">
        <v>2.5</v>
      </c>
      <c r="CF704">
        <v>18</v>
      </c>
      <c r="CG704">
        <v>6</v>
      </c>
      <c r="CH704">
        <v>0</v>
      </c>
      <c r="CI704">
        <v>62.78</v>
      </c>
      <c r="CJ704">
        <v>552.57330000000002</v>
      </c>
    </row>
    <row r="705" spans="1:88">
      <c r="A705">
        <v>704</v>
      </c>
      <c r="B705" t="s">
        <v>0</v>
      </c>
      <c r="C705" t="s">
        <v>1</v>
      </c>
      <c r="D705" t="s">
        <v>19</v>
      </c>
      <c r="E705" t="s">
        <v>113</v>
      </c>
      <c r="F705" t="s">
        <v>114</v>
      </c>
      <c r="G705" t="s">
        <v>214</v>
      </c>
      <c r="H705" t="s">
        <v>115</v>
      </c>
      <c r="J705">
        <v>2</v>
      </c>
      <c r="K705" t="s">
        <v>108</v>
      </c>
      <c r="L705" t="s">
        <v>116</v>
      </c>
      <c r="M705" t="s">
        <v>117</v>
      </c>
      <c r="N705" t="s">
        <v>14</v>
      </c>
      <c r="O705">
        <v>179</v>
      </c>
      <c r="Q705">
        <v>853</v>
      </c>
      <c r="R705">
        <v>112</v>
      </c>
      <c r="S705">
        <v>4.25</v>
      </c>
      <c r="T705">
        <v>4.7190000000000003</v>
      </c>
      <c r="U705">
        <v>7.05</v>
      </c>
      <c r="V705">
        <v>3626.22</v>
      </c>
      <c r="W705">
        <v>791</v>
      </c>
      <c r="X705">
        <v>1.3332999999999999</v>
      </c>
      <c r="Y705">
        <v>599</v>
      </c>
      <c r="Z705">
        <v>6.05</v>
      </c>
      <c r="AJ705">
        <v>2</v>
      </c>
      <c r="AK705">
        <v>18</v>
      </c>
      <c r="AM705">
        <v>0</v>
      </c>
      <c r="AO705" t="s">
        <v>118</v>
      </c>
      <c r="AT705">
        <v>68</v>
      </c>
      <c r="AV705">
        <v>64.5</v>
      </c>
      <c r="AW705">
        <v>0.46875</v>
      </c>
      <c r="AX705">
        <v>3.75</v>
      </c>
      <c r="AY705">
        <v>61.5</v>
      </c>
      <c r="AZ705">
        <v>5.625</v>
      </c>
      <c r="BA705">
        <v>329.65</v>
      </c>
      <c r="BB705">
        <v>5.97</v>
      </c>
      <c r="BC705">
        <v>66</v>
      </c>
      <c r="BD705">
        <v>0.4375</v>
      </c>
      <c r="BE705">
        <v>3.75</v>
      </c>
      <c r="BF705">
        <v>52.75</v>
      </c>
      <c r="BG705">
        <v>5.25</v>
      </c>
      <c r="BH705">
        <v>269.72000000000003</v>
      </c>
      <c r="BI705">
        <v>6.1</v>
      </c>
      <c r="BJ705">
        <v>53</v>
      </c>
      <c r="BL705">
        <v>599.37</v>
      </c>
      <c r="BM705">
        <v>119</v>
      </c>
      <c r="BN705">
        <v>312.91000000000003</v>
      </c>
      <c r="BO705">
        <v>1330</v>
      </c>
      <c r="BP705">
        <v>0</v>
      </c>
      <c r="BQ705">
        <v>61</v>
      </c>
      <c r="BR705">
        <v>61</v>
      </c>
      <c r="BS705">
        <v>61.39</v>
      </c>
      <c r="BT705">
        <v>0</v>
      </c>
      <c r="BV705">
        <v>0</v>
      </c>
      <c r="BW705" t="s">
        <v>655</v>
      </c>
      <c r="BX705">
        <v>0.17</v>
      </c>
      <c r="BY705">
        <v>10.436299999999999</v>
      </c>
      <c r="BZ705">
        <v>0</v>
      </c>
      <c r="CA705">
        <v>1</v>
      </c>
      <c r="CB705">
        <v>0.6</v>
      </c>
      <c r="CC705" s="3">
        <v>7.1269159999999998E-2</v>
      </c>
      <c r="CD705">
        <v>2.875</v>
      </c>
      <c r="CE705">
        <v>2.5</v>
      </c>
      <c r="CF705">
        <v>18</v>
      </c>
      <c r="CG705">
        <v>6</v>
      </c>
      <c r="CH705">
        <v>0</v>
      </c>
      <c r="CI705">
        <v>61.39</v>
      </c>
      <c r="CJ705">
        <v>778.24109999999996</v>
      </c>
    </row>
    <row r="706" spans="1:88">
      <c r="A706">
        <v>705</v>
      </c>
      <c r="B706" t="s">
        <v>0</v>
      </c>
      <c r="C706" t="s">
        <v>1</v>
      </c>
      <c r="D706" t="s">
        <v>267</v>
      </c>
      <c r="E706" t="s">
        <v>229</v>
      </c>
      <c r="F706" t="s">
        <v>269</v>
      </c>
      <c r="G706" t="s">
        <v>106</v>
      </c>
      <c r="H706" t="s">
        <v>131</v>
      </c>
      <c r="J706">
        <v>2</v>
      </c>
      <c r="K706" t="s">
        <v>146</v>
      </c>
      <c r="L706" t="s">
        <v>128</v>
      </c>
      <c r="M706" t="s">
        <v>404</v>
      </c>
      <c r="N706" t="s">
        <v>268</v>
      </c>
      <c r="O706">
        <v>120</v>
      </c>
      <c r="Q706">
        <v>503</v>
      </c>
      <c r="R706">
        <v>97</v>
      </c>
      <c r="S706">
        <v>4.25</v>
      </c>
      <c r="T706">
        <v>3.3079999999999998</v>
      </c>
      <c r="U706">
        <v>6.15</v>
      </c>
      <c r="V706">
        <v>2138.21</v>
      </c>
      <c r="W706">
        <v>596</v>
      </c>
      <c r="X706">
        <v>1.3332999999999999</v>
      </c>
      <c r="Y706">
        <v>461</v>
      </c>
      <c r="Z706">
        <v>4.6399999999999997</v>
      </c>
      <c r="AJ706">
        <v>2</v>
      </c>
      <c r="AK706">
        <v>18</v>
      </c>
      <c r="AM706">
        <v>0</v>
      </c>
      <c r="AO706" t="s">
        <v>271</v>
      </c>
      <c r="AT706">
        <v>47</v>
      </c>
      <c r="AV706">
        <v>54.9</v>
      </c>
      <c r="AW706">
        <v>0.46875</v>
      </c>
      <c r="AX706">
        <v>3.75</v>
      </c>
      <c r="AY706">
        <v>47.75</v>
      </c>
      <c r="AZ706">
        <v>4.375</v>
      </c>
      <c r="BA706">
        <v>424.74</v>
      </c>
      <c r="BB706">
        <v>4.6399999999999997</v>
      </c>
      <c r="BC706">
        <v>51</v>
      </c>
      <c r="BD706">
        <v>0.25</v>
      </c>
      <c r="BE706">
        <v>2.75</v>
      </c>
      <c r="BF706">
        <v>31.875</v>
      </c>
      <c r="BG706">
        <v>2.375</v>
      </c>
      <c r="BH706">
        <v>36.08</v>
      </c>
      <c r="BI706">
        <v>9.51</v>
      </c>
      <c r="BJ706">
        <v>14</v>
      </c>
      <c r="BL706">
        <v>460.82</v>
      </c>
      <c r="BM706">
        <v>65</v>
      </c>
      <c r="BN706">
        <v>263.93340000000001</v>
      </c>
      <c r="BO706">
        <v>1490</v>
      </c>
      <c r="BP706">
        <v>0</v>
      </c>
      <c r="BQ706">
        <v>41</v>
      </c>
      <c r="BR706">
        <v>41</v>
      </c>
      <c r="BS706">
        <v>40.86</v>
      </c>
      <c r="BT706">
        <v>0</v>
      </c>
      <c r="BV706">
        <v>0</v>
      </c>
      <c r="BW706" t="s">
        <v>655</v>
      </c>
      <c r="BX706">
        <v>0.17</v>
      </c>
      <c r="BY706">
        <v>6.9462010000000003</v>
      </c>
      <c r="BZ706">
        <v>0</v>
      </c>
      <c r="CA706">
        <v>1</v>
      </c>
      <c r="CB706">
        <v>0.6</v>
      </c>
      <c r="CC706" s="3">
        <v>7.1269159999999998E-2</v>
      </c>
      <c r="CD706">
        <v>2.875</v>
      </c>
      <c r="CE706">
        <v>2.5</v>
      </c>
      <c r="CF706">
        <v>18</v>
      </c>
      <c r="CG706">
        <v>6</v>
      </c>
      <c r="CH706">
        <v>0</v>
      </c>
      <c r="CI706">
        <v>40.86</v>
      </c>
      <c r="CJ706">
        <v>441.17680000000001</v>
      </c>
    </row>
    <row r="707" spans="1:88">
      <c r="A707">
        <v>706</v>
      </c>
      <c r="B707" t="s">
        <v>0</v>
      </c>
      <c r="C707" t="s">
        <v>1</v>
      </c>
      <c r="D707" t="s">
        <v>8</v>
      </c>
      <c r="E707" t="s">
        <v>268</v>
      </c>
      <c r="F707" t="s">
        <v>246</v>
      </c>
      <c r="G707" t="s">
        <v>214</v>
      </c>
      <c r="H707" t="s">
        <v>247</v>
      </c>
      <c r="J707">
        <v>2</v>
      </c>
      <c r="K707" t="s">
        <v>108</v>
      </c>
      <c r="L707" t="s">
        <v>133</v>
      </c>
      <c r="M707" t="s">
        <v>270</v>
      </c>
      <c r="N707" t="s">
        <v>153</v>
      </c>
      <c r="O707">
        <v>123</v>
      </c>
      <c r="Q707">
        <v>663</v>
      </c>
      <c r="R707">
        <v>124</v>
      </c>
      <c r="S707">
        <v>4.25</v>
      </c>
      <c r="T707">
        <v>3.3849999999999998</v>
      </c>
      <c r="U707">
        <v>6.22</v>
      </c>
      <c r="V707">
        <v>2818.94</v>
      </c>
      <c r="W707">
        <v>769</v>
      </c>
      <c r="X707">
        <v>1.3332999999999999</v>
      </c>
      <c r="Y707">
        <v>599</v>
      </c>
      <c r="Z707">
        <v>4.71</v>
      </c>
      <c r="AJ707">
        <v>2</v>
      </c>
      <c r="AK707">
        <v>18</v>
      </c>
      <c r="AM707">
        <v>0</v>
      </c>
      <c r="AO707" t="s">
        <v>250</v>
      </c>
      <c r="AT707">
        <v>48</v>
      </c>
      <c r="AV707">
        <v>71.099999999999994</v>
      </c>
      <c r="AW707" t="s">
        <v>6</v>
      </c>
      <c r="AX707" t="s">
        <v>6</v>
      </c>
      <c r="AY707" t="s">
        <v>6</v>
      </c>
      <c r="AZ707" t="s">
        <v>6</v>
      </c>
      <c r="BA707" t="s">
        <v>6</v>
      </c>
      <c r="BB707" t="s">
        <v>6</v>
      </c>
      <c r="BC707" t="s">
        <v>6</v>
      </c>
      <c r="BD707" t="s">
        <v>6</v>
      </c>
      <c r="BE707" t="s">
        <v>6</v>
      </c>
      <c r="BF707" t="s">
        <v>6</v>
      </c>
      <c r="BG707" t="s">
        <v>6</v>
      </c>
      <c r="BH707" t="s">
        <v>6</v>
      </c>
      <c r="BI707" t="s">
        <v>6</v>
      </c>
      <c r="BJ707" t="s">
        <v>6</v>
      </c>
      <c r="BN707">
        <v>345.28</v>
      </c>
      <c r="BO707">
        <v>1092</v>
      </c>
      <c r="BP707">
        <v>0</v>
      </c>
      <c r="BQ707">
        <v>42</v>
      </c>
      <c r="BR707">
        <v>42</v>
      </c>
      <c r="BS707">
        <v>41.91</v>
      </c>
      <c r="BT707">
        <v>0</v>
      </c>
      <c r="BV707">
        <v>0</v>
      </c>
      <c r="BW707" t="s">
        <v>655</v>
      </c>
      <c r="BX707">
        <v>0.17</v>
      </c>
      <c r="BY707">
        <v>7.1246999999999998</v>
      </c>
      <c r="BZ707">
        <v>0</v>
      </c>
      <c r="CA707">
        <v>1</v>
      </c>
      <c r="CB707">
        <v>0.6</v>
      </c>
      <c r="CC707" s="3">
        <v>7.1269159999999998E-2</v>
      </c>
      <c r="CD707">
        <v>2.875</v>
      </c>
      <c r="CE707">
        <v>2.5</v>
      </c>
      <c r="CF707">
        <v>18</v>
      </c>
      <c r="CG707">
        <v>6</v>
      </c>
      <c r="CH707">
        <v>0</v>
      </c>
      <c r="CI707">
        <v>41.91</v>
      </c>
      <c r="CJ707">
        <v>585.05709999999999</v>
      </c>
    </row>
    <row r="708" spans="1:88">
      <c r="A708">
        <v>707</v>
      </c>
      <c r="B708" t="s">
        <v>13</v>
      </c>
      <c r="C708" t="s">
        <v>1</v>
      </c>
      <c r="D708" t="s">
        <v>139</v>
      </c>
      <c r="E708" t="s">
        <v>169</v>
      </c>
      <c r="F708" t="s">
        <v>155</v>
      </c>
      <c r="G708" t="s">
        <v>106</v>
      </c>
      <c r="H708" t="s">
        <v>151</v>
      </c>
      <c r="J708">
        <v>2</v>
      </c>
      <c r="K708" t="s">
        <v>146</v>
      </c>
      <c r="L708" t="s">
        <v>381</v>
      </c>
      <c r="M708" t="s">
        <v>173</v>
      </c>
      <c r="N708" t="s">
        <v>174</v>
      </c>
      <c r="O708">
        <v>119</v>
      </c>
      <c r="Q708">
        <v>337</v>
      </c>
      <c r="R708">
        <v>68</v>
      </c>
      <c r="S708">
        <v>4.25</v>
      </c>
      <c r="T708">
        <v>3.2829999999999999</v>
      </c>
      <c r="U708">
        <v>6.15</v>
      </c>
      <c r="V708">
        <v>1431.57</v>
      </c>
      <c r="W708">
        <v>420</v>
      </c>
      <c r="X708">
        <v>1.3332999999999999</v>
      </c>
      <c r="Y708">
        <v>311</v>
      </c>
      <c r="Z708">
        <v>4.6100000000000003</v>
      </c>
      <c r="AJ708">
        <v>2</v>
      </c>
      <c r="AK708">
        <v>18</v>
      </c>
      <c r="AM708">
        <v>0</v>
      </c>
      <c r="AO708" t="s">
        <v>154</v>
      </c>
      <c r="AT708">
        <v>47</v>
      </c>
      <c r="AV708">
        <v>36.799999999999997</v>
      </c>
      <c r="AW708">
        <v>0</v>
      </c>
      <c r="AX708">
        <v>0</v>
      </c>
      <c r="AY708">
        <v>45.875</v>
      </c>
      <c r="AZ708">
        <v>4</v>
      </c>
      <c r="BA708">
        <v>0</v>
      </c>
      <c r="BB708">
        <v>0</v>
      </c>
      <c r="BC708">
        <v>46</v>
      </c>
      <c r="BN708">
        <v>174.76669999999999</v>
      </c>
      <c r="BO708">
        <v>3397</v>
      </c>
      <c r="BP708">
        <v>0</v>
      </c>
      <c r="BQ708">
        <v>41</v>
      </c>
      <c r="BR708">
        <v>41</v>
      </c>
      <c r="BS708">
        <v>40.520000000000003</v>
      </c>
      <c r="BT708">
        <v>0</v>
      </c>
      <c r="BV708">
        <v>0</v>
      </c>
      <c r="BW708" t="s">
        <v>655</v>
      </c>
      <c r="BX708">
        <v>0.17</v>
      </c>
      <c r="BY708">
        <v>6.8883999999999999</v>
      </c>
      <c r="BZ708">
        <v>0</v>
      </c>
      <c r="CA708">
        <v>1</v>
      </c>
      <c r="CB708">
        <v>0.6</v>
      </c>
      <c r="CC708" s="3">
        <v>7.1269159999999998E-2</v>
      </c>
      <c r="CD708">
        <v>2.875</v>
      </c>
      <c r="CE708">
        <v>2.5</v>
      </c>
      <c r="CF708">
        <v>18</v>
      </c>
      <c r="CG708">
        <v>6</v>
      </c>
      <c r="CH708">
        <v>0</v>
      </c>
      <c r="CI708">
        <v>40.520000000000003</v>
      </c>
      <c r="CJ708">
        <v>293.11439999999999</v>
      </c>
    </row>
    <row r="709" spans="1:88">
      <c r="A709">
        <v>708</v>
      </c>
      <c r="B709" t="s">
        <v>13</v>
      </c>
      <c r="C709" t="s">
        <v>1</v>
      </c>
      <c r="D709" t="s">
        <v>103</v>
      </c>
      <c r="E709" t="s">
        <v>552</v>
      </c>
      <c r="F709" t="s">
        <v>105</v>
      </c>
      <c r="G709" t="s">
        <v>106</v>
      </c>
      <c r="H709" t="s">
        <v>107</v>
      </c>
      <c r="J709">
        <v>2</v>
      </c>
      <c r="K709" t="s">
        <v>108</v>
      </c>
      <c r="L709" t="s">
        <v>104</v>
      </c>
      <c r="M709" t="s">
        <v>600</v>
      </c>
      <c r="N709" t="s">
        <v>348</v>
      </c>
      <c r="O709">
        <v>171</v>
      </c>
      <c r="Q709">
        <v>736</v>
      </c>
      <c r="R709">
        <v>102</v>
      </c>
      <c r="S709">
        <v>4.25</v>
      </c>
      <c r="T709">
        <v>4.5380000000000003</v>
      </c>
      <c r="U709">
        <v>6.93</v>
      </c>
      <c r="V709">
        <v>3126.64</v>
      </c>
      <c r="W709">
        <v>705</v>
      </c>
      <c r="X709">
        <v>1.3332999999999999</v>
      </c>
      <c r="Y709">
        <v>533</v>
      </c>
      <c r="Z709">
        <v>5.87</v>
      </c>
      <c r="AJ709">
        <v>2</v>
      </c>
      <c r="AK709">
        <v>18</v>
      </c>
      <c r="AM709">
        <v>0</v>
      </c>
      <c r="AO709" t="s">
        <v>112</v>
      </c>
      <c r="AT709">
        <v>65</v>
      </c>
      <c r="AV709">
        <v>58</v>
      </c>
      <c r="AW709">
        <v>0.4375</v>
      </c>
      <c r="AX709">
        <v>3.75</v>
      </c>
      <c r="AY709">
        <v>53.375</v>
      </c>
      <c r="AZ709">
        <v>5.125</v>
      </c>
      <c r="BA709">
        <v>266.32</v>
      </c>
      <c r="BB709">
        <v>6.17</v>
      </c>
      <c r="BC709">
        <v>54</v>
      </c>
      <c r="BD709">
        <v>0.4375</v>
      </c>
      <c r="BE709">
        <v>3.75</v>
      </c>
      <c r="BF709">
        <v>53.375</v>
      </c>
      <c r="BG709">
        <v>5.125</v>
      </c>
      <c r="BH709">
        <v>266.32</v>
      </c>
      <c r="BI709">
        <v>6.17</v>
      </c>
      <c r="BJ709">
        <v>54</v>
      </c>
      <c r="BL709">
        <v>532.64</v>
      </c>
      <c r="BM709">
        <v>108</v>
      </c>
      <c r="BN709">
        <v>278.20010000000002</v>
      </c>
      <c r="BO709">
        <v>1341</v>
      </c>
      <c r="BP709">
        <v>0</v>
      </c>
      <c r="BQ709">
        <v>59</v>
      </c>
      <c r="BR709">
        <v>59</v>
      </c>
      <c r="BS709">
        <v>58.6</v>
      </c>
      <c r="BT709">
        <v>0</v>
      </c>
      <c r="BV709">
        <v>0</v>
      </c>
      <c r="BW709" t="s">
        <v>655</v>
      </c>
      <c r="BX709">
        <v>0.17</v>
      </c>
      <c r="BY709">
        <v>9.9619999999999997</v>
      </c>
      <c r="BZ709">
        <v>0</v>
      </c>
      <c r="CA709">
        <v>1</v>
      </c>
      <c r="CB709">
        <v>0.6</v>
      </c>
      <c r="CC709" s="3">
        <v>7.1269159999999998E-2</v>
      </c>
      <c r="CD709">
        <v>2.875</v>
      </c>
      <c r="CE709">
        <v>2.5</v>
      </c>
      <c r="CF709">
        <v>18</v>
      </c>
      <c r="CG709">
        <v>6</v>
      </c>
      <c r="CH709">
        <v>0</v>
      </c>
      <c r="CI709">
        <v>58.6</v>
      </c>
      <c r="CJ709">
        <v>667.69749999999999</v>
      </c>
    </row>
    <row r="710" spans="1:88">
      <c r="A710">
        <v>709</v>
      </c>
      <c r="B710" t="s">
        <v>13</v>
      </c>
      <c r="C710" t="s">
        <v>1</v>
      </c>
      <c r="D710" t="s">
        <v>464</v>
      </c>
      <c r="E710" t="s">
        <v>167</v>
      </c>
      <c r="F710" t="s">
        <v>467</v>
      </c>
      <c r="G710" t="s">
        <v>106</v>
      </c>
      <c r="H710" t="s">
        <v>178</v>
      </c>
      <c r="J710">
        <v>2</v>
      </c>
      <c r="K710" t="s">
        <v>146</v>
      </c>
      <c r="L710" t="s">
        <v>207</v>
      </c>
      <c r="M710" t="s">
        <v>327</v>
      </c>
      <c r="N710" t="s">
        <v>330</v>
      </c>
      <c r="O710">
        <v>133</v>
      </c>
      <c r="Q710">
        <v>326</v>
      </c>
      <c r="R710">
        <v>61</v>
      </c>
      <c r="S710">
        <v>4.25</v>
      </c>
      <c r="T710">
        <v>3.6349999999999998</v>
      </c>
      <c r="U710">
        <v>6.41</v>
      </c>
      <c r="V710">
        <v>1386.01</v>
      </c>
      <c r="W710">
        <v>389</v>
      </c>
      <c r="X710">
        <v>1.5</v>
      </c>
      <c r="Y710">
        <v>270</v>
      </c>
      <c r="Z710">
        <v>5.13</v>
      </c>
      <c r="AJ710">
        <v>2</v>
      </c>
      <c r="AK710">
        <v>18</v>
      </c>
      <c r="AM710">
        <v>0</v>
      </c>
      <c r="AO710" t="s">
        <v>179</v>
      </c>
      <c r="AT710">
        <v>52</v>
      </c>
      <c r="AV710">
        <v>32.1</v>
      </c>
      <c r="AW710">
        <v>0</v>
      </c>
      <c r="AX710">
        <v>0</v>
      </c>
      <c r="AY710">
        <v>52.625</v>
      </c>
      <c r="AZ710">
        <v>4.5</v>
      </c>
      <c r="BA710">
        <v>0</v>
      </c>
      <c r="BB710">
        <v>0</v>
      </c>
      <c r="BC710">
        <v>53</v>
      </c>
      <c r="BN710">
        <v>151.58340000000001</v>
      </c>
      <c r="BO710">
        <v>4516</v>
      </c>
      <c r="BP710">
        <v>0</v>
      </c>
      <c r="BQ710">
        <v>45</v>
      </c>
      <c r="BR710">
        <v>45</v>
      </c>
      <c r="BS710">
        <v>45.39</v>
      </c>
      <c r="BT710">
        <v>0</v>
      </c>
      <c r="BV710">
        <v>0</v>
      </c>
      <c r="BW710" t="s">
        <v>655</v>
      </c>
      <c r="BX710">
        <v>0.17</v>
      </c>
      <c r="BY710">
        <v>7.7163000000000004</v>
      </c>
      <c r="BZ710">
        <v>0</v>
      </c>
      <c r="CA710">
        <v>1</v>
      </c>
      <c r="CB710">
        <v>0.6</v>
      </c>
      <c r="CC710" s="3">
        <v>7.1269159999999998E-2</v>
      </c>
      <c r="CD710">
        <v>2.875</v>
      </c>
      <c r="CE710">
        <v>2.5</v>
      </c>
      <c r="CF710">
        <v>18</v>
      </c>
      <c r="CG710">
        <v>6</v>
      </c>
      <c r="CH710">
        <v>0</v>
      </c>
      <c r="CI710">
        <v>45.39</v>
      </c>
      <c r="CJ710">
        <v>286.28930000000003</v>
      </c>
    </row>
    <row r="711" spans="1:88">
      <c r="A711">
        <v>710</v>
      </c>
      <c r="B711" t="s">
        <v>0</v>
      </c>
      <c r="C711" t="s">
        <v>1</v>
      </c>
      <c r="D711" t="s">
        <v>381</v>
      </c>
      <c r="E711" t="s">
        <v>133</v>
      </c>
      <c r="F711" t="s">
        <v>132</v>
      </c>
      <c r="G711" t="s">
        <v>106</v>
      </c>
      <c r="H711" t="s">
        <v>340</v>
      </c>
      <c r="J711">
        <v>2</v>
      </c>
      <c r="K711" t="s">
        <v>146</v>
      </c>
      <c r="L711" t="s">
        <v>353</v>
      </c>
      <c r="M711" t="s">
        <v>194</v>
      </c>
      <c r="N711" t="s">
        <v>195</v>
      </c>
      <c r="O711">
        <v>143</v>
      </c>
      <c r="Q711">
        <v>514</v>
      </c>
      <c r="R711">
        <v>85</v>
      </c>
      <c r="S711">
        <v>4.25</v>
      </c>
      <c r="T711">
        <v>3.88</v>
      </c>
      <c r="U711">
        <v>6.6</v>
      </c>
      <c r="V711">
        <v>2184.2399999999998</v>
      </c>
      <c r="W711">
        <v>564</v>
      </c>
      <c r="X711">
        <v>1.3332999999999999</v>
      </c>
      <c r="Y711">
        <v>419</v>
      </c>
      <c r="Z711">
        <v>5.21</v>
      </c>
      <c r="AJ711">
        <v>2</v>
      </c>
      <c r="AK711">
        <v>18</v>
      </c>
      <c r="AM711">
        <v>0</v>
      </c>
      <c r="AO711" t="s">
        <v>359</v>
      </c>
      <c r="AT711">
        <v>55</v>
      </c>
      <c r="AV711">
        <v>47.7</v>
      </c>
      <c r="AW711">
        <v>0.46875</v>
      </c>
      <c r="AX711">
        <v>3.75</v>
      </c>
      <c r="AY711">
        <v>53.625</v>
      </c>
      <c r="AZ711">
        <v>4.875</v>
      </c>
      <c r="BA711">
        <v>378.27</v>
      </c>
      <c r="BB711">
        <v>5.21</v>
      </c>
      <c r="BC711">
        <v>58</v>
      </c>
      <c r="BD711">
        <v>0.25</v>
      </c>
      <c r="BE711">
        <v>2.75</v>
      </c>
      <c r="BF711">
        <v>28</v>
      </c>
      <c r="BG711">
        <v>2.625</v>
      </c>
      <c r="BH711">
        <v>40.96</v>
      </c>
      <c r="BI711">
        <v>8.3800000000000008</v>
      </c>
      <c r="BJ711">
        <v>12</v>
      </c>
      <c r="BL711">
        <v>419.23</v>
      </c>
      <c r="BM711">
        <v>69</v>
      </c>
      <c r="BN711">
        <v>228.26669999999999</v>
      </c>
      <c r="BO711">
        <v>1992</v>
      </c>
      <c r="BP711">
        <v>0</v>
      </c>
      <c r="BQ711">
        <v>49</v>
      </c>
      <c r="BR711">
        <v>49</v>
      </c>
      <c r="BS711">
        <v>48.86</v>
      </c>
      <c r="BT711">
        <v>0</v>
      </c>
      <c r="BV711">
        <v>0</v>
      </c>
      <c r="BW711" t="s">
        <v>655</v>
      </c>
      <c r="BX711">
        <v>0.17</v>
      </c>
      <c r="BY711">
        <v>8.3062000000000005</v>
      </c>
      <c r="BZ711">
        <v>0</v>
      </c>
      <c r="CA711">
        <v>1</v>
      </c>
      <c r="CB711">
        <v>0.6</v>
      </c>
      <c r="CC711" s="3">
        <v>7.1269159999999998E-2</v>
      </c>
      <c r="CD711">
        <v>2.875</v>
      </c>
      <c r="CE711">
        <v>2.5</v>
      </c>
      <c r="CF711">
        <v>18</v>
      </c>
      <c r="CG711">
        <v>6</v>
      </c>
      <c r="CH711">
        <v>0</v>
      </c>
      <c r="CI711">
        <v>48.86</v>
      </c>
      <c r="CJ711">
        <v>457.91070000000002</v>
      </c>
    </row>
    <row r="712" spans="1:88">
      <c r="A712">
        <v>711</v>
      </c>
      <c r="B712" t="s">
        <v>13</v>
      </c>
      <c r="C712" t="s">
        <v>1</v>
      </c>
      <c r="D712" t="s">
        <v>99</v>
      </c>
      <c r="E712" t="s">
        <v>143</v>
      </c>
      <c r="F712" t="s">
        <v>296</v>
      </c>
      <c r="G712" t="s">
        <v>106</v>
      </c>
      <c r="H712" t="s">
        <v>165</v>
      </c>
      <c r="J712">
        <v>2</v>
      </c>
      <c r="K712" t="s">
        <v>146</v>
      </c>
      <c r="L712" t="s">
        <v>297</v>
      </c>
      <c r="M712" t="s">
        <v>206</v>
      </c>
      <c r="N712" t="s">
        <v>131</v>
      </c>
      <c r="O712">
        <v>155</v>
      </c>
      <c r="Q712">
        <v>595</v>
      </c>
      <c r="R712">
        <v>91</v>
      </c>
      <c r="S712">
        <v>4.25</v>
      </c>
      <c r="T712">
        <v>4.1660000000000004</v>
      </c>
      <c r="U712">
        <v>6.78</v>
      </c>
      <c r="V712">
        <v>2529.85</v>
      </c>
      <c r="W712">
        <v>618</v>
      </c>
      <c r="X712">
        <v>1.3332999999999999</v>
      </c>
      <c r="Y712">
        <v>461</v>
      </c>
      <c r="Z712">
        <v>5.49</v>
      </c>
      <c r="AJ712">
        <v>2</v>
      </c>
      <c r="AK712">
        <v>18</v>
      </c>
      <c r="AM712">
        <v>0</v>
      </c>
      <c r="AO712" t="s">
        <v>252</v>
      </c>
      <c r="AT712">
        <v>59</v>
      </c>
      <c r="AV712">
        <v>51.3</v>
      </c>
      <c r="AW712">
        <v>0.46875</v>
      </c>
      <c r="AX712">
        <v>3.75</v>
      </c>
      <c r="AY712">
        <v>56.5</v>
      </c>
      <c r="AZ712">
        <v>5.125</v>
      </c>
      <c r="BA712">
        <v>358.98</v>
      </c>
      <c r="BB712">
        <v>5.49</v>
      </c>
      <c r="BC712">
        <v>61</v>
      </c>
      <c r="BD712">
        <v>0.3125</v>
      </c>
      <c r="BE712">
        <v>2.75</v>
      </c>
      <c r="BF712">
        <v>35.375</v>
      </c>
      <c r="BG712">
        <v>3.375</v>
      </c>
      <c r="BH712">
        <v>101.82</v>
      </c>
      <c r="BI712">
        <v>6.27</v>
      </c>
      <c r="BJ712">
        <v>19</v>
      </c>
      <c r="BL712">
        <v>460.8</v>
      </c>
      <c r="BM712">
        <v>79</v>
      </c>
      <c r="BN712">
        <v>246.1</v>
      </c>
      <c r="BO712">
        <v>1713</v>
      </c>
      <c r="BP712">
        <v>0</v>
      </c>
      <c r="BQ712">
        <v>53</v>
      </c>
      <c r="BR712">
        <v>53</v>
      </c>
      <c r="BS712">
        <v>53.04</v>
      </c>
      <c r="BT712">
        <v>0</v>
      </c>
      <c r="BV712">
        <v>0</v>
      </c>
      <c r="BW712" t="s">
        <v>655</v>
      </c>
      <c r="BX712">
        <v>0.17</v>
      </c>
      <c r="BY712">
        <v>9.0167999999999999</v>
      </c>
      <c r="BZ712">
        <v>0</v>
      </c>
      <c r="CA712">
        <v>1</v>
      </c>
      <c r="CB712">
        <v>0.6</v>
      </c>
      <c r="CC712" s="3">
        <v>7.1269159999999998E-2</v>
      </c>
      <c r="CD712">
        <v>2.875</v>
      </c>
      <c r="CE712">
        <v>2.5</v>
      </c>
      <c r="CF712">
        <v>18</v>
      </c>
      <c r="CG712">
        <v>6</v>
      </c>
      <c r="CH712">
        <v>0</v>
      </c>
      <c r="CI712">
        <v>53.04</v>
      </c>
      <c r="CJ712">
        <v>534.88649999999996</v>
      </c>
    </row>
    <row r="713" spans="1:88">
      <c r="A713">
        <v>712</v>
      </c>
      <c r="B713" t="s">
        <v>0</v>
      </c>
      <c r="C713" t="s">
        <v>1</v>
      </c>
      <c r="D713" t="s">
        <v>284</v>
      </c>
      <c r="E713" t="s">
        <v>2</v>
      </c>
      <c r="F713" t="s">
        <v>374</v>
      </c>
      <c r="G713" t="s">
        <v>106</v>
      </c>
      <c r="H713" t="s">
        <v>448</v>
      </c>
      <c r="J713">
        <v>2</v>
      </c>
      <c r="K713" t="s">
        <v>146</v>
      </c>
      <c r="L713" t="s">
        <v>122</v>
      </c>
      <c r="M713" t="s">
        <v>4</v>
      </c>
      <c r="N713" t="s">
        <v>5</v>
      </c>
      <c r="O713">
        <v>107</v>
      </c>
      <c r="Q713">
        <v>238</v>
      </c>
      <c r="R713">
        <v>50</v>
      </c>
      <c r="S713">
        <v>4.25</v>
      </c>
      <c r="T713">
        <v>2.9710000000000001</v>
      </c>
      <c r="U713">
        <v>6.07</v>
      </c>
      <c r="V713">
        <v>1011.37</v>
      </c>
      <c r="W713">
        <v>304</v>
      </c>
      <c r="X713">
        <v>1.3332999999999999</v>
      </c>
      <c r="Y713">
        <v>235</v>
      </c>
      <c r="Z713">
        <v>4.3</v>
      </c>
      <c r="AJ713">
        <v>2</v>
      </c>
      <c r="AK713">
        <v>18</v>
      </c>
      <c r="AM713">
        <v>0</v>
      </c>
      <c r="AO713" t="s">
        <v>481</v>
      </c>
      <c r="AT713">
        <v>42</v>
      </c>
      <c r="AV713">
        <v>28.4</v>
      </c>
      <c r="AW713">
        <v>0</v>
      </c>
      <c r="AX713">
        <v>0</v>
      </c>
      <c r="AY713">
        <v>27.5</v>
      </c>
      <c r="AZ713">
        <v>3.25</v>
      </c>
      <c r="BA713">
        <v>0</v>
      </c>
      <c r="BB713">
        <v>0</v>
      </c>
      <c r="BC713">
        <v>24</v>
      </c>
      <c r="BN713">
        <v>133.75</v>
      </c>
      <c r="BO713">
        <v>5801</v>
      </c>
      <c r="BP713">
        <v>0</v>
      </c>
      <c r="BQ713">
        <v>36</v>
      </c>
      <c r="BR713">
        <v>36</v>
      </c>
      <c r="BS713">
        <v>36.340000000000003</v>
      </c>
      <c r="BT713">
        <v>0</v>
      </c>
      <c r="BV713">
        <v>0</v>
      </c>
      <c r="BW713" t="s">
        <v>655</v>
      </c>
      <c r="BX713">
        <v>0.17</v>
      </c>
      <c r="BY713">
        <v>6.1778000000000004</v>
      </c>
      <c r="BZ713">
        <v>0</v>
      </c>
      <c r="CA713">
        <v>1</v>
      </c>
      <c r="CB713">
        <v>0.6</v>
      </c>
      <c r="CC713" s="3">
        <v>7.1269159999999998E-2</v>
      </c>
      <c r="CD713">
        <v>2.875</v>
      </c>
      <c r="CE713">
        <v>2.5</v>
      </c>
      <c r="CF713">
        <v>18</v>
      </c>
      <c r="CG713">
        <v>6</v>
      </c>
      <c r="CH713">
        <v>0</v>
      </c>
      <c r="CI713">
        <v>36.340000000000003</v>
      </c>
      <c r="CJ713">
        <v>203.30879999999999</v>
      </c>
    </row>
    <row r="714" spans="1:88">
      <c r="A714">
        <v>713</v>
      </c>
      <c r="B714" t="s">
        <v>0</v>
      </c>
      <c r="C714" t="s">
        <v>1</v>
      </c>
      <c r="D714" t="s">
        <v>425</v>
      </c>
      <c r="E714" t="s">
        <v>197</v>
      </c>
      <c r="F714" t="s">
        <v>290</v>
      </c>
      <c r="G714" t="s">
        <v>15</v>
      </c>
      <c r="H714" t="s">
        <v>426</v>
      </c>
      <c r="J714">
        <v>2</v>
      </c>
      <c r="K714" t="s">
        <v>108</v>
      </c>
      <c r="L714" t="s">
        <v>199</v>
      </c>
      <c r="M714" t="s">
        <v>200</v>
      </c>
      <c r="N714" t="s">
        <v>201</v>
      </c>
      <c r="O714">
        <v>173</v>
      </c>
      <c r="Q714">
        <v>964</v>
      </c>
      <c r="R714">
        <v>131</v>
      </c>
      <c r="S714">
        <v>4.25</v>
      </c>
      <c r="T714">
        <v>4.5830000000000002</v>
      </c>
      <c r="U714">
        <v>6.97</v>
      </c>
      <c r="V714">
        <v>4097.25</v>
      </c>
      <c r="W714">
        <v>914</v>
      </c>
      <c r="X714">
        <v>1.3332999999999999</v>
      </c>
      <c r="Y714">
        <v>693</v>
      </c>
      <c r="Z714">
        <v>5.91</v>
      </c>
      <c r="AJ714">
        <v>2</v>
      </c>
      <c r="AK714">
        <v>18</v>
      </c>
      <c r="AM714">
        <v>0</v>
      </c>
      <c r="AO714" t="s">
        <v>427</v>
      </c>
      <c r="AT714">
        <v>65</v>
      </c>
      <c r="AV714">
        <v>75.400000000000006</v>
      </c>
      <c r="AW714" t="s">
        <v>6</v>
      </c>
      <c r="AX714" t="s">
        <v>6</v>
      </c>
      <c r="AY714" t="s">
        <v>6</v>
      </c>
      <c r="AZ714" t="s">
        <v>6</v>
      </c>
      <c r="BA714" t="s">
        <v>6</v>
      </c>
      <c r="BB714" t="s">
        <v>6</v>
      </c>
      <c r="BC714" t="s">
        <v>6</v>
      </c>
      <c r="BD714" t="s">
        <v>6</v>
      </c>
      <c r="BE714" t="s">
        <v>6</v>
      </c>
      <c r="BF714" t="s">
        <v>6</v>
      </c>
      <c r="BG714" t="s">
        <v>6</v>
      </c>
      <c r="BH714" t="s">
        <v>6</v>
      </c>
      <c r="BI714" t="s">
        <v>6</v>
      </c>
      <c r="BJ714" t="s">
        <v>6</v>
      </c>
      <c r="BN714">
        <v>644.04330000000004</v>
      </c>
      <c r="BO714">
        <v>2637</v>
      </c>
      <c r="BP714">
        <v>0</v>
      </c>
      <c r="BQ714">
        <v>59</v>
      </c>
      <c r="BR714">
        <v>59</v>
      </c>
      <c r="BS714">
        <v>59.3</v>
      </c>
      <c r="BT714">
        <v>0</v>
      </c>
      <c r="BV714">
        <v>0</v>
      </c>
      <c r="BW714" t="s">
        <v>655</v>
      </c>
      <c r="BX714">
        <v>0.17</v>
      </c>
      <c r="BY714">
        <v>10.081</v>
      </c>
      <c r="BZ714">
        <v>0</v>
      </c>
      <c r="CA714">
        <v>1</v>
      </c>
      <c r="CB714">
        <v>0.6</v>
      </c>
      <c r="CC714" s="3">
        <v>7.1269159999999998E-2</v>
      </c>
      <c r="CD714">
        <v>2.875</v>
      </c>
      <c r="CE714">
        <v>2.5</v>
      </c>
      <c r="CF714">
        <v>18</v>
      </c>
      <c r="CG714">
        <v>6</v>
      </c>
      <c r="CH714">
        <v>0</v>
      </c>
      <c r="CI714">
        <v>59.3</v>
      </c>
      <c r="CJ714">
        <v>878.53390000000002</v>
      </c>
    </row>
    <row r="715" spans="1:88">
      <c r="A715">
        <v>714</v>
      </c>
      <c r="B715" t="s">
        <v>0</v>
      </c>
      <c r="C715" t="s">
        <v>1</v>
      </c>
      <c r="D715" t="s">
        <v>95</v>
      </c>
      <c r="E715" t="s">
        <v>143</v>
      </c>
      <c r="F715" t="s">
        <v>97</v>
      </c>
      <c r="G715" t="s">
        <v>15</v>
      </c>
      <c r="H715" t="s">
        <v>98</v>
      </c>
      <c r="J715">
        <v>2</v>
      </c>
      <c r="K715" t="s">
        <v>108</v>
      </c>
      <c r="L715" t="s">
        <v>297</v>
      </c>
      <c r="M715" t="s">
        <v>206</v>
      </c>
      <c r="N715" t="s">
        <v>131</v>
      </c>
      <c r="O715">
        <v>155</v>
      </c>
      <c r="Q715">
        <v>928</v>
      </c>
      <c r="R715">
        <v>140</v>
      </c>
      <c r="S715">
        <v>4.25</v>
      </c>
      <c r="T715">
        <v>4.1660000000000004</v>
      </c>
      <c r="U715">
        <v>6.78</v>
      </c>
      <c r="V715">
        <v>3945.1</v>
      </c>
      <c r="W715">
        <v>949</v>
      </c>
      <c r="X715">
        <v>1.3332999999999999</v>
      </c>
      <c r="Y715">
        <v>719</v>
      </c>
      <c r="Z715">
        <v>5.49</v>
      </c>
      <c r="AJ715">
        <v>2</v>
      </c>
      <c r="AK715">
        <v>18</v>
      </c>
      <c r="AM715">
        <v>0</v>
      </c>
      <c r="AO715" t="s">
        <v>102</v>
      </c>
      <c r="AT715">
        <v>59</v>
      </c>
      <c r="AV715">
        <v>80.5</v>
      </c>
      <c r="AW715" t="s">
        <v>6</v>
      </c>
      <c r="AX715" t="s">
        <v>6</v>
      </c>
      <c r="AY715" t="s">
        <v>6</v>
      </c>
      <c r="AZ715" t="s">
        <v>6</v>
      </c>
      <c r="BA715" t="s">
        <v>6</v>
      </c>
      <c r="BB715" t="s">
        <v>6</v>
      </c>
      <c r="BC715" t="s">
        <v>6</v>
      </c>
      <c r="BD715" t="s">
        <v>6</v>
      </c>
      <c r="BE715" t="s">
        <v>6</v>
      </c>
      <c r="BF715" t="s">
        <v>6</v>
      </c>
      <c r="BG715" t="s">
        <v>6</v>
      </c>
      <c r="BH715" t="s">
        <v>6</v>
      </c>
      <c r="BI715" t="s">
        <v>6</v>
      </c>
      <c r="BJ715" t="s">
        <v>6</v>
      </c>
      <c r="BN715">
        <v>688.24239999999998</v>
      </c>
      <c r="BO715">
        <v>2309</v>
      </c>
      <c r="BP715">
        <v>0</v>
      </c>
      <c r="BQ715">
        <v>53</v>
      </c>
      <c r="BR715">
        <v>53</v>
      </c>
      <c r="BS715">
        <v>53.04</v>
      </c>
      <c r="BT715">
        <v>0</v>
      </c>
      <c r="BV715">
        <v>0</v>
      </c>
      <c r="BW715" t="s">
        <v>655</v>
      </c>
      <c r="BX715">
        <v>0.17</v>
      </c>
      <c r="BY715">
        <v>9.0167999999999999</v>
      </c>
      <c r="BZ715">
        <v>0</v>
      </c>
      <c r="CA715">
        <v>1</v>
      </c>
      <c r="CB715">
        <v>0.6</v>
      </c>
      <c r="CC715" s="3">
        <v>7.1269159999999998E-2</v>
      </c>
      <c r="CD715">
        <v>2.875</v>
      </c>
      <c r="CE715">
        <v>2.5</v>
      </c>
      <c r="CF715">
        <v>18</v>
      </c>
      <c r="CG715">
        <v>6</v>
      </c>
      <c r="CH715">
        <v>0</v>
      </c>
      <c r="CI715">
        <v>53.04</v>
      </c>
      <c r="CJ715">
        <v>838.7133</v>
      </c>
    </row>
    <row r="716" spans="1:88">
      <c r="A716">
        <v>715</v>
      </c>
      <c r="B716" t="s">
        <v>13</v>
      </c>
      <c r="C716" t="s">
        <v>1</v>
      </c>
      <c r="D716" t="s">
        <v>123</v>
      </c>
      <c r="E716" t="s">
        <v>434</v>
      </c>
      <c r="F716" t="s">
        <v>118</v>
      </c>
      <c r="G716" t="s">
        <v>214</v>
      </c>
      <c r="H716" t="s">
        <v>386</v>
      </c>
      <c r="J716">
        <v>2</v>
      </c>
      <c r="K716" t="s">
        <v>108</v>
      </c>
      <c r="L716" t="s">
        <v>305</v>
      </c>
      <c r="M716" t="s">
        <v>564</v>
      </c>
      <c r="N716" t="s">
        <v>104</v>
      </c>
      <c r="O716">
        <v>188</v>
      </c>
      <c r="Q716">
        <v>884</v>
      </c>
      <c r="R716">
        <v>111</v>
      </c>
      <c r="S716">
        <v>4.25</v>
      </c>
      <c r="T716">
        <v>4.9189999999999996</v>
      </c>
      <c r="U716">
        <v>7.2</v>
      </c>
      <c r="V716">
        <v>3755</v>
      </c>
      <c r="W716">
        <v>799</v>
      </c>
      <c r="X716">
        <v>1.3332999999999999</v>
      </c>
      <c r="Y716">
        <v>601</v>
      </c>
      <c r="Z716">
        <v>6.25</v>
      </c>
      <c r="AJ716">
        <v>2</v>
      </c>
      <c r="AK716">
        <v>18</v>
      </c>
      <c r="AM716">
        <v>0</v>
      </c>
      <c r="AO716" t="s">
        <v>357</v>
      </c>
      <c r="AT716">
        <v>71</v>
      </c>
      <c r="AV716">
        <v>63.8</v>
      </c>
      <c r="AW716">
        <v>0.46875</v>
      </c>
      <c r="AX716">
        <v>3.75</v>
      </c>
      <c r="AY716">
        <v>67.5</v>
      </c>
      <c r="AZ716">
        <v>5.875</v>
      </c>
      <c r="BA716">
        <v>300.39999999999998</v>
      </c>
      <c r="BB716">
        <v>6.56</v>
      </c>
      <c r="BC716">
        <v>72</v>
      </c>
      <c r="BD716">
        <v>0.46875</v>
      </c>
      <c r="BE716">
        <v>3.75</v>
      </c>
      <c r="BF716">
        <v>67.5</v>
      </c>
      <c r="BG716">
        <v>5.875</v>
      </c>
      <c r="BH716">
        <v>300.39999999999998</v>
      </c>
      <c r="BI716">
        <v>6.56</v>
      </c>
      <c r="BJ716">
        <v>72</v>
      </c>
      <c r="BL716">
        <v>600.79999999999995</v>
      </c>
      <c r="BM716">
        <v>144</v>
      </c>
      <c r="BN716">
        <v>309.31330000000003</v>
      </c>
      <c r="BO716">
        <v>1361</v>
      </c>
      <c r="BP716">
        <v>0</v>
      </c>
      <c r="BQ716">
        <v>65</v>
      </c>
      <c r="BR716">
        <v>65</v>
      </c>
      <c r="BS716">
        <v>64.52</v>
      </c>
      <c r="BT716">
        <v>0</v>
      </c>
      <c r="BV716">
        <v>0</v>
      </c>
      <c r="BW716" t="s">
        <v>655</v>
      </c>
      <c r="BX716">
        <v>0.17</v>
      </c>
      <c r="BY716">
        <v>10.968400000000001</v>
      </c>
      <c r="BZ716">
        <v>0</v>
      </c>
      <c r="CA716">
        <v>1</v>
      </c>
      <c r="CB716">
        <v>0.6</v>
      </c>
      <c r="CC716" s="3">
        <v>7.1269159999999998E-2</v>
      </c>
      <c r="CD716">
        <v>2.875</v>
      </c>
      <c r="CE716">
        <v>2.5</v>
      </c>
      <c r="CF716">
        <v>18</v>
      </c>
      <c r="CG716">
        <v>6</v>
      </c>
      <c r="CH716">
        <v>0</v>
      </c>
      <c r="CI716">
        <v>64.52</v>
      </c>
      <c r="CJ716">
        <v>808.72349999999994</v>
      </c>
    </row>
    <row r="717" spans="1:88">
      <c r="A717">
        <v>716</v>
      </c>
      <c r="B717" t="s">
        <v>13</v>
      </c>
      <c r="C717" t="s">
        <v>1</v>
      </c>
      <c r="D717" t="s">
        <v>3</v>
      </c>
      <c r="E717" t="s">
        <v>103</v>
      </c>
      <c r="F717" t="s">
        <v>306</v>
      </c>
      <c r="G717" t="s">
        <v>106</v>
      </c>
      <c r="H717" t="s">
        <v>307</v>
      </c>
      <c r="J717">
        <v>2</v>
      </c>
      <c r="K717" t="s">
        <v>146</v>
      </c>
      <c r="L717" t="s">
        <v>455</v>
      </c>
      <c r="M717" t="s">
        <v>315</v>
      </c>
      <c r="N717" t="s">
        <v>316</v>
      </c>
      <c r="O717">
        <v>167</v>
      </c>
      <c r="Q717">
        <v>531</v>
      </c>
      <c r="R717">
        <v>77</v>
      </c>
      <c r="S717">
        <v>4.25</v>
      </c>
      <c r="T717">
        <v>4.4459999999999997</v>
      </c>
      <c r="U717">
        <v>6.86</v>
      </c>
      <c r="V717">
        <v>2258.66</v>
      </c>
      <c r="W717">
        <v>531</v>
      </c>
      <c r="X717">
        <v>1.3332999999999999</v>
      </c>
      <c r="Y717">
        <v>391</v>
      </c>
      <c r="Z717">
        <v>5.77</v>
      </c>
      <c r="AJ717">
        <v>2</v>
      </c>
      <c r="AK717">
        <v>18</v>
      </c>
      <c r="AM717">
        <v>0</v>
      </c>
      <c r="AO717" t="s">
        <v>308</v>
      </c>
      <c r="AT717">
        <v>63</v>
      </c>
      <c r="AV717">
        <v>42.6</v>
      </c>
      <c r="AW717">
        <v>0.46875</v>
      </c>
      <c r="AX717">
        <v>3.75</v>
      </c>
      <c r="AY717">
        <v>59.375</v>
      </c>
      <c r="AZ717">
        <v>5.375</v>
      </c>
      <c r="BA717">
        <v>341.56</v>
      </c>
      <c r="BB717">
        <v>5.77</v>
      </c>
      <c r="BC717">
        <v>64</v>
      </c>
      <c r="BD717">
        <v>0.25</v>
      </c>
      <c r="BE717">
        <v>2.75</v>
      </c>
      <c r="BF717">
        <v>23</v>
      </c>
      <c r="BG717">
        <v>2.875</v>
      </c>
      <c r="BH717">
        <v>49.88</v>
      </c>
      <c r="BI717">
        <v>6.88</v>
      </c>
      <c r="BJ717">
        <v>10</v>
      </c>
      <c r="BL717">
        <v>391.44</v>
      </c>
      <c r="BM717">
        <v>73</v>
      </c>
      <c r="BN717">
        <v>203.3</v>
      </c>
      <c r="BO717">
        <v>2511</v>
      </c>
      <c r="BP717">
        <v>0</v>
      </c>
      <c r="BQ717">
        <v>57</v>
      </c>
      <c r="BR717">
        <v>57</v>
      </c>
      <c r="BS717">
        <v>57.21</v>
      </c>
      <c r="BT717">
        <v>0</v>
      </c>
      <c r="BV717">
        <v>0</v>
      </c>
      <c r="BW717" t="s">
        <v>655</v>
      </c>
      <c r="BX717">
        <v>0.17</v>
      </c>
      <c r="BY717">
        <v>9.7257010000000008</v>
      </c>
      <c r="BZ717">
        <v>0</v>
      </c>
      <c r="CA717">
        <v>1</v>
      </c>
      <c r="CB717">
        <v>0.6</v>
      </c>
      <c r="CC717" s="3">
        <v>7.1269159999999998E-2</v>
      </c>
      <c r="CD717">
        <v>2.875</v>
      </c>
      <c r="CE717">
        <v>2.5</v>
      </c>
      <c r="CF717">
        <v>18</v>
      </c>
      <c r="CG717">
        <v>6</v>
      </c>
      <c r="CH717">
        <v>0</v>
      </c>
      <c r="CI717">
        <v>57.21</v>
      </c>
      <c r="CJ717">
        <v>479.08370000000002</v>
      </c>
    </row>
    <row r="718" spans="1:88">
      <c r="A718">
        <v>717</v>
      </c>
      <c r="B718" t="s">
        <v>13</v>
      </c>
      <c r="C718" t="s">
        <v>1</v>
      </c>
      <c r="D718" t="s">
        <v>227</v>
      </c>
      <c r="E718" t="s">
        <v>228</v>
      </c>
      <c r="F718" t="s">
        <v>463</v>
      </c>
      <c r="G718" t="s">
        <v>106</v>
      </c>
      <c r="H718" t="s">
        <v>127</v>
      </c>
      <c r="J718">
        <v>2</v>
      </c>
      <c r="K718" t="s">
        <v>146</v>
      </c>
      <c r="L718" t="s">
        <v>174</v>
      </c>
      <c r="M718" t="s">
        <v>230</v>
      </c>
      <c r="N718" t="s">
        <v>231</v>
      </c>
      <c r="O718">
        <v>102</v>
      </c>
      <c r="Q718">
        <v>313</v>
      </c>
      <c r="R718">
        <v>72</v>
      </c>
      <c r="S718">
        <v>4.25</v>
      </c>
      <c r="T718">
        <v>2.8380000000000001</v>
      </c>
      <c r="U718">
        <v>5.96</v>
      </c>
      <c r="V718">
        <v>1329.44</v>
      </c>
      <c r="W718">
        <v>431</v>
      </c>
      <c r="X718">
        <v>1.3332999999999999</v>
      </c>
      <c r="Y718">
        <v>319</v>
      </c>
      <c r="Z718">
        <v>4.17</v>
      </c>
      <c r="AJ718">
        <v>2</v>
      </c>
      <c r="AK718">
        <v>18</v>
      </c>
      <c r="AM718">
        <v>0</v>
      </c>
      <c r="AO718" t="s">
        <v>189</v>
      </c>
      <c r="AT718">
        <v>41</v>
      </c>
      <c r="AV718">
        <v>39.299999999999997</v>
      </c>
      <c r="AW718">
        <v>0</v>
      </c>
      <c r="AX718">
        <v>0</v>
      </c>
      <c r="AY718">
        <v>30.5</v>
      </c>
      <c r="AZ718">
        <v>3.375</v>
      </c>
      <c r="BA718">
        <v>0</v>
      </c>
      <c r="BB718">
        <v>0</v>
      </c>
      <c r="BC718">
        <v>29</v>
      </c>
      <c r="BN718">
        <v>187.25</v>
      </c>
      <c r="BO718">
        <v>2960</v>
      </c>
      <c r="BP718">
        <v>0</v>
      </c>
      <c r="BQ718">
        <v>35</v>
      </c>
      <c r="BR718">
        <v>35</v>
      </c>
      <c r="BS718">
        <v>34.6</v>
      </c>
      <c r="BT718">
        <v>0</v>
      </c>
      <c r="BV718">
        <v>0</v>
      </c>
      <c r="BW718" t="s">
        <v>655</v>
      </c>
      <c r="BX718">
        <v>0.17</v>
      </c>
      <c r="BY718">
        <v>5.8819999999999997</v>
      </c>
      <c r="BZ718">
        <v>0</v>
      </c>
      <c r="CA718">
        <v>1</v>
      </c>
      <c r="CB718">
        <v>0.6</v>
      </c>
      <c r="CC718" s="3">
        <v>7.1269159999999998E-2</v>
      </c>
      <c r="CD718">
        <v>2.875</v>
      </c>
      <c r="CE718">
        <v>2.5</v>
      </c>
      <c r="CF718">
        <v>18</v>
      </c>
      <c r="CG718">
        <v>6</v>
      </c>
      <c r="CH718">
        <v>0</v>
      </c>
      <c r="CI718">
        <v>34.6</v>
      </c>
      <c r="CJ718">
        <v>267.55149999999998</v>
      </c>
    </row>
    <row r="719" spans="1:88">
      <c r="A719">
        <v>718</v>
      </c>
      <c r="B719" t="s">
        <v>13</v>
      </c>
      <c r="C719" t="s">
        <v>1</v>
      </c>
      <c r="D719" t="s">
        <v>2</v>
      </c>
      <c r="E719" t="s">
        <v>176</v>
      </c>
      <c r="F719" t="s">
        <v>154</v>
      </c>
      <c r="G719" t="s">
        <v>106</v>
      </c>
      <c r="H719" t="s">
        <v>217</v>
      </c>
      <c r="J719">
        <v>2</v>
      </c>
      <c r="K719" t="s">
        <v>146</v>
      </c>
      <c r="L719" t="s">
        <v>167</v>
      </c>
      <c r="M719" t="s">
        <v>226</v>
      </c>
      <c r="N719" t="s">
        <v>227</v>
      </c>
      <c r="O719">
        <v>113</v>
      </c>
      <c r="Q719">
        <v>315</v>
      </c>
      <c r="R719">
        <v>67</v>
      </c>
      <c r="S719">
        <v>4.25</v>
      </c>
      <c r="T719">
        <v>3.1280000000000001</v>
      </c>
      <c r="U719">
        <v>6.18</v>
      </c>
      <c r="V719">
        <v>1339.43</v>
      </c>
      <c r="W719">
        <v>414</v>
      </c>
      <c r="X719">
        <v>1.3332999999999999</v>
      </c>
      <c r="Y719">
        <v>300</v>
      </c>
      <c r="Z719">
        <v>4.46</v>
      </c>
      <c r="AJ719">
        <v>2</v>
      </c>
      <c r="AK719">
        <v>18</v>
      </c>
      <c r="AM719">
        <v>0</v>
      </c>
      <c r="AO719" t="s">
        <v>218</v>
      </c>
      <c r="AT719">
        <v>45</v>
      </c>
      <c r="AV719">
        <v>36.1</v>
      </c>
      <c r="AW719">
        <v>0</v>
      </c>
      <c r="AX719">
        <v>0</v>
      </c>
      <c r="AY719">
        <v>32.375</v>
      </c>
      <c r="AZ719">
        <v>3.625</v>
      </c>
      <c r="BA719">
        <v>0</v>
      </c>
      <c r="BB719">
        <v>0</v>
      </c>
      <c r="BC719">
        <v>31</v>
      </c>
      <c r="BN719">
        <v>171.2</v>
      </c>
      <c r="BO719">
        <v>3540</v>
      </c>
      <c r="BP719">
        <v>0</v>
      </c>
      <c r="BQ719">
        <v>38</v>
      </c>
      <c r="BR719">
        <v>38</v>
      </c>
      <c r="BS719">
        <v>38.43</v>
      </c>
      <c r="BT719">
        <v>0</v>
      </c>
      <c r="BV719">
        <v>0</v>
      </c>
      <c r="BW719" t="s">
        <v>655</v>
      </c>
      <c r="BX719">
        <v>0.17</v>
      </c>
      <c r="BY719">
        <v>6.5331000000000001</v>
      </c>
      <c r="BZ719">
        <v>0</v>
      </c>
      <c r="CA719">
        <v>1</v>
      </c>
      <c r="CB719">
        <v>0.6</v>
      </c>
      <c r="CC719" s="3">
        <v>7.1269159999999998E-2</v>
      </c>
      <c r="CD719">
        <v>2.875</v>
      </c>
      <c r="CE719">
        <v>2.5</v>
      </c>
      <c r="CF719">
        <v>18</v>
      </c>
      <c r="CG719">
        <v>6</v>
      </c>
      <c r="CH719">
        <v>0</v>
      </c>
      <c r="CI719">
        <v>38.43</v>
      </c>
      <c r="CJ719">
        <v>272.5179</v>
      </c>
    </row>
    <row r="720" spans="1:88">
      <c r="A720">
        <v>719</v>
      </c>
      <c r="B720" t="s">
        <v>13</v>
      </c>
      <c r="C720" t="s">
        <v>1</v>
      </c>
      <c r="D720" t="s">
        <v>341</v>
      </c>
      <c r="E720" t="s">
        <v>2</v>
      </c>
      <c r="F720" t="s">
        <v>343</v>
      </c>
      <c r="G720" t="s">
        <v>106</v>
      </c>
      <c r="H720" t="s">
        <v>344</v>
      </c>
      <c r="J720">
        <v>2</v>
      </c>
      <c r="K720" t="s">
        <v>146</v>
      </c>
      <c r="L720" t="s">
        <v>122</v>
      </c>
      <c r="M720" t="s">
        <v>4</v>
      </c>
      <c r="N720" t="s">
        <v>5</v>
      </c>
      <c r="O720">
        <v>107</v>
      </c>
      <c r="Q720">
        <v>229</v>
      </c>
      <c r="R720">
        <v>48</v>
      </c>
      <c r="S720">
        <v>4.25</v>
      </c>
      <c r="T720">
        <v>2.9710000000000001</v>
      </c>
      <c r="U720">
        <v>6.07</v>
      </c>
      <c r="V720">
        <v>973.71</v>
      </c>
      <c r="W720">
        <v>293</v>
      </c>
      <c r="X720">
        <v>1.3332999999999999</v>
      </c>
      <c r="Y720">
        <v>226</v>
      </c>
      <c r="Z720">
        <v>4.3</v>
      </c>
      <c r="AJ720">
        <v>2</v>
      </c>
      <c r="AK720">
        <v>18</v>
      </c>
      <c r="AM720">
        <v>0</v>
      </c>
      <c r="AO720" t="s">
        <v>347</v>
      </c>
      <c r="AT720">
        <v>42</v>
      </c>
      <c r="AV720">
        <v>27.4</v>
      </c>
      <c r="AW720">
        <v>0</v>
      </c>
      <c r="AX720">
        <v>0</v>
      </c>
      <c r="AY720">
        <v>28.5</v>
      </c>
      <c r="AZ720">
        <v>3.25</v>
      </c>
      <c r="BA720">
        <v>0</v>
      </c>
      <c r="BB720">
        <v>0</v>
      </c>
      <c r="BC720">
        <v>25</v>
      </c>
      <c r="BN720">
        <v>128.4</v>
      </c>
      <c r="BO720">
        <v>6294</v>
      </c>
      <c r="BP720">
        <v>0</v>
      </c>
      <c r="BQ720">
        <v>36</v>
      </c>
      <c r="BR720">
        <v>36</v>
      </c>
      <c r="BS720">
        <v>36.340000000000003</v>
      </c>
      <c r="BT720">
        <v>0</v>
      </c>
      <c r="BV720">
        <v>0</v>
      </c>
      <c r="BW720" t="s">
        <v>655</v>
      </c>
      <c r="BX720">
        <v>0.17</v>
      </c>
      <c r="BY720">
        <v>6.1778000000000004</v>
      </c>
      <c r="BZ720">
        <v>0</v>
      </c>
      <c r="CA720">
        <v>1</v>
      </c>
      <c r="CB720">
        <v>0.6</v>
      </c>
      <c r="CC720" s="3">
        <v>7.1269159999999998E-2</v>
      </c>
      <c r="CD720">
        <v>2.875</v>
      </c>
      <c r="CE720">
        <v>2.5</v>
      </c>
      <c r="CF720">
        <v>18</v>
      </c>
      <c r="CG720">
        <v>6</v>
      </c>
      <c r="CH720">
        <v>0</v>
      </c>
      <c r="CI720">
        <v>36.340000000000003</v>
      </c>
      <c r="CJ720">
        <v>195.53899999999999</v>
      </c>
    </row>
    <row r="721" spans="1:88">
      <c r="A721">
        <v>720</v>
      </c>
      <c r="B721" t="s">
        <v>0</v>
      </c>
      <c r="C721" t="s">
        <v>1</v>
      </c>
      <c r="D721" t="s">
        <v>565</v>
      </c>
      <c r="E721" t="s">
        <v>201</v>
      </c>
      <c r="F721" t="s">
        <v>566</v>
      </c>
      <c r="G721" t="s">
        <v>15</v>
      </c>
      <c r="H721" t="s">
        <v>565</v>
      </c>
      <c r="J721">
        <v>2</v>
      </c>
      <c r="K721" t="s">
        <v>9</v>
      </c>
      <c r="L721" t="s">
        <v>161</v>
      </c>
      <c r="M721" t="s">
        <v>558</v>
      </c>
      <c r="N721" t="s">
        <v>113</v>
      </c>
      <c r="O721">
        <v>176</v>
      </c>
      <c r="Q721">
        <v>1070</v>
      </c>
      <c r="R721">
        <v>143</v>
      </c>
      <c r="S721">
        <v>4.25</v>
      </c>
      <c r="T721">
        <v>4.6509999999999998</v>
      </c>
      <c r="U721">
        <v>7.01</v>
      </c>
      <c r="V721">
        <v>4548.3</v>
      </c>
      <c r="W721">
        <v>999</v>
      </c>
      <c r="X721">
        <v>1.3332999999999999</v>
      </c>
      <c r="Y721">
        <v>761</v>
      </c>
      <c r="Z721">
        <v>5.98</v>
      </c>
      <c r="AJ721">
        <v>2</v>
      </c>
      <c r="AK721">
        <v>18</v>
      </c>
      <c r="AM721">
        <v>0</v>
      </c>
      <c r="AO721" t="s">
        <v>567</v>
      </c>
      <c r="AT721">
        <v>66</v>
      </c>
      <c r="AV721">
        <v>81.900000000000006</v>
      </c>
      <c r="AW721" t="s">
        <v>6</v>
      </c>
      <c r="AX721" t="s">
        <v>6</v>
      </c>
      <c r="AY721" t="s">
        <v>6</v>
      </c>
      <c r="AZ721" t="s">
        <v>6</v>
      </c>
      <c r="BA721" t="s">
        <v>6</v>
      </c>
      <c r="BB721" t="s">
        <v>6</v>
      </c>
      <c r="BC721" t="s">
        <v>6</v>
      </c>
      <c r="BD721" t="s">
        <v>6</v>
      </c>
      <c r="BE721" t="s">
        <v>6</v>
      </c>
      <c r="BF721" t="s">
        <v>6</v>
      </c>
      <c r="BG721" t="s">
        <v>6</v>
      </c>
      <c r="BH721" t="s">
        <v>6</v>
      </c>
      <c r="BI721" t="s">
        <v>6</v>
      </c>
      <c r="BJ721" t="s">
        <v>6</v>
      </c>
      <c r="BN721">
        <v>700.87080000000003</v>
      </c>
      <c r="BO721">
        <v>2227</v>
      </c>
      <c r="BP721">
        <v>0</v>
      </c>
      <c r="BQ721">
        <v>60</v>
      </c>
      <c r="BR721">
        <v>60</v>
      </c>
      <c r="BS721">
        <v>60.34</v>
      </c>
      <c r="BT721">
        <v>0</v>
      </c>
      <c r="BV721">
        <v>6</v>
      </c>
      <c r="BW721" t="s">
        <v>655</v>
      </c>
      <c r="BX721">
        <v>0.27933340000000001</v>
      </c>
      <c r="BY721">
        <v>16.854980000000001</v>
      </c>
      <c r="BZ721">
        <v>0</v>
      </c>
      <c r="CA721">
        <v>1</v>
      </c>
      <c r="CB721">
        <v>0.6</v>
      </c>
      <c r="CC721" s="3">
        <v>7.1269159999999998E-2</v>
      </c>
      <c r="CD721">
        <v>2.875</v>
      </c>
      <c r="CE721">
        <v>2.5</v>
      </c>
      <c r="CF721">
        <v>18</v>
      </c>
      <c r="CG721">
        <v>6</v>
      </c>
      <c r="CH721">
        <v>0</v>
      </c>
      <c r="CI721">
        <v>60.34</v>
      </c>
      <c r="CJ721">
        <v>971.34849999999994</v>
      </c>
    </row>
    <row r="722" spans="1:88">
      <c r="A722">
        <v>721</v>
      </c>
      <c r="B722" t="s">
        <v>0</v>
      </c>
      <c r="C722" t="s">
        <v>1</v>
      </c>
      <c r="D722" t="s">
        <v>202</v>
      </c>
      <c r="E722" t="s">
        <v>233</v>
      </c>
      <c r="F722" t="s">
        <v>357</v>
      </c>
      <c r="G722" t="s">
        <v>106</v>
      </c>
      <c r="H722" t="s">
        <v>358</v>
      </c>
      <c r="J722">
        <v>2</v>
      </c>
      <c r="K722" t="s">
        <v>108</v>
      </c>
      <c r="L722" t="s">
        <v>251</v>
      </c>
      <c r="M722" t="s">
        <v>236</v>
      </c>
      <c r="N722" t="s">
        <v>272</v>
      </c>
      <c r="O722">
        <v>157</v>
      </c>
      <c r="Q722">
        <v>738</v>
      </c>
      <c r="R722">
        <v>110</v>
      </c>
      <c r="S722">
        <v>4.25</v>
      </c>
      <c r="T722">
        <v>4.2130000000000001</v>
      </c>
      <c r="U722">
        <v>6.82</v>
      </c>
      <c r="V722">
        <v>3136.75</v>
      </c>
      <c r="W722">
        <v>748</v>
      </c>
      <c r="X722">
        <v>1.3332999999999999</v>
      </c>
      <c r="Y722">
        <v>566</v>
      </c>
      <c r="Z722">
        <v>5.54</v>
      </c>
      <c r="AJ722">
        <v>2</v>
      </c>
      <c r="AK722">
        <v>18</v>
      </c>
      <c r="AM722">
        <v>0</v>
      </c>
      <c r="AO722" t="s">
        <v>262</v>
      </c>
      <c r="AT722">
        <v>60</v>
      </c>
      <c r="AV722">
        <v>63.1</v>
      </c>
      <c r="AW722">
        <v>0.4375</v>
      </c>
      <c r="AX722">
        <v>3.75</v>
      </c>
      <c r="AY722">
        <v>50.25</v>
      </c>
      <c r="AZ722">
        <v>4.875</v>
      </c>
      <c r="BA722">
        <v>283.10000000000002</v>
      </c>
      <c r="BB722">
        <v>5.81</v>
      </c>
      <c r="BC722">
        <v>51</v>
      </c>
      <c r="BD722">
        <v>0.4375</v>
      </c>
      <c r="BE722">
        <v>3.75</v>
      </c>
      <c r="BF722">
        <v>50.25</v>
      </c>
      <c r="BG722">
        <v>4.875</v>
      </c>
      <c r="BH722">
        <v>283.10000000000002</v>
      </c>
      <c r="BI722">
        <v>5.81</v>
      </c>
      <c r="BJ722">
        <v>51</v>
      </c>
      <c r="BL722">
        <v>566.20000000000005</v>
      </c>
      <c r="BM722">
        <v>101</v>
      </c>
      <c r="BN722">
        <v>303.16669999999999</v>
      </c>
      <c r="BO722">
        <v>1129</v>
      </c>
      <c r="BP722">
        <v>0</v>
      </c>
      <c r="BQ722">
        <v>54</v>
      </c>
      <c r="BR722">
        <v>54</v>
      </c>
      <c r="BS722">
        <v>53.73</v>
      </c>
      <c r="BT722">
        <v>0</v>
      </c>
      <c r="BV722">
        <v>0</v>
      </c>
      <c r="BW722" t="s">
        <v>655</v>
      </c>
      <c r="BX722">
        <v>0.17</v>
      </c>
      <c r="BY722">
        <v>9.1341000000000001</v>
      </c>
      <c r="BZ722">
        <v>0</v>
      </c>
      <c r="CA722">
        <v>1</v>
      </c>
      <c r="CB722">
        <v>0.6</v>
      </c>
      <c r="CC722" s="3">
        <v>7.1269159999999998E-2</v>
      </c>
      <c r="CD722">
        <v>2.875</v>
      </c>
      <c r="CE722">
        <v>2.5</v>
      </c>
      <c r="CF722">
        <v>18</v>
      </c>
      <c r="CG722">
        <v>6</v>
      </c>
      <c r="CH722">
        <v>0</v>
      </c>
      <c r="CI722">
        <v>53.73</v>
      </c>
      <c r="CJ722">
        <v>665.81809999999996</v>
      </c>
    </row>
    <row r="723" spans="1:88">
      <c r="A723">
        <v>722</v>
      </c>
      <c r="B723" t="s">
        <v>0</v>
      </c>
      <c r="C723" t="s">
        <v>1</v>
      </c>
      <c r="D723" t="s">
        <v>267</v>
      </c>
      <c r="E723" t="s">
        <v>8</v>
      </c>
      <c r="F723" t="s">
        <v>269</v>
      </c>
      <c r="G723" t="s">
        <v>106</v>
      </c>
      <c r="H723" t="s">
        <v>131</v>
      </c>
      <c r="J723">
        <v>2</v>
      </c>
      <c r="K723" t="s">
        <v>146</v>
      </c>
      <c r="L723" t="s">
        <v>10</v>
      </c>
      <c r="M723" t="s">
        <v>11</v>
      </c>
      <c r="N723" t="s">
        <v>12</v>
      </c>
      <c r="O723">
        <v>203</v>
      </c>
      <c r="Q723">
        <v>820</v>
      </c>
      <c r="R723">
        <v>104</v>
      </c>
      <c r="S723">
        <v>4.25</v>
      </c>
      <c r="T723">
        <v>5.2460000000000004</v>
      </c>
      <c r="U723">
        <v>7.35</v>
      </c>
      <c r="V723">
        <v>3483.85</v>
      </c>
      <c r="W723">
        <v>767</v>
      </c>
      <c r="X723">
        <v>1.5</v>
      </c>
      <c r="Y723">
        <v>517</v>
      </c>
      <c r="Z723">
        <v>6.74</v>
      </c>
      <c r="AJ723">
        <v>2</v>
      </c>
      <c r="AK723">
        <v>18</v>
      </c>
      <c r="AM723">
        <v>0</v>
      </c>
      <c r="AO723" t="s">
        <v>271</v>
      </c>
      <c r="AT723">
        <v>76</v>
      </c>
      <c r="AV723">
        <v>54.9</v>
      </c>
      <c r="AW723">
        <v>0.46875</v>
      </c>
      <c r="AX723">
        <v>3.75</v>
      </c>
      <c r="AY723">
        <v>71.25</v>
      </c>
      <c r="AZ723">
        <v>6.375</v>
      </c>
      <c r="BA723">
        <v>284.27999999999997</v>
      </c>
      <c r="BB723">
        <v>6.93</v>
      </c>
      <c r="BC723">
        <v>77</v>
      </c>
      <c r="BD723">
        <v>0.4375</v>
      </c>
      <c r="BE723">
        <v>3.75</v>
      </c>
      <c r="BF723">
        <v>61.125</v>
      </c>
      <c r="BG723">
        <v>5.875</v>
      </c>
      <c r="BH723">
        <v>232.61</v>
      </c>
      <c r="BI723">
        <v>7.07</v>
      </c>
      <c r="BJ723">
        <v>62</v>
      </c>
      <c r="BL723">
        <v>516.89</v>
      </c>
      <c r="BM723">
        <v>138</v>
      </c>
      <c r="BN723">
        <v>263.93340000000001</v>
      </c>
      <c r="BO723">
        <v>1490</v>
      </c>
      <c r="BP723">
        <v>0</v>
      </c>
      <c r="BQ723">
        <v>70</v>
      </c>
      <c r="BR723">
        <v>70</v>
      </c>
      <c r="BS723">
        <v>69.730009999999993</v>
      </c>
      <c r="BT723">
        <v>0</v>
      </c>
      <c r="BV723">
        <v>0</v>
      </c>
      <c r="BW723" t="s">
        <v>655</v>
      </c>
      <c r="BX723">
        <v>0.17</v>
      </c>
      <c r="BY723">
        <v>11.854100000000001</v>
      </c>
      <c r="BZ723">
        <v>0</v>
      </c>
      <c r="CA723">
        <v>1</v>
      </c>
      <c r="CB723">
        <v>0.6</v>
      </c>
      <c r="CC723" s="3">
        <v>7.1269159999999998E-2</v>
      </c>
      <c r="CD723">
        <v>2.875</v>
      </c>
      <c r="CE723">
        <v>2.5</v>
      </c>
      <c r="CF723">
        <v>18</v>
      </c>
      <c r="CG723">
        <v>6</v>
      </c>
      <c r="CH723">
        <v>0</v>
      </c>
      <c r="CI723">
        <v>69.730009999999993</v>
      </c>
      <c r="CJ723">
        <v>752.89419999999996</v>
      </c>
    </row>
    <row r="724" spans="1:88">
      <c r="A724">
        <v>723</v>
      </c>
      <c r="B724" t="s">
        <v>0</v>
      </c>
      <c r="C724" t="s">
        <v>1</v>
      </c>
      <c r="D724" t="s">
        <v>143</v>
      </c>
      <c r="E724" t="s">
        <v>2</v>
      </c>
      <c r="F724" t="s">
        <v>144</v>
      </c>
      <c r="G724" t="s">
        <v>106</v>
      </c>
      <c r="H724" t="s">
        <v>145</v>
      </c>
      <c r="J724">
        <v>2</v>
      </c>
      <c r="K724" t="s">
        <v>146</v>
      </c>
      <c r="L724" t="s">
        <v>122</v>
      </c>
      <c r="M724" t="s">
        <v>4</v>
      </c>
      <c r="N724" t="s">
        <v>5</v>
      </c>
      <c r="O724">
        <v>107</v>
      </c>
      <c r="Q724">
        <v>442</v>
      </c>
      <c r="R724">
        <v>95</v>
      </c>
      <c r="S724">
        <v>4.25</v>
      </c>
      <c r="T724">
        <v>2.9710000000000001</v>
      </c>
      <c r="U724">
        <v>6.07</v>
      </c>
      <c r="V724">
        <v>1877.35</v>
      </c>
      <c r="W724">
        <v>574</v>
      </c>
      <c r="X724">
        <v>1.3332999999999999</v>
      </c>
      <c r="Y724">
        <v>437</v>
      </c>
      <c r="Z724">
        <v>4.3</v>
      </c>
      <c r="AJ724">
        <v>2</v>
      </c>
      <c r="AK724">
        <v>18</v>
      </c>
      <c r="AM724">
        <v>0</v>
      </c>
      <c r="AO724" t="s">
        <v>149</v>
      </c>
      <c r="AT724">
        <v>42</v>
      </c>
      <c r="AV724">
        <v>53.5</v>
      </c>
      <c r="AW724">
        <v>0</v>
      </c>
      <c r="AX724">
        <v>0</v>
      </c>
      <c r="AY724">
        <v>46.375</v>
      </c>
      <c r="AZ724">
        <v>4</v>
      </c>
      <c r="BA724">
        <v>0</v>
      </c>
      <c r="BB724">
        <v>0</v>
      </c>
      <c r="BC724">
        <v>50</v>
      </c>
      <c r="BN724">
        <v>256.80009999999999</v>
      </c>
      <c r="BO724">
        <v>1574</v>
      </c>
      <c r="BP724">
        <v>0</v>
      </c>
      <c r="BQ724">
        <v>36</v>
      </c>
      <c r="BR724">
        <v>36</v>
      </c>
      <c r="BS724">
        <v>36.340000000000003</v>
      </c>
      <c r="BT724">
        <v>0</v>
      </c>
      <c r="BV724">
        <v>0</v>
      </c>
      <c r="BW724" t="s">
        <v>655</v>
      </c>
      <c r="BX724">
        <v>0.17</v>
      </c>
      <c r="BY724">
        <v>6.1778000000000004</v>
      </c>
      <c r="BZ724">
        <v>0</v>
      </c>
      <c r="CA724">
        <v>1</v>
      </c>
      <c r="CB724">
        <v>0.6</v>
      </c>
      <c r="CC724" s="3">
        <v>7.1269159999999998E-2</v>
      </c>
      <c r="CD724">
        <v>2.875</v>
      </c>
      <c r="CE724">
        <v>2.5</v>
      </c>
      <c r="CF724">
        <v>18</v>
      </c>
      <c r="CG724">
        <v>6</v>
      </c>
      <c r="CH724">
        <v>0</v>
      </c>
      <c r="CI724">
        <v>36.340000000000003</v>
      </c>
      <c r="CJ724">
        <v>382.01339999999999</v>
      </c>
    </row>
    <row r="725" spans="1:88">
      <c r="A725">
        <v>724</v>
      </c>
      <c r="B725" t="s">
        <v>0</v>
      </c>
      <c r="C725" t="s">
        <v>1</v>
      </c>
      <c r="D725" t="s">
        <v>131</v>
      </c>
      <c r="E725" t="s">
        <v>96</v>
      </c>
      <c r="F725" t="s">
        <v>232</v>
      </c>
      <c r="G725" t="s">
        <v>106</v>
      </c>
      <c r="H725" t="s">
        <v>233</v>
      </c>
      <c r="J725">
        <v>2</v>
      </c>
      <c r="K725" t="s">
        <v>146</v>
      </c>
      <c r="L725" t="s">
        <v>293</v>
      </c>
      <c r="M725" t="s">
        <v>100</v>
      </c>
      <c r="N725" t="s">
        <v>101</v>
      </c>
      <c r="O725">
        <v>131</v>
      </c>
      <c r="Q725">
        <v>542</v>
      </c>
      <c r="R725">
        <v>96</v>
      </c>
      <c r="S725">
        <v>4.25</v>
      </c>
      <c r="T725">
        <v>3.5859999999999999</v>
      </c>
      <c r="U725">
        <v>6.37</v>
      </c>
      <c r="V725">
        <v>2301.67</v>
      </c>
      <c r="W725">
        <v>614</v>
      </c>
      <c r="X725">
        <v>1.3332999999999999</v>
      </c>
      <c r="Y725">
        <v>469</v>
      </c>
      <c r="Z725">
        <v>4.91</v>
      </c>
      <c r="AJ725">
        <v>2</v>
      </c>
      <c r="AK725">
        <v>18</v>
      </c>
      <c r="AM725">
        <v>0</v>
      </c>
      <c r="AO725" t="s">
        <v>236</v>
      </c>
      <c r="AT725">
        <v>51</v>
      </c>
      <c r="AV725">
        <v>54.6</v>
      </c>
      <c r="AW725">
        <v>0.46875</v>
      </c>
      <c r="AX725">
        <v>3.75</v>
      </c>
      <c r="AY725">
        <v>50.5</v>
      </c>
      <c r="AZ725">
        <v>4.625</v>
      </c>
      <c r="BA725">
        <v>401.38</v>
      </c>
      <c r="BB725">
        <v>4.91</v>
      </c>
      <c r="BC725">
        <v>54</v>
      </c>
      <c r="BD725">
        <v>0.25</v>
      </c>
      <c r="BE725">
        <v>2.75</v>
      </c>
      <c r="BF725">
        <v>17</v>
      </c>
      <c r="BG725">
        <v>2.5</v>
      </c>
      <c r="BH725">
        <v>67.38</v>
      </c>
      <c r="BI725">
        <v>5.09</v>
      </c>
      <c r="BJ725">
        <v>7</v>
      </c>
      <c r="BL725">
        <v>468.76</v>
      </c>
      <c r="BM725">
        <v>61</v>
      </c>
      <c r="BN725">
        <v>262.14999999999998</v>
      </c>
      <c r="BO725">
        <v>1510</v>
      </c>
      <c r="BP725">
        <v>0</v>
      </c>
      <c r="BQ725">
        <v>45</v>
      </c>
      <c r="BR725">
        <v>45</v>
      </c>
      <c r="BS725">
        <v>44.69</v>
      </c>
      <c r="BT725">
        <v>0</v>
      </c>
      <c r="BV725">
        <v>0</v>
      </c>
      <c r="BW725" t="s">
        <v>655</v>
      </c>
      <c r="BX725">
        <v>0.17</v>
      </c>
      <c r="BY725">
        <v>7.5972999999999997</v>
      </c>
      <c r="BZ725">
        <v>0</v>
      </c>
      <c r="CA725">
        <v>1</v>
      </c>
      <c r="CB725">
        <v>0.6</v>
      </c>
      <c r="CC725" s="3">
        <v>7.1269159999999998E-2</v>
      </c>
      <c r="CD725">
        <v>2.875</v>
      </c>
      <c r="CE725">
        <v>2.5</v>
      </c>
      <c r="CF725">
        <v>18</v>
      </c>
      <c r="CG725">
        <v>6</v>
      </c>
      <c r="CH725">
        <v>0</v>
      </c>
      <c r="CI725">
        <v>44.69</v>
      </c>
      <c r="CJ725">
        <v>479.34530000000001</v>
      </c>
    </row>
    <row r="726" spans="1:88">
      <c r="A726">
        <v>725</v>
      </c>
      <c r="B726" t="s">
        <v>0</v>
      </c>
      <c r="C726" t="s">
        <v>1</v>
      </c>
      <c r="D726" t="s">
        <v>8</v>
      </c>
      <c r="E726" t="s">
        <v>425</v>
      </c>
      <c r="F726" t="s">
        <v>246</v>
      </c>
      <c r="G726" t="s">
        <v>15</v>
      </c>
      <c r="H726" t="s">
        <v>247</v>
      </c>
      <c r="J726">
        <v>2</v>
      </c>
      <c r="K726" t="s">
        <v>108</v>
      </c>
      <c r="L726" t="s">
        <v>420</v>
      </c>
      <c r="M726" t="s">
        <v>586</v>
      </c>
      <c r="N726" t="s">
        <v>245</v>
      </c>
      <c r="O726">
        <v>215</v>
      </c>
      <c r="Q726">
        <v>1115</v>
      </c>
      <c r="R726">
        <v>135</v>
      </c>
      <c r="S726">
        <v>4.25</v>
      </c>
      <c r="T726">
        <v>5.5019999999999998</v>
      </c>
      <c r="U726">
        <v>7.5</v>
      </c>
      <c r="V726">
        <v>4740.57</v>
      </c>
      <c r="W726">
        <v>1011</v>
      </c>
      <c r="X726">
        <v>1.5</v>
      </c>
      <c r="Y726">
        <v>677</v>
      </c>
      <c r="Z726">
        <v>7</v>
      </c>
      <c r="AJ726">
        <v>2</v>
      </c>
      <c r="AK726">
        <v>18</v>
      </c>
      <c r="AM726">
        <v>0</v>
      </c>
      <c r="AO726" t="s">
        <v>250</v>
      </c>
      <c r="AT726">
        <v>80</v>
      </c>
      <c r="AV726">
        <v>71.099999999999994</v>
      </c>
      <c r="AW726" t="s">
        <v>6</v>
      </c>
      <c r="AX726" t="s">
        <v>6</v>
      </c>
      <c r="AY726" t="s">
        <v>6</v>
      </c>
      <c r="AZ726" t="s">
        <v>6</v>
      </c>
      <c r="BA726" t="s">
        <v>6</v>
      </c>
      <c r="BB726" t="s">
        <v>6</v>
      </c>
      <c r="BC726" t="s">
        <v>6</v>
      </c>
      <c r="BD726" t="s">
        <v>6</v>
      </c>
      <c r="BE726" t="s">
        <v>6</v>
      </c>
      <c r="BF726" t="s">
        <v>6</v>
      </c>
      <c r="BG726" t="s">
        <v>6</v>
      </c>
      <c r="BH726" t="s">
        <v>6</v>
      </c>
      <c r="BI726" t="s">
        <v>6</v>
      </c>
      <c r="BJ726" t="s">
        <v>6</v>
      </c>
      <c r="BN726">
        <v>606.1585</v>
      </c>
      <c r="BO726">
        <v>2977</v>
      </c>
      <c r="BP726">
        <v>0</v>
      </c>
      <c r="BQ726">
        <v>74</v>
      </c>
      <c r="BR726">
        <v>74</v>
      </c>
      <c r="BS726">
        <v>73.91001</v>
      </c>
      <c r="BT726">
        <v>0</v>
      </c>
      <c r="BV726">
        <v>0</v>
      </c>
      <c r="BW726" t="s">
        <v>655</v>
      </c>
      <c r="BX726">
        <v>0.17</v>
      </c>
      <c r="BY726">
        <v>12.5647</v>
      </c>
      <c r="BZ726">
        <v>0</v>
      </c>
      <c r="CA726">
        <v>1</v>
      </c>
      <c r="CB726">
        <v>0.6</v>
      </c>
      <c r="CC726" s="3">
        <v>7.1269159999999998E-2</v>
      </c>
      <c r="CD726">
        <v>2.875</v>
      </c>
      <c r="CE726">
        <v>2.5</v>
      </c>
      <c r="CF726">
        <v>18</v>
      </c>
      <c r="CG726">
        <v>6</v>
      </c>
      <c r="CH726">
        <v>0</v>
      </c>
      <c r="CI726">
        <v>73.91001</v>
      </c>
      <c r="CJ726">
        <v>1031.7719999999999</v>
      </c>
    </row>
    <row r="727" spans="1:88">
      <c r="A727">
        <v>726</v>
      </c>
      <c r="B727" t="s">
        <v>0</v>
      </c>
      <c r="C727" t="s">
        <v>1</v>
      </c>
      <c r="D727" t="s">
        <v>135</v>
      </c>
      <c r="E727" t="s">
        <v>178</v>
      </c>
      <c r="F727" t="s">
        <v>137</v>
      </c>
      <c r="G727" t="s">
        <v>106</v>
      </c>
      <c r="H727" t="s">
        <v>138</v>
      </c>
      <c r="J727">
        <v>2</v>
      </c>
      <c r="K727" t="s">
        <v>146</v>
      </c>
      <c r="L727" t="s">
        <v>127</v>
      </c>
      <c r="M727" t="s">
        <v>179</v>
      </c>
      <c r="N727" t="s">
        <v>180</v>
      </c>
      <c r="O727">
        <v>95</v>
      </c>
      <c r="Q727">
        <v>174</v>
      </c>
      <c r="R727">
        <v>41</v>
      </c>
      <c r="S727">
        <v>4.25</v>
      </c>
      <c r="T727">
        <v>2.649</v>
      </c>
      <c r="U727">
        <v>5.81</v>
      </c>
      <c r="V727">
        <v>739.88</v>
      </c>
      <c r="W727">
        <v>241</v>
      </c>
      <c r="X727">
        <v>1.3332999999999999</v>
      </c>
      <c r="Y727">
        <v>186</v>
      </c>
      <c r="Z727">
        <v>3.98</v>
      </c>
      <c r="AJ727">
        <v>2</v>
      </c>
      <c r="AK727">
        <v>18</v>
      </c>
      <c r="AM727">
        <v>0</v>
      </c>
      <c r="AO727" t="s">
        <v>142</v>
      </c>
      <c r="AT727">
        <v>38</v>
      </c>
      <c r="AV727">
        <v>23</v>
      </c>
      <c r="AW727">
        <v>0</v>
      </c>
      <c r="AX727">
        <v>0</v>
      </c>
      <c r="AY727">
        <v>34.75</v>
      </c>
      <c r="AZ727">
        <v>3</v>
      </c>
      <c r="BA727">
        <v>0</v>
      </c>
      <c r="BB727">
        <v>0</v>
      </c>
      <c r="BC727">
        <v>31</v>
      </c>
      <c r="BN727">
        <v>107</v>
      </c>
      <c r="BO727">
        <v>9064</v>
      </c>
      <c r="BP727">
        <v>0</v>
      </c>
      <c r="BQ727">
        <v>32</v>
      </c>
      <c r="BR727">
        <v>32</v>
      </c>
      <c r="BS727">
        <v>32.17</v>
      </c>
      <c r="BT727">
        <v>0</v>
      </c>
      <c r="BV727">
        <v>0</v>
      </c>
      <c r="BW727" t="s">
        <v>655</v>
      </c>
      <c r="BX727">
        <v>0.17</v>
      </c>
      <c r="BY727">
        <v>5.4688999999999997</v>
      </c>
      <c r="BZ727">
        <v>0</v>
      </c>
      <c r="CA727">
        <v>1</v>
      </c>
      <c r="CB727">
        <v>0.6</v>
      </c>
      <c r="CC727" s="3">
        <v>7.1269159999999998E-2</v>
      </c>
      <c r="CD727">
        <v>2.875</v>
      </c>
      <c r="CE727">
        <v>2.5</v>
      </c>
      <c r="CF727">
        <v>18</v>
      </c>
      <c r="CG727">
        <v>6</v>
      </c>
      <c r="CH727">
        <v>0</v>
      </c>
      <c r="CI727">
        <v>32.17</v>
      </c>
      <c r="CJ727">
        <v>145.5883</v>
      </c>
    </row>
    <row r="728" spans="1:88">
      <c r="A728">
        <v>727</v>
      </c>
      <c r="B728" t="s">
        <v>13</v>
      </c>
      <c r="C728" t="s">
        <v>1</v>
      </c>
      <c r="D728" t="s">
        <v>133</v>
      </c>
      <c r="E728" t="s">
        <v>195</v>
      </c>
      <c r="F728" t="s">
        <v>298</v>
      </c>
      <c r="G728" t="s">
        <v>106</v>
      </c>
      <c r="H728" t="s">
        <v>257</v>
      </c>
      <c r="J728">
        <v>2</v>
      </c>
      <c r="K728" t="s">
        <v>146</v>
      </c>
      <c r="L728" t="s">
        <v>476</v>
      </c>
      <c r="M728" t="s">
        <v>256</v>
      </c>
      <c r="N728" t="s">
        <v>99</v>
      </c>
      <c r="O728">
        <v>146</v>
      </c>
      <c r="Q728">
        <v>540</v>
      </c>
      <c r="R728">
        <v>88</v>
      </c>
      <c r="S728">
        <v>4.25</v>
      </c>
      <c r="T728">
        <v>3.952</v>
      </c>
      <c r="U728">
        <v>6.63</v>
      </c>
      <c r="V728">
        <v>2293.4699999999998</v>
      </c>
      <c r="W728">
        <v>582</v>
      </c>
      <c r="X728">
        <v>1.3332999999999999</v>
      </c>
      <c r="Y728">
        <v>434</v>
      </c>
      <c r="Z728">
        <v>5.28</v>
      </c>
      <c r="AJ728">
        <v>2</v>
      </c>
      <c r="AK728">
        <v>18</v>
      </c>
      <c r="AM728">
        <v>0</v>
      </c>
      <c r="AO728" t="s">
        <v>301</v>
      </c>
      <c r="AT728">
        <v>56</v>
      </c>
      <c r="AV728">
        <v>49.1</v>
      </c>
      <c r="AW728">
        <v>0.46875</v>
      </c>
      <c r="AX728">
        <v>3.75</v>
      </c>
      <c r="AY728">
        <v>54.25</v>
      </c>
      <c r="AZ728">
        <v>5</v>
      </c>
      <c r="BA728">
        <v>373.26</v>
      </c>
      <c r="BB728">
        <v>5.28</v>
      </c>
      <c r="BC728">
        <v>58</v>
      </c>
      <c r="BD728">
        <v>0.25</v>
      </c>
      <c r="BE728">
        <v>2.75</v>
      </c>
      <c r="BF728">
        <v>18.75</v>
      </c>
      <c r="BG728">
        <v>2.625</v>
      </c>
      <c r="BH728">
        <v>61.09</v>
      </c>
      <c r="BI728">
        <v>5.62</v>
      </c>
      <c r="BJ728">
        <v>8</v>
      </c>
      <c r="BL728">
        <v>434.35</v>
      </c>
      <c r="BM728">
        <v>66</v>
      </c>
      <c r="BN728">
        <v>235.40010000000001</v>
      </c>
      <c r="BO728">
        <v>1873</v>
      </c>
      <c r="BP728">
        <v>0</v>
      </c>
      <c r="BQ728">
        <v>50</v>
      </c>
      <c r="BR728">
        <v>50</v>
      </c>
      <c r="BS728">
        <v>49.91</v>
      </c>
      <c r="BT728">
        <v>0</v>
      </c>
      <c r="BV728">
        <v>0</v>
      </c>
      <c r="BW728" t="s">
        <v>655</v>
      </c>
      <c r="BX728">
        <v>0.17</v>
      </c>
      <c r="BY728">
        <v>8.4847000000000001</v>
      </c>
      <c r="BZ728">
        <v>0</v>
      </c>
      <c r="CA728">
        <v>1</v>
      </c>
      <c r="CB728">
        <v>0.6</v>
      </c>
      <c r="CC728" s="3">
        <v>7.1269159999999998E-2</v>
      </c>
      <c r="CD728">
        <v>2.875</v>
      </c>
      <c r="CE728">
        <v>2.5</v>
      </c>
      <c r="CF728">
        <v>18</v>
      </c>
      <c r="CG728">
        <v>6</v>
      </c>
      <c r="CH728">
        <v>0</v>
      </c>
      <c r="CI728">
        <v>49.91</v>
      </c>
      <c r="CJ728">
        <v>481.9794</v>
      </c>
    </row>
    <row r="729" spans="1:88">
      <c r="A729">
        <v>728</v>
      </c>
      <c r="B729" t="s">
        <v>0</v>
      </c>
      <c r="C729" t="s">
        <v>1</v>
      </c>
      <c r="D729" t="s">
        <v>295</v>
      </c>
      <c r="E729" t="s">
        <v>113</v>
      </c>
      <c r="F729" t="s">
        <v>465</v>
      </c>
      <c r="G729" t="s">
        <v>106</v>
      </c>
      <c r="H729" t="s">
        <v>99</v>
      </c>
      <c r="J729">
        <v>2</v>
      </c>
      <c r="K729" t="s">
        <v>146</v>
      </c>
      <c r="L729" t="s">
        <v>116</v>
      </c>
      <c r="M729" t="s">
        <v>117</v>
      </c>
      <c r="N729" t="s">
        <v>14</v>
      </c>
      <c r="O729">
        <v>179</v>
      </c>
      <c r="Q729">
        <v>686</v>
      </c>
      <c r="R729">
        <v>92</v>
      </c>
      <c r="S729">
        <v>4.25</v>
      </c>
      <c r="T729">
        <v>4.7190000000000003</v>
      </c>
      <c r="U729">
        <v>7.05</v>
      </c>
      <c r="V729">
        <v>2913.88</v>
      </c>
      <c r="W729">
        <v>647</v>
      </c>
      <c r="X729">
        <v>1.3332999999999999</v>
      </c>
      <c r="Y729">
        <v>482</v>
      </c>
      <c r="Z729">
        <v>6.05</v>
      </c>
      <c r="AJ729">
        <v>2</v>
      </c>
      <c r="AK729">
        <v>18</v>
      </c>
      <c r="AM729">
        <v>0</v>
      </c>
      <c r="AO729" t="s">
        <v>184</v>
      </c>
      <c r="AT729">
        <v>68</v>
      </c>
      <c r="AV729">
        <v>51.7</v>
      </c>
      <c r="AW729">
        <v>0.4375</v>
      </c>
      <c r="AX729">
        <v>3.75</v>
      </c>
      <c r="AY729">
        <v>53.75</v>
      </c>
      <c r="AZ729">
        <v>5.25</v>
      </c>
      <c r="BA729">
        <v>264.89</v>
      </c>
      <c r="BB729">
        <v>6.21</v>
      </c>
      <c r="BC729">
        <v>54</v>
      </c>
      <c r="BD729">
        <v>0.40625</v>
      </c>
      <c r="BE729">
        <v>3.75</v>
      </c>
      <c r="BF729">
        <v>44.875</v>
      </c>
      <c r="BG729">
        <v>4.875</v>
      </c>
      <c r="BH729">
        <v>216.74</v>
      </c>
      <c r="BI729">
        <v>6.11</v>
      </c>
      <c r="BJ729">
        <v>43</v>
      </c>
      <c r="BL729">
        <v>481.63</v>
      </c>
      <c r="BM729">
        <v>96</v>
      </c>
      <c r="BN729">
        <v>247.88339999999999</v>
      </c>
      <c r="BO729">
        <v>1689</v>
      </c>
      <c r="BP729">
        <v>0</v>
      </c>
      <c r="BQ729">
        <v>61</v>
      </c>
      <c r="BR729">
        <v>61</v>
      </c>
      <c r="BS729">
        <v>61.39</v>
      </c>
      <c r="BT729">
        <v>0</v>
      </c>
      <c r="BV729">
        <v>0</v>
      </c>
      <c r="BW729" t="s">
        <v>655</v>
      </c>
      <c r="BX729">
        <v>0.17</v>
      </c>
      <c r="BY729">
        <v>10.436299999999999</v>
      </c>
      <c r="BZ729">
        <v>0</v>
      </c>
      <c r="CA729">
        <v>1</v>
      </c>
      <c r="CB729">
        <v>0.6</v>
      </c>
      <c r="CC729" s="3">
        <v>7.1269159999999998E-2</v>
      </c>
      <c r="CD729">
        <v>2.875</v>
      </c>
      <c r="CE729">
        <v>2.5</v>
      </c>
      <c r="CF729">
        <v>18</v>
      </c>
      <c r="CG729">
        <v>6</v>
      </c>
      <c r="CH729">
        <v>0</v>
      </c>
      <c r="CI729">
        <v>61.39</v>
      </c>
      <c r="CJ729">
        <v>623.46789999999999</v>
      </c>
    </row>
    <row r="730" spans="1:88">
      <c r="A730">
        <v>729</v>
      </c>
      <c r="B730" t="s">
        <v>13</v>
      </c>
      <c r="C730" t="s">
        <v>1</v>
      </c>
      <c r="D730" t="s">
        <v>96</v>
      </c>
      <c r="E730" t="s">
        <v>128</v>
      </c>
      <c r="F730" t="s">
        <v>198</v>
      </c>
      <c r="G730" t="s">
        <v>106</v>
      </c>
      <c r="H730" t="s">
        <v>162</v>
      </c>
      <c r="J730">
        <v>2</v>
      </c>
      <c r="K730" t="s">
        <v>146</v>
      </c>
      <c r="L730" t="s">
        <v>272</v>
      </c>
      <c r="M730" t="s">
        <v>132</v>
      </c>
      <c r="N730" t="s">
        <v>133</v>
      </c>
      <c r="O730">
        <v>140</v>
      </c>
      <c r="Q730">
        <v>474</v>
      </c>
      <c r="R730">
        <v>81</v>
      </c>
      <c r="S730">
        <v>4.25</v>
      </c>
      <c r="T730">
        <v>3.8069999999999999</v>
      </c>
      <c r="U730">
        <v>6.52</v>
      </c>
      <c r="V730">
        <v>2013.82</v>
      </c>
      <c r="W730">
        <v>527</v>
      </c>
      <c r="X730">
        <v>1.3332999999999999</v>
      </c>
      <c r="Y730">
        <v>392</v>
      </c>
      <c r="Z730">
        <v>5.14</v>
      </c>
      <c r="AJ730">
        <v>2</v>
      </c>
      <c r="AK730">
        <v>18</v>
      </c>
      <c r="AM730">
        <v>0</v>
      </c>
      <c r="AO730" t="s">
        <v>166</v>
      </c>
      <c r="AT730">
        <v>54</v>
      </c>
      <c r="AV730">
        <v>44.8</v>
      </c>
      <c r="AW730">
        <v>0.46875</v>
      </c>
      <c r="AX730">
        <v>3.75</v>
      </c>
      <c r="AY730">
        <v>52.875</v>
      </c>
      <c r="AZ730">
        <v>4.75</v>
      </c>
      <c r="BA730">
        <v>383.42</v>
      </c>
      <c r="BB730">
        <v>5.14</v>
      </c>
      <c r="BC730">
        <v>57</v>
      </c>
      <c r="BD730">
        <v>0.1875</v>
      </c>
      <c r="BE730">
        <v>2.75</v>
      </c>
      <c r="BF730">
        <v>31.75</v>
      </c>
      <c r="BG730">
        <v>1.875</v>
      </c>
      <c r="BH730">
        <v>8.36</v>
      </c>
      <c r="BI730">
        <v>18.14</v>
      </c>
      <c r="BJ730">
        <v>11</v>
      </c>
      <c r="BL730">
        <v>391.78</v>
      </c>
      <c r="BM730">
        <v>67</v>
      </c>
      <c r="BN730">
        <v>214</v>
      </c>
      <c r="BO730">
        <v>2266</v>
      </c>
      <c r="BP730">
        <v>0</v>
      </c>
      <c r="BQ730">
        <v>48</v>
      </c>
      <c r="BR730">
        <v>48</v>
      </c>
      <c r="BS730">
        <v>47.82</v>
      </c>
      <c r="BT730">
        <v>0</v>
      </c>
      <c r="BV730">
        <v>0</v>
      </c>
      <c r="BW730" t="s">
        <v>655</v>
      </c>
      <c r="BX730">
        <v>0.17</v>
      </c>
      <c r="BY730">
        <v>8.1294000000000004</v>
      </c>
      <c r="BZ730">
        <v>0</v>
      </c>
      <c r="CA730">
        <v>1</v>
      </c>
      <c r="CB730">
        <v>0.6</v>
      </c>
      <c r="CC730" s="3">
        <v>7.1269159999999998E-2</v>
      </c>
      <c r="CD730">
        <v>2.875</v>
      </c>
      <c r="CE730">
        <v>2.5</v>
      </c>
      <c r="CF730">
        <v>18</v>
      </c>
      <c r="CG730">
        <v>6</v>
      </c>
      <c r="CH730">
        <v>0</v>
      </c>
      <c r="CI730">
        <v>47.82</v>
      </c>
      <c r="CJ730">
        <v>420.89929999999998</v>
      </c>
    </row>
    <row r="731" spans="1:88">
      <c r="A731">
        <v>730</v>
      </c>
      <c r="B731" t="s">
        <v>13</v>
      </c>
      <c r="C731" t="s">
        <v>1</v>
      </c>
      <c r="D731" t="s">
        <v>158</v>
      </c>
      <c r="E731" t="s">
        <v>19</v>
      </c>
      <c r="F731" t="s">
        <v>166</v>
      </c>
      <c r="G731" t="s">
        <v>106</v>
      </c>
      <c r="H731" t="s">
        <v>119</v>
      </c>
      <c r="J731">
        <v>2</v>
      </c>
      <c r="K731" t="s">
        <v>146</v>
      </c>
      <c r="L731" t="s">
        <v>302</v>
      </c>
      <c r="M731" t="s">
        <v>433</v>
      </c>
      <c r="N731" t="s">
        <v>434</v>
      </c>
      <c r="O731">
        <v>185</v>
      </c>
      <c r="Q731">
        <v>604</v>
      </c>
      <c r="R731">
        <v>80</v>
      </c>
      <c r="S731">
        <v>4.25</v>
      </c>
      <c r="T731">
        <v>4.8529999999999998</v>
      </c>
      <c r="U731">
        <v>7.16</v>
      </c>
      <c r="V731">
        <v>2569.04</v>
      </c>
      <c r="W731">
        <v>571</v>
      </c>
      <c r="X731">
        <v>1.3332999999999999</v>
      </c>
      <c r="Y731">
        <v>416</v>
      </c>
      <c r="Z731">
        <v>6.18</v>
      </c>
      <c r="AJ731">
        <v>2</v>
      </c>
      <c r="AK731">
        <v>18</v>
      </c>
      <c r="AM731">
        <v>0</v>
      </c>
      <c r="AO731" t="s">
        <v>286</v>
      </c>
      <c r="AT731">
        <v>70</v>
      </c>
      <c r="AV731">
        <v>44.1</v>
      </c>
      <c r="AW731">
        <v>0.46875</v>
      </c>
      <c r="AX731">
        <v>3.75</v>
      </c>
      <c r="AY731">
        <v>63.625</v>
      </c>
      <c r="AZ731">
        <v>5.75</v>
      </c>
      <c r="BA731">
        <v>318.89999999999998</v>
      </c>
      <c r="BB731">
        <v>6.18</v>
      </c>
      <c r="BC731">
        <v>68</v>
      </c>
      <c r="BD731">
        <v>0.3125</v>
      </c>
      <c r="BE731">
        <v>2.75</v>
      </c>
      <c r="BF731">
        <v>37.125</v>
      </c>
      <c r="BG731">
        <v>3.875</v>
      </c>
      <c r="BH731">
        <v>96.8</v>
      </c>
      <c r="BI731">
        <v>6.6</v>
      </c>
      <c r="BJ731">
        <v>20</v>
      </c>
      <c r="BL731">
        <v>415.7</v>
      </c>
      <c r="BM731">
        <v>87</v>
      </c>
      <c r="BN731">
        <v>210.43340000000001</v>
      </c>
      <c r="BO731">
        <v>2343</v>
      </c>
      <c r="BP731">
        <v>0</v>
      </c>
      <c r="BQ731">
        <v>63</v>
      </c>
      <c r="BR731">
        <v>63</v>
      </c>
      <c r="BS731">
        <v>63.47</v>
      </c>
      <c r="BT731">
        <v>0</v>
      </c>
      <c r="BV731">
        <v>0</v>
      </c>
      <c r="BW731" t="s">
        <v>655</v>
      </c>
      <c r="BX731">
        <v>0.17</v>
      </c>
      <c r="BY731">
        <v>10.789899999999999</v>
      </c>
      <c r="BZ731">
        <v>0</v>
      </c>
      <c r="CA731">
        <v>1</v>
      </c>
      <c r="CB731">
        <v>0.6</v>
      </c>
      <c r="CC731" s="3">
        <v>7.1269159999999998E-2</v>
      </c>
      <c r="CD731">
        <v>2.875</v>
      </c>
      <c r="CE731">
        <v>2.5</v>
      </c>
      <c r="CF731">
        <v>18</v>
      </c>
      <c r="CG731">
        <v>6</v>
      </c>
      <c r="CH731">
        <v>0</v>
      </c>
      <c r="CI731">
        <v>63.47</v>
      </c>
      <c r="CJ731">
        <v>549.59960000000001</v>
      </c>
    </row>
    <row r="732" spans="1:88">
      <c r="A732">
        <v>731</v>
      </c>
      <c r="B732" t="s">
        <v>13</v>
      </c>
      <c r="C732" t="s">
        <v>1</v>
      </c>
      <c r="D732" t="s">
        <v>302</v>
      </c>
      <c r="E732" t="s">
        <v>169</v>
      </c>
      <c r="F732" t="s">
        <v>401</v>
      </c>
      <c r="G732" t="s">
        <v>214</v>
      </c>
      <c r="H732" t="s">
        <v>402</v>
      </c>
      <c r="J732">
        <v>2</v>
      </c>
      <c r="K732" t="s">
        <v>108</v>
      </c>
      <c r="L732" t="s">
        <v>381</v>
      </c>
      <c r="M732" t="s">
        <v>173</v>
      </c>
      <c r="N732" t="s">
        <v>174</v>
      </c>
      <c r="O732">
        <v>119</v>
      </c>
      <c r="Q732">
        <v>650</v>
      </c>
      <c r="R732">
        <v>125</v>
      </c>
      <c r="S732">
        <v>4.25</v>
      </c>
      <c r="T732">
        <v>3.2829999999999999</v>
      </c>
      <c r="U732">
        <v>6.15</v>
      </c>
      <c r="V732">
        <v>2763.05</v>
      </c>
      <c r="W732">
        <v>768</v>
      </c>
      <c r="X732">
        <v>1.3332999999999999</v>
      </c>
      <c r="Y732">
        <v>599</v>
      </c>
      <c r="Z732">
        <v>4.6100000000000003</v>
      </c>
      <c r="AJ732">
        <v>2</v>
      </c>
      <c r="AK732">
        <v>18</v>
      </c>
      <c r="AM732">
        <v>0</v>
      </c>
      <c r="AO732" t="s">
        <v>246</v>
      </c>
      <c r="AT732">
        <v>47</v>
      </c>
      <c r="AV732">
        <v>71.8</v>
      </c>
      <c r="AW732" t="s">
        <v>6</v>
      </c>
      <c r="AX732" t="s">
        <v>6</v>
      </c>
      <c r="AY732" t="s">
        <v>6</v>
      </c>
      <c r="AZ732" t="s">
        <v>6</v>
      </c>
      <c r="BA732" t="s">
        <v>6</v>
      </c>
      <c r="BB732" t="s">
        <v>6</v>
      </c>
      <c r="BC732" t="s">
        <v>6</v>
      </c>
      <c r="BD732" t="s">
        <v>6</v>
      </c>
      <c r="BE732" t="s">
        <v>6</v>
      </c>
      <c r="BF732" t="s">
        <v>6</v>
      </c>
      <c r="BG732" t="s">
        <v>6</v>
      </c>
      <c r="BH732" t="s">
        <v>6</v>
      </c>
      <c r="BI732" t="s">
        <v>6</v>
      </c>
      <c r="BJ732" t="s">
        <v>6</v>
      </c>
      <c r="BN732">
        <v>348.87670000000003</v>
      </c>
      <c r="BO732">
        <v>1070</v>
      </c>
      <c r="BP732">
        <v>0</v>
      </c>
      <c r="BQ732">
        <v>41</v>
      </c>
      <c r="BR732">
        <v>41</v>
      </c>
      <c r="BS732">
        <v>40.520000000000003</v>
      </c>
      <c r="BT732">
        <v>0</v>
      </c>
      <c r="BV732">
        <v>0</v>
      </c>
      <c r="BW732" t="s">
        <v>655</v>
      </c>
      <c r="BX732">
        <v>0.17</v>
      </c>
      <c r="BY732">
        <v>6.8883999999999999</v>
      </c>
      <c r="BZ732">
        <v>0</v>
      </c>
      <c r="CA732">
        <v>1</v>
      </c>
      <c r="CB732">
        <v>0.6</v>
      </c>
      <c r="CC732" s="3">
        <v>7.1269159999999998E-2</v>
      </c>
      <c r="CD732">
        <v>2.875</v>
      </c>
      <c r="CE732">
        <v>2.5</v>
      </c>
      <c r="CF732">
        <v>18</v>
      </c>
      <c r="CG732">
        <v>6</v>
      </c>
      <c r="CH732">
        <v>0</v>
      </c>
      <c r="CI732">
        <v>40.520000000000003</v>
      </c>
      <c r="CJ732">
        <v>571.42859999999996</v>
      </c>
    </row>
    <row r="733" spans="1:88">
      <c r="A733">
        <v>732</v>
      </c>
      <c r="B733" t="s">
        <v>0</v>
      </c>
      <c r="C733" t="s">
        <v>1</v>
      </c>
      <c r="D733" t="s">
        <v>559</v>
      </c>
      <c r="E733" t="s">
        <v>341</v>
      </c>
      <c r="F733" t="s">
        <v>560</v>
      </c>
      <c r="G733" t="s">
        <v>106</v>
      </c>
      <c r="H733" t="s">
        <v>561</v>
      </c>
      <c r="J733">
        <v>2</v>
      </c>
      <c r="K733" t="s">
        <v>146</v>
      </c>
      <c r="L733" t="s">
        <v>366</v>
      </c>
      <c r="M733" t="s">
        <v>499</v>
      </c>
      <c r="N733" t="s">
        <v>284</v>
      </c>
      <c r="O733">
        <v>83</v>
      </c>
      <c r="Q733">
        <v>131</v>
      </c>
      <c r="R733">
        <v>36</v>
      </c>
      <c r="S733">
        <v>4.25</v>
      </c>
      <c r="T733">
        <v>2.3170000000000002</v>
      </c>
      <c r="U733">
        <v>5.55</v>
      </c>
      <c r="V733">
        <v>556.49</v>
      </c>
      <c r="W733">
        <v>198</v>
      </c>
      <c r="X733">
        <v>1.3332999999999999</v>
      </c>
      <c r="Y733">
        <v>152</v>
      </c>
      <c r="Z733">
        <v>3.65</v>
      </c>
      <c r="AJ733">
        <v>2</v>
      </c>
      <c r="AK733">
        <v>18</v>
      </c>
      <c r="AM733">
        <v>0</v>
      </c>
      <c r="AO733" t="s">
        <v>321</v>
      </c>
      <c r="AT733">
        <v>34</v>
      </c>
      <c r="AV733">
        <v>19.399999999999999</v>
      </c>
      <c r="AW733">
        <v>0</v>
      </c>
      <c r="AX733">
        <v>0</v>
      </c>
      <c r="AY733">
        <v>16.75</v>
      </c>
      <c r="AZ733">
        <v>2.25</v>
      </c>
      <c r="BA733">
        <v>0</v>
      </c>
      <c r="BB733">
        <v>0</v>
      </c>
      <c r="BC733">
        <v>13</v>
      </c>
      <c r="BN733">
        <v>89.166679999999999</v>
      </c>
      <c r="BO733">
        <v>13052</v>
      </c>
      <c r="BP733">
        <v>0</v>
      </c>
      <c r="BQ733">
        <v>28</v>
      </c>
      <c r="BR733">
        <v>28</v>
      </c>
      <c r="BS733">
        <v>28</v>
      </c>
      <c r="BT733">
        <v>0</v>
      </c>
      <c r="BV733">
        <v>0</v>
      </c>
      <c r="BW733" t="s">
        <v>655</v>
      </c>
      <c r="BX733">
        <v>0.17</v>
      </c>
      <c r="BY733">
        <v>4.76</v>
      </c>
      <c r="BZ733">
        <v>0</v>
      </c>
      <c r="CA733">
        <v>1</v>
      </c>
      <c r="CB733">
        <v>0.6</v>
      </c>
      <c r="CC733" s="3">
        <v>7.1269159999999998E-2</v>
      </c>
      <c r="CD733">
        <v>2.875</v>
      </c>
      <c r="CE733">
        <v>2.5</v>
      </c>
      <c r="CF733">
        <v>18</v>
      </c>
      <c r="CG733">
        <v>6</v>
      </c>
      <c r="CH733">
        <v>0</v>
      </c>
      <c r="CI733">
        <v>28</v>
      </c>
      <c r="CJ733">
        <v>106.7612</v>
      </c>
    </row>
    <row r="734" spans="1:88">
      <c r="A734">
        <v>733</v>
      </c>
      <c r="B734" t="s">
        <v>0</v>
      </c>
      <c r="C734" t="s">
        <v>1</v>
      </c>
      <c r="D734" t="s">
        <v>101</v>
      </c>
      <c r="E734" t="s">
        <v>177</v>
      </c>
      <c r="F734" t="s">
        <v>339</v>
      </c>
      <c r="G734" t="s">
        <v>106</v>
      </c>
      <c r="H734" t="s">
        <v>167</v>
      </c>
      <c r="J734">
        <v>2</v>
      </c>
      <c r="K734" t="s">
        <v>146</v>
      </c>
      <c r="L734" t="s">
        <v>235</v>
      </c>
      <c r="M734" t="s">
        <v>152</v>
      </c>
      <c r="N734" t="s">
        <v>127</v>
      </c>
      <c r="O734">
        <v>112</v>
      </c>
      <c r="Q734">
        <v>396</v>
      </c>
      <c r="R734">
        <v>83</v>
      </c>
      <c r="S734">
        <v>4.25</v>
      </c>
      <c r="T734">
        <v>3.1019999999999999</v>
      </c>
      <c r="U734">
        <v>6.14</v>
      </c>
      <c r="V734">
        <v>1681.68</v>
      </c>
      <c r="W734">
        <v>507</v>
      </c>
      <c r="X734">
        <v>1.3332999999999999</v>
      </c>
      <c r="Y734">
        <v>380</v>
      </c>
      <c r="Z734">
        <v>4.43</v>
      </c>
      <c r="AJ734">
        <v>2</v>
      </c>
      <c r="AK734">
        <v>18</v>
      </c>
      <c r="AM734">
        <v>0</v>
      </c>
      <c r="AO734" t="s">
        <v>327</v>
      </c>
      <c r="AT734">
        <v>44</v>
      </c>
      <c r="AV734">
        <v>45.9</v>
      </c>
      <c r="AW734">
        <v>0</v>
      </c>
      <c r="AX734">
        <v>0</v>
      </c>
      <c r="AY734">
        <v>53.375</v>
      </c>
      <c r="AZ734">
        <v>4.125</v>
      </c>
      <c r="BA734">
        <v>0</v>
      </c>
      <c r="BB734">
        <v>0</v>
      </c>
      <c r="BC734">
        <v>57</v>
      </c>
      <c r="BN734">
        <v>219.35</v>
      </c>
      <c r="BO734">
        <v>2157</v>
      </c>
      <c r="BP734">
        <v>0</v>
      </c>
      <c r="BQ734">
        <v>38</v>
      </c>
      <c r="BR734">
        <v>38</v>
      </c>
      <c r="BS734">
        <v>38.08</v>
      </c>
      <c r="BT734">
        <v>0</v>
      </c>
      <c r="BV734">
        <v>0</v>
      </c>
      <c r="BW734" t="s">
        <v>655</v>
      </c>
      <c r="BX734">
        <v>0.17</v>
      </c>
      <c r="BY734">
        <v>6.4736010000000004</v>
      </c>
      <c r="BZ734">
        <v>0</v>
      </c>
      <c r="CA734">
        <v>1</v>
      </c>
      <c r="CB734">
        <v>0.6</v>
      </c>
      <c r="CC734" s="3">
        <v>7.1269159999999998E-2</v>
      </c>
      <c r="CD734">
        <v>2.875</v>
      </c>
      <c r="CE734">
        <v>2.5</v>
      </c>
      <c r="CF734">
        <v>18</v>
      </c>
      <c r="CG734">
        <v>6</v>
      </c>
      <c r="CH734">
        <v>0</v>
      </c>
      <c r="CI734">
        <v>38.08</v>
      </c>
      <c r="CJ734">
        <v>343.31209999999999</v>
      </c>
    </row>
    <row r="735" spans="1:88">
      <c r="A735">
        <v>734</v>
      </c>
      <c r="B735" t="s">
        <v>0</v>
      </c>
      <c r="C735" t="s">
        <v>1</v>
      </c>
      <c r="D735" t="s">
        <v>8</v>
      </c>
      <c r="E735" t="s">
        <v>14</v>
      </c>
      <c r="F735" t="s">
        <v>246</v>
      </c>
      <c r="G735" t="s">
        <v>15</v>
      </c>
      <c r="H735" t="s">
        <v>247</v>
      </c>
      <c r="J735">
        <v>2</v>
      </c>
      <c r="K735" t="s">
        <v>108</v>
      </c>
      <c r="L735" t="s">
        <v>17</v>
      </c>
      <c r="M735" t="s">
        <v>18</v>
      </c>
      <c r="N735" t="s">
        <v>19</v>
      </c>
      <c r="O735">
        <v>182</v>
      </c>
      <c r="Q735">
        <v>953</v>
      </c>
      <c r="R735">
        <v>124</v>
      </c>
      <c r="S735">
        <v>4.25</v>
      </c>
      <c r="T735">
        <v>4.7859999999999996</v>
      </c>
      <c r="U735">
        <v>7.12</v>
      </c>
      <c r="V735">
        <v>4051.18</v>
      </c>
      <c r="W735">
        <v>880</v>
      </c>
      <c r="X735">
        <v>1.3332999999999999</v>
      </c>
      <c r="Y735">
        <v>663</v>
      </c>
      <c r="Z735">
        <v>6.11</v>
      </c>
      <c r="AJ735">
        <v>2</v>
      </c>
      <c r="AK735">
        <v>18</v>
      </c>
      <c r="AM735">
        <v>0</v>
      </c>
      <c r="AO735" t="s">
        <v>250</v>
      </c>
      <c r="AT735">
        <v>69</v>
      </c>
      <c r="AV735">
        <v>71.099999999999994</v>
      </c>
      <c r="AW735" t="s">
        <v>6</v>
      </c>
      <c r="AX735" t="s">
        <v>6</v>
      </c>
      <c r="AY735" t="s">
        <v>6</v>
      </c>
      <c r="AZ735" t="s">
        <v>6</v>
      </c>
      <c r="BA735" t="s">
        <v>6</v>
      </c>
      <c r="BB735" t="s">
        <v>6</v>
      </c>
      <c r="BC735" t="s">
        <v>6</v>
      </c>
      <c r="BD735" t="s">
        <v>6</v>
      </c>
      <c r="BE735" t="s">
        <v>6</v>
      </c>
      <c r="BF735" t="s">
        <v>6</v>
      </c>
      <c r="BG735" t="s">
        <v>6</v>
      </c>
      <c r="BH735" t="s">
        <v>6</v>
      </c>
      <c r="BI735" t="s">
        <v>6</v>
      </c>
      <c r="BJ735" t="s">
        <v>6</v>
      </c>
      <c r="BN735">
        <v>606.1585</v>
      </c>
      <c r="BO735">
        <v>2977</v>
      </c>
      <c r="BP735">
        <v>0</v>
      </c>
      <c r="BQ735">
        <v>62</v>
      </c>
      <c r="BR735">
        <v>62</v>
      </c>
      <c r="BS735">
        <v>62.43</v>
      </c>
      <c r="BT735">
        <v>0</v>
      </c>
      <c r="BV735">
        <v>0</v>
      </c>
      <c r="BW735" t="s">
        <v>655</v>
      </c>
      <c r="BX735">
        <v>0.17</v>
      </c>
      <c r="BY735">
        <v>10.613099999999999</v>
      </c>
      <c r="BZ735">
        <v>0</v>
      </c>
      <c r="CA735">
        <v>1</v>
      </c>
      <c r="CB735">
        <v>0.6</v>
      </c>
      <c r="CC735" s="3">
        <v>7.1269159999999998E-2</v>
      </c>
      <c r="CD735">
        <v>2.875</v>
      </c>
      <c r="CE735">
        <v>2.5</v>
      </c>
      <c r="CF735">
        <v>18</v>
      </c>
      <c r="CG735">
        <v>6</v>
      </c>
      <c r="CH735">
        <v>0</v>
      </c>
      <c r="CI735">
        <v>62.43</v>
      </c>
      <c r="CJ735">
        <v>871.51319999999998</v>
      </c>
    </row>
    <row r="736" spans="1:88">
      <c r="A736">
        <v>735</v>
      </c>
      <c r="B736" t="s">
        <v>0</v>
      </c>
      <c r="C736" t="s">
        <v>1</v>
      </c>
      <c r="D736" t="s">
        <v>702</v>
      </c>
      <c r="E736" t="s">
        <v>172</v>
      </c>
      <c r="F736" t="s">
        <v>703</v>
      </c>
      <c r="G736" t="s">
        <v>20</v>
      </c>
      <c r="H736" t="s">
        <v>702</v>
      </c>
      <c r="J736">
        <v>2</v>
      </c>
      <c r="K736" t="s">
        <v>9</v>
      </c>
      <c r="L736" t="s">
        <v>233</v>
      </c>
      <c r="M736" t="s">
        <v>490</v>
      </c>
      <c r="N736" t="s">
        <v>128</v>
      </c>
      <c r="O736">
        <v>137</v>
      </c>
      <c r="Q736">
        <v>1026</v>
      </c>
      <c r="R736">
        <v>173</v>
      </c>
      <c r="S736">
        <v>4.25</v>
      </c>
      <c r="T736">
        <v>3.734</v>
      </c>
      <c r="U736">
        <v>6.48</v>
      </c>
      <c r="V736">
        <v>4358.63</v>
      </c>
      <c r="W736">
        <v>1120</v>
      </c>
      <c r="X736">
        <v>1.3332999999999999</v>
      </c>
      <c r="Y736">
        <v>861</v>
      </c>
      <c r="Z736">
        <v>5.0599999999999996</v>
      </c>
      <c r="AJ736">
        <v>2</v>
      </c>
      <c r="AK736">
        <v>18</v>
      </c>
      <c r="AM736">
        <v>0</v>
      </c>
      <c r="AO736" t="s">
        <v>704</v>
      </c>
      <c r="AT736">
        <v>53</v>
      </c>
      <c r="AV736">
        <v>99.4</v>
      </c>
      <c r="AW736" t="s">
        <v>6</v>
      </c>
      <c r="AX736" t="s">
        <v>6</v>
      </c>
      <c r="AY736" t="s">
        <v>6</v>
      </c>
      <c r="AZ736" t="s">
        <v>6</v>
      </c>
      <c r="BA736" t="s">
        <v>6</v>
      </c>
      <c r="BB736" t="s">
        <v>6</v>
      </c>
      <c r="BC736" t="s">
        <v>6</v>
      </c>
      <c r="BD736" t="s">
        <v>6</v>
      </c>
      <c r="BE736" t="s">
        <v>6</v>
      </c>
      <c r="BF736" t="s">
        <v>6</v>
      </c>
      <c r="BG736" t="s">
        <v>6</v>
      </c>
      <c r="BH736" t="s">
        <v>6</v>
      </c>
      <c r="BI736" t="s">
        <v>6</v>
      </c>
      <c r="BJ736" t="s">
        <v>6</v>
      </c>
      <c r="BN736">
        <v>746.94380000000001</v>
      </c>
      <c r="BO736">
        <v>2146</v>
      </c>
      <c r="BP736">
        <v>0</v>
      </c>
      <c r="BQ736">
        <v>47</v>
      </c>
      <c r="BR736">
        <v>47</v>
      </c>
      <c r="BS736">
        <v>46.78</v>
      </c>
      <c r="BT736">
        <v>0</v>
      </c>
      <c r="BV736">
        <v>6</v>
      </c>
      <c r="BW736" t="s">
        <v>655</v>
      </c>
      <c r="BX736">
        <v>0.27933340000000001</v>
      </c>
      <c r="BY736">
        <v>13.067209999999999</v>
      </c>
      <c r="BZ736">
        <v>0</v>
      </c>
      <c r="CA736">
        <v>1</v>
      </c>
      <c r="CB736">
        <v>0.6</v>
      </c>
      <c r="CC736" s="3">
        <v>7.1269159999999998E-2</v>
      </c>
      <c r="CD736">
        <v>2.875</v>
      </c>
      <c r="CE736">
        <v>2.5</v>
      </c>
      <c r="CF736">
        <v>18</v>
      </c>
      <c r="CG736">
        <v>6</v>
      </c>
      <c r="CH736">
        <v>0</v>
      </c>
      <c r="CI736">
        <v>46.78</v>
      </c>
      <c r="CJ736">
        <v>913.09130000000005</v>
      </c>
    </row>
    <row r="737" spans="1:88">
      <c r="A737">
        <v>736</v>
      </c>
      <c r="B737" t="s">
        <v>0</v>
      </c>
      <c r="C737" t="s">
        <v>1</v>
      </c>
      <c r="D737" t="s">
        <v>507</v>
      </c>
      <c r="E737" t="s">
        <v>219</v>
      </c>
      <c r="F737" t="s">
        <v>584</v>
      </c>
      <c r="G737" t="s">
        <v>106</v>
      </c>
      <c r="H737" t="s">
        <v>602</v>
      </c>
      <c r="J737">
        <v>2</v>
      </c>
      <c r="K737" t="s">
        <v>146</v>
      </c>
      <c r="L737" t="s">
        <v>369</v>
      </c>
      <c r="M737" t="s">
        <v>220</v>
      </c>
      <c r="N737" t="s">
        <v>221</v>
      </c>
      <c r="O737">
        <v>101</v>
      </c>
      <c r="Q737">
        <v>139</v>
      </c>
      <c r="R737">
        <v>32</v>
      </c>
      <c r="S737">
        <v>4.25</v>
      </c>
      <c r="T737">
        <v>2.8119999999999998</v>
      </c>
      <c r="U737">
        <v>5.92</v>
      </c>
      <c r="V737">
        <v>590.91999999999996</v>
      </c>
      <c r="W737">
        <v>191</v>
      </c>
      <c r="X737">
        <v>1.3332999999999999</v>
      </c>
      <c r="Y737">
        <v>143</v>
      </c>
      <c r="Z737">
        <v>4.1399999999999997</v>
      </c>
      <c r="AJ737">
        <v>2</v>
      </c>
      <c r="AK737">
        <v>18</v>
      </c>
      <c r="AM737">
        <v>0</v>
      </c>
      <c r="AO737" t="s">
        <v>367</v>
      </c>
      <c r="AT737">
        <v>40</v>
      </c>
      <c r="AV737">
        <v>17.2</v>
      </c>
      <c r="AW737">
        <v>0</v>
      </c>
      <c r="AX737">
        <v>0</v>
      </c>
      <c r="AY737">
        <v>17.875</v>
      </c>
      <c r="AZ737">
        <v>2.625</v>
      </c>
      <c r="BA737">
        <v>0</v>
      </c>
      <c r="BB737">
        <v>0</v>
      </c>
      <c r="BC737">
        <v>13</v>
      </c>
      <c r="BN737">
        <v>78.466679999999997</v>
      </c>
      <c r="BO737">
        <v>16854</v>
      </c>
      <c r="BP737">
        <v>0</v>
      </c>
      <c r="BQ737">
        <v>34</v>
      </c>
      <c r="BR737">
        <v>34</v>
      </c>
      <c r="BS737">
        <v>34.26</v>
      </c>
      <c r="BT737">
        <v>0</v>
      </c>
      <c r="BV737">
        <v>0</v>
      </c>
      <c r="BW737" t="s">
        <v>655</v>
      </c>
      <c r="BX737">
        <v>0.17</v>
      </c>
      <c r="BY737">
        <v>5.8242000000000003</v>
      </c>
      <c r="BZ737">
        <v>0</v>
      </c>
      <c r="CA737">
        <v>1</v>
      </c>
      <c r="CB737">
        <v>0.6</v>
      </c>
      <c r="CC737" s="3">
        <v>7.1269159999999998E-2</v>
      </c>
      <c r="CD737">
        <v>2.875</v>
      </c>
      <c r="CE737">
        <v>2.5</v>
      </c>
      <c r="CF737">
        <v>18</v>
      </c>
      <c r="CG737">
        <v>6</v>
      </c>
      <c r="CH737">
        <v>0</v>
      </c>
      <c r="CI737">
        <v>34.26</v>
      </c>
      <c r="CJ737">
        <v>115.9799</v>
      </c>
    </row>
    <row r="738" spans="1:88">
      <c r="A738">
        <v>737</v>
      </c>
      <c r="B738" t="s">
        <v>13</v>
      </c>
      <c r="C738" t="s">
        <v>1</v>
      </c>
      <c r="D738" t="s">
        <v>96</v>
      </c>
      <c r="E738" t="s">
        <v>229</v>
      </c>
      <c r="F738" t="s">
        <v>198</v>
      </c>
      <c r="G738" t="s">
        <v>106</v>
      </c>
      <c r="H738" t="s">
        <v>162</v>
      </c>
      <c r="J738">
        <v>2</v>
      </c>
      <c r="K738" t="s">
        <v>146</v>
      </c>
      <c r="L738" t="s">
        <v>128</v>
      </c>
      <c r="M738" t="s">
        <v>404</v>
      </c>
      <c r="N738" t="s">
        <v>268</v>
      </c>
      <c r="O738">
        <v>120</v>
      </c>
      <c r="Q738">
        <v>411</v>
      </c>
      <c r="R738">
        <v>81</v>
      </c>
      <c r="S738">
        <v>4.25</v>
      </c>
      <c r="T738">
        <v>3.3079999999999998</v>
      </c>
      <c r="U738">
        <v>6.15</v>
      </c>
      <c r="V738">
        <v>1748.45</v>
      </c>
      <c r="W738">
        <v>497</v>
      </c>
      <c r="X738">
        <v>1.3332999999999999</v>
      </c>
      <c r="Y738">
        <v>377</v>
      </c>
      <c r="Z738">
        <v>4.6399999999999997</v>
      </c>
      <c r="AJ738">
        <v>2</v>
      </c>
      <c r="AK738">
        <v>18</v>
      </c>
      <c r="AM738">
        <v>0</v>
      </c>
      <c r="AO738" t="s">
        <v>166</v>
      </c>
      <c r="AT738">
        <v>47</v>
      </c>
      <c r="AV738">
        <v>44.8</v>
      </c>
      <c r="AW738">
        <v>0</v>
      </c>
      <c r="AX738">
        <v>0</v>
      </c>
      <c r="AY738">
        <v>53.75</v>
      </c>
      <c r="AZ738">
        <v>4.375</v>
      </c>
      <c r="BA738">
        <v>0</v>
      </c>
      <c r="BB738">
        <v>0</v>
      </c>
      <c r="BC738">
        <v>58</v>
      </c>
      <c r="BN738">
        <v>214</v>
      </c>
      <c r="BO738">
        <v>2266</v>
      </c>
      <c r="BP738">
        <v>0</v>
      </c>
      <c r="BQ738">
        <v>41</v>
      </c>
      <c r="BR738">
        <v>41</v>
      </c>
      <c r="BS738">
        <v>40.86</v>
      </c>
      <c r="BT738">
        <v>0</v>
      </c>
      <c r="BV738">
        <v>0</v>
      </c>
      <c r="BW738" t="s">
        <v>655</v>
      </c>
      <c r="BX738">
        <v>0.17</v>
      </c>
      <c r="BY738">
        <v>6.9462010000000003</v>
      </c>
      <c r="BZ738">
        <v>0</v>
      </c>
      <c r="CA738">
        <v>1</v>
      </c>
      <c r="CB738">
        <v>0.6</v>
      </c>
      <c r="CC738" s="3">
        <v>7.1269159999999998E-2</v>
      </c>
      <c r="CD738">
        <v>2.875</v>
      </c>
      <c r="CE738">
        <v>2.5</v>
      </c>
      <c r="CF738">
        <v>18</v>
      </c>
      <c r="CG738">
        <v>6</v>
      </c>
      <c r="CH738">
        <v>0</v>
      </c>
      <c r="CI738">
        <v>40.86</v>
      </c>
      <c r="CJ738">
        <v>359.63909999999998</v>
      </c>
    </row>
    <row r="739" spans="1:88">
      <c r="A739">
        <v>738</v>
      </c>
      <c r="B739" t="s">
        <v>13</v>
      </c>
      <c r="C739" t="s">
        <v>1</v>
      </c>
      <c r="D739" t="s">
        <v>279</v>
      </c>
      <c r="E739" t="s">
        <v>267</v>
      </c>
      <c r="F739" t="s">
        <v>236</v>
      </c>
      <c r="G739" t="s">
        <v>106</v>
      </c>
      <c r="H739" t="s">
        <v>143</v>
      </c>
      <c r="J739">
        <v>2</v>
      </c>
      <c r="K739" t="s">
        <v>146</v>
      </c>
      <c r="L739" t="s">
        <v>113</v>
      </c>
      <c r="M739" t="s">
        <v>232</v>
      </c>
      <c r="N739" t="s">
        <v>258</v>
      </c>
      <c r="O739">
        <v>159</v>
      </c>
      <c r="Q739">
        <v>639</v>
      </c>
      <c r="R739">
        <v>95</v>
      </c>
      <c r="S739">
        <v>4.25</v>
      </c>
      <c r="T739">
        <v>4.26</v>
      </c>
      <c r="U739">
        <v>6.75</v>
      </c>
      <c r="V739">
        <v>2716.64</v>
      </c>
      <c r="W739">
        <v>643</v>
      </c>
      <c r="X739">
        <v>1.3332999999999999</v>
      </c>
      <c r="Y739">
        <v>486</v>
      </c>
      <c r="Z739">
        <v>5.59</v>
      </c>
      <c r="AJ739">
        <v>2</v>
      </c>
      <c r="AK739">
        <v>18</v>
      </c>
      <c r="AM739">
        <v>0</v>
      </c>
      <c r="AO739" t="s">
        <v>206</v>
      </c>
      <c r="AT739">
        <v>61</v>
      </c>
      <c r="AV739">
        <v>53.9</v>
      </c>
      <c r="AW739" t="s">
        <v>6</v>
      </c>
      <c r="AX739" t="s">
        <v>6</v>
      </c>
      <c r="AY739" t="s">
        <v>6</v>
      </c>
      <c r="AZ739" t="s">
        <v>6</v>
      </c>
      <c r="BA739" t="s">
        <v>6</v>
      </c>
      <c r="BB739" t="s">
        <v>6</v>
      </c>
      <c r="BC739" t="s">
        <v>6</v>
      </c>
      <c r="BD739" t="s">
        <v>6</v>
      </c>
      <c r="BE739" t="s">
        <v>6</v>
      </c>
      <c r="BF739" t="s">
        <v>6</v>
      </c>
      <c r="BG739" t="s">
        <v>6</v>
      </c>
      <c r="BH739" t="s">
        <v>6</v>
      </c>
      <c r="BI739" t="s">
        <v>6</v>
      </c>
      <c r="BJ739" t="s">
        <v>6</v>
      </c>
      <c r="BN739">
        <v>258.58339999999998</v>
      </c>
      <c r="BO739">
        <v>1552</v>
      </c>
      <c r="BP739">
        <v>0</v>
      </c>
      <c r="BQ739">
        <v>54</v>
      </c>
      <c r="BR739">
        <v>54</v>
      </c>
      <c r="BS739">
        <v>54.43</v>
      </c>
      <c r="BT739">
        <v>0</v>
      </c>
      <c r="BV739">
        <v>0</v>
      </c>
      <c r="BW739" t="s">
        <v>655</v>
      </c>
      <c r="BX739">
        <v>0.17</v>
      </c>
      <c r="BY739">
        <v>9.2531009999999991</v>
      </c>
      <c r="BZ739">
        <v>0</v>
      </c>
      <c r="CA739">
        <v>1</v>
      </c>
      <c r="CB739">
        <v>0.6</v>
      </c>
      <c r="CC739" s="3">
        <v>7.1269159999999998E-2</v>
      </c>
      <c r="CD739">
        <v>2.875</v>
      </c>
      <c r="CE739">
        <v>2.5</v>
      </c>
      <c r="CF739">
        <v>18</v>
      </c>
      <c r="CG739">
        <v>6</v>
      </c>
      <c r="CH739">
        <v>0</v>
      </c>
      <c r="CI739">
        <v>54.43</v>
      </c>
      <c r="CJ739">
        <v>576.05830000000003</v>
      </c>
    </row>
    <row r="740" spans="1:88">
      <c r="A740">
        <v>739</v>
      </c>
      <c r="B740" t="s">
        <v>0</v>
      </c>
      <c r="C740" t="s">
        <v>1</v>
      </c>
      <c r="D740" t="s">
        <v>221</v>
      </c>
      <c r="E740" t="s">
        <v>369</v>
      </c>
      <c r="F740" t="s">
        <v>405</v>
      </c>
      <c r="G740" t="s">
        <v>106</v>
      </c>
      <c r="H740" t="s">
        <v>366</v>
      </c>
      <c r="J740">
        <v>2</v>
      </c>
      <c r="K740" t="s">
        <v>146</v>
      </c>
      <c r="L740" t="s">
        <v>259</v>
      </c>
      <c r="M740" t="s">
        <v>480</v>
      </c>
      <c r="N740" t="s">
        <v>307</v>
      </c>
      <c r="O740">
        <v>121</v>
      </c>
      <c r="Q740">
        <v>325</v>
      </c>
      <c r="R740">
        <v>65</v>
      </c>
      <c r="S740">
        <v>4.25</v>
      </c>
      <c r="T740">
        <v>3.3340000000000001</v>
      </c>
      <c r="U740">
        <v>6.22</v>
      </c>
      <c r="V740">
        <v>1383.12</v>
      </c>
      <c r="W740">
        <v>406</v>
      </c>
      <c r="X740">
        <v>1.3332999999999999</v>
      </c>
      <c r="Y740">
        <v>297</v>
      </c>
      <c r="Z740">
        <v>4.66</v>
      </c>
      <c r="AJ740">
        <v>2</v>
      </c>
      <c r="AK740">
        <v>18</v>
      </c>
      <c r="AM740">
        <v>0</v>
      </c>
      <c r="AO740" t="s">
        <v>370</v>
      </c>
      <c r="AT740">
        <v>47</v>
      </c>
      <c r="AV740">
        <v>35</v>
      </c>
      <c r="AW740">
        <v>0</v>
      </c>
      <c r="AX740">
        <v>0</v>
      </c>
      <c r="AY740">
        <v>48</v>
      </c>
      <c r="AZ740">
        <v>4.125</v>
      </c>
      <c r="BA740">
        <v>0</v>
      </c>
      <c r="BB740">
        <v>0</v>
      </c>
      <c r="BC740">
        <v>49</v>
      </c>
      <c r="BN740">
        <v>165.85</v>
      </c>
      <c r="BO740">
        <v>3773</v>
      </c>
      <c r="BP740">
        <v>0</v>
      </c>
      <c r="BQ740">
        <v>41</v>
      </c>
      <c r="BR740">
        <v>41</v>
      </c>
      <c r="BS740">
        <v>41.21</v>
      </c>
      <c r="BT740">
        <v>0</v>
      </c>
      <c r="BV740">
        <v>0</v>
      </c>
      <c r="BW740" t="s">
        <v>655</v>
      </c>
      <c r="BX740">
        <v>0.17</v>
      </c>
      <c r="BY740">
        <v>7.0057</v>
      </c>
      <c r="BZ740">
        <v>0</v>
      </c>
      <c r="CA740">
        <v>1</v>
      </c>
      <c r="CB740">
        <v>0.6</v>
      </c>
      <c r="CC740" s="3">
        <v>7.1269159999999998E-2</v>
      </c>
      <c r="CD740">
        <v>2.875</v>
      </c>
      <c r="CE740">
        <v>2.5</v>
      </c>
      <c r="CF740">
        <v>18</v>
      </c>
      <c r="CG740">
        <v>6</v>
      </c>
      <c r="CH740">
        <v>0</v>
      </c>
      <c r="CI740">
        <v>41.21</v>
      </c>
      <c r="CJ740">
        <v>283.42070000000001</v>
      </c>
    </row>
    <row r="741" spans="1:88">
      <c r="A741">
        <v>740</v>
      </c>
      <c r="B741" t="s">
        <v>0</v>
      </c>
      <c r="C741" t="s">
        <v>1</v>
      </c>
      <c r="D741" t="s">
        <v>317</v>
      </c>
      <c r="E741" t="s">
        <v>139</v>
      </c>
      <c r="F741" t="s">
        <v>318</v>
      </c>
      <c r="G741" t="s">
        <v>106</v>
      </c>
      <c r="H741" t="s">
        <v>180</v>
      </c>
      <c r="J741">
        <v>2</v>
      </c>
      <c r="K741" t="s">
        <v>146</v>
      </c>
      <c r="L741" t="s">
        <v>158</v>
      </c>
      <c r="M741" t="s">
        <v>385</v>
      </c>
      <c r="N741" t="s">
        <v>177</v>
      </c>
      <c r="O741">
        <v>109</v>
      </c>
      <c r="Q741">
        <v>281</v>
      </c>
      <c r="R741">
        <v>62</v>
      </c>
      <c r="S741">
        <v>4.25</v>
      </c>
      <c r="T741">
        <v>3.024</v>
      </c>
      <c r="U741">
        <v>6.11</v>
      </c>
      <c r="V741">
        <v>1194.42</v>
      </c>
      <c r="W741">
        <v>382</v>
      </c>
      <c r="X741">
        <v>1.5</v>
      </c>
      <c r="Y741">
        <v>264</v>
      </c>
      <c r="Z741">
        <v>4.5199999999999996</v>
      </c>
      <c r="AJ741">
        <v>2</v>
      </c>
      <c r="AK741">
        <v>18</v>
      </c>
      <c r="AM741">
        <v>0</v>
      </c>
      <c r="AO741" t="s">
        <v>319</v>
      </c>
      <c r="AT741">
        <v>43</v>
      </c>
      <c r="AV741">
        <v>33.200000000000003</v>
      </c>
      <c r="AW741">
        <v>0</v>
      </c>
      <c r="AX741">
        <v>0</v>
      </c>
      <c r="AY741">
        <v>36.875</v>
      </c>
      <c r="AZ741">
        <v>3.625</v>
      </c>
      <c r="BA741">
        <v>0</v>
      </c>
      <c r="BB741">
        <v>0</v>
      </c>
      <c r="BC741">
        <v>35</v>
      </c>
      <c r="BN741">
        <v>156.93340000000001</v>
      </c>
      <c r="BO741">
        <v>4213</v>
      </c>
      <c r="BP741">
        <v>0</v>
      </c>
      <c r="BQ741">
        <v>37</v>
      </c>
      <c r="BR741">
        <v>37</v>
      </c>
      <c r="BS741">
        <v>37.04</v>
      </c>
      <c r="BT741">
        <v>0</v>
      </c>
      <c r="BV741">
        <v>0</v>
      </c>
      <c r="BW741" t="s">
        <v>655</v>
      </c>
      <c r="BX741">
        <v>0.17</v>
      </c>
      <c r="BY741">
        <v>6.2968000000000002</v>
      </c>
      <c r="BZ741">
        <v>0</v>
      </c>
      <c r="CA741">
        <v>1</v>
      </c>
      <c r="CB741">
        <v>0.6</v>
      </c>
      <c r="CC741" s="3">
        <v>7.1269159999999998E-2</v>
      </c>
      <c r="CD741">
        <v>2.875</v>
      </c>
      <c r="CE741">
        <v>2.5</v>
      </c>
      <c r="CF741">
        <v>18</v>
      </c>
      <c r="CG741">
        <v>6</v>
      </c>
      <c r="CH741">
        <v>0</v>
      </c>
      <c r="CI741">
        <v>37.04</v>
      </c>
      <c r="CJ741">
        <v>241.54259999999999</v>
      </c>
    </row>
    <row r="742" spans="1:88">
      <c r="A742">
        <v>741</v>
      </c>
      <c r="B742" t="s">
        <v>0</v>
      </c>
      <c r="C742" t="s">
        <v>1</v>
      </c>
      <c r="D742" t="s">
        <v>320</v>
      </c>
      <c r="E742" t="s">
        <v>178</v>
      </c>
      <c r="F742" t="s">
        <v>321</v>
      </c>
      <c r="G742" t="s">
        <v>106</v>
      </c>
      <c r="H742" t="s">
        <v>322</v>
      </c>
      <c r="J742">
        <v>2</v>
      </c>
      <c r="K742" t="s">
        <v>146</v>
      </c>
      <c r="L742" t="s">
        <v>127</v>
      </c>
      <c r="M742" t="s">
        <v>179</v>
      </c>
      <c r="N742" t="s">
        <v>180</v>
      </c>
      <c r="O742">
        <v>95</v>
      </c>
      <c r="Q742">
        <v>142</v>
      </c>
      <c r="R742">
        <v>35</v>
      </c>
      <c r="S742">
        <v>4.25</v>
      </c>
      <c r="T742">
        <v>2.649</v>
      </c>
      <c r="U742">
        <v>5.81</v>
      </c>
      <c r="V742">
        <v>604.47</v>
      </c>
      <c r="W742">
        <v>201</v>
      </c>
      <c r="X742">
        <v>1.3332999999999999</v>
      </c>
      <c r="Y742">
        <v>152</v>
      </c>
      <c r="Z742">
        <v>3.98</v>
      </c>
      <c r="AJ742">
        <v>2</v>
      </c>
      <c r="AK742">
        <v>18</v>
      </c>
      <c r="AM742">
        <v>0</v>
      </c>
      <c r="AO742" t="s">
        <v>323</v>
      </c>
      <c r="AT742">
        <v>38</v>
      </c>
      <c r="AV742">
        <v>18.600000000000001</v>
      </c>
      <c r="AW742">
        <v>0</v>
      </c>
      <c r="AX742">
        <v>0</v>
      </c>
      <c r="AY742">
        <v>16.75</v>
      </c>
      <c r="AZ742">
        <v>2.5</v>
      </c>
      <c r="BA742">
        <v>0</v>
      </c>
      <c r="BB742">
        <v>0</v>
      </c>
      <c r="BC742">
        <v>13</v>
      </c>
      <c r="BN742">
        <v>85.600009999999997</v>
      </c>
      <c r="BO742">
        <v>14162</v>
      </c>
      <c r="BP742">
        <v>0</v>
      </c>
      <c r="BQ742">
        <v>32</v>
      </c>
      <c r="BR742">
        <v>32</v>
      </c>
      <c r="BS742">
        <v>32.17</v>
      </c>
      <c r="BT742">
        <v>0</v>
      </c>
      <c r="BV742">
        <v>0</v>
      </c>
      <c r="BW742" t="s">
        <v>655</v>
      </c>
      <c r="BX742">
        <v>0.17</v>
      </c>
      <c r="BY742">
        <v>5.4688999999999997</v>
      </c>
      <c r="BZ742">
        <v>0</v>
      </c>
      <c r="CA742">
        <v>1</v>
      </c>
      <c r="CB742">
        <v>0.6</v>
      </c>
      <c r="CC742" s="3">
        <v>7.1269159999999998E-2</v>
      </c>
      <c r="CD742">
        <v>2.875</v>
      </c>
      <c r="CE742">
        <v>2.5</v>
      </c>
      <c r="CF742">
        <v>18</v>
      </c>
      <c r="CG742">
        <v>6</v>
      </c>
      <c r="CH742">
        <v>0</v>
      </c>
      <c r="CI742">
        <v>32.17</v>
      </c>
      <c r="CJ742">
        <v>118.07550000000001</v>
      </c>
    </row>
    <row r="743" spans="1:88">
      <c r="A743">
        <v>742</v>
      </c>
      <c r="B743" t="s">
        <v>0</v>
      </c>
      <c r="C743" t="s">
        <v>1</v>
      </c>
      <c r="D743" t="s">
        <v>96</v>
      </c>
      <c r="E743" t="s">
        <v>233</v>
      </c>
      <c r="F743" t="s">
        <v>198</v>
      </c>
      <c r="G743" t="s">
        <v>106</v>
      </c>
      <c r="H743" t="s">
        <v>162</v>
      </c>
      <c r="J743">
        <v>2</v>
      </c>
      <c r="K743" t="s">
        <v>146</v>
      </c>
      <c r="L743" t="s">
        <v>251</v>
      </c>
      <c r="M743" t="s">
        <v>236</v>
      </c>
      <c r="N743" t="s">
        <v>272</v>
      </c>
      <c r="O743">
        <v>157</v>
      </c>
      <c r="Q743">
        <v>527</v>
      </c>
      <c r="R743">
        <v>81</v>
      </c>
      <c r="S743">
        <v>4.25</v>
      </c>
      <c r="T743">
        <v>4.2130000000000001</v>
      </c>
      <c r="U743">
        <v>6.82</v>
      </c>
      <c r="V743">
        <v>2239.19</v>
      </c>
      <c r="W743">
        <v>551</v>
      </c>
      <c r="X743">
        <v>1.3332999999999999</v>
      </c>
      <c r="Y743">
        <v>404</v>
      </c>
      <c r="Z743">
        <v>5.54</v>
      </c>
      <c r="AJ743">
        <v>2</v>
      </c>
      <c r="AK743">
        <v>18</v>
      </c>
      <c r="AM743">
        <v>0</v>
      </c>
      <c r="AO743" t="s">
        <v>166</v>
      </c>
      <c r="AT743">
        <v>60</v>
      </c>
      <c r="AV743">
        <v>44.8</v>
      </c>
      <c r="AW743">
        <v>0.46875</v>
      </c>
      <c r="AX743">
        <v>3.75</v>
      </c>
      <c r="AY743">
        <v>57</v>
      </c>
      <c r="AZ743">
        <v>5.25</v>
      </c>
      <c r="BA743">
        <v>355.74</v>
      </c>
      <c r="BB743">
        <v>5.54</v>
      </c>
      <c r="BC743">
        <v>61</v>
      </c>
      <c r="BD743">
        <v>0.25</v>
      </c>
      <c r="BE743">
        <v>2.75</v>
      </c>
      <c r="BF743">
        <v>23.75</v>
      </c>
      <c r="BG743">
        <v>2.75</v>
      </c>
      <c r="BH743">
        <v>48.44</v>
      </c>
      <c r="BI743">
        <v>7.08</v>
      </c>
      <c r="BJ743">
        <v>10</v>
      </c>
      <c r="BL743">
        <v>404.18</v>
      </c>
      <c r="BM743">
        <v>71</v>
      </c>
      <c r="BN743">
        <v>214</v>
      </c>
      <c r="BO743">
        <v>2266</v>
      </c>
      <c r="BP743">
        <v>0</v>
      </c>
      <c r="BQ743">
        <v>54</v>
      </c>
      <c r="BR743">
        <v>54</v>
      </c>
      <c r="BS743">
        <v>53.73</v>
      </c>
      <c r="BT743">
        <v>0</v>
      </c>
      <c r="BV743">
        <v>0</v>
      </c>
      <c r="BW743" t="s">
        <v>655</v>
      </c>
      <c r="BX743">
        <v>0.17</v>
      </c>
      <c r="BY743">
        <v>9.1341000000000001</v>
      </c>
      <c r="BZ743">
        <v>0</v>
      </c>
      <c r="CA743">
        <v>1</v>
      </c>
      <c r="CB743">
        <v>0.6</v>
      </c>
      <c r="CC743" s="3">
        <v>7.1269159999999998E-2</v>
      </c>
      <c r="CD743">
        <v>2.875</v>
      </c>
      <c r="CE743">
        <v>2.5</v>
      </c>
      <c r="CF743">
        <v>18</v>
      </c>
      <c r="CG743">
        <v>6</v>
      </c>
      <c r="CH743">
        <v>0</v>
      </c>
      <c r="CI743">
        <v>53.73</v>
      </c>
      <c r="CJ743">
        <v>472.91750000000002</v>
      </c>
    </row>
    <row r="744" spans="1:88">
      <c r="A744">
        <v>743</v>
      </c>
      <c r="B744" t="s">
        <v>13</v>
      </c>
      <c r="C744" t="s">
        <v>1</v>
      </c>
      <c r="D744" t="s">
        <v>470</v>
      </c>
      <c r="E744" t="s">
        <v>2</v>
      </c>
      <c r="F744" t="s">
        <v>587</v>
      </c>
      <c r="G744" t="s">
        <v>15</v>
      </c>
      <c r="H744" t="s">
        <v>470</v>
      </c>
      <c r="J744">
        <v>2</v>
      </c>
      <c r="K744" t="s">
        <v>9</v>
      </c>
      <c r="L744" t="s">
        <v>122</v>
      </c>
      <c r="M744" t="s">
        <v>4</v>
      </c>
      <c r="N744" t="s">
        <v>5</v>
      </c>
      <c r="O744">
        <v>107</v>
      </c>
      <c r="Q744">
        <v>695</v>
      </c>
      <c r="R744">
        <v>146</v>
      </c>
      <c r="S744">
        <v>4.25</v>
      </c>
      <c r="T744">
        <v>2.9710000000000001</v>
      </c>
      <c r="U744">
        <v>6.07</v>
      </c>
      <c r="V744">
        <v>2953.07</v>
      </c>
      <c r="W744">
        <v>888</v>
      </c>
      <c r="X744">
        <v>1.3332999999999999</v>
      </c>
      <c r="Y744">
        <v>687</v>
      </c>
      <c r="Z744">
        <v>4.3</v>
      </c>
      <c r="AJ744">
        <v>2</v>
      </c>
      <c r="AK744">
        <v>18</v>
      </c>
      <c r="AM744">
        <v>0</v>
      </c>
      <c r="AO744" t="s">
        <v>588</v>
      </c>
      <c r="AT744">
        <v>42</v>
      </c>
      <c r="AV744">
        <v>84.1</v>
      </c>
      <c r="AW744">
        <v>0.5</v>
      </c>
      <c r="AX744">
        <v>5.625</v>
      </c>
      <c r="AY744">
        <v>33.125</v>
      </c>
      <c r="AZ744">
        <v>4.25</v>
      </c>
      <c r="BA744">
        <v>541.21</v>
      </c>
      <c r="BB744">
        <v>4.3</v>
      </c>
      <c r="BC744">
        <v>59</v>
      </c>
      <c r="BD744">
        <v>0.3125</v>
      </c>
      <c r="BE744">
        <v>3.75</v>
      </c>
      <c r="BF744">
        <v>17.5</v>
      </c>
      <c r="BG744">
        <v>2.625</v>
      </c>
      <c r="BH744">
        <v>145.54</v>
      </c>
      <c r="BI744">
        <v>4.3899999999999997</v>
      </c>
      <c r="BJ744">
        <v>13</v>
      </c>
      <c r="BL744">
        <v>686.75</v>
      </c>
      <c r="BM744">
        <v>72</v>
      </c>
      <c r="BN744">
        <v>719.81320000000005</v>
      </c>
      <c r="BO744">
        <v>2111</v>
      </c>
      <c r="BP744">
        <v>0</v>
      </c>
      <c r="BQ744">
        <v>36</v>
      </c>
      <c r="BR744">
        <v>36</v>
      </c>
      <c r="BS744">
        <v>36.340000000000003</v>
      </c>
      <c r="BT744">
        <v>0</v>
      </c>
      <c r="BV744">
        <v>6</v>
      </c>
      <c r="BW744" t="s">
        <v>655</v>
      </c>
      <c r="BX744">
        <v>0.27933340000000001</v>
      </c>
      <c r="BY744">
        <v>10.150969999999999</v>
      </c>
      <c r="BZ744">
        <v>0</v>
      </c>
      <c r="CA744">
        <v>1</v>
      </c>
      <c r="CB744">
        <v>0.6</v>
      </c>
      <c r="CC744" s="3">
        <v>7.1269159999999998E-2</v>
      </c>
      <c r="CD744">
        <v>2.875</v>
      </c>
      <c r="CE744">
        <v>2.5</v>
      </c>
      <c r="CF744">
        <v>18</v>
      </c>
      <c r="CG744">
        <v>6</v>
      </c>
      <c r="CH744">
        <v>0</v>
      </c>
      <c r="CI744">
        <v>36.340000000000003</v>
      </c>
      <c r="CJ744">
        <v>600.53800000000001</v>
      </c>
    </row>
    <row r="745" spans="1:88">
      <c r="A745">
        <v>744</v>
      </c>
      <c r="B745" t="s">
        <v>13</v>
      </c>
      <c r="C745" t="s">
        <v>1</v>
      </c>
      <c r="D745" t="s">
        <v>205</v>
      </c>
      <c r="E745" t="s">
        <v>169</v>
      </c>
      <c r="F745" t="s">
        <v>573</v>
      </c>
      <c r="G745" t="s">
        <v>106</v>
      </c>
      <c r="H745" t="s">
        <v>574</v>
      </c>
      <c r="J745">
        <v>2</v>
      </c>
      <c r="K745" t="s">
        <v>108</v>
      </c>
      <c r="L745" t="s">
        <v>381</v>
      </c>
      <c r="M745" t="s">
        <v>173</v>
      </c>
      <c r="N745" t="s">
        <v>174</v>
      </c>
      <c r="O745">
        <v>119</v>
      </c>
      <c r="Q745">
        <v>582</v>
      </c>
      <c r="R745">
        <v>112</v>
      </c>
      <c r="S745">
        <v>4.25</v>
      </c>
      <c r="T745">
        <v>3.2829999999999999</v>
      </c>
      <c r="U745">
        <v>6.15</v>
      </c>
      <c r="V745">
        <v>2472.94</v>
      </c>
      <c r="W745">
        <v>686</v>
      </c>
      <c r="X745">
        <v>1.3332999999999999</v>
      </c>
      <c r="Y745">
        <v>536</v>
      </c>
      <c r="Z745">
        <v>4.6100000000000003</v>
      </c>
      <c r="AJ745">
        <v>2</v>
      </c>
      <c r="AK745">
        <v>18</v>
      </c>
      <c r="AM745">
        <v>0</v>
      </c>
      <c r="AO745" t="s">
        <v>192</v>
      </c>
      <c r="AT745">
        <v>47</v>
      </c>
      <c r="AV745">
        <v>64.2</v>
      </c>
      <c r="AW745">
        <v>0.46875</v>
      </c>
      <c r="AX745">
        <v>3.75</v>
      </c>
      <c r="AY745">
        <v>47.375</v>
      </c>
      <c r="AZ745">
        <v>4.375</v>
      </c>
      <c r="BA745">
        <v>427.51</v>
      </c>
      <c r="BB745">
        <v>4.6100000000000003</v>
      </c>
      <c r="BC745">
        <v>51</v>
      </c>
      <c r="BD745">
        <v>0.3125</v>
      </c>
      <c r="BE745">
        <v>2.75</v>
      </c>
      <c r="BF745">
        <v>33</v>
      </c>
      <c r="BG745">
        <v>2.875</v>
      </c>
      <c r="BH745">
        <v>108.9</v>
      </c>
      <c r="BI745">
        <v>5.86</v>
      </c>
      <c r="BJ745">
        <v>18</v>
      </c>
      <c r="BL745">
        <v>536.41010000000006</v>
      </c>
      <c r="BM745">
        <v>68</v>
      </c>
      <c r="BN745">
        <v>308.51670000000001</v>
      </c>
      <c r="BO745">
        <v>1090</v>
      </c>
      <c r="BP745">
        <v>0</v>
      </c>
      <c r="BQ745">
        <v>41</v>
      </c>
      <c r="BR745">
        <v>41</v>
      </c>
      <c r="BS745">
        <v>40.520000000000003</v>
      </c>
      <c r="BT745">
        <v>0</v>
      </c>
      <c r="BV745">
        <v>0</v>
      </c>
      <c r="BW745" t="s">
        <v>655</v>
      </c>
      <c r="BX745">
        <v>0.17</v>
      </c>
      <c r="BY745">
        <v>6.8883999999999999</v>
      </c>
      <c r="BZ745">
        <v>0</v>
      </c>
      <c r="CA745">
        <v>1</v>
      </c>
      <c r="CB745">
        <v>0.6</v>
      </c>
      <c r="CC745" s="3">
        <v>7.1269159999999998E-2</v>
      </c>
      <c r="CD745">
        <v>2.875</v>
      </c>
      <c r="CE745">
        <v>2.5</v>
      </c>
      <c r="CF745">
        <v>18</v>
      </c>
      <c r="CG745">
        <v>6</v>
      </c>
      <c r="CH745">
        <v>0</v>
      </c>
      <c r="CI745">
        <v>40.520000000000003</v>
      </c>
      <c r="CJ745">
        <v>510.78429999999997</v>
      </c>
    </row>
    <row r="746" spans="1:88">
      <c r="A746">
        <v>745</v>
      </c>
      <c r="B746" t="s">
        <v>0</v>
      </c>
      <c r="C746" t="s">
        <v>1</v>
      </c>
      <c r="D746" t="s">
        <v>122</v>
      </c>
      <c r="E746" t="s">
        <v>3</v>
      </c>
      <c r="F746" t="s">
        <v>286</v>
      </c>
      <c r="G746" t="s">
        <v>106</v>
      </c>
      <c r="H746" t="s">
        <v>153</v>
      </c>
      <c r="J746">
        <v>2</v>
      </c>
      <c r="K746" t="s">
        <v>146</v>
      </c>
      <c r="L746" t="s">
        <v>363</v>
      </c>
      <c r="M746" t="s">
        <v>383</v>
      </c>
      <c r="N746" t="s">
        <v>119</v>
      </c>
      <c r="O746">
        <v>125</v>
      </c>
      <c r="Q746">
        <v>413</v>
      </c>
      <c r="R746">
        <v>79</v>
      </c>
      <c r="S746">
        <v>4.25</v>
      </c>
      <c r="T746">
        <v>3.4350000000000001</v>
      </c>
      <c r="U746">
        <v>6.26</v>
      </c>
      <c r="V746">
        <v>1757.03</v>
      </c>
      <c r="W746">
        <v>492</v>
      </c>
      <c r="X746">
        <v>1.3332999999999999</v>
      </c>
      <c r="Y746">
        <v>369</v>
      </c>
      <c r="Z746">
        <v>4.76</v>
      </c>
      <c r="AJ746">
        <v>2</v>
      </c>
      <c r="AK746">
        <v>18</v>
      </c>
      <c r="AM746">
        <v>0</v>
      </c>
      <c r="AO746" t="s">
        <v>306</v>
      </c>
      <c r="AT746">
        <v>49</v>
      </c>
      <c r="AV746">
        <v>43.3</v>
      </c>
      <c r="AW746">
        <v>0</v>
      </c>
      <c r="AX746">
        <v>0</v>
      </c>
      <c r="AY746">
        <v>54.875</v>
      </c>
      <c r="AZ746">
        <v>4.5</v>
      </c>
      <c r="BA746">
        <v>0</v>
      </c>
      <c r="BB746">
        <v>0</v>
      </c>
      <c r="BC746">
        <v>59</v>
      </c>
      <c r="BN746">
        <v>206.86670000000001</v>
      </c>
      <c r="BO746">
        <v>2425</v>
      </c>
      <c r="BP746">
        <v>0</v>
      </c>
      <c r="BQ746">
        <v>43</v>
      </c>
      <c r="BR746">
        <v>43</v>
      </c>
      <c r="BS746">
        <v>42.6</v>
      </c>
      <c r="BT746">
        <v>0</v>
      </c>
      <c r="BV746">
        <v>0</v>
      </c>
      <c r="BW746" t="s">
        <v>655</v>
      </c>
      <c r="BX746">
        <v>0.17</v>
      </c>
      <c r="BY746">
        <v>7.242</v>
      </c>
      <c r="BZ746">
        <v>0</v>
      </c>
      <c r="CA746">
        <v>1</v>
      </c>
      <c r="CB746">
        <v>0.6</v>
      </c>
      <c r="CC746" s="3">
        <v>7.1269159999999998E-2</v>
      </c>
      <c r="CD746">
        <v>2.875</v>
      </c>
      <c r="CE746">
        <v>2.5</v>
      </c>
      <c r="CF746">
        <v>18</v>
      </c>
      <c r="CG746">
        <v>6</v>
      </c>
      <c r="CH746">
        <v>0</v>
      </c>
      <c r="CI746">
        <v>42.6</v>
      </c>
      <c r="CJ746">
        <v>362.80990000000003</v>
      </c>
    </row>
    <row r="747" spans="1:88">
      <c r="A747">
        <v>746</v>
      </c>
      <c r="B747" t="s">
        <v>13</v>
      </c>
      <c r="C747" t="s">
        <v>1</v>
      </c>
      <c r="D747" t="s">
        <v>176</v>
      </c>
      <c r="E747" t="s">
        <v>438</v>
      </c>
      <c r="F747" t="s">
        <v>134</v>
      </c>
      <c r="G747" t="s">
        <v>106</v>
      </c>
      <c r="H747" t="s">
        <v>177</v>
      </c>
      <c r="J747">
        <v>2</v>
      </c>
      <c r="K747" t="s">
        <v>146</v>
      </c>
      <c r="L747" t="s">
        <v>399</v>
      </c>
      <c r="M747" t="s">
        <v>467</v>
      </c>
      <c r="N747" t="s">
        <v>382</v>
      </c>
      <c r="O747">
        <v>97</v>
      </c>
      <c r="Q747">
        <v>291</v>
      </c>
      <c r="R747">
        <v>71</v>
      </c>
      <c r="S747">
        <v>4.25</v>
      </c>
      <c r="T747">
        <v>2.7040000000000002</v>
      </c>
      <c r="U747">
        <v>5.85</v>
      </c>
      <c r="V747">
        <v>1236.49</v>
      </c>
      <c r="W747">
        <v>412</v>
      </c>
      <c r="X747">
        <v>1.3332999999999999</v>
      </c>
      <c r="Y747">
        <v>307</v>
      </c>
      <c r="Z747">
        <v>4.03</v>
      </c>
      <c r="AJ747">
        <v>2</v>
      </c>
      <c r="AK747">
        <v>18</v>
      </c>
      <c r="AM747">
        <v>0</v>
      </c>
      <c r="AO747" t="s">
        <v>152</v>
      </c>
      <c r="AT747">
        <v>39</v>
      </c>
      <c r="AV747">
        <v>38.200000000000003</v>
      </c>
      <c r="AW747">
        <v>0</v>
      </c>
      <c r="AX747">
        <v>0</v>
      </c>
      <c r="AY747">
        <v>31.75</v>
      </c>
      <c r="AZ747">
        <v>3.25</v>
      </c>
      <c r="BA747">
        <v>0</v>
      </c>
      <c r="BB747">
        <v>0</v>
      </c>
      <c r="BC747">
        <v>30</v>
      </c>
      <c r="BN747">
        <v>181.9</v>
      </c>
      <c r="BO747">
        <v>3136</v>
      </c>
      <c r="BP747">
        <v>0</v>
      </c>
      <c r="BQ747">
        <v>33</v>
      </c>
      <c r="BR747">
        <v>33</v>
      </c>
      <c r="BS747">
        <v>32.86</v>
      </c>
      <c r="BT747">
        <v>0</v>
      </c>
      <c r="BV747">
        <v>0</v>
      </c>
      <c r="BW747" t="s">
        <v>655</v>
      </c>
      <c r="BX747">
        <v>0.17</v>
      </c>
      <c r="BY747">
        <v>5.5861999999999998</v>
      </c>
      <c r="BZ747">
        <v>0</v>
      </c>
      <c r="CA747">
        <v>1</v>
      </c>
      <c r="CB747">
        <v>0.6</v>
      </c>
      <c r="CC747" s="3">
        <v>7.1269159999999998E-2</v>
      </c>
      <c r="CD747">
        <v>2.875</v>
      </c>
      <c r="CE747">
        <v>2.5</v>
      </c>
      <c r="CF747">
        <v>18</v>
      </c>
      <c r="CG747">
        <v>6</v>
      </c>
      <c r="CH747">
        <v>0</v>
      </c>
      <c r="CI747">
        <v>32.86</v>
      </c>
      <c r="CJ747">
        <v>247.07089999999999</v>
      </c>
    </row>
    <row r="748" spans="1:88">
      <c r="A748">
        <v>747</v>
      </c>
      <c r="B748" t="s">
        <v>0</v>
      </c>
      <c r="C748" t="s">
        <v>1</v>
      </c>
      <c r="D748" t="s">
        <v>2</v>
      </c>
      <c r="E748" t="s">
        <v>123</v>
      </c>
      <c r="F748" t="s">
        <v>154</v>
      </c>
      <c r="G748" t="s">
        <v>106</v>
      </c>
      <c r="H748" t="s">
        <v>217</v>
      </c>
      <c r="J748">
        <v>2</v>
      </c>
      <c r="K748" t="s">
        <v>146</v>
      </c>
      <c r="L748" t="s">
        <v>8</v>
      </c>
      <c r="M748" t="s">
        <v>147</v>
      </c>
      <c r="N748" t="s">
        <v>148</v>
      </c>
      <c r="O748">
        <v>183</v>
      </c>
      <c r="Q748">
        <v>492</v>
      </c>
      <c r="R748">
        <v>67</v>
      </c>
      <c r="S748">
        <v>4.25</v>
      </c>
      <c r="T748">
        <v>4.8079999999999998</v>
      </c>
      <c r="U748">
        <v>7.12</v>
      </c>
      <c r="V748">
        <v>2090.87</v>
      </c>
      <c r="W748">
        <v>478</v>
      </c>
      <c r="X748">
        <v>1.5</v>
      </c>
      <c r="Y748">
        <v>332</v>
      </c>
      <c r="Z748">
        <v>6.3</v>
      </c>
      <c r="AJ748">
        <v>2</v>
      </c>
      <c r="AK748">
        <v>18</v>
      </c>
      <c r="AM748">
        <v>0</v>
      </c>
      <c r="AO748" t="s">
        <v>218</v>
      </c>
      <c r="AT748">
        <v>69</v>
      </c>
      <c r="AV748">
        <v>36.1</v>
      </c>
      <c r="AW748">
        <v>0.46875</v>
      </c>
      <c r="AX748">
        <v>3.75</v>
      </c>
      <c r="AY748">
        <v>64.75</v>
      </c>
      <c r="AZ748">
        <v>5.875</v>
      </c>
      <c r="BA748">
        <v>312.82</v>
      </c>
      <c r="BB748">
        <v>6.3</v>
      </c>
      <c r="BC748">
        <v>70</v>
      </c>
      <c r="BD748">
        <v>0.1875</v>
      </c>
      <c r="BE748">
        <v>2.75</v>
      </c>
      <c r="BF748">
        <v>14</v>
      </c>
      <c r="BG748">
        <v>2.375</v>
      </c>
      <c r="BH748">
        <v>19.05</v>
      </c>
      <c r="BI748">
        <v>7.96</v>
      </c>
      <c r="BJ748">
        <v>5</v>
      </c>
      <c r="BL748">
        <v>331.87</v>
      </c>
      <c r="BM748">
        <v>74</v>
      </c>
      <c r="BN748">
        <v>171.2</v>
      </c>
      <c r="BO748">
        <v>3540</v>
      </c>
      <c r="BP748">
        <v>0</v>
      </c>
      <c r="BQ748">
        <v>63</v>
      </c>
      <c r="BR748">
        <v>63</v>
      </c>
      <c r="BS748">
        <v>62.78</v>
      </c>
      <c r="BT748">
        <v>0</v>
      </c>
      <c r="BV748">
        <v>0</v>
      </c>
      <c r="BW748" t="s">
        <v>655</v>
      </c>
      <c r="BX748">
        <v>0.17</v>
      </c>
      <c r="BY748">
        <v>10.672599999999999</v>
      </c>
      <c r="BZ748">
        <v>0</v>
      </c>
      <c r="CA748">
        <v>1</v>
      </c>
      <c r="CB748">
        <v>0.6</v>
      </c>
      <c r="CC748" s="3">
        <v>7.1269159999999998E-2</v>
      </c>
      <c r="CD748">
        <v>2.875</v>
      </c>
      <c r="CE748">
        <v>2.5</v>
      </c>
      <c r="CF748">
        <v>18</v>
      </c>
      <c r="CG748">
        <v>6</v>
      </c>
      <c r="CH748">
        <v>0</v>
      </c>
      <c r="CI748">
        <v>62.78</v>
      </c>
      <c r="CJ748">
        <v>445.19060000000002</v>
      </c>
    </row>
    <row r="749" spans="1:88">
      <c r="A749">
        <v>748</v>
      </c>
      <c r="B749" t="s">
        <v>13</v>
      </c>
      <c r="C749" t="s">
        <v>1</v>
      </c>
      <c r="D749" t="s">
        <v>233</v>
      </c>
      <c r="E749" t="s">
        <v>205</v>
      </c>
      <c r="F749" t="s">
        <v>271</v>
      </c>
      <c r="G749" t="s">
        <v>106</v>
      </c>
      <c r="H749" t="s">
        <v>279</v>
      </c>
      <c r="J749">
        <v>2</v>
      </c>
      <c r="K749" t="s">
        <v>146</v>
      </c>
      <c r="L749" t="s">
        <v>459</v>
      </c>
      <c r="M749" t="s">
        <v>601</v>
      </c>
      <c r="N749" t="s">
        <v>455</v>
      </c>
      <c r="O749">
        <v>184</v>
      </c>
      <c r="Q749">
        <v>738</v>
      </c>
      <c r="R749">
        <v>96</v>
      </c>
      <c r="S749">
        <v>4.25</v>
      </c>
      <c r="T749">
        <v>4.8310000000000004</v>
      </c>
      <c r="U749">
        <v>7.16</v>
      </c>
      <c r="V749">
        <v>3134.88</v>
      </c>
      <c r="W749">
        <v>686</v>
      </c>
      <c r="X749">
        <v>1.3332999999999999</v>
      </c>
      <c r="Y749">
        <v>509</v>
      </c>
      <c r="Z749">
        <v>6.16</v>
      </c>
      <c r="AJ749">
        <v>2</v>
      </c>
      <c r="AK749">
        <v>18</v>
      </c>
      <c r="AM749">
        <v>0</v>
      </c>
      <c r="AO749" t="s">
        <v>144</v>
      </c>
      <c r="AT749">
        <v>69</v>
      </c>
      <c r="AV749">
        <v>54.2</v>
      </c>
      <c r="AW749">
        <v>0.4375</v>
      </c>
      <c r="AX749">
        <v>3.75</v>
      </c>
      <c r="AY749">
        <v>55.875</v>
      </c>
      <c r="AZ749">
        <v>5.375</v>
      </c>
      <c r="BA749">
        <v>254.44</v>
      </c>
      <c r="BB749">
        <v>6.46</v>
      </c>
      <c r="BC749">
        <v>57</v>
      </c>
      <c r="BD749">
        <v>0.4375</v>
      </c>
      <c r="BE749">
        <v>3.75</v>
      </c>
      <c r="BF749">
        <v>55.875</v>
      </c>
      <c r="BG749">
        <v>5.375</v>
      </c>
      <c r="BH749">
        <v>254.44</v>
      </c>
      <c r="BI749">
        <v>6.46</v>
      </c>
      <c r="BJ749">
        <v>57</v>
      </c>
      <c r="BL749">
        <v>508.88</v>
      </c>
      <c r="BM749">
        <v>113</v>
      </c>
      <c r="BN749">
        <v>260.36669999999998</v>
      </c>
      <c r="BO749">
        <v>1531</v>
      </c>
      <c r="BP749">
        <v>0</v>
      </c>
      <c r="BQ749">
        <v>63</v>
      </c>
      <c r="BR749">
        <v>63</v>
      </c>
      <c r="BS749">
        <v>63.13</v>
      </c>
      <c r="BT749">
        <v>0</v>
      </c>
      <c r="BV749">
        <v>0</v>
      </c>
      <c r="BW749" t="s">
        <v>655</v>
      </c>
      <c r="BX749">
        <v>0.17</v>
      </c>
      <c r="BY749">
        <v>10.732100000000001</v>
      </c>
      <c r="BZ749">
        <v>0</v>
      </c>
      <c r="CA749">
        <v>1</v>
      </c>
      <c r="CB749">
        <v>0.6</v>
      </c>
      <c r="CC749" s="3">
        <v>7.1269159999999998E-2</v>
      </c>
      <c r="CD749">
        <v>2.875</v>
      </c>
      <c r="CE749">
        <v>2.5</v>
      </c>
      <c r="CF749">
        <v>18</v>
      </c>
      <c r="CG749">
        <v>6</v>
      </c>
      <c r="CH749">
        <v>0</v>
      </c>
      <c r="CI749">
        <v>63.13</v>
      </c>
      <c r="CJ749">
        <v>672.63369999999998</v>
      </c>
    </row>
    <row r="750" spans="1:88">
      <c r="A750">
        <v>749</v>
      </c>
      <c r="B750" t="s">
        <v>13</v>
      </c>
      <c r="C750" t="s">
        <v>1</v>
      </c>
      <c r="D750" t="s">
        <v>708</v>
      </c>
      <c r="E750" t="s">
        <v>8</v>
      </c>
      <c r="F750" t="s">
        <v>709</v>
      </c>
      <c r="G750" t="s">
        <v>20</v>
      </c>
      <c r="H750" t="s">
        <v>708</v>
      </c>
      <c r="J750">
        <v>2</v>
      </c>
      <c r="K750" t="s">
        <v>9</v>
      </c>
      <c r="L750" t="s">
        <v>10</v>
      </c>
      <c r="M750" t="s">
        <v>11</v>
      </c>
      <c r="N750" t="s">
        <v>12</v>
      </c>
      <c r="O750">
        <v>203</v>
      </c>
      <c r="Q750">
        <v>1395</v>
      </c>
      <c r="R750">
        <v>178</v>
      </c>
      <c r="S750">
        <v>4.25</v>
      </c>
      <c r="T750">
        <v>5.2460000000000004</v>
      </c>
      <c r="U750">
        <v>7.35</v>
      </c>
      <c r="V750">
        <v>5927.09</v>
      </c>
      <c r="W750">
        <v>1305</v>
      </c>
      <c r="X750">
        <v>1.5</v>
      </c>
      <c r="Y750">
        <v>879</v>
      </c>
      <c r="Z750">
        <v>6.74</v>
      </c>
      <c r="AJ750">
        <v>2</v>
      </c>
      <c r="AK750">
        <v>18</v>
      </c>
      <c r="AM750">
        <v>0</v>
      </c>
      <c r="AO750" t="s">
        <v>710</v>
      </c>
      <c r="AT750">
        <v>76</v>
      </c>
      <c r="AV750">
        <v>93.6</v>
      </c>
      <c r="AW750" t="s">
        <v>6</v>
      </c>
      <c r="AX750" t="s">
        <v>6</v>
      </c>
      <c r="AY750" t="s">
        <v>6</v>
      </c>
      <c r="AZ750" t="s">
        <v>6</v>
      </c>
      <c r="BA750" t="s">
        <v>6</v>
      </c>
      <c r="BB750" t="s">
        <v>6</v>
      </c>
      <c r="BC750" t="s">
        <v>6</v>
      </c>
      <c r="BD750" t="s">
        <v>6</v>
      </c>
      <c r="BE750" t="s">
        <v>6</v>
      </c>
      <c r="BF750" t="s">
        <v>6</v>
      </c>
      <c r="BG750" t="s">
        <v>6</v>
      </c>
      <c r="BH750" t="s">
        <v>6</v>
      </c>
      <c r="BI750" t="s">
        <v>6</v>
      </c>
      <c r="BJ750" t="s">
        <v>6</v>
      </c>
      <c r="BN750">
        <v>702.68039999999996</v>
      </c>
      <c r="BO750">
        <v>2425</v>
      </c>
      <c r="BP750">
        <v>0</v>
      </c>
      <c r="BQ750">
        <v>70</v>
      </c>
      <c r="BR750">
        <v>70</v>
      </c>
      <c r="BS750">
        <v>69.730009999999993</v>
      </c>
      <c r="BT750">
        <v>0</v>
      </c>
      <c r="BV750">
        <v>6</v>
      </c>
      <c r="BW750" t="s">
        <v>655</v>
      </c>
      <c r="BX750">
        <v>0.27933340000000001</v>
      </c>
      <c r="BY750">
        <v>19.477920000000001</v>
      </c>
      <c r="BZ750">
        <v>0</v>
      </c>
      <c r="CA750">
        <v>1</v>
      </c>
      <c r="CB750">
        <v>0.6</v>
      </c>
      <c r="CC750" s="3">
        <v>7.1269159999999998E-2</v>
      </c>
      <c r="CD750">
        <v>2.875</v>
      </c>
      <c r="CE750">
        <v>2.5</v>
      </c>
      <c r="CF750">
        <v>18</v>
      </c>
      <c r="CG750">
        <v>6</v>
      </c>
      <c r="CH750">
        <v>0</v>
      </c>
      <c r="CI750">
        <v>69.730009999999993</v>
      </c>
      <c r="CJ750">
        <v>1281.5350000000001</v>
      </c>
    </row>
    <row r="751" spans="1:88">
      <c r="A751">
        <v>750</v>
      </c>
      <c r="B751" t="s">
        <v>0</v>
      </c>
      <c r="C751" t="s">
        <v>1</v>
      </c>
      <c r="D751" t="s">
        <v>293</v>
      </c>
      <c r="E751" t="s">
        <v>103</v>
      </c>
      <c r="F751" t="s">
        <v>294</v>
      </c>
      <c r="G751" t="s">
        <v>106</v>
      </c>
      <c r="H751" t="s">
        <v>295</v>
      </c>
      <c r="J751">
        <v>2</v>
      </c>
      <c r="K751" t="s">
        <v>146</v>
      </c>
      <c r="L751" t="s">
        <v>455</v>
      </c>
      <c r="M751" t="s">
        <v>315</v>
      </c>
      <c r="N751" t="s">
        <v>316</v>
      </c>
      <c r="O751">
        <v>167</v>
      </c>
      <c r="Q751">
        <v>647</v>
      </c>
      <c r="R751">
        <v>92</v>
      </c>
      <c r="S751">
        <v>4.25</v>
      </c>
      <c r="T751">
        <v>4.4459999999999997</v>
      </c>
      <c r="U751">
        <v>6.86</v>
      </c>
      <c r="V751">
        <v>2749.28</v>
      </c>
      <c r="W751">
        <v>633</v>
      </c>
      <c r="X751">
        <v>1.3332999999999999</v>
      </c>
      <c r="Y751">
        <v>476</v>
      </c>
      <c r="Z751">
        <v>5.77</v>
      </c>
      <c r="AJ751">
        <v>2</v>
      </c>
      <c r="AK751">
        <v>18</v>
      </c>
      <c r="AM751">
        <v>0</v>
      </c>
      <c r="AO751" t="s">
        <v>296</v>
      </c>
      <c r="AT751">
        <v>63</v>
      </c>
      <c r="AV751">
        <v>52</v>
      </c>
      <c r="AW751" t="s">
        <v>6</v>
      </c>
      <c r="AX751" t="s">
        <v>6</v>
      </c>
      <c r="AY751" t="s">
        <v>6</v>
      </c>
      <c r="AZ751" t="s">
        <v>6</v>
      </c>
      <c r="BA751" t="s">
        <v>6</v>
      </c>
      <c r="BB751" t="s">
        <v>6</v>
      </c>
      <c r="BC751" t="s">
        <v>6</v>
      </c>
      <c r="BD751" t="s">
        <v>6</v>
      </c>
      <c r="BE751" t="s">
        <v>6</v>
      </c>
      <c r="BF751" t="s">
        <v>6</v>
      </c>
      <c r="BG751" t="s">
        <v>6</v>
      </c>
      <c r="BH751" t="s">
        <v>6</v>
      </c>
      <c r="BI751" t="s">
        <v>6</v>
      </c>
      <c r="BJ751" t="s">
        <v>6</v>
      </c>
      <c r="BN751">
        <v>249.66669999999999</v>
      </c>
      <c r="BO751">
        <v>1665</v>
      </c>
      <c r="BP751">
        <v>0</v>
      </c>
      <c r="BQ751">
        <v>57</v>
      </c>
      <c r="BR751">
        <v>57</v>
      </c>
      <c r="BS751">
        <v>57.21</v>
      </c>
      <c r="BT751">
        <v>0</v>
      </c>
      <c r="BV751">
        <v>0</v>
      </c>
      <c r="BW751" t="s">
        <v>655</v>
      </c>
      <c r="BX751">
        <v>0.17</v>
      </c>
      <c r="BY751">
        <v>9.7257010000000008</v>
      </c>
      <c r="BZ751">
        <v>0</v>
      </c>
      <c r="CA751">
        <v>1</v>
      </c>
      <c r="CB751">
        <v>0.6</v>
      </c>
      <c r="CC751" s="3">
        <v>7.1269159999999998E-2</v>
      </c>
      <c r="CD751">
        <v>2.875</v>
      </c>
      <c r="CE751">
        <v>2.5</v>
      </c>
      <c r="CF751">
        <v>18</v>
      </c>
      <c r="CG751">
        <v>6</v>
      </c>
      <c r="CH751">
        <v>0</v>
      </c>
      <c r="CI751">
        <v>57.21</v>
      </c>
      <c r="CJ751">
        <v>585.09379999999999</v>
      </c>
    </row>
    <row r="752" spans="1:88">
      <c r="A752">
        <v>751</v>
      </c>
      <c r="B752" t="s">
        <v>0</v>
      </c>
      <c r="C752" t="s">
        <v>1</v>
      </c>
      <c r="D752" t="s">
        <v>169</v>
      </c>
      <c r="E752" t="s">
        <v>130</v>
      </c>
      <c r="F752" t="s">
        <v>404</v>
      </c>
      <c r="G752" t="s">
        <v>106</v>
      </c>
      <c r="H752" t="s">
        <v>190</v>
      </c>
      <c r="J752">
        <v>2</v>
      </c>
      <c r="K752" t="s">
        <v>146</v>
      </c>
      <c r="L752" t="s">
        <v>101</v>
      </c>
      <c r="M752" t="s">
        <v>134</v>
      </c>
      <c r="N752" t="s">
        <v>399</v>
      </c>
      <c r="O752">
        <v>114</v>
      </c>
      <c r="Q752">
        <v>355</v>
      </c>
      <c r="R752">
        <v>74</v>
      </c>
      <c r="S752">
        <v>4.25</v>
      </c>
      <c r="T752">
        <v>3.1539999999999999</v>
      </c>
      <c r="U752">
        <v>6.18</v>
      </c>
      <c r="V752">
        <v>1509.68</v>
      </c>
      <c r="W752">
        <v>457</v>
      </c>
      <c r="X752">
        <v>1.3332999999999999</v>
      </c>
      <c r="Y752">
        <v>337</v>
      </c>
      <c r="Z752">
        <v>4.4800000000000004</v>
      </c>
      <c r="AJ752">
        <v>2</v>
      </c>
      <c r="AK752">
        <v>18</v>
      </c>
      <c r="AM752">
        <v>0</v>
      </c>
      <c r="AO752" t="s">
        <v>406</v>
      </c>
      <c r="AT752">
        <v>45</v>
      </c>
      <c r="AV752">
        <v>40.4</v>
      </c>
      <c r="AW752">
        <v>0</v>
      </c>
      <c r="AX752">
        <v>0</v>
      </c>
      <c r="AY752">
        <v>42.25</v>
      </c>
      <c r="AZ752">
        <v>3.875</v>
      </c>
      <c r="BA752">
        <v>0</v>
      </c>
      <c r="BB752">
        <v>0</v>
      </c>
      <c r="BC752">
        <v>43</v>
      </c>
      <c r="BN752">
        <v>192.6</v>
      </c>
      <c r="BO752">
        <v>2797</v>
      </c>
      <c r="BP752">
        <v>0</v>
      </c>
      <c r="BQ752">
        <v>39</v>
      </c>
      <c r="BR752">
        <v>39</v>
      </c>
      <c r="BS752">
        <v>38.78</v>
      </c>
      <c r="BT752">
        <v>0</v>
      </c>
      <c r="BV752">
        <v>0</v>
      </c>
      <c r="BW752" t="s">
        <v>655</v>
      </c>
      <c r="BX752">
        <v>0.17</v>
      </c>
      <c r="BY752">
        <v>6.5926</v>
      </c>
      <c r="BZ752">
        <v>0</v>
      </c>
      <c r="CA752">
        <v>1</v>
      </c>
      <c r="CB752">
        <v>0.6</v>
      </c>
      <c r="CC752" s="3">
        <v>7.1269159999999998E-2</v>
      </c>
      <c r="CD752">
        <v>2.875</v>
      </c>
      <c r="CE752">
        <v>2.5</v>
      </c>
      <c r="CF752">
        <v>18</v>
      </c>
      <c r="CG752">
        <v>6</v>
      </c>
      <c r="CH752">
        <v>0</v>
      </c>
      <c r="CI752">
        <v>38.78</v>
      </c>
      <c r="CJ752">
        <v>308.16570000000002</v>
      </c>
    </row>
    <row r="753" spans="1:88">
      <c r="A753">
        <v>752</v>
      </c>
      <c r="B753" t="s">
        <v>0</v>
      </c>
      <c r="C753" t="s">
        <v>1</v>
      </c>
      <c r="D753" t="s">
        <v>2</v>
      </c>
      <c r="E753" t="s">
        <v>172</v>
      </c>
      <c r="F753" t="s">
        <v>154</v>
      </c>
      <c r="G753" t="s">
        <v>106</v>
      </c>
      <c r="H753" t="s">
        <v>217</v>
      </c>
      <c r="J753">
        <v>2</v>
      </c>
      <c r="K753" t="s">
        <v>146</v>
      </c>
      <c r="L753" t="s">
        <v>233</v>
      </c>
      <c r="M753" t="s">
        <v>490</v>
      </c>
      <c r="N753" t="s">
        <v>128</v>
      </c>
      <c r="O753">
        <v>137</v>
      </c>
      <c r="Q753">
        <v>376</v>
      </c>
      <c r="R753">
        <v>67</v>
      </c>
      <c r="S753">
        <v>4.25</v>
      </c>
      <c r="T753">
        <v>3.734</v>
      </c>
      <c r="U753">
        <v>6.48</v>
      </c>
      <c r="V753">
        <v>1597.1</v>
      </c>
      <c r="W753">
        <v>435</v>
      </c>
      <c r="X753">
        <v>1.3332999999999999</v>
      </c>
      <c r="Y753">
        <v>316</v>
      </c>
      <c r="Z753">
        <v>5.0599999999999996</v>
      </c>
      <c r="AJ753">
        <v>2</v>
      </c>
      <c r="AK753">
        <v>18</v>
      </c>
      <c r="AM753">
        <v>0</v>
      </c>
      <c r="AO753" t="s">
        <v>218</v>
      </c>
      <c r="AT753">
        <v>53</v>
      </c>
      <c r="AV753">
        <v>36.1</v>
      </c>
      <c r="AW753">
        <v>0</v>
      </c>
      <c r="AX753">
        <v>0</v>
      </c>
      <c r="AY753">
        <v>45.125</v>
      </c>
      <c r="AZ753">
        <v>4.375</v>
      </c>
      <c r="BA753">
        <v>0</v>
      </c>
      <c r="BB753">
        <v>0</v>
      </c>
      <c r="BC753">
        <v>46</v>
      </c>
      <c r="BN753">
        <v>171.2</v>
      </c>
      <c r="BO753">
        <v>3540</v>
      </c>
      <c r="BP753">
        <v>0</v>
      </c>
      <c r="BQ753">
        <v>47</v>
      </c>
      <c r="BR753">
        <v>47</v>
      </c>
      <c r="BS753">
        <v>46.78</v>
      </c>
      <c r="BT753">
        <v>0</v>
      </c>
      <c r="BV753">
        <v>0</v>
      </c>
      <c r="BW753" t="s">
        <v>655</v>
      </c>
      <c r="BX753">
        <v>0.17</v>
      </c>
      <c r="BY753">
        <v>7.9526000000000003</v>
      </c>
      <c r="BZ753">
        <v>0</v>
      </c>
      <c r="CA753">
        <v>1</v>
      </c>
      <c r="CB753">
        <v>0.6</v>
      </c>
      <c r="CC753" s="3">
        <v>7.1269159999999998E-2</v>
      </c>
      <c r="CD753">
        <v>2.875</v>
      </c>
      <c r="CE753">
        <v>2.5</v>
      </c>
      <c r="CF753">
        <v>18</v>
      </c>
      <c r="CG753">
        <v>6</v>
      </c>
      <c r="CH753">
        <v>0</v>
      </c>
      <c r="CI753">
        <v>46.78</v>
      </c>
      <c r="CJ753">
        <v>331.73009999999999</v>
      </c>
    </row>
    <row r="754" spans="1:88">
      <c r="A754">
        <v>753</v>
      </c>
      <c r="B754" t="s">
        <v>13</v>
      </c>
      <c r="C754" t="s">
        <v>1</v>
      </c>
      <c r="D754" t="s">
        <v>272</v>
      </c>
      <c r="E754" t="s">
        <v>113</v>
      </c>
      <c r="F754" t="s">
        <v>273</v>
      </c>
      <c r="G754" t="s">
        <v>106</v>
      </c>
      <c r="H754" t="s">
        <v>274</v>
      </c>
      <c r="J754">
        <v>2</v>
      </c>
      <c r="K754" t="s">
        <v>108</v>
      </c>
      <c r="L754" t="s">
        <v>116</v>
      </c>
      <c r="M754" t="s">
        <v>117</v>
      </c>
      <c r="N754" t="s">
        <v>14</v>
      </c>
      <c r="O754">
        <v>179</v>
      </c>
      <c r="Q754">
        <v>735</v>
      </c>
      <c r="R754">
        <v>98</v>
      </c>
      <c r="S754">
        <v>4.25</v>
      </c>
      <c r="T754">
        <v>4.7190000000000003</v>
      </c>
      <c r="U754">
        <v>7.05</v>
      </c>
      <c r="V754">
        <v>3122.81</v>
      </c>
      <c r="W754">
        <v>689</v>
      </c>
      <c r="X754">
        <v>1.3332999999999999</v>
      </c>
      <c r="Y754">
        <v>516</v>
      </c>
      <c r="Z754">
        <v>6.05</v>
      </c>
      <c r="AJ754">
        <v>2</v>
      </c>
      <c r="AK754">
        <v>18</v>
      </c>
      <c r="AM754">
        <v>0</v>
      </c>
      <c r="AO754" t="s">
        <v>275</v>
      </c>
      <c r="AT754">
        <v>68</v>
      </c>
      <c r="AV754">
        <v>55.4</v>
      </c>
      <c r="AW754">
        <v>0.4375</v>
      </c>
      <c r="AX754">
        <v>3.75</v>
      </c>
      <c r="AY754">
        <v>55.125</v>
      </c>
      <c r="AZ754">
        <v>5.25</v>
      </c>
      <c r="BA754">
        <v>258.07</v>
      </c>
      <c r="BB754">
        <v>6.37</v>
      </c>
      <c r="BC754">
        <v>56</v>
      </c>
      <c r="BD754">
        <v>0.4375</v>
      </c>
      <c r="BE754">
        <v>3.75</v>
      </c>
      <c r="BF754">
        <v>55.125</v>
      </c>
      <c r="BG754">
        <v>5.25</v>
      </c>
      <c r="BH754">
        <v>258.07</v>
      </c>
      <c r="BI754">
        <v>6.37</v>
      </c>
      <c r="BJ754">
        <v>56</v>
      </c>
      <c r="BL754">
        <v>516.14</v>
      </c>
      <c r="BM754">
        <v>111</v>
      </c>
      <c r="BN754">
        <v>265.7167</v>
      </c>
      <c r="BO754">
        <v>1470</v>
      </c>
      <c r="BP754">
        <v>0</v>
      </c>
      <c r="BQ754">
        <v>61</v>
      </c>
      <c r="BR754">
        <v>61</v>
      </c>
      <c r="BS754">
        <v>61.39</v>
      </c>
      <c r="BT754">
        <v>0</v>
      </c>
      <c r="BV754">
        <v>0</v>
      </c>
      <c r="BW754" t="s">
        <v>655</v>
      </c>
      <c r="BX754">
        <v>0.17</v>
      </c>
      <c r="BY754">
        <v>10.436299999999999</v>
      </c>
      <c r="BZ754">
        <v>0</v>
      </c>
      <c r="CA754">
        <v>1</v>
      </c>
      <c r="CB754">
        <v>0.6</v>
      </c>
      <c r="CC754" s="3">
        <v>7.1269159999999998E-2</v>
      </c>
      <c r="CD754">
        <v>2.875</v>
      </c>
      <c r="CE754">
        <v>2.5</v>
      </c>
      <c r="CF754">
        <v>18</v>
      </c>
      <c r="CG754">
        <v>6</v>
      </c>
      <c r="CH754">
        <v>0</v>
      </c>
      <c r="CI754">
        <v>61.39</v>
      </c>
      <c r="CJ754">
        <v>668.86069999999995</v>
      </c>
    </row>
    <row r="755" spans="1:88">
      <c r="A755">
        <v>754</v>
      </c>
      <c r="B755" t="s">
        <v>0</v>
      </c>
      <c r="C755" t="s">
        <v>1</v>
      </c>
      <c r="D755" t="s">
        <v>178</v>
      </c>
      <c r="E755" t="s">
        <v>235</v>
      </c>
      <c r="F755" t="s">
        <v>408</v>
      </c>
      <c r="G755" t="s">
        <v>106</v>
      </c>
      <c r="H755" t="s">
        <v>141</v>
      </c>
      <c r="J755">
        <v>2</v>
      </c>
      <c r="K755" t="s">
        <v>146</v>
      </c>
      <c r="L755" t="s">
        <v>185</v>
      </c>
      <c r="M755" t="s">
        <v>198</v>
      </c>
      <c r="N755" t="s">
        <v>338</v>
      </c>
      <c r="O755">
        <v>132</v>
      </c>
      <c r="Q755">
        <v>320</v>
      </c>
      <c r="R755">
        <v>60</v>
      </c>
      <c r="S755">
        <v>4.25</v>
      </c>
      <c r="T755">
        <v>3.61</v>
      </c>
      <c r="U755">
        <v>6.37</v>
      </c>
      <c r="V755">
        <v>1361.19</v>
      </c>
      <c r="W755">
        <v>383</v>
      </c>
      <c r="X755">
        <v>1.5</v>
      </c>
      <c r="Y755">
        <v>267</v>
      </c>
      <c r="Z755">
        <v>5.0999999999999996</v>
      </c>
      <c r="AJ755">
        <v>2</v>
      </c>
      <c r="AK755">
        <v>18</v>
      </c>
      <c r="AM755">
        <v>0</v>
      </c>
      <c r="AO755" t="s">
        <v>409</v>
      </c>
      <c r="AT755">
        <v>51</v>
      </c>
      <c r="AV755">
        <v>31.7</v>
      </c>
      <c r="AW755">
        <v>0</v>
      </c>
      <c r="AX755">
        <v>0</v>
      </c>
      <c r="AY755">
        <v>53.25</v>
      </c>
      <c r="AZ755">
        <v>4.5</v>
      </c>
      <c r="BA755">
        <v>0</v>
      </c>
      <c r="BB755">
        <v>0</v>
      </c>
      <c r="BC755">
        <v>54</v>
      </c>
      <c r="BN755">
        <v>149.80000000000001</v>
      </c>
      <c r="BO755">
        <v>4624</v>
      </c>
      <c r="BP755">
        <v>0</v>
      </c>
      <c r="BQ755">
        <v>45</v>
      </c>
      <c r="BR755">
        <v>45</v>
      </c>
      <c r="BS755">
        <v>45.04</v>
      </c>
      <c r="BT755">
        <v>0</v>
      </c>
      <c r="BV755">
        <v>0</v>
      </c>
      <c r="BW755" t="s">
        <v>655</v>
      </c>
      <c r="BX755">
        <v>0.17</v>
      </c>
      <c r="BY755">
        <v>7.6568009999999997</v>
      </c>
      <c r="BZ755">
        <v>0</v>
      </c>
      <c r="CA755">
        <v>1</v>
      </c>
      <c r="CB755">
        <v>0.6</v>
      </c>
      <c r="CC755" s="3">
        <v>7.1269159999999998E-2</v>
      </c>
      <c r="CD755">
        <v>2.875</v>
      </c>
      <c r="CE755">
        <v>2.5</v>
      </c>
      <c r="CF755">
        <v>18</v>
      </c>
      <c r="CG755">
        <v>6</v>
      </c>
      <c r="CH755">
        <v>0</v>
      </c>
      <c r="CI755">
        <v>45.04</v>
      </c>
      <c r="CJ755">
        <v>280.87169999999998</v>
      </c>
    </row>
    <row r="756" spans="1:88">
      <c r="A756">
        <v>755</v>
      </c>
      <c r="B756" t="s">
        <v>0</v>
      </c>
      <c r="C756" t="s">
        <v>1</v>
      </c>
      <c r="D756" t="s">
        <v>150</v>
      </c>
      <c r="E756" t="s">
        <v>127</v>
      </c>
      <c r="F756" t="s">
        <v>152</v>
      </c>
      <c r="G756" t="s">
        <v>106</v>
      </c>
      <c r="H756" t="s">
        <v>5</v>
      </c>
      <c r="J756">
        <v>2</v>
      </c>
      <c r="K756" t="s">
        <v>146</v>
      </c>
      <c r="L756" t="s">
        <v>338</v>
      </c>
      <c r="M756" t="s">
        <v>189</v>
      </c>
      <c r="N756" t="s">
        <v>190</v>
      </c>
      <c r="O756">
        <v>115</v>
      </c>
      <c r="Q756">
        <v>333</v>
      </c>
      <c r="R756">
        <v>69</v>
      </c>
      <c r="S756">
        <v>4.25</v>
      </c>
      <c r="T756">
        <v>3.18</v>
      </c>
      <c r="U756">
        <v>6.22</v>
      </c>
      <c r="V756">
        <v>1414.57</v>
      </c>
      <c r="W756">
        <v>431</v>
      </c>
      <c r="X756">
        <v>1.3332999999999999</v>
      </c>
      <c r="Y756">
        <v>314</v>
      </c>
      <c r="Z756">
        <v>4.51</v>
      </c>
      <c r="AJ756">
        <v>2</v>
      </c>
      <c r="AK756">
        <v>18</v>
      </c>
      <c r="AM756">
        <v>0</v>
      </c>
      <c r="AO756" t="s">
        <v>155</v>
      </c>
      <c r="AT756">
        <v>45</v>
      </c>
      <c r="AV756">
        <v>37.5</v>
      </c>
      <c r="AW756">
        <v>0</v>
      </c>
      <c r="AX756">
        <v>0</v>
      </c>
      <c r="AY756">
        <v>45.375</v>
      </c>
      <c r="AZ756">
        <v>4</v>
      </c>
      <c r="BA756">
        <v>0</v>
      </c>
      <c r="BB756">
        <v>0</v>
      </c>
      <c r="BC756">
        <v>46</v>
      </c>
      <c r="BN756">
        <v>178.33340000000001</v>
      </c>
      <c r="BO756">
        <v>3263</v>
      </c>
      <c r="BP756">
        <v>0</v>
      </c>
      <c r="BQ756">
        <v>39</v>
      </c>
      <c r="BR756">
        <v>39</v>
      </c>
      <c r="BS756">
        <v>39.130000000000003</v>
      </c>
      <c r="BT756">
        <v>0</v>
      </c>
      <c r="BV756">
        <v>0</v>
      </c>
      <c r="BW756" t="s">
        <v>655</v>
      </c>
      <c r="BX756">
        <v>0.17</v>
      </c>
      <c r="BY756">
        <v>6.6520999999999999</v>
      </c>
      <c r="BZ756">
        <v>0</v>
      </c>
      <c r="CA756">
        <v>1</v>
      </c>
      <c r="CB756">
        <v>0.6</v>
      </c>
      <c r="CC756" s="3">
        <v>7.1269159999999998E-2</v>
      </c>
      <c r="CD756">
        <v>2.875</v>
      </c>
      <c r="CE756">
        <v>2.5</v>
      </c>
      <c r="CF756">
        <v>18</v>
      </c>
      <c r="CG756">
        <v>6</v>
      </c>
      <c r="CH756">
        <v>0</v>
      </c>
      <c r="CI756">
        <v>39.130000000000003</v>
      </c>
      <c r="CJ756">
        <v>288.63690000000003</v>
      </c>
    </row>
    <row r="757" spans="1:88">
      <c r="A757">
        <v>756</v>
      </c>
      <c r="B757" t="s">
        <v>13</v>
      </c>
      <c r="C757" t="s">
        <v>1</v>
      </c>
      <c r="D757" t="s">
        <v>143</v>
      </c>
      <c r="E757" t="s">
        <v>233</v>
      </c>
      <c r="F757" t="s">
        <v>144</v>
      </c>
      <c r="G757" t="s">
        <v>106</v>
      </c>
      <c r="H757" t="s">
        <v>145</v>
      </c>
      <c r="J757">
        <v>2</v>
      </c>
      <c r="K757" t="s">
        <v>146</v>
      </c>
      <c r="L757" t="s">
        <v>251</v>
      </c>
      <c r="M757" t="s">
        <v>236</v>
      </c>
      <c r="N757" t="s">
        <v>272</v>
      </c>
      <c r="O757">
        <v>157</v>
      </c>
      <c r="Q757">
        <v>627</v>
      </c>
      <c r="R757">
        <v>95</v>
      </c>
      <c r="S757">
        <v>4.25</v>
      </c>
      <c r="T757">
        <v>4.2130000000000001</v>
      </c>
      <c r="U757">
        <v>6.82</v>
      </c>
      <c r="V757">
        <v>2666.83</v>
      </c>
      <c r="W757">
        <v>645</v>
      </c>
      <c r="X757">
        <v>1.3332999999999999</v>
      </c>
      <c r="Y757">
        <v>481</v>
      </c>
      <c r="Z757">
        <v>5.54</v>
      </c>
      <c r="AJ757">
        <v>2</v>
      </c>
      <c r="AK757">
        <v>18</v>
      </c>
      <c r="AM757">
        <v>0</v>
      </c>
      <c r="AO757" t="s">
        <v>149</v>
      </c>
      <c r="AT757">
        <v>60</v>
      </c>
      <c r="AV757">
        <v>53.5</v>
      </c>
      <c r="AW757">
        <v>0.40625</v>
      </c>
      <c r="AX757">
        <v>3.75</v>
      </c>
      <c r="AY757">
        <v>40.375</v>
      </c>
      <c r="AZ757">
        <v>4.5</v>
      </c>
      <c r="BA757">
        <v>240.68</v>
      </c>
      <c r="BB757">
        <v>5.5</v>
      </c>
      <c r="BC757">
        <v>38</v>
      </c>
      <c r="BD757">
        <v>0.40625</v>
      </c>
      <c r="BE757">
        <v>3.75</v>
      </c>
      <c r="BF757">
        <v>40.375</v>
      </c>
      <c r="BG757">
        <v>4.5</v>
      </c>
      <c r="BH757">
        <v>240.68</v>
      </c>
      <c r="BI757">
        <v>5.5</v>
      </c>
      <c r="BJ757">
        <v>38</v>
      </c>
      <c r="BL757">
        <v>481.36</v>
      </c>
      <c r="BM757">
        <v>76</v>
      </c>
      <c r="BN757">
        <v>256.80009999999999</v>
      </c>
      <c r="BO757">
        <v>1574</v>
      </c>
      <c r="BP757">
        <v>0</v>
      </c>
      <c r="BQ757">
        <v>54</v>
      </c>
      <c r="BR757">
        <v>54</v>
      </c>
      <c r="BS757">
        <v>53.73</v>
      </c>
      <c r="BT757">
        <v>0</v>
      </c>
      <c r="BV757">
        <v>0</v>
      </c>
      <c r="BW757" t="s">
        <v>655</v>
      </c>
      <c r="BX757">
        <v>0.17</v>
      </c>
      <c r="BY757">
        <v>9.1341000000000001</v>
      </c>
      <c r="BZ757">
        <v>0</v>
      </c>
      <c r="CA757">
        <v>1</v>
      </c>
      <c r="CB757">
        <v>0.6</v>
      </c>
      <c r="CC757" s="3">
        <v>7.1269159999999998E-2</v>
      </c>
      <c r="CD757">
        <v>2.875</v>
      </c>
      <c r="CE757">
        <v>2.5</v>
      </c>
      <c r="CF757">
        <v>18</v>
      </c>
      <c r="CG757">
        <v>6</v>
      </c>
      <c r="CH757">
        <v>0</v>
      </c>
      <c r="CI757">
        <v>53.73</v>
      </c>
      <c r="CJ757">
        <v>564.82050000000004</v>
      </c>
    </row>
    <row r="758" spans="1:88">
      <c r="A758">
        <v>757</v>
      </c>
      <c r="B758" t="s">
        <v>0</v>
      </c>
      <c r="C758" t="s">
        <v>1</v>
      </c>
      <c r="D758" t="s">
        <v>139</v>
      </c>
      <c r="E758" t="s">
        <v>96</v>
      </c>
      <c r="F758" t="s">
        <v>155</v>
      </c>
      <c r="G758" t="s">
        <v>106</v>
      </c>
      <c r="H758" t="s">
        <v>151</v>
      </c>
      <c r="J758">
        <v>2</v>
      </c>
      <c r="K758" t="s">
        <v>146</v>
      </c>
      <c r="L758" t="s">
        <v>293</v>
      </c>
      <c r="M758" t="s">
        <v>100</v>
      </c>
      <c r="N758" t="s">
        <v>101</v>
      </c>
      <c r="O758">
        <v>131</v>
      </c>
      <c r="Q758">
        <v>368</v>
      </c>
      <c r="R758">
        <v>68</v>
      </c>
      <c r="S758">
        <v>4.25</v>
      </c>
      <c r="T758">
        <v>3.5859999999999999</v>
      </c>
      <c r="U758">
        <v>6.37</v>
      </c>
      <c r="V758">
        <v>1562.76</v>
      </c>
      <c r="W758">
        <v>435</v>
      </c>
      <c r="X758">
        <v>1.3332999999999999</v>
      </c>
      <c r="Y758">
        <v>318</v>
      </c>
      <c r="Z758">
        <v>4.91</v>
      </c>
      <c r="AJ758">
        <v>2</v>
      </c>
      <c r="AK758">
        <v>18</v>
      </c>
      <c r="AM758">
        <v>0</v>
      </c>
      <c r="AO758" t="s">
        <v>154</v>
      </c>
      <c r="AT758">
        <v>51</v>
      </c>
      <c r="AV758">
        <v>36.799999999999997</v>
      </c>
      <c r="AW758">
        <v>0</v>
      </c>
      <c r="AX758">
        <v>0</v>
      </c>
      <c r="AY758">
        <v>44.75</v>
      </c>
      <c r="AZ758">
        <v>4.25</v>
      </c>
      <c r="BA758">
        <v>0</v>
      </c>
      <c r="BB758">
        <v>0</v>
      </c>
      <c r="BC758">
        <v>45</v>
      </c>
      <c r="BN758">
        <v>174.76669999999999</v>
      </c>
      <c r="BO758">
        <v>3397</v>
      </c>
      <c r="BP758">
        <v>0</v>
      </c>
      <c r="BQ758">
        <v>45</v>
      </c>
      <c r="BR758">
        <v>45</v>
      </c>
      <c r="BS758">
        <v>44.69</v>
      </c>
      <c r="BT758">
        <v>0</v>
      </c>
      <c r="BV758">
        <v>0</v>
      </c>
      <c r="BW758" t="s">
        <v>655</v>
      </c>
      <c r="BX758">
        <v>0.17</v>
      </c>
      <c r="BY758">
        <v>7.5972999999999997</v>
      </c>
      <c r="BZ758">
        <v>0</v>
      </c>
      <c r="CA758">
        <v>1</v>
      </c>
      <c r="CB758">
        <v>0.6</v>
      </c>
      <c r="CC758" s="3">
        <v>7.1269159999999998E-2</v>
      </c>
      <c r="CD758">
        <v>2.875</v>
      </c>
      <c r="CE758">
        <v>2.5</v>
      </c>
      <c r="CF758">
        <v>18</v>
      </c>
      <c r="CG758">
        <v>6</v>
      </c>
      <c r="CH758">
        <v>0</v>
      </c>
      <c r="CI758">
        <v>44.69</v>
      </c>
      <c r="CJ758">
        <v>323.27940000000001</v>
      </c>
    </row>
    <row r="759" spans="1:88">
      <c r="A759">
        <v>758</v>
      </c>
      <c r="B759" t="s">
        <v>0</v>
      </c>
      <c r="C759" t="s">
        <v>1</v>
      </c>
      <c r="D759" t="s">
        <v>328</v>
      </c>
      <c r="E759" t="s">
        <v>143</v>
      </c>
      <c r="F759" t="s">
        <v>329</v>
      </c>
      <c r="G759" t="s">
        <v>15</v>
      </c>
      <c r="H759" t="s">
        <v>328</v>
      </c>
      <c r="J759">
        <v>2</v>
      </c>
      <c r="K759" t="s">
        <v>9</v>
      </c>
      <c r="L759" t="s">
        <v>297</v>
      </c>
      <c r="M759" t="s">
        <v>206</v>
      </c>
      <c r="N759" t="s">
        <v>131</v>
      </c>
      <c r="O759">
        <v>155</v>
      </c>
      <c r="Q759">
        <v>1025</v>
      </c>
      <c r="R759">
        <v>154</v>
      </c>
      <c r="S759">
        <v>4.25</v>
      </c>
      <c r="T759">
        <v>4.1660000000000004</v>
      </c>
      <c r="U759">
        <v>6.78</v>
      </c>
      <c r="V759">
        <v>4357.1400000000003</v>
      </c>
      <c r="W759">
        <v>1043</v>
      </c>
      <c r="X759">
        <v>1.3332999999999999</v>
      </c>
      <c r="Y759">
        <v>794</v>
      </c>
      <c r="Z759">
        <v>5.49</v>
      </c>
      <c r="AJ759">
        <v>2</v>
      </c>
      <c r="AK759">
        <v>18</v>
      </c>
      <c r="AM759">
        <v>0</v>
      </c>
      <c r="AO759" t="s">
        <v>331</v>
      </c>
      <c r="AT759">
        <v>59</v>
      </c>
      <c r="AV759">
        <v>88.5</v>
      </c>
      <c r="AW759" t="s">
        <v>6</v>
      </c>
      <c r="AX759" t="s">
        <v>6</v>
      </c>
      <c r="AY759" t="s">
        <v>6</v>
      </c>
      <c r="AZ759" t="s">
        <v>6</v>
      </c>
      <c r="BA759" t="s">
        <v>6</v>
      </c>
      <c r="BB759" t="s">
        <v>6</v>
      </c>
      <c r="BC759" t="s">
        <v>6</v>
      </c>
      <c r="BD759" t="s">
        <v>6</v>
      </c>
      <c r="BE759" t="s">
        <v>6</v>
      </c>
      <c r="BF759" t="s">
        <v>6</v>
      </c>
      <c r="BG759" t="s">
        <v>6</v>
      </c>
      <c r="BH759" t="s">
        <v>6</v>
      </c>
      <c r="BI759" t="s">
        <v>6</v>
      </c>
      <c r="BJ759" t="s">
        <v>6</v>
      </c>
      <c r="BN759">
        <v>757.69809999999995</v>
      </c>
      <c r="BO759">
        <v>1905</v>
      </c>
      <c r="BP759">
        <v>0</v>
      </c>
      <c r="BQ759">
        <v>53</v>
      </c>
      <c r="BR759">
        <v>53</v>
      </c>
      <c r="BS759">
        <v>53.04</v>
      </c>
      <c r="BT759">
        <v>0</v>
      </c>
      <c r="BV759">
        <v>6</v>
      </c>
      <c r="BW759" t="s">
        <v>655</v>
      </c>
      <c r="BX759">
        <v>0.27933340000000001</v>
      </c>
      <c r="BY759">
        <v>14.81584</v>
      </c>
      <c r="BZ759">
        <v>0</v>
      </c>
      <c r="CA759">
        <v>1</v>
      </c>
      <c r="CB759">
        <v>0.6</v>
      </c>
      <c r="CC759" s="3">
        <v>7.1269159999999998E-2</v>
      </c>
      <c r="CD759">
        <v>2.875</v>
      </c>
      <c r="CE759">
        <v>2.5</v>
      </c>
      <c r="CF759">
        <v>18</v>
      </c>
      <c r="CG759">
        <v>6</v>
      </c>
      <c r="CH759">
        <v>0</v>
      </c>
      <c r="CI759">
        <v>53.04</v>
      </c>
      <c r="CJ759">
        <v>921.87580000000003</v>
      </c>
    </row>
    <row r="760" spans="1:88">
      <c r="A760">
        <v>759</v>
      </c>
      <c r="B760" t="s">
        <v>0</v>
      </c>
      <c r="C760" t="s">
        <v>1</v>
      </c>
      <c r="D760" t="s">
        <v>104</v>
      </c>
      <c r="E760" t="s">
        <v>169</v>
      </c>
      <c r="F760" t="s">
        <v>337</v>
      </c>
      <c r="G760" t="s">
        <v>106</v>
      </c>
      <c r="H760" t="s">
        <v>398</v>
      </c>
      <c r="J760">
        <v>2</v>
      </c>
      <c r="K760" t="s">
        <v>108</v>
      </c>
      <c r="L760" t="s">
        <v>381</v>
      </c>
      <c r="M760" t="s">
        <v>173</v>
      </c>
      <c r="N760" t="s">
        <v>174</v>
      </c>
      <c r="O760">
        <v>119</v>
      </c>
      <c r="Q760">
        <v>605</v>
      </c>
      <c r="R760">
        <v>116</v>
      </c>
      <c r="S760">
        <v>4.25</v>
      </c>
      <c r="T760">
        <v>3.2829999999999999</v>
      </c>
      <c r="U760">
        <v>6.15</v>
      </c>
      <c r="V760">
        <v>2569.63</v>
      </c>
      <c r="W760">
        <v>714</v>
      </c>
      <c r="X760">
        <v>1.3332999999999999</v>
      </c>
      <c r="Y760">
        <v>557</v>
      </c>
      <c r="Z760">
        <v>4.6100000000000003</v>
      </c>
      <c r="AJ760">
        <v>2</v>
      </c>
      <c r="AK760">
        <v>18</v>
      </c>
      <c r="AM760">
        <v>0</v>
      </c>
      <c r="AO760" t="s">
        <v>170</v>
      </c>
      <c r="AT760">
        <v>47</v>
      </c>
      <c r="AV760">
        <v>66.7</v>
      </c>
      <c r="AW760">
        <v>0.46875</v>
      </c>
      <c r="AX760">
        <v>3.75</v>
      </c>
      <c r="AY760">
        <v>47.375</v>
      </c>
      <c r="AZ760">
        <v>4.375</v>
      </c>
      <c r="BA760">
        <v>427.51</v>
      </c>
      <c r="BB760">
        <v>4.6100000000000003</v>
      </c>
      <c r="BC760">
        <v>51</v>
      </c>
      <c r="BD760">
        <v>0.3125</v>
      </c>
      <c r="BE760">
        <v>2.75</v>
      </c>
      <c r="BF760">
        <v>27.625</v>
      </c>
      <c r="BG760">
        <v>2.875</v>
      </c>
      <c r="BH760">
        <v>129.88999999999999</v>
      </c>
      <c r="BI760">
        <v>4.92</v>
      </c>
      <c r="BJ760">
        <v>15</v>
      </c>
      <c r="BL760">
        <v>557.4</v>
      </c>
      <c r="BM760">
        <v>65</v>
      </c>
      <c r="BN760">
        <v>321.00009999999997</v>
      </c>
      <c r="BO760">
        <v>1007</v>
      </c>
      <c r="BP760">
        <v>0</v>
      </c>
      <c r="BQ760">
        <v>41</v>
      </c>
      <c r="BR760">
        <v>41</v>
      </c>
      <c r="BS760">
        <v>40.520000000000003</v>
      </c>
      <c r="BT760">
        <v>0</v>
      </c>
      <c r="BV760">
        <v>0</v>
      </c>
      <c r="BW760" t="s">
        <v>655</v>
      </c>
      <c r="BX760">
        <v>0.17</v>
      </c>
      <c r="BY760">
        <v>6.8883999999999999</v>
      </c>
      <c r="BZ760">
        <v>0</v>
      </c>
      <c r="CA760">
        <v>1</v>
      </c>
      <c r="CB760">
        <v>0.6</v>
      </c>
      <c r="CC760" s="3">
        <v>7.1269159999999998E-2</v>
      </c>
      <c r="CD760">
        <v>2.875</v>
      </c>
      <c r="CE760">
        <v>2.5</v>
      </c>
      <c r="CF760">
        <v>18</v>
      </c>
      <c r="CG760">
        <v>6</v>
      </c>
      <c r="CH760">
        <v>0</v>
      </c>
      <c r="CI760">
        <v>40.520000000000003</v>
      </c>
      <c r="CJ760">
        <v>530.99900000000002</v>
      </c>
    </row>
    <row r="761" spans="1:88">
      <c r="A761">
        <v>760</v>
      </c>
      <c r="B761" t="s">
        <v>0</v>
      </c>
      <c r="C761" t="s">
        <v>1</v>
      </c>
      <c r="D761" t="s">
        <v>616</v>
      </c>
      <c r="E761" t="s">
        <v>205</v>
      </c>
      <c r="F761" t="s">
        <v>311</v>
      </c>
      <c r="G761" t="s">
        <v>15</v>
      </c>
      <c r="H761" t="s">
        <v>617</v>
      </c>
      <c r="J761">
        <v>2</v>
      </c>
      <c r="K761" t="s">
        <v>108</v>
      </c>
      <c r="L761" t="s">
        <v>459</v>
      </c>
      <c r="M761" t="s">
        <v>601</v>
      </c>
      <c r="N761" t="s">
        <v>455</v>
      </c>
      <c r="O761">
        <v>184</v>
      </c>
      <c r="Q761">
        <v>1041</v>
      </c>
      <c r="R761">
        <v>134</v>
      </c>
      <c r="S761">
        <v>4.25</v>
      </c>
      <c r="T761">
        <v>4.8310000000000004</v>
      </c>
      <c r="U761">
        <v>7.16</v>
      </c>
      <c r="V761">
        <v>4423.82</v>
      </c>
      <c r="W761">
        <v>957</v>
      </c>
      <c r="X761">
        <v>1.3332999999999999</v>
      </c>
      <c r="Y761">
        <v>718</v>
      </c>
      <c r="Z761">
        <v>6.16</v>
      </c>
      <c r="AJ761">
        <v>2</v>
      </c>
      <c r="AK761">
        <v>18</v>
      </c>
      <c r="AM761">
        <v>0</v>
      </c>
      <c r="AO761" t="s">
        <v>288</v>
      </c>
      <c r="AT761">
        <v>69</v>
      </c>
      <c r="AV761">
        <v>76.900000000000006</v>
      </c>
      <c r="AW761" t="s">
        <v>6</v>
      </c>
      <c r="AX761" t="s">
        <v>6</v>
      </c>
      <c r="AY761" t="s">
        <v>6</v>
      </c>
      <c r="AZ761" t="s">
        <v>6</v>
      </c>
      <c r="BA761" t="s">
        <v>6</v>
      </c>
      <c r="BB761" t="s">
        <v>6</v>
      </c>
      <c r="BC761" t="s">
        <v>6</v>
      </c>
      <c r="BD761" t="s">
        <v>6</v>
      </c>
      <c r="BE761" t="s">
        <v>6</v>
      </c>
      <c r="BF761" t="s">
        <v>6</v>
      </c>
      <c r="BG761" t="s">
        <v>6</v>
      </c>
      <c r="BH761" t="s">
        <v>6</v>
      </c>
      <c r="BI761" t="s">
        <v>6</v>
      </c>
      <c r="BJ761" t="s">
        <v>6</v>
      </c>
      <c r="BN761">
        <v>656.67169999999999</v>
      </c>
      <c r="BO761">
        <v>2537</v>
      </c>
      <c r="BP761">
        <v>0</v>
      </c>
      <c r="BQ761">
        <v>63</v>
      </c>
      <c r="BR761">
        <v>63</v>
      </c>
      <c r="BS761">
        <v>63.13</v>
      </c>
      <c r="BT761">
        <v>0</v>
      </c>
      <c r="BV761">
        <v>0</v>
      </c>
      <c r="BW761" t="s">
        <v>655</v>
      </c>
      <c r="BX761">
        <v>0.17</v>
      </c>
      <c r="BY761">
        <v>10.732100000000001</v>
      </c>
      <c r="BZ761">
        <v>0</v>
      </c>
      <c r="CA761">
        <v>1</v>
      </c>
      <c r="CB761">
        <v>0.6</v>
      </c>
      <c r="CC761" s="3">
        <v>7.1269159999999998E-2</v>
      </c>
      <c r="CD761">
        <v>2.875</v>
      </c>
      <c r="CE761">
        <v>2.5</v>
      </c>
      <c r="CF761">
        <v>18</v>
      </c>
      <c r="CG761">
        <v>6</v>
      </c>
      <c r="CH761">
        <v>0</v>
      </c>
      <c r="CI761">
        <v>63.13</v>
      </c>
      <c r="CJ761">
        <v>953.27260000000001</v>
      </c>
    </row>
    <row r="762" spans="1:88">
      <c r="A762">
        <v>761</v>
      </c>
      <c r="B762" t="s">
        <v>0</v>
      </c>
      <c r="C762" t="s">
        <v>1</v>
      </c>
      <c r="D762" t="s">
        <v>151</v>
      </c>
      <c r="E762" t="s">
        <v>174</v>
      </c>
      <c r="F762" t="s">
        <v>385</v>
      </c>
      <c r="G762" t="s">
        <v>106</v>
      </c>
      <c r="H762" t="s">
        <v>2</v>
      </c>
      <c r="J762">
        <v>2</v>
      </c>
      <c r="K762" t="s">
        <v>146</v>
      </c>
      <c r="L762" t="s">
        <v>257</v>
      </c>
      <c r="M762" t="s">
        <v>312</v>
      </c>
      <c r="N762" t="s">
        <v>3</v>
      </c>
      <c r="O762">
        <v>122</v>
      </c>
      <c r="Q762">
        <v>341</v>
      </c>
      <c r="R762">
        <v>68</v>
      </c>
      <c r="S762">
        <v>4.25</v>
      </c>
      <c r="T762">
        <v>3.359</v>
      </c>
      <c r="U762">
        <v>6.22</v>
      </c>
      <c r="V762">
        <v>1450.18</v>
      </c>
      <c r="W762">
        <v>421</v>
      </c>
      <c r="X762">
        <v>1.3332999999999999</v>
      </c>
      <c r="Y762">
        <v>309</v>
      </c>
      <c r="Z762">
        <v>4.6900000000000004</v>
      </c>
      <c r="AJ762">
        <v>2</v>
      </c>
      <c r="AK762">
        <v>18</v>
      </c>
      <c r="AM762">
        <v>0</v>
      </c>
      <c r="AO762" t="s">
        <v>4</v>
      </c>
      <c r="AT762">
        <v>48</v>
      </c>
      <c r="AV762">
        <v>36.4</v>
      </c>
      <c r="AW762">
        <v>0</v>
      </c>
      <c r="AX762">
        <v>0</v>
      </c>
      <c r="AY762">
        <v>46</v>
      </c>
      <c r="AZ762">
        <v>4.125</v>
      </c>
      <c r="BA762">
        <v>0</v>
      </c>
      <c r="BB762">
        <v>0</v>
      </c>
      <c r="BC762">
        <v>47</v>
      </c>
      <c r="BN762">
        <v>172.98339999999999</v>
      </c>
      <c r="BO762">
        <v>3468</v>
      </c>
      <c r="BP762">
        <v>0</v>
      </c>
      <c r="BQ762">
        <v>42</v>
      </c>
      <c r="BR762">
        <v>42</v>
      </c>
      <c r="BS762">
        <v>41.56</v>
      </c>
      <c r="BT762">
        <v>0</v>
      </c>
      <c r="BV762">
        <v>0</v>
      </c>
      <c r="BW762" t="s">
        <v>655</v>
      </c>
      <c r="BX762">
        <v>0.17</v>
      </c>
      <c r="BY762">
        <v>7.0652010000000001</v>
      </c>
      <c r="BZ762">
        <v>0</v>
      </c>
      <c r="CA762">
        <v>1</v>
      </c>
      <c r="CB762">
        <v>0.6</v>
      </c>
      <c r="CC762" s="3">
        <v>7.1269159999999998E-2</v>
      </c>
      <c r="CD762">
        <v>2.875</v>
      </c>
      <c r="CE762">
        <v>2.5</v>
      </c>
      <c r="CF762">
        <v>18</v>
      </c>
      <c r="CG762">
        <v>6</v>
      </c>
      <c r="CH762">
        <v>0</v>
      </c>
      <c r="CI762">
        <v>41.56</v>
      </c>
      <c r="CJ762">
        <v>297.67559999999997</v>
      </c>
    </row>
    <row r="763" spans="1:88">
      <c r="A763">
        <v>762</v>
      </c>
      <c r="B763" t="s">
        <v>0</v>
      </c>
      <c r="C763" t="s">
        <v>1</v>
      </c>
      <c r="D763" t="s">
        <v>219</v>
      </c>
      <c r="E763" t="s">
        <v>133</v>
      </c>
      <c r="F763" t="s">
        <v>230</v>
      </c>
      <c r="G763" t="s">
        <v>106</v>
      </c>
      <c r="H763" t="s">
        <v>382</v>
      </c>
      <c r="J763">
        <v>2</v>
      </c>
      <c r="K763" t="s">
        <v>146</v>
      </c>
      <c r="L763" t="s">
        <v>353</v>
      </c>
      <c r="M763" t="s">
        <v>194</v>
      </c>
      <c r="N763" t="s">
        <v>195</v>
      </c>
      <c r="O763">
        <v>143</v>
      </c>
      <c r="Q763">
        <v>368</v>
      </c>
      <c r="R763">
        <v>64</v>
      </c>
      <c r="S763">
        <v>4.25</v>
      </c>
      <c r="T763">
        <v>3.88</v>
      </c>
      <c r="U763">
        <v>6.6</v>
      </c>
      <c r="V763">
        <v>1563.23</v>
      </c>
      <c r="W763">
        <v>420</v>
      </c>
      <c r="X763">
        <v>1.5</v>
      </c>
      <c r="Y763">
        <v>291</v>
      </c>
      <c r="Z763">
        <v>5.38</v>
      </c>
      <c r="AJ763">
        <v>2</v>
      </c>
      <c r="AK763">
        <v>18</v>
      </c>
      <c r="AM763">
        <v>0</v>
      </c>
      <c r="AO763" t="s">
        <v>318</v>
      </c>
      <c r="AT763">
        <v>55</v>
      </c>
      <c r="AV763">
        <v>33.9</v>
      </c>
      <c r="AW763">
        <v>0</v>
      </c>
      <c r="AX763">
        <v>0</v>
      </c>
      <c r="AY763">
        <v>49</v>
      </c>
      <c r="AZ763">
        <v>4.75</v>
      </c>
      <c r="BA763">
        <v>0</v>
      </c>
      <c r="BB763">
        <v>0</v>
      </c>
      <c r="BC763">
        <v>50</v>
      </c>
      <c r="BN763">
        <v>160.5</v>
      </c>
      <c r="BO763">
        <v>4028</v>
      </c>
      <c r="BP763">
        <v>0</v>
      </c>
      <c r="BQ763">
        <v>49</v>
      </c>
      <c r="BR763">
        <v>49</v>
      </c>
      <c r="BS763">
        <v>48.86</v>
      </c>
      <c r="BT763">
        <v>0</v>
      </c>
      <c r="BV763">
        <v>0</v>
      </c>
      <c r="BW763" t="s">
        <v>655</v>
      </c>
      <c r="BX763">
        <v>0.17</v>
      </c>
      <c r="BY763">
        <v>8.3062000000000005</v>
      </c>
      <c r="BZ763">
        <v>0</v>
      </c>
      <c r="CA763">
        <v>1</v>
      </c>
      <c r="CB763">
        <v>0.6</v>
      </c>
      <c r="CC763" s="3">
        <v>7.1269159999999998E-2</v>
      </c>
      <c r="CD763">
        <v>2.875</v>
      </c>
      <c r="CE763">
        <v>2.5</v>
      </c>
      <c r="CF763">
        <v>18</v>
      </c>
      <c r="CG763">
        <v>6</v>
      </c>
      <c r="CH763">
        <v>0</v>
      </c>
      <c r="CI763">
        <v>48.86</v>
      </c>
      <c r="CJ763">
        <v>325.58670000000001</v>
      </c>
    </row>
    <row r="764" spans="1:88">
      <c r="A764">
        <v>763</v>
      </c>
      <c r="B764" t="s">
        <v>0</v>
      </c>
      <c r="C764" t="s">
        <v>1</v>
      </c>
      <c r="D764" t="s">
        <v>228</v>
      </c>
      <c r="E764" t="s">
        <v>297</v>
      </c>
      <c r="F764" t="s">
        <v>370</v>
      </c>
      <c r="G764" t="s">
        <v>106</v>
      </c>
      <c r="H764" t="s">
        <v>219</v>
      </c>
      <c r="J764">
        <v>2</v>
      </c>
      <c r="K764" t="s">
        <v>146</v>
      </c>
      <c r="L764" t="s">
        <v>212</v>
      </c>
      <c r="M764" t="s">
        <v>299</v>
      </c>
      <c r="N764" t="s">
        <v>300</v>
      </c>
      <c r="O764">
        <v>175</v>
      </c>
      <c r="Q764">
        <v>449</v>
      </c>
      <c r="R764">
        <v>64</v>
      </c>
      <c r="S764">
        <v>4.25</v>
      </c>
      <c r="T764">
        <v>4.6280000000000001</v>
      </c>
      <c r="U764">
        <v>7.01</v>
      </c>
      <c r="V764">
        <v>1906.5</v>
      </c>
      <c r="W764">
        <v>450</v>
      </c>
      <c r="X764">
        <v>1.5</v>
      </c>
      <c r="Y764">
        <v>312</v>
      </c>
      <c r="Z764">
        <v>6.12</v>
      </c>
      <c r="AJ764">
        <v>2</v>
      </c>
      <c r="AK764">
        <v>18</v>
      </c>
      <c r="AM764">
        <v>0</v>
      </c>
      <c r="AO764" t="s">
        <v>220</v>
      </c>
      <c r="AT764">
        <v>66</v>
      </c>
      <c r="AV764">
        <v>34.299999999999997</v>
      </c>
      <c r="AW764">
        <v>0</v>
      </c>
      <c r="AX764">
        <v>0</v>
      </c>
      <c r="AY764">
        <v>65.125</v>
      </c>
      <c r="AZ764">
        <v>5.75</v>
      </c>
      <c r="BA764">
        <v>0</v>
      </c>
      <c r="BB764">
        <v>0</v>
      </c>
      <c r="BC764">
        <v>70</v>
      </c>
      <c r="BN764">
        <v>162.2834</v>
      </c>
      <c r="BO764">
        <v>3940</v>
      </c>
      <c r="BP764">
        <v>0</v>
      </c>
      <c r="BQ764">
        <v>60</v>
      </c>
      <c r="BR764">
        <v>60</v>
      </c>
      <c r="BS764">
        <v>60</v>
      </c>
      <c r="BT764">
        <v>0</v>
      </c>
      <c r="BV764">
        <v>0</v>
      </c>
      <c r="BW764" t="s">
        <v>655</v>
      </c>
      <c r="BX764">
        <v>0.17</v>
      </c>
      <c r="BY764">
        <v>10.199999999999999</v>
      </c>
      <c r="BZ764">
        <v>0</v>
      </c>
      <c r="CA764">
        <v>1</v>
      </c>
      <c r="CB764">
        <v>0.6</v>
      </c>
      <c r="CC764" s="3">
        <v>7.1269159999999998E-2</v>
      </c>
      <c r="CD764">
        <v>2.875</v>
      </c>
      <c r="CE764">
        <v>2.5</v>
      </c>
      <c r="CF764">
        <v>18</v>
      </c>
      <c r="CG764">
        <v>6</v>
      </c>
      <c r="CH764">
        <v>0</v>
      </c>
      <c r="CI764">
        <v>60</v>
      </c>
      <c r="CJ764">
        <v>404.09609999999998</v>
      </c>
    </row>
    <row r="765" spans="1:88">
      <c r="A765">
        <v>764</v>
      </c>
      <c r="B765" t="s">
        <v>13</v>
      </c>
      <c r="C765" t="s">
        <v>1</v>
      </c>
      <c r="D765" t="s">
        <v>151</v>
      </c>
      <c r="E765" t="s">
        <v>96</v>
      </c>
      <c r="F765" t="s">
        <v>385</v>
      </c>
      <c r="G765" t="s">
        <v>106</v>
      </c>
      <c r="H765" t="s">
        <v>2</v>
      </c>
      <c r="J765">
        <v>2</v>
      </c>
      <c r="K765" t="s">
        <v>146</v>
      </c>
      <c r="L765" t="s">
        <v>293</v>
      </c>
      <c r="M765" t="s">
        <v>100</v>
      </c>
      <c r="N765" t="s">
        <v>101</v>
      </c>
      <c r="O765">
        <v>131</v>
      </c>
      <c r="Q765">
        <v>364</v>
      </c>
      <c r="R765">
        <v>68</v>
      </c>
      <c r="S765">
        <v>4.25</v>
      </c>
      <c r="T765">
        <v>3.5859999999999999</v>
      </c>
      <c r="U765">
        <v>6.37</v>
      </c>
      <c r="V765">
        <v>1547.72</v>
      </c>
      <c r="W765">
        <v>431</v>
      </c>
      <c r="X765">
        <v>1.3332999999999999</v>
      </c>
      <c r="Y765">
        <v>315</v>
      </c>
      <c r="Z765">
        <v>4.91</v>
      </c>
      <c r="AJ765">
        <v>2</v>
      </c>
      <c r="AK765">
        <v>18</v>
      </c>
      <c r="AM765">
        <v>0</v>
      </c>
      <c r="AO765" t="s">
        <v>4</v>
      </c>
      <c r="AT765">
        <v>51</v>
      </c>
      <c r="AV765">
        <v>36.4</v>
      </c>
      <c r="AW765">
        <v>0</v>
      </c>
      <c r="AX765">
        <v>0</v>
      </c>
      <c r="AY765">
        <v>45.125</v>
      </c>
      <c r="AZ765">
        <v>4.25</v>
      </c>
      <c r="BA765">
        <v>0</v>
      </c>
      <c r="BB765">
        <v>0</v>
      </c>
      <c r="BC765">
        <v>46</v>
      </c>
      <c r="BN765">
        <v>172.98339999999999</v>
      </c>
      <c r="BO765">
        <v>3468</v>
      </c>
      <c r="BP765">
        <v>0</v>
      </c>
      <c r="BQ765">
        <v>45</v>
      </c>
      <c r="BR765">
        <v>45</v>
      </c>
      <c r="BS765">
        <v>44.69</v>
      </c>
      <c r="BT765">
        <v>0</v>
      </c>
      <c r="BV765">
        <v>0</v>
      </c>
      <c r="BW765" t="s">
        <v>655</v>
      </c>
      <c r="BX765">
        <v>0.17</v>
      </c>
      <c r="BY765">
        <v>7.5972999999999997</v>
      </c>
      <c r="BZ765">
        <v>0</v>
      </c>
      <c r="CA765">
        <v>1</v>
      </c>
      <c r="CB765">
        <v>0.6</v>
      </c>
      <c r="CC765" s="3">
        <v>7.1269159999999998E-2</v>
      </c>
      <c r="CD765">
        <v>2.875</v>
      </c>
      <c r="CE765">
        <v>2.5</v>
      </c>
      <c r="CF765">
        <v>18</v>
      </c>
      <c r="CG765">
        <v>6</v>
      </c>
      <c r="CH765">
        <v>0</v>
      </c>
      <c r="CI765">
        <v>44.69</v>
      </c>
      <c r="CJ765">
        <v>320.09429999999998</v>
      </c>
    </row>
    <row r="766" spans="1:88">
      <c r="A766">
        <v>765</v>
      </c>
      <c r="B766" t="s">
        <v>0</v>
      </c>
      <c r="C766" t="s">
        <v>1</v>
      </c>
      <c r="D766" t="s">
        <v>328</v>
      </c>
      <c r="E766" t="s">
        <v>221</v>
      </c>
      <c r="F766" t="s">
        <v>329</v>
      </c>
      <c r="G766" t="s">
        <v>15</v>
      </c>
      <c r="H766" t="s">
        <v>328</v>
      </c>
      <c r="J766">
        <v>2</v>
      </c>
      <c r="K766" t="s">
        <v>9</v>
      </c>
      <c r="L766" t="s">
        <v>307</v>
      </c>
      <c r="M766" t="s">
        <v>379</v>
      </c>
      <c r="N766" t="s">
        <v>2</v>
      </c>
      <c r="O766">
        <v>104</v>
      </c>
      <c r="Q766">
        <v>712</v>
      </c>
      <c r="R766">
        <v>154</v>
      </c>
      <c r="S766">
        <v>4.25</v>
      </c>
      <c r="T766">
        <v>2.8919999999999999</v>
      </c>
      <c r="U766">
        <v>6</v>
      </c>
      <c r="V766">
        <v>3025.66</v>
      </c>
      <c r="W766">
        <v>923</v>
      </c>
      <c r="X766">
        <v>1.3332999999999999</v>
      </c>
      <c r="Y766">
        <v>717</v>
      </c>
      <c r="Z766">
        <v>4.22</v>
      </c>
      <c r="AJ766">
        <v>2</v>
      </c>
      <c r="AK766">
        <v>18</v>
      </c>
      <c r="AM766">
        <v>0</v>
      </c>
      <c r="AO766" t="s">
        <v>331</v>
      </c>
      <c r="AT766">
        <v>41</v>
      </c>
      <c r="AV766">
        <v>88.5</v>
      </c>
      <c r="AW766">
        <v>0.5</v>
      </c>
      <c r="AX766">
        <v>5.625</v>
      </c>
      <c r="AY766">
        <v>38.375</v>
      </c>
      <c r="AZ766">
        <v>4.25</v>
      </c>
      <c r="BA766">
        <v>467.01</v>
      </c>
      <c r="BB766">
        <v>4.9800000000000004</v>
      </c>
      <c r="BC766">
        <v>69</v>
      </c>
      <c r="BD766">
        <v>0.375</v>
      </c>
      <c r="BE766">
        <v>3.75</v>
      </c>
      <c r="BF766">
        <v>25.875</v>
      </c>
      <c r="BG766">
        <v>3.125</v>
      </c>
      <c r="BH766">
        <v>249.96</v>
      </c>
      <c r="BI766">
        <v>4.3</v>
      </c>
      <c r="BJ766">
        <v>23</v>
      </c>
      <c r="BL766">
        <v>716.9701</v>
      </c>
      <c r="BM766">
        <v>91</v>
      </c>
      <c r="BN766">
        <v>757.69809999999995</v>
      </c>
      <c r="BO766">
        <v>1905</v>
      </c>
      <c r="BP766">
        <v>0</v>
      </c>
      <c r="BQ766">
        <v>35</v>
      </c>
      <c r="BR766">
        <v>35</v>
      </c>
      <c r="BS766">
        <v>35.299999999999997</v>
      </c>
      <c r="BT766">
        <v>0</v>
      </c>
      <c r="BV766">
        <v>6</v>
      </c>
      <c r="BW766" t="s">
        <v>655</v>
      </c>
      <c r="BX766">
        <v>0.27933330000000001</v>
      </c>
      <c r="BY766">
        <v>9.8604660000000006</v>
      </c>
      <c r="BZ766">
        <v>0</v>
      </c>
      <c r="CA766">
        <v>1</v>
      </c>
      <c r="CB766">
        <v>0.6</v>
      </c>
      <c r="CC766" s="3">
        <v>7.1269159999999998E-2</v>
      </c>
      <c r="CD766">
        <v>2.875</v>
      </c>
      <c r="CE766">
        <v>2.5</v>
      </c>
      <c r="CF766">
        <v>18</v>
      </c>
      <c r="CG766">
        <v>6</v>
      </c>
      <c r="CH766">
        <v>0</v>
      </c>
      <c r="CI766">
        <v>35.299999999999997</v>
      </c>
      <c r="CJ766">
        <v>613.54100000000005</v>
      </c>
    </row>
    <row r="767" spans="1:88">
      <c r="A767">
        <v>766</v>
      </c>
      <c r="B767" t="s">
        <v>0</v>
      </c>
      <c r="C767" t="s">
        <v>1</v>
      </c>
      <c r="D767" t="s">
        <v>605</v>
      </c>
      <c r="E767" t="s">
        <v>169</v>
      </c>
      <c r="F767" t="s">
        <v>472</v>
      </c>
      <c r="G767" t="s">
        <v>15</v>
      </c>
      <c r="H767" t="s">
        <v>605</v>
      </c>
      <c r="J767">
        <v>2</v>
      </c>
      <c r="K767" t="s">
        <v>9</v>
      </c>
      <c r="L767" t="s">
        <v>381</v>
      </c>
      <c r="M767" t="s">
        <v>173</v>
      </c>
      <c r="N767" t="s">
        <v>174</v>
      </c>
      <c r="O767">
        <v>119</v>
      </c>
      <c r="Q767">
        <v>759</v>
      </c>
      <c r="R767">
        <v>145</v>
      </c>
      <c r="S767">
        <v>4.25</v>
      </c>
      <c r="T767">
        <v>3.2829999999999999</v>
      </c>
      <c r="U767">
        <v>6.15</v>
      </c>
      <c r="V767">
        <v>3224</v>
      </c>
      <c r="W767">
        <v>892</v>
      </c>
      <c r="X767">
        <v>1.3332999999999999</v>
      </c>
      <c r="Y767">
        <v>699</v>
      </c>
      <c r="Z767">
        <v>4.6100000000000003</v>
      </c>
      <c r="AJ767">
        <v>2</v>
      </c>
      <c r="AK767">
        <v>18</v>
      </c>
      <c r="AM767">
        <v>0</v>
      </c>
      <c r="AO767" t="s">
        <v>16</v>
      </c>
      <c r="AT767">
        <v>47</v>
      </c>
      <c r="AV767">
        <v>83.4</v>
      </c>
      <c r="AW767" t="s">
        <v>6</v>
      </c>
      <c r="AX767" t="s">
        <v>6</v>
      </c>
      <c r="AY767" t="s">
        <v>6</v>
      </c>
      <c r="AZ767" t="s">
        <v>6</v>
      </c>
      <c r="BA767" t="s">
        <v>6</v>
      </c>
      <c r="BB767" t="s">
        <v>6</v>
      </c>
      <c r="BC767" t="s">
        <v>6</v>
      </c>
      <c r="BD767" t="s">
        <v>6</v>
      </c>
      <c r="BE767" t="s">
        <v>6</v>
      </c>
      <c r="BF767" t="s">
        <v>6</v>
      </c>
      <c r="BG767" t="s">
        <v>6</v>
      </c>
      <c r="BH767" t="s">
        <v>6</v>
      </c>
      <c r="BI767" t="s">
        <v>6</v>
      </c>
      <c r="BJ767" t="s">
        <v>6</v>
      </c>
      <c r="BN767">
        <v>713.49900000000002</v>
      </c>
      <c r="BO767">
        <v>2149</v>
      </c>
      <c r="BP767">
        <v>0</v>
      </c>
      <c r="BQ767">
        <v>41</v>
      </c>
      <c r="BR767">
        <v>41</v>
      </c>
      <c r="BS767">
        <v>40.520000000000003</v>
      </c>
      <c r="BT767">
        <v>0</v>
      </c>
      <c r="BV767">
        <v>6</v>
      </c>
      <c r="BW767" t="s">
        <v>655</v>
      </c>
      <c r="BX767">
        <v>0.27933340000000001</v>
      </c>
      <c r="BY767">
        <v>11.31859</v>
      </c>
      <c r="BZ767">
        <v>0</v>
      </c>
      <c r="CA767">
        <v>1</v>
      </c>
      <c r="CB767">
        <v>0.6</v>
      </c>
      <c r="CC767" s="3">
        <v>7.1269159999999998E-2</v>
      </c>
      <c r="CD767">
        <v>2.875</v>
      </c>
      <c r="CE767">
        <v>2.5</v>
      </c>
      <c r="CF767">
        <v>18</v>
      </c>
      <c r="CG767">
        <v>6</v>
      </c>
      <c r="CH767">
        <v>0</v>
      </c>
      <c r="CI767">
        <v>40.520000000000003</v>
      </c>
      <c r="CJ767">
        <v>663.83910000000003</v>
      </c>
    </row>
    <row r="768" spans="1:88">
      <c r="A768">
        <v>767</v>
      </c>
      <c r="B768" t="s">
        <v>0</v>
      </c>
      <c r="C768" t="s">
        <v>1</v>
      </c>
      <c r="D768" t="s">
        <v>425</v>
      </c>
      <c r="E768" t="s">
        <v>176</v>
      </c>
      <c r="F768" t="s">
        <v>290</v>
      </c>
      <c r="G768" t="s">
        <v>15</v>
      </c>
      <c r="H768" t="s">
        <v>426</v>
      </c>
      <c r="J768">
        <v>2</v>
      </c>
      <c r="K768" t="s">
        <v>108</v>
      </c>
      <c r="L768" t="s">
        <v>167</v>
      </c>
      <c r="M768" t="s">
        <v>226</v>
      </c>
      <c r="N768" t="s">
        <v>227</v>
      </c>
      <c r="O768">
        <v>113</v>
      </c>
      <c r="Q768">
        <v>651</v>
      </c>
      <c r="R768">
        <v>131</v>
      </c>
      <c r="S768">
        <v>4.25</v>
      </c>
      <c r="T768">
        <v>3.1280000000000001</v>
      </c>
      <c r="U768">
        <v>6.18</v>
      </c>
      <c r="V768">
        <v>2768.11</v>
      </c>
      <c r="W768">
        <v>811</v>
      </c>
      <c r="X768">
        <v>1.3332999999999999</v>
      </c>
      <c r="Y768">
        <v>621</v>
      </c>
      <c r="Z768">
        <v>4.46</v>
      </c>
      <c r="AJ768">
        <v>2</v>
      </c>
      <c r="AK768">
        <v>18</v>
      </c>
      <c r="AM768">
        <v>0</v>
      </c>
      <c r="AO768" t="s">
        <v>427</v>
      </c>
      <c r="AT768">
        <v>45</v>
      </c>
      <c r="AV768">
        <v>75.400000000000006</v>
      </c>
      <c r="AW768" t="s">
        <v>6</v>
      </c>
      <c r="AX768" t="s">
        <v>6</v>
      </c>
      <c r="AY768" t="s">
        <v>6</v>
      </c>
      <c r="AZ768" t="s">
        <v>6</v>
      </c>
      <c r="BA768" t="s">
        <v>6</v>
      </c>
      <c r="BB768" t="s">
        <v>6</v>
      </c>
      <c r="BC768" t="s">
        <v>6</v>
      </c>
      <c r="BD768" t="s">
        <v>6</v>
      </c>
      <c r="BE768" t="s">
        <v>6</v>
      </c>
      <c r="BF768" t="s">
        <v>6</v>
      </c>
      <c r="BG768" t="s">
        <v>6</v>
      </c>
      <c r="BH768" t="s">
        <v>6</v>
      </c>
      <c r="BI768" t="s">
        <v>6</v>
      </c>
      <c r="BJ768" t="s">
        <v>6</v>
      </c>
      <c r="BN768">
        <v>644.04330000000004</v>
      </c>
      <c r="BO768">
        <v>2637</v>
      </c>
      <c r="BP768">
        <v>0</v>
      </c>
      <c r="BQ768">
        <v>38</v>
      </c>
      <c r="BR768">
        <v>38</v>
      </c>
      <c r="BS768">
        <v>38.43</v>
      </c>
      <c r="BT768">
        <v>0</v>
      </c>
      <c r="BV768">
        <v>0</v>
      </c>
      <c r="BW768" t="s">
        <v>655</v>
      </c>
      <c r="BX768">
        <v>0.17</v>
      </c>
      <c r="BY768">
        <v>6.5331000000000001</v>
      </c>
      <c r="BZ768">
        <v>0</v>
      </c>
      <c r="CA768">
        <v>1</v>
      </c>
      <c r="CB768">
        <v>0.6</v>
      </c>
      <c r="CC768" s="3">
        <v>7.1269159999999998E-2</v>
      </c>
      <c r="CD768">
        <v>2.875</v>
      </c>
      <c r="CE768">
        <v>2.5</v>
      </c>
      <c r="CF768">
        <v>18</v>
      </c>
      <c r="CG768">
        <v>6</v>
      </c>
      <c r="CH768">
        <v>0</v>
      </c>
      <c r="CI768">
        <v>38.43</v>
      </c>
      <c r="CJ768">
        <v>569.3433</v>
      </c>
    </row>
    <row r="769" spans="1:88">
      <c r="A769">
        <v>768</v>
      </c>
      <c r="B769" t="s">
        <v>13</v>
      </c>
      <c r="C769" t="s">
        <v>1</v>
      </c>
      <c r="D769" t="s">
        <v>113</v>
      </c>
      <c r="E769" t="s">
        <v>221</v>
      </c>
      <c r="F769" t="s">
        <v>262</v>
      </c>
      <c r="G769" t="s">
        <v>106</v>
      </c>
      <c r="H769" t="s">
        <v>263</v>
      </c>
      <c r="J769">
        <v>2</v>
      </c>
      <c r="K769" t="s">
        <v>108</v>
      </c>
      <c r="L769" t="s">
        <v>307</v>
      </c>
      <c r="M769" t="s">
        <v>379</v>
      </c>
      <c r="N769" t="s">
        <v>2</v>
      </c>
      <c r="O769">
        <v>104</v>
      </c>
      <c r="Q769">
        <v>501</v>
      </c>
      <c r="R769">
        <v>109</v>
      </c>
      <c r="S769">
        <v>4.25</v>
      </c>
      <c r="T769">
        <v>2.8919999999999999</v>
      </c>
      <c r="U769">
        <v>6</v>
      </c>
      <c r="V769">
        <v>2128.31</v>
      </c>
      <c r="W769">
        <v>652</v>
      </c>
      <c r="X769">
        <v>1.3332999999999999</v>
      </c>
      <c r="Y769">
        <v>504</v>
      </c>
      <c r="Z769">
        <v>4.22</v>
      </c>
      <c r="AJ769">
        <v>2</v>
      </c>
      <c r="AK769">
        <v>18</v>
      </c>
      <c r="AM769">
        <v>0</v>
      </c>
      <c r="AO769" t="s">
        <v>266</v>
      </c>
      <c r="AT769">
        <v>41</v>
      </c>
      <c r="AV769">
        <v>62.3</v>
      </c>
      <c r="AW769">
        <v>0.46875</v>
      </c>
      <c r="AX769">
        <v>3.75</v>
      </c>
      <c r="AY769">
        <v>43.375</v>
      </c>
      <c r="AZ769">
        <v>4</v>
      </c>
      <c r="BA769">
        <v>467.01</v>
      </c>
      <c r="BB769">
        <v>4.22</v>
      </c>
      <c r="BC769">
        <v>47</v>
      </c>
      <c r="BD769">
        <v>0.25</v>
      </c>
      <c r="BE769">
        <v>2.75</v>
      </c>
      <c r="BF769">
        <v>30.75</v>
      </c>
      <c r="BG769">
        <v>2.125</v>
      </c>
      <c r="BH769">
        <v>37.31</v>
      </c>
      <c r="BI769">
        <v>9.1999999999999993</v>
      </c>
      <c r="BJ769">
        <v>13</v>
      </c>
      <c r="BL769">
        <v>504.32</v>
      </c>
      <c r="BM769">
        <v>60</v>
      </c>
      <c r="BN769">
        <v>299.60000000000002</v>
      </c>
      <c r="BO769">
        <v>1156</v>
      </c>
      <c r="BP769">
        <v>0</v>
      </c>
      <c r="BQ769">
        <v>35</v>
      </c>
      <c r="BR769">
        <v>35</v>
      </c>
      <c r="BS769">
        <v>35.299999999999997</v>
      </c>
      <c r="BT769">
        <v>0</v>
      </c>
      <c r="BV769">
        <v>0</v>
      </c>
      <c r="BW769" t="s">
        <v>655</v>
      </c>
      <c r="BX769">
        <v>0.17</v>
      </c>
      <c r="BY769">
        <v>6.0010000000000003</v>
      </c>
      <c r="BZ769">
        <v>0</v>
      </c>
      <c r="CA769">
        <v>1</v>
      </c>
      <c r="CB769">
        <v>0.6</v>
      </c>
      <c r="CC769" s="3">
        <v>7.1269159999999998E-2</v>
      </c>
      <c r="CD769">
        <v>2.875</v>
      </c>
      <c r="CE769">
        <v>2.5</v>
      </c>
      <c r="CF769">
        <v>18</v>
      </c>
      <c r="CG769">
        <v>6</v>
      </c>
      <c r="CH769">
        <v>0</v>
      </c>
      <c r="CI769">
        <v>35.299999999999997</v>
      </c>
      <c r="CJ769">
        <v>432.4033</v>
      </c>
    </row>
    <row r="770" spans="1:88">
      <c r="A770">
        <v>769</v>
      </c>
      <c r="B770" t="s">
        <v>0</v>
      </c>
      <c r="C770" t="s">
        <v>1</v>
      </c>
      <c r="D770" t="s">
        <v>19</v>
      </c>
      <c r="E770" t="s">
        <v>466</v>
      </c>
      <c r="F770" t="s">
        <v>114</v>
      </c>
      <c r="G770" t="s">
        <v>214</v>
      </c>
      <c r="H770" t="s">
        <v>115</v>
      </c>
      <c r="J770">
        <v>2</v>
      </c>
      <c r="K770" t="s">
        <v>108</v>
      </c>
      <c r="L770" t="s">
        <v>210</v>
      </c>
      <c r="M770" t="s">
        <v>593</v>
      </c>
      <c r="N770" t="s">
        <v>297</v>
      </c>
      <c r="O770">
        <v>172</v>
      </c>
      <c r="Q770">
        <v>822</v>
      </c>
      <c r="R770">
        <v>112</v>
      </c>
      <c r="S770">
        <v>4.25</v>
      </c>
      <c r="T770">
        <v>4.5599999999999996</v>
      </c>
      <c r="U770">
        <v>6.93</v>
      </c>
      <c r="V770">
        <v>3493.03</v>
      </c>
      <c r="W770">
        <v>778</v>
      </c>
      <c r="X770">
        <v>1.3332999999999999</v>
      </c>
      <c r="Y770">
        <v>593</v>
      </c>
      <c r="Z770">
        <v>5.89</v>
      </c>
      <c r="AJ770">
        <v>2</v>
      </c>
      <c r="AK770">
        <v>18</v>
      </c>
      <c r="AM770">
        <v>0</v>
      </c>
      <c r="AO770" t="s">
        <v>118</v>
      </c>
      <c r="AT770">
        <v>65</v>
      </c>
      <c r="AV770">
        <v>64.5</v>
      </c>
      <c r="AW770">
        <v>0.46875</v>
      </c>
      <c r="AX770">
        <v>3.75</v>
      </c>
      <c r="AY770">
        <v>62.125</v>
      </c>
      <c r="AZ770">
        <v>5.5</v>
      </c>
      <c r="BA770">
        <v>326.17</v>
      </c>
      <c r="BB770">
        <v>6.04</v>
      </c>
      <c r="BC770">
        <v>67</v>
      </c>
      <c r="BD770">
        <v>0.4375</v>
      </c>
      <c r="BE770">
        <v>3.75</v>
      </c>
      <c r="BF770">
        <v>53.375</v>
      </c>
      <c r="BG770">
        <v>5.125</v>
      </c>
      <c r="BH770">
        <v>266.86</v>
      </c>
      <c r="BI770">
        <v>6.16</v>
      </c>
      <c r="BJ770">
        <v>54</v>
      </c>
      <c r="BL770">
        <v>593.03</v>
      </c>
      <c r="BM770">
        <v>120</v>
      </c>
      <c r="BN770">
        <v>312.91000000000003</v>
      </c>
      <c r="BO770">
        <v>1330</v>
      </c>
      <c r="BP770">
        <v>0</v>
      </c>
      <c r="BQ770">
        <v>59</v>
      </c>
      <c r="BR770">
        <v>59</v>
      </c>
      <c r="BS770">
        <v>58.95</v>
      </c>
      <c r="BT770">
        <v>0</v>
      </c>
      <c r="BV770">
        <v>0</v>
      </c>
      <c r="BW770" t="s">
        <v>655</v>
      </c>
      <c r="BX770">
        <v>0.17</v>
      </c>
      <c r="BY770">
        <v>10.0215</v>
      </c>
      <c r="BZ770">
        <v>0</v>
      </c>
      <c r="CA770">
        <v>1</v>
      </c>
      <c r="CB770">
        <v>0.6</v>
      </c>
      <c r="CC770" s="3">
        <v>7.1269159999999998E-2</v>
      </c>
      <c r="CD770">
        <v>2.875</v>
      </c>
      <c r="CE770">
        <v>2.5</v>
      </c>
      <c r="CF770">
        <v>18</v>
      </c>
      <c r="CG770">
        <v>6</v>
      </c>
      <c r="CH770">
        <v>0</v>
      </c>
      <c r="CI770">
        <v>58.95</v>
      </c>
      <c r="CJ770">
        <v>747.30920000000003</v>
      </c>
    </row>
    <row r="771" spans="1:88">
      <c r="A771">
        <v>770</v>
      </c>
      <c r="B771" t="s">
        <v>0</v>
      </c>
      <c r="C771" t="s">
        <v>1</v>
      </c>
      <c r="D771" t="s">
        <v>169</v>
      </c>
      <c r="E771" t="s">
        <v>366</v>
      </c>
      <c r="F771" t="s">
        <v>404</v>
      </c>
      <c r="G771" t="s">
        <v>106</v>
      </c>
      <c r="H771" t="s">
        <v>190</v>
      </c>
      <c r="J771">
        <v>2</v>
      </c>
      <c r="K771" t="s">
        <v>146</v>
      </c>
      <c r="L771" t="s">
        <v>268</v>
      </c>
      <c r="M771" t="s">
        <v>370</v>
      </c>
      <c r="N771" t="s">
        <v>217</v>
      </c>
      <c r="O771">
        <v>103</v>
      </c>
      <c r="Q771">
        <v>324</v>
      </c>
      <c r="R771">
        <v>74</v>
      </c>
      <c r="S771">
        <v>4.25</v>
      </c>
      <c r="T771">
        <v>2.8650000000000002</v>
      </c>
      <c r="U771">
        <v>5.96</v>
      </c>
      <c r="V771">
        <v>1377.59</v>
      </c>
      <c r="W771">
        <v>441</v>
      </c>
      <c r="X771">
        <v>1.3332999999999999</v>
      </c>
      <c r="Y771">
        <v>329</v>
      </c>
      <c r="Z771">
        <v>4.1900000000000004</v>
      </c>
      <c r="AJ771">
        <v>2</v>
      </c>
      <c r="AK771">
        <v>18</v>
      </c>
      <c r="AM771">
        <v>0</v>
      </c>
      <c r="AO771" t="s">
        <v>406</v>
      </c>
      <c r="AT771">
        <v>41</v>
      </c>
      <c r="AV771">
        <v>40.4</v>
      </c>
      <c r="AW771">
        <v>0</v>
      </c>
      <c r="AX771">
        <v>0</v>
      </c>
      <c r="AY771">
        <v>43.25</v>
      </c>
      <c r="AZ771">
        <v>3.625</v>
      </c>
      <c r="BA771">
        <v>0</v>
      </c>
      <c r="BB771">
        <v>0</v>
      </c>
      <c r="BC771">
        <v>44</v>
      </c>
      <c r="BN771">
        <v>192.6</v>
      </c>
      <c r="BO771">
        <v>2797</v>
      </c>
      <c r="BP771">
        <v>0</v>
      </c>
      <c r="BQ771">
        <v>35</v>
      </c>
      <c r="BR771">
        <v>35</v>
      </c>
      <c r="BS771">
        <v>34.950000000000003</v>
      </c>
      <c r="BT771">
        <v>0</v>
      </c>
      <c r="BV771">
        <v>0</v>
      </c>
      <c r="BW771" t="s">
        <v>655</v>
      </c>
      <c r="BX771">
        <v>0.17</v>
      </c>
      <c r="BY771">
        <v>5.9414999999999996</v>
      </c>
      <c r="BZ771">
        <v>0</v>
      </c>
      <c r="CA771">
        <v>1</v>
      </c>
      <c r="CB771">
        <v>0.6</v>
      </c>
      <c r="CC771" s="3">
        <v>7.1269159999999998E-2</v>
      </c>
      <c r="CD771">
        <v>2.875</v>
      </c>
      <c r="CE771">
        <v>2.5</v>
      </c>
      <c r="CF771">
        <v>18</v>
      </c>
      <c r="CG771">
        <v>6</v>
      </c>
      <c r="CH771">
        <v>0</v>
      </c>
      <c r="CI771">
        <v>34.950000000000003</v>
      </c>
      <c r="CJ771">
        <v>277.73059999999998</v>
      </c>
    </row>
    <row r="772" spans="1:88">
      <c r="A772">
        <v>771</v>
      </c>
      <c r="B772" t="s">
        <v>13</v>
      </c>
      <c r="C772" t="s">
        <v>1</v>
      </c>
      <c r="D772" t="s">
        <v>300</v>
      </c>
      <c r="E772" t="s">
        <v>300</v>
      </c>
      <c r="F772" t="s">
        <v>411</v>
      </c>
      <c r="G772" t="s">
        <v>106</v>
      </c>
      <c r="H772" t="s">
        <v>485</v>
      </c>
      <c r="J772">
        <v>2</v>
      </c>
      <c r="K772" t="s">
        <v>108</v>
      </c>
      <c r="L772" t="s">
        <v>454</v>
      </c>
      <c r="M772" t="s">
        <v>589</v>
      </c>
      <c r="N772" t="s">
        <v>202</v>
      </c>
      <c r="O772">
        <v>178</v>
      </c>
      <c r="Q772">
        <v>816</v>
      </c>
      <c r="R772">
        <v>108</v>
      </c>
      <c r="S772">
        <v>4.25</v>
      </c>
      <c r="T772">
        <v>4.6959999999999997</v>
      </c>
      <c r="U772">
        <v>7.05</v>
      </c>
      <c r="V772">
        <v>3466.89</v>
      </c>
      <c r="W772">
        <v>762</v>
      </c>
      <c r="X772">
        <v>1.3332999999999999</v>
      </c>
      <c r="Y772">
        <v>576</v>
      </c>
      <c r="Z772">
        <v>6.02</v>
      </c>
      <c r="AJ772">
        <v>2</v>
      </c>
      <c r="AK772">
        <v>18</v>
      </c>
      <c r="AM772">
        <v>0</v>
      </c>
      <c r="AO772" t="s">
        <v>486</v>
      </c>
      <c r="AT772">
        <v>67</v>
      </c>
      <c r="AV772">
        <v>62</v>
      </c>
      <c r="AW772">
        <v>0.46875</v>
      </c>
      <c r="AX772">
        <v>3.75</v>
      </c>
      <c r="AY772">
        <v>64</v>
      </c>
      <c r="AZ772">
        <v>5.625</v>
      </c>
      <c r="BA772">
        <v>316.73</v>
      </c>
      <c r="BB772">
        <v>6.22</v>
      </c>
      <c r="BC772">
        <v>69</v>
      </c>
      <c r="BD772">
        <v>0.4375</v>
      </c>
      <c r="BE772">
        <v>3.75</v>
      </c>
      <c r="BF772">
        <v>54.875</v>
      </c>
      <c r="BG772">
        <v>5.25</v>
      </c>
      <c r="BH772">
        <v>259.16000000000003</v>
      </c>
      <c r="BI772">
        <v>6.34</v>
      </c>
      <c r="BJ772">
        <v>56</v>
      </c>
      <c r="BL772">
        <v>575.89</v>
      </c>
      <c r="BM772">
        <v>124</v>
      </c>
      <c r="BN772">
        <v>297.81670000000003</v>
      </c>
      <c r="BO772">
        <v>1170</v>
      </c>
      <c r="BP772">
        <v>0</v>
      </c>
      <c r="BQ772">
        <v>61</v>
      </c>
      <c r="BR772">
        <v>61</v>
      </c>
      <c r="BS772">
        <v>61.04</v>
      </c>
      <c r="BT772">
        <v>0</v>
      </c>
      <c r="BV772">
        <v>0</v>
      </c>
      <c r="BW772" t="s">
        <v>655</v>
      </c>
      <c r="BX772">
        <v>0.17</v>
      </c>
      <c r="BY772">
        <v>10.376799999999999</v>
      </c>
      <c r="BZ772">
        <v>0</v>
      </c>
      <c r="CA772">
        <v>1</v>
      </c>
      <c r="CB772">
        <v>0.6</v>
      </c>
      <c r="CC772" s="3">
        <v>7.1269159999999998E-2</v>
      </c>
      <c r="CD772">
        <v>2.875</v>
      </c>
      <c r="CE772">
        <v>2.5</v>
      </c>
      <c r="CF772">
        <v>18</v>
      </c>
      <c r="CG772">
        <v>6</v>
      </c>
      <c r="CH772">
        <v>0</v>
      </c>
      <c r="CI772">
        <v>61.04</v>
      </c>
      <c r="CJ772">
        <v>743.35230000000001</v>
      </c>
    </row>
    <row r="773" spans="1:88">
      <c r="A773">
        <v>772</v>
      </c>
      <c r="B773" t="s">
        <v>0</v>
      </c>
      <c r="C773" t="s">
        <v>1</v>
      </c>
      <c r="D773" t="s">
        <v>2</v>
      </c>
      <c r="E773" t="s">
        <v>130</v>
      </c>
      <c r="F773" t="s">
        <v>154</v>
      </c>
      <c r="G773" t="s">
        <v>106</v>
      </c>
      <c r="H773" t="s">
        <v>217</v>
      </c>
      <c r="J773">
        <v>2</v>
      </c>
      <c r="K773" t="s">
        <v>146</v>
      </c>
      <c r="L773" t="s">
        <v>101</v>
      </c>
      <c r="M773" t="s">
        <v>134</v>
      </c>
      <c r="N773" t="s">
        <v>399</v>
      </c>
      <c r="O773">
        <v>114</v>
      </c>
      <c r="Q773">
        <v>318</v>
      </c>
      <c r="R773">
        <v>67</v>
      </c>
      <c r="S773">
        <v>4.25</v>
      </c>
      <c r="T773">
        <v>3.1539999999999999</v>
      </c>
      <c r="U773">
        <v>6.18</v>
      </c>
      <c r="V773">
        <v>1350.22</v>
      </c>
      <c r="W773">
        <v>414</v>
      </c>
      <c r="X773">
        <v>1.3332999999999999</v>
      </c>
      <c r="Y773">
        <v>301</v>
      </c>
      <c r="Z773">
        <v>4.4800000000000004</v>
      </c>
      <c r="AJ773">
        <v>2</v>
      </c>
      <c r="AK773">
        <v>18</v>
      </c>
      <c r="AM773">
        <v>0</v>
      </c>
      <c r="AO773" t="s">
        <v>218</v>
      </c>
      <c r="AT773">
        <v>45</v>
      </c>
      <c r="AV773">
        <v>36.1</v>
      </c>
      <c r="AW773">
        <v>0</v>
      </c>
      <c r="AX773">
        <v>0</v>
      </c>
      <c r="AY773">
        <v>47.25</v>
      </c>
      <c r="AZ773">
        <v>3.875</v>
      </c>
      <c r="BA773">
        <v>0</v>
      </c>
      <c r="BB773">
        <v>0</v>
      </c>
      <c r="BC773">
        <v>48</v>
      </c>
      <c r="BN773">
        <v>171.2</v>
      </c>
      <c r="BO773">
        <v>3540</v>
      </c>
      <c r="BP773">
        <v>0</v>
      </c>
      <c r="BQ773">
        <v>39</v>
      </c>
      <c r="BR773">
        <v>39</v>
      </c>
      <c r="BS773">
        <v>38.78</v>
      </c>
      <c r="BT773">
        <v>0</v>
      </c>
      <c r="BV773">
        <v>0</v>
      </c>
      <c r="BW773" t="s">
        <v>655</v>
      </c>
      <c r="BX773">
        <v>0.17</v>
      </c>
      <c r="BY773">
        <v>6.5926</v>
      </c>
      <c r="BZ773">
        <v>0</v>
      </c>
      <c r="CA773">
        <v>1</v>
      </c>
      <c r="CB773">
        <v>0.6</v>
      </c>
      <c r="CC773" s="3">
        <v>7.1269159999999998E-2</v>
      </c>
      <c r="CD773">
        <v>2.875</v>
      </c>
      <c r="CE773">
        <v>2.5</v>
      </c>
      <c r="CF773">
        <v>18</v>
      </c>
      <c r="CG773">
        <v>6</v>
      </c>
      <c r="CH773">
        <v>0</v>
      </c>
      <c r="CI773">
        <v>38.78</v>
      </c>
      <c r="CJ773">
        <v>274.99990000000003</v>
      </c>
    </row>
    <row r="774" spans="1:88">
      <c r="A774">
        <v>773</v>
      </c>
      <c r="B774" t="s">
        <v>13</v>
      </c>
      <c r="C774" t="s">
        <v>1</v>
      </c>
      <c r="D774" t="s">
        <v>135</v>
      </c>
      <c r="E774" t="s">
        <v>2</v>
      </c>
      <c r="F774" t="s">
        <v>137</v>
      </c>
      <c r="G774" t="s">
        <v>106</v>
      </c>
      <c r="H774" t="s">
        <v>138</v>
      </c>
      <c r="J774">
        <v>2</v>
      </c>
      <c r="K774" t="s">
        <v>146</v>
      </c>
      <c r="L774" t="s">
        <v>122</v>
      </c>
      <c r="M774" t="s">
        <v>4</v>
      </c>
      <c r="N774" t="s">
        <v>5</v>
      </c>
      <c r="O774">
        <v>107</v>
      </c>
      <c r="Q774">
        <v>194</v>
      </c>
      <c r="R774">
        <v>41</v>
      </c>
      <c r="S774">
        <v>4.25</v>
      </c>
      <c r="T774">
        <v>2.9710000000000001</v>
      </c>
      <c r="U774">
        <v>6.07</v>
      </c>
      <c r="V774">
        <v>823.09</v>
      </c>
      <c r="W774">
        <v>251</v>
      </c>
      <c r="X774">
        <v>1.3332999999999999</v>
      </c>
      <c r="Y774">
        <v>191</v>
      </c>
      <c r="Z774">
        <v>4.3</v>
      </c>
      <c r="AJ774">
        <v>2</v>
      </c>
      <c r="AK774">
        <v>18</v>
      </c>
      <c r="AM774">
        <v>0</v>
      </c>
      <c r="AO774" t="s">
        <v>142</v>
      </c>
      <c r="AT774">
        <v>42</v>
      </c>
      <c r="AV774">
        <v>23</v>
      </c>
      <c r="AW774">
        <v>0</v>
      </c>
      <c r="AX774">
        <v>0</v>
      </c>
      <c r="AY774">
        <v>33.75</v>
      </c>
      <c r="AZ774">
        <v>3.25</v>
      </c>
      <c r="BA774">
        <v>0</v>
      </c>
      <c r="BB774">
        <v>0</v>
      </c>
      <c r="BC774">
        <v>30</v>
      </c>
      <c r="BN774">
        <v>107</v>
      </c>
      <c r="BO774">
        <v>9064</v>
      </c>
      <c r="BP774">
        <v>0</v>
      </c>
      <c r="BQ774">
        <v>36</v>
      </c>
      <c r="BR774">
        <v>36</v>
      </c>
      <c r="BS774">
        <v>36.340000000000003</v>
      </c>
      <c r="BT774">
        <v>0</v>
      </c>
      <c r="BV774">
        <v>0</v>
      </c>
      <c r="BW774" t="s">
        <v>655</v>
      </c>
      <c r="BX774">
        <v>0.17</v>
      </c>
      <c r="BY774">
        <v>6.1778000000000004</v>
      </c>
      <c r="BZ774">
        <v>0</v>
      </c>
      <c r="CA774">
        <v>1</v>
      </c>
      <c r="CB774">
        <v>0.6</v>
      </c>
      <c r="CC774" s="3">
        <v>7.1269159999999998E-2</v>
      </c>
      <c r="CD774">
        <v>2.875</v>
      </c>
      <c r="CE774">
        <v>2.5</v>
      </c>
      <c r="CF774">
        <v>18</v>
      </c>
      <c r="CG774">
        <v>6</v>
      </c>
      <c r="CH774">
        <v>0</v>
      </c>
      <c r="CI774">
        <v>36.340000000000003</v>
      </c>
      <c r="CJ774">
        <v>164.46</v>
      </c>
    </row>
    <row r="775" spans="1:88">
      <c r="A775">
        <v>774</v>
      </c>
      <c r="B775" t="s">
        <v>0</v>
      </c>
      <c r="C775" t="s">
        <v>1</v>
      </c>
      <c r="D775" t="s">
        <v>143</v>
      </c>
      <c r="E775" t="s">
        <v>116</v>
      </c>
      <c r="F775" t="s">
        <v>144</v>
      </c>
      <c r="G775" t="s">
        <v>106</v>
      </c>
      <c r="H775" t="s">
        <v>145</v>
      </c>
      <c r="J775">
        <v>2</v>
      </c>
      <c r="K775" t="s">
        <v>146</v>
      </c>
      <c r="L775" t="s">
        <v>616</v>
      </c>
      <c r="M775" t="s">
        <v>618</v>
      </c>
      <c r="N775" t="s">
        <v>17</v>
      </c>
      <c r="O775">
        <v>199</v>
      </c>
      <c r="Q775">
        <v>784</v>
      </c>
      <c r="R775">
        <v>95</v>
      </c>
      <c r="S775">
        <v>4.25</v>
      </c>
      <c r="T775">
        <v>5.16</v>
      </c>
      <c r="U775">
        <v>7.38</v>
      </c>
      <c r="V775">
        <v>3330.13</v>
      </c>
      <c r="W775">
        <v>698</v>
      </c>
      <c r="X775">
        <v>1.3332999999999999</v>
      </c>
      <c r="Y775">
        <v>513</v>
      </c>
      <c r="Z775">
        <v>6.49</v>
      </c>
      <c r="AJ775">
        <v>2</v>
      </c>
      <c r="AK775">
        <v>18</v>
      </c>
      <c r="AM775">
        <v>0</v>
      </c>
      <c r="AO775" t="s">
        <v>149</v>
      </c>
      <c r="AT775">
        <v>74</v>
      </c>
      <c r="AV775">
        <v>53.5</v>
      </c>
      <c r="AW775">
        <v>0.4375</v>
      </c>
      <c r="AX775">
        <v>3.75</v>
      </c>
      <c r="AY775">
        <v>55.5</v>
      </c>
      <c r="AZ775">
        <v>5.625</v>
      </c>
      <c r="BA775">
        <v>256.55</v>
      </c>
      <c r="BB775">
        <v>6.41</v>
      </c>
      <c r="BC775">
        <v>56</v>
      </c>
      <c r="BD775">
        <v>0.4375</v>
      </c>
      <c r="BE775">
        <v>3.75</v>
      </c>
      <c r="BF775">
        <v>55.5</v>
      </c>
      <c r="BG775">
        <v>5.625</v>
      </c>
      <c r="BH775">
        <v>256.55</v>
      </c>
      <c r="BI775">
        <v>6.41</v>
      </c>
      <c r="BJ775">
        <v>56</v>
      </c>
      <c r="BL775">
        <v>513.1</v>
      </c>
      <c r="BM775">
        <v>112</v>
      </c>
      <c r="BN775">
        <v>256.80009999999999</v>
      </c>
      <c r="BO775">
        <v>1574</v>
      </c>
      <c r="BP775">
        <v>0</v>
      </c>
      <c r="BQ775">
        <v>68</v>
      </c>
      <c r="BR775">
        <v>68</v>
      </c>
      <c r="BS775">
        <v>68.34</v>
      </c>
      <c r="BT775">
        <v>0</v>
      </c>
      <c r="BV775">
        <v>0</v>
      </c>
      <c r="BW775" t="s">
        <v>655</v>
      </c>
      <c r="BX775">
        <v>0.17</v>
      </c>
      <c r="BY775">
        <v>11.617800000000001</v>
      </c>
      <c r="BZ775">
        <v>0</v>
      </c>
      <c r="CA775">
        <v>1</v>
      </c>
      <c r="CB775">
        <v>0.6</v>
      </c>
      <c r="CC775" s="3">
        <v>7.1269159999999998E-2</v>
      </c>
      <c r="CD775">
        <v>2.875</v>
      </c>
      <c r="CE775">
        <v>2.5</v>
      </c>
      <c r="CF775">
        <v>18</v>
      </c>
      <c r="CG775">
        <v>6</v>
      </c>
      <c r="CH775">
        <v>0</v>
      </c>
      <c r="CI775">
        <v>68.34</v>
      </c>
      <c r="CJ775">
        <v>718.40380000000005</v>
      </c>
    </row>
    <row r="776" spans="1:88">
      <c r="A776">
        <v>775</v>
      </c>
      <c r="B776" t="s">
        <v>0</v>
      </c>
      <c r="C776" t="s">
        <v>1</v>
      </c>
      <c r="D776" t="s">
        <v>139</v>
      </c>
      <c r="E776" t="s">
        <v>151</v>
      </c>
      <c r="F776" t="s">
        <v>155</v>
      </c>
      <c r="G776" t="s">
        <v>106</v>
      </c>
      <c r="H776" t="s">
        <v>151</v>
      </c>
      <c r="J776">
        <v>2</v>
      </c>
      <c r="K776" t="s">
        <v>146</v>
      </c>
      <c r="L776" t="s">
        <v>119</v>
      </c>
      <c r="M776" t="s">
        <v>154</v>
      </c>
      <c r="N776" t="s">
        <v>150</v>
      </c>
      <c r="O776">
        <v>108</v>
      </c>
      <c r="Q776">
        <v>308</v>
      </c>
      <c r="R776">
        <v>68</v>
      </c>
      <c r="S776">
        <v>4.25</v>
      </c>
      <c r="T776">
        <v>2.9980000000000002</v>
      </c>
      <c r="U776">
        <v>6.07</v>
      </c>
      <c r="V776">
        <v>1311.04</v>
      </c>
      <c r="W776">
        <v>414</v>
      </c>
      <c r="X776">
        <v>1.3332999999999999</v>
      </c>
      <c r="Y776">
        <v>303</v>
      </c>
      <c r="Z776">
        <v>4.33</v>
      </c>
      <c r="AJ776">
        <v>2</v>
      </c>
      <c r="AK776">
        <v>18</v>
      </c>
      <c r="AM776">
        <v>0</v>
      </c>
      <c r="AO776" t="s">
        <v>154</v>
      </c>
      <c r="AT776">
        <v>43</v>
      </c>
      <c r="AV776">
        <v>36.799999999999997</v>
      </c>
      <c r="AW776">
        <v>0</v>
      </c>
      <c r="AX776">
        <v>0</v>
      </c>
      <c r="AY776">
        <v>32.125</v>
      </c>
      <c r="AZ776">
        <v>3.5</v>
      </c>
      <c r="BA776">
        <v>0</v>
      </c>
      <c r="BB776">
        <v>0</v>
      </c>
      <c r="BC776">
        <v>30</v>
      </c>
      <c r="BN776">
        <v>174.76669999999999</v>
      </c>
      <c r="BO776">
        <v>3397</v>
      </c>
      <c r="BP776">
        <v>0</v>
      </c>
      <c r="BQ776">
        <v>37</v>
      </c>
      <c r="BR776">
        <v>37</v>
      </c>
      <c r="BS776">
        <v>36.69</v>
      </c>
      <c r="BT776">
        <v>0</v>
      </c>
      <c r="BV776">
        <v>0</v>
      </c>
      <c r="BW776" t="s">
        <v>655</v>
      </c>
      <c r="BX776">
        <v>0.17</v>
      </c>
      <c r="BY776">
        <v>6.2373000000000003</v>
      </c>
      <c r="BZ776">
        <v>0</v>
      </c>
      <c r="CA776">
        <v>1</v>
      </c>
      <c r="CB776">
        <v>0.6</v>
      </c>
      <c r="CC776" s="3">
        <v>7.1269159999999998E-2</v>
      </c>
      <c r="CD776">
        <v>2.875</v>
      </c>
      <c r="CE776">
        <v>2.5</v>
      </c>
      <c r="CF776">
        <v>18</v>
      </c>
      <c r="CG776">
        <v>6</v>
      </c>
      <c r="CH776">
        <v>0</v>
      </c>
      <c r="CI776">
        <v>36.69</v>
      </c>
      <c r="CJ776">
        <v>265.40879999999999</v>
      </c>
    </row>
    <row r="777" spans="1:88">
      <c r="A777">
        <v>776</v>
      </c>
      <c r="B777" t="s">
        <v>13</v>
      </c>
      <c r="C777" t="s">
        <v>1</v>
      </c>
      <c r="D777" t="s">
        <v>284</v>
      </c>
      <c r="E777" t="s">
        <v>151</v>
      </c>
      <c r="F777" t="s">
        <v>374</v>
      </c>
      <c r="G777" t="s">
        <v>106</v>
      </c>
      <c r="H777" t="s">
        <v>448</v>
      </c>
      <c r="J777">
        <v>2</v>
      </c>
      <c r="K777" t="s">
        <v>146</v>
      </c>
      <c r="L777" t="s">
        <v>119</v>
      </c>
      <c r="M777" t="s">
        <v>154</v>
      </c>
      <c r="N777" t="s">
        <v>150</v>
      </c>
      <c r="O777">
        <v>108</v>
      </c>
      <c r="Q777">
        <v>240</v>
      </c>
      <c r="R777">
        <v>50</v>
      </c>
      <c r="S777">
        <v>4.25</v>
      </c>
      <c r="T777">
        <v>2.9980000000000002</v>
      </c>
      <c r="U777">
        <v>6.07</v>
      </c>
      <c r="V777">
        <v>1019.95</v>
      </c>
      <c r="W777">
        <v>304</v>
      </c>
      <c r="X777">
        <v>1.3332999999999999</v>
      </c>
      <c r="Y777">
        <v>236</v>
      </c>
      <c r="Z777">
        <v>4.33</v>
      </c>
      <c r="AJ777">
        <v>2</v>
      </c>
      <c r="AK777">
        <v>18</v>
      </c>
      <c r="AM777">
        <v>0</v>
      </c>
      <c r="AO777" t="s">
        <v>481</v>
      </c>
      <c r="AT777">
        <v>43</v>
      </c>
      <c r="AV777">
        <v>28.4</v>
      </c>
      <c r="AW777">
        <v>0</v>
      </c>
      <c r="AX777">
        <v>0</v>
      </c>
      <c r="AY777">
        <v>27.375</v>
      </c>
      <c r="AZ777">
        <v>3.25</v>
      </c>
      <c r="BA777">
        <v>0</v>
      </c>
      <c r="BB777">
        <v>0</v>
      </c>
      <c r="BC777">
        <v>24</v>
      </c>
      <c r="BN777">
        <v>133.75</v>
      </c>
      <c r="BO777">
        <v>5801</v>
      </c>
      <c r="BP777">
        <v>0</v>
      </c>
      <c r="BQ777">
        <v>37</v>
      </c>
      <c r="BR777">
        <v>37</v>
      </c>
      <c r="BS777">
        <v>36.69</v>
      </c>
      <c r="BT777">
        <v>0</v>
      </c>
      <c r="BV777">
        <v>0</v>
      </c>
      <c r="BW777" t="s">
        <v>655</v>
      </c>
      <c r="BX777">
        <v>0.17</v>
      </c>
      <c r="BY777">
        <v>6.2373000000000003</v>
      </c>
      <c r="BZ777">
        <v>0</v>
      </c>
      <c r="CA777">
        <v>1</v>
      </c>
      <c r="CB777">
        <v>0.6</v>
      </c>
      <c r="CC777" s="3">
        <v>7.1269159999999998E-2</v>
      </c>
      <c r="CD777">
        <v>2.875</v>
      </c>
      <c r="CE777">
        <v>2.5</v>
      </c>
      <c r="CF777">
        <v>18</v>
      </c>
      <c r="CG777">
        <v>6</v>
      </c>
      <c r="CH777">
        <v>0</v>
      </c>
      <c r="CI777">
        <v>36.69</v>
      </c>
      <c r="CJ777">
        <v>205.26689999999999</v>
      </c>
    </row>
    <row r="778" spans="1:88">
      <c r="A778">
        <v>777</v>
      </c>
      <c r="B778" t="s">
        <v>13</v>
      </c>
      <c r="C778" t="s">
        <v>1</v>
      </c>
      <c r="D778" t="s">
        <v>328</v>
      </c>
      <c r="E778" t="s">
        <v>104</v>
      </c>
      <c r="F778" t="s">
        <v>329</v>
      </c>
      <c r="G778" t="s">
        <v>20</v>
      </c>
      <c r="H778" t="s">
        <v>328</v>
      </c>
      <c r="J778">
        <v>2</v>
      </c>
      <c r="K778" t="s">
        <v>9</v>
      </c>
      <c r="L778" t="s">
        <v>109</v>
      </c>
      <c r="M778" t="s">
        <v>110</v>
      </c>
      <c r="N778" t="s">
        <v>111</v>
      </c>
      <c r="O778">
        <v>191</v>
      </c>
      <c r="Q778">
        <v>1246</v>
      </c>
      <c r="R778">
        <v>154</v>
      </c>
      <c r="S778">
        <v>4.25</v>
      </c>
      <c r="T778">
        <v>4.9850000000000003</v>
      </c>
      <c r="U778">
        <v>7.27</v>
      </c>
      <c r="V778">
        <v>5296.81</v>
      </c>
      <c r="W778">
        <v>1119</v>
      </c>
      <c r="X778">
        <v>1.3332999999999999</v>
      </c>
      <c r="Y778">
        <v>839</v>
      </c>
      <c r="Z778">
        <v>6.31</v>
      </c>
      <c r="AJ778">
        <v>2</v>
      </c>
      <c r="AK778">
        <v>18</v>
      </c>
      <c r="AM778">
        <v>0</v>
      </c>
      <c r="AO778" t="s">
        <v>331</v>
      </c>
      <c r="AT778">
        <v>72</v>
      </c>
      <c r="AV778">
        <v>88.5</v>
      </c>
      <c r="AW778" t="s">
        <v>6</v>
      </c>
      <c r="AX778" t="s">
        <v>6</v>
      </c>
      <c r="AY778" t="s">
        <v>6</v>
      </c>
      <c r="AZ778" t="s">
        <v>6</v>
      </c>
      <c r="BA778" t="s">
        <v>6</v>
      </c>
      <c r="BB778" t="s">
        <v>6</v>
      </c>
      <c r="BC778" t="s">
        <v>6</v>
      </c>
      <c r="BD778" t="s">
        <v>6</v>
      </c>
      <c r="BE778" t="s">
        <v>6</v>
      </c>
      <c r="BF778" t="s">
        <v>6</v>
      </c>
      <c r="BG778" t="s">
        <v>6</v>
      </c>
      <c r="BH778" t="s">
        <v>6</v>
      </c>
      <c r="BI778" t="s">
        <v>6</v>
      </c>
      <c r="BJ778" t="s">
        <v>6</v>
      </c>
      <c r="BN778">
        <v>663.95</v>
      </c>
      <c r="BO778">
        <v>2716</v>
      </c>
      <c r="BP778">
        <v>0</v>
      </c>
      <c r="BQ778">
        <v>66</v>
      </c>
      <c r="BR778">
        <v>66</v>
      </c>
      <c r="BS778">
        <v>65.56</v>
      </c>
      <c r="BT778">
        <v>0</v>
      </c>
      <c r="BV778">
        <v>6</v>
      </c>
      <c r="BW778" t="s">
        <v>655</v>
      </c>
      <c r="BX778">
        <v>0.27933340000000001</v>
      </c>
      <c r="BY778">
        <v>18.313089999999999</v>
      </c>
      <c r="BZ778">
        <v>0</v>
      </c>
      <c r="CA778">
        <v>1</v>
      </c>
      <c r="CB778">
        <v>0.6</v>
      </c>
      <c r="CC778" s="3">
        <v>7.1269159999999998E-2</v>
      </c>
      <c r="CD778">
        <v>2.875</v>
      </c>
      <c r="CE778">
        <v>2.5</v>
      </c>
      <c r="CF778">
        <v>18</v>
      </c>
      <c r="CG778">
        <v>6</v>
      </c>
      <c r="CH778">
        <v>0</v>
      </c>
      <c r="CI778">
        <v>65.56</v>
      </c>
      <c r="CJ778">
        <v>1139.4829999999999</v>
      </c>
    </row>
    <row r="779" spans="1:88">
      <c r="A779">
        <v>778</v>
      </c>
      <c r="B779" t="s">
        <v>0</v>
      </c>
      <c r="C779" t="s">
        <v>1</v>
      </c>
      <c r="D779" t="s">
        <v>356</v>
      </c>
      <c r="E779" t="s">
        <v>99</v>
      </c>
      <c r="F779" t="s">
        <v>225</v>
      </c>
      <c r="G779" t="s">
        <v>106</v>
      </c>
      <c r="H779" t="s">
        <v>332</v>
      </c>
      <c r="J779">
        <v>2</v>
      </c>
      <c r="K779" t="s">
        <v>146</v>
      </c>
      <c r="L779" t="s">
        <v>393</v>
      </c>
      <c r="M779" t="s">
        <v>184</v>
      </c>
      <c r="N779" t="s">
        <v>185</v>
      </c>
      <c r="O779">
        <v>149</v>
      </c>
      <c r="Q779">
        <v>290</v>
      </c>
      <c r="R779">
        <v>45</v>
      </c>
      <c r="S779">
        <v>4.25</v>
      </c>
      <c r="T779">
        <v>4.024</v>
      </c>
      <c r="U779">
        <v>6.71</v>
      </c>
      <c r="V779">
        <v>1233.52</v>
      </c>
      <c r="W779">
        <v>305</v>
      </c>
      <c r="X779">
        <v>1.3332999999999999</v>
      </c>
      <c r="Y779">
        <v>231</v>
      </c>
      <c r="Z779">
        <v>5.35</v>
      </c>
      <c r="AJ779">
        <v>2</v>
      </c>
      <c r="AK779">
        <v>18</v>
      </c>
      <c r="AM779">
        <v>0</v>
      </c>
      <c r="AO779" t="s">
        <v>372</v>
      </c>
      <c r="AT779">
        <v>57</v>
      </c>
      <c r="AV779">
        <v>25.5</v>
      </c>
      <c r="AW779">
        <v>0</v>
      </c>
      <c r="AX779">
        <v>0</v>
      </c>
      <c r="AY779">
        <v>42.25</v>
      </c>
      <c r="AZ779">
        <v>4.375</v>
      </c>
      <c r="BA779">
        <v>0</v>
      </c>
      <c r="BB779">
        <v>0</v>
      </c>
      <c r="BC779">
        <v>40</v>
      </c>
      <c r="BN779">
        <v>119.4834</v>
      </c>
      <c r="BO779">
        <v>7269</v>
      </c>
      <c r="BP779">
        <v>0</v>
      </c>
      <c r="BQ779">
        <v>51</v>
      </c>
      <c r="BR779">
        <v>51</v>
      </c>
      <c r="BS779">
        <v>50.95</v>
      </c>
      <c r="BT779">
        <v>0</v>
      </c>
      <c r="BV779">
        <v>0</v>
      </c>
      <c r="BW779" t="s">
        <v>655</v>
      </c>
      <c r="BX779">
        <v>0.17</v>
      </c>
      <c r="BY779">
        <v>8.6615000000000002</v>
      </c>
      <c r="BZ779">
        <v>0</v>
      </c>
      <c r="CA779">
        <v>1</v>
      </c>
      <c r="CB779">
        <v>0.6</v>
      </c>
      <c r="CC779" s="3">
        <v>7.1269159999999998E-2</v>
      </c>
      <c r="CD779">
        <v>2.875</v>
      </c>
      <c r="CE779">
        <v>2.5</v>
      </c>
      <c r="CF779">
        <v>18</v>
      </c>
      <c r="CG779">
        <v>6</v>
      </c>
      <c r="CH779">
        <v>0</v>
      </c>
      <c r="CI779">
        <v>50.95</v>
      </c>
      <c r="CJ779">
        <v>255.99700000000001</v>
      </c>
    </row>
    <row r="780" spans="1:88">
      <c r="A780">
        <v>779</v>
      </c>
      <c r="B780" t="s">
        <v>0</v>
      </c>
      <c r="C780" t="s">
        <v>1</v>
      </c>
      <c r="D780" t="s">
        <v>96</v>
      </c>
      <c r="E780" t="s">
        <v>8</v>
      </c>
      <c r="F780" t="s">
        <v>198</v>
      </c>
      <c r="G780" t="s">
        <v>106</v>
      </c>
      <c r="H780" t="s">
        <v>162</v>
      </c>
      <c r="J780">
        <v>2</v>
      </c>
      <c r="K780" t="s">
        <v>146</v>
      </c>
      <c r="L780" t="s">
        <v>10</v>
      </c>
      <c r="M780" t="s">
        <v>11</v>
      </c>
      <c r="N780" t="s">
        <v>12</v>
      </c>
      <c r="O780">
        <v>203</v>
      </c>
      <c r="Q780">
        <v>670</v>
      </c>
      <c r="R780">
        <v>85</v>
      </c>
      <c r="S780">
        <v>4.25</v>
      </c>
      <c r="T780">
        <v>5.2460000000000004</v>
      </c>
      <c r="U780">
        <v>7.35</v>
      </c>
      <c r="V780">
        <v>2849.24</v>
      </c>
      <c r="W780">
        <v>625</v>
      </c>
      <c r="X780">
        <v>1.5</v>
      </c>
      <c r="Y780">
        <v>423</v>
      </c>
      <c r="Z780">
        <v>6.74</v>
      </c>
      <c r="AJ780">
        <v>2</v>
      </c>
      <c r="AK780">
        <v>18</v>
      </c>
      <c r="AM780">
        <v>0</v>
      </c>
      <c r="AO780" t="s">
        <v>166</v>
      </c>
      <c r="AT780">
        <v>76</v>
      </c>
      <c r="AV780">
        <v>44.8</v>
      </c>
      <c r="AW780">
        <v>0.4375</v>
      </c>
      <c r="AX780">
        <v>3.75</v>
      </c>
      <c r="AY780">
        <v>61.25</v>
      </c>
      <c r="AZ780">
        <v>5.875</v>
      </c>
      <c r="BA780">
        <v>232.5</v>
      </c>
      <c r="BB780">
        <v>7.07</v>
      </c>
      <c r="BC780">
        <v>62</v>
      </c>
      <c r="BD780">
        <v>0.40625</v>
      </c>
      <c r="BE780">
        <v>3.75</v>
      </c>
      <c r="BF780">
        <v>51.125</v>
      </c>
      <c r="BG780">
        <v>5.5</v>
      </c>
      <c r="BH780">
        <v>190.23</v>
      </c>
      <c r="BI780">
        <v>6.96</v>
      </c>
      <c r="BJ780">
        <v>49</v>
      </c>
      <c r="BL780">
        <v>422.73</v>
      </c>
      <c r="BM780">
        <v>110</v>
      </c>
      <c r="BN780">
        <v>214</v>
      </c>
      <c r="BO780">
        <v>2266</v>
      </c>
      <c r="BP780">
        <v>0</v>
      </c>
      <c r="BQ780">
        <v>70</v>
      </c>
      <c r="BR780">
        <v>70</v>
      </c>
      <c r="BS780">
        <v>69.730009999999993</v>
      </c>
      <c r="BT780">
        <v>0</v>
      </c>
      <c r="BV780">
        <v>0</v>
      </c>
      <c r="BW780" t="s">
        <v>655</v>
      </c>
      <c r="BX780">
        <v>0.17</v>
      </c>
      <c r="BY780">
        <v>11.854100000000001</v>
      </c>
      <c r="BZ780">
        <v>0</v>
      </c>
      <c r="CA780">
        <v>1</v>
      </c>
      <c r="CB780">
        <v>0.6</v>
      </c>
      <c r="CC780" s="3">
        <v>7.1269159999999998E-2</v>
      </c>
      <c r="CD780">
        <v>2.875</v>
      </c>
      <c r="CE780">
        <v>2.5</v>
      </c>
      <c r="CF780">
        <v>18</v>
      </c>
      <c r="CG780">
        <v>6</v>
      </c>
      <c r="CH780">
        <v>0</v>
      </c>
      <c r="CI780">
        <v>69.730009999999993</v>
      </c>
      <c r="CJ780">
        <v>613.74540000000002</v>
      </c>
    </row>
    <row r="781" spans="1:88">
      <c r="A781">
        <v>780</v>
      </c>
      <c r="B781" t="s">
        <v>0</v>
      </c>
      <c r="C781" t="s">
        <v>1</v>
      </c>
      <c r="D781" t="s">
        <v>568</v>
      </c>
      <c r="E781" t="s">
        <v>197</v>
      </c>
      <c r="F781" t="s">
        <v>569</v>
      </c>
      <c r="G781" t="s">
        <v>15</v>
      </c>
      <c r="H781" t="s">
        <v>570</v>
      </c>
      <c r="J781">
        <v>2</v>
      </c>
      <c r="K781" t="s">
        <v>108</v>
      </c>
      <c r="L781" t="s">
        <v>199</v>
      </c>
      <c r="M781" t="s">
        <v>200</v>
      </c>
      <c r="N781" t="s">
        <v>201</v>
      </c>
      <c r="O781">
        <v>173</v>
      </c>
      <c r="Q781">
        <v>996</v>
      </c>
      <c r="R781">
        <v>136</v>
      </c>
      <c r="S781">
        <v>4.25</v>
      </c>
      <c r="T781">
        <v>4.5830000000000002</v>
      </c>
      <c r="U781">
        <v>6.97</v>
      </c>
      <c r="V781">
        <v>4233.76</v>
      </c>
      <c r="W781">
        <v>945</v>
      </c>
      <c r="X781">
        <v>1.3332999999999999</v>
      </c>
      <c r="Y781">
        <v>716</v>
      </c>
      <c r="Z781">
        <v>5.91</v>
      </c>
      <c r="AJ781">
        <v>2</v>
      </c>
      <c r="AK781">
        <v>18</v>
      </c>
      <c r="AM781">
        <v>0</v>
      </c>
      <c r="AO781" t="s">
        <v>533</v>
      </c>
      <c r="AT781">
        <v>65</v>
      </c>
      <c r="AV781">
        <v>77.900000000000006</v>
      </c>
      <c r="AW781" t="s">
        <v>6</v>
      </c>
      <c r="AX781" t="s">
        <v>6</v>
      </c>
      <c r="AY781" t="s">
        <v>6</v>
      </c>
      <c r="AZ781" t="s">
        <v>6</v>
      </c>
      <c r="BA781" t="s">
        <v>6</v>
      </c>
      <c r="BB781" t="s">
        <v>6</v>
      </c>
      <c r="BC781" t="s">
        <v>6</v>
      </c>
      <c r="BD781" t="s">
        <v>6</v>
      </c>
      <c r="BE781" t="s">
        <v>6</v>
      </c>
      <c r="BF781" t="s">
        <v>6</v>
      </c>
      <c r="BG781" t="s">
        <v>6</v>
      </c>
      <c r="BH781" t="s">
        <v>6</v>
      </c>
      <c r="BI781" t="s">
        <v>6</v>
      </c>
      <c r="BJ781" t="s">
        <v>6</v>
      </c>
      <c r="BN781">
        <v>666.14290000000005</v>
      </c>
      <c r="BO781">
        <v>2465</v>
      </c>
      <c r="BP781">
        <v>0</v>
      </c>
      <c r="BQ781">
        <v>59</v>
      </c>
      <c r="BR781">
        <v>59</v>
      </c>
      <c r="BS781">
        <v>59.3</v>
      </c>
      <c r="BT781">
        <v>0</v>
      </c>
      <c r="BV781">
        <v>0</v>
      </c>
      <c r="BW781" t="s">
        <v>655</v>
      </c>
      <c r="BX781">
        <v>0.17</v>
      </c>
      <c r="BY781">
        <v>10.081</v>
      </c>
      <c r="BZ781">
        <v>0</v>
      </c>
      <c r="CA781">
        <v>1</v>
      </c>
      <c r="CB781">
        <v>0.6</v>
      </c>
      <c r="CC781" s="3">
        <v>7.1269159999999998E-2</v>
      </c>
      <c r="CD781">
        <v>2.875</v>
      </c>
      <c r="CE781">
        <v>2.5</v>
      </c>
      <c r="CF781">
        <v>18</v>
      </c>
      <c r="CG781">
        <v>6</v>
      </c>
      <c r="CH781">
        <v>0</v>
      </c>
      <c r="CI781">
        <v>59.3</v>
      </c>
      <c r="CJ781">
        <v>908.11779999999999</v>
      </c>
    </row>
    <row r="782" spans="1:88">
      <c r="A782">
        <v>781</v>
      </c>
      <c r="B782" t="s">
        <v>0</v>
      </c>
      <c r="C782" t="s">
        <v>1</v>
      </c>
      <c r="D782" t="s">
        <v>122</v>
      </c>
      <c r="E782" t="s">
        <v>466</v>
      </c>
      <c r="F782" t="s">
        <v>286</v>
      </c>
      <c r="G782" t="s">
        <v>106</v>
      </c>
      <c r="H782" t="s">
        <v>153</v>
      </c>
      <c r="J782">
        <v>2</v>
      </c>
      <c r="K782" t="s">
        <v>146</v>
      </c>
      <c r="L782" t="s">
        <v>210</v>
      </c>
      <c r="M782" t="s">
        <v>593</v>
      </c>
      <c r="N782" t="s">
        <v>297</v>
      </c>
      <c r="O782">
        <v>172</v>
      </c>
      <c r="Q782">
        <v>555</v>
      </c>
      <c r="R782">
        <v>79</v>
      </c>
      <c r="S782">
        <v>4.25</v>
      </c>
      <c r="T782">
        <v>4.5599999999999996</v>
      </c>
      <c r="U782">
        <v>6.93</v>
      </c>
      <c r="V782">
        <v>2360.62</v>
      </c>
      <c r="W782">
        <v>544</v>
      </c>
      <c r="X782">
        <v>1.3332999999999999</v>
      </c>
      <c r="Y782">
        <v>401</v>
      </c>
      <c r="Z782">
        <v>5.89</v>
      </c>
      <c r="AJ782">
        <v>2</v>
      </c>
      <c r="AK782">
        <v>18</v>
      </c>
      <c r="AM782">
        <v>0</v>
      </c>
      <c r="AO782" t="s">
        <v>306</v>
      </c>
      <c r="AT782">
        <v>65</v>
      </c>
      <c r="AV782">
        <v>43.3</v>
      </c>
      <c r="AW782">
        <v>0.46875</v>
      </c>
      <c r="AX782">
        <v>3.75</v>
      </c>
      <c r="AY782">
        <v>60.625</v>
      </c>
      <c r="AZ782">
        <v>5.5</v>
      </c>
      <c r="BA782">
        <v>334.6</v>
      </c>
      <c r="BB782">
        <v>5.89</v>
      </c>
      <c r="BC782">
        <v>65</v>
      </c>
      <c r="BD782">
        <v>0.3125</v>
      </c>
      <c r="BE782">
        <v>2.75</v>
      </c>
      <c r="BF782">
        <v>54.375</v>
      </c>
      <c r="BG782">
        <v>3.625</v>
      </c>
      <c r="BH782">
        <v>66.17</v>
      </c>
      <c r="BI782">
        <v>9.6400009999999998</v>
      </c>
      <c r="BJ782">
        <v>29</v>
      </c>
      <c r="BL782">
        <v>400.77</v>
      </c>
      <c r="BM782">
        <v>93</v>
      </c>
      <c r="BN782">
        <v>206.86670000000001</v>
      </c>
      <c r="BO782">
        <v>2425</v>
      </c>
      <c r="BP782">
        <v>0</v>
      </c>
      <c r="BQ782">
        <v>59</v>
      </c>
      <c r="BR782">
        <v>59</v>
      </c>
      <c r="BS782">
        <v>58.95</v>
      </c>
      <c r="BT782">
        <v>0</v>
      </c>
      <c r="BV782">
        <v>0</v>
      </c>
      <c r="BW782" t="s">
        <v>655</v>
      </c>
      <c r="BX782">
        <v>0.17</v>
      </c>
      <c r="BY782">
        <v>10.0215</v>
      </c>
      <c r="BZ782">
        <v>0</v>
      </c>
      <c r="CA782">
        <v>1</v>
      </c>
      <c r="CB782">
        <v>0.6</v>
      </c>
      <c r="CC782" s="3">
        <v>7.1269159999999998E-2</v>
      </c>
      <c r="CD782">
        <v>2.875</v>
      </c>
      <c r="CE782">
        <v>2.5</v>
      </c>
      <c r="CF782">
        <v>18</v>
      </c>
      <c r="CG782">
        <v>6</v>
      </c>
      <c r="CH782">
        <v>0</v>
      </c>
      <c r="CI782">
        <v>58.95</v>
      </c>
      <c r="CJ782">
        <v>502.05739999999997</v>
      </c>
    </row>
    <row r="783" spans="1:88">
      <c r="A783">
        <v>782</v>
      </c>
      <c r="B783" t="s">
        <v>13</v>
      </c>
      <c r="C783" t="s">
        <v>1</v>
      </c>
      <c r="D783" t="s">
        <v>151</v>
      </c>
      <c r="E783" t="s">
        <v>151</v>
      </c>
      <c r="F783" t="s">
        <v>385</v>
      </c>
      <c r="G783" t="s">
        <v>106</v>
      </c>
      <c r="H783" t="s">
        <v>2</v>
      </c>
      <c r="J783">
        <v>2</v>
      </c>
      <c r="K783" t="s">
        <v>146</v>
      </c>
      <c r="L783" t="s">
        <v>119</v>
      </c>
      <c r="M783" t="s">
        <v>154</v>
      </c>
      <c r="N783" t="s">
        <v>150</v>
      </c>
      <c r="O783">
        <v>108</v>
      </c>
      <c r="Q783">
        <v>306</v>
      </c>
      <c r="R783">
        <v>68</v>
      </c>
      <c r="S783">
        <v>4.25</v>
      </c>
      <c r="T783">
        <v>2.9980000000000002</v>
      </c>
      <c r="U783">
        <v>6.07</v>
      </c>
      <c r="V783">
        <v>1298.4100000000001</v>
      </c>
      <c r="W783">
        <v>411</v>
      </c>
      <c r="X783">
        <v>1.3332999999999999</v>
      </c>
      <c r="Y783">
        <v>300</v>
      </c>
      <c r="Z783">
        <v>4.33</v>
      </c>
      <c r="AJ783">
        <v>2</v>
      </c>
      <c r="AK783">
        <v>18</v>
      </c>
      <c r="AM783">
        <v>0</v>
      </c>
      <c r="AO783" t="s">
        <v>4</v>
      </c>
      <c r="AT783">
        <v>43</v>
      </c>
      <c r="AV783">
        <v>36.4</v>
      </c>
      <c r="AW783">
        <v>0</v>
      </c>
      <c r="AX783">
        <v>0</v>
      </c>
      <c r="AY783">
        <v>32.5</v>
      </c>
      <c r="AZ783">
        <v>3.5</v>
      </c>
      <c r="BA783">
        <v>0</v>
      </c>
      <c r="BB783">
        <v>0</v>
      </c>
      <c r="BC783">
        <v>31</v>
      </c>
      <c r="BN783">
        <v>172.98339999999999</v>
      </c>
      <c r="BO783">
        <v>3468</v>
      </c>
      <c r="BP783">
        <v>0</v>
      </c>
      <c r="BQ783">
        <v>37</v>
      </c>
      <c r="BR783">
        <v>37</v>
      </c>
      <c r="BS783">
        <v>36.69</v>
      </c>
      <c r="BT783">
        <v>0</v>
      </c>
      <c r="BV783">
        <v>0</v>
      </c>
      <c r="BW783" t="s">
        <v>655</v>
      </c>
      <c r="BX783">
        <v>0.17</v>
      </c>
      <c r="BY783">
        <v>6.2373000000000003</v>
      </c>
      <c r="BZ783">
        <v>0</v>
      </c>
      <c r="CA783">
        <v>1</v>
      </c>
      <c r="CB783">
        <v>0.6</v>
      </c>
      <c r="CC783" s="3">
        <v>7.1269159999999998E-2</v>
      </c>
      <c r="CD783">
        <v>2.875</v>
      </c>
      <c r="CE783">
        <v>2.5</v>
      </c>
      <c r="CF783">
        <v>18</v>
      </c>
      <c r="CG783">
        <v>6</v>
      </c>
      <c r="CH783">
        <v>0</v>
      </c>
      <c r="CI783">
        <v>36.69</v>
      </c>
      <c r="CJ783">
        <v>262.79399999999998</v>
      </c>
    </row>
    <row r="784" spans="1:88">
      <c r="A784">
        <v>783</v>
      </c>
      <c r="B784" t="s">
        <v>0</v>
      </c>
      <c r="C784" t="s">
        <v>1</v>
      </c>
      <c r="D784" t="s">
        <v>328</v>
      </c>
      <c r="E784" t="s">
        <v>14</v>
      </c>
      <c r="F784" t="s">
        <v>329</v>
      </c>
      <c r="G784" t="s">
        <v>20</v>
      </c>
      <c r="H784" t="s">
        <v>328</v>
      </c>
      <c r="J784">
        <v>2</v>
      </c>
      <c r="K784" t="s">
        <v>9</v>
      </c>
      <c r="L784" t="s">
        <v>17</v>
      </c>
      <c r="M784" t="s">
        <v>18</v>
      </c>
      <c r="N784" t="s">
        <v>19</v>
      </c>
      <c r="O784">
        <v>182</v>
      </c>
      <c r="Q784">
        <v>1191</v>
      </c>
      <c r="R784">
        <v>154</v>
      </c>
      <c r="S784">
        <v>4.25</v>
      </c>
      <c r="T784">
        <v>4.7859999999999996</v>
      </c>
      <c r="U784">
        <v>7.12</v>
      </c>
      <c r="V784">
        <v>5061.92</v>
      </c>
      <c r="W784">
        <v>1096</v>
      </c>
      <c r="X784">
        <v>1.3332999999999999</v>
      </c>
      <c r="Y784">
        <v>828</v>
      </c>
      <c r="Z784">
        <v>6.11</v>
      </c>
      <c r="AJ784">
        <v>2</v>
      </c>
      <c r="AK784">
        <v>18</v>
      </c>
      <c r="AM784">
        <v>0</v>
      </c>
      <c r="AO784" t="s">
        <v>331</v>
      </c>
      <c r="AT784">
        <v>69</v>
      </c>
      <c r="AV784">
        <v>88.5</v>
      </c>
      <c r="AW784" t="s">
        <v>6</v>
      </c>
      <c r="AX784" t="s">
        <v>6</v>
      </c>
      <c r="AY784" t="s">
        <v>6</v>
      </c>
      <c r="AZ784" t="s">
        <v>6</v>
      </c>
      <c r="BA784" t="s">
        <v>6</v>
      </c>
      <c r="BB784" t="s">
        <v>6</v>
      </c>
      <c r="BC784" t="s">
        <v>6</v>
      </c>
      <c r="BD784" t="s">
        <v>6</v>
      </c>
      <c r="BE784" t="s">
        <v>6</v>
      </c>
      <c r="BF784" t="s">
        <v>6</v>
      </c>
      <c r="BG784" t="s">
        <v>6</v>
      </c>
      <c r="BH784" t="s">
        <v>6</v>
      </c>
      <c r="BI784" t="s">
        <v>6</v>
      </c>
      <c r="BJ784" t="s">
        <v>6</v>
      </c>
      <c r="BN784">
        <v>663.95</v>
      </c>
      <c r="BO784">
        <v>2716</v>
      </c>
      <c r="BP784">
        <v>0</v>
      </c>
      <c r="BQ784">
        <v>62</v>
      </c>
      <c r="BR784">
        <v>62</v>
      </c>
      <c r="BS784">
        <v>62.43</v>
      </c>
      <c r="BT784">
        <v>0</v>
      </c>
      <c r="BV784">
        <v>6</v>
      </c>
      <c r="BW784" t="s">
        <v>655</v>
      </c>
      <c r="BX784">
        <v>0.27933340000000001</v>
      </c>
      <c r="BY784">
        <v>17.438780000000001</v>
      </c>
      <c r="BZ784">
        <v>0</v>
      </c>
      <c r="CA784">
        <v>1</v>
      </c>
      <c r="CB784">
        <v>0.6</v>
      </c>
      <c r="CC784" s="3">
        <v>7.1269159999999998E-2</v>
      </c>
      <c r="CD784">
        <v>2.875</v>
      </c>
      <c r="CE784">
        <v>2.5</v>
      </c>
      <c r="CF784">
        <v>18</v>
      </c>
      <c r="CG784">
        <v>6</v>
      </c>
      <c r="CH784">
        <v>0</v>
      </c>
      <c r="CI784">
        <v>62.43</v>
      </c>
      <c r="CJ784">
        <v>1085.0809999999999</v>
      </c>
    </row>
    <row r="785" spans="1:88">
      <c r="A785">
        <v>784</v>
      </c>
      <c r="B785" t="s">
        <v>0</v>
      </c>
      <c r="C785" t="s">
        <v>1</v>
      </c>
      <c r="D785" t="s">
        <v>96</v>
      </c>
      <c r="E785" t="s">
        <v>168</v>
      </c>
      <c r="F785" t="s">
        <v>198</v>
      </c>
      <c r="G785" t="s">
        <v>106</v>
      </c>
      <c r="H785" t="s">
        <v>162</v>
      </c>
      <c r="J785">
        <v>2</v>
      </c>
      <c r="K785" t="s">
        <v>146</v>
      </c>
      <c r="L785" t="s">
        <v>208</v>
      </c>
      <c r="M785" t="s">
        <v>209</v>
      </c>
      <c r="N785" t="s">
        <v>210</v>
      </c>
      <c r="O785">
        <v>189</v>
      </c>
      <c r="Q785">
        <v>627</v>
      </c>
      <c r="R785">
        <v>81</v>
      </c>
      <c r="S785">
        <v>4.25</v>
      </c>
      <c r="T785">
        <v>4.9409999999999998</v>
      </c>
      <c r="U785">
        <v>7.23</v>
      </c>
      <c r="V785">
        <v>2663.55</v>
      </c>
      <c r="W785">
        <v>584</v>
      </c>
      <c r="X785">
        <v>1.3332999999999999</v>
      </c>
      <c r="Y785">
        <v>425</v>
      </c>
      <c r="Z785">
        <v>6.27</v>
      </c>
      <c r="AJ785">
        <v>2</v>
      </c>
      <c r="AK785">
        <v>18</v>
      </c>
      <c r="AM785">
        <v>0</v>
      </c>
      <c r="AO785" t="s">
        <v>166</v>
      </c>
      <c r="AT785">
        <v>71</v>
      </c>
      <c r="AV785">
        <v>44.8</v>
      </c>
      <c r="AW785">
        <v>0.40625</v>
      </c>
      <c r="AX785">
        <v>3.75</v>
      </c>
      <c r="AY785">
        <v>45.75</v>
      </c>
      <c r="AZ785">
        <v>5.125</v>
      </c>
      <c r="BA785">
        <v>212.4</v>
      </c>
      <c r="BB785">
        <v>6.23</v>
      </c>
      <c r="BC785">
        <v>43</v>
      </c>
      <c r="BD785">
        <v>0.40625</v>
      </c>
      <c r="BE785">
        <v>3.75</v>
      </c>
      <c r="BF785">
        <v>45.75</v>
      </c>
      <c r="BG785">
        <v>5.125</v>
      </c>
      <c r="BH785">
        <v>212.4</v>
      </c>
      <c r="BI785">
        <v>6.23</v>
      </c>
      <c r="BJ785">
        <v>43</v>
      </c>
      <c r="BL785">
        <v>424.8</v>
      </c>
      <c r="BM785">
        <v>86</v>
      </c>
      <c r="BN785">
        <v>214</v>
      </c>
      <c r="BO785">
        <v>2266</v>
      </c>
      <c r="BP785">
        <v>0</v>
      </c>
      <c r="BQ785">
        <v>65</v>
      </c>
      <c r="BR785">
        <v>65</v>
      </c>
      <c r="BS785">
        <v>64.86</v>
      </c>
      <c r="BT785">
        <v>0</v>
      </c>
      <c r="BV785">
        <v>0</v>
      </c>
      <c r="BW785" t="s">
        <v>655</v>
      </c>
      <c r="BX785">
        <v>0.17</v>
      </c>
      <c r="BY785">
        <v>11.026199999999999</v>
      </c>
      <c r="BZ785">
        <v>0</v>
      </c>
      <c r="CA785">
        <v>1</v>
      </c>
      <c r="CB785">
        <v>0.6</v>
      </c>
      <c r="CC785" s="3">
        <v>7.1269159999999998E-2</v>
      </c>
      <c r="CD785">
        <v>2.875</v>
      </c>
      <c r="CE785">
        <v>2.5</v>
      </c>
      <c r="CF785">
        <v>18</v>
      </c>
      <c r="CG785">
        <v>6</v>
      </c>
      <c r="CH785">
        <v>0</v>
      </c>
      <c r="CI785">
        <v>64.86</v>
      </c>
      <c r="CJ785">
        <v>570.8809</v>
      </c>
    </row>
    <row r="786" spans="1:88">
      <c r="A786">
        <v>785</v>
      </c>
      <c r="B786" t="s">
        <v>0</v>
      </c>
      <c r="C786" t="s">
        <v>1</v>
      </c>
      <c r="D786" t="s">
        <v>123</v>
      </c>
      <c r="E786" t="s">
        <v>176</v>
      </c>
      <c r="F786" t="s">
        <v>118</v>
      </c>
      <c r="G786" t="s">
        <v>106</v>
      </c>
      <c r="H786" t="s">
        <v>386</v>
      </c>
      <c r="J786">
        <v>2</v>
      </c>
      <c r="K786" t="s">
        <v>108</v>
      </c>
      <c r="L786" t="s">
        <v>167</v>
      </c>
      <c r="M786" t="s">
        <v>226</v>
      </c>
      <c r="N786" t="s">
        <v>227</v>
      </c>
      <c r="O786">
        <v>113</v>
      </c>
      <c r="Q786">
        <v>552</v>
      </c>
      <c r="R786">
        <v>111</v>
      </c>
      <c r="S786">
        <v>4.25</v>
      </c>
      <c r="T786">
        <v>3.1280000000000001</v>
      </c>
      <c r="U786">
        <v>6.18</v>
      </c>
      <c r="V786">
        <v>2346.29</v>
      </c>
      <c r="W786">
        <v>686</v>
      </c>
      <c r="X786">
        <v>1.3332999999999999</v>
      </c>
      <c r="Y786">
        <v>526</v>
      </c>
      <c r="Z786">
        <v>4.46</v>
      </c>
      <c r="AJ786">
        <v>2</v>
      </c>
      <c r="AK786">
        <v>18</v>
      </c>
      <c r="AM786">
        <v>0</v>
      </c>
      <c r="AO786" t="s">
        <v>357</v>
      </c>
      <c r="AT786">
        <v>45</v>
      </c>
      <c r="AV786">
        <v>63.8</v>
      </c>
      <c r="AW786">
        <v>0.40625</v>
      </c>
      <c r="AX786">
        <v>3.75</v>
      </c>
      <c r="AY786">
        <v>33.625</v>
      </c>
      <c r="AZ786">
        <v>3.625</v>
      </c>
      <c r="BA786">
        <v>289.33</v>
      </c>
      <c r="BB786">
        <v>4.57</v>
      </c>
      <c r="BC786">
        <v>32</v>
      </c>
      <c r="BD786">
        <v>0.375</v>
      </c>
      <c r="BE786">
        <v>3.75</v>
      </c>
      <c r="BF786">
        <v>27.25</v>
      </c>
      <c r="BG786">
        <v>3.375</v>
      </c>
      <c r="BH786">
        <v>236.74</v>
      </c>
      <c r="BI786">
        <v>4.55</v>
      </c>
      <c r="BJ786">
        <v>24</v>
      </c>
      <c r="BL786">
        <v>526.07000000000005</v>
      </c>
      <c r="BM786">
        <v>55</v>
      </c>
      <c r="BN786">
        <v>306.73340000000002</v>
      </c>
      <c r="BO786">
        <v>1103</v>
      </c>
      <c r="BP786">
        <v>0</v>
      </c>
      <c r="BQ786">
        <v>38</v>
      </c>
      <c r="BR786">
        <v>38</v>
      </c>
      <c r="BS786">
        <v>38.43</v>
      </c>
      <c r="BT786">
        <v>0</v>
      </c>
      <c r="BV786">
        <v>0</v>
      </c>
      <c r="BW786" t="s">
        <v>655</v>
      </c>
      <c r="BX786">
        <v>0.17</v>
      </c>
      <c r="BY786">
        <v>6.5331000000000001</v>
      </c>
      <c r="BZ786">
        <v>0</v>
      </c>
      <c r="CA786">
        <v>1</v>
      </c>
      <c r="CB786">
        <v>0.6</v>
      </c>
      <c r="CC786" s="3">
        <v>7.1269159999999998E-2</v>
      </c>
      <c r="CD786">
        <v>2.875</v>
      </c>
      <c r="CE786">
        <v>2.5</v>
      </c>
      <c r="CF786">
        <v>18</v>
      </c>
      <c r="CG786">
        <v>6</v>
      </c>
      <c r="CH786">
        <v>0</v>
      </c>
      <c r="CI786">
        <v>38.43</v>
      </c>
      <c r="CJ786">
        <v>481.69940000000003</v>
      </c>
    </row>
    <row r="787" spans="1:88">
      <c r="A787">
        <v>786</v>
      </c>
      <c r="B787" t="s">
        <v>0</v>
      </c>
      <c r="C787" t="s">
        <v>1</v>
      </c>
      <c r="D787" t="s">
        <v>393</v>
      </c>
      <c r="E787" t="s">
        <v>96</v>
      </c>
      <c r="F787" t="s">
        <v>394</v>
      </c>
      <c r="G787" t="s">
        <v>106</v>
      </c>
      <c r="H787" t="s">
        <v>395</v>
      </c>
      <c r="J787">
        <v>2</v>
      </c>
      <c r="K787" t="s">
        <v>108</v>
      </c>
      <c r="L787" t="s">
        <v>293</v>
      </c>
      <c r="M787" t="s">
        <v>100</v>
      </c>
      <c r="N787" t="s">
        <v>101</v>
      </c>
      <c r="O787">
        <v>131</v>
      </c>
      <c r="Q787">
        <v>582</v>
      </c>
      <c r="R787">
        <v>103</v>
      </c>
      <c r="S787">
        <v>4.25</v>
      </c>
      <c r="T787">
        <v>3.5859999999999999</v>
      </c>
      <c r="U787">
        <v>6.37</v>
      </c>
      <c r="V787">
        <v>2473.15</v>
      </c>
      <c r="W787">
        <v>655</v>
      </c>
      <c r="X787">
        <v>1.3332999999999999</v>
      </c>
      <c r="Y787">
        <v>504</v>
      </c>
      <c r="Z787">
        <v>4.91</v>
      </c>
      <c r="AJ787">
        <v>2</v>
      </c>
      <c r="AK787">
        <v>18</v>
      </c>
      <c r="AM787">
        <v>0</v>
      </c>
      <c r="AO787" t="s">
        <v>105</v>
      </c>
      <c r="AT787">
        <v>51</v>
      </c>
      <c r="AV787">
        <v>58.7</v>
      </c>
      <c r="AW787">
        <v>0.46875</v>
      </c>
      <c r="AX787">
        <v>3.75</v>
      </c>
      <c r="AY787">
        <v>50.5</v>
      </c>
      <c r="AZ787">
        <v>4.625</v>
      </c>
      <c r="BA787">
        <v>401.38</v>
      </c>
      <c r="BB787">
        <v>4.91</v>
      </c>
      <c r="BC787">
        <v>54</v>
      </c>
      <c r="BD787">
        <v>0.3125</v>
      </c>
      <c r="BE787">
        <v>2.75</v>
      </c>
      <c r="BF787">
        <v>35.125</v>
      </c>
      <c r="BG787">
        <v>3</v>
      </c>
      <c r="BH787">
        <v>102.31</v>
      </c>
      <c r="BI787">
        <v>6.24</v>
      </c>
      <c r="BJ787">
        <v>19</v>
      </c>
      <c r="BL787">
        <v>503.69</v>
      </c>
      <c r="BM787">
        <v>72</v>
      </c>
      <c r="BN787">
        <v>281.76670000000001</v>
      </c>
      <c r="BO787">
        <v>1307</v>
      </c>
      <c r="BP787">
        <v>0</v>
      </c>
      <c r="BQ787">
        <v>45</v>
      </c>
      <c r="BR787">
        <v>45</v>
      </c>
      <c r="BS787">
        <v>44.69</v>
      </c>
      <c r="BT787">
        <v>0</v>
      </c>
      <c r="BV787">
        <v>0</v>
      </c>
      <c r="BW787" t="s">
        <v>655</v>
      </c>
      <c r="BX787">
        <v>0.17</v>
      </c>
      <c r="BY787">
        <v>7.5972999999999997</v>
      </c>
      <c r="BZ787">
        <v>0</v>
      </c>
      <c r="CA787">
        <v>1</v>
      </c>
      <c r="CB787">
        <v>0.6</v>
      </c>
      <c r="CC787" s="3">
        <v>7.1269159999999998E-2</v>
      </c>
      <c r="CD787">
        <v>2.875</v>
      </c>
      <c r="CE787">
        <v>2.5</v>
      </c>
      <c r="CF787">
        <v>18</v>
      </c>
      <c r="CG787">
        <v>6</v>
      </c>
      <c r="CH787">
        <v>0</v>
      </c>
      <c r="CI787">
        <v>44.69</v>
      </c>
      <c r="CJ787">
        <v>515.57489999999996</v>
      </c>
    </row>
    <row r="788" spans="1:88">
      <c r="A788">
        <v>787</v>
      </c>
      <c r="B788" t="s">
        <v>0</v>
      </c>
      <c r="C788" t="s">
        <v>1</v>
      </c>
      <c r="D788" t="s">
        <v>181</v>
      </c>
      <c r="E788" t="s">
        <v>109</v>
      </c>
      <c r="F788" t="s">
        <v>182</v>
      </c>
      <c r="G788" t="s">
        <v>106</v>
      </c>
      <c r="H788" t="s">
        <v>183</v>
      </c>
      <c r="J788">
        <v>2</v>
      </c>
      <c r="K788" t="s">
        <v>108</v>
      </c>
      <c r="L788" t="s">
        <v>619</v>
      </c>
      <c r="M788" t="s">
        <v>620</v>
      </c>
      <c r="N788" t="s">
        <v>612</v>
      </c>
      <c r="O788">
        <v>211</v>
      </c>
      <c r="Q788">
        <v>863</v>
      </c>
      <c r="R788">
        <v>106</v>
      </c>
      <c r="S788">
        <v>4.25</v>
      </c>
      <c r="T788">
        <v>5.4169999999999998</v>
      </c>
      <c r="U788">
        <v>7.42</v>
      </c>
      <c r="V788">
        <v>3669.74</v>
      </c>
      <c r="W788">
        <v>786</v>
      </c>
      <c r="X788">
        <v>1.5</v>
      </c>
      <c r="Y788">
        <v>531</v>
      </c>
      <c r="Z788">
        <v>6.91</v>
      </c>
      <c r="AJ788">
        <v>2</v>
      </c>
      <c r="AK788">
        <v>18</v>
      </c>
      <c r="AM788">
        <v>0</v>
      </c>
      <c r="AO788" t="s">
        <v>186</v>
      </c>
      <c r="AT788">
        <v>79</v>
      </c>
      <c r="AV788">
        <v>55.8</v>
      </c>
      <c r="AW788" t="s">
        <v>6</v>
      </c>
      <c r="AX788" t="s">
        <v>6</v>
      </c>
      <c r="AY788" t="s">
        <v>6</v>
      </c>
      <c r="AZ788" t="s">
        <v>6</v>
      </c>
      <c r="BA788" t="s">
        <v>6</v>
      </c>
      <c r="BB788" t="s">
        <v>6</v>
      </c>
      <c r="BC788" t="s">
        <v>6</v>
      </c>
      <c r="BD788" t="s">
        <v>6</v>
      </c>
      <c r="BE788" t="s">
        <v>6</v>
      </c>
      <c r="BF788" t="s">
        <v>6</v>
      </c>
      <c r="BG788" t="s">
        <v>6</v>
      </c>
      <c r="BH788" t="s">
        <v>6</v>
      </c>
      <c r="BI788" t="s">
        <v>6</v>
      </c>
      <c r="BJ788" t="s">
        <v>6</v>
      </c>
      <c r="BN788">
        <v>267.5</v>
      </c>
      <c r="BO788">
        <v>1450</v>
      </c>
      <c r="BP788">
        <v>0</v>
      </c>
      <c r="BQ788">
        <v>73</v>
      </c>
      <c r="BR788">
        <v>73</v>
      </c>
      <c r="BS788">
        <v>72.52</v>
      </c>
      <c r="BT788">
        <v>0</v>
      </c>
      <c r="BV788">
        <v>0</v>
      </c>
      <c r="BW788" t="s">
        <v>655</v>
      </c>
      <c r="BX788">
        <v>0.17</v>
      </c>
      <c r="BY788">
        <v>12.3284</v>
      </c>
      <c r="BZ788">
        <v>0</v>
      </c>
      <c r="CA788">
        <v>1</v>
      </c>
      <c r="CB788">
        <v>0.6</v>
      </c>
      <c r="CC788" s="3">
        <v>7.1269159999999998E-2</v>
      </c>
      <c r="CD788">
        <v>2.875</v>
      </c>
      <c r="CE788">
        <v>2.5</v>
      </c>
      <c r="CF788">
        <v>18</v>
      </c>
      <c r="CG788">
        <v>6</v>
      </c>
      <c r="CH788">
        <v>0</v>
      </c>
      <c r="CI788">
        <v>72.52</v>
      </c>
      <c r="CJ788">
        <v>795.29349999999999</v>
      </c>
    </row>
    <row r="789" spans="1:88">
      <c r="A789">
        <v>788</v>
      </c>
      <c r="B789" t="s">
        <v>13</v>
      </c>
      <c r="C789" t="s">
        <v>1</v>
      </c>
      <c r="D789" t="s">
        <v>272</v>
      </c>
      <c r="E789" t="s">
        <v>219</v>
      </c>
      <c r="F789" t="s">
        <v>273</v>
      </c>
      <c r="G789" t="s">
        <v>106</v>
      </c>
      <c r="H789" t="s">
        <v>274</v>
      </c>
      <c r="J789">
        <v>2</v>
      </c>
      <c r="K789" t="s">
        <v>108</v>
      </c>
      <c r="L789" t="s">
        <v>369</v>
      </c>
      <c r="M789" t="s">
        <v>220</v>
      </c>
      <c r="N789" t="s">
        <v>221</v>
      </c>
      <c r="O789">
        <v>101</v>
      </c>
      <c r="Q789">
        <v>435</v>
      </c>
      <c r="R789">
        <v>98</v>
      </c>
      <c r="S789">
        <v>4.25</v>
      </c>
      <c r="T789">
        <v>2.8119999999999998</v>
      </c>
      <c r="U789">
        <v>5.92</v>
      </c>
      <c r="V789">
        <v>1846.96</v>
      </c>
      <c r="W789">
        <v>578</v>
      </c>
      <c r="X789">
        <v>1.3332999999999999</v>
      </c>
      <c r="Y789">
        <v>446</v>
      </c>
      <c r="Z789">
        <v>4.1399999999999997</v>
      </c>
      <c r="AJ789">
        <v>2</v>
      </c>
      <c r="AK789">
        <v>18</v>
      </c>
      <c r="AM789">
        <v>0</v>
      </c>
      <c r="AO789" t="s">
        <v>275</v>
      </c>
      <c r="AT789">
        <v>40</v>
      </c>
      <c r="AV789">
        <v>55.4</v>
      </c>
      <c r="AW789">
        <v>0</v>
      </c>
      <c r="AX789">
        <v>0</v>
      </c>
      <c r="AY789">
        <v>45.5</v>
      </c>
      <c r="AZ789">
        <v>3.875</v>
      </c>
      <c r="BA789">
        <v>0</v>
      </c>
      <c r="BB789">
        <v>0</v>
      </c>
      <c r="BC789">
        <v>49</v>
      </c>
      <c r="BN789">
        <v>265.7167</v>
      </c>
      <c r="BO789">
        <v>1470</v>
      </c>
      <c r="BP789">
        <v>0</v>
      </c>
      <c r="BQ789">
        <v>34</v>
      </c>
      <c r="BR789">
        <v>34</v>
      </c>
      <c r="BS789">
        <v>34.26</v>
      </c>
      <c r="BT789">
        <v>0</v>
      </c>
      <c r="BV789">
        <v>0</v>
      </c>
      <c r="BW789" t="s">
        <v>655</v>
      </c>
      <c r="BX789">
        <v>0.17</v>
      </c>
      <c r="BY789">
        <v>5.8242000000000003</v>
      </c>
      <c r="BZ789">
        <v>0</v>
      </c>
      <c r="CA789">
        <v>1</v>
      </c>
      <c r="CB789">
        <v>0.6</v>
      </c>
      <c r="CC789" s="3">
        <v>7.1269159999999998E-2</v>
      </c>
      <c r="CD789">
        <v>2.875</v>
      </c>
      <c r="CE789">
        <v>2.5</v>
      </c>
      <c r="CF789">
        <v>18</v>
      </c>
      <c r="CG789">
        <v>6</v>
      </c>
      <c r="CH789">
        <v>0</v>
      </c>
      <c r="CI789">
        <v>34.26</v>
      </c>
      <c r="CJ789">
        <v>373.27199999999999</v>
      </c>
    </row>
    <row r="790" spans="1:88">
      <c r="A790">
        <v>789</v>
      </c>
      <c r="B790" t="s">
        <v>0</v>
      </c>
      <c r="C790" t="s">
        <v>1</v>
      </c>
      <c r="D790" t="s">
        <v>201</v>
      </c>
      <c r="E790" t="s">
        <v>363</v>
      </c>
      <c r="F790" t="s">
        <v>486</v>
      </c>
      <c r="G790" t="s">
        <v>106</v>
      </c>
      <c r="H790" t="s">
        <v>575</v>
      </c>
      <c r="J790">
        <v>2</v>
      </c>
      <c r="K790" t="s">
        <v>108</v>
      </c>
      <c r="L790" t="s">
        <v>120</v>
      </c>
      <c r="M790" t="s">
        <v>461</v>
      </c>
      <c r="N790" t="s">
        <v>165</v>
      </c>
      <c r="O790">
        <v>145</v>
      </c>
      <c r="Q790">
        <v>666</v>
      </c>
      <c r="R790">
        <v>107</v>
      </c>
      <c r="S790">
        <v>4.25</v>
      </c>
      <c r="T790">
        <v>3.9279999999999999</v>
      </c>
      <c r="U790">
        <v>6.63</v>
      </c>
      <c r="V790">
        <v>2831.35</v>
      </c>
      <c r="W790">
        <v>709</v>
      </c>
      <c r="X790">
        <v>1.3332999999999999</v>
      </c>
      <c r="Y790">
        <v>538</v>
      </c>
      <c r="Z790">
        <v>5.26</v>
      </c>
      <c r="AJ790">
        <v>2</v>
      </c>
      <c r="AK790">
        <v>18</v>
      </c>
      <c r="AM790">
        <v>0</v>
      </c>
      <c r="AO790" t="s">
        <v>576</v>
      </c>
      <c r="AT790">
        <v>56</v>
      </c>
      <c r="AV790">
        <v>61.3</v>
      </c>
      <c r="AW790">
        <v>0.4375</v>
      </c>
      <c r="AX790">
        <v>3.75</v>
      </c>
      <c r="AY790">
        <v>48</v>
      </c>
      <c r="AZ790">
        <v>4.625</v>
      </c>
      <c r="BA790">
        <v>296.04000000000002</v>
      </c>
      <c r="BB790">
        <v>5.55</v>
      </c>
      <c r="BC790">
        <v>49</v>
      </c>
      <c r="BD790">
        <v>0.40625</v>
      </c>
      <c r="BE790">
        <v>3.75</v>
      </c>
      <c r="BF790">
        <v>40.125</v>
      </c>
      <c r="BG790">
        <v>4.25</v>
      </c>
      <c r="BH790">
        <v>242.23</v>
      </c>
      <c r="BI790">
        <v>5.46</v>
      </c>
      <c r="BJ790">
        <v>38</v>
      </c>
      <c r="BL790">
        <v>538.27</v>
      </c>
      <c r="BM790">
        <v>86</v>
      </c>
      <c r="BN790">
        <v>294.25009999999997</v>
      </c>
      <c r="BO790">
        <v>1198</v>
      </c>
      <c r="BP790">
        <v>0</v>
      </c>
      <c r="BQ790">
        <v>50</v>
      </c>
      <c r="BR790">
        <v>50</v>
      </c>
      <c r="BS790">
        <v>49.56</v>
      </c>
      <c r="BT790">
        <v>0</v>
      </c>
      <c r="BV790">
        <v>0</v>
      </c>
      <c r="BW790" t="s">
        <v>655</v>
      </c>
      <c r="BX790">
        <v>0.17</v>
      </c>
      <c r="BY790">
        <v>8.4252009999999995</v>
      </c>
      <c r="BZ790">
        <v>0</v>
      </c>
      <c r="CA790">
        <v>1</v>
      </c>
      <c r="CB790">
        <v>0.6</v>
      </c>
      <c r="CC790" s="3">
        <v>7.1269159999999998E-2</v>
      </c>
      <c r="CD790">
        <v>2.875</v>
      </c>
      <c r="CE790">
        <v>2.5</v>
      </c>
      <c r="CF790">
        <v>18</v>
      </c>
      <c r="CG790">
        <v>6</v>
      </c>
      <c r="CH790">
        <v>0</v>
      </c>
      <c r="CI790">
        <v>49.56</v>
      </c>
      <c r="CJ790">
        <v>596.48329999999999</v>
      </c>
    </row>
    <row r="791" spans="1:88">
      <c r="A791">
        <v>790</v>
      </c>
      <c r="B791" t="s">
        <v>13</v>
      </c>
      <c r="C791" t="s">
        <v>1</v>
      </c>
      <c r="D791" t="s">
        <v>212</v>
      </c>
      <c r="E791" t="s">
        <v>133</v>
      </c>
      <c r="F791" t="s">
        <v>213</v>
      </c>
      <c r="G791" t="s">
        <v>214</v>
      </c>
      <c r="H791" t="s">
        <v>215</v>
      </c>
      <c r="J791">
        <v>2</v>
      </c>
      <c r="K791" t="s">
        <v>108</v>
      </c>
      <c r="L791" t="s">
        <v>353</v>
      </c>
      <c r="M791" t="s">
        <v>194</v>
      </c>
      <c r="N791" t="s">
        <v>195</v>
      </c>
      <c r="O791">
        <v>143</v>
      </c>
      <c r="Q791">
        <v>731</v>
      </c>
      <c r="R791">
        <v>119</v>
      </c>
      <c r="S791">
        <v>4.25</v>
      </c>
      <c r="T791">
        <v>3.88</v>
      </c>
      <c r="U791">
        <v>6.6</v>
      </c>
      <c r="V791">
        <v>3105.51</v>
      </c>
      <c r="W791">
        <v>782</v>
      </c>
      <c r="X791">
        <v>1.3332999999999999</v>
      </c>
      <c r="Y791">
        <v>596</v>
      </c>
      <c r="Z791">
        <v>5.21</v>
      </c>
      <c r="AJ791">
        <v>2</v>
      </c>
      <c r="AK791">
        <v>18</v>
      </c>
      <c r="AM791">
        <v>0</v>
      </c>
      <c r="AO791" t="s">
        <v>216</v>
      </c>
      <c r="AT791">
        <v>55</v>
      </c>
      <c r="AV791">
        <v>68.099999999999994</v>
      </c>
      <c r="AW791">
        <v>0.4375</v>
      </c>
      <c r="AX791">
        <v>3.75</v>
      </c>
      <c r="AY791">
        <v>47.75</v>
      </c>
      <c r="AZ791">
        <v>4.5</v>
      </c>
      <c r="BA791">
        <v>298.02999999999997</v>
      </c>
      <c r="BB791">
        <v>5.52</v>
      </c>
      <c r="BC791">
        <v>48</v>
      </c>
      <c r="BD791">
        <v>0.4375</v>
      </c>
      <c r="BE791">
        <v>3.75</v>
      </c>
      <c r="BF791">
        <v>47.75</v>
      </c>
      <c r="BG791">
        <v>4.5</v>
      </c>
      <c r="BH791">
        <v>298.02999999999997</v>
      </c>
      <c r="BI791">
        <v>5.52</v>
      </c>
      <c r="BJ791">
        <v>48</v>
      </c>
      <c r="BL791">
        <v>596.05999999999995</v>
      </c>
      <c r="BM791">
        <v>96</v>
      </c>
      <c r="BN791">
        <v>330.89330000000001</v>
      </c>
      <c r="BO791">
        <v>1189</v>
      </c>
      <c r="BP791">
        <v>0</v>
      </c>
      <c r="BQ791">
        <v>49</v>
      </c>
      <c r="BR791">
        <v>49</v>
      </c>
      <c r="BS791">
        <v>48.86</v>
      </c>
      <c r="BT791">
        <v>0</v>
      </c>
      <c r="BV791">
        <v>0</v>
      </c>
      <c r="BW791" t="s">
        <v>655</v>
      </c>
      <c r="BX791">
        <v>0.17</v>
      </c>
      <c r="BY791">
        <v>8.3062000000000005</v>
      </c>
      <c r="BZ791">
        <v>0</v>
      </c>
      <c r="CA791">
        <v>1</v>
      </c>
      <c r="CB791">
        <v>0.6</v>
      </c>
      <c r="CC791" s="3">
        <v>7.1269159999999998E-2</v>
      </c>
      <c r="CD791">
        <v>2.875</v>
      </c>
      <c r="CE791">
        <v>2.5</v>
      </c>
      <c r="CF791">
        <v>18</v>
      </c>
      <c r="CG791">
        <v>6</v>
      </c>
      <c r="CH791">
        <v>0</v>
      </c>
      <c r="CI791">
        <v>48.86</v>
      </c>
      <c r="CJ791">
        <v>654.22029999999995</v>
      </c>
    </row>
    <row r="792" spans="1:88">
      <c r="A792">
        <v>791</v>
      </c>
      <c r="B792" t="s">
        <v>0</v>
      </c>
      <c r="C792" t="s">
        <v>1</v>
      </c>
      <c r="D792" t="s">
        <v>96</v>
      </c>
      <c r="E792" t="s">
        <v>169</v>
      </c>
      <c r="F792" t="s">
        <v>198</v>
      </c>
      <c r="G792" t="s">
        <v>106</v>
      </c>
      <c r="H792" t="s">
        <v>162</v>
      </c>
      <c r="J792">
        <v>2</v>
      </c>
      <c r="K792" t="s">
        <v>146</v>
      </c>
      <c r="L792" t="s">
        <v>381</v>
      </c>
      <c r="M792" t="s">
        <v>173</v>
      </c>
      <c r="N792" t="s">
        <v>174</v>
      </c>
      <c r="O792">
        <v>119</v>
      </c>
      <c r="Q792">
        <v>408</v>
      </c>
      <c r="R792">
        <v>81</v>
      </c>
      <c r="S792">
        <v>4.25</v>
      </c>
      <c r="T792">
        <v>3.2829999999999999</v>
      </c>
      <c r="U792">
        <v>6.15</v>
      </c>
      <c r="V792">
        <v>1735.48</v>
      </c>
      <c r="W792">
        <v>497</v>
      </c>
      <c r="X792">
        <v>1.3332999999999999</v>
      </c>
      <c r="Y792">
        <v>376</v>
      </c>
      <c r="Z792">
        <v>4.6100000000000003</v>
      </c>
      <c r="AJ792">
        <v>2</v>
      </c>
      <c r="AK792">
        <v>18</v>
      </c>
      <c r="AM792">
        <v>0</v>
      </c>
      <c r="AO792" t="s">
        <v>166</v>
      </c>
      <c r="AT792">
        <v>47</v>
      </c>
      <c r="AV792">
        <v>44.8</v>
      </c>
      <c r="AW792">
        <v>0</v>
      </c>
      <c r="AX792">
        <v>0</v>
      </c>
      <c r="AY792">
        <v>53.875</v>
      </c>
      <c r="AZ792">
        <v>4.375</v>
      </c>
      <c r="BA792">
        <v>0</v>
      </c>
      <c r="BB792">
        <v>0</v>
      </c>
      <c r="BC792">
        <v>58</v>
      </c>
      <c r="BN792">
        <v>214</v>
      </c>
      <c r="BO792">
        <v>2266</v>
      </c>
      <c r="BP792">
        <v>0</v>
      </c>
      <c r="BQ792">
        <v>41</v>
      </c>
      <c r="BR792">
        <v>41</v>
      </c>
      <c r="BS792">
        <v>40.520000000000003</v>
      </c>
      <c r="BT792">
        <v>0</v>
      </c>
      <c r="BV792">
        <v>0</v>
      </c>
      <c r="BW792" t="s">
        <v>655</v>
      </c>
      <c r="BX792">
        <v>0.17</v>
      </c>
      <c r="BY792">
        <v>6.8883999999999999</v>
      </c>
      <c r="BZ792">
        <v>0</v>
      </c>
      <c r="CA792">
        <v>1</v>
      </c>
      <c r="CB792">
        <v>0.6</v>
      </c>
      <c r="CC792" s="3">
        <v>7.1269159999999998E-2</v>
      </c>
      <c r="CD792">
        <v>2.875</v>
      </c>
      <c r="CE792">
        <v>2.5</v>
      </c>
      <c r="CF792">
        <v>18</v>
      </c>
      <c r="CG792">
        <v>6</v>
      </c>
      <c r="CH792">
        <v>0</v>
      </c>
      <c r="CI792">
        <v>40.520000000000003</v>
      </c>
      <c r="CJ792">
        <v>356.64659999999998</v>
      </c>
    </row>
    <row r="793" spans="1:88">
      <c r="A793">
        <v>792</v>
      </c>
      <c r="B793" t="s">
        <v>0</v>
      </c>
      <c r="C793" t="s">
        <v>1</v>
      </c>
      <c r="D793" t="s">
        <v>145</v>
      </c>
      <c r="E793" t="s">
        <v>338</v>
      </c>
      <c r="F793" t="s">
        <v>206</v>
      </c>
      <c r="G793" t="s">
        <v>106</v>
      </c>
      <c r="H793" t="s">
        <v>207</v>
      </c>
      <c r="J793">
        <v>2</v>
      </c>
      <c r="K793" t="s">
        <v>146</v>
      </c>
      <c r="L793" t="s">
        <v>143</v>
      </c>
      <c r="M793" t="s">
        <v>339</v>
      </c>
      <c r="N793" t="s">
        <v>340</v>
      </c>
      <c r="O793">
        <v>135</v>
      </c>
      <c r="Q793">
        <v>542</v>
      </c>
      <c r="R793">
        <v>94</v>
      </c>
      <c r="S793">
        <v>4.25</v>
      </c>
      <c r="T793">
        <v>3.6850000000000001</v>
      </c>
      <c r="U793">
        <v>6.45</v>
      </c>
      <c r="V793">
        <v>2304.0100000000002</v>
      </c>
      <c r="W793">
        <v>606</v>
      </c>
      <c r="X793">
        <v>1.3332999999999999</v>
      </c>
      <c r="Y793">
        <v>460</v>
      </c>
      <c r="Z793">
        <v>5.01</v>
      </c>
      <c r="AJ793">
        <v>2</v>
      </c>
      <c r="AK793">
        <v>18</v>
      </c>
      <c r="AM793">
        <v>0</v>
      </c>
      <c r="AO793" t="s">
        <v>211</v>
      </c>
      <c r="AT793">
        <v>52</v>
      </c>
      <c r="AV793">
        <v>53.1</v>
      </c>
      <c r="AW793">
        <v>0.46875</v>
      </c>
      <c r="AX793">
        <v>3.75</v>
      </c>
      <c r="AY793">
        <v>51.5</v>
      </c>
      <c r="AZ793">
        <v>4.75</v>
      </c>
      <c r="BA793">
        <v>393.37</v>
      </c>
      <c r="BB793">
        <v>5.01</v>
      </c>
      <c r="BC793">
        <v>55</v>
      </c>
      <c r="BD793">
        <v>0.25</v>
      </c>
      <c r="BE793">
        <v>2.75</v>
      </c>
      <c r="BF793">
        <v>17.25</v>
      </c>
      <c r="BG793">
        <v>2.5</v>
      </c>
      <c r="BH793">
        <v>66.510000000000005</v>
      </c>
      <c r="BI793">
        <v>5.16</v>
      </c>
      <c r="BJ793">
        <v>8</v>
      </c>
      <c r="BL793">
        <v>459.88</v>
      </c>
      <c r="BM793">
        <v>62</v>
      </c>
      <c r="BN793">
        <v>255.01669999999999</v>
      </c>
      <c r="BO793">
        <v>1596</v>
      </c>
      <c r="BP793">
        <v>0</v>
      </c>
      <c r="BQ793">
        <v>46</v>
      </c>
      <c r="BR793">
        <v>46</v>
      </c>
      <c r="BS793">
        <v>46.08</v>
      </c>
      <c r="BT793">
        <v>0</v>
      </c>
      <c r="BV793">
        <v>0</v>
      </c>
      <c r="BW793" t="s">
        <v>655</v>
      </c>
      <c r="BX793">
        <v>0.17</v>
      </c>
      <c r="BY793">
        <v>7.8336009999999998</v>
      </c>
      <c r="BZ793">
        <v>0</v>
      </c>
      <c r="CA793">
        <v>1</v>
      </c>
      <c r="CB793">
        <v>0.6</v>
      </c>
      <c r="CC793" s="3">
        <v>7.1269159999999998E-2</v>
      </c>
      <c r="CD793">
        <v>2.875</v>
      </c>
      <c r="CE793">
        <v>2.5</v>
      </c>
      <c r="CF793">
        <v>18</v>
      </c>
      <c r="CG793">
        <v>6</v>
      </c>
      <c r="CH793">
        <v>0</v>
      </c>
      <c r="CI793">
        <v>46.08</v>
      </c>
      <c r="CJ793">
        <v>481.1182</v>
      </c>
    </row>
    <row r="794" spans="1:88">
      <c r="A794">
        <v>793</v>
      </c>
      <c r="B794" t="s">
        <v>13</v>
      </c>
      <c r="C794" t="s">
        <v>1</v>
      </c>
      <c r="D794" t="s">
        <v>143</v>
      </c>
      <c r="E794" t="s">
        <v>8</v>
      </c>
      <c r="F794" t="s">
        <v>144</v>
      </c>
      <c r="G794" t="s">
        <v>106</v>
      </c>
      <c r="H794" t="s">
        <v>145</v>
      </c>
      <c r="J794">
        <v>2</v>
      </c>
      <c r="K794" t="s">
        <v>146</v>
      </c>
      <c r="L794" t="s">
        <v>10</v>
      </c>
      <c r="M794" t="s">
        <v>11</v>
      </c>
      <c r="N794" t="s">
        <v>12</v>
      </c>
      <c r="O794">
        <v>203</v>
      </c>
      <c r="Q794">
        <v>798</v>
      </c>
      <c r="R794">
        <v>102</v>
      </c>
      <c r="S794">
        <v>4.25</v>
      </c>
      <c r="T794">
        <v>5.2460000000000004</v>
      </c>
      <c r="U794">
        <v>7.35</v>
      </c>
      <c r="V794">
        <v>3393.2</v>
      </c>
      <c r="W794">
        <v>746</v>
      </c>
      <c r="X794">
        <v>1.5</v>
      </c>
      <c r="Y794">
        <v>503</v>
      </c>
      <c r="Z794">
        <v>6.74</v>
      </c>
      <c r="AJ794">
        <v>2</v>
      </c>
      <c r="AK794">
        <v>18</v>
      </c>
      <c r="AM794">
        <v>0</v>
      </c>
      <c r="AO794" t="s">
        <v>149</v>
      </c>
      <c r="AT794">
        <v>76</v>
      </c>
      <c r="AV794">
        <v>53.5</v>
      </c>
      <c r="AW794">
        <v>0.46875</v>
      </c>
      <c r="AX794">
        <v>3.75</v>
      </c>
      <c r="AY794">
        <v>73.25</v>
      </c>
      <c r="AZ794">
        <v>6.375</v>
      </c>
      <c r="BA794">
        <v>276.89</v>
      </c>
      <c r="BB794">
        <v>7.11</v>
      </c>
      <c r="BC794">
        <v>79</v>
      </c>
      <c r="BD794">
        <v>0.4375</v>
      </c>
      <c r="BE794">
        <v>3.75</v>
      </c>
      <c r="BF794">
        <v>62.75</v>
      </c>
      <c r="BG794">
        <v>5.875</v>
      </c>
      <c r="BH794">
        <v>226.54</v>
      </c>
      <c r="BI794">
        <v>7.26</v>
      </c>
      <c r="BJ794">
        <v>64</v>
      </c>
      <c r="BL794">
        <v>503.43</v>
      </c>
      <c r="BM794">
        <v>142</v>
      </c>
      <c r="BN794">
        <v>256.80009999999999</v>
      </c>
      <c r="BO794">
        <v>1574</v>
      </c>
      <c r="BP794">
        <v>0</v>
      </c>
      <c r="BQ794">
        <v>70</v>
      </c>
      <c r="BR794">
        <v>70</v>
      </c>
      <c r="BS794">
        <v>69.730009999999993</v>
      </c>
      <c r="BT794">
        <v>0</v>
      </c>
      <c r="BV794">
        <v>0</v>
      </c>
      <c r="BW794" t="s">
        <v>655</v>
      </c>
      <c r="BX794">
        <v>0.17</v>
      </c>
      <c r="BY794">
        <v>11.854100000000001</v>
      </c>
      <c r="BZ794">
        <v>0</v>
      </c>
      <c r="CA794">
        <v>1</v>
      </c>
      <c r="CB794">
        <v>0.6</v>
      </c>
      <c r="CC794" s="3">
        <v>7.1269159999999998E-2</v>
      </c>
      <c r="CD794">
        <v>2.875</v>
      </c>
      <c r="CE794">
        <v>2.5</v>
      </c>
      <c r="CF794">
        <v>18</v>
      </c>
      <c r="CG794">
        <v>6</v>
      </c>
      <c r="CH794">
        <v>0</v>
      </c>
      <c r="CI794">
        <v>69.730009999999993</v>
      </c>
      <c r="CJ794">
        <v>733.01580000000001</v>
      </c>
    </row>
    <row r="795" spans="1:88">
      <c r="A795">
        <v>794</v>
      </c>
      <c r="B795" t="s">
        <v>13</v>
      </c>
      <c r="C795" t="s">
        <v>1</v>
      </c>
      <c r="D795" t="s">
        <v>341</v>
      </c>
      <c r="E795" t="s">
        <v>438</v>
      </c>
      <c r="F795" t="s">
        <v>343</v>
      </c>
      <c r="G795" t="s">
        <v>106</v>
      </c>
      <c r="H795" t="s">
        <v>344</v>
      </c>
      <c r="J795">
        <v>2</v>
      </c>
      <c r="K795" t="s">
        <v>146</v>
      </c>
      <c r="L795" t="s">
        <v>399</v>
      </c>
      <c r="M795" t="s">
        <v>467</v>
      </c>
      <c r="N795" t="s">
        <v>382</v>
      </c>
      <c r="O795">
        <v>97</v>
      </c>
      <c r="Q795">
        <v>210</v>
      </c>
      <c r="R795">
        <v>48</v>
      </c>
      <c r="S795">
        <v>4.25</v>
      </c>
      <c r="T795">
        <v>2.7040000000000002</v>
      </c>
      <c r="U795">
        <v>5.85</v>
      </c>
      <c r="V795">
        <v>891.6</v>
      </c>
      <c r="W795">
        <v>283</v>
      </c>
      <c r="X795">
        <v>1.3332999999999999</v>
      </c>
      <c r="Y795">
        <v>221</v>
      </c>
      <c r="Z795">
        <v>4.03</v>
      </c>
      <c r="AJ795">
        <v>2</v>
      </c>
      <c r="AK795">
        <v>18</v>
      </c>
      <c r="AM795">
        <v>0</v>
      </c>
      <c r="AO795" t="s">
        <v>347</v>
      </c>
      <c r="AT795">
        <v>39</v>
      </c>
      <c r="AV795">
        <v>27.4</v>
      </c>
      <c r="AW795">
        <v>0</v>
      </c>
      <c r="AX795">
        <v>0</v>
      </c>
      <c r="AY795">
        <v>29.25</v>
      </c>
      <c r="AZ795">
        <v>3</v>
      </c>
      <c r="BA795">
        <v>0</v>
      </c>
      <c r="BB795">
        <v>0</v>
      </c>
      <c r="BC795">
        <v>26</v>
      </c>
      <c r="BN795">
        <v>128.4</v>
      </c>
      <c r="BO795">
        <v>6294</v>
      </c>
      <c r="BP795">
        <v>0</v>
      </c>
      <c r="BQ795">
        <v>33</v>
      </c>
      <c r="BR795">
        <v>33</v>
      </c>
      <c r="BS795">
        <v>32.86</v>
      </c>
      <c r="BT795">
        <v>0</v>
      </c>
      <c r="BV795">
        <v>0</v>
      </c>
      <c r="BW795" t="s">
        <v>655</v>
      </c>
      <c r="BX795">
        <v>0.17</v>
      </c>
      <c r="BY795">
        <v>5.5861999999999998</v>
      </c>
      <c r="BZ795">
        <v>0</v>
      </c>
      <c r="CA795">
        <v>1</v>
      </c>
      <c r="CB795">
        <v>0.6</v>
      </c>
      <c r="CC795" s="3">
        <v>7.1269159999999998E-2</v>
      </c>
      <c r="CD795">
        <v>2.875</v>
      </c>
      <c r="CE795">
        <v>2.5</v>
      </c>
      <c r="CF795">
        <v>18</v>
      </c>
      <c r="CG795">
        <v>6</v>
      </c>
      <c r="CH795">
        <v>0</v>
      </c>
      <c r="CI795">
        <v>32.86</v>
      </c>
      <c r="CJ795">
        <v>176.81379999999999</v>
      </c>
    </row>
    <row r="796" spans="1:88">
      <c r="A796">
        <v>795</v>
      </c>
      <c r="B796" t="s">
        <v>13</v>
      </c>
      <c r="C796" t="s">
        <v>1</v>
      </c>
      <c r="D796" t="s">
        <v>621</v>
      </c>
      <c r="E796" t="s">
        <v>348</v>
      </c>
      <c r="F796" t="s">
        <v>549</v>
      </c>
      <c r="G796" t="s">
        <v>15</v>
      </c>
      <c r="H796" t="s">
        <v>622</v>
      </c>
      <c r="J796">
        <v>2</v>
      </c>
      <c r="K796" t="s">
        <v>108</v>
      </c>
      <c r="L796" t="s">
        <v>111</v>
      </c>
      <c r="M796" t="s">
        <v>351</v>
      </c>
      <c r="N796" t="s">
        <v>251</v>
      </c>
      <c r="O796">
        <v>174</v>
      </c>
      <c r="Q796">
        <v>1029</v>
      </c>
      <c r="R796">
        <v>139</v>
      </c>
      <c r="S796">
        <v>4.25</v>
      </c>
      <c r="T796">
        <v>4.6059999999999999</v>
      </c>
      <c r="U796">
        <v>6.97</v>
      </c>
      <c r="V796">
        <v>4374.4799999999996</v>
      </c>
      <c r="W796">
        <v>971</v>
      </c>
      <c r="X796">
        <v>1.3332999999999999</v>
      </c>
      <c r="Y796">
        <v>738</v>
      </c>
      <c r="Z796">
        <v>5.93</v>
      </c>
      <c r="AJ796">
        <v>2</v>
      </c>
      <c r="AK796">
        <v>18</v>
      </c>
      <c r="AM796">
        <v>0</v>
      </c>
      <c r="AO796" t="s">
        <v>623</v>
      </c>
      <c r="AT796">
        <v>66</v>
      </c>
      <c r="AV796">
        <v>80.099999999999994</v>
      </c>
      <c r="AW796" t="s">
        <v>6</v>
      </c>
      <c r="AX796" t="s">
        <v>6</v>
      </c>
      <c r="AY796" t="s">
        <v>6</v>
      </c>
      <c r="AZ796" t="s">
        <v>6</v>
      </c>
      <c r="BA796" t="s">
        <v>6</v>
      </c>
      <c r="BB796" t="s">
        <v>6</v>
      </c>
      <c r="BC796" t="s">
        <v>6</v>
      </c>
      <c r="BD796" t="s">
        <v>6</v>
      </c>
      <c r="BE796" t="s">
        <v>6</v>
      </c>
      <c r="BF796" t="s">
        <v>6</v>
      </c>
      <c r="BG796" t="s">
        <v>6</v>
      </c>
      <c r="BH796" t="s">
        <v>6</v>
      </c>
      <c r="BI796" t="s">
        <v>6</v>
      </c>
      <c r="BJ796" t="s">
        <v>6</v>
      </c>
      <c r="BN796">
        <v>685.08529999999996</v>
      </c>
      <c r="BO796">
        <v>2331</v>
      </c>
      <c r="BP796">
        <v>0</v>
      </c>
      <c r="BQ796">
        <v>60</v>
      </c>
      <c r="BR796">
        <v>60</v>
      </c>
      <c r="BS796">
        <v>59.65</v>
      </c>
      <c r="BT796">
        <v>0</v>
      </c>
      <c r="BV796">
        <v>0</v>
      </c>
      <c r="BW796" t="s">
        <v>655</v>
      </c>
      <c r="BX796">
        <v>0.17</v>
      </c>
      <c r="BY796">
        <v>10.140499999999999</v>
      </c>
      <c r="BZ796">
        <v>0</v>
      </c>
      <c r="CA796">
        <v>1</v>
      </c>
      <c r="CB796">
        <v>0.6</v>
      </c>
      <c r="CC796" s="3">
        <v>7.1269159999999998E-2</v>
      </c>
      <c r="CD796">
        <v>2.875</v>
      </c>
      <c r="CE796">
        <v>2.5</v>
      </c>
      <c r="CF796">
        <v>18</v>
      </c>
      <c r="CG796">
        <v>6</v>
      </c>
      <c r="CH796">
        <v>0</v>
      </c>
      <c r="CI796">
        <v>59.65</v>
      </c>
      <c r="CJ796">
        <v>938.98500000000001</v>
      </c>
    </row>
    <row r="797" spans="1:88">
      <c r="A797">
        <v>796</v>
      </c>
      <c r="B797" t="s">
        <v>13</v>
      </c>
      <c r="C797" t="s">
        <v>1</v>
      </c>
      <c r="D797" t="s">
        <v>459</v>
      </c>
      <c r="E797" t="s">
        <v>2</v>
      </c>
      <c r="F797" t="s">
        <v>389</v>
      </c>
      <c r="G797" t="s">
        <v>214</v>
      </c>
      <c r="H797" t="s">
        <v>460</v>
      </c>
      <c r="J797">
        <v>2</v>
      </c>
      <c r="K797" t="s">
        <v>108</v>
      </c>
      <c r="L797" t="s">
        <v>122</v>
      </c>
      <c r="M797" t="s">
        <v>4</v>
      </c>
      <c r="N797" t="s">
        <v>5</v>
      </c>
      <c r="O797">
        <v>107</v>
      </c>
      <c r="Q797">
        <v>588</v>
      </c>
      <c r="R797">
        <v>124</v>
      </c>
      <c r="S797">
        <v>4.25</v>
      </c>
      <c r="T797">
        <v>2.9710000000000001</v>
      </c>
      <c r="U797">
        <v>6.07</v>
      </c>
      <c r="V797">
        <v>2496.96</v>
      </c>
      <c r="W797">
        <v>754</v>
      </c>
      <c r="X797">
        <v>1.3332999999999999</v>
      </c>
      <c r="Y797">
        <v>581</v>
      </c>
      <c r="Z797">
        <v>4.3</v>
      </c>
      <c r="AJ797">
        <v>2</v>
      </c>
      <c r="AK797">
        <v>18</v>
      </c>
      <c r="AM797">
        <v>0</v>
      </c>
      <c r="AO797" t="s">
        <v>418</v>
      </c>
      <c r="AT797">
        <v>42</v>
      </c>
      <c r="AV797">
        <v>71.400000000000006</v>
      </c>
      <c r="AW797">
        <v>0.46875</v>
      </c>
      <c r="AX797">
        <v>3.75</v>
      </c>
      <c r="AY797">
        <v>44.25</v>
      </c>
      <c r="AZ797">
        <v>4</v>
      </c>
      <c r="BA797">
        <v>458.33</v>
      </c>
      <c r="BB797">
        <v>4.3</v>
      </c>
      <c r="BC797">
        <v>48</v>
      </c>
      <c r="BD797">
        <v>0.3125</v>
      </c>
      <c r="BE797">
        <v>2.75</v>
      </c>
      <c r="BF797">
        <v>29.375</v>
      </c>
      <c r="BG797">
        <v>2.625</v>
      </c>
      <c r="BH797">
        <v>122.35</v>
      </c>
      <c r="BI797">
        <v>5.22</v>
      </c>
      <c r="BJ797">
        <v>16</v>
      </c>
      <c r="BL797">
        <v>580.67999999999995</v>
      </c>
      <c r="BM797">
        <v>63</v>
      </c>
      <c r="BN797">
        <v>347.07839999999999</v>
      </c>
      <c r="BO797">
        <v>1081</v>
      </c>
      <c r="BP797">
        <v>0</v>
      </c>
      <c r="BQ797">
        <v>36</v>
      </c>
      <c r="BR797">
        <v>36</v>
      </c>
      <c r="BS797">
        <v>36.340000000000003</v>
      </c>
      <c r="BT797">
        <v>0</v>
      </c>
      <c r="BV797">
        <v>0</v>
      </c>
      <c r="BW797" t="s">
        <v>655</v>
      </c>
      <c r="BX797">
        <v>0.17</v>
      </c>
      <c r="BY797">
        <v>6.1778000000000004</v>
      </c>
      <c r="BZ797">
        <v>0</v>
      </c>
      <c r="CA797">
        <v>1</v>
      </c>
      <c r="CB797">
        <v>0.6</v>
      </c>
      <c r="CC797" s="3">
        <v>7.1269159999999998E-2</v>
      </c>
      <c r="CD797">
        <v>2.875</v>
      </c>
      <c r="CE797">
        <v>2.5</v>
      </c>
      <c r="CF797">
        <v>18</v>
      </c>
      <c r="CG797">
        <v>6</v>
      </c>
      <c r="CH797">
        <v>0</v>
      </c>
      <c r="CI797">
        <v>36.340000000000003</v>
      </c>
      <c r="CJ797">
        <v>509.89069999999998</v>
      </c>
    </row>
    <row r="798" spans="1:88">
      <c r="A798">
        <v>797</v>
      </c>
      <c r="B798" t="s">
        <v>0</v>
      </c>
      <c r="C798" t="s">
        <v>1</v>
      </c>
      <c r="D798" t="s">
        <v>131</v>
      </c>
      <c r="E798" t="s">
        <v>176</v>
      </c>
      <c r="F798" t="s">
        <v>232</v>
      </c>
      <c r="G798" t="s">
        <v>106</v>
      </c>
      <c r="H798" t="s">
        <v>233</v>
      </c>
      <c r="J798">
        <v>2</v>
      </c>
      <c r="K798" t="s">
        <v>146</v>
      </c>
      <c r="L798" t="s">
        <v>167</v>
      </c>
      <c r="M798" t="s">
        <v>226</v>
      </c>
      <c r="N798" t="s">
        <v>227</v>
      </c>
      <c r="O798">
        <v>113</v>
      </c>
      <c r="Q798">
        <v>473</v>
      </c>
      <c r="R798">
        <v>96</v>
      </c>
      <c r="S798">
        <v>4.25</v>
      </c>
      <c r="T798">
        <v>3.1280000000000001</v>
      </c>
      <c r="U798">
        <v>6.18</v>
      </c>
      <c r="V798">
        <v>2011.77</v>
      </c>
      <c r="W798">
        <v>595</v>
      </c>
      <c r="X798">
        <v>1.3332999999999999</v>
      </c>
      <c r="Y798">
        <v>451</v>
      </c>
      <c r="Z798">
        <v>4.46</v>
      </c>
      <c r="AJ798">
        <v>2</v>
      </c>
      <c r="AK798">
        <v>18</v>
      </c>
      <c r="AM798">
        <v>0</v>
      </c>
      <c r="AO798" t="s">
        <v>236</v>
      </c>
      <c r="AT798">
        <v>45</v>
      </c>
      <c r="AV798">
        <v>54.6</v>
      </c>
      <c r="AW798">
        <v>0.46875</v>
      </c>
      <c r="AX798">
        <v>3.75</v>
      </c>
      <c r="AY798">
        <v>45.875</v>
      </c>
      <c r="AZ798">
        <v>4.125</v>
      </c>
      <c r="BA798">
        <v>441.88</v>
      </c>
      <c r="BB798">
        <v>4.46</v>
      </c>
      <c r="BC798">
        <v>49</v>
      </c>
      <c r="BD798">
        <v>0.1875</v>
      </c>
      <c r="BE798">
        <v>2.75</v>
      </c>
      <c r="BF798">
        <v>29</v>
      </c>
      <c r="BG798">
        <v>1.625</v>
      </c>
      <c r="BH798">
        <v>9.17</v>
      </c>
      <c r="BI798">
        <v>16.54</v>
      </c>
      <c r="BJ798">
        <v>10</v>
      </c>
      <c r="BL798">
        <v>451.05</v>
      </c>
      <c r="BM798">
        <v>58</v>
      </c>
      <c r="BN798">
        <v>262.14999999999998</v>
      </c>
      <c r="BO798">
        <v>1510</v>
      </c>
      <c r="BP798">
        <v>0</v>
      </c>
      <c r="BQ798">
        <v>38</v>
      </c>
      <c r="BR798">
        <v>38</v>
      </c>
      <c r="BS798">
        <v>38.43</v>
      </c>
      <c r="BT798">
        <v>0</v>
      </c>
      <c r="BV798">
        <v>0</v>
      </c>
      <c r="BW798" t="s">
        <v>655</v>
      </c>
      <c r="BX798">
        <v>0.17</v>
      </c>
      <c r="BY798">
        <v>6.5331000000000001</v>
      </c>
      <c r="BZ798">
        <v>0</v>
      </c>
      <c r="CA798">
        <v>1</v>
      </c>
      <c r="CB798">
        <v>0.6</v>
      </c>
      <c r="CC798" s="3">
        <v>7.1269159999999998E-2</v>
      </c>
      <c r="CD798">
        <v>2.875</v>
      </c>
      <c r="CE798">
        <v>2.5</v>
      </c>
      <c r="CF798">
        <v>18</v>
      </c>
      <c r="CG798">
        <v>6</v>
      </c>
      <c r="CH798">
        <v>0</v>
      </c>
      <c r="CI798">
        <v>38.43</v>
      </c>
      <c r="CJ798">
        <v>412.20049999999998</v>
      </c>
    </row>
    <row r="799" spans="1:88">
      <c r="A799">
        <v>798</v>
      </c>
      <c r="B799" t="s">
        <v>13</v>
      </c>
      <c r="C799" t="s">
        <v>1</v>
      </c>
      <c r="D799" t="s">
        <v>205</v>
      </c>
      <c r="E799" t="s">
        <v>113</v>
      </c>
      <c r="F799" t="s">
        <v>573</v>
      </c>
      <c r="G799" t="s">
        <v>214</v>
      </c>
      <c r="H799" t="s">
        <v>574</v>
      </c>
      <c r="J799">
        <v>2</v>
      </c>
      <c r="K799" t="s">
        <v>108</v>
      </c>
      <c r="L799" t="s">
        <v>116</v>
      </c>
      <c r="M799" t="s">
        <v>117</v>
      </c>
      <c r="N799" t="s">
        <v>14</v>
      </c>
      <c r="O799">
        <v>179</v>
      </c>
      <c r="Q799">
        <v>849</v>
      </c>
      <c r="R799">
        <v>112</v>
      </c>
      <c r="S799">
        <v>4.25</v>
      </c>
      <c r="T799">
        <v>4.7190000000000003</v>
      </c>
      <c r="U799">
        <v>7.05</v>
      </c>
      <c r="V799">
        <v>3606.12</v>
      </c>
      <c r="W799">
        <v>787</v>
      </c>
      <c r="X799">
        <v>1.3332999999999999</v>
      </c>
      <c r="Y799">
        <v>596</v>
      </c>
      <c r="Z799">
        <v>6.05</v>
      </c>
      <c r="AJ799">
        <v>2</v>
      </c>
      <c r="AK799">
        <v>18</v>
      </c>
      <c r="AM799">
        <v>0</v>
      </c>
      <c r="AO799" t="s">
        <v>192</v>
      </c>
      <c r="AT799">
        <v>68</v>
      </c>
      <c r="AV799">
        <v>64.2</v>
      </c>
      <c r="AW799">
        <v>0.46875</v>
      </c>
      <c r="AX799">
        <v>3.75</v>
      </c>
      <c r="AY799">
        <v>61.875</v>
      </c>
      <c r="AZ799">
        <v>5.625</v>
      </c>
      <c r="BA799">
        <v>327.82</v>
      </c>
      <c r="BB799">
        <v>6.01</v>
      </c>
      <c r="BC799">
        <v>66</v>
      </c>
      <c r="BD799">
        <v>0.4375</v>
      </c>
      <c r="BE799">
        <v>3.75</v>
      </c>
      <c r="BF799">
        <v>53</v>
      </c>
      <c r="BG799">
        <v>5.25</v>
      </c>
      <c r="BH799">
        <v>268.22000000000003</v>
      </c>
      <c r="BI799">
        <v>6.13</v>
      </c>
      <c r="BJ799">
        <v>54</v>
      </c>
      <c r="BL799">
        <v>596.04010000000005</v>
      </c>
      <c r="BM799">
        <v>120</v>
      </c>
      <c r="BN799">
        <v>311.11169999999998</v>
      </c>
      <c r="BO799">
        <v>1345</v>
      </c>
      <c r="BP799">
        <v>0</v>
      </c>
      <c r="BQ799">
        <v>61</v>
      </c>
      <c r="BR799">
        <v>61</v>
      </c>
      <c r="BS799">
        <v>61.39</v>
      </c>
      <c r="BT799">
        <v>0</v>
      </c>
      <c r="BV799">
        <v>0</v>
      </c>
      <c r="BW799" t="s">
        <v>655</v>
      </c>
      <c r="BX799">
        <v>0.17</v>
      </c>
      <c r="BY799">
        <v>10.436299999999999</v>
      </c>
      <c r="BZ799">
        <v>0</v>
      </c>
      <c r="CA799">
        <v>1</v>
      </c>
      <c r="CB799">
        <v>0.6</v>
      </c>
      <c r="CC799" s="3">
        <v>7.1269159999999998E-2</v>
      </c>
      <c r="CD799">
        <v>2.875</v>
      </c>
      <c r="CE799">
        <v>2.5</v>
      </c>
      <c r="CF799">
        <v>18</v>
      </c>
      <c r="CG799">
        <v>6</v>
      </c>
      <c r="CH799">
        <v>0</v>
      </c>
      <c r="CI799">
        <v>61.39</v>
      </c>
      <c r="CJ799">
        <v>773.86590000000001</v>
      </c>
    </row>
    <row r="800" spans="1:88">
      <c r="A800">
        <v>799</v>
      </c>
      <c r="B800" t="s">
        <v>0</v>
      </c>
      <c r="C800" t="s">
        <v>1</v>
      </c>
      <c r="D800" t="s">
        <v>240</v>
      </c>
      <c r="E800" t="s">
        <v>221</v>
      </c>
      <c r="F800" t="s">
        <v>142</v>
      </c>
      <c r="G800" t="s">
        <v>106</v>
      </c>
      <c r="H800" t="s">
        <v>242</v>
      </c>
      <c r="J800">
        <v>2</v>
      </c>
      <c r="K800" t="s">
        <v>146</v>
      </c>
      <c r="L800" t="s">
        <v>307</v>
      </c>
      <c r="M800" t="s">
        <v>379</v>
      </c>
      <c r="N800" t="s">
        <v>2</v>
      </c>
      <c r="O800">
        <v>104</v>
      </c>
      <c r="Q800">
        <v>183</v>
      </c>
      <c r="R800">
        <v>40</v>
      </c>
      <c r="S800">
        <v>4.25</v>
      </c>
      <c r="T800">
        <v>2.8919999999999999</v>
      </c>
      <c r="U800">
        <v>6</v>
      </c>
      <c r="V800">
        <v>777.92</v>
      </c>
      <c r="W800">
        <v>242</v>
      </c>
      <c r="X800">
        <v>1.3332999999999999</v>
      </c>
      <c r="Y800">
        <v>184</v>
      </c>
      <c r="Z800">
        <v>4.22</v>
      </c>
      <c r="AJ800">
        <v>2</v>
      </c>
      <c r="AK800">
        <v>18</v>
      </c>
      <c r="AM800">
        <v>0</v>
      </c>
      <c r="AO800" t="s">
        <v>244</v>
      </c>
      <c r="AT800">
        <v>41</v>
      </c>
      <c r="AV800">
        <v>22.3</v>
      </c>
      <c r="AW800">
        <v>0</v>
      </c>
      <c r="AX800">
        <v>0</v>
      </c>
      <c r="AY800">
        <v>35</v>
      </c>
      <c r="AZ800">
        <v>3.125</v>
      </c>
      <c r="BA800">
        <v>0</v>
      </c>
      <c r="BB800">
        <v>0</v>
      </c>
      <c r="BC800">
        <v>31</v>
      </c>
      <c r="BN800">
        <v>103.43340000000001</v>
      </c>
      <c r="BO800">
        <v>9699</v>
      </c>
      <c r="BP800">
        <v>0</v>
      </c>
      <c r="BQ800">
        <v>35</v>
      </c>
      <c r="BR800">
        <v>35</v>
      </c>
      <c r="BS800">
        <v>35.299999999999997</v>
      </c>
      <c r="BT800">
        <v>0</v>
      </c>
      <c r="BV800">
        <v>0</v>
      </c>
      <c r="BW800" t="s">
        <v>655</v>
      </c>
      <c r="BX800">
        <v>0.17</v>
      </c>
      <c r="BY800">
        <v>6.0010000000000003</v>
      </c>
      <c r="BZ800">
        <v>0</v>
      </c>
      <c r="CA800">
        <v>1</v>
      </c>
      <c r="CB800">
        <v>0.6</v>
      </c>
      <c r="CC800" s="3">
        <v>7.1269159999999998E-2</v>
      </c>
      <c r="CD800">
        <v>2.875</v>
      </c>
      <c r="CE800">
        <v>2.5</v>
      </c>
      <c r="CF800">
        <v>18</v>
      </c>
      <c r="CG800">
        <v>6</v>
      </c>
      <c r="CH800">
        <v>0</v>
      </c>
      <c r="CI800">
        <v>35.299999999999997</v>
      </c>
      <c r="CJ800">
        <v>154.7218</v>
      </c>
    </row>
    <row r="801" spans="1:88">
      <c r="A801">
        <v>800</v>
      </c>
      <c r="B801" t="s">
        <v>0</v>
      </c>
      <c r="C801" t="s">
        <v>1</v>
      </c>
      <c r="D801" t="s">
        <v>365</v>
      </c>
      <c r="E801" t="s">
        <v>135</v>
      </c>
      <c r="F801" t="s">
        <v>367</v>
      </c>
      <c r="G801" t="s">
        <v>106</v>
      </c>
      <c r="H801" t="s">
        <v>368</v>
      </c>
      <c r="J801">
        <v>2</v>
      </c>
      <c r="K801" t="s">
        <v>146</v>
      </c>
      <c r="L801" t="s">
        <v>136</v>
      </c>
      <c r="M801" t="s">
        <v>361</v>
      </c>
      <c r="N801" t="s">
        <v>412</v>
      </c>
      <c r="O801">
        <v>71</v>
      </c>
      <c r="Q801">
        <v>98</v>
      </c>
      <c r="R801">
        <v>31</v>
      </c>
      <c r="S801">
        <v>4.25</v>
      </c>
      <c r="T801">
        <v>1.972</v>
      </c>
      <c r="U801">
        <v>5.47</v>
      </c>
      <c r="V801">
        <v>415.65</v>
      </c>
      <c r="W801">
        <v>170</v>
      </c>
      <c r="X801">
        <v>1.3332999999999999</v>
      </c>
      <c r="Y801">
        <v>126</v>
      </c>
      <c r="Z801">
        <v>3.3</v>
      </c>
      <c r="AJ801">
        <v>2</v>
      </c>
      <c r="AK801">
        <v>18</v>
      </c>
      <c r="AM801">
        <v>0</v>
      </c>
      <c r="AO801" t="s">
        <v>371</v>
      </c>
      <c r="AT801">
        <v>30</v>
      </c>
      <c r="AV801">
        <v>16.5</v>
      </c>
      <c r="AW801">
        <v>0</v>
      </c>
      <c r="AX801">
        <v>0</v>
      </c>
      <c r="AY801">
        <v>20.25</v>
      </c>
      <c r="AZ801">
        <v>2.125</v>
      </c>
      <c r="BA801">
        <v>0</v>
      </c>
      <c r="BB801">
        <v>0</v>
      </c>
      <c r="BC801">
        <v>15</v>
      </c>
      <c r="BN801">
        <v>74.900009999999995</v>
      </c>
      <c r="BO801">
        <v>18497</v>
      </c>
      <c r="BP801">
        <v>0</v>
      </c>
      <c r="BQ801">
        <v>24</v>
      </c>
      <c r="BR801">
        <v>24</v>
      </c>
      <c r="BS801">
        <v>23.82</v>
      </c>
      <c r="BT801">
        <v>0</v>
      </c>
      <c r="BV801">
        <v>0</v>
      </c>
      <c r="BW801" t="s">
        <v>655</v>
      </c>
      <c r="BX801">
        <v>0.17</v>
      </c>
      <c r="BY801">
        <v>4.0494000000000003</v>
      </c>
      <c r="BZ801">
        <v>0</v>
      </c>
      <c r="CA801">
        <v>1</v>
      </c>
      <c r="CB801">
        <v>0.6</v>
      </c>
      <c r="CC801" s="3">
        <v>7.1269159999999998E-2</v>
      </c>
      <c r="CD801">
        <v>2.875</v>
      </c>
      <c r="CE801">
        <v>2.5</v>
      </c>
      <c r="CF801">
        <v>18</v>
      </c>
      <c r="CG801">
        <v>6</v>
      </c>
      <c r="CH801">
        <v>0</v>
      </c>
      <c r="CI801">
        <v>23.82</v>
      </c>
      <c r="CJ801">
        <v>77.242220000000003</v>
      </c>
    </row>
    <row r="802" spans="1:88">
      <c r="A802">
        <v>801</v>
      </c>
      <c r="B802" t="s">
        <v>13</v>
      </c>
      <c r="C802" t="s">
        <v>1</v>
      </c>
      <c r="D802" t="s">
        <v>95</v>
      </c>
      <c r="E802" t="s">
        <v>113</v>
      </c>
      <c r="F802" t="s">
        <v>97</v>
      </c>
      <c r="G802" t="s">
        <v>15</v>
      </c>
      <c r="H802" t="s">
        <v>98</v>
      </c>
      <c r="J802">
        <v>2</v>
      </c>
      <c r="K802" t="s">
        <v>108</v>
      </c>
      <c r="L802" t="s">
        <v>116</v>
      </c>
      <c r="M802" t="s">
        <v>117</v>
      </c>
      <c r="N802" t="s">
        <v>14</v>
      </c>
      <c r="O802">
        <v>179</v>
      </c>
      <c r="Q802">
        <v>1062</v>
      </c>
      <c r="R802">
        <v>140</v>
      </c>
      <c r="S802">
        <v>4.25</v>
      </c>
      <c r="T802">
        <v>4.7190000000000003</v>
      </c>
      <c r="U802">
        <v>7.05</v>
      </c>
      <c r="V802">
        <v>4512.26</v>
      </c>
      <c r="W802">
        <v>987</v>
      </c>
      <c r="X802">
        <v>1.3332999999999999</v>
      </c>
      <c r="Y802">
        <v>746</v>
      </c>
      <c r="Z802">
        <v>6.05</v>
      </c>
      <c r="AJ802">
        <v>2</v>
      </c>
      <c r="AK802">
        <v>18</v>
      </c>
      <c r="AM802">
        <v>0</v>
      </c>
      <c r="AO802" t="s">
        <v>102</v>
      </c>
      <c r="AT802">
        <v>68</v>
      </c>
      <c r="AV802">
        <v>80.5</v>
      </c>
      <c r="AW802" t="s">
        <v>6</v>
      </c>
      <c r="AX802" t="s">
        <v>6</v>
      </c>
      <c r="AY802" t="s">
        <v>6</v>
      </c>
      <c r="AZ802" t="s">
        <v>6</v>
      </c>
      <c r="BA802" t="s">
        <v>6</v>
      </c>
      <c r="BB802" t="s">
        <v>6</v>
      </c>
      <c r="BC802" t="s">
        <v>6</v>
      </c>
      <c r="BD802" t="s">
        <v>6</v>
      </c>
      <c r="BE802" t="s">
        <v>6</v>
      </c>
      <c r="BF802" t="s">
        <v>6</v>
      </c>
      <c r="BG802" t="s">
        <v>6</v>
      </c>
      <c r="BH802" t="s">
        <v>6</v>
      </c>
      <c r="BI802" t="s">
        <v>6</v>
      </c>
      <c r="BJ802" t="s">
        <v>6</v>
      </c>
      <c r="BN802">
        <v>688.24239999999998</v>
      </c>
      <c r="BO802">
        <v>2309</v>
      </c>
      <c r="BP802">
        <v>0</v>
      </c>
      <c r="BQ802">
        <v>61</v>
      </c>
      <c r="BR802">
        <v>61</v>
      </c>
      <c r="BS802">
        <v>61.39</v>
      </c>
      <c r="BT802">
        <v>0</v>
      </c>
      <c r="BV802">
        <v>0</v>
      </c>
      <c r="BW802" t="s">
        <v>655</v>
      </c>
      <c r="BX802">
        <v>0.17</v>
      </c>
      <c r="BY802">
        <v>10.436299999999999</v>
      </c>
      <c r="BZ802">
        <v>0</v>
      </c>
      <c r="CA802">
        <v>1</v>
      </c>
      <c r="CB802">
        <v>0.6</v>
      </c>
      <c r="CC802" s="3">
        <v>7.1269159999999998E-2</v>
      </c>
      <c r="CD802">
        <v>2.875</v>
      </c>
      <c r="CE802">
        <v>2.5</v>
      </c>
      <c r="CF802">
        <v>18</v>
      </c>
      <c r="CG802">
        <v>6</v>
      </c>
      <c r="CH802">
        <v>0</v>
      </c>
      <c r="CI802">
        <v>61.39</v>
      </c>
      <c r="CJ802">
        <v>970.75049999999999</v>
      </c>
    </row>
    <row r="803" spans="1:88">
      <c r="A803">
        <v>802</v>
      </c>
      <c r="B803" t="s">
        <v>13</v>
      </c>
      <c r="C803" t="s">
        <v>1</v>
      </c>
      <c r="D803" t="s">
        <v>113</v>
      </c>
      <c r="E803" t="s">
        <v>5</v>
      </c>
      <c r="F803" t="s">
        <v>262</v>
      </c>
      <c r="G803" t="s">
        <v>106</v>
      </c>
      <c r="H803" t="s">
        <v>263</v>
      </c>
      <c r="J803">
        <v>2</v>
      </c>
      <c r="K803" t="s">
        <v>108</v>
      </c>
      <c r="L803" t="s">
        <v>162</v>
      </c>
      <c r="M803" t="s">
        <v>155</v>
      </c>
      <c r="N803" t="s">
        <v>176</v>
      </c>
      <c r="O803">
        <v>110</v>
      </c>
      <c r="Q803">
        <v>527</v>
      </c>
      <c r="R803">
        <v>109</v>
      </c>
      <c r="S803">
        <v>4.25</v>
      </c>
      <c r="T803">
        <v>3.05</v>
      </c>
      <c r="U803">
        <v>6.11</v>
      </c>
      <c r="V803">
        <v>2238.64</v>
      </c>
      <c r="W803">
        <v>663</v>
      </c>
      <c r="X803">
        <v>1.3332999999999999</v>
      </c>
      <c r="Y803">
        <v>511</v>
      </c>
      <c r="Z803">
        <v>4.38</v>
      </c>
      <c r="AJ803">
        <v>2</v>
      </c>
      <c r="AK803">
        <v>18</v>
      </c>
      <c r="AM803">
        <v>0</v>
      </c>
      <c r="AO803" t="s">
        <v>266</v>
      </c>
      <c r="AT803">
        <v>44</v>
      </c>
      <c r="AV803">
        <v>62.3</v>
      </c>
      <c r="AW803">
        <v>0.46875</v>
      </c>
      <c r="AX803">
        <v>3.75</v>
      </c>
      <c r="AY803">
        <v>45</v>
      </c>
      <c r="AZ803">
        <v>4.125</v>
      </c>
      <c r="BA803">
        <v>449.95</v>
      </c>
      <c r="BB803">
        <v>4.38</v>
      </c>
      <c r="BC803">
        <v>48</v>
      </c>
      <c r="BD803">
        <v>0.25</v>
      </c>
      <c r="BE803">
        <v>2.75</v>
      </c>
      <c r="BF803">
        <v>18.75</v>
      </c>
      <c r="BG803">
        <v>2.25</v>
      </c>
      <c r="BH803">
        <v>61.14</v>
      </c>
      <c r="BI803">
        <v>5.61</v>
      </c>
      <c r="BJ803">
        <v>8</v>
      </c>
      <c r="BL803">
        <v>511.09010000000001</v>
      </c>
      <c r="BM803">
        <v>56</v>
      </c>
      <c r="BN803">
        <v>299.60000000000002</v>
      </c>
      <c r="BO803">
        <v>1156</v>
      </c>
      <c r="BP803">
        <v>0</v>
      </c>
      <c r="BQ803">
        <v>37</v>
      </c>
      <c r="BR803">
        <v>37</v>
      </c>
      <c r="BS803">
        <v>37.39</v>
      </c>
      <c r="BT803">
        <v>0</v>
      </c>
      <c r="BV803">
        <v>0</v>
      </c>
      <c r="BW803" t="s">
        <v>655</v>
      </c>
      <c r="BX803">
        <v>0.17</v>
      </c>
      <c r="BY803">
        <v>6.3563000000000001</v>
      </c>
      <c r="BZ803">
        <v>0</v>
      </c>
      <c r="CA803">
        <v>1</v>
      </c>
      <c r="CB803">
        <v>0.6</v>
      </c>
      <c r="CC803" s="3">
        <v>7.1269159999999998E-2</v>
      </c>
      <c r="CD803">
        <v>2.875</v>
      </c>
      <c r="CE803">
        <v>2.5</v>
      </c>
      <c r="CF803">
        <v>18</v>
      </c>
      <c r="CG803">
        <v>6</v>
      </c>
      <c r="CH803">
        <v>0</v>
      </c>
      <c r="CI803">
        <v>37.39</v>
      </c>
      <c r="CJ803">
        <v>458.00459999999998</v>
      </c>
    </row>
    <row r="804" spans="1:88">
      <c r="A804">
        <v>803</v>
      </c>
      <c r="B804" t="s">
        <v>13</v>
      </c>
      <c r="C804" t="s">
        <v>1</v>
      </c>
      <c r="D804" t="s">
        <v>131</v>
      </c>
      <c r="E804" t="s">
        <v>340</v>
      </c>
      <c r="F804" t="s">
        <v>232</v>
      </c>
      <c r="G804" t="s">
        <v>106</v>
      </c>
      <c r="H804" t="s">
        <v>233</v>
      </c>
      <c r="J804">
        <v>2</v>
      </c>
      <c r="K804" t="s">
        <v>146</v>
      </c>
      <c r="L804" t="s">
        <v>131</v>
      </c>
      <c r="M804" t="s">
        <v>359</v>
      </c>
      <c r="N804" t="s">
        <v>259</v>
      </c>
      <c r="O804">
        <v>138</v>
      </c>
      <c r="Q804">
        <v>568</v>
      </c>
      <c r="R804">
        <v>96</v>
      </c>
      <c r="S804">
        <v>4.25</v>
      </c>
      <c r="T804">
        <v>3.758</v>
      </c>
      <c r="U804">
        <v>6.48</v>
      </c>
      <c r="V804">
        <v>2414.63</v>
      </c>
      <c r="W804">
        <v>624</v>
      </c>
      <c r="X804">
        <v>1.3332999999999999</v>
      </c>
      <c r="Y804">
        <v>474</v>
      </c>
      <c r="Z804">
        <v>5.09</v>
      </c>
      <c r="AJ804">
        <v>2</v>
      </c>
      <c r="AK804">
        <v>18</v>
      </c>
      <c r="AM804">
        <v>0</v>
      </c>
      <c r="AO804" t="s">
        <v>236</v>
      </c>
      <c r="AT804">
        <v>53</v>
      </c>
      <c r="AV804">
        <v>54.6</v>
      </c>
      <c r="AW804">
        <v>0.46875</v>
      </c>
      <c r="AX804">
        <v>3.75</v>
      </c>
      <c r="AY804">
        <v>52.375</v>
      </c>
      <c r="AZ804">
        <v>4.75</v>
      </c>
      <c r="BA804">
        <v>387.19</v>
      </c>
      <c r="BB804">
        <v>5.09</v>
      </c>
      <c r="BC804">
        <v>56</v>
      </c>
      <c r="BD804">
        <v>0.3125</v>
      </c>
      <c r="BE804">
        <v>2.75</v>
      </c>
      <c r="BF804">
        <v>41.25</v>
      </c>
      <c r="BG804">
        <v>3.125</v>
      </c>
      <c r="BH804">
        <v>87.19</v>
      </c>
      <c r="BI804">
        <v>7.33</v>
      </c>
      <c r="BJ804">
        <v>22</v>
      </c>
      <c r="BL804">
        <v>474.38</v>
      </c>
      <c r="BM804">
        <v>78</v>
      </c>
      <c r="BN804">
        <v>262.14999999999998</v>
      </c>
      <c r="BO804">
        <v>1510</v>
      </c>
      <c r="BP804">
        <v>0</v>
      </c>
      <c r="BQ804">
        <v>47</v>
      </c>
      <c r="BR804">
        <v>47</v>
      </c>
      <c r="BS804">
        <v>47.13</v>
      </c>
      <c r="BT804">
        <v>0</v>
      </c>
      <c r="BV804">
        <v>0</v>
      </c>
      <c r="BW804" t="s">
        <v>655</v>
      </c>
      <c r="BX804">
        <v>0.17</v>
      </c>
      <c r="BY804">
        <v>8.0121000000000002</v>
      </c>
      <c r="BZ804">
        <v>0</v>
      </c>
      <c r="CA804">
        <v>1</v>
      </c>
      <c r="CB804">
        <v>0.6</v>
      </c>
      <c r="CC804" s="3">
        <v>7.1269159999999998E-2</v>
      </c>
      <c r="CD804">
        <v>2.875</v>
      </c>
      <c r="CE804">
        <v>2.5</v>
      </c>
      <c r="CF804">
        <v>18</v>
      </c>
      <c r="CG804">
        <v>6</v>
      </c>
      <c r="CH804">
        <v>0</v>
      </c>
      <c r="CI804">
        <v>47.13</v>
      </c>
      <c r="CJ804">
        <v>505.51670000000001</v>
      </c>
    </row>
    <row r="805" spans="1:88">
      <c r="A805">
        <v>804</v>
      </c>
      <c r="B805" t="s">
        <v>13</v>
      </c>
      <c r="C805" t="s">
        <v>1</v>
      </c>
      <c r="D805" t="s">
        <v>314</v>
      </c>
      <c r="E805" t="s">
        <v>338</v>
      </c>
      <c r="F805" t="s">
        <v>479</v>
      </c>
      <c r="G805" t="s">
        <v>106</v>
      </c>
      <c r="H805" t="s">
        <v>594</v>
      </c>
      <c r="J805">
        <v>2</v>
      </c>
      <c r="K805" t="s">
        <v>108</v>
      </c>
      <c r="L805" t="s">
        <v>143</v>
      </c>
      <c r="M805" t="s">
        <v>339</v>
      </c>
      <c r="N805" t="s">
        <v>340</v>
      </c>
      <c r="O805">
        <v>135</v>
      </c>
      <c r="Q805">
        <v>580</v>
      </c>
      <c r="R805">
        <v>100</v>
      </c>
      <c r="S805">
        <v>4.25</v>
      </c>
      <c r="T805">
        <v>3.6850000000000001</v>
      </c>
      <c r="U805">
        <v>6.45</v>
      </c>
      <c r="V805">
        <v>2464.83</v>
      </c>
      <c r="W805">
        <v>645</v>
      </c>
      <c r="X805">
        <v>1.3332999999999999</v>
      </c>
      <c r="Y805">
        <v>492</v>
      </c>
      <c r="Z805">
        <v>5.01</v>
      </c>
      <c r="AJ805">
        <v>2</v>
      </c>
      <c r="AK805">
        <v>18</v>
      </c>
      <c r="AM805">
        <v>0</v>
      </c>
      <c r="AO805" t="s">
        <v>571</v>
      </c>
      <c r="AT805">
        <v>52</v>
      </c>
      <c r="AV805">
        <v>56.9</v>
      </c>
      <c r="AW805">
        <v>0.46875</v>
      </c>
      <c r="AX805">
        <v>3.75</v>
      </c>
      <c r="AY805">
        <v>51.5</v>
      </c>
      <c r="AZ805">
        <v>4.75</v>
      </c>
      <c r="BA805">
        <v>393.37</v>
      </c>
      <c r="BB805">
        <v>5.01</v>
      </c>
      <c r="BC805">
        <v>55</v>
      </c>
      <c r="BD805">
        <v>0.3125</v>
      </c>
      <c r="BE805">
        <v>2.75</v>
      </c>
      <c r="BF805">
        <v>36.5</v>
      </c>
      <c r="BG805">
        <v>3.125</v>
      </c>
      <c r="BH805">
        <v>98.61</v>
      </c>
      <c r="BI805">
        <v>6.48</v>
      </c>
      <c r="BJ805">
        <v>19</v>
      </c>
      <c r="BL805">
        <v>491.98</v>
      </c>
      <c r="BM805">
        <v>74</v>
      </c>
      <c r="BN805">
        <v>272.85000000000002</v>
      </c>
      <c r="BO805">
        <v>1394</v>
      </c>
      <c r="BP805">
        <v>0</v>
      </c>
      <c r="BQ805">
        <v>46</v>
      </c>
      <c r="BR805">
        <v>46</v>
      </c>
      <c r="BS805">
        <v>46.08</v>
      </c>
      <c r="BT805">
        <v>0</v>
      </c>
      <c r="BV805">
        <v>0</v>
      </c>
      <c r="BW805" t="s">
        <v>655</v>
      </c>
      <c r="BX805">
        <v>0.17</v>
      </c>
      <c r="BY805">
        <v>7.8336009999999998</v>
      </c>
      <c r="BZ805">
        <v>0</v>
      </c>
      <c r="CA805">
        <v>1</v>
      </c>
      <c r="CB805">
        <v>0.6</v>
      </c>
      <c r="CC805" s="3">
        <v>7.1269159999999998E-2</v>
      </c>
      <c r="CD805">
        <v>2.875</v>
      </c>
      <c r="CE805">
        <v>2.5</v>
      </c>
      <c r="CF805">
        <v>18</v>
      </c>
      <c r="CG805">
        <v>6</v>
      </c>
      <c r="CH805">
        <v>0</v>
      </c>
      <c r="CI805">
        <v>46.08</v>
      </c>
      <c r="CJ805">
        <v>515.19050000000004</v>
      </c>
    </row>
    <row r="806" spans="1:88">
      <c r="A806">
        <v>805</v>
      </c>
      <c r="B806" t="s">
        <v>13</v>
      </c>
      <c r="C806" t="s">
        <v>1</v>
      </c>
      <c r="D806" t="s">
        <v>178</v>
      </c>
      <c r="E806" t="s">
        <v>233</v>
      </c>
      <c r="F806" t="s">
        <v>408</v>
      </c>
      <c r="G806" t="s">
        <v>106</v>
      </c>
      <c r="H806" t="s">
        <v>141</v>
      </c>
      <c r="J806">
        <v>2</v>
      </c>
      <c r="K806" t="s">
        <v>146</v>
      </c>
      <c r="L806" t="s">
        <v>251</v>
      </c>
      <c r="M806" t="s">
        <v>236</v>
      </c>
      <c r="N806" t="s">
        <v>272</v>
      </c>
      <c r="O806">
        <v>157</v>
      </c>
      <c r="Q806">
        <v>376</v>
      </c>
      <c r="R806">
        <v>60</v>
      </c>
      <c r="S806">
        <v>4.25</v>
      </c>
      <c r="T806">
        <v>4.2130000000000001</v>
      </c>
      <c r="U806">
        <v>6.82</v>
      </c>
      <c r="V806">
        <v>1597.78</v>
      </c>
      <c r="W806">
        <v>410</v>
      </c>
      <c r="X806">
        <v>1.5</v>
      </c>
      <c r="Y806">
        <v>280</v>
      </c>
      <c r="Z806">
        <v>5.71</v>
      </c>
      <c r="AJ806">
        <v>2</v>
      </c>
      <c r="AK806">
        <v>18</v>
      </c>
      <c r="AM806">
        <v>0</v>
      </c>
      <c r="AO806" t="s">
        <v>409</v>
      </c>
      <c r="AT806">
        <v>60</v>
      </c>
      <c r="AV806">
        <v>31.7</v>
      </c>
      <c r="AW806">
        <v>0</v>
      </c>
      <c r="AX806">
        <v>0</v>
      </c>
      <c r="AY806">
        <v>50.875</v>
      </c>
      <c r="AZ806">
        <v>5</v>
      </c>
      <c r="BA806">
        <v>0</v>
      </c>
      <c r="BB806">
        <v>0</v>
      </c>
      <c r="BC806">
        <v>51</v>
      </c>
      <c r="BN806">
        <v>149.80000000000001</v>
      </c>
      <c r="BO806">
        <v>4624</v>
      </c>
      <c r="BP806">
        <v>0</v>
      </c>
      <c r="BQ806">
        <v>54</v>
      </c>
      <c r="BR806">
        <v>54</v>
      </c>
      <c r="BS806">
        <v>53.73</v>
      </c>
      <c r="BT806">
        <v>0</v>
      </c>
      <c r="BV806">
        <v>0</v>
      </c>
      <c r="BW806" t="s">
        <v>655</v>
      </c>
      <c r="BX806">
        <v>0.17</v>
      </c>
      <c r="BY806">
        <v>9.1341000000000001</v>
      </c>
      <c r="BZ806">
        <v>0</v>
      </c>
      <c r="CA806">
        <v>1</v>
      </c>
      <c r="CB806">
        <v>0.6</v>
      </c>
      <c r="CC806" s="3">
        <v>7.1269159999999998E-2</v>
      </c>
      <c r="CD806">
        <v>2.875</v>
      </c>
      <c r="CE806">
        <v>2.5</v>
      </c>
      <c r="CF806">
        <v>18</v>
      </c>
      <c r="CG806">
        <v>6</v>
      </c>
      <c r="CH806">
        <v>0</v>
      </c>
      <c r="CI806">
        <v>53.73</v>
      </c>
      <c r="CJ806">
        <v>335.06299999999999</v>
      </c>
    </row>
    <row r="807" spans="1:88">
      <c r="A807">
        <v>806</v>
      </c>
      <c r="B807" t="s">
        <v>13</v>
      </c>
      <c r="C807" t="s">
        <v>1</v>
      </c>
      <c r="D807" t="s">
        <v>158</v>
      </c>
      <c r="E807" t="s">
        <v>369</v>
      </c>
      <c r="F807" t="s">
        <v>166</v>
      </c>
      <c r="G807" t="s">
        <v>106</v>
      </c>
      <c r="H807" t="s">
        <v>119</v>
      </c>
      <c r="J807">
        <v>2</v>
      </c>
      <c r="K807" t="s">
        <v>146</v>
      </c>
      <c r="L807" t="s">
        <v>259</v>
      </c>
      <c r="M807" t="s">
        <v>480</v>
      </c>
      <c r="N807" t="s">
        <v>307</v>
      </c>
      <c r="O807">
        <v>121</v>
      </c>
      <c r="Q807">
        <v>408</v>
      </c>
      <c r="R807">
        <v>80</v>
      </c>
      <c r="S807">
        <v>4.25</v>
      </c>
      <c r="T807">
        <v>3.3340000000000001</v>
      </c>
      <c r="U807">
        <v>6.22</v>
      </c>
      <c r="V807">
        <v>1733.78</v>
      </c>
      <c r="W807">
        <v>496</v>
      </c>
      <c r="X807">
        <v>1.3332999999999999</v>
      </c>
      <c r="Y807">
        <v>372</v>
      </c>
      <c r="Z807">
        <v>4.66</v>
      </c>
      <c r="AJ807">
        <v>2</v>
      </c>
      <c r="AK807">
        <v>18</v>
      </c>
      <c r="AM807">
        <v>0</v>
      </c>
      <c r="AO807" t="s">
        <v>286</v>
      </c>
      <c r="AT807">
        <v>47</v>
      </c>
      <c r="AV807">
        <v>44.1</v>
      </c>
      <c r="AW807">
        <v>0</v>
      </c>
      <c r="AX807">
        <v>0</v>
      </c>
      <c r="AY807">
        <v>54.5</v>
      </c>
      <c r="AZ807">
        <v>4.375</v>
      </c>
      <c r="BA807">
        <v>0</v>
      </c>
      <c r="BB807">
        <v>0</v>
      </c>
      <c r="BC807">
        <v>59</v>
      </c>
      <c r="BN807">
        <v>210.43340000000001</v>
      </c>
      <c r="BO807">
        <v>2343</v>
      </c>
      <c r="BP807">
        <v>0</v>
      </c>
      <c r="BQ807">
        <v>41</v>
      </c>
      <c r="BR807">
        <v>41</v>
      </c>
      <c r="BS807">
        <v>41.21</v>
      </c>
      <c r="BT807">
        <v>0</v>
      </c>
      <c r="BV807">
        <v>0</v>
      </c>
      <c r="BW807" t="s">
        <v>655</v>
      </c>
      <c r="BX807">
        <v>0.17</v>
      </c>
      <c r="BY807">
        <v>7.0057</v>
      </c>
      <c r="BZ807">
        <v>0</v>
      </c>
      <c r="CA807">
        <v>1</v>
      </c>
      <c r="CB807">
        <v>0.6</v>
      </c>
      <c r="CC807" s="3">
        <v>7.1269159999999998E-2</v>
      </c>
      <c r="CD807">
        <v>2.875</v>
      </c>
      <c r="CE807">
        <v>2.5</v>
      </c>
      <c r="CF807">
        <v>18</v>
      </c>
      <c r="CG807">
        <v>6</v>
      </c>
      <c r="CH807">
        <v>0</v>
      </c>
      <c r="CI807">
        <v>41.21</v>
      </c>
      <c r="CJ807">
        <v>356.84570000000002</v>
      </c>
    </row>
    <row r="808" spans="1:88">
      <c r="A808">
        <v>807</v>
      </c>
      <c r="B808" t="s">
        <v>0</v>
      </c>
      <c r="C808" t="s">
        <v>1</v>
      </c>
      <c r="D808" t="s">
        <v>293</v>
      </c>
      <c r="E808" t="s">
        <v>272</v>
      </c>
      <c r="F808" t="s">
        <v>294</v>
      </c>
      <c r="G808" t="s">
        <v>106</v>
      </c>
      <c r="H808" t="s">
        <v>295</v>
      </c>
      <c r="J808">
        <v>2</v>
      </c>
      <c r="K808" t="s">
        <v>146</v>
      </c>
      <c r="L808" t="s">
        <v>255</v>
      </c>
      <c r="M808" t="s">
        <v>269</v>
      </c>
      <c r="N808" t="s">
        <v>353</v>
      </c>
      <c r="O808">
        <v>160</v>
      </c>
      <c r="Q808">
        <v>622</v>
      </c>
      <c r="R808">
        <v>92</v>
      </c>
      <c r="S808">
        <v>4.25</v>
      </c>
      <c r="T808">
        <v>4.2839999999999998</v>
      </c>
      <c r="U808">
        <v>6.75</v>
      </c>
      <c r="V808">
        <v>2641.92</v>
      </c>
      <c r="W808">
        <v>623</v>
      </c>
      <c r="X808">
        <v>1.3332999999999999</v>
      </c>
      <c r="Y808">
        <v>471</v>
      </c>
      <c r="Z808">
        <v>5.61</v>
      </c>
      <c r="AJ808">
        <v>2</v>
      </c>
      <c r="AK808">
        <v>18</v>
      </c>
      <c r="AM808">
        <v>0</v>
      </c>
      <c r="AO808" t="s">
        <v>296</v>
      </c>
      <c r="AT808">
        <v>61</v>
      </c>
      <c r="AV808">
        <v>52</v>
      </c>
      <c r="AW808">
        <v>0.40625</v>
      </c>
      <c r="AX808">
        <v>3.75</v>
      </c>
      <c r="AY808">
        <v>41.375</v>
      </c>
      <c r="AZ808">
        <v>4.5</v>
      </c>
      <c r="BA808">
        <v>235.46</v>
      </c>
      <c r="BB808">
        <v>5.62</v>
      </c>
      <c r="BC808">
        <v>39</v>
      </c>
      <c r="BD808">
        <v>0.40625</v>
      </c>
      <c r="BE808">
        <v>3.75</v>
      </c>
      <c r="BF808">
        <v>41.375</v>
      </c>
      <c r="BG808">
        <v>4.5</v>
      </c>
      <c r="BH808">
        <v>235.46</v>
      </c>
      <c r="BI808">
        <v>5.62</v>
      </c>
      <c r="BJ808">
        <v>39</v>
      </c>
      <c r="BL808">
        <v>470.92</v>
      </c>
      <c r="BM808">
        <v>78</v>
      </c>
      <c r="BN808">
        <v>249.66669999999999</v>
      </c>
      <c r="BO808">
        <v>1665</v>
      </c>
      <c r="BP808">
        <v>0</v>
      </c>
      <c r="BQ808">
        <v>55</v>
      </c>
      <c r="BR808">
        <v>55</v>
      </c>
      <c r="BS808">
        <v>54.78</v>
      </c>
      <c r="BT808">
        <v>0</v>
      </c>
      <c r="BV808">
        <v>0</v>
      </c>
      <c r="BW808" t="s">
        <v>655</v>
      </c>
      <c r="BX808">
        <v>0.17</v>
      </c>
      <c r="BY808">
        <v>9.3125999999999998</v>
      </c>
      <c r="BZ808">
        <v>0</v>
      </c>
      <c r="CA808">
        <v>1</v>
      </c>
      <c r="CB808">
        <v>0.6</v>
      </c>
      <c r="CC808" s="3">
        <v>7.1269159999999998E-2</v>
      </c>
      <c r="CD808">
        <v>2.875</v>
      </c>
      <c r="CE808">
        <v>2.5</v>
      </c>
      <c r="CF808">
        <v>18</v>
      </c>
      <c r="CG808">
        <v>6</v>
      </c>
      <c r="CH808">
        <v>0</v>
      </c>
      <c r="CI808">
        <v>54.78</v>
      </c>
      <c r="CJ808">
        <v>560.24180000000001</v>
      </c>
    </row>
    <row r="809" spans="1:88">
      <c r="A809">
        <v>808</v>
      </c>
      <c r="B809" t="s">
        <v>0</v>
      </c>
      <c r="C809" t="s">
        <v>1</v>
      </c>
      <c r="D809" t="s">
        <v>169</v>
      </c>
      <c r="E809" t="s">
        <v>338</v>
      </c>
      <c r="F809" t="s">
        <v>404</v>
      </c>
      <c r="G809" t="s">
        <v>106</v>
      </c>
      <c r="H809" t="s">
        <v>190</v>
      </c>
      <c r="J809">
        <v>2</v>
      </c>
      <c r="K809" t="s">
        <v>146</v>
      </c>
      <c r="L809" t="s">
        <v>143</v>
      </c>
      <c r="M809" t="s">
        <v>339</v>
      </c>
      <c r="N809" t="s">
        <v>340</v>
      </c>
      <c r="O809">
        <v>135</v>
      </c>
      <c r="Q809">
        <v>414</v>
      </c>
      <c r="R809">
        <v>74</v>
      </c>
      <c r="S809">
        <v>4.25</v>
      </c>
      <c r="T809">
        <v>3.6850000000000001</v>
      </c>
      <c r="U809">
        <v>6.45</v>
      </c>
      <c r="V809">
        <v>1761.49</v>
      </c>
      <c r="W809">
        <v>477</v>
      </c>
      <c r="X809">
        <v>1.3332999999999999</v>
      </c>
      <c r="Y809">
        <v>352</v>
      </c>
      <c r="Z809">
        <v>5.01</v>
      </c>
      <c r="AJ809">
        <v>2</v>
      </c>
      <c r="AK809">
        <v>18</v>
      </c>
      <c r="AM809">
        <v>0</v>
      </c>
      <c r="AO809" t="s">
        <v>406</v>
      </c>
      <c r="AT809">
        <v>52</v>
      </c>
      <c r="AV809">
        <v>40.4</v>
      </c>
      <c r="AW809">
        <v>0</v>
      </c>
      <c r="AX809">
        <v>0</v>
      </c>
      <c r="AY809">
        <v>57.625</v>
      </c>
      <c r="AZ809">
        <v>4.75</v>
      </c>
      <c r="BA809">
        <v>0</v>
      </c>
      <c r="BB809">
        <v>0</v>
      </c>
      <c r="BC809">
        <v>62</v>
      </c>
      <c r="BN809">
        <v>192.6</v>
      </c>
      <c r="BO809">
        <v>2797</v>
      </c>
      <c r="BP809">
        <v>0</v>
      </c>
      <c r="BQ809">
        <v>46</v>
      </c>
      <c r="BR809">
        <v>46</v>
      </c>
      <c r="BS809">
        <v>46.08</v>
      </c>
      <c r="BT809">
        <v>0</v>
      </c>
      <c r="BV809">
        <v>0</v>
      </c>
      <c r="BW809" t="s">
        <v>655</v>
      </c>
      <c r="BX809">
        <v>0.17</v>
      </c>
      <c r="BY809">
        <v>7.8336009999999998</v>
      </c>
      <c r="BZ809">
        <v>0</v>
      </c>
      <c r="CA809">
        <v>1</v>
      </c>
      <c r="CB809">
        <v>0.6</v>
      </c>
      <c r="CC809" s="3">
        <v>7.1269159999999998E-2</v>
      </c>
      <c r="CD809">
        <v>2.875</v>
      </c>
      <c r="CE809">
        <v>2.5</v>
      </c>
      <c r="CF809">
        <v>18</v>
      </c>
      <c r="CG809">
        <v>6</v>
      </c>
      <c r="CH809">
        <v>0</v>
      </c>
      <c r="CI809">
        <v>46.08</v>
      </c>
      <c r="CJ809">
        <v>366.17520000000002</v>
      </c>
    </row>
    <row r="810" spans="1:88">
      <c r="A810">
        <v>809</v>
      </c>
      <c r="B810" t="s">
        <v>13</v>
      </c>
      <c r="C810" t="s">
        <v>1</v>
      </c>
      <c r="D810" t="s">
        <v>561</v>
      </c>
      <c r="E810" t="s">
        <v>219</v>
      </c>
      <c r="F810" t="s">
        <v>624</v>
      </c>
      <c r="G810" t="s">
        <v>106</v>
      </c>
      <c r="H810" t="s">
        <v>320</v>
      </c>
      <c r="J810">
        <v>2</v>
      </c>
      <c r="K810" t="s">
        <v>146</v>
      </c>
      <c r="L810" t="s">
        <v>369</v>
      </c>
      <c r="M810" t="s">
        <v>220</v>
      </c>
      <c r="N810" t="s">
        <v>221</v>
      </c>
      <c r="O810">
        <v>101</v>
      </c>
      <c r="Q810">
        <v>153</v>
      </c>
      <c r="R810">
        <v>35</v>
      </c>
      <c r="S810">
        <v>4.25</v>
      </c>
      <c r="T810">
        <v>2.8119999999999998</v>
      </c>
      <c r="U810">
        <v>5.92</v>
      </c>
      <c r="V810">
        <v>650.5</v>
      </c>
      <c r="W810">
        <v>208</v>
      </c>
      <c r="X810">
        <v>1.3332999999999999</v>
      </c>
      <c r="Y810">
        <v>157</v>
      </c>
      <c r="Z810">
        <v>4.1399999999999997</v>
      </c>
      <c r="AJ810">
        <v>2</v>
      </c>
      <c r="AK810">
        <v>18</v>
      </c>
      <c r="AM810">
        <v>0</v>
      </c>
      <c r="AO810" t="s">
        <v>500</v>
      </c>
      <c r="AT810">
        <v>40</v>
      </c>
      <c r="AV810">
        <v>19</v>
      </c>
      <c r="AW810">
        <v>0</v>
      </c>
      <c r="AX810">
        <v>0</v>
      </c>
      <c r="AY810">
        <v>41.125</v>
      </c>
      <c r="AZ810">
        <v>3.125</v>
      </c>
      <c r="BA810">
        <v>0</v>
      </c>
      <c r="BB810">
        <v>0</v>
      </c>
      <c r="BC810">
        <v>36</v>
      </c>
      <c r="BN810">
        <v>87.383340000000004</v>
      </c>
      <c r="BO810">
        <v>13590</v>
      </c>
      <c r="BP810">
        <v>0</v>
      </c>
      <c r="BQ810">
        <v>34</v>
      </c>
      <c r="BR810">
        <v>34</v>
      </c>
      <c r="BS810">
        <v>34.26</v>
      </c>
      <c r="BT810">
        <v>0</v>
      </c>
      <c r="BV810">
        <v>0</v>
      </c>
      <c r="BW810" t="s">
        <v>655</v>
      </c>
      <c r="BX810">
        <v>0.17</v>
      </c>
      <c r="BY810">
        <v>5.8242000000000003</v>
      </c>
      <c r="BZ810">
        <v>0</v>
      </c>
      <c r="CA810">
        <v>1</v>
      </c>
      <c r="CB810">
        <v>0.6</v>
      </c>
      <c r="CC810" s="3">
        <v>7.1269159999999998E-2</v>
      </c>
      <c r="CD810">
        <v>2.875</v>
      </c>
      <c r="CE810">
        <v>2.5</v>
      </c>
      <c r="CF810">
        <v>18</v>
      </c>
      <c r="CG810">
        <v>6</v>
      </c>
      <c r="CH810">
        <v>0</v>
      </c>
      <c r="CI810">
        <v>34.26</v>
      </c>
      <c r="CJ810">
        <v>128.1883</v>
      </c>
    </row>
    <row r="811" spans="1:88">
      <c r="A811">
        <v>810</v>
      </c>
      <c r="B811" t="s">
        <v>0</v>
      </c>
      <c r="C811" t="s">
        <v>1</v>
      </c>
      <c r="D811" t="s">
        <v>510</v>
      </c>
      <c r="E811" t="s">
        <v>346</v>
      </c>
      <c r="F811" t="s">
        <v>409</v>
      </c>
      <c r="G811" t="s">
        <v>106</v>
      </c>
      <c r="H811" t="s">
        <v>346</v>
      </c>
      <c r="J811">
        <v>2</v>
      </c>
      <c r="K811" t="s">
        <v>146</v>
      </c>
      <c r="L811" t="s">
        <v>177</v>
      </c>
      <c r="M811" t="s">
        <v>407</v>
      </c>
      <c r="N811" t="s">
        <v>178</v>
      </c>
      <c r="O811">
        <v>92</v>
      </c>
      <c r="Q811">
        <v>226</v>
      </c>
      <c r="R811">
        <v>54</v>
      </c>
      <c r="S811">
        <v>4.25</v>
      </c>
      <c r="T811">
        <v>2.5670000000000002</v>
      </c>
      <c r="U811">
        <v>5.73</v>
      </c>
      <c r="V811">
        <v>960.54</v>
      </c>
      <c r="W811">
        <v>310</v>
      </c>
      <c r="X811">
        <v>1.1666000000000001</v>
      </c>
      <c r="Y811">
        <v>258</v>
      </c>
      <c r="Z811">
        <v>3.73</v>
      </c>
      <c r="AJ811">
        <v>2</v>
      </c>
      <c r="AK811">
        <v>18</v>
      </c>
      <c r="AM811">
        <v>0</v>
      </c>
      <c r="AO811" t="s">
        <v>407</v>
      </c>
      <c r="AT811">
        <v>37</v>
      </c>
      <c r="AV811">
        <v>31</v>
      </c>
      <c r="AW811">
        <v>0</v>
      </c>
      <c r="AX811">
        <v>0</v>
      </c>
      <c r="AY811">
        <v>25.125</v>
      </c>
      <c r="AZ811">
        <v>2.75</v>
      </c>
      <c r="BA811">
        <v>0</v>
      </c>
      <c r="BB811">
        <v>0</v>
      </c>
      <c r="BC811">
        <v>22</v>
      </c>
      <c r="BN811">
        <v>146.23339999999999</v>
      </c>
      <c r="BO811">
        <v>4853</v>
      </c>
      <c r="BP811">
        <v>0</v>
      </c>
      <c r="BQ811">
        <v>31</v>
      </c>
      <c r="BR811">
        <v>31</v>
      </c>
      <c r="BS811">
        <v>31.13</v>
      </c>
      <c r="BT811">
        <v>0</v>
      </c>
      <c r="BV811">
        <v>0</v>
      </c>
      <c r="BW811" t="s">
        <v>655</v>
      </c>
      <c r="BX811">
        <v>0.17</v>
      </c>
      <c r="BY811">
        <v>5.2920999999999996</v>
      </c>
      <c r="BZ811">
        <v>0</v>
      </c>
      <c r="CA811">
        <v>1</v>
      </c>
      <c r="CB811">
        <v>0.6</v>
      </c>
      <c r="CC811" s="3">
        <v>7.1269159999999998E-2</v>
      </c>
      <c r="CD811">
        <v>2.875</v>
      </c>
      <c r="CE811">
        <v>2.5</v>
      </c>
      <c r="CF811">
        <v>18</v>
      </c>
      <c r="CG811">
        <v>6</v>
      </c>
      <c r="CH811">
        <v>0</v>
      </c>
      <c r="CI811">
        <v>31.13</v>
      </c>
      <c r="CJ811">
        <v>189.69110000000001</v>
      </c>
    </row>
    <row r="812" spans="1:88">
      <c r="A812">
        <v>811</v>
      </c>
      <c r="B812" t="s">
        <v>13</v>
      </c>
      <c r="C812" t="s">
        <v>1</v>
      </c>
      <c r="D812" t="s">
        <v>259</v>
      </c>
      <c r="E812" t="s">
        <v>96</v>
      </c>
      <c r="F812" t="s">
        <v>301</v>
      </c>
      <c r="G812" t="s">
        <v>106</v>
      </c>
      <c r="H812" t="s">
        <v>128</v>
      </c>
      <c r="J812">
        <v>2</v>
      </c>
      <c r="K812" t="s">
        <v>146</v>
      </c>
      <c r="L812" t="s">
        <v>293</v>
      </c>
      <c r="M812" t="s">
        <v>100</v>
      </c>
      <c r="N812" t="s">
        <v>101</v>
      </c>
      <c r="O812">
        <v>131</v>
      </c>
      <c r="Q812">
        <v>481</v>
      </c>
      <c r="R812">
        <v>87</v>
      </c>
      <c r="S812">
        <v>4.25</v>
      </c>
      <c r="T812">
        <v>3.5859999999999999</v>
      </c>
      <c r="U812">
        <v>6.37</v>
      </c>
      <c r="V812">
        <v>2045.27</v>
      </c>
      <c r="W812">
        <v>551</v>
      </c>
      <c r="X812">
        <v>1.3332999999999999</v>
      </c>
      <c r="Y812">
        <v>417</v>
      </c>
      <c r="Z812">
        <v>4.91</v>
      </c>
      <c r="AJ812">
        <v>2</v>
      </c>
      <c r="AK812">
        <v>18</v>
      </c>
      <c r="AM812">
        <v>0</v>
      </c>
      <c r="AO812" t="s">
        <v>132</v>
      </c>
      <c r="AT812">
        <v>51</v>
      </c>
      <c r="AV812">
        <v>48.4</v>
      </c>
      <c r="AW812">
        <v>0.46875</v>
      </c>
      <c r="AX812">
        <v>3.75</v>
      </c>
      <c r="AY812">
        <v>50.5</v>
      </c>
      <c r="AZ812">
        <v>4.625</v>
      </c>
      <c r="BA812">
        <v>401.38</v>
      </c>
      <c r="BB812">
        <v>4.91</v>
      </c>
      <c r="BC812">
        <v>54</v>
      </c>
      <c r="BD812">
        <v>0.1875</v>
      </c>
      <c r="BE812">
        <v>2.75</v>
      </c>
      <c r="BF812">
        <v>17.5</v>
      </c>
      <c r="BG812">
        <v>1.875</v>
      </c>
      <c r="BH812">
        <v>15.16</v>
      </c>
      <c r="BI812">
        <v>10</v>
      </c>
      <c r="BJ812">
        <v>6</v>
      </c>
      <c r="BL812">
        <v>416.54</v>
      </c>
      <c r="BM812">
        <v>60</v>
      </c>
      <c r="BN812">
        <v>231.83340000000001</v>
      </c>
      <c r="BO812">
        <v>1931</v>
      </c>
      <c r="BP812">
        <v>0</v>
      </c>
      <c r="BQ812">
        <v>45</v>
      </c>
      <c r="BR812">
        <v>45</v>
      </c>
      <c r="BS812">
        <v>44.69</v>
      </c>
      <c r="BT812">
        <v>0</v>
      </c>
      <c r="BV812">
        <v>0</v>
      </c>
      <c r="BW812" t="s">
        <v>655</v>
      </c>
      <c r="BX812">
        <v>0.17</v>
      </c>
      <c r="BY812">
        <v>7.5972999999999997</v>
      </c>
      <c r="BZ812">
        <v>0</v>
      </c>
      <c r="CA812">
        <v>1</v>
      </c>
      <c r="CB812">
        <v>0.6</v>
      </c>
      <c r="CC812" s="3">
        <v>7.1269159999999998E-2</v>
      </c>
      <c r="CD812">
        <v>2.875</v>
      </c>
      <c r="CE812">
        <v>2.5</v>
      </c>
      <c r="CF812">
        <v>18</v>
      </c>
      <c r="CG812">
        <v>6</v>
      </c>
      <c r="CH812">
        <v>0</v>
      </c>
      <c r="CI812">
        <v>44.69</v>
      </c>
      <c r="CJ812">
        <v>425.2</v>
      </c>
    </row>
    <row r="813" spans="1:88">
      <c r="A813">
        <v>812</v>
      </c>
      <c r="B813" t="s">
        <v>0</v>
      </c>
      <c r="C813" t="s">
        <v>1</v>
      </c>
      <c r="D813" t="s">
        <v>94</v>
      </c>
      <c r="E813" t="s">
        <v>692</v>
      </c>
      <c r="F813" t="s">
        <v>436</v>
      </c>
      <c r="G813" t="s">
        <v>20</v>
      </c>
      <c r="H813" t="s">
        <v>94</v>
      </c>
      <c r="J813">
        <v>2</v>
      </c>
      <c r="K813" t="s">
        <v>9</v>
      </c>
      <c r="L813" t="s">
        <v>705</v>
      </c>
      <c r="M813" t="s">
        <v>711</v>
      </c>
      <c r="N813" t="s">
        <v>712</v>
      </c>
      <c r="O813">
        <v>299</v>
      </c>
      <c r="Q813">
        <v>1763</v>
      </c>
      <c r="R813">
        <v>155</v>
      </c>
      <c r="S813">
        <v>4.25</v>
      </c>
      <c r="T813">
        <v>7.1630000000000003</v>
      </c>
      <c r="U813">
        <v>8.58</v>
      </c>
      <c r="V813">
        <v>7493.81</v>
      </c>
      <c r="W813">
        <v>1328</v>
      </c>
      <c r="X813">
        <v>1.5</v>
      </c>
      <c r="Y813">
        <v>865</v>
      </c>
      <c r="Z813">
        <v>8.66</v>
      </c>
      <c r="AJ813">
        <v>2</v>
      </c>
      <c r="AK813">
        <v>18</v>
      </c>
      <c r="AM813">
        <v>0</v>
      </c>
      <c r="AO813" t="s">
        <v>437</v>
      </c>
      <c r="AT813">
        <v>109</v>
      </c>
      <c r="AV813">
        <v>81.599999999999994</v>
      </c>
      <c r="AW813" t="s">
        <v>6</v>
      </c>
      <c r="AX813" t="s">
        <v>6</v>
      </c>
      <c r="AY813" t="s">
        <v>6</v>
      </c>
      <c r="AZ813" t="s">
        <v>6</v>
      </c>
      <c r="BA813" t="s">
        <v>6</v>
      </c>
      <c r="BB813" t="s">
        <v>6</v>
      </c>
      <c r="BC813" t="s">
        <v>6</v>
      </c>
      <c r="BD813" t="s">
        <v>6</v>
      </c>
      <c r="BE813" t="s">
        <v>6</v>
      </c>
      <c r="BF813" t="s">
        <v>6</v>
      </c>
      <c r="BG813" t="s">
        <v>6</v>
      </c>
      <c r="BH813" t="s">
        <v>6</v>
      </c>
      <c r="BI813" t="s">
        <v>6</v>
      </c>
      <c r="BJ813" t="s">
        <v>6</v>
      </c>
      <c r="BN813">
        <v>611.38720000000001</v>
      </c>
      <c r="BO813">
        <v>3204</v>
      </c>
      <c r="BP813">
        <v>0</v>
      </c>
      <c r="BQ813">
        <v>103</v>
      </c>
      <c r="BR813">
        <v>103</v>
      </c>
      <c r="BS813">
        <v>103.13</v>
      </c>
      <c r="BT813">
        <v>0</v>
      </c>
      <c r="BV813">
        <v>6</v>
      </c>
      <c r="BW813" t="s">
        <v>655</v>
      </c>
      <c r="BX813">
        <v>0.27933330000000001</v>
      </c>
      <c r="BY813">
        <v>28.807649999999999</v>
      </c>
      <c r="BZ813">
        <v>0</v>
      </c>
      <c r="CA813">
        <v>1</v>
      </c>
      <c r="CB813">
        <v>0.6</v>
      </c>
      <c r="CC813" s="3">
        <v>7.1269159999999998E-2</v>
      </c>
      <c r="CD813">
        <v>2.875</v>
      </c>
      <c r="CE813">
        <v>2.5</v>
      </c>
      <c r="CF813">
        <v>18</v>
      </c>
      <c r="CG813">
        <v>6</v>
      </c>
      <c r="CH813">
        <v>0</v>
      </c>
      <c r="CI813">
        <v>103.13</v>
      </c>
      <c r="CJ813">
        <v>1652.828</v>
      </c>
    </row>
    <row r="814" spans="1:88">
      <c r="A814">
        <v>813</v>
      </c>
      <c r="B814" t="s">
        <v>0</v>
      </c>
      <c r="C814" t="s">
        <v>1</v>
      </c>
      <c r="D814" t="s">
        <v>111</v>
      </c>
      <c r="E814" t="s">
        <v>202</v>
      </c>
      <c r="F814" t="s">
        <v>156</v>
      </c>
      <c r="G814" t="s">
        <v>15</v>
      </c>
      <c r="H814" t="s">
        <v>157</v>
      </c>
      <c r="J814">
        <v>2</v>
      </c>
      <c r="K814" t="s">
        <v>108</v>
      </c>
      <c r="L814" t="s">
        <v>203</v>
      </c>
      <c r="M814" t="s">
        <v>204</v>
      </c>
      <c r="N814" t="s">
        <v>205</v>
      </c>
      <c r="O814">
        <v>181</v>
      </c>
      <c r="Q814">
        <v>905</v>
      </c>
      <c r="R814">
        <v>118</v>
      </c>
      <c r="S814">
        <v>4.25</v>
      </c>
      <c r="T814">
        <v>4.7640000000000002</v>
      </c>
      <c r="U814">
        <v>7.08</v>
      </c>
      <c r="V814">
        <v>3847.05</v>
      </c>
      <c r="W814">
        <v>835</v>
      </c>
      <c r="X814">
        <v>1.3332999999999999</v>
      </c>
      <c r="Y814">
        <v>632</v>
      </c>
      <c r="Z814">
        <v>6.09</v>
      </c>
      <c r="AJ814">
        <v>2</v>
      </c>
      <c r="AK814">
        <v>18</v>
      </c>
      <c r="AM814">
        <v>0</v>
      </c>
      <c r="AO814" t="s">
        <v>160</v>
      </c>
      <c r="AT814">
        <v>68</v>
      </c>
      <c r="AV814">
        <v>67.8</v>
      </c>
      <c r="AW814" t="s">
        <v>6</v>
      </c>
      <c r="AX814" t="s">
        <v>6</v>
      </c>
      <c r="AY814" t="s">
        <v>6</v>
      </c>
      <c r="AZ814" t="s">
        <v>6</v>
      </c>
      <c r="BA814" t="s">
        <v>6</v>
      </c>
      <c r="BB814" t="s">
        <v>6</v>
      </c>
      <c r="BC814" t="s">
        <v>6</v>
      </c>
      <c r="BD814" t="s">
        <v>6</v>
      </c>
      <c r="BE814" t="s">
        <v>6</v>
      </c>
      <c r="BF814" t="s">
        <v>6</v>
      </c>
      <c r="BG814" t="s">
        <v>6</v>
      </c>
      <c r="BH814" t="s">
        <v>6</v>
      </c>
      <c r="BI814" t="s">
        <v>6</v>
      </c>
      <c r="BJ814" t="s">
        <v>6</v>
      </c>
      <c r="BN814">
        <v>577.74480000000005</v>
      </c>
      <c r="BO814">
        <v>3277</v>
      </c>
      <c r="BP814">
        <v>0</v>
      </c>
      <c r="BQ814">
        <v>62</v>
      </c>
      <c r="BR814">
        <v>62</v>
      </c>
      <c r="BS814">
        <v>62.08</v>
      </c>
      <c r="BT814">
        <v>0</v>
      </c>
      <c r="BV814">
        <v>0</v>
      </c>
      <c r="BW814" t="s">
        <v>655</v>
      </c>
      <c r="BX814">
        <v>0.17</v>
      </c>
      <c r="BY814">
        <v>10.553599999999999</v>
      </c>
      <c r="BZ814">
        <v>0</v>
      </c>
      <c r="CA814">
        <v>1</v>
      </c>
      <c r="CB814">
        <v>0.6</v>
      </c>
      <c r="CC814" s="3">
        <v>7.1269159999999998E-2</v>
      </c>
      <c r="CD814">
        <v>2.875</v>
      </c>
      <c r="CE814">
        <v>2.5</v>
      </c>
      <c r="CF814">
        <v>18</v>
      </c>
      <c r="CG814">
        <v>6</v>
      </c>
      <c r="CH814">
        <v>0</v>
      </c>
      <c r="CI814">
        <v>62.08</v>
      </c>
      <c r="CJ814">
        <v>826.80780000000004</v>
      </c>
    </row>
    <row r="815" spans="1:88">
      <c r="A815">
        <v>814</v>
      </c>
      <c r="B815" t="s">
        <v>0</v>
      </c>
      <c r="C815" t="s">
        <v>1</v>
      </c>
      <c r="D815" t="s">
        <v>519</v>
      </c>
      <c r="E815" t="s">
        <v>172</v>
      </c>
      <c r="F815" t="s">
        <v>520</v>
      </c>
      <c r="G815" t="s">
        <v>15</v>
      </c>
      <c r="H815" t="s">
        <v>519</v>
      </c>
      <c r="J815">
        <v>2</v>
      </c>
      <c r="K815" t="s">
        <v>9</v>
      </c>
      <c r="L815" t="s">
        <v>233</v>
      </c>
      <c r="M815" t="s">
        <v>490</v>
      </c>
      <c r="N815" t="s">
        <v>128</v>
      </c>
      <c r="O815">
        <v>137</v>
      </c>
      <c r="Q815">
        <v>896</v>
      </c>
      <c r="R815">
        <v>151</v>
      </c>
      <c r="S815">
        <v>4.25</v>
      </c>
      <c r="T815">
        <v>3.734</v>
      </c>
      <c r="U815">
        <v>6.48</v>
      </c>
      <c r="V815">
        <v>3808.68</v>
      </c>
      <c r="W815">
        <v>977</v>
      </c>
      <c r="X815">
        <v>1.3332999999999999</v>
      </c>
      <c r="Y815">
        <v>753</v>
      </c>
      <c r="Z815">
        <v>5.0599999999999996</v>
      </c>
      <c r="AJ815">
        <v>2</v>
      </c>
      <c r="AK815">
        <v>18</v>
      </c>
      <c r="AM815">
        <v>0</v>
      </c>
      <c r="AO815" t="s">
        <v>521</v>
      </c>
      <c r="AT815">
        <v>53</v>
      </c>
      <c r="AV815">
        <v>86.7</v>
      </c>
      <c r="AW815" t="s">
        <v>6</v>
      </c>
      <c r="AX815" t="s">
        <v>6</v>
      </c>
      <c r="AY815" t="s">
        <v>6</v>
      </c>
      <c r="AZ815" t="s">
        <v>6</v>
      </c>
      <c r="BA815" t="s">
        <v>6</v>
      </c>
      <c r="BB815" t="s">
        <v>6</v>
      </c>
      <c r="BC815" t="s">
        <v>6</v>
      </c>
      <c r="BD815" t="s">
        <v>6</v>
      </c>
      <c r="BE815" t="s">
        <v>6</v>
      </c>
      <c r="BF815" t="s">
        <v>6</v>
      </c>
      <c r="BG815" t="s">
        <v>6</v>
      </c>
      <c r="BH815" t="s">
        <v>6</v>
      </c>
      <c r="BI815" t="s">
        <v>6</v>
      </c>
      <c r="BJ815" t="s">
        <v>6</v>
      </c>
      <c r="BN815">
        <v>741.91279999999995</v>
      </c>
      <c r="BO815">
        <v>1987</v>
      </c>
      <c r="BP815">
        <v>0</v>
      </c>
      <c r="BQ815">
        <v>47</v>
      </c>
      <c r="BR815">
        <v>47</v>
      </c>
      <c r="BS815">
        <v>46.78</v>
      </c>
      <c r="BT815">
        <v>0</v>
      </c>
      <c r="BV815">
        <v>6</v>
      </c>
      <c r="BW815" t="s">
        <v>655</v>
      </c>
      <c r="BX815">
        <v>0.27933340000000001</v>
      </c>
      <c r="BY815">
        <v>13.067209999999999</v>
      </c>
      <c r="BZ815">
        <v>0</v>
      </c>
      <c r="CA815">
        <v>1</v>
      </c>
      <c r="CB815">
        <v>0.6</v>
      </c>
      <c r="CC815" s="3">
        <v>7.1269159999999998E-2</v>
      </c>
      <c r="CD815">
        <v>2.875</v>
      </c>
      <c r="CE815">
        <v>2.5</v>
      </c>
      <c r="CF815">
        <v>18</v>
      </c>
      <c r="CG815">
        <v>6</v>
      </c>
      <c r="CH815">
        <v>0</v>
      </c>
      <c r="CI815">
        <v>46.78</v>
      </c>
      <c r="CJ815">
        <v>796.40239999999994</v>
      </c>
    </row>
    <row r="816" spans="1:88">
      <c r="A816">
        <v>815</v>
      </c>
      <c r="B816" t="s">
        <v>0</v>
      </c>
      <c r="C816" t="s">
        <v>1</v>
      </c>
      <c r="D816" t="s">
        <v>158</v>
      </c>
      <c r="E816" t="s">
        <v>197</v>
      </c>
      <c r="F816" t="s">
        <v>166</v>
      </c>
      <c r="G816" t="s">
        <v>106</v>
      </c>
      <c r="H816" t="s">
        <v>119</v>
      </c>
      <c r="J816">
        <v>2</v>
      </c>
      <c r="K816" t="s">
        <v>146</v>
      </c>
      <c r="L816" t="s">
        <v>199</v>
      </c>
      <c r="M816" t="s">
        <v>200</v>
      </c>
      <c r="N816" t="s">
        <v>201</v>
      </c>
      <c r="O816">
        <v>173</v>
      </c>
      <c r="Q816">
        <v>568</v>
      </c>
      <c r="R816">
        <v>80</v>
      </c>
      <c r="S816">
        <v>4.25</v>
      </c>
      <c r="T816">
        <v>4.5830000000000002</v>
      </c>
      <c r="U816">
        <v>6.97</v>
      </c>
      <c r="V816">
        <v>2412.59</v>
      </c>
      <c r="W816">
        <v>556</v>
      </c>
      <c r="X816">
        <v>1.3332999999999999</v>
      </c>
      <c r="Y816">
        <v>408</v>
      </c>
      <c r="Z816">
        <v>5.91</v>
      </c>
      <c r="AJ816">
        <v>2</v>
      </c>
      <c r="AK816">
        <v>18</v>
      </c>
      <c r="AM816">
        <v>0</v>
      </c>
      <c r="AO816" t="s">
        <v>286</v>
      </c>
      <c r="AT816">
        <v>65</v>
      </c>
      <c r="AV816">
        <v>44.1</v>
      </c>
      <c r="AW816">
        <v>0.46875</v>
      </c>
      <c r="AX816">
        <v>3.75</v>
      </c>
      <c r="AY816">
        <v>60.75</v>
      </c>
      <c r="AZ816">
        <v>5.5</v>
      </c>
      <c r="BA816">
        <v>333.47</v>
      </c>
      <c r="BB816">
        <v>5.91</v>
      </c>
      <c r="BC816">
        <v>65</v>
      </c>
      <c r="BD816">
        <v>0.3125</v>
      </c>
      <c r="BE816">
        <v>2.75</v>
      </c>
      <c r="BF816">
        <v>48.125</v>
      </c>
      <c r="BG816">
        <v>3.75</v>
      </c>
      <c r="BH816">
        <v>74.75</v>
      </c>
      <c r="BI816">
        <v>8.5500000000000007</v>
      </c>
      <c r="BJ816">
        <v>26</v>
      </c>
      <c r="BL816">
        <v>408.22</v>
      </c>
      <c r="BM816">
        <v>90</v>
      </c>
      <c r="BN816">
        <v>210.43340000000001</v>
      </c>
      <c r="BO816">
        <v>2343</v>
      </c>
      <c r="BP816">
        <v>0</v>
      </c>
      <c r="BQ816">
        <v>59</v>
      </c>
      <c r="BR816">
        <v>59</v>
      </c>
      <c r="BS816">
        <v>59.3</v>
      </c>
      <c r="BT816">
        <v>0</v>
      </c>
      <c r="BV816">
        <v>0</v>
      </c>
      <c r="BW816" t="s">
        <v>655</v>
      </c>
      <c r="BX816">
        <v>0.17</v>
      </c>
      <c r="BY816">
        <v>10.081</v>
      </c>
      <c r="BZ816">
        <v>0</v>
      </c>
      <c r="CA816">
        <v>1</v>
      </c>
      <c r="CB816">
        <v>0.6</v>
      </c>
      <c r="CC816" s="3">
        <v>7.1269159999999998E-2</v>
      </c>
      <c r="CD816">
        <v>2.875</v>
      </c>
      <c r="CE816">
        <v>2.5</v>
      </c>
      <c r="CF816">
        <v>18</v>
      </c>
      <c r="CG816">
        <v>6</v>
      </c>
      <c r="CH816">
        <v>0</v>
      </c>
      <c r="CI816">
        <v>59.3</v>
      </c>
      <c r="CJ816">
        <v>513.49069999999995</v>
      </c>
    </row>
    <row r="817" spans="1:88">
      <c r="A817">
        <v>816</v>
      </c>
      <c r="B817" t="s">
        <v>0</v>
      </c>
      <c r="C817" t="s">
        <v>1</v>
      </c>
      <c r="D817" t="s">
        <v>133</v>
      </c>
      <c r="E817" t="s">
        <v>176</v>
      </c>
      <c r="F817" t="s">
        <v>298</v>
      </c>
      <c r="G817" t="s">
        <v>106</v>
      </c>
      <c r="H817" t="s">
        <v>257</v>
      </c>
      <c r="J817">
        <v>2</v>
      </c>
      <c r="K817" t="s">
        <v>146</v>
      </c>
      <c r="L817" t="s">
        <v>167</v>
      </c>
      <c r="M817" t="s">
        <v>226</v>
      </c>
      <c r="N817" t="s">
        <v>227</v>
      </c>
      <c r="O817">
        <v>113</v>
      </c>
      <c r="Q817">
        <v>427</v>
      </c>
      <c r="R817">
        <v>88</v>
      </c>
      <c r="S817">
        <v>4.25</v>
      </c>
      <c r="T817">
        <v>3.1280000000000001</v>
      </c>
      <c r="U817">
        <v>6.18</v>
      </c>
      <c r="V817">
        <v>1814.02</v>
      </c>
      <c r="W817">
        <v>542</v>
      </c>
      <c r="X817">
        <v>1.3332999999999999</v>
      </c>
      <c r="Y817">
        <v>407</v>
      </c>
      <c r="Z817">
        <v>4.46</v>
      </c>
      <c r="AJ817">
        <v>2</v>
      </c>
      <c r="AK817">
        <v>18</v>
      </c>
      <c r="AM817">
        <v>0</v>
      </c>
      <c r="AO817" t="s">
        <v>301</v>
      </c>
      <c r="AT817">
        <v>45</v>
      </c>
      <c r="AV817">
        <v>49.1</v>
      </c>
      <c r="AW817">
        <v>0</v>
      </c>
      <c r="AX817">
        <v>0</v>
      </c>
      <c r="AY817">
        <v>49.875</v>
      </c>
      <c r="AZ817">
        <v>4.125</v>
      </c>
      <c r="BA817">
        <v>0</v>
      </c>
      <c r="BB817">
        <v>0</v>
      </c>
      <c r="BC817">
        <v>54</v>
      </c>
      <c r="BN817">
        <v>235.40010000000001</v>
      </c>
      <c r="BO817">
        <v>1873</v>
      </c>
      <c r="BP817">
        <v>0</v>
      </c>
      <c r="BQ817">
        <v>38</v>
      </c>
      <c r="BR817">
        <v>38</v>
      </c>
      <c r="BS817">
        <v>38.43</v>
      </c>
      <c r="BT817">
        <v>0</v>
      </c>
      <c r="BV817">
        <v>0</v>
      </c>
      <c r="BW817" t="s">
        <v>655</v>
      </c>
      <c r="BX817">
        <v>0.17</v>
      </c>
      <c r="BY817">
        <v>6.5331000000000001</v>
      </c>
      <c r="BZ817">
        <v>0</v>
      </c>
      <c r="CA817">
        <v>1</v>
      </c>
      <c r="CB817">
        <v>0.6</v>
      </c>
      <c r="CC817" s="3">
        <v>7.1269159999999998E-2</v>
      </c>
      <c r="CD817">
        <v>2.875</v>
      </c>
      <c r="CE817">
        <v>2.5</v>
      </c>
      <c r="CF817">
        <v>18</v>
      </c>
      <c r="CG817">
        <v>6</v>
      </c>
      <c r="CH817">
        <v>0</v>
      </c>
      <c r="CI817">
        <v>38.43</v>
      </c>
      <c r="CJ817">
        <v>371.11739999999998</v>
      </c>
    </row>
    <row r="818" spans="1:88">
      <c r="A818">
        <v>817</v>
      </c>
      <c r="B818" t="s">
        <v>0</v>
      </c>
      <c r="C818" t="s">
        <v>1</v>
      </c>
      <c r="D818" t="s">
        <v>143</v>
      </c>
      <c r="E818" t="s">
        <v>103</v>
      </c>
      <c r="F818" t="s">
        <v>144</v>
      </c>
      <c r="G818" t="s">
        <v>106</v>
      </c>
      <c r="H818" t="s">
        <v>145</v>
      </c>
      <c r="J818">
        <v>2</v>
      </c>
      <c r="K818" t="s">
        <v>146</v>
      </c>
      <c r="L818" t="s">
        <v>455</v>
      </c>
      <c r="M818" t="s">
        <v>315</v>
      </c>
      <c r="N818" t="s">
        <v>316</v>
      </c>
      <c r="O818">
        <v>167</v>
      </c>
      <c r="Q818">
        <v>665</v>
      </c>
      <c r="R818">
        <v>95</v>
      </c>
      <c r="S818">
        <v>4.25</v>
      </c>
      <c r="T818">
        <v>4.4459999999999997</v>
      </c>
      <c r="U818">
        <v>6.86</v>
      </c>
      <c r="V818">
        <v>2824.8</v>
      </c>
      <c r="W818">
        <v>649</v>
      </c>
      <c r="X818">
        <v>1.3332999999999999</v>
      </c>
      <c r="Y818">
        <v>490</v>
      </c>
      <c r="Z818">
        <v>5.77</v>
      </c>
      <c r="AJ818">
        <v>2</v>
      </c>
      <c r="AK818">
        <v>18</v>
      </c>
      <c r="AM818">
        <v>0</v>
      </c>
      <c r="AO818" t="s">
        <v>149</v>
      </c>
      <c r="AT818">
        <v>63</v>
      </c>
      <c r="AV818">
        <v>53.5</v>
      </c>
      <c r="AW818">
        <v>0.4375</v>
      </c>
      <c r="AX818">
        <v>3.75</v>
      </c>
      <c r="AY818">
        <v>52.875</v>
      </c>
      <c r="AZ818">
        <v>5</v>
      </c>
      <c r="BA818">
        <v>269.25</v>
      </c>
      <c r="BB818">
        <v>6.11</v>
      </c>
      <c r="BC818">
        <v>53</v>
      </c>
      <c r="BD818">
        <v>0.40625</v>
      </c>
      <c r="BE818">
        <v>3.75</v>
      </c>
      <c r="BF818">
        <v>44.125</v>
      </c>
      <c r="BG818">
        <v>4.625</v>
      </c>
      <c r="BH818">
        <v>220.31</v>
      </c>
      <c r="BI818">
        <v>6.01</v>
      </c>
      <c r="BJ818">
        <v>42</v>
      </c>
      <c r="BL818">
        <v>489.56</v>
      </c>
      <c r="BM818">
        <v>95</v>
      </c>
      <c r="BN818">
        <v>256.80009999999999</v>
      </c>
      <c r="BO818">
        <v>1574</v>
      </c>
      <c r="BP818">
        <v>0</v>
      </c>
      <c r="BQ818">
        <v>57</v>
      </c>
      <c r="BR818">
        <v>57</v>
      </c>
      <c r="BS818">
        <v>57.21</v>
      </c>
      <c r="BT818">
        <v>0</v>
      </c>
      <c r="BV818">
        <v>0</v>
      </c>
      <c r="BW818" t="s">
        <v>655</v>
      </c>
      <c r="BX818">
        <v>0.17</v>
      </c>
      <c r="BY818">
        <v>9.7257010000000008</v>
      </c>
      <c r="BZ818">
        <v>0</v>
      </c>
      <c r="CA818">
        <v>1</v>
      </c>
      <c r="CB818">
        <v>0.6</v>
      </c>
      <c r="CC818" s="3">
        <v>7.1269159999999998E-2</v>
      </c>
      <c r="CD818">
        <v>2.875</v>
      </c>
      <c r="CE818">
        <v>2.5</v>
      </c>
      <c r="CF818">
        <v>18</v>
      </c>
      <c r="CG818">
        <v>6</v>
      </c>
      <c r="CH818">
        <v>0</v>
      </c>
      <c r="CI818">
        <v>57.21</v>
      </c>
      <c r="CJ818">
        <v>601.40300000000002</v>
      </c>
    </row>
    <row r="819" spans="1:88">
      <c r="A819">
        <v>818</v>
      </c>
      <c r="B819" t="s">
        <v>0</v>
      </c>
      <c r="C819" t="s">
        <v>1</v>
      </c>
      <c r="D819" t="s">
        <v>228</v>
      </c>
      <c r="E819" t="s">
        <v>96</v>
      </c>
      <c r="F819" t="s">
        <v>370</v>
      </c>
      <c r="G819" t="s">
        <v>106</v>
      </c>
      <c r="H819" t="s">
        <v>219</v>
      </c>
      <c r="J819">
        <v>2</v>
      </c>
      <c r="K819" t="s">
        <v>146</v>
      </c>
      <c r="L819" t="s">
        <v>293</v>
      </c>
      <c r="M819" t="s">
        <v>100</v>
      </c>
      <c r="N819" t="s">
        <v>101</v>
      </c>
      <c r="O819">
        <v>131</v>
      </c>
      <c r="Q819">
        <v>343</v>
      </c>
      <c r="R819">
        <v>64</v>
      </c>
      <c r="S819">
        <v>4.25</v>
      </c>
      <c r="T819">
        <v>3.5859999999999999</v>
      </c>
      <c r="U819">
        <v>6.37</v>
      </c>
      <c r="V819">
        <v>1457.24</v>
      </c>
      <c r="W819">
        <v>409</v>
      </c>
      <c r="X819">
        <v>1.3332999999999999</v>
      </c>
      <c r="Y819">
        <v>297</v>
      </c>
      <c r="Z819">
        <v>4.91</v>
      </c>
      <c r="AJ819">
        <v>2</v>
      </c>
      <c r="AK819">
        <v>18</v>
      </c>
      <c r="AM819">
        <v>0</v>
      </c>
      <c r="AO819" t="s">
        <v>220</v>
      </c>
      <c r="AT819">
        <v>51</v>
      </c>
      <c r="AV819">
        <v>34.299999999999997</v>
      </c>
      <c r="AW819">
        <v>0</v>
      </c>
      <c r="AX819">
        <v>0</v>
      </c>
      <c r="AY819">
        <v>48</v>
      </c>
      <c r="AZ819">
        <v>4.25</v>
      </c>
      <c r="BA819">
        <v>0</v>
      </c>
      <c r="BB819">
        <v>0</v>
      </c>
      <c r="BC819">
        <v>49</v>
      </c>
      <c r="BN819">
        <v>162.2834</v>
      </c>
      <c r="BO819">
        <v>3940</v>
      </c>
      <c r="BP819">
        <v>0</v>
      </c>
      <c r="BQ819">
        <v>45</v>
      </c>
      <c r="BR819">
        <v>45</v>
      </c>
      <c r="BS819">
        <v>44.69</v>
      </c>
      <c r="BT819">
        <v>0</v>
      </c>
      <c r="BV819">
        <v>0</v>
      </c>
      <c r="BW819" t="s">
        <v>655</v>
      </c>
      <c r="BX819">
        <v>0.17</v>
      </c>
      <c r="BY819">
        <v>7.5972999999999997</v>
      </c>
      <c r="BZ819">
        <v>0</v>
      </c>
      <c r="CA819">
        <v>1</v>
      </c>
      <c r="CB819">
        <v>0.6</v>
      </c>
      <c r="CC819" s="3">
        <v>7.1269159999999998E-2</v>
      </c>
      <c r="CD819">
        <v>2.875</v>
      </c>
      <c r="CE819">
        <v>2.5</v>
      </c>
      <c r="CF819">
        <v>18</v>
      </c>
      <c r="CG819">
        <v>6</v>
      </c>
      <c r="CH819">
        <v>0</v>
      </c>
      <c r="CI819">
        <v>44.69</v>
      </c>
      <c r="CJ819">
        <v>300.98430000000002</v>
      </c>
    </row>
    <row r="820" spans="1:88">
      <c r="A820">
        <v>819</v>
      </c>
      <c r="B820" t="s">
        <v>0</v>
      </c>
      <c r="C820" t="s">
        <v>1</v>
      </c>
      <c r="D820" t="s">
        <v>178</v>
      </c>
      <c r="E820" t="s">
        <v>143</v>
      </c>
      <c r="F820" t="s">
        <v>408</v>
      </c>
      <c r="G820" t="s">
        <v>106</v>
      </c>
      <c r="H820" t="s">
        <v>141</v>
      </c>
      <c r="J820">
        <v>2</v>
      </c>
      <c r="K820" t="s">
        <v>146</v>
      </c>
      <c r="L820" t="s">
        <v>297</v>
      </c>
      <c r="M820" t="s">
        <v>206</v>
      </c>
      <c r="N820" t="s">
        <v>131</v>
      </c>
      <c r="O820">
        <v>155</v>
      </c>
      <c r="Q820">
        <v>372</v>
      </c>
      <c r="R820">
        <v>60</v>
      </c>
      <c r="S820">
        <v>4.25</v>
      </c>
      <c r="T820">
        <v>4.1660000000000004</v>
      </c>
      <c r="U820">
        <v>6.78</v>
      </c>
      <c r="V820">
        <v>1579</v>
      </c>
      <c r="W820">
        <v>408</v>
      </c>
      <c r="X820">
        <v>1.5</v>
      </c>
      <c r="Y820">
        <v>279</v>
      </c>
      <c r="Z820">
        <v>5.66</v>
      </c>
      <c r="AJ820">
        <v>2</v>
      </c>
      <c r="AK820">
        <v>18</v>
      </c>
      <c r="AM820">
        <v>0</v>
      </c>
      <c r="AO820" t="s">
        <v>409</v>
      </c>
      <c r="AT820">
        <v>59</v>
      </c>
      <c r="AV820">
        <v>31.7</v>
      </c>
      <c r="AW820">
        <v>0</v>
      </c>
      <c r="AX820">
        <v>0</v>
      </c>
      <c r="AY820">
        <v>51</v>
      </c>
      <c r="AZ820">
        <v>5</v>
      </c>
      <c r="BA820">
        <v>0</v>
      </c>
      <c r="BB820">
        <v>0</v>
      </c>
      <c r="BC820">
        <v>52</v>
      </c>
      <c r="BN820">
        <v>149.80000000000001</v>
      </c>
      <c r="BO820">
        <v>4624</v>
      </c>
      <c r="BP820">
        <v>0</v>
      </c>
      <c r="BQ820">
        <v>53</v>
      </c>
      <c r="BR820">
        <v>53</v>
      </c>
      <c r="BS820">
        <v>53.04</v>
      </c>
      <c r="BT820">
        <v>0</v>
      </c>
      <c r="BV820">
        <v>0</v>
      </c>
      <c r="BW820" t="s">
        <v>655</v>
      </c>
      <c r="BX820">
        <v>0.17</v>
      </c>
      <c r="BY820">
        <v>9.0167999999999999</v>
      </c>
      <c r="BZ820">
        <v>0</v>
      </c>
      <c r="CA820">
        <v>1</v>
      </c>
      <c r="CB820">
        <v>0.6</v>
      </c>
      <c r="CC820" s="3">
        <v>7.1269159999999998E-2</v>
      </c>
      <c r="CD820">
        <v>2.875</v>
      </c>
      <c r="CE820">
        <v>2.5</v>
      </c>
      <c r="CF820">
        <v>18</v>
      </c>
      <c r="CG820">
        <v>6</v>
      </c>
      <c r="CH820">
        <v>0</v>
      </c>
      <c r="CI820">
        <v>53.04</v>
      </c>
      <c r="CJ820">
        <v>330.76010000000002</v>
      </c>
    </row>
    <row r="821" spans="1:88">
      <c r="A821">
        <v>820</v>
      </c>
      <c r="B821" t="s">
        <v>13</v>
      </c>
      <c r="C821" t="s">
        <v>1</v>
      </c>
      <c r="D821" t="s">
        <v>621</v>
      </c>
      <c r="E821" t="s">
        <v>227</v>
      </c>
      <c r="F821" t="s">
        <v>549</v>
      </c>
      <c r="G821" t="s">
        <v>15</v>
      </c>
      <c r="H821" t="s">
        <v>622</v>
      </c>
      <c r="J821">
        <v>2</v>
      </c>
      <c r="K821" t="s">
        <v>108</v>
      </c>
      <c r="L821" t="s">
        <v>330</v>
      </c>
      <c r="M821" t="s">
        <v>129</v>
      </c>
      <c r="N821" t="s">
        <v>169</v>
      </c>
      <c r="O821">
        <v>116</v>
      </c>
      <c r="Q821">
        <v>708</v>
      </c>
      <c r="R821">
        <v>139</v>
      </c>
      <c r="S821">
        <v>4.25</v>
      </c>
      <c r="T821">
        <v>3.206</v>
      </c>
      <c r="U821">
        <v>6.22</v>
      </c>
      <c r="V821">
        <v>3009.8</v>
      </c>
      <c r="W821">
        <v>867</v>
      </c>
      <c r="X821">
        <v>1.3332999999999999</v>
      </c>
      <c r="Y821">
        <v>664</v>
      </c>
      <c r="Z821">
        <v>4.53</v>
      </c>
      <c r="AJ821">
        <v>2</v>
      </c>
      <c r="AK821">
        <v>18</v>
      </c>
      <c r="AM821">
        <v>0</v>
      </c>
      <c r="AO821" t="s">
        <v>623</v>
      </c>
      <c r="AT821">
        <v>46</v>
      </c>
      <c r="AV821">
        <v>80.099999999999994</v>
      </c>
      <c r="AW821">
        <v>0.5</v>
      </c>
      <c r="AX821">
        <v>5.625</v>
      </c>
      <c r="AY821">
        <v>41.25</v>
      </c>
      <c r="AZ821">
        <v>4.5</v>
      </c>
      <c r="BA821">
        <v>435.06</v>
      </c>
      <c r="BB821">
        <v>5.34</v>
      </c>
      <c r="BC821">
        <v>74</v>
      </c>
      <c r="BD821">
        <v>0.375</v>
      </c>
      <c r="BE821">
        <v>3.75</v>
      </c>
      <c r="BF821">
        <v>28.125</v>
      </c>
      <c r="BG821">
        <v>3.375</v>
      </c>
      <c r="BH821">
        <v>229.34</v>
      </c>
      <c r="BI821">
        <v>4.6900000000000004</v>
      </c>
      <c r="BJ821">
        <v>25</v>
      </c>
      <c r="BL821">
        <v>664.4</v>
      </c>
      <c r="BM821">
        <v>98</v>
      </c>
      <c r="BN821">
        <v>685.08529999999996</v>
      </c>
      <c r="BO821">
        <v>2331</v>
      </c>
      <c r="BP821">
        <v>0</v>
      </c>
      <c r="BQ821">
        <v>39</v>
      </c>
      <c r="BR821">
        <v>39</v>
      </c>
      <c r="BS821">
        <v>39.47</v>
      </c>
      <c r="BT821">
        <v>0</v>
      </c>
      <c r="BV821">
        <v>0</v>
      </c>
      <c r="BW821" t="s">
        <v>655</v>
      </c>
      <c r="BX821">
        <v>0.17</v>
      </c>
      <c r="BY821">
        <v>6.7099010000000003</v>
      </c>
      <c r="BZ821">
        <v>0</v>
      </c>
      <c r="CA821">
        <v>1</v>
      </c>
      <c r="CB821">
        <v>0.6</v>
      </c>
      <c r="CC821" s="3">
        <v>7.1269159999999998E-2</v>
      </c>
      <c r="CD821">
        <v>2.875</v>
      </c>
      <c r="CE821">
        <v>2.5</v>
      </c>
      <c r="CF821">
        <v>18</v>
      </c>
      <c r="CG821">
        <v>6</v>
      </c>
      <c r="CH821">
        <v>0</v>
      </c>
      <c r="CI821">
        <v>39.47</v>
      </c>
      <c r="CJ821">
        <v>621.32000000000005</v>
      </c>
    </row>
    <row r="822" spans="1:88">
      <c r="A822">
        <v>821</v>
      </c>
      <c r="B822" t="s">
        <v>0</v>
      </c>
      <c r="C822" t="s">
        <v>1</v>
      </c>
      <c r="D822" t="s">
        <v>397</v>
      </c>
      <c r="E822" t="s">
        <v>619</v>
      </c>
      <c r="F822" t="s">
        <v>625</v>
      </c>
      <c r="G822" t="s">
        <v>15</v>
      </c>
      <c r="H822" t="s">
        <v>626</v>
      </c>
      <c r="J822">
        <v>2</v>
      </c>
      <c r="K822" t="s">
        <v>108</v>
      </c>
      <c r="L822" t="s">
        <v>328</v>
      </c>
      <c r="M822" t="s">
        <v>627</v>
      </c>
      <c r="N822" t="s">
        <v>628</v>
      </c>
      <c r="O822">
        <v>231</v>
      </c>
      <c r="Q822">
        <v>1248</v>
      </c>
      <c r="R822">
        <v>141</v>
      </c>
      <c r="S822">
        <v>4.25</v>
      </c>
      <c r="T822">
        <v>5.835</v>
      </c>
      <c r="U822">
        <v>7.76</v>
      </c>
      <c r="V822">
        <v>5304.97</v>
      </c>
      <c r="W822">
        <v>1094</v>
      </c>
      <c r="X822">
        <v>1.5</v>
      </c>
      <c r="Y822">
        <v>724</v>
      </c>
      <c r="Z822">
        <v>7.33</v>
      </c>
      <c r="AJ822">
        <v>2</v>
      </c>
      <c r="AK822">
        <v>18</v>
      </c>
      <c r="AM822">
        <v>0</v>
      </c>
      <c r="AO822" t="s">
        <v>450</v>
      </c>
      <c r="AT822">
        <v>86</v>
      </c>
      <c r="AV822">
        <v>74.3</v>
      </c>
      <c r="AW822" t="s">
        <v>6</v>
      </c>
      <c r="AX822" t="s">
        <v>6</v>
      </c>
      <c r="AY822" t="s">
        <v>6</v>
      </c>
      <c r="AZ822" t="s">
        <v>6</v>
      </c>
      <c r="BA822" t="s">
        <v>6</v>
      </c>
      <c r="BB822" t="s">
        <v>6</v>
      </c>
      <c r="BC822" t="s">
        <v>6</v>
      </c>
      <c r="BD822" t="s">
        <v>6</v>
      </c>
      <c r="BE822" t="s">
        <v>6</v>
      </c>
      <c r="BF822" t="s">
        <v>6</v>
      </c>
      <c r="BG822" t="s">
        <v>6</v>
      </c>
      <c r="BH822" t="s">
        <v>6</v>
      </c>
      <c r="BI822" t="s">
        <v>6</v>
      </c>
      <c r="BJ822" t="s">
        <v>6</v>
      </c>
      <c r="BN822">
        <v>634.57209999999998</v>
      </c>
      <c r="BO822">
        <v>2716</v>
      </c>
      <c r="BP822">
        <v>0</v>
      </c>
      <c r="BQ822">
        <v>79</v>
      </c>
      <c r="BR822">
        <v>79</v>
      </c>
      <c r="BS822">
        <v>79.47</v>
      </c>
      <c r="BT822">
        <v>0</v>
      </c>
      <c r="BV822">
        <v>0</v>
      </c>
      <c r="BW822" t="s">
        <v>655</v>
      </c>
      <c r="BX822">
        <v>0.17</v>
      </c>
      <c r="BY822">
        <v>13.5099</v>
      </c>
      <c r="BZ822">
        <v>0</v>
      </c>
      <c r="CA822">
        <v>1</v>
      </c>
      <c r="CB822">
        <v>0.6</v>
      </c>
      <c r="CC822" s="3">
        <v>7.1269159999999998E-2</v>
      </c>
      <c r="CD822">
        <v>2.875</v>
      </c>
      <c r="CE822">
        <v>2.5</v>
      </c>
      <c r="CF822">
        <v>18</v>
      </c>
      <c r="CG822">
        <v>6</v>
      </c>
      <c r="CH822">
        <v>0</v>
      </c>
      <c r="CI822">
        <v>79.47</v>
      </c>
      <c r="CJ822">
        <v>1160.3630000000001</v>
      </c>
    </row>
    <row r="823" spans="1:88">
      <c r="A823">
        <v>822</v>
      </c>
      <c r="B823" t="s">
        <v>13</v>
      </c>
      <c r="C823" t="s">
        <v>1</v>
      </c>
      <c r="D823" t="s">
        <v>172</v>
      </c>
      <c r="E823" t="s">
        <v>167</v>
      </c>
      <c r="F823" t="s">
        <v>359</v>
      </c>
      <c r="G823" t="s">
        <v>106</v>
      </c>
      <c r="H823" t="s">
        <v>330</v>
      </c>
      <c r="J823">
        <v>2</v>
      </c>
      <c r="K823" t="s">
        <v>146</v>
      </c>
      <c r="L823" t="s">
        <v>207</v>
      </c>
      <c r="M823" t="s">
        <v>327</v>
      </c>
      <c r="N823" t="s">
        <v>330</v>
      </c>
      <c r="O823">
        <v>133</v>
      </c>
      <c r="Q823">
        <v>474</v>
      </c>
      <c r="R823">
        <v>84</v>
      </c>
      <c r="S823">
        <v>4.25</v>
      </c>
      <c r="T823">
        <v>3.6349999999999998</v>
      </c>
      <c r="U823">
        <v>6.41</v>
      </c>
      <c r="V823">
        <v>2012.92</v>
      </c>
      <c r="W823">
        <v>540</v>
      </c>
      <c r="X823">
        <v>1.3332999999999999</v>
      </c>
      <c r="Y823">
        <v>406</v>
      </c>
      <c r="Z823">
        <v>4.96</v>
      </c>
      <c r="AJ823">
        <v>2</v>
      </c>
      <c r="AK823">
        <v>18</v>
      </c>
      <c r="AM823">
        <v>0</v>
      </c>
      <c r="AO823" t="s">
        <v>360</v>
      </c>
      <c r="AT823">
        <v>52</v>
      </c>
      <c r="AV823">
        <v>47</v>
      </c>
      <c r="AW823">
        <v>0.46875</v>
      </c>
      <c r="AX823">
        <v>3.75</v>
      </c>
      <c r="AY823">
        <v>51</v>
      </c>
      <c r="AZ823">
        <v>4.625</v>
      </c>
      <c r="BA823">
        <v>397.34</v>
      </c>
      <c r="BB823">
        <v>4.96</v>
      </c>
      <c r="BC823">
        <v>55</v>
      </c>
      <c r="BD823">
        <v>0.1875</v>
      </c>
      <c r="BE823">
        <v>2.75</v>
      </c>
      <c r="BF823">
        <v>31.375</v>
      </c>
      <c r="BG823">
        <v>1.875</v>
      </c>
      <c r="BH823">
        <v>8.4799989999999994</v>
      </c>
      <c r="BI823">
        <v>17.87</v>
      </c>
      <c r="BJ823">
        <v>11</v>
      </c>
      <c r="BL823">
        <v>405.82</v>
      </c>
      <c r="BM823">
        <v>65</v>
      </c>
      <c r="BN823">
        <v>224.70009999999999</v>
      </c>
      <c r="BO823">
        <v>2055</v>
      </c>
      <c r="BP823">
        <v>0</v>
      </c>
      <c r="BQ823">
        <v>45</v>
      </c>
      <c r="BR823">
        <v>45</v>
      </c>
      <c r="BS823">
        <v>45.39</v>
      </c>
      <c r="BT823">
        <v>0</v>
      </c>
      <c r="BV823">
        <v>0</v>
      </c>
      <c r="BW823" t="s">
        <v>655</v>
      </c>
      <c r="BX823">
        <v>0.17</v>
      </c>
      <c r="BY823">
        <v>7.7163000000000004</v>
      </c>
      <c r="BZ823">
        <v>0</v>
      </c>
      <c r="CA823">
        <v>1</v>
      </c>
      <c r="CB823">
        <v>0.6</v>
      </c>
      <c r="CC823" s="3">
        <v>7.1269159999999998E-2</v>
      </c>
      <c r="CD823">
        <v>2.875</v>
      </c>
      <c r="CE823">
        <v>2.5</v>
      </c>
      <c r="CF823">
        <v>18</v>
      </c>
      <c r="CG823">
        <v>6</v>
      </c>
      <c r="CH823">
        <v>0</v>
      </c>
      <c r="CI823">
        <v>45.39</v>
      </c>
      <c r="CJ823">
        <v>418.9205</v>
      </c>
    </row>
    <row r="824" spans="1:88">
      <c r="A824">
        <v>823</v>
      </c>
      <c r="B824" t="s">
        <v>13</v>
      </c>
      <c r="C824" t="s">
        <v>1</v>
      </c>
      <c r="D824" t="s">
        <v>268</v>
      </c>
      <c r="E824" t="s">
        <v>172</v>
      </c>
      <c r="F824" t="s">
        <v>308</v>
      </c>
      <c r="G824" t="s">
        <v>106</v>
      </c>
      <c r="H824" t="s">
        <v>174</v>
      </c>
      <c r="J824">
        <v>2</v>
      </c>
      <c r="K824" t="s">
        <v>146</v>
      </c>
      <c r="L824" t="s">
        <v>233</v>
      </c>
      <c r="M824" t="s">
        <v>490</v>
      </c>
      <c r="N824" t="s">
        <v>128</v>
      </c>
      <c r="O824">
        <v>137</v>
      </c>
      <c r="Q824">
        <v>435</v>
      </c>
      <c r="R824">
        <v>76</v>
      </c>
      <c r="S824">
        <v>4.25</v>
      </c>
      <c r="T824">
        <v>3.734</v>
      </c>
      <c r="U824">
        <v>6.48</v>
      </c>
      <c r="V824">
        <v>1848.49</v>
      </c>
      <c r="W824">
        <v>494</v>
      </c>
      <c r="X824">
        <v>1.3332999999999999</v>
      </c>
      <c r="Y824">
        <v>365</v>
      </c>
      <c r="Z824">
        <v>5.0599999999999996</v>
      </c>
      <c r="AJ824">
        <v>2</v>
      </c>
      <c r="AK824">
        <v>18</v>
      </c>
      <c r="AM824">
        <v>0</v>
      </c>
      <c r="AO824" t="s">
        <v>312</v>
      </c>
      <c r="AT824">
        <v>53</v>
      </c>
      <c r="AV824">
        <v>41.9</v>
      </c>
      <c r="AW824">
        <v>0</v>
      </c>
      <c r="AX824">
        <v>0</v>
      </c>
      <c r="AY824">
        <v>55.5</v>
      </c>
      <c r="AZ824">
        <v>4.75</v>
      </c>
      <c r="BA824">
        <v>0</v>
      </c>
      <c r="BB824">
        <v>0</v>
      </c>
      <c r="BC824">
        <v>60</v>
      </c>
      <c r="BN824">
        <v>199.73339999999999</v>
      </c>
      <c r="BO824">
        <v>2601</v>
      </c>
      <c r="BP824">
        <v>0</v>
      </c>
      <c r="BQ824">
        <v>47</v>
      </c>
      <c r="BR824">
        <v>47</v>
      </c>
      <c r="BS824">
        <v>46.78</v>
      </c>
      <c r="BT824">
        <v>0</v>
      </c>
      <c r="BV824">
        <v>0</v>
      </c>
      <c r="BW824" t="s">
        <v>655</v>
      </c>
      <c r="BX824">
        <v>0.17</v>
      </c>
      <c r="BY824">
        <v>7.9526000000000003</v>
      </c>
      <c r="BZ824">
        <v>0</v>
      </c>
      <c r="CA824">
        <v>1</v>
      </c>
      <c r="CB824">
        <v>0.6</v>
      </c>
      <c r="CC824" s="3">
        <v>7.1269159999999998E-2</v>
      </c>
      <c r="CD824">
        <v>2.875</v>
      </c>
      <c r="CE824">
        <v>2.5</v>
      </c>
      <c r="CF824">
        <v>18</v>
      </c>
      <c r="CG824">
        <v>6</v>
      </c>
      <c r="CH824">
        <v>0</v>
      </c>
      <c r="CI824">
        <v>46.78</v>
      </c>
      <c r="CJ824">
        <v>385.07369999999997</v>
      </c>
    </row>
    <row r="825" spans="1:88">
      <c r="A825">
        <v>824</v>
      </c>
      <c r="B825" t="s">
        <v>13</v>
      </c>
      <c r="C825" t="s">
        <v>1</v>
      </c>
      <c r="D825" t="s">
        <v>340</v>
      </c>
      <c r="E825" t="s">
        <v>258</v>
      </c>
      <c r="F825" t="s">
        <v>384</v>
      </c>
      <c r="G825" t="s">
        <v>106</v>
      </c>
      <c r="H825" t="s">
        <v>172</v>
      </c>
      <c r="J825">
        <v>2</v>
      </c>
      <c r="K825" t="s">
        <v>146</v>
      </c>
      <c r="L825" t="s">
        <v>14</v>
      </c>
      <c r="M825" t="s">
        <v>260</v>
      </c>
      <c r="N825" t="s">
        <v>120</v>
      </c>
      <c r="O825">
        <v>162</v>
      </c>
      <c r="Q825">
        <v>573</v>
      </c>
      <c r="R825">
        <v>85</v>
      </c>
      <c r="S825">
        <v>4.25</v>
      </c>
      <c r="T825">
        <v>4.33</v>
      </c>
      <c r="U825">
        <v>6.82</v>
      </c>
      <c r="V825">
        <v>2433.9699999999998</v>
      </c>
      <c r="W825">
        <v>579</v>
      </c>
      <c r="X825">
        <v>1.3332999999999999</v>
      </c>
      <c r="Y825">
        <v>430</v>
      </c>
      <c r="Z825">
        <v>5.66</v>
      </c>
      <c r="AJ825">
        <v>2</v>
      </c>
      <c r="AK825">
        <v>18</v>
      </c>
      <c r="AM825">
        <v>0</v>
      </c>
      <c r="AO825" t="s">
        <v>490</v>
      </c>
      <c r="AT825">
        <v>62</v>
      </c>
      <c r="AV825">
        <v>47.3</v>
      </c>
      <c r="AW825">
        <v>0.46875</v>
      </c>
      <c r="AX825">
        <v>3.75</v>
      </c>
      <c r="AY825">
        <v>58.25</v>
      </c>
      <c r="AZ825">
        <v>5.25</v>
      </c>
      <c r="BA825">
        <v>348.2</v>
      </c>
      <c r="BB825">
        <v>5.66</v>
      </c>
      <c r="BC825">
        <v>63</v>
      </c>
      <c r="BD825">
        <v>0.3125</v>
      </c>
      <c r="BE825">
        <v>2.75</v>
      </c>
      <c r="BF825">
        <v>44</v>
      </c>
      <c r="BG825">
        <v>3.5</v>
      </c>
      <c r="BH825">
        <v>81.819999999999993</v>
      </c>
      <c r="BI825">
        <v>7.81</v>
      </c>
      <c r="BJ825">
        <v>23</v>
      </c>
      <c r="BL825">
        <v>430.02</v>
      </c>
      <c r="BM825">
        <v>85</v>
      </c>
      <c r="BN825">
        <v>226.48339999999999</v>
      </c>
      <c r="BO825">
        <v>2023</v>
      </c>
      <c r="BP825">
        <v>0</v>
      </c>
      <c r="BQ825">
        <v>55</v>
      </c>
      <c r="BR825">
        <v>55</v>
      </c>
      <c r="BS825">
        <v>55.47</v>
      </c>
      <c r="BT825">
        <v>0</v>
      </c>
      <c r="BV825">
        <v>0</v>
      </c>
      <c r="BW825" t="s">
        <v>655</v>
      </c>
      <c r="BX825">
        <v>0.17</v>
      </c>
      <c r="BY825">
        <v>9.4298999999999999</v>
      </c>
      <c r="BZ825">
        <v>0</v>
      </c>
      <c r="CA825">
        <v>1</v>
      </c>
      <c r="CB825">
        <v>0.6</v>
      </c>
      <c r="CC825" s="3">
        <v>7.1269159999999998E-2</v>
      </c>
      <c r="CD825">
        <v>2.875</v>
      </c>
      <c r="CE825">
        <v>2.5</v>
      </c>
      <c r="CF825">
        <v>18</v>
      </c>
      <c r="CG825">
        <v>6</v>
      </c>
      <c r="CH825">
        <v>0</v>
      </c>
      <c r="CI825">
        <v>55.47</v>
      </c>
      <c r="CJ825">
        <v>515.90570000000002</v>
      </c>
    </row>
    <row r="826" spans="1:88">
      <c r="A826">
        <v>825</v>
      </c>
      <c r="B826" t="s">
        <v>0</v>
      </c>
      <c r="C826" t="s">
        <v>1</v>
      </c>
      <c r="D826" t="s">
        <v>169</v>
      </c>
      <c r="E826" t="s">
        <v>381</v>
      </c>
      <c r="F826" t="s">
        <v>404</v>
      </c>
      <c r="G826" t="s">
        <v>106</v>
      </c>
      <c r="H826" t="s">
        <v>190</v>
      </c>
      <c r="J826">
        <v>2</v>
      </c>
      <c r="K826" t="s">
        <v>146</v>
      </c>
      <c r="L826" t="s">
        <v>267</v>
      </c>
      <c r="M826" t="s">
        <v>384</v>
      </c>
      <c r="N826" t="s">
        <v>257</v>
      </c>
      <c r="O826">
        <v>139</v>
      </c>
      <c r="Q826">
        <v>426</v>
      </c>
      <c r="R826">
        <v>74</v>
      </c>
      <c r="S826">
        <v>4.25</v>
      </c>
      <c r="T826">
        <v>3.7829999999999999</v>
      </c>
      <c r="U826">
        <v>6.52</v>
      </c>
      <c r="V826">
        <v>1809.48</v>
      </c>
      <c r="W826">
        <v>482</v>
      </c>
      <c r="X826">
        <v>1.3332999999999999</v>
      </c>
      <c r="Y826">
        <v>354</v>
      </c>
      <c r="Z826">
        <v>5.1100000000000003</v>
      </c>
      <c r="AJ826">
        <v>2</v>
      </c>
      <c r="AK826">
        <v>18</v>
      </c>
      <c r="AM826">
        <v>0</v>
      </c>
      <c r="AO826" t="s">
        <v>406</v>
      </c>
      <c r="AT826">
        <v>54</v>
      </c>
      <c r="AV826">
        <v>40.4</v>
      </c>
      <c r="AW826">
        <v>0</v>
      </c>
      <c r="AX826">
        <v>0</v>
      </c>
      <c r="AY826">
        <v>57.25</v>
      </c>
      <c r="AZ826">
        <v>4.75</v>
      </c>
      <c r="BA826">
        <v>0</v>
      </c>
      <c r="BB826">
        <v>0</v>
      </c>
      <c r="BC826">
        <v>61</v>
      </c>
      <c r="BN826">
        <v>192.6</v>
      </c>
      <c r="BO826">
        <v>2797</v>
      </c>
      <c r="BP826">
        <v>0</v>
      </c>
      <c r="BQ826">
        <v>47</v>
      </c>
      <c r="BR826">
        <v>47</v>
      </c>
      <c r="BS826">
        <v>47.47</v>
      </c>
      <c r="BT826">
        <v>0</v>
      </c>
      <c r="BV826">
        <v>0</v>
      </c>
      <c r="BW826" t="s">
        <v>655</v>
      </c>
      <c r="BX826">
        <v>0.17</v>
      </c>
      <c r="BY826">
        <v>8.0699009999999998</v>
      </c>
      <c r="BZ826">
        <v>0</v>
      </c>
      <c r="CA826">
        <v>1</v>
      </c>
      <c r="CB826">
        <v>0.6</v>
      </c>
      <c r="CC826" s="3">
        <v>7.1269159999999998E-2</v>
      </c>
      <c r="CD826">
        <v>2.875</v>
      </c>
      <c r="CE826">
        <v>2.5</v>
      </c>
      <c r="CF826">
        <v>18</v>
      </c>
      <c r="CG826">
        <v>6</v>
      </c>
      <c r="CH826">
        <v>0</v>
      </c>
      <c r="CI826">
        <v>47.47</v>
      </c>
      <c r="CJ826">
        <v>377.22089999999997</v>
      </c>
    </row>
    <row r="827" spans="1:88">
      <c r="A827">
        <v>826</v>
      </c>
      <c r="B827" t="s">
        <v>0</v>
      </c>
      <c r="C827" t="s">
        <v>1</v>
      </c>
      <c r="D827" t="s">
        <v>332</v>
      </c>
      <c r="E827" t="s">
        <v>284</v>
      </c>
      <c r="F827" t="s">
        <v>333</v>
      </c>
      <c r="G827" t="s">
        <v>106</v>
      </c>
      <c r="H827" t="s">
        <v>334</v>
      </c>
      <c r="J827">
        <v>2</v>
      </c>
      <c r="K827" t="s">
        <v>146</v>
      </c>
      <c r="L827" t="s">
        <v>217</v>
      </c>
      <c r="M827" t="s">
        <v>285</v>
      </c>
      <c r="N827" t="s">
        <v>342</v>
      </c>
      <c r="O827">
        <v>86</v>
      </c>
      <c r="Q827">
        <v>174</v>
      </c>
      <c r="R827">
        <v>45</v>
      </c>
      <c r="S827">
        <v>4.25</v>
      </c>
      <c r="T827">
        <v>2.4009999999999998</v>
      </c>
      <c r="U827">
        <v>5.62</v>
      </c>
      <c r="V827">
        <v>739.45</v>
      </c>
      <c r="W827">
        <v>252</v>
      </c>
      <c r="X827">
        <v>1.3332999999999999</v>
      </c>
      <c r="Y827">
        <v>198</v>
      </c>
      <c r="Z827">
        <v>3.73</v>
      </c>
      <c r="AJ827">
        <v>2</v>
      </c>
      <c r="AK827">
        <v>18</v>
      </c>
      <c r="AM827">
        <v>0</v>
      </c>
      <c r="AO827" t="s">
        <v>335</v>
      </c>
      <c r="AT827">
        <v>35</v>
      </c>
      <c r="AV827">
        <v>25.2</v>
      </c>
      <c r="AW827">
        <v>0</v>
      </c>
      <c r="AX827">
        <v>0</v>
      </c>
      <c r="AY827">
        <v>32.625</v>
      </c>
      <c r="AZ827">
        <v>2.75</v>
      </c>
      <c r="BA827">
        <v>0</v>
      </c>
      <c r="BB827">
        <v>0</v>
      </c>
      <c r="BC827">
        <v>29</v>
      </c>
      <c r="BN827">
        <v>117.7</v>
      </c>
      <c r="BO827">
        <v>7491</v>
      </c>
      <c r="BP827">
        <v>0</v>
      </c>
      <c r="BQ827">
        <v>29</v>
      </c>
      <c r="BR827">
        <v>29</v>
      </c>
      <c r="BS827">
        <v>29.04</v>
      </c>
      <c r="BT827">
        <v>0</v>
      </c>
      <c r="BV827">
        <v>0</v>
      </c>
      <c r="BW827" t="s">
        <v>655</v>
      </c>
      <c r="BX827">
        <v>0.17</v>
      </c>
      <c r="BY827">
        <v>4.9367999999999999</v>
      </c>
      <c r="BZ827">
        <v>0</v>
      </c>
      <c r="CA827">
        <v>1</v>
      </c>
      <c r="CB827">
        <v>0.6</v>
      </c>
      <c r="CC827" s="3">
        <v>7.1269159999999998E-2</v>
      </c>
      <c r="CD827">
        <v>2.875</v>
      </c>
      <c r="CE827">
        <v>2.5</v>
      </c>
      <c r="CF827">
        <v>18</v>
      </c>
      <c r="CG827">
        <v>6</v>
      </c>
      <c r="CH827">
        <v>0</v>
      </c>
      <c r="CI827">
        <v>29.04</v>
      </c>
      <c r="CJ827">
        <v>143.84110000000001</v>
      </c>
    </row>
    <row r="828" spans="1:88">
      <c r="A828">
        <v>827</v>
      </c>
      <c r="B828" t="s">
        <v>13</v>
      </c>
      <c r="C828" t="s">
        <v>1</v>
      </c>
      <c r="D828" t="s">
        <v>158</v>
      </c>
      <c r="E828" t="s">
        <v>235</v>
      </c>
      <c r="F828" t="s">
        <v>166</v>
      </c>
      <c r="G828" t="s">
        <v>106</v>
      </c>
      <c r="H828" t="s">
        <v>119</v>
      </c>
      <c r="J828">
        <v>2</v>
      </c>
      <c r="K828" t="s">
        <v>146</v>
      </c>
      <c r="L828" t="s">
        <v>185</v>
      </c>
      <c r="M828" t="s">
        <v>198</v>
      </c>
      <c r="N828" t="s">
        <v>338</v>
      </c>
      <c r="O828">
        <v>132</v>
      </c>
      <c r="Q828">
        <v>442</v>
      </c>
      <c r="R828">
        <v>80</v>
      </c>
      <c r="S828">
        <v>4.25</v>
      </c>
      <c r="T828">
        <v>3.61</v>
      </c>
      <c r="U828">
        <v>6.37</v>
      </c>
      <c r="V828">
        <v>1877.48</v>
      </c>
      <c r="W828">
        <v>508</v>
      </c>
      <c r="X828">
        <v>1.3332999999999999</v>
      </c>
      <c r="Y828">
        <v>380</v>
      </c>
      <c r="Z828">
        <v>4.9400000000000004</v>
      </c>
      <c r="AJ828">
        <v>2</v>
      </c>
      <c r="AK828">
        <v>18</v>
      </c>
      <c r="AM828">
        <v>0</v>
      </c>
      <c r="AO828" t="s">
        <v>286</v>
      </c>
      <c r="AT828">
        <v>51</v>
      </c>
      <c r="AV828">
        <v>44.1</v>
      </c>
      <c r="AW828">
        <v>0</v>
      </c>
      <c r="AX828">
        <v>0</v>
      </c>
      <c r="AY828">
        <v>53.375</v>
      </c>
      <c r="AZ828">
        <v>4.625</v>
      </c>
      <c r="BA828">
        <v>0</v>
      </c>
      <c r="BB828">
        <v>0</v>
      </c>
      <c r="BC828">
        <v>57</v>
      </c>
      <c r="BN828">
        <v>210.43340000000001</v>
      </c>
      <c r="BO828">
        <v>2343</v>
      </c>
      <c r="BP828">
        <v>0</v>
      </c>
      <c r="BQ828">
        <v>45</v>
      </c>
      <c r="BR828">
        <v>45</v>
      </c>
      <c r="BS828">
        <v>45.04</v>
      </c>
      <c r="BT828">
        <v>0</v>
      </c>
      <c r="BV828">
        <v>0</v>
      </c>
      <c r="BW828" t="s">
        <v>655</v>
      </c>
      <c r="BX828">
        <v>0.17</v>
      </c>
      <c r="BY828">
        <v>7.6568009999999997</v>
      </c>
      <c r="BZ828">
        <v>0</v>
      </c>
      <c r="CA828">
        <v>1</v>
      </c>
      <c r="CB828">
        <v>0.6</v>
      </c>
      <c r="CC828" s="3">
        <v>7.1269159999999998E-2</v>
      </c>
      <c r="CD828">
        <v>2.875</v>
      </c>
      <c r="CE828">
        <v>2.5</v>
      </c>
      <c r="CF828">
        <v>18</v>
      </c>
      <c r="CG828">
        <v>6</v>
      </c>
      <c r="CH828">
        <v>0</v>
      </c>
      <c r="CI828">
        <v>45.04</v>
      </c>
      <c r="CJ828">
        <v>390.01049999999998</v>
      </c>
    </row>
    <row r="829" spans="1:88">
      <c r="A829">
        <v>828</v>
      </c>
      <c r="B829" t="s">
        <v>0</v>
      </c>
      <c r="C829" t="s">
        <v>1</v>
      </c>
      <c r="D829" t="s">
        <v>353</v>
      </c>
      <c r="E829" t="s">
        <v>113</v>
      </c>
      <c r="F829" t="s">
        <v>517</v>
      </c>
      <c r="G829" t="s">
        <v>106</v>
      </c>
      <c r="H829" t="s">
        <v>518</v>
      </c>
      <c r="J829">
        <v>2</v>
      </c>
      <c r="K829" t="s">
        <v>108</v>
      </c>
      <c r="L829" t="s">
        <v>116</v>
      </c>
      <c r="M829" t="s">
        <v>117</v>
      </c>
      <c r="N829" t="s">
        <v>14</v>
      </c>
      <c r="O829">
        <v>179</v>
      </c>
      <c r="Q829">
        <v>749</v>
      </c>
      <c r="R829">
        <v>99</v>
      </c>
      <c r="S829">
        <v>4.25</v>
      </c>
      <c r="T829">
        <v>4.7190000000000003</v>
      </c>
      <c r="U829">
        <v>7.05</v>
      </c>
      <c r="V829">
        <v>3183.25</v>
      </c>
      <c r="W829">
        <v>701</v>
      </c>
      <c r="X829">
        <v>1.3332999999999999</v>
      </c>
      <c r="Y829">
        <v>526</v>
      </c>
      <c r="Z829">
        <v>6.05</v>
      </c>
      <c r="AJ829">
        <v>2</v>
      </c>
      <c r="AK829">
        <v>18</v>
      </c>
      <c r="AM829">
        <v>0</v>
      </c>
      <c r="AO829" t="s">
        <v>182</v>
      </c>
      <c r="AT829">
        <v>68</v>
      </c>
      <c r="AV829">
        <v>56.5</v>
      </c>
      <c r="AW829">
        <v>0.4375</v>
      </c>
      <c r="AX829">
        <v>3.75</v>
      </c>
      <c r="AY829">
        <v>54.125</v>
      </c>
      <c r="AZ829">
        <v>5.25</v>
      </c>
      <c r="BA829">
        <v>263.07</v>
      </c>
      <c r="BB829">
        <v>6.25</v>
      </c>
      <c r="BC829">
        <v>55</v>
      </c>
      <c r="BD829">
        <v>0.4375</v>
      </c>
      <c r="BE829">
        <v>3.75</v>
      </c>
      <c r="BF829">
        <v>54.125</v>
      </c>
      <c r="BG829">
        <v>5.25</v>
      </c>
      <c r="BH829">
        <v>263.07</v>
      </c>
      <c r="BI829">
        <v>6.25</v>
      </c>
      <c r="BJ829">
        <v>55</v>
      </c>
      <c r="BL829">
        <v>526.14</v>
      </c>
      <c r="BM829">
        <v>109</v>
      </c>
      <c r="BN829">
        <v>271.06670000000003</v>
      </c>
      <c r="BO829">
        <v>1412</v>
      </c>
      <c r="BP829">
        <v>0</v>
      </c>
      <c r="BQ829">
        <v>61</v>
      </c>
      <c r="BR829">
        <v>61</v>
      </c>
      <c r="BS829">
        <v>61.39</v>
      </c>
      <c r="BT829">
        <v>0</v>
      </c>
      <c r="BV829">
        <v>0</v>
      </c>
      <c r="BW829" t="s">
        <v>655</v>
      </c>
      <c r="BX829">
        <v>0.17</v>
      </c>
      <c r="BY829">
        <v>10.436299999999999</v>
      </c>
      <c r="BZ829">
        <v>0</v>
      </c>
      <c r="CA829">
        <v>1</v>
      </c>
      <c r="CB829">
        <v>0.6</v>
      </c>
      <c r="CC829" s="3">
        <v>7.1269159999999998E-2</v>
      </c>
      <c r="CD829">
        <v>2.875</v>
      </c>
      <c r="CE829">
        <v>2.5</v>
      </c>
      <c r="CF829">
        <v>18</v>
      </c>
      <c r="CG829">
        <v>6</v>
      </c>
      <c r="CH829">
        <v>0</v>
      </c>
      <c r="CI829">
        <v>61.39</v>
      </c>
      <c r="CJ829">
        <v>681.9864</v>
      </c>
    </row>
    <row r="830" spans="1:88">
      <c r="A830">
        <v>829</v>
      </c>
      <c r="B830" t="s">
        <v>0</v>
      </c>
      <c r="C830" t="s">
        <v>1</v>
      </c>
      <c r="D830" t="s">
        <v>2</v>
      </c>
      <c r="E830" t="s">
        <v>169</v>
      </c>
      <c r="F830" t="s">
        <v>154</v>
      </c>
      <c r="G830" t="s">
        <v>106</v>
      </c>
      <c r="H830" t="s">
        <v>217</v>
      </c>
      <c r="J830">
        <v>2</v>
      </c>
      <c r="K830" t="s">
        <v>146</v>
      </c>
      <c r="L830" t="s">
        <v>381</v>
      </c>
      <c r="M830" t="s">
        <v>173</v>
      </c>
      <c r="N830" t="s">
        <v>174</v>
      </c>
      <c r="O830">
        <v>119</v>
      </c>
      <c r="Q830">
        <v>330</v>
      </c>
      <c r="R830">
        <v>67</v>
      </c>
      <c r="S830">
        <v>4.25</v>
      </c>
      <c r="T830">
        <v>3.2829999999999999</v>
      </c>
      <c r="U830">
        <v>6.15</v>
      </c>
      <c r="V830">
        <v>1403.9</v>
      </c>
      <c r="W830">
        <v>412</v>
      </c>
      <c r="X830">
        <v>1.3332999999999999</v>
      </c>
      <c r="Y830">
        <v>305</v>
      </c>
      <c r="Z830">
        <v>4.6100000000000003</v>
      </c>
      <c r="AJ830">
        <v>2</v>
      </c>
      <c r="AK830">
        <v>18</v>
      </c>
      <c r="AM830">
        <v>0</v>
      </c>
      <c r="AO830" t="s">
        <v>218</v>
      </c>
      <c r="AT830">
        <v>47</v>
      </c>
      <c r="AV830">
        <v>36.1</v>
      </c>
      <c r="AW830">
        <v>0</v>
      </c>
      <c r="AX830">
        <v>0</v>
      </c>
      <c r="AY830">
        <v>46.75</v>
      </c>
      <c r="AZ830">
        <v>4</v>
      </c>
      <c r="BA830">
        <v>0</v>
      </c>
      <c r="BB830">
        <v>0</v>
      </c>
      <c r="BC830">
        <v>47</v>
      </c>
      <c r="BN830">
        <v>171.2</v>
      </c>
      <c r="BO830">
        <v>3540</v>
      </c>
      <c r="BP830">
        <v>0</v>
      </c>
      <c r="BQ830">
        <v>41</v>
      </c>
      <c r="BR830">
        <v>41</v>
      </c>
      <c r="BS830">
        <v>40.520000000000003</v>
      </c>
      <c r="BT830">
        <v>0</v>
      </c>
      <c r="BV830">
        <v>0</v>
      </c>
      <c r="BW830" t="s">
        <v>655</v>
      </c>
      <c r="BX830">
        <v>0.17</v>
      </c>
      <c r="BY830">
        <v>6.8883999999999999</v>
      </c>
      <c r="BZ830">
        <v>0</v>
      </c>
      <c r="CA830">
        <v>1</v>
      </c>
      <c r="CB830">
        <v>0.6</v>
      </c>
      <c r="CC830" s="3">
        <v>7.1269159999999998E-2</v>
      </c>
      <c r="CD830">
        <v>2.875</v>
      </c>
      <c r="CE830">
        <v>2.5</v>
      </c>
      <c r="CF830">
        <v>18</v>
      </c>
      <c r="CG830">
        <v>6</v>
      </c>
      <c r="CH830">
        <v>0</v>
      </c>
      <c r="CI830">
        <v>40.520000000000003</v>
      </c>
      <c r="CJ830">
        <v>287.33870000000002</v>
      </c>
    </row>
    <row r="831" spans="1:88">
      <c r="A831">
        <v>830</v>
      </c>
      <c r="B831" t="s">
        <v>13</v>
      </c>
      <c r="C831" t="s">
        <v>1</v>
      </c>
      <c r="D831" t="s">
        <v>464</v>
      </c>
      <c r="E831" t="s">
        <v>169</v>
      </c>
      <c r="F831" t="s">
        <v>467</v>
      </c>
      <c r="G831" t="s">
        <v>106</v>
      </c>
      <c r="H831" t="s">
        <v>178</v>
      </c>
      <c r="J831">
        <v>2</v>
      </c>
      <c r="K831" t="s">
        <v>146</v>
      </c>
      <c r="L831" t="s">
        <v>381</v>
      </c>
      <c r="M831" t="s">
        <v>173</v>
      </c>
      <c r="N831" t="s">
        <v>174</v>
      </c>
      <c r="O831">
        <v>119</v>
      </c>
      <c r="Q831">
        <v>295</v>
      </c>
      <c r="R831">
        <v>61</v>
      </c>
      <c r="S831">
        <v>4.25</v>
      </c>
      <c r="T831">
        <v>3.2829999999999999</v>
      </c>
      <c r="U831">
        <v>6.15</v>
      </c>
      <c r="V831">
        <v>1251.96</v>
      </c>
      <c r="W831">
        <v>374</v>
      </c>
      <c r="X831">
        <v>1.3332999999999999</v>
      </c>
      <c r="Y831">
        <v>272</v>
      </c>
      <c r="Z831">
        <v>4.6100000000000003</v>
      </c>
      <c r="AJ831">
        <v>2</v>
      </c>
      <c r="AK831">
        <v>18</v>
      </c>
      <c r="AM831">
        <v>0</v>
      </c>
      <c r="AO831" t="s">
        <v>179</v>
      </c>
      <c r="AT831">
        <v>47</v>
      </c>
      <c r="AV831">
        <v>32.1</v>
      </c>
      <c r="AW831">
        <v>0</v>
      </c>
      <c r="AX831">
        <v>0</v>
      </c>
      <c r="AY831">
        <v>35.875</v>
      </c>
      <c r="AZ831">
        <v>3.75</v>
      </c>
      <c r="BA831">
        <v>0</v>
      </c>
      <c r="BB831">
        <v>0</v>
      </c>
      <c r="BC831">
        <v>34</v>
      </c>
      <c r="BN831">
        <v>151.58340000000001</v>
      </c>
      <c r="BO831">
        <v>4516</v>
      </c>
      <c r="BP831">
        <v>0</v>
      </c>
      <c r="BQ831">
        <v>41</v>
      </c>
      <c r="BR831">
        <v>41</v>
      </c>
      <c r="BS831">
        <v>40.520000000000003</v>
      </c>
      <c r="BT831">
        <v>0</v>
      </c>
      <c r="BV831">
        <v>0</v>
      </c>
      <c r="BW831" t="s">
        <v>655</v>
      </c>
      <c r="BX831">
        <v>0.17</v>
      </c>
      <c r="BY831">
        <v>6.8883999999999999</v>
      </c>
      <c r="BZ831">
        <v>0</v>
      </c>
      <c r="CA831">
        <v>1</v>
      </c>
      <c r="CB831">
        <v>0.6</v>
      </c>
      <c r="CC831" s="3">
        <v>7.1269159999999998E-2</v>
      </c>
      <c r="CD831">
        <v>2.875</v>
      </c>
      <c r="CE831">
        <v>2.5</v>
      </c>
      <c r="CF831">
        <v>18</v>
      </c>
      <c r="CG831">
        <v>6</v>
      </c>
      <c r="CH831">
        <v>0</v>
      </c>
      <c r="CI831">
        <v>40.520000000000003</v>
      </c>
      <c r="CJ831">
        <v>255.57259999999999</v>
      </c>
    </row>
    <row r="832" spans="1:88">
      <c r="A832">
        <v>831</v>
      </c>
      <c r="B832" t="s">
        <v>0</v>
      </c>
      <c r="C832" t="s">
        <v>1</v>
      </c>
      <c r="D832" t="s">
        <v>341</v>
      </c>
      <c r="E832" t="s">
        <v>172</v>
      </c>
      <c r="F832" t="s">
        <v>343</v>
      </c>
      <c r="G832" t="s">
        <v>106</v>
      </c>
      <c r="H832" t="s">
        <v>344</v>
      </c>
      <c r="J832">
        <v>2</v>
      </c>
      <c r="K832" t="s">
        <v>146</v>
      </c>
      <c r="L832" t="s">
        <v>233</v>
      </c>
      <c r="M832" t="s">
        <v>490</v>
      </c>
      <c r="N832" t="s">
        <v>128</v>
      </c>
      <c r="O832">
        <v>137</v>
      </c>
      <c r="Q832">
        <v>287</v>
      </c>
      <c r="R832">
        <v>48</v>
      </c>
      <c r="S832">
        <v>4.25</v>
      </c>
      <c r="T832">
        <v>3.734</v>
      </c>
      <c r="U832">
        <v>6.48</v>
      </c>
      <c r="V832">
        <v>1220</v>
      </c>
      <c r="W832">
        <v>313</v>
      </c>
      <c r="X832">
        <v>1.3332999999999999</v>
      </c>
      <c r="Y832">
        <v>241</v>
      </c>
      <c r="Z832">
        <v>5.0599999999999996</v>
      </c>
      <c r="AJ832">
        <v>2</v>
      </c>
      <c r="AK832">
        <v>18</v>
      </c>
      <c r="AM832">
        <v>0</v>
      </c>
      <c r="AO832" t="s">
        <v>347</v>
      </c>
      <c r="AT832">
        <v>53</v>
      </c>
      <c r="AV832">
        <v>27.4</v>
      </c>
      <c r="AW832">
        <v>0</v>
      </c>
      <c r="AX832">
        <v>0</v>
      </c>
      <c r="AY832">
        <v>40.375</v>
      </c>
      <c r="AZ832">
        <v>4.125</v>
      </c>
      <c r="BA832">
        <v>0</v>
      </c>
      <c r="BB832">
        <v>0</v>
      </c>
      <c r="BC832">
        <v>38</v>
      </c>
      <c r="BN832">
        <v>128.4</v>
      </c>
      <c r="BO832">
        <v>6294</v>
      </c>
      <c r="BP832">
        <v>0</v>
      </c>
      <c r="BQ832">
        <v>47</v>
      </c>
      <c r="BR832">
        <v>47</v>
      </c>
      <c r="BS832">
        <v>46.78</v>
      </c>
      <c r="BT832">
        <v>0</v>
      </c>
      <c r="BV832">
        <v>0</v>
      </c>
      <c r="BW832" t="s">
        <v>655</v>
      </c>
      <c r="BX832">
        <v>0.17</v>
      </c>
      <c r="BY832">
        <v>7.9526000000000003</v>
      </c>
      <c r="BZ832">
        <v>0</v>
      </c>
      <c r="CA832">
        <v>1</v>
      </c>
      <c r="CB832">
        <v>0.6</v>
      </c>
      <c r="CC832" s="3">
        <v>7.1269159999999998E-2</v>
      </c>
      <c r="CD832">
        <v>2.875</v>
      </c>
      <c r="CE832">
        <v>2.5</v>
      </c>
      <c r="CF832">
        <v>18</v>
      </c>
      <c r="CG832">
        <v>6</v>
      </c>
      <c r="CH832">
        <v>0</v>
      </c>
      <c r="CI832">
        <v>46.78</v>
      </c>
      <c r="CJ832">
        <v>251.7148</v>
      </c>
    </row>
    <row r="833" spans="1:88">
      <c r="A833">
        <v>832</v>
      </c>
      <c r="B833" t="s">
        <v>0</v>
      </c>
      <c r="C833" t="s">
        <v>1</v>
      </c>
      <c r="D833" t="s">
        <v>167</v>
      </c>
      <c r="E833" t="s">
        <v>366</v>
      </c>
      <c r="F833" t="s">
        <v>403</v>
      </c>
      <c r="G833" t="s">
        <v>106</v>
      </c>
      <c r="H833" t="s">
        <v>235</v>
      </c>
      <c r="J833">
        <v>2</v>
      </c>
      <c r="K833" t="s">
        <v>146</v>
      </c>
      <c r="L833" t="s">
        <v>268</v>
      </c>
      <c r="M833" t="s">
        <v>370</v>
      </c>
      <c r="N833" t="s">
        <v>217</v>
      </c>
      <c r="O833">
        <v>103</v>
      </c>
      <c r="Q833">
        <v>364</v>
      </c>
      <c r="R833">
        <v>82</v>
      </c>
      <c r="S833">
        <v>4.25</v>
      </c>
      <c r="T833">
        <v>2.8650000000000002</v>
      </c>
      <c r="U833">
        <v>5.96</v>
      </c>
      <c r="V833">
        <v>1547.38</v>
      </c>
      <c r="W833">
        <v>489</v>
      </c>
      <c r="X833">
        <v>1.3332999999999999</v>
      </c>
      <c r="Y833">
        <v>369</v>
      </c>
      <c r="Z833">
        <v>4.1900000000000004</v>
      </c>
      <c r="AJ833">
        <v>2</v>
      </c>
      <c r="AK833">
        <v>18</v>
      </c>
      <c r="AM833">
        <v>0</v>
      </c>
      <c r="AO833" t="s">
        <v>198</v>
      </c>
      <c r="AT833">
        <v>41</v>
      </c>
      <c r="AV833">
        <v>45.5</v>
      </c>
      <c r="AW833">
        <v>0</v>
      </c>
      <c r="AX833">
        <v>0</v>
      </c>
      <c r="AY833">
        <v>38.5</v>
      </c>
      <c r="AZ833">
        <v>3.625</v>
      </c>
      <c r="BA833">
        <v>0</v>
      </c>
      <c r="BB833">
        <v>0</v>
      </c>
      <c r="BC833">
        <v>39</v>
      </c>
      <c r="BN833">
        <v>217.5667</v>
      </c>
      <c r="BO833">
        <v>2192</v>
      </c>
      <c r="BP833">
        <v>0</v>
      </c>
      <c r="BQ833">
        <v>35</v>
      </c>
      <c r="BR833">
        <v>35</v>
      </c>
      <c r="BS833">
        <v>34.950000000000003</v>
      </c>
      <c r="BT833">
        <v>0</v>
      </c>
      <c r="BV833">
        <v>0</v>
      </c>
      <c r="BW833" t="s">
        <v>655</v>
      </c>
      <c r="BX833">
        <v>0.17</v>
      </c>
      <c r="BY833">
        <v>5.9414999999999996</v>
      </c>
      <c r="BZ833">
        <v>0</v>
      </c>
      <c r="CA833">
        <v>1</v>
      </c>
      <c r="CB833">
        <v>0.6</v>
      </c>
      <c r="CC833" s="3">
        <v>7.1269159999999998E-2</v>
      </c>
      <c r="CD833">
        <v>2.875</v>
      </c>
      <c r="CE833">
        <v>2.5</v>
      </c>
      <c r="CF833">
        <v>18</v>
      </c>
      <c r="CG833">
        <v>6</v>
      </c>
      <c r="CH833">
        <v>0</v>
      </c>
      <c r="CI833">
        <v>34.950000000000003</v>
      </c>
      <c r="CJ833">
        <v>312.6026</v>
      </c>
    </row>
    <row r="834" spans="1:88">
      <c r="A834">
        <v>833</v>
      </c>
      <c r="B834" t="s">
        <v>0</v>
      </c>
      <c r="C834" t="s">
        <v>1</v>
      </c>
      <c r="D834" t="s">
        <v>8</v>
      </c>
      <c r="E834" t="s">
        <v>143</v>
      </c>
      <c r="F834" t="s">
        <v>246</v>
      </c>
      <c r="G834" t="s">
        <v>15</v>
      </c>
      <c r="H834" t="s">
        <v>247</v>
      </c>
      <c r="J834">
        <v>2</v>
      </c>
      <c r="K834" t="s">
        <v>108</v>
      </c>
      <c r="L834" t="s">
        <v>297</v>
      </c>
      <c r="M834" t="s">
        <v>206</v>
      </c>
      <c r="N834" t="s">
        <v>131</v>
      </c>
      <c r="O834">
        <v>155</v>
      </c>
      <c r="Q834">
        <v>821</v>
      </c>
      <c r="R834">
        <v>124</v>
      </c>
      <c r="S834">
        <v>4.25</v>
      </c>
      <c r="T834">
        <v>4.1660000000000004</v>
      </c>
      <c r="U834">
        <v>6.78</v>
      </c>
      <c r="V834">
        <v>3487.29</v>
      </c>
      <c r="W834">
        <v>838</v>
      </c>
      <c r="X834">
        <v>1.3332999999999999</v>
      </c>
      <c r="Y834">
        <v>635</v>
      </c>
      <c r="Z834">
        <v>5.49</v>
      </c>
      <c r="AJ834">
        <v>2</v>
      </c>
      <c r="AK834">
        <v>18</v>
      </c>
      <c r="AM834">
        <v>0</v>
      </c>
      <c r="AO834" t="s">
        <v>250</v>
      </c>
      <c r="AT834">
        <v>59</v>
      </c>
      <c r="AV834">
        <v>71.099999999999994</v>
      </c>
      <c r="AW834" t="s">
        <v>6</v>
      </c>
      <c r="AX834" t="s">
        <v>6</v>
      </c>
      <c r="AY834" t="s">
        <v>6</v>
      </c>
      <c r="AZ834" t="s">
        <v>6</v>
      </c>
      <c r="BA834" t="s">
        <v>6</v>
      </c>
      <c r="BB834" t="s">
        <v>6</v>
      </c>
      <c r="BC834" t="s">
        <v>6</v>
      </c>
      <c r="BD834" t="s">
        <v>6</v>
      </c>
      <c r="BE834" t="s">
        <v>6</v>
      </c>
      <c r="BF834" t="s">
        <v>6</v>
      </c>
      <c r="BG834" t="s">
        <v>6</v>
      </c>
      <c r="BH834" t="s">
        <v>6</v>
      </c>
      <c r="BI834" t="s">
        <v>6</v>
      </c>
      <c r="BJ834" t="s">
        <v>6</v>
      </c>
      <c r="BN834">
        <v>606.1585</v>
      </c>
      <c r="BO834">
        <v>2977</v>
      </c>
      <c r="BP834">
        <v>0</v>
      </c>
      <c r="BQ834">
        <v>53</v>
      </c>
      <c r="BR834">
        <v>53</v>
      </c>
      <c r="BS834">
        <v>53.04</v>
      </c>
      <c r="BT834">
        <v>0</v>
      </c>
      <c r="BV834">
        <v>0</v>
      </c>
      <c r="BW834" t="s">
        <v>655</v>
      </c>
      <c r="BX834">
        <v>0.17</v>
      </c>
      <c r="BY834">
        <v>9.0167999999999999</v>
      </c>
      <c r="BZ834">
        <v>0</v>
      </c>
      <c r="CA834">
        <v>1</v>
      </c>
      <c r="CB834">
        <v>0.6</v>
      </c>
      <c r="CC834" s="3">
        <v>7.1269159999999998E-2</v>
      </c>
      <c r="CD834">
        <v>2.875</v>
      </c>
      <c r="CE834">
        <v>2.5</v>
      </c>
      <c r="CF834">
        <v>18</v>
      </c>
      <c r="CG834">
        <v>6</v>
      </c>
      <c r="CH834">
        <v>0</v>
      </c>
      <c r="CI834">
        <v>53.04</v>
      </c>
      <c r="CJ834">
        <v>740.43020000000001</v>
      </c>
    </row>
    <row r="835" spans="1:88">
      <c r="A835">
        <v>834</v>
      </c>
      <c r="B835" t="s">
        <v>13</v>
      </c>
      <c r="C835" t="s">
        <v>1</v>
      </c>
      <c r="D835" t="s">
        <v>2</v>
      </c>
      <c r="E835" t="s">
        <v>122</v>
      </c>
      <c r="F835" t="s">
        <v>154</v>
      </c>
      <c r="G835" t="s">
        <v>106</v>
      </c>
      <c r="H835" t="s">
        <v>217</v>
      </c>
      <c r="J835">
        <v>2</v>
      </c>
      <c r="K835" t="s">
        <v>146</v>
      </c>
      <c r="L835" t="s">
        <v>234</v>
      </c>
      <c r="M835" t="s">
        <v>126</v>
      </c>
      <c r="N835" t="s">
        <v>162</v>
      </c>
      <c r="O835">
        <v>127</v>
      </c>
      <c r="Q835">
        <v>351</v>
      </c>
      <c r="R835">
        <v>67</v>
      </c>
      <c r="S835">
        <v>4.25</v>
      </c>
      <c r="T835">
        <v>3.4860000000000002</v>
      </c>
      <c r="U835">
        <v>6.3</v>
      </c>
      <c r="V835">
        <v>1489.71</v>
      </c>
      <c r="W835">
        <v>423</v>
      </c>
      <c r="X835">
        <v>1.3332999999999999</v>
      </c>
      <c r="Y835">
        <v>310</v>
      </c>
      <c r="Z835">
        <v>4.8099999999999996</v>
      </c>
      <c r="AJ835">
        <v>2</v>
      </c>
      <c r="AK835">
        <v>18</v>
      </c>
      <c r="AM835">
        <v>0</v>
      </c>
      <c r="AO835" t="s">
        <v>218</v>
      </c>
      <c r="AT835">
        <v>49</v>
      </c>
      <c r="AV835">
        <v>36.1</v>
      </c>
      <c r="AW835">
        <v>0</v>
      </c>
      <c r="AX835">
        <v>0</v>
      </c>
      <c r="AY835">
        <v>46</v>
      </c>
      <c r="AZ835">
        <v>4.25</v>
      </c>
      <c r="BA835">
        <v>0</v>
      </c>
      <c r="BB835">
        <v>0</v>
      </c>
      <c r="BC835">
        <v>46</v>
      </c>
      <c r="BN835">
        <v>171.2</v>
      </c>
      <c r="BO835">
        <v>3540</v>
      </c>
      <c r="BP835">
        <v>0</v>
      </c>
      <c r="BQ835">
        <v>43</v>
      </c>
      <c r="BR835">
        <v>43</v>
      </c>
      <c r="BS835">
        <v>43.3</v>
      </c>
      <c r="BT835">
        <v>0</v>
      </c>
      <c r="BV835">
        <v>0</v>
      </c>
      <c r="BW835" t="s">
        <v>655</v>
      </c>
      <c r="BX835">
        <v>0.17</v>
      </c>
      <c r="BY835">
        <v>7.3609999999999998</v>
      </c>
      <c r="BZ835">
        <v>0</v>
      </c>
      <c r="CA835">
        <v>1</v>
      </c>
      <c r="CB835">
        <v>0.6</v>
      </c>
      <c r="CC835" s="3">
        <v>7.1269159999999998E-2</v>
      </c>
      <c r="CD835">
        <v>2.875</v>
      </c>
      <c r="CE835">
        <v>2.5</v>
      </c>
      <c r="CF835">
        <v>18</v>
      </c>
      <c r="CG835">
        <v>6</v>
      </c>
      <c r="CH835">
        <v>0</v>
      </c>
      <c r="CI835">
        <v>43.3</v>
      </c>
      <c r="CJ835">
        <v>307.05250000000001</v>
      </c>
    </row>
    <row r="836" spans="1:88">
      <c r="A836">
        <v>835</v>
      </c>
      <c r="B836" t="s">
        <v>0</v>
      </c>
      <c r="C836" t="s">
        <v>1</v>
      </c>
      <c r="D836" t="s">
        <v>369</v>
      </c>
      <c r="E836" t="s">
        <v>228</v>
      </c>
      <c r="F836" t="s">
        <v>312</v>
      </c>
      <c r="G836" t="s">
        <v>106</v>
      </c>
      <c r="H836" t="s">
        <v>229</v>
      </c>
      <c r="J836">
        <v>2</v>
      </c>
      <c r="K836" t="s">
        <v>146</v>
      </c>
      <c r="L836" t="s">
        <v>174</v>
      </c>
      <c r="M836" t="s">
        <v>230</v>
      </c>
      <c r="N836" t="s">
        <v>231</v>
      </c>
      <c r="O836">
        <v>102</v>
      </c>
      <c r="Q836">
        <v>327</v>
      </c>
      <c r="R836">
        <v>75</v>
      </c>
      <c r="S836">
        <v>4.25</v>
      </c>
      <c r="T836">
        <v>2.8380000000000001</v>
      </c>
      <c r="U836">
        <v>5.96</v>
      </c>
      <c r="V836">
        <v>1389.53</v>
      </c>
      <c r="W836">
        <v>448</v>
      </c>
      <c r="X836">
        <v>1.3332999999999999</v>
      </c>
      <c r="Y836">
        <v>333</v>
      </c>
      <c r="Z836">
        <v>4.17</v>
      </c>
      <c r="AJ836">
        <v>2</v>
      </c>
      <c r="AK836">
        <v>18</v>
      </c>
      <c r="AM836">
        <v>0</v>
      </c>
      <c r="AO836" t="s">
        <v>404</v>
      </c>
      <c r="AT836">
        <v>41</v>
      </c>
      <c r="AV836">
        <v>41.1</v>
      </c>
      <c r="AW836">
        <v>0</v>
      </c>
      <c r="AX836">
        <v>0</v>
      </c>
      <c r="AY836">
        <v>42.75</v>
      </c>
      <c r="AZ836">
        <v>3.625</v>
      </c>
      <c r="BA836">
        <v>0</v>
      </c>
      <c r="BB836">
        <v>0</v>
      </c>
      <c r="BC836">
        <v>43</v>
      </c>
      <c r="BN836">
        <v>196.16669999999999</v>
      </c>
      <c r="BO836">
        <v>2697</v>
      </c>
      <c r="BP836">
        <v>0</v>
      </c>
      <c r="BQ836">
        <v>35</v>
      </c>
      <c r="BR836">
        <v>35</v>
      </c>
      <c r="BS836">
        <v>34.6</v>
      </c>
      <c r="BT836">
        <v>0</v>
      </c>
      <c r="BV836">
        <v>0</v>
      </c>
      <c r="BW836" t="s">
        <v>655</v>
      </c>
      <c r="BX836">
        <v>0.17</v>
      </c>
      <c r="BY836">
        <v>5.8819999999999997</v>
      </c>
      <c r="BZ836">
        <v>0</v>
      </c>
      <c r="CA836">
        <v>1</v>
      </c>
      <c r="CB836">
        <v>0.6</v>
      </c>
      <c r="CC836" s="3">
        <v>7.1269159999999998E-2</v>
      </c>
      <c r="CD836">
        <v>2.875</v>
      </c>
      <c r="CE836">
        <v>2.5</v>
      </c>
      <c r="CF836">
        <v>18</v>
      </c>
      <c r="CG836">
        <v>6</v>
      </c>
      <c r="CH836">
        <v>0</v>
      </c>
      <c r="CI836">
        <v>34.6</v>
      </c>
      <c r="CJ836">
        <v>279.8811</v>
      </c>
    </row>
    <row r="837" spans="1:88">
      <c r="A837">
        <v>836</v>
      </c>
      <c r="B837" t="s">
        <v>0</v>
      </c>
      <c r="C837" t="s">
        <v>1</v>
      </c>
      <c r="D837" t="s">
        <v>438</v>
      </c>
      <c r="E837" t="s">
        <v>165</v>
      </c>
      <c r="F837" t="s">
        <v>319</v>
      </c>
      <c r="G837" t="s">
        <v>106</v>
      </c>
      <c r="H837" t="s">
        <v>464</v>
      </c>
      <c r="J837">
        <v>2</v>
      </c>
      <c r="K837" t="s">
        <v>146</v>
      </c>
      <c r="L837" t="s">
        <v>125</v>
      </c>
      <c r="M837" t="s">
        <v>252</v>
      </c>
      <c r="N837" t="s">
        <v>293</v>
      </c>
      <c r="O837">
        <v>148</v>
      </c>
      <c r="Q837">
        <v>364</v>
      </c>
      <c r="R837">
        <v>61</v>
      </c>
      <c r="S837">
        <v>4.25</v>
      </c>
      <c r="T837">
        <v>4</v>
      </c>
      <c r="U837">
        <v>6.67</v>
      </c>
      <c r="V837">
        <v>1546.27</v>
      </c>
      <c r="W837">
        <v>409</v>
      </c>
      <c r="X837">
        <v>1.5</v>
      </c>
      <c r="Y837">
        <v>281</v>
      </c>
      <c r="Z837">
        <v>5.5</v>
      </c>
      <c r="AJ837">
        <v>2</v>
      </c>
      <c r="AK837">
        <v>18</v>
      </c>
      <c r="AM837">
        <v>0</v>
      </c>
      <c r="AO837" t="s">
        <v>408</v>
      </c>
      <c r="AT837">
        <v>57</v>
      </c>
      <c r="AV837">
        <v>32.4</v>
      </c>
      <c r="AW837">
        <v>0</v>
      </c>
      <c r="AX837">
        <v>0</v>
      </c>
      <c r="AY837">
        <v>50.625</v>
      </c>
      <c r="AZ837">
        <v>4.875</v>
      </c>
      <c r="BA837">
        <v>0</v>
      </c>
      <c r="BB837">
        <v>0</v>
      </c>
      <c r="BC837">
        <v>51</v>
      </c>
      <c r="BN837">
        <v>153.36670000000001</v>
      </c>
      <c r="BO837">
        <v>4412</v>
      </c>
      <c r="BP837">
        <v>0</v>
      </c>
      <c r="BQ837">
        <v>51</v>
      </c>
      <c r="BR837">
        <v>51</v>
      </c>
      <c r="BS837">
        <v>50.6</v>
      </c>
      <c r="BT837">
        <v>0</v>
      </c>
      <c r="BV837">
        <v>0</v>
      </c>
      <c r="BW837" t="s">
        <v>655</v>
      </c>
      <c r="BX837">
        <v>0.17</v>
      </c>
      <c r="BY837">
        <v>8.6019989999999993</v>
      </c>
      <c r="BZ837">
        <v>0</v>
      </c>
      <c r="CA837">
        <v>1</v>
      </c>
      <c r="CB837">
        <v>0.6</v>
      </c>
      <c r="CC837" s="3">
        <v>7.1269159999999998E-2</v>
      </c>
      <c r="CD837">
        <v>2.875</v>
      </c>
      <c r="CE837">
        <v>2.5</v>
      </c>
      <c r="CF837">
        <v>18</v>
      </c>
      <c r="CG837">
        <v>6</v>
      </c>
      <c r="CH837">
        <v>0</v>
      </c>
      <c r="CI837">
        <v>50.6</v>
      </c>
      <c r="CJ837">
        <v>322.75659999999999</v>
      </c>
    </row>
    <row r="838" spans="1:88">
      <c r="A838">
        <v>837</v>
      </c>
      <c r="B838" t="s">
        <v>0</v>
      </c>
      <c r="C838" t="s">
        <v>1</v>
      </c>
      <c r="D838" t="s">
        <v>375</v>
      </c>
      <c r="E838" t="s">
        <v>2</v>
      </c>
      <c r="F838" t="s">
        <v>140</v>
      </c>
      <c r="G838" t="s">
        <v>106</v>
      </c>
      <c r="H838" t="s">
        <v>342</v>
      </c>
      <c r="J838">
        <v>2</v>
      </c>
      <c r="K838" t="s">
        <v>146</v>
      </c>
      <c r="L838" t="s">
        <v>122</v>
      </c>
      <c r="M838" t="s">
        <v>4</v>
      </c>
      <c r="N838" t="s">
        <v>5</v>
      </c>
      <c r="O838">
        <v>107</v>
      </c>
      <c r="Q838">
        <v>250</v>
      </c>
      <c r="R838">
        <v>52</v>
      </c>
      <c r="S838">
        <v>4.25</v>
      </c>
      <c r="T838">
        <v>2.9710000000000001</v>
      </c>
      <c r="U838">
        <v>6.07</v>
      </c>
      <c r="V838">
        <v>1061.56</v>
      </c>
      <c r="W838">
        <v>318</v>
      </c>
      <c r="X838">
        <v>1.3332999999999999</v>
      </c>
      <c r="Y838">
        <v>247</v>
      </c>
      <c r="Z838">
        <v>4.3</v>
      </c>
      <c r="AJ838">
        <v>2</v>
      </c>
      <c r="AK838">
        <v>18</v>
      </c>
      <c r="AM838">
        <v>0</v>
      </c>
      <c r="AO838" t="s">
        <v>345</v>
      </c>
      <c r="AT838">
        <v>42</v>
      </c>
      <c r="AV838">
        <v>29.9</v>
      </c>
      <c r="AW838">
        <v>0</v>
      </c>
      <c r="AX838">
        <v>0</v>
      </c>
      <c r="AY838">
        <v>26.125</v>
      </c>
      <c r="AZ838">
        <v>3.25</v>
      </c>
      <c r="BA838">
        <v>0</v>
      </c>
      <c r="BB838">
        <v>0</v>
      </c>
      <c r="BC838">
        <v>23</v>
      </c>
      <c r="BN838">
        <v>140.88339999999999</v>
      </c>
      <c r="BO838">
        <v>5228</v>
      </c>
      <c r="BP838">
        <v>0</v>
      </c>
      <c r="BQ838">
        <v>36</v>
      </c>
      <c r="BR838">
        <v>36</v>
      </c>
      <c r="BS838">
        <v>36.340000000000003</v>
      </c>
      <c r="BT838">
        <v>0</v>
      </c>
      <c r="BV838">
        <v>0</v>
      </c>
      <c r="BW838" t="s">
        <v>655</v>
      </c>
      <c r="BX838">
        <v>0.17</v>
      </c>
      <c r="BY838">
        <v>6.1778000000000004</v>
      </c>
      <c r="BZ838">
        <v>0</v>
      </c>
      <c r="CA838">
        <v>1</v>
      </c>
      <c r="CB838">
        <v>0.6</v>
      </c>
      <c r="CC838" s="3">
        <v>7.1269159999999998E-2</v>
      </c>
      <c r="CD838">
        <v>2.875</v>
      </c>
      <c r="CE838">
        <v>2.5</v>
      </c>
      <c r="CF838">
        <v>18</v>
      </c>
      <c r="CG838">
        <v>6</v>
      </c>
      <c r="CH838">
        <v>0</v>
      </c>
      <c r="CI838">
        <v>36.340000000000003</v>
      </c>
      <c r="CJ838">
        <v>213.66849999999999</v>
      </c>
    </row>
    <row r="839" spans="1:88">
      <c r="A839">
        <v>838</v>
      </c>
      <c r="B839" t="s">
        <v>13</v>
      </c>
      <c r="C839" t="s">
        <v>1</v>
      </c>
      <c r="D839" t="s">
        <v>113</v>
      </c>
      <c r="E839" t="s">
        <v>455</v>
      </c>
      <c r="F839" t="s">
        <v>262</v>
      </c>
      <c r="G839" t="s">
        <v>214</v>
      </c>
      <c r="H839" t="s">
        <v>263</v>
      </c>
      <c r="J839">
        <v>2</v>
      </c>
      <c r="K839" t="s">
        <v>108</v>
      </c>
      <c r="L839" t="s">
        <v>278</v>
      </c>
      <c r="M839" t="s">
        <v>456</v>
      </c>
      <c r="N839" t="s">
        <v>457</v>
      </c>
      <c r="O839">
        <v>187</v>
      </c>
      <c r="Q839">
        <v>859</v>
      </c>
      <c r="R839">
        <v>109</v>
      </c>
      <c r="S839">
        <v>4.25</v>
      </c>
      <c r="T839">
        <v>4.8970000000000002</v>
      </c>
      <c r="U839">
        <v>7.2</v>
      </c>
      <c r="V839">
        <v>3652.15</v>
      </c>
      <c r="W839">
        <v>782</v>
      </c>
      <c r="X839">
        <v>1.3332999999999999</v>
      </c>
      <c r="Y839">
        <v>586</v>
      </c>
      <c r="Z839">
        <v>6.23</v>
      </c>
      <c r="AJ839">
        <v>2</v>
      </c>
      <c r="AK839">
        <v>18</v>
      </c>
      <c r="AM839">
        <v>0</v>
      </c>
      <c r="AO839" t="s">
        <v>266</v>
      </c>
      <c r="AT839">
        <v>70</v>
      </c>
      <c r="AV839">
        <v>62.3</v>
      </c>
      <c r="AW839" t="s">
        <v>6</v>
      </c>
      <c r="AX839" t="s">
        <v>6</v>
      </c>
      <c r="AY839" t="s">
        <v>6</v>
      </c>
      <c r="AZ839" t="s">
        <v>6</v>
      </c>
      <c r="BA839" t="s">
        <v>6</v>
      </c>
      <c r="BB839" t="s">
        <v>6</v>
      </c>
      <c r="BC839" t="s">
        <v>6</v>
      </c>
      <c r="BD839" t="s">
        <v>6</v>
      </c>
      <c r="BE839" t="s">
        <v>6</v>
      </c>
      <c r="BF839" t="s">
        <v>6</v>
      </c>
      <c r="BG839" t="s">
        <v>6</v>
      </c>
      <c r="BH839" t="s">
        <v>6</v>
      </c>
      <c r="BI839" t="s">
        <v>6</v>
      </c>
      <c r="BJ839" t="s">
        <v>6</v>
      </c>
      <c r="BN839">
        <v>302.12</v>
      </c>
      <c r="BO839">
        <v>1426</v>
      </c>
      <c r="BP839">
        <v>0</v>
      </c>
      <c r="BQ839">
        <v>64</v>
      </c>
      <c r="BR839">
        <v>64</v>
      </c>
      <c r="BS839">
        <v>64.17</v>
      </c>
      <c r="BT839">
        <v>0</v>
      </c>
      <c r="BV839">
        <v>0</v>
      </c>
      <c r="BW839" t="s">
        <v>655</v>
      </c>
      <c r="BX839">
        <v>0.17</v>
      </c>
      <c r="BY839">
        <v>10.908899999999999</v>
      </c>
      <c r="BZ839">
        <v>0</v>
      </c>
      <c r="CA839">
        <v>1</v>
      </c>
      <c r="CB839">
        <v>0.6</v>
      </c>
      <c r="CC839" s="3">
        <v>7.1269159999999998E-2</v>
      </c>
      <c r="CD839">
        <v>2.875</v>
      </c>
      <c r="CE839">
        <v>2.5</v>
      </c>
      <c r="CF839">
        <v>18</v>
      </c>
      <c r="CG839">
        <v>6</v>
      </c>
      <c r="CH839">
        <v>0</v>
      </c>
      <c r="CI839">
        <v>64.17</v>
      </c>
      <c r="CJ839">
        <v>786.04309999999998</v>
      </c>
    </row>
    <row r="840" spans="1:88">
      <c r="A840">
        <v>839</v>
      </c>
      <c r="B840" t="s">
        <v>0</v>
      </c>
      <c r="C840" t="s">
        <v>1</v>
      </c>
      <c r="D840" t="s">
        <v>235</v>
      </c>
      <c r="E840" t="s">
        <v>197</v>
      </c>
      <c r="F840" t="s">
        <v>327</v>
      </c>
      <c r="G840" t="s">
        <v>106</v>
      </c>
      <c r="H840" t="s">
        <v>96</v>
      </c>
      <c r="J840">
        <v>2</v>
      </c>
      <c r="K840" t="s">
        <v>146</v>
      </c>
      <c r="L840" t="s">
        <v>199</v>
      </c>
      <c r="M840" t="s">
        <v>200</v>
      </c>
      <c r="N840" t="s">
        <v>201</v>
      </c>
      <c r="O840">
        <v>173</v>
      </c>
      <c r="Q840">
        <v>581</v>
      </c>
      <c r="R840">
        <v>81</v>
      </c>
      <c r="S840">
        <v>4.25</v>
      </c>
      <c r="T840">
        <v>4.5830000000000002</v>
      </c>
      <c r="U840">
        <v>6.97</v>
      </c>
      <c r="V840">
        <v>2471.12</v>
      </c>
      <c r="W840">
        <v>567</v>
      </c>
      <c r="X840">
        <v>1.3332999999999999</v>
      </c>
      <c r="Y840">
        <v>418</v>
      </c>
      <c r="Z840">
        <v>5.91</v>
      </c>
      <c r="AJ840">
        <v>2</v>
      </c>
      <c r="AK840">
        <v>18</v>
      </c>
      <c r="AM840">
        <v>0</v>
      </c>
      <c r="AO840" t="s">
        <v>100</v>
      </c>
      <c r="AT840">
        <v>65</v>
      </c>
      <c r="AV840">
        <v>45.1</v>
      </c>
      <c r="AW840">
        <v>0.46875</v>
      </c>
      <c r="AX840">
        <v>3.75</v>
      </c>
      <c r="AY840">
        <v>60.75</v>
      </c>
      <c r="AZ840">
        <v>5.5</v>
      </c>
      <c r="BA840">
        <v>333.47</v>
      </c>
      <c r="BB840">
        <v>5.91</v>
      </c>
      <c r="BC840">
        <v>65</v>
      </c>
      <c r="BD840">
        <v>0.3125</v>
      </c>
      <c r="BE840">
        <v>2.75</v>
      </c>
      <c r="BF840">
        <v>42.5</v>
      </c>
      <c r="BG840">
        <v>3.75</v>
      </c>
      <c r="BH840">
        <v>84.65</v>
      </c>
      <c r="BI840">
        <v>7.55</v>
      </c>
      <c r="BJ840">
        <v>23</v>
      </c>
      <c r="BL840">
        <v>418.12</v>
      </c>
      <c r="BM840">
        <v>87</v>
      </c>
      <c r="BN840">
        <v>215.7834</v>
      </c>
      <c r="BO840">
        <v>2229</v>
      </c>
      <c r="BP840">
        <v>0</v>
      </c>
      <c r="BQ840">
        <v>59</v>
      </c>
      <c r="BR840">
        <v>59</v>
      </c>
      <c r="BS840">
        <v>59.3</v>
      </c>
      <c r="BT840">
        <v>0</v>
      </c>
      <c r="BV840">
        <v>0</v>
      </c>
      <c r="BW840" t="s">
        <v>655</v>
      </c>
      <c r="BX840">
        <v>0.17</v>
      </c>
      <c r="BY840">
        <v>10.081</v>
      </c>
      <c r="BZ840">
        <v>0</v>
      </c>
      <c r="CA840">
        <v>1</v>
      </c>
      <c r="CB840">
        <v>0.6</v>
      </c>
      <c r="CC840" s="3">
        <v>7.1269159999999998E-2</v>
      </c>
      <c r="CD840">
        <v>2.875</v>
      </c>
      <c r="CE840">
        <v>2.5</v>
      </c>
      <c r="CF840">
        <v>18</v>
      </c>
      <c r="CG840">
        <v>6</v>
      </c>
      <c r="CH840">
        <v>0</v>
      </c>
      <c r="CI840">
        <v>59.3</v>
      </c>
      <c r="CJ840">
        <v>526.16949999999997</v>
      </c>
    </row>
    <row r="841" spans="1:88">
      <c r="A841">
        <v>840</v>
      </c>
      <c r="B841" t="s">
        <v>0</v>
      </c>
      <c r="C841" t="s">
        <v>1</v>
      </c>
      <c r="D841" t="s">
        <v>127</v>
      </c>
      <c r="E841" t="s">
        <v>317</v>
      </c>
      <c r="F841" t="s">
        <v>129</v>
      </c>
      <c r="G841" t="s">
        <v>106</v>
      </c>
      <c r="H841" t="s">
        <v>130</v>
      </c>
      <c r="J841">
        <v>2</v>
      </c>
      <c r="K841" t="s">
        <v>146</v>
      </c>
      <c r="L841" t="s">
        <v>169</v>
      </c>
      <c r="M841" t="s">
        <v>400</v>
      </c>
      <c r="N841" t="s">
        <v>228</v>
      </c>
      <c r="O841">
        <v>99</v>
      </c>
      <c r="Q841">
        <v>302</v>
      </c>
      <c r="R841">
        <v>72</v>
      </c>
      <c r="S841">
        <v>4.25</v>
      </c>
      <c r="T841">
        <v>2.758</v>
      </c>
      <c r="U841">
        <v>5.88</v>
      </c>
      <c r="V841">
        <v>1282.81</v>
      </c>
      <c r="W841">
        <v>421</v>
      </c>
      <c r="X841">
        <v>1.3332999999999999</v>
      </c>
      <c r="Y841">
        <v>314</v>
      </c>
      <c r="Z841">
        <v>4.09</v>
      </c>
      <c r="AJ841">
        <v>2</v>
      </c>
      <c r="AK841">
        <v>18</v>
      </c>
      <c r="AM841">
        <v>0</v>
      </c>
      <c r="AO841" t="s">
        <v>134</v>
      </c>
      <c r="AT841">
        <v>40</v>
      </c>
      <c r="AV841">
        <v>39</v>
      </c>
      <c r="AW841">
        <v>0</v>
      </c>
      <c r="AX841">
        <v>0</v>
      </c>
      <c r="AY841">
        <v>31</v>
      </c>
      <c r="AZ841">
        <v>3.375</v>
      </c>
      <c r="BA841">
        <v>0</v>
      </c>
      <c r="BB841">
        <v>0</v>
      </c>
      <c r="BC841">
        <v>29</v>
      </c>
      <c r="BN841">
        <v>185.4667</v>
      </c>
      <c r="BO841">
        <v>3017</v>
      </c>
      <c r="BP841">
        <v>0</v>
      </c>
      <c r="BQ841">
        <v>34</v>
      </c>
      <c r="BR841">
        <v>34</v>
      </c>
      <c r="BS841">
        <v>33.56</v>
      </c>
      <c r="BT841">
        <v>0</v>
      </c>
      <c r="BV841">
        <v>0</v>
      </c>
      <c r="BW841" t="s">
        <v>655</v>
      </c>
      <c r="BX841">
        <v>0.17</v>
      </c>
      <c r="BY841">
        <v>5.7051999999999996</v>
      </c>
      <c r="BZ841">
        <v>0</v>
      </c>
      <c r="CA841">
        <v>1</v>
      </c>
      <c r="CB841">
        <v>0.6</v>
      </c>
      <c r="CC841" s="3">
        <v>7.1269159999999998E-2</v>
      </c>
      <c r="CD841">
        <v>2.875</v>
      </c>
      <c r="CE841">
        <v>2.5</v>
      </c>
      <c r="CF841">
        <v>18</v>
      </c>
      <c r="CG841">
        <v>6</v>
      </c>
      <c r="CH841">
        <v>0</v>
      </c>
      <c r="CI841">
        <v>33.56</v>
      </c>
      <c r="CJ841">
        <v>257.11770000000001</v>
      </c>
    </row>
    <row r="842" spans="1:88">
      <c r="A842">
        <v>841</v>
      </c>
      <c r="B842" t="s">
        <v>0</v>
      </c>
      <c r="C842" t="s">
        <v>1</v>
      </c>
      <c r="D842" t="s">
        <v>151</v>
      </c>
      <c r="E842" t="s">
        <v>151</v>
      </c>
      <c r="F842" t="s">
        <v>385</v>
      </c>
      <c r="G842" t="s">
        <v>106</v>
      </c>
      <c r="H842" t="s">
        <v>2</v>
      </c>
      <c r="J842">
        <v>2</v>
      </c>
      <c r="K842" t="s">
        <v>146</v>
      </c>
      <c r="L842" t="s">
        <v>119</v>
      </c>
      <c r="M842" t="s">
        <v>154</v>
      </c>
      <c r="N842" t="s">
        <v>150</v>
      </c>
      <c r="O842">
        <v>108</v>
      </c>
      <c r="Q842">
        <v>306</v>
      </c>
      <c r="R842">
        <v>68</v>
      </c>
      <c r="S842">
        <v>4.25</v>
      </c>
      <c r="T842">
        <v>2.9980000000000002</v>
      </c>
      <c r="U842">
        <v>6.07</v>
      </c>
      <c r="V842">
        <v>1298.4100000000001</v>
      </c>
      <c r="W842">
        <v>411</v>
      </c>
      <c r="X842">
        <v>1.3332999999999999</v>
      </c>
      <c r="Y842">
        <v>300</v>
      </c>
      <c r="Z842">
        <v>4.33</v>
      </c>
      <c r="AJ842">
        <v>2</v>
      </c>
      <c r="AK842">
        <v>18</v>
      </c>
      <c r="AM842">
        <v>0</v>
      </c>
      <c r="AO842" t="s">
        <v>4</v>
      </c>
      <c r="AT842">
        <v>43</v>
      </c>
      <c r="AV842">
        <v>36.4</v>
      </c>
      <c r="AW842">
        <v>0</v>
      </c>
      <c r="AX842">
        <v>0</v>
      </c>
      <c r="AY842">
        <v>32.5</v>
      </c>
      <c r="AZ842">
        <v>3.5</v>
      </c>
      <c r="BA842">
        <v>0</v>
      </c>
      <c r="BB842">
        <v>0</v>
      </c>
      <c r="BC842">
        <v>31</v>
      </c>
      <c r="BN842">
        <v>172.98339999999999</v>
      </c>
      <c r="BO842">
        <v>3468</v>
      </c>
      <c r="BP842">
        <v>0</v>
      </c>
      <c r="BQ842">
        <v>37</v>
      </c>
      <c r="BR842">
        <v>37</v>
      </c>
      <c r="BS842">
        <v>36.69</v>
      </c>
      <c r="BT842">
        <v>0</v>
      </c>
      <c r="BV842">
        <v>0</v>
      </c>
      <c r="BW842" t="s">
        <v>655</v>
      </c>
      <c r="BX842">
        <v>0.17</v>
      </c>
      <c r="BY842">
        <v>6.2373000000000003</v>
      </c>
      <c r="BZ842">
        <v>0</v>
      </c>
      <c r="CA842">
        <v>1</v>
      </c>
      <c r="CB842">
        <v>0.6</v>
      </c>
      <c r="CC842" s="3">
        <v>7.1269159999999998E-2</v>
      </c>
      <c r="CD842">
        <v>2.875</v>
      </c>
      <c r="CE842">
        <v>2.5</v>
      </c>
      <c r="CF842">
        <v>18</v>
      </c>
      <c r="CG842">
        <v>6</v>
      </c>
      <c r="CH842">
        <v>0</v>
      </c>
      <c r="CI842">
        <v>36.69</v>
      </c>
      <c r="CJ842">
        <v>262.79399999999998</v>
      </c>
    </row>
    <row r="843" spans="1:88">
      <c r="A843">
        <v>842</v>
      </c>
      <c r="B843" t="s">
        <v>13</v>
      </c>
      <c r="C843" t="s">
        <v>1</v>
      </c>
      <c r="D843" t="s">
        <v>178</v>
      </c>
      <c r="E843" t="s">
        <v>2</v>
      </c>
      <c r="F843" t="s">
        <v>408</v>
      </c>
      <c r="G843" t="s">
        <v>106</v>
      </c>
      <c r="H843" t="s">
        <v>141</v>
      </c>
      <c r="J843">
        <v>2</v>
      </c>
      <c r="K843" t="s">
        <v>146</v>
      </c>
      <c r="L843" t="s">
        <v>122</v>
      </c>
      <c r="M843" t="s">
        <v>4</v>
      </c>
      <c r="N843" t="s">
        <v>5</v>
      </c>
      <c r="O843">
        <v>107</v>
      </c>
      <c r="Q843">
        <v>265</v>
      </c>
      <c r="R843">
        <v>60</v>
      </c>
      <c r="S843">
        <v>4.25</v>
      </c>
      <c r="T843">
        <v>2.9710000000000001</v>
      </c>
      <c r="U843">
        <v>6.07</v>
      </c>
      <c r="V843">
        <v>1124.33</v>
      </c>
      <c r="W843">
        <v>365</v>
      </c>
      <c r="X843">
        <v>1.5</v>
      </c>
      <c r="Y843">
        <v>252</v>
      </c>
      <c r="Z843">
        <v>4.47</v>
      </c>
      <c r="AJ843">
        <v>2</v>
      </c>
      <c r="AK843">
        <v>18</v>
      </c>
      <c r="AM843">
        <v>0</v>
      </c>
      <c r="AO843" t="s">
        <v>409</v>
      </c>
      <c r="AT843">
        <v>42</v>
      </c>
      <c r="AV843">
        <v>31.7</v>
      </c>
      <c r="AW843">
        <v>0</v>
      </c>
      <c r="AX843">
        <v>0</v>
      </c>
      <c r="AY843">
        <v>38.625</v>
      </c>
      <c r="AZ843">
        <v>3.625</v>
      </c>
      <c r="BA843">
        <v>0</v>
      </c>
      <c r="BB843">
        <v>0</v>
      </c>
      <c r="BC843">
        <v>37</v>
      </c>
      <c r="BN843">
        <v>149.80000000000001</v>
      </c>
      <c r="BO843">
        <v>4624</v>
      </c>
      <c r="BP843">
        <v>0</v>
      </c>
      <c r="BQ843">
        <v>36</v>
      </c>
      <c r="BR843">
        <v>36</v>
      </c>
      <c r="BS843">
        <v>36.340000000000003</v>
      </c>
      <c r="BT843">
        <v>0</v>
      </c>
      <c r="BV843">
        <v>0</v>
      </c>
      <c r="BW843" t="s">
        <v>655</v>
      </c>
      <c r="BX843">
        <v>0.17</v>
      </c>
      <c r="BY843">
        <v>6.1778000000000004</v>
      </c>
      <c r="BZ843">
        <v>0</v>
      </c>
      <c r="CA843">
        <v>1</v>
      </c>
      <c r="CB843">
        <v>0.6</v>
      </c>
      <c r="CC843" s="3">
        <v>7.1269159999999998E-2</v>
      </c>
      <c r="CD843">
        <v>2.875</v>
      </c>
      <c r="CE843">
        <v>2.5</v>
      </c>
      <c r="CF843">
        <v>18</v>
      </c>
      <c r="CG843">
        <v>6</v>
      </c>
      <c r="CH843">
        <v>0</v>
      </c>
      <c r="CI843">
        <v>36.340000000000003</v>
      </c>
      <c r="CJ843">
        <v>226.6181</v>
      </c>
    </row>
    <row r="844" spans="1:88">
      <c r="A844">
        <v>843</v>
      </c>
      <c r="B844" t="s">
        <v>13</v>
      </c>
      <c r="C844" t="s">
        <v>1</v>
      </c>
      <c r="D844" t="s">
        <v>470</v>
      </c>
      <c r="E844" t="s">
        <v>212</v>
      </c>
      <c r="F844" t="s">
        <v>587</v>
      </c>
      <c r="G844" t="s">
        <v>15</v>
      </c>
      <c r="H844" t="s">
        <v>470</v>
      </c>
      <c r="J844">
        <v>2</v>
      </c>
      <c r="K844" t="s">
        <v>9</v>
      </c>
      <c r="L844" t="s">
        <v>425</v>
      </c>
      <c r="M844" t="s">
        <v>453</v>
      </c>
      <c r="N844" t="s">
        <v>454</v>
      </c>
      <c r="O844">
        <v>195</v>
      </c>
      <c r="Q844">
        <v>1209</v>
      </c>
      <c r="R844">
        <v>146</v>
      </c>
      <c r="S844">
        <v>4.25</v>
      </c>
      <c r="T844">
        <v>5.0730000000000004</v>
      </c>
      <c r="U844">
        <v>7.35</v>
      </c>
      <c r="V844">
        <v>5139.2700000000004</v>
      </c>
      <c r="W844">
        <v>1075</v>
      </c>
      <c r="X844">
        <v>1.3332999999999999</v>
      </c>
      <c r="Y844">
        <v>803</v>
      </c>
      <c r="Z844">
        <v>6.4</v>
      </c>
      <c r="AJ844">
        <v>2</v>
      </c>
      <c r="AK844">
        <v>18</v>
      </c>
      <c r="AM844">
        <v>0</v>
      </c>
      <c r="AO844" t="s">
        <v>588</v>
      </c>
      <c r="AT844">
        <v>73</v>
      </c>
      <c r="AV844">
        <v>84.1</v>
      </c>
      <c r="AW844" t="s">
        <v>6</v>
      </c>
      <c r="AX844" t="s">
        <v>6</v>
      </c>
      <c r="AY844" t="s">
        <v>6</v>
      </c>
      <c r="AZ844" t="s">
        <v>6</v>
      </c>
      <c r="BA844" t="s">
        <v>6</v>
      </c>
      <c r="BB844" t="s">
        <v>6</v>
      </c>
      <c r="BC844" t="s">
        <v>6</v>
      </c>
      <c r="BD844" t="s">
        <v>6</v>
      </c>
      <c r="BE844" t="s">
        <v>6</v>
      </c>
      <c r="BF844" t="s">
        <v>6</v>
      </c>
      <c r="BG844" t="s">
        <v>6</v>
      </c>
      <c r="BH844" t="s">
        <v>6</v>
      </c>
      <c r="BI844" t="s">
        <v>6</v>
      </c>
      <c r="BJ844" t="s">
        <v>6</v>
      </c>
      <c r="BN844">
        <v>719.81320000000005</v>
      </c>
      <c r="BO844">
        <v>2111</v>
      </c>
      <c r="BP844">
        <v>0</v>
      </c>
      <c r="BQ844">
        <v>67</v>
      </c>
      <c r="BR844">
        <v>67</v>
      </c>
      <c r="BS844">
        <v>66.95</v>
      </c>
      <c r="BT844">
        <v>0</v>
      </c>
      <c r="BV844">
        <v>6</v>
      </c>
      <c r="BW844" t="s">
        <v>655</v>
      </c>
      <c r="BX844">
        <v>0.27933340000000001</v>
      </c>
      <c r="BY844">
        <v>18.701370000000001</v>
      </c>
      <c r="BZ844">
        <v>0</v>
      </c>
      <c r="CA844">
        <v>1</v>
      </c>
      <c r="CB844">
        <v>0.6</v>
      </c>
      <c r="CC844" s="3">
        <v>7.1269159999999998E-2</v>
      </c>
      <c r="CD844">
        <v>2.875</v>
      </c>
      <c r="CE844">
        <v>2.5</v>
      </c>
      <c r="CF844">
        <v>18</v>
      </c>
      <c r="CG844">
        <v>6</v>
      </c>
      <c r="CH844">
        <v>0</v>
      </c>
      <c r="CI844">
        <v>66.95</v>
      </c>
      <c r="CJ844">
        <v>1106.385</v>
      </c>
    </row>
    <row r="845" spans="1:88">
      <c r="A845">
        <v>844</v>
      </c>
      <c r="B845" t="s">
        <v>0</v>
      </c>
      <c r="C845" t="s">
        <v>1</v>
      </c>
      <c r="D845" t="s">
        <v>113</v>
      </c>
      <c r="E845" t="s">
        <v>208</v>
      </c>
      <c r="F845" t="s">
        <v>262</v>
      </c>
      <c r="G845" t="s">
        <v>214</v>
      </c>
      <c r="H845" t="s">
        <v>263</v>
      </c>
      <c r="J845">
        <v>2</v>
      </c>
      <c r="K845" t="s">
        <v>108</v>
      </c>
      <c r="L845" t="s">
        <v>95</v>
      </c>
      <c r="M845" t="s">
        <v>396</v>
      </c>
      <c r="N845" t="s">
        <v>397</v>
      </c>
      <c r="O845">
        <v>209</v>
      </c>
      <c r="Q845">
        <v>954</v>
      </c>
      <c r="R845">
        <v>118</v>
      </c>
      <c r="S845">
        <v>4.25</v>
      </c>
      <c r="T845">
        <v>5.375</v>
      </c>
      <c r="U845">
        <v>7.42</v>
      </c>
      <c r="V845">
        <v>4055.94</v>
      </c>
      <c r="W845">
        <v>878</v>
      </c>
      <c r="X845">
        <v>1.5</v>
      </c>
      <c r="Y845">
        <v>590</v>
      </c>
      <c r="Z845">
        <v>6.87</v>
      </c>
      <c r="AJ845">
        <v>2</v>
      </c>
      <c r="AK845">
        <v>18</v>
      </c>
      <c r="AM845">
        <v>0</v>
      </c>
      <c r="AO845" t="s">
        <v>266</v>
      </c>
      <c r="AT845">
        <v>78</v>
      </c>
      <c r="AV845">
        <v>62.3</v>
      </c>
      <c r="AW845" t="s">
        <v>6</v>
      </c>
      <c r="AX845" t="s">
        <v>6</v>
      </c>
      <c r="AY845" t="s">
        <v>6</v>
      </c>
      <c r="AZ845" t="s">
        <v>6</v>
      </c>
      <c r="BA845" t="s">
        <v>6</v>
      </c>
      <c r="BB845" t="s">
        <v>6</v>
      </c>
      <c r="BC845" t="s">
        <v>6</v>
      </c>
      <c r="BD845" t="s">
        <v>6</v>
      </c>
      <c r="BE845" t="s">
        <v>6</v>
      </c>
      <c r="BF845" t="s">
        <v>6</v>
      </c>
      <c r="BG845" t="s">
        <v>6</v>
      </c>
      <c r="BH845" t="s">
        <v>6</v>
      </c>
      <c r="BI845" t="s">
        <v>6</v>
      </c>
      <c r="BJ845" t="s">
        <v>6</v>
      </c>
      <c r="BN845">
        <v>302.12</v>
      </c>
      <c r="BO845">
        <v>1426</v>
      </c>
      <c r="BP845">
        <v>0</v>
      </c>
      <c r="BQ845">
        <v>72</v>
      </c>
      <c r="BR845">
        <v>72</v>
      </c>
      <c r="BS845">
        <v>71.819999999999993</v>
      </c>
      <c r="BT845">
        <v>0</v>
      </c>
      <c r="BV845">
        <v>0</v>
      </c>
      <c r="BW845" t="s">
        <v>655</v>
      </c>
      <c r="BX845">
        <v>0.17</v>
      </c>
      <c r="BY845">
        <v>12.2094</v>
      </c>
      <c r="BZ845">
        <v>0</v>
      </c>
      <c r="CA845">
        <v>1</v>
      </c>
      <c r="CB845">
        <v>0.6</v>
      </c>
      <c r="CC845" s="3">
        <v>7.1269159999999998E-2</v>
      </c>
      <c r="CD845">
        <v>2.875</v>
      </c>
      <c r="CE845">
        <v>2.5</v>
      </c>
      <c r="CF845">
        <v>18</v>
      </c>
      <c r="CG845">
        <v>6</v>
      </c>
      <c r="CH845">
        <v>0</v>
      </c>
      <c r="CI845">
        <v>71.819999999999993</v>
      </c>
      <c r="CJ845">
        <v>879.7509</v>
      </c>
    </row>
    <row r="846" spans="1:88">
      <c r="A846">
        <v>845</v>
      </c>
      <c r="B846" t="s">
        <v>0</v>
      </c>
      <c r="C846" t="s">
        <v>1</v>
      </c>
      <c r="D846" t="s">
        <v>172</v>
      </c>
      <c r="E846" t="s">
        <v>316</v>
      </c>
      <c r="F846" t="s">
        <v>359</v>
      </c>
      <c r="G846" t="s">
        <v>106</v>
      </c>
      <c r="H846" t="s">
        <v>330</v>
      </c>
      <c r="J846">
        <v>2</v>
      </c>
      <c r="K846" t="s">
        <v>146</v>
      </c>
      <c r="L846" t="s">
        <v>457</v>
      </c>
      <c r="M846" t="s">
        <v>591</v>
      </c>
      <c r="N846" t="s">
        <v>197</v>
      </c>
      <c r="O846">
        <v>170</v>
      </c>
      <c r="Q846">
        <v>595</v>
      </c>
      <c r="R846">
        <v>84</v>
      </c>
      <c r="S846">
        <v>4.25</v>
      </c>
      <c r="T846">
        <v>4.5149999999999997</v>
      </c>
      <c r="U846">
        <v>6.9</v>
      </c>
      <c r="V846">
        <v>2527.04</v>
      </c>
      <c r="W846">
        <v>582</v>
      </c>
      <c r="X846">
        <v>1.3332999999999999</v>
      </c>
      <c r="Y846">
        <v>433</v>
      </c>
      <c r="Z846">
        <v>5.84</v>
      </c>
      <c r="AJ846">
        <v>2</v>
      </c>
      <c r="AK846">
        <v>18</v>
      </c>
      <c r="AM846">
        <v>0</v>
      </c>
      <c r="AO846" t="s">
        <v>360</v>
      </c>
      <c r="AT846">
        <v>64</v>
      </c>
      <c r="AV846">
        <v>47</v>
      </c>
      <c r="AW846">
        <v>0.46875</v>
      </c>
      <c r="AX846">
        <v>3.75</v>
      </c>
      <c r="AY846">
        <v>60.125</v>
      </c>
      <c r="AZ846">
        <v>5.5</v>
      </c>
      <c r="BA846">
        <v>337.46</v>
      </c>
      <c r="BB846">
        <v>5.84</v>
      </c>
      <c r="BC846">
        <v>65</v>
      </c>
      <c r="BD846">
        <v>0.3125</v>
      </c>
      <c r="BE846">
        <v>2.75</v>
      </c>
      <c r="BF846">
        <v>37.75</v>
      </c>
      <c r="BG846">
        <v>3.625</v>
      </c>
      <c r="BH846">
        <v>95.25</v>
      </c>
      <c r="BI846">
        <v>6.71</v>
      </c>
      <c r="BJ846">
        <v>20</v>
      </c>
      <c r="BL846">
        <v>432.71</v>
      </c>
      <c r="BM846">
        <v>84</v>
      </c>
      <c r="BN846">
        <v>224.70009999999999</v>
      </c>
      <c r="BO846">
        <v>2055</v>
      </c>
      <c r="BP846">
        <v>0</v>
      </c>
      <c r="BQ846">
        <v>58</v>
      </c>
      <c r="BR846">
        <v>58</v>
      </c>
      <c r="BS846">
        <v>58.26</v>
      </c>
      <c r="BT846">
        <v>0</v>
      </c>
      <c r="BV846">
        <v>0</v>
      </c>
      <c r="BW846" t="s">
        <v>655</v>
      </c>
      <c r="BX846">
        <v>0.17</v>
      </c>
      <c r="BY846">
        <v>9.9041990000000002</v>
      </c>
      <c r="BZ846">
        <v>0</v>
      </c>
      <c r="CA846">
        <v>1</v>
      </c>
      <c r="CB846">
        <v>0.6</v>
      </c>
      <c r="CC846" s="3">
        <v>7.1269159999999998E-2</v>
      </c>
      <c r="CD846">
        <v>2.875</v>
      </c>
      <c r="CE846">
        <v>2.5</v>
      </c>
      <c r="CF846">
        <v>18</v>
      </c>
      <c r="CG846">
        <v>6</v>
      </c>
      <c r="CH846">
        <v>0</v>
      </c>
      <c r="CI846">
        <v>58.26</v>
      </c>
      <c r="CJ846">
        <v>537.70230000000004</v>
      </c>
    </row>
    <row r="847" spans="1:88">
      <c r="A847">
        <v>846</v>
      </c>
      <c r="B847" t="s">
        <v>13</v>
      </c>
      <c r="C847" t="s">
        <v>1</v>
      </c>
      <c r="D847" t="s">
        <v>434</v>
      </c>
      <c r="E847" t="s">
        <v>369</v>
      </c>
      <c r="F847" t="s">
        <v>494</v>
      </c>
      <c r="G847" t="s">
        <v>106</v>
      </c>
      <c r="H847" t="s">
        <v>495</v>
      </c>
      <c r="J847">
        <v>2</v>
      </c>
      <c r="K847" t="s">
        <v>108</v>
      </c>
      <c r="L847" t="s">
        <v>259</v>
      </c>
      <c r="M847" t="s">
        <v>480</v>
      </c>
      <c r="N847" t="s">
        <v>307</v>
      </c>
      <c r="O847">
        <v>121</v>
      </c>
      <c r="Q847">
        <v>604</v>
      </c>
      <c r="R847">
        <v>114</v>
      </c>
      <c r="S847">
        <v>4.25</v>
      </c>
      <c r="T847">
        <v>3.3340000000000001</v>
      </c>
      <c r="U847">
        <v>6.22</v>
      </c>
      <c r="V847">
        <v>2566.4899999999998</v>
      </c>
      <c r="W847">
        <v>710</v>
      </c>
      <c r="X847">
        <v>1.3332999999999999</v>
      </c>
      <c r="Y847">
        <v>551</v>
      </c>
      <c r="Z847">
        <v>4.66</v>
      </c>
      <c r="AJ847">
        <v>2</v>
      </c>
      <c r="AK847">
        <v>18</v>
      </c>
      <c r="AM847">
        <v>0</v>
      </c>
      <c r="AO847" t="s">
        <v>496</v>
      </c>
      <c r="AT847">
        <v>47</v>
      </c>
      <c r="AV847">
        <v>65.599999999999994</v>
      </c>
      <c r="AW847">
        <v>0.46875</v>
      </c>
      <c r="AX847">
        <v>3.75</v>
      </c>
      <c r="AY847">
        <v>47.875</v>
      </c>
      <c r="AZ847">
        <v>4.375</v>
      </c>
      <c r="BA847">
        <v>422.92</v>
      </c>
      <c r="BB847">
        <v>4.66</v>
      </c>
      <c r="BC847">
        <v>51</v>
      </c>
      <c r="BD847">
        <v>0.3125</v>
      </c>
      <c r="BE847">
        <v>2.75</v>
      </c>
      <c r="BF847">
        <v>28.125</v>
      </c>
      <c r="BG847">
        <v>2.875</v>
      </c>
      <c r="BH847">
        <v>127.81</v>
      </c>
      <c r="BI847">
        <v>5</v>
      </c>
      <c r="BJ847">
        <v>15</v>
      </c>
      <c r="BL847">
        <v>550.73</v>
      </c>
      <c r="BM847">
        <v>66</v>
      </c>
      <c r="BN847">
        <v>315.65010000000001</v>
      </c>
      <c r="BO847">
        <v>1041</v>
      </c>
      <c r="BP847">
        <v>0</v>
      </c>
      <c r="BQ847">
        <v>41</v>
      </c>
      <c r="BR847">
        <v>41</v>
      </c>
      <c r="BS847">
        <v>41.21</v>
      </c>
      <c r="BT847">
        <v>0</v>
      </c>
      <c r="BV847">
        <v>0</v>
      </c>
      <c r="BW847" t="s">
        <v>655</v>
      </c>
      <c r="BX847">
        <v>0.17</v>
      </c>
      <c r="BY847">
        <v>7.0057</v>
      </c>
      <c r="BZ847">
        <v>0</v>
      </c>
      <c r="CA847">
        <v>1</v>
      </c>
      <c r="CB847">
        <v>0.6</v>
      </c>
      <c r="CC847" s="3">
        <v>7.1269159999999998E-2</v>
      </c>
      <c r="CD847">
        <v>2.875</v>
      </c>
      <c r="CE847">
        <v>2.5</v>
      </c>
      <c r="CF847">
        <v>18</v>
      </c>
      <c r="CG847">
        <v>6</v>
      </c>
      <c r="CH847">
        <v>0</v>
      </c>
      <c r="CI847">
        <v>41.21</v>
      </c>
      <c r="CJ847">
        <v>531.23019999999997</v>
      </c>
    </row>
    <row r="848" spans="1:88">
      <c r="A848">
        <v>847</v>
      </c>
      <c r="B848" t="s">
        <v>0</v>
      </c>
      <c r="C848" t="s">
        <v>1</v>
      </c>
      <c r="D848" t="s">
        <v>197</v>
      </c>
      <c r="E848" t="s">
        <v>434</v>
      </c>
      <c r="F848" t="s">
        <v>390</v>
      </c>
      <c r="G848" t="s">
        <v>106</v>
      </c>
      <c r="H848" t="s">
        <v>391</v>
      </c>
      <c r="J848">
        <v>2</v>
      </c>
      <c r="K848" t="s">
        <v>108</v>
      </c>
      <c r="L848" t="s">
        <v>305</v>
      </c>
      <c r="M848" t="s">
        <v>564</v>
      </c>
      <c r="N848" t="s">
        <v>104</v>
      </c>
      <c r="O848">
        <v>188</v>
      </c>
      <c r="Q848">
        <v>834</v>
      </c>
      <c r="R848">
        <v>105</v>
      </c>
      <c r="S848">
        <v>4.25</v>
      </c>
      <c r="T848">
        <v>4.9189999999999996</v>
      </c>
      <c r="U848">
        <v>7.2</v>
      </c>
      <c r="V848">
        <v>3544.11</v>
      </c>
      <c r="W848">
        <v>757</v>
      </c>
      <c r="X848">
        <v>1.3332999999999999</v>
      </c>
      <c r="Y848">
        <v>567</v>
      </c>
      <c r="Z848">
        <v>6.25</v>
      </c>
      <c r="AJ848">
        <v>2</v>
      </c>
      <c r="AK848">
        <v>18</v>
      </c>
      <c r="AM848">
        <v>0</v>
      </c>
      <c r="AO848" t="s">
        <v>392</v>
      </c>
      <c r="AT848">
        <v>71</v>
      </c>
      <c r="AV848">
        <v>60.2</v>
      </c>
      <c r="AW848">
        <v>0.46875</v>
      </c>
      <c r="AX848">
        <v>3.75</v>
      </c>
      <c r="AY848">
        <v>65</v>
      </c>
      <c r="AZ848">
        <v>5.875</v>
      </c>
      <c r="BA848">
        <v>311.87</v>
      </c>
      <c r="BB848">
        <v>6.31</v>
      </c>
      <c r="BC848">
        <v>70</v>
      </c>
      <c r="BD848">
        <v>0.4375</v>
      </c>
      <c r="BE848">
        <v>3.75</v>
      </c>
      <c r="BF848">
        <v>55.75</v>
      </c>
      <c r="BG848">
        <v>5.5</v>
      </c>
      <c r="BH848">
        <v>255.18</v>
      </c>
      <c r="BI848">
        <v>6.44</v>
      </c>
      <c r="BJ848">
        <v>56</v>
      </c>
      <c r="BL848">
        <v>567.04999999999995</v>
      </c>
      <c r="BM848">
        <v>126</v>
      </c>
      <c r="BN848">
        <v>288.90010000000001</v>
      </c>
      <c r="BO848">
        <v>1243</v>
      </c>
      <c r="BP848">
        <v>0</v>
      </c>
      <c r="BQ848">
        <v>65</v>
      </c>
      <c r="BR848">
        <v>65</v>
      </c>
      <c r="BS848">
        <v>64.52</v>
      </c>
      <c r="BT848">
        <v>0</v>
      </c>
      <c r="BV848">
        <v>0</v>
      </c>
      <c r="BW848" t="s">
        <v>655</v>
      </c>
      <c r="BX848">
        <v>0.17</v>
      </c>
      <c r="BY848">
        <v>10.968400000000001</v>
      </c>
      <c r="BZ848">
        <v>0</v>
      </c>
      <c r="CA848">
        <v>1</v>
      </c>
      <c r="CB848">
        <v>0.6</v>
      </c>
      <c r="CC848" s="3">
        <v>7.1269159999999998E-2</v>
      </c>
      <c r="CD848">
        <v>2.875</v>
      </c>
      <c r="CE848">
        <v>2.5</v>
      </c>
      <c r="CF848">
        <v>18</v>
      </c>
      <c r="CG848">
        <v>6</v>
      </c>
      <c r="CH848">
        <v>0</v>
      </c>
      <c r="CI848">
        <v>64.52</v>
      </c>
      <c r="CJ848">
        <v>762.74059999999997</v>
      </c>
    </row>
    <row r="849" spans="1:88">
      <c r="A849">
        <v>848</v>
      </c>
      <c r="B849" t="s">
        <v>0</v>
      </c>
      <c r="C849" t="s">
        <v>1</v>
      </c>
      <c r="D849" t="s">
        <v>202</v>
      </c>
      <c r="E849" t="s">
        <v>3</v>
      </c>
      <c r="F849" t="s">
        <v>357</v>
      </c>
      <c r="G849" t="s">
        <v>106</v>
      </c>
      <c r="H849" t="s">
        <v>358</v>
      </c>
      <c r="J849">
        <v>2</v>
      </c>
      <c r="K849" t="s">
        <v>108</v>
      </c>
      <c r="L849" t="s">
        <v>363</v>
      </c>
      <c r="M849" t="s">
        <v>383</v>
      </c>
      <c r="N849" t="s">
        <v>119</v>
      </c>
      <c r="O849">
        <v>125</v>
      </c>
      <c r="Q849">
        <v>598</v>
      </c>
      <c r="R849">
        <v>110</v>
      </c>
      <c r="S849">
        <v>4.25</v>
      </c>
      <c r="T849">
        <v>3.4350000000000001</v>
      </c>
      <c r="U849">
        <v>6.26</v>
      </c>
      <c r="V849">
        <v>2542.52</v>
      </c>
      <c r="W849">
        <v>687</v>
      </c>
      <c r="X849">
        <v>1.3332999999999999</v>
      </c>
      <c r="Y849">
        <v>534</v>
      </c>
      <c r="Z849">
        <v>4.76</v>
      </c>
      <c r="AJ849">
        <v>2</v>
      </c>
      <c r="AK849">
        <v>18</v>
      </c>
      <c r="AM849">
        <v>0</v>
      </c>
      <c r="AO849" t="s">
        <v>262</v>
      </c>
      <c r="AT849">
        <v>49</v>
      </c>
      <c r="AV849">
        <v>63.1</v>
      </c>
      <c r="AW849">
        <v>0.46875</v>
      </c>
      <c r="AX849">
        <v>3.75</v>
      </c>
      <c r="AY849">
        <v>49</v>
      </c>
      <c r="AZ849">
        <v>4.5</v>
      </c>
      <c r="BA849">
        <v>414.03</v>
      </c>
      <c r="BB849">
        <v>4.76</v>
      </c>
      <c r="BC849">
        <v>53</v>
      </c>
      <c r="BD849">
        <v>0.3125</v>
      </c>
      <c r="BE849">
        <v>2.75</v>
      </c>
      <c r="BF849">
        <v>30</v>
      </c>
      <c r="BG849">
        <v>3</v>
      </c>
      <c r="BH849">
        <v>120.11</v>
      </c>
      <c r="BI849">
        <v>5.32</v>
      </c>
      <c r="BJ849">
        <v>16</v>
      </c>
      <c r="BL849">
        <v>534.14</v>
      </c>
      <c r="BM849">
        <v>68</v>
      </c>
      <c r="BN849">
        <v>303.16669999999999</v>
      </c>
      <c r="BO849">
        <v>1129</v>
      </c>
      <c r="BP849">
        <v>0</v>
      </c>
      <c r="BQ849">
        <v>43</v>
      </c>
      <c r="BR849">
        <v>43</v>
      </c>
      <c r="BS849">
        <v>42.6</v>
      </c>
      <c r="BT849">
        <v>0</v>
      </c>
      <c r="BV849">
        <v>0</v>
      </c>
      <c r="BW849" t="s">
        <v>655</v>
      </c>
      <c r="BX849">
        <v>0.17</v>
      </c>
      <c r="BY849">
        <v>7.242</v>
      </c>
      <c r="BZ849">
        <v>0</v>
      </c>
      <c r="CA849">
        <v>1</v>
      </c>
      <c r="CB849">
        <v>0.6</v>
      </c>
      <c r="CC849" s="3">
        <v>7.1269159999999998E-2</v>
      </c>
      <c r="CD849">
        <v>2.875</v>
      </c>
      <c r="CE849">
        <v>2.5</v>
      </c>
      <c r="CF849">
        <v>18</v>
      </c>
      <c r="CG849">
        <v>6</v>
      </c>
      <c r="CH849">
        <v>0</v>
      </c>
      <c r="CI849">
        <v>42.6</v>
      </c>
      <c r="CJ849">
        <v>527.89599999999996</v>
      </c>
    </row>
    <row r="850" spans="1:88">
      <c r="A850">
        <v>849</v>
      </c>
      <c r="B850" t="s">
        <v>0</v>
      </c>
      <c r="C850" t="s">
        <v>1</v>
      </c>
      <c r="D850" t="s">
        <v>348</v>
      </c>
      <c r="E850" t="s">
        <v>162</v>
      </c>
      <c r="F850" t="s">
        <v>576</v>
      </c>
      <c r="G850" t="s">
        <v>106</v>
      </c>
      <c r="H850" t="s">
        <v>577</v>
      </c>
      <c r="J850">
        <v>2</v>
      </c>
      <c r="K850" t="s">
        <v>108</v>
      </c>
      <c r="L850" t="s">
        <v>295</v>
      </c>
      <c r="M850" t="s">
        <v>166</v>
      </c>
      <c r="N850" t="s">
        <v>167</v>
      </c>
      <c r="O850">
        <v>130</v>
      </c>
      <c r="Q850">
        <v>595</v>
      </c>
      <c r="R850">
        <v>106</v>
      </c>
      <c r="S850">
        <v>4.25</v>
      </c>
      <c r="T850">
        <v>3.5609999999999999</v>
      </c>
      <c r="U850">
        <v>6.33</v>
      </c>
      <c r="V850">
        <v>2530.62</v>
      </c>
      <c r="W850">
        <v>669</v>
      </c>
      <c r="X850">
        <v>1.3332999999999999</v>
      </c>
      <c r="Y850">
        <v>518</v>
      </c>
      <c r="Z850">
        <v>4.8899999999999997</v>
      </c>
      <c r="AJ850">
        <v>2</v>
      </c>
      <c r="AK850">
        <v>18</v>
      </c>
      <c r="AM850">
        <v>0</v>
      </c>
      <c r="AO850" t="s">
        <v>578</v>
      </c>
      <c r="AT850">
        <v>50</v>
      </c>
      <c r="AV850">
        <v>60.5</v>
      </c>
      <c r="AW850">
        <v>0.46875</v>
      </c>
      <c r="AX850">
        <v>3.75</v>
      </c>
      <c r="AY850">
        <v>50.25</v>
      </c>
      <c r="AZ850">
        <v>4.625</v>
      </c>
      <c r="BA850">
        <v>403.03</v>
      </c>
      <c r="BB850">
        <v>4.8899999999999997</v>
      </c>
      <c r="BC850">
        <v>54</v>
      </c>
      <c r="BD850">
        <v>0.3125</v>
      </c>
      <c r="BE850">
        <v>2.75</v>
      </c>
      <c r="BF850">
        <v>31.375</v>
      </c>
      <c r="BG850">
        <v>3</v>
      </c>
      <c r="BH850">
        <v>114.47</v>
      </c>
      <c r="BI850">
        <v>5.58</v>
      </c>
      <c r="BJ850">
        <v>17</v>
      </c>
      <c r="BL850">
        <v>517.5</v>
      </c>
      <c r="BM850">
        <v>70</v>
      </c>
      <c r="BN850">
        <v>290.68340000000001</v>
      </c>
      <c r="BO850">
        <v>1228</v>
      </c>
      <c r="BP850">
        <v>0</v>
      </c>
      <c r="BQ850">
        <v>44</v>
      </c>
      <c r="BR850">
        <v>44</v>
      </c>
      <c r="BS850">
        <v>44.34</v>
      </c>
      <c r="BT850">
        <v>0</v>
      </c>
      <c r="BV850">
        <v>0</v>
      </c>
      <c r="BW850" t="s">
        <v>655</v>
      </c>
      <c r="BX850">
        <v>0.17</v>
      </c>
      <c r="BY850">
        <v>7.5377999999999998</v>
      </c>
      <c r="BZ850">
        <v>0</v>
      </c>
      <c r="CA850">
        <v>1</v>
      </c>
      <c r="CB850">
        <v>0.6</v>
      </c>
      <c r="CC850" s="3">
        <v>7.1269159999999998E-2</v>
      </c>
      <c r="CD850">
        <v>2.875</v>
      </c>
      <c r="CE850">
        <v>2.5</v>
      </c>
      <c r="CF850">
        <v>18</v>
      </c>
      <c r="CG850">
        <v>6</v>
      </c>
      <c r="CH850">
        <v>0</v>
      </c>
      <c r="CI850">
        <v>44.34</v>
      </c>
      <c r="CJ850">
        <v>527.3374</v>
      </c>
    </row>
    <row r="851" spans="1:88">
      <c r="A851">
        <v>850</v>
      </c>
      <c r="B851" t="s">
        <v>13</v>
      </c>
      <c r="C851" t="s">
        <v>1</v>
      </c>
      <c r="D851" t="s">
        <v>314</v>
      </c>
      <c r="E851" t="s">
        <v>366</v>
      </c>
      <c r="F851" t="s">
        <v>479</v>
      </c>
      <c r="G851" t="s">
        <v>106</v>
      </c>
      <c r="H851" t="s">
        <v>594</v>
      </c>
      <c r="J851">
        <v>2</v>
      </c>
      <c r="K851" t="s">
        <v>108</v>
      </c>
      <c r="L851" t="s">
        <v>268</v>
      </c>
      <c r="M851" t="s">
        <v>370</v>
      </c>
      <c r="N851" t="s">
        <v>217</v>
      </c>
      <c r="O851">
        <v>103</v>
      </c>
      <c r="Q851">
        <v>454</v>
      </c>
      <c r="R851">
        <v>100</v>
      </c>
      <c r="S851">
        <v>4.25</v>
      </c>
      <c r="T851">
        <v>2.8650000000000002</v>
      </c>
      <c r="U851">
        <v>5.96</v>
      </c>
      <c r="V851">
        <v>1927.92</v>
      </c>
      <c r="W851">
        <v>596</v>
      </c>
      <c r="X851">
        <v>1.3332999999999999</v>
      </c>
      <c r="Y851">
        <v>460</v>
      </c>
      <c r="Z851">
        <v>4.1900000000000004</v>
      </c>
      <c r="AJ851">
        <v>2</v>
      </c>
      <c r="AK851">
        <v>18</v>
      </c>
      <c r="AM851">
        <v>0</v>
      </c>
      <c r="AO851" t="s">
        <v>571</v>
      </c>
      <c r="AT851">
        <v>41</v>
      </c>
      <c r="AV851">
        <v>56.9</v>
      </c>
      <c r="AW851">
        <v>0</v>
      </c>
      <c r="AX851">
        <v>0</v>
      </c>
      <c r="AY851">
        <v>44</v>
      </c>
      <c r="AZ851">
        <v>3.875</v>
      </c>
      <c r="BA851">
        <v>0</v>
      </c>
      <c r="BB851">
        <v>0</v>
      </c>
      <c r="BC851">
        <v>47</v>
      </c>
      <c r="BN851">
        <v>272.85000000000002</v>
      </c>
      <c r="BO851">
        <v>1394</v>
      </c>
      <c r="BP851">
        <v>0</v>
      </c>
      <c r="BQ851">
        <v>35</v>
      </c>
      <c r="BR851">
        <v>35</v>
      </c>
      <c r="BS851">
        <v>34.950000000000003</v>
      </c>
      <c r="BT851">
        <v>0</v>
      </c>
      <c r="BV851">
        <v>0</v>
      </c>
      <c r="BW851" t="s">
        <v>655</v>
      </c>
      <c r="BX851">
        <v>0.17</v>
      </c>
      <c r="BY851">
        <v>5.9414999999999996</v>
      </c>
      <c r="BZ851">
        <v>0</v>
      </c>
      <c r="CA851">
        <v>1</v>
      </c>
      <c r="CB851">
        <v>0.6</v>
      </c>
      <c r="CC851" s="3">
        <v>7.1269159999999998E-2</v>
      </c>
      <c r="CD851">
        <v>2.875</v>
      </c>
      <c r="CE851">
        <v>2.5</v>
      </c>
      <c r="CF851">
        <v>18</v>
      </c>
      <c r="CG851">
        <v>6</v>
      </c>
      <c r="CH851">
        <v>0</v>
      </c>
      <c r="CI851">
        <v>34.950000000000003</v>
      </c>
      <c r="CJ851">
        <v>390.75319999999999</v>
      </c>
    </row>
    <row r="852" spans="1:88">
      <c r="A852">
        <v>851</v>
      </c>
      <c r="B852" t="s">
        <v>0</v>
      </c>
      <c r="C852" t="s">
        <v>1</v>
      </c>
      <c r="D852" t="s">
        <v>207</v>
      </c>
      <c r="E852" t="s">
        <v>143</v>
      </c>
      <c r="F852" t="s">
        <v>149</v>
      </c>
      <c r="G852" t="s">
        <v>106</v>
      </c>
      <c r="H852" t="s">
        <v>185</v>
      </c>
      <c r="J852">
        <v>2</v>
      </c>
      <c r="K852" t="s">
        <v>146</v>
      </c>
      <c r="L852" t="s">
        <v>297</v>
      </c>
      <c r="M852" t="s">
        <v>206</v>
      </c>
      <c r="N852" t="s">
        <v>131</v>
      </c>
      <c r="O852">
        <v>155</v>
      </c>
      <c r="Q852">
        <v>612</v>
      </c>
      <c r="R852">
        <v>93</v>
      </c>
      <c r="S852">
        <v>4.25</v>
      </c>
      <c r="T852">
        <v>4.1660000000000004</v>
      </c>
      <c r="U852">
        <v>6.78</v>
      </c>
      <c r="V852">
        <v>2600.27</v>
      </c>
      <c r="W852">
        <v>634</v>
      </c>
      <c r="X852">
        <v>1.3332999999999999</v>
      </c>
      <c r="Y852">
        <v>474</v>
      </c>
      <c r="Z852">
        <v>5.49</v>
      </c>
      <c r="AJ852">
        <v>2</v>
      </c>
      <c r="AK852">
        <v>18</v>
      </c>
      <c r="AM852">
        <v>0</v>
      </c>
      <c r="AO852" t="s">
        <v>294</v>
      </c>
      <c r="AT852">
        <v>59</v>
      </c>
      <c r="AV852">
        <v>52.8</v>
      </c>
      <c r="AW852">
        <v>0.46875</v>
      </c>
      <c r="AX852">
        <v>3.75</v>
      </c>
      <c r="AY852">
        <v>56.5</v>
      </c>
      <c r="AZ852">
        <v>5.125</v>
      </c>
      <c r="BA852">
        <v>358.98</v>
      </c>
      <c r="BB852">
        <v>5.49</v>
      </c>
      <c r="BC852">
        <v>61</v>
      </c>
      <c r="BD852">
        <v>0.3125</v>
      </c>
      <c r="BE852">
        <v>2.75</v>
      </c>
      <c r="BF852">
        <v>31.375</v>
      </c>
      <c r="BG852">
        <v>3.375</v>
      </c>
      <c r="BH852">
        <v>114.65</v>
      </c>
      <c r="BI852">
        <v>5.57</v>
      </c>
      <c r="BJ852">
        <v>17</v>
      </c>
      <c r="BL852">
        <v>473.63</v>
      </c>
      <c r="BM852">
        <v>77</v>
      </c>
      <c r="BN852">
        <v>253.23339999999999</v>
      </c>
      <c r="BO852">
        <v>1618</v>
      </c>
      <c r="BP852">
        <v>0</v>
      </c>
      <c r="BQ852">
        <v>53</v>
      </c>
      <c r="BR852">
        <v>53</v>
      </c>
      <c r="BS852">
        <v>53.04</v>
      </c>
      <c r="BT852">
        <v>0</v>
      </c>
      <c r="BV852">
        <v>0</v>
      </c>
      <c r="BW852" t="s">
        <v>655</v>
      </c>
      <c r="BX852">
        <v>0.17</v>
      </c>
      <c r="BY852">
        <v>9.0167999999999999</v>
      </c>
      <c r="BZ852">
        <v>0</v>
      </c>
      <c r="CA852">
        <v>1</v>
      </c>
      <c r="CB852">
        <v>0.6</v>
      </c>
      <c r="CC852" s="3">
        <v>7.1269159999999998E-2</v>
      </c>
      <c r="CD852">
        <v>2.875</v>
      </c>
      <c r="CE852">
        <v>2.5</v>
      </c>
      <c r="CF852">
        <v>18</v>
      </c>
      <c r="CG852">
        <v>6</v>
      </c>
      <c r="CH852">
        <v>0</v>
      </c>
      <c r="CI852">
        <v>53.04</v>
      </c>
      <c r="CJ852">
        <v>550.00689999999997</v>
      </c>
    </row>
    <row r="853" spans="1:88">
      <c r="A853">
        <v>852</v>
      </c>
      <c r="B853" t="s">
        <v>0</v>
      </c>
      <c r="C853" t="s">
        <v>1</v>
      </c>
      <c r="D853" t="s">
        <v>381</v>
      </c>
      <c r="E853" t="s">
        <v>257</v>
      </c>
      <c r="F853" t="s">
        <v>132</v>
      </c>
      <c r="G853" t="s">
        <v>106</v>
      </c>
      <c r="H853" t="s">
        <v>340</v>
      </c>
      <c r="J853">
        <v>2</v>
      </c>
      <c r="K853" t="s">
        <v>146</v>
      </c>
      <c r="L853" t="s">
        <v>258</v>
      </c>
      <c r="M853" t="s">
        <v>301</v>
      </c>
      <c r="N853" t="s">
        <v>363</v>
      </c>
      <c r="O853">
        <v>142</v>
      </c>
      <c r="Q853">
        <v>511</v>
      </c>
      <c r="R853">
        <v>85</v>
      </c>
      <c r="S853">
        <v>4.25</v>
      </c>
      <c r="T853">
        <v>3.8559999999999999</v>
      </c>
      <c r="U853">
        <v>6.56</v>
      </c>
      <c r="V853">
        <v>2170.4699999999998</v>
      </c>
      <c r="W853">
        <v>560</v>
      </c>
      <c r="X853">
        <v>1.3332999999999999</v>
      </c>
      <c r="Y853">
        <v>419</v>
      </c>
      <c r="Z853">
        <v>5.18</v>
      </c>
      <c r="AJ853">
        <v>2</v>
      </c>
      <c r="AK853">
        <v>18</v>
      </c>
      <c r="AM853">
        <v>0</v>
      </c>
      <c r="AO853" t="s">
        <v>359</v>
      </c>
      <c r="AT853">
        <v>55</v>
      </c>
      <c r="AV853">
        <v>47.7</v>
      </c>
      <c r="AW853">
        <v>0.46875</v>
      </c>
      <c r="AX853">
        <v>3.75</v>
      </c>
      <c r="AY853">
        <v>53.25</v>
      </c>
      <c r="AZ853">
        <v>4.875</v>
      </c>
      <c r="BA853">
        <v>380.46</v>
      </c>
      <c r="BB853">
        <v>5.18</v>
      </c>
      <c r="BC853">
        <v>57</v>
      </c>
      <c r="BD853">
        <v>0.25</v>
      </c>
      <c r="BE853">
        <v>2.75</v>
      </c>
      <c r="BF853">
        <v>29.75</v>
      </c>
      <c r="BG853">
        <v>2.625</v>
      </c>
      <c r="BH853">
        <v>38.54</v>
      </c>
      <c r="BI853">
        <v>8.91</v>
      </c>
      <c r="BJ853">
        <v>13</v>
      </c>
      <c r="BL853">
        <v>419</v>
      </c>
      <c r="BM853">
        <v>70</v>
      </c>
      <c r="BN853">
        <v>228.26669999999999</v>
      </c>
      <c r="BO853">
        <v>1992</v>
      </c>
      <c r="BP853">
        <v>0</v>
      </c>
      <c r="BQ853">
        <v>49</v>
      </c>
      <c r="BR853">
        <v>49</v>
      </c>
      <c r="BS853">
        <v>48.52</v>
      </c>
      <c r="BT853">
        <v>0</v>
      </c>
      <c r="BV853">
        <v>0</v>
      </c>
      <c r="BW853" t="s">
        <v>655</v>
      </c>
      <c r="BX853">
        <v>0.17</v>
      </c>
      <c r="BY853">
        <v>8.2484000000000002</v>
      </c>
      <c r="BZ853">
        <v>0</v>
      </c>
      <c r="CA853">
        <v>1</v>
      </c>
      <c r="CB853">
        <v>0.6</v>
      </c>
      <c r="CC853" s="3">
        <v>7.1269159999999998E-2</v>
      </c>
      <c r="CD853">
        <v>2.875</v>
      </c>
      <c r="CE853">
        <v>2.5</v>
      </c>
      <c r="CF853">
        <v>18</v>
      </c>
      <c r="CG853">
        <v>6</v>
      </c>
      <c r="CH853">
        <v>0</v>
      </c>
      <c r="CI853">
        <v>48.52</v>
      </c>
      <c r="CJ853">
        <v>454.72430000000003</v>
      </c>
    </row>
    <row r="854" spans="1:88">
      <c r="A854">
        <v>853</v>
      </c>
      <c r="B854" t="s">
        <v>0</v>
      </c>
      <c r="C854" t="s">
        <v>1</v>
      </c>
      <c r="D854" t="s">
        <v>459</v>
      </c>
      <c r="E854" t="s">
        <v>143</v>
      </c>
      <c r="F854" t="s">
        <v>389</v>
      </c>
      <c r="G854" t="s">
        <v>15</v>
      </c>
      <c r="H854" t="s">
        <v>460</v>
      </c>
      <c r="J854">
        <v>2</v>
      </c>
      <c r="K854" t="s">
        <v>108</v>
      </c>
      <c r="L854" t="s">
        <v>297</v>
      </c>
      <c r="M854" t="s">
        <v>206</v>
      </c>
      <c r="N854" t="s">
        <v>131</v>
      </c>
      <c r="O854">
        <v>155</v>
      </c>
      <c r="Q854">
        <v>825</v>
      </c>
      <c r="R854">
        <v>124</v>
      </c>
      <c r="S854">
        <v>4.25</v>
      </c>
      <c r="T854">
        <v>4.1660000000000004</v>
      </c>
      <c r="U854">
        <v>6.78</v>
      </c>
      <c r="V854">
        <v>3504.89</v>
      </c>
      <c r="W854">
        <v>842</v>
      </c>
      <c r="X854">
        <v>1.3332999999999999</v>
      </c>
      <c r="Y854">
        <v>638</v>
      </c>
      <c r="Z854">
        <v>5.49</v>
      </c>
      <c r="AJ854">
        <v>2</v>
      </c>
      <c r="AK854">
        <v>18</v>
      </c>
      <c r="AM854">
        <v>0</v>
      </c>
      <c r="AO854" t="s">
        <v>418</v>
      </c>
      <c r="AT854">
        <v>59</v>
      </c>
      <c r="AV854">
        <v>71.400000000000006</v>
      </c>
      <c r="AW854" t="s">
        <v>6</v>
      </c>
      <c r="AX854" t="s">
        <v>6</v>
      </c>
      <c r="AY854" t="s">
        <v>6</v>
      </c>
      <c r="AZ854" t="s">
        <v>6</v>
      </c>
      <c r="BA854" t="s">
        <v>6</v>
      </c>
      <c r="BB854" t="s">
        <v>6</v>
      </c>
      <c r="BC854" t="s">
        <v>6</v>
      </c>
      <c r="BD854" t="s">
        <v>6</v>
      </c>
      <c r="BE854" t="s">
        <v>6</v>
      </c>
      <c r="BF854" t="s">
        <v>6</v>
      </c>
      <c r="BG854" t="s">
        <v>6</v>
      </c>
      <c r="BH854" t="s">
        <v>6</v>
      </c>
      <c r="BI854" t="s">
        <v>6</v>
      </c>
      <c r="BJ854" t="s">
        <v>6</v>
      </c>
      <c r="BN854">
        <v>609.31560000000002</v>
      </c>
      <c r="BO854">
        <v>2946</v>
      </c>
      <c r="BP854">
        <v>0</v>
      </c>
      <c r="BQ854">
        <v>53</v>
      </c>
      <c r="BR854">
        <v>53</v>
      </c>
      <c r="BS854">
        <v>53.04</v>
      </c>
      <c r="BT854">
        <v>0</v>
      </c>
      <c r="BV854">
        <v>0</v>
      </c>
      <c r="BW854" t="s">
        <v>655</v>
      </c>
      <c r="BX854">
        <v>0.17</v>
      </c>
      <c r="BY854">
        <v>9.0167999999999999</v>
      </c>
      <c r="BZ854">
        <v>0</v>
      </c>
      <c r="CA854">
        <v>1</v>
      </c>
      <c r="CB854">
        <v>0.6</v>
      </c>
      <c r="CC854" s="3">
        <v>7.1269159999999998E-2</v>
      </c>
      <c r="CD854">
        <v>2.875</v>
      </c>
      <c r="CE854">
        <v>2.5</v>
      </c>
      <c r="CF854">
        <v>18</v>
      </c>
      <c r="CG854">
        <v>6</v>
      </c>
      <c r="CH854">
        <v>0</v>
      </c>
      <c r="CI854">
        <v>53.04</v>
      </c>
      <c r="CJ854">
        <v>744.21029999999996</v>
      </c>
    </row>
    <row r="855" spans="1:88">
      <c r="A855">
        <v>854</v>
      </c>
      <c r="B855" t="s">
        <v>0</v>
      </c>
      <c r="C855" t="s">
        <v>1</v>
      </c>
      <c r="D855" t="s">
        <v>341</v>
      </c>
      <c r="E855" t="s">
        <v>552</v>
      </c>
      <c r="F855" t="s">
        <v>343</v>
      </c>
      <c r="G855" t="s">
        <v>106</v>
      </c>
      <c r="H855" t="s">
        <v>344</v>
      </c>
      <c r="J855">
        <v>2</v>
      </c>
      <c r="K855" t="s">
        <v>146</v>
      </c>
      <c r="L855" t="s">
        <v>104</v>
      </c>
      <c r="M855" t="s">
        <v>600</v>
      </c>
      <c r="N855" t="s">
        <v>348</v>
      </c>
      <c r="O855">
        <v>171</v>
      </c>
      <c r="Q855">
        <v>353</v>
      </c>
      <c r="R855">
        <v>48</v>
      </c>
      <c r="S855">
        <v>4.25</v>
      </c>
      <c r="T855">
        <v>4.5380000000000003</v>
      </c>
      <c r="U855">
        <v>6.93</v>
      </c>
      <c r="V855">
        <v>1498.84</v>
      </c>
      <c r="W855">
        <v>335</v>
      </c>
      <c r="X855">
        <v>1.3332999999999999</v>
      </c>
      <c r="Y855">
        <v>255</v>
      </c>
      <c r="Z855">
        <v>5.87</v>
      </c>
      <c r="AJ855">
        <v>2</v>
      </c>
      <c r="AK855">
        <v>18</v>
      </c>
      <c r="AM855">
        <v>0</v>
      </c>
      <c r="AO855" t="s">
        <v>347</v>
      </c>
      <c r="AT855">
        <v>65</v>
      </c>
      <c r="AV855">
        <v>27.4</v>
      </c>
      <c r="AW855">
        <v>0</v>
      </c>
      <c r="AX855">
        <v>0</v>
      </c>
      <c r="AY855">
        <v>55.75</v>
      </c>
      <c r="AZ855">
        <v>5.125</v>
      </c>
      <c r="BA855">
        <v>0</v>
      </c>
      <c r="BB855">
        <v>0</v>
      </c>
      <c r="BC855">
        <v>56</v>
      </c>
      <c r="BN855">
        <v>128.4</v>
      </c>
      <c r="BO855">
        <v>6294</v>
      </c>
      <c r="BP855">
        <v>0</v>
      </c>
      <c r="BQ855">
        <v>59</v>
      </c>
      <c r="BR855">
        <v>59</v>
      </c>
      <c r="BS855">
        <v>58.6</v>
      </c>
      <c r="BT855">
        <v>0</v>
      </c>
      <c r="BV855">
        <v>0</v>
      </c>
      <c r="BW855" t="s">
        <v>655</v>
      </c>
      <c r="BX855">
        <v>0.17</v>
      </c>
      <c r="BY855">
        <v>9.9619999999999997</v>
      </c>
      <c r="BZ855">
        <v>0</v>
      </c>
      <c r="CA855">
        <v>1</v>
      </c>
      <c r="CB855">
        <v>0.6</v>
      </c>
      <c r="CC855" s="3">
        <v>7.1269159999999998E-2</v>
      </c>
      <c r="CD855">
        <v>2.875</v>
      </c>
      <c r="CE855">
        <v>2.5</v>
      </c>
      <c r="CF855">
        <v>18</v>
      </c>
      <c r="CG855">
        <v>6</v>
      </c>
      <c r="CH855">
        <v>0</v>
      </c>
      <c r="CI855">
        <v>58.6</v>
      </c>
      <c r="CJ855">
        <v>315.31610000000001</v>
      </c>
    </row>
    <row r="856" spans="1:88">
      <c r="A856">
        <v>855</v>
      </c>
      <c r="B856" t="s">
        <v>0</v>
      </c>
      <c r="C856" t="s">
        <v>1</v>
      </c>
      <c r="D856" t="s">
        <v>180</v>
      </c>
      <c r="E856" t="s">
        <v>207</v>
      </c>
      <c r="F856" t="s">
        <v>400</v>
      </c>
      <c r="G856" t="s">
        <v>106</v>
      </c>
      <c r="H856" t="s">
        <v>438</v>
      </c>
      <c r="J856">
        <v>2</v>
      </c>
      <c r="K856" t="s">
        <v>146</v>
      </c>
      <c r="L856" t="s">
        <v>197</v>
      </c>
      <c r="M856" t="s">
        <v>211</v>
      </c>
      <c r="N856" t="s">
        <v>279</v>
      </c>
      <c r="O856">
        <v>153</v>
      </c>
      <c r="Q856">
        <v>379</v>
      </c>
      <c r="R856">
        <v>62</v>
      </c>
      <c r="S856">
        <v>4.25</v>
      </c>
      <c r="T856">
        <v>4.1189999999999998</v>
      </c>
      <c r="U856">
        <v>6.75</v>
      </c>
      <c r="V856">
        <v>1612.15</v>
      </c>
      <c r="W856">
        <v>418</v>
      </c>
      <c r="X856">
        <v>1.5</v>
      </c>
      <c r="Y856">
        <v>287</v>
      </c>
      <c r="Z856">
        <v>5.61</v>
      </c>
      <c r="AJ856">
        <v>2</v>
      </c>
      <c r="AK856">
        <v>18</v>
      </c>
      <c r="AM856">
        <v>0</v>
      </c>
      <c r="AO856" t="s">
        <v>467</v>
      </c>
      <c r="AT856">
        <v>58</v>
      </c>
      <c r="AV856">
        <v>32.799999999999997</v>
      </c>
      <c r="AW856">
        <v>0</v>
      </c>
      <c r="AX856">
        <v>0</v>
      </c>
      <c r="AY856">
        <v>49.5</v>
      </c>
      <c r="AZ856">
        <v>4.875</v>
      </c>
      <c r="BA856">
        <v>0</v>
      </c>
      <c r="BB856">
        <v>0</v>
      </c>
      <c r="BC856">
        <v>50</v>
      </c>
      <c r="BN856">
        <v>155.15</v>
      </c>
      <c r="BO856">
        <v>4311</v>
      </c>
      <c r="BP856">
        <v>0</v>
      </c>
      <c r="BQ856">
        <v>52</v>
      </c>
      <c r="BR856">
        <v>52</v>
      </c>
      <c r="BS856">
        <v>52.34</v>
      </c>
      <c r="BT856">
        <v>0</v>
      </c>
      <c r="BV856">
        <v>0</v>
      </c>
      <c r="BW856" t="s">
        <v>655</v>
      </c>
      <c r="BX856">
        <v>0.17</v>
      </c>
      <c r="BY856">
        <v>8.8978009999999994</v>
      </c>
      <c r="BZ856">
        <v>0</v>
      </c>
      <c r="CA856">
        <v>1</v>
      </c>
      <c r="CB856">
        <v>0.6</v>
      </c>
      <c r="CC856" s="3">
        <v>7.1269159999999998E-2</v>
      </c>
      <c r="CD856">
        <v>2.875</v>
      </c>
      <c r="CE856">
        <v>2.5</v>
      </c>
      <c r="CF856">
        <v>18</v>
      </c>
      <c r="CG856">
        <v>6</v>
      </c>
      <c r="CH856">
        <v>0</v>
      </c>
      <c r="CI856">
        <v>52.34</v>
      </c>
      <c r="CJ856">
        <v>337.5856</v>
      </c>
    </row>
    <row r="857" spans="1:88">
      <c r="A857">
        <v>856</v>
      </c>
      <c r="B857" t="s">
        <v>0</v>
      </c>
      <c r="C857" t="s">
        <v>1</v>
      </c>
      <c r="D857" t="s">
        <v>373</v>
      </c>
      <c r="E857" t="s">
        <v>2</v>
      </c>
      <c r="F857" t="s">
        <v>335</v>
      </c>
      <c r="G857" t="s">
        <v>106</v>
      </c>
      <c r="H857" t="s">
        <v>412</v>
      </c>
      <c r="J857">
        <v>2</v>
      </c>
      <c r="K857" t="s">
        <v>146</v>
      </c>
      <c r="L857" t="s">
        <v>122</v>
      </c>
      <c r="M857" t="s">
        <v>4</v>
      </c>
      <c r="N857" t="s">
        <v>5</v>
      </c>
      <c r="O857">
        <v>107</v>
      </c>
      <c r="Q857">
        <v>205</v>
      </c>
      <c r="R857">
        <v>44</v>
      </c>
      <c r="S857">
        <v>4.25</v>
      </c>
      <c r="T857">
        <v>2.9710000000000001</v>
      </c>
      <c r="U857">
        <v>6.07</v>
      </c>
      <c r="V857">
        <v>873.33</v>
      </c>
      <c r="W857">
        <v>265</v>
      </c>
      <c r="X857">
        <v>1.3332999999999999</v>
      </c>
      <c r="Y857">
        <v>203</v>
      </c>
      <c r="Z857">
        <v>4.3</v>
      </c>
      <c r="AJ857">
        <v>2</v>
      </c>
      <c r="AK857">
        <v>18</v>
      </c>
      <c r="AM857">
        <v>0</v>
      </c>
      <c r="AO857" t="s">
        <v>413</v>
      </c>
      <c r="AT857">
        <v>42</v>
      </c>
      <c r="AV857">
        <v>24.5</v>
      </c>
      <c r="AW857">
        <v>0</v>
      </c>
      <c r="AX857">
        <v>0</v>
      </c>
      <c r="AY857">
        <v>31.875</v>
      </c>
      <c r="AZ857">
        <v>3.25</v>
      </c>
      <c r="BA857">
        <v>0</v>
      </c>
      <c r="BB857">
        <v>0</v>
      </c>
      <c r="BC857">
        <v>28</v>
      </c>
      <c r="BN857">
        <v>114.13339999999999</v>
      </c>
      <c r="BO857">
        <v>7966</v>
      </c>
      <c r="BP857">
        <v>0</v>
      </c>
      <c r="BQ857">
        <v>36</v>
      </c>
      <c r="BR857">
        <v>36</v>
      </c>
      <c r="BS857">
        <v>36.340000000000003</v>
      </c>
      <c r="BT857">
        <v>0</v>
      </c>
      <c r="BV857">
        <v>0</v>
      </c>
      <c r="BW857" t="s">
        <v>655</v>
      </c>
      <c r="BX857">
        <v>0.17</v>
      </c>
      <c r="BY857">
        <v>6.1778000000000004</v>
      </c>
      <c r="BZ857">
        <v>0</v>
      </c>
      <c r="CA857">
        <v>1</v>
      </c>
      <c r="CB857">
        <v>0.6</v>
      </c>
      <c r="CC857" s="3">
        <v>7.1269159999999998E-2</v>
      </c>
      <c r="CD857">
        <v>2.875</v>
      </c>
      <c r="CE857">
        <v>2.5</v>
      </c>
      <c r="CF857">
        <v>18</v>
      </c>
      <c r="CG857">
        <v>6</v>
      </c>
      <c r="CH857">
        <v>0</v>
      </c>
      <c r="CI857">
        <v>36.340000000000003</v>
      </c>
      <c r="CJ857">
        <v>174.81970000000001</v>
      </c>
    </row>
    <row r="858" spans="1:88">
      <c r="A858">
        <v>857</v>
      </c>
      <c r="B858" t="s">
        <v>0</v>
      </c>
      <c r="C858" t="s">
        <v>1</v>
      </c>
      <c r="D858" t="s">
        <v>103</v>
      </c>
      <c r="E858" t="s">
        <v>133</v>
      </c>
      <c r="F858" t="s">
        <v>105</v>
      </c>
      <c r="G858" t="s">
        <v>106</v>
      </c>
      <c r="H858" t="s">
        <v>107</v>
      </c>
      <c r="J858">
        <v>2</v>
      </c>
      <c r="K858" t="s">
        <v>108</v>
      </c>
      <c r="L858" t="s">
        <v>353</v>
      </c>
      <c r="M858" t="s">
        <v>194</v>
      </c>
      <c r="N858" t="s">
        <v>195</v>
      </c>
      <c r="O858">
        <v>143</v>
      </c>
      <c r="Q858">
        <v>623</v>
      </c>
      <c r="R858">
        <v>102</v>
      </c>
      <c r="S858">
        <v>4.25</v>
      </c>
      <c r="T858">
        <v>3.88</v>
      </c>
      <c r="U858">
        <v>6.6</v>
      </c>
      <c r="V858">
        <v>2647.96</v>
      </c>
      <c r="W858">
        <v>671</v>
      </c>
      <c r="X858">
        <v>1.3332999999999999</v>
      </c>
      <c r="Y858">
        <v>508</v>
      </c>
      <c r="Z858">
        <v>5.21</v>
      </c>
      <c r="AJ858">
        <v>2</v>
      </c>
      <c r="AK858">
        <v>18</v>
      </c>
      <c r="AM858">
        <v>0</v>
      </c>
      <c r="AO858" t="s">
        <v>112</v>
      </c>
      <c r="AT858">
        <v>55</v>
      </c>
      <c r="AV858">
        <v>58</v>
      </c>
      <c r="AW858">
        <v>0.40625</v>
      </c>
      <c r="AX858">
        <v>3.75</v>
      </c>
      <c r="AY858">
        <v>38.25</v>
      </c>
      <c r="AZ858">
        <v>4.25</v>
      </c>
      <c r="BA858">
        <v>254.12</v>
      </c>
      <c r="BB858">
        <v>5.21</v>
      </c>
      <c r="BC858">
        <v>36</v>
      </c>
      <c r="BD858">
        <v>0.40625</v>
      </c>
      <c r="BE858">
        <v>3.75</v>
      </c>
      <c r="BF858">
        <v>38.25</v>
      </c>
      <c r="BG858">
        <v>4.25</v>
      </c>
      <c r="BH858">
        <v>254.12</v>
      </c>
      <c r="BI858">
        <v>5.21</v>
      </c>
      <c r="BJ858">
        <v>36</v>
      </c>
      <c r="BL858">
        <v>508.24</v>
      </c>
      <c r="BM858">
        <v>72</v>
      </c>
      <c r="BN858">
        <v>278.20010000000002</v>
      </c>
      <c r="BO858">
        <v>1341</v>
      </c>
      <c r="BP858">
        <v>0</v>
      </c>
      <c r="BQ858">
        <v>49</v>
      </c>
      <c r="BR858">
        <v>49</v>
      </c>
      <c r="BS858">
        <v>48.86</v>
      </c>
      <c r="BT858">
        <v>0</v>
      </c>
      <c r="BV858">
        <v>0</v>
      </c>
      <c r="BW858" t="s">
        <v>655</v>
      </c>
      <c r="BX858">
        <v>0.17</v>
      </c>
      <c r="BY858">
        <v>8.3062000000000005</v>
      </c>
      <c r="BZ858">
        <v>0</v>
      </c>
      <c r="CA858">
        <v>1</v>
      </c>
      <c r="CB858">
        <v>0.6</v>
      </c>
      <c r="CC858" s="3">
        <v>7.1269159999999998E-2</v>
      </c>
      <c r="CD858">
        <v>2.875</v>
      </c>
      <c r="CE858">
        <v>2.5</v>
      </c>
      <c r="CF858">
        <v>18</v>
      </c>
      <c r="CG858">
        <v>6</v>
      </c>
      <c r="CH858">
        <v>0</v>
      </c>
      <c r="CI858">
        <v>48.86</v>
      </c>
      <c r="CJ858">
        <v>556.71849999999995</v>
      </c>
    </row>
    <row r="859" spans="1:88">
      <c r="A859">
        <v>858</v>
      </c>
      <c r="B859" t="s">
        <v>13</v>
      </c>
      <c r="C859" t="s">
        <v>1</v>
      </c>
      <c r="D859" t="s">
        <v>113</v>
      </c>
      <c r="E859" t="s">
        <v>148</v>
      </c>
      <c r="F859" t="s">
        <v>262</v>
      </c>
      <c r="G859" t="s">
        <v>214</v>
      </c>
      <c r="H859" t="s">
        <v>263</v>
      </c>
      <c r="J859">
        <v>2</v>
      </c>
      <c r="K859" t="s">
        <v>108</v>
      </c>
      <c r="L859" t="s">
        <v>12</v>
      </c>
      <c r="M859" t="s">
        <v>529</v>
      </c>
      <c r="N859" t="s">
        <v>168</v>
      </c>
      <c r="O859">
        <v>186</v>
      </c>
      <c r="Q859">
        <v>855</v>
      </c>
      <c r="R859">
        <v>109</v>
      </c>
      <c r="S859">
        <v>4.25</v>
      </c>
      <c r="T859">
        <v>4.875</v>
      </c>
      <c r="U859">
        <v>7.2</v>
      </c>
      <c r="V859">
        <v>3633.66</v>
      </c>
      <c r="W859">
        <v>782</v>
      </c>
      <c r="X859">
        <v>1.3332999999999999</v>
      </c>
      <c r="Y859">
        <v>586</v>
      </c>
      <c r="Z859">
        <v>6.2</v>
      </c>
      <c r="AJ859">
        <v>2</v>
      </c>
      <c r="AK859">
        <v>18</v>
      </c>
      <c r="AM859">
        <v>0</v>
      </c>
      <c r="AO859" t="s">
        <v>266</v>
      </c>
      <c r="AT859">
        <v>70</v>
      </c>
      <c r="AV859">
        <v>62.3</v>
      </c>
      <c r="AW859">
        <v>0.46875</v>
      </c>
      <c r="AX859">
        <v>3.75</v>
      </c>
      <c r="AY859">
        <v>62.875</v>
      </c>
      <c r="AZ859">
        <v>5.875</v>
      </c>
      <c r="BA859">
        <v>322.33</v>
      </c>
      <c r="BB859">
        <v>6.11</v>
      </c>
      <c r="BC859">
        <v>68</v>
      </c>
      <c r="BD859">
        <v>0.4375</v>
      </c>
      <c r="BE859">
        <v>3.75</v>
      </c>
      <c r="BF859">
        <v>54</v>
      </c>
      <c r="BG859">
        <v>5.375</v>
      </c>
      <c r="BH859">
        <v>263.74</v>
      </c>
      <c r="BI859">
        <v>6.23</v>
      </c>
      <c r="BJ859">
        <v>55</v>
      </c>
      <c r="BL859">
        <v>586.07000000000005</v>
      </c>
      <c r="BM859">
        <v>122</v>
      </c>
      <c r="BN859">
        <v>302.12</v>
      </c>
      <c r="BO859">
        <v>1426</v>
      </c>
      <c r="BP859">
        <v>0</v>
      </c>
      <c r="BQ859">
        <v>64</v>
      </c>
      <c r="BR859">
        <v>64</v>
      </c>
      <c r="BS859">
        <v>63.82</v>
      </c>
      <c r="BT859">
        <v>0</v>
      </c>
      <c r="BV859">
        <v>0</v>
      </c>
      <c r="BW859" t="s">
        <v>655</v>
      </c>
      <c r="BX859">
        <v>0.17</v>
      </c>
      <c r="BY859">
        <v>10.849399999999999</v>
      </c>
      <c r="BZ859">
        <v>0</v>
      </c>
      <c r="CA859">
        <v>1</v>
      </c>
      <c r="CB859">
        <v>0.6</v>
      </c>
      <c r="CC859" s="3">
        <v>7.1269159999999998E-2</v>
      </c>
      <c r="CD859">
        <v>2.875</v>
      </c>
      <c r="CE859">
        <v>2.5</v>
      </c>
      <c r="CF859">
        <v>18</v>
      </c>
      <c r="CG859">
        <v>6</v>
      </c>
      <c r="CH859">
        <v>0</v>
      </c>
      <c r="CI859">
        <v>63.82</v>
      </c>
      <c r="CJ859">
        <v>781.75580000000002</v>
      </c>
    </row>
    <row r="860" spans="1:88">
      <c r="A860">
        <v>859</v>
      </c>
      <c r="B860" t="s">
        <v>0</v>
      </c>
      <c r="C860" t="s">
        <v>1</v>
      </c>
      <c r="D860" t="s">
        <v>181</v>
      </c>
      <c r="E860" t="s">
        <v>267</v>
      </c>
      <c r="F860" t="s">
        <v>182</v>
      </c>
      <c r="G860" t="s">
        <v>106</v>
      </c>
      <c r="H860" t="s">
        <v>183</v>
      </c>
      <c r="J860">
        <v>2</v>
      </c>
      <c r="K860" t="s">
        <v>108</v>
      </c>
      <c r="L860" t="s">
        <v>113</v>
      </c>
      <c r="M860" t="s">
        <v>232</v>
      </c>
      <c r="N860" t="s">
        <v>258</v>
      </c>
      <c r="O860">
        <v>159</v>
      </c>
      <c r="Q860">
        <v>662</v>
      </c>
      <c r="R860">
        <v>98</v>
      </c>
      <c r="S860">
        <v>4.25</v>
      </c>
      <c r="T860">
        <v>4.26</v>
      </c>
      <c r="U860">
        <v>6.75</v>
      </c>
      <c r="V860">
        <v>2813.54</v>
      </c>
      <c r="W860">
        <v>663</v>
      </c>
      <c r="X860">
        <v>1.3332999999999999</v>
      </c>
      <c r="Y860">
        <v>503</v>
      </c>
      <c r="Z860">
        <v>5.59</v>
      </c>
      <c r="AJ860">
        <v>2</v>
      </c>
      <c r="AK860">
        <v>18</v>
      </c>
      <c r="AM860">
        <v>0</v>
      </c>
      <c r="AO860" t="s">
        <v>186</v>
      </c>
      <c r="AT860">
        <v>61</v>
      </c>
      <c r="AV860">
        <v>55.8</v>
      </c>
      <c r="AW860" t="s">
        <v>6</v>
      </c>
      <c r="AX860" t="s">
        <v>6</v>
      </c>
      <c r="AY860" t="s">
        <v>6</v>
      </c>
      <c r="AZ860" t="s">
        <v>6</v>
      </c>
      <c r="BA860" t="s">
        <v>6</v>
      </c>
      <c r="BB860" t="s">
        <v>6</v>
      </c>
      <c r="BC860" t="s">
        <v>6</v>
      </c>
      <c r="BD860" t="s">
        <v>6</v>
      </c>
      <c r="BE860" t="s">
        <v>6</v>
      </c>
      <c r="BF860" t="s">
        <v>6</v>
      </c>
      <c r="BG860" t="s">
        <v>6</v>
      </c>
      <c r="BH860" t="s">
        <v>6</v>
      </c>
      <c r="BI860" t="s">
        <v>6</v>
      </c>
      <c r="BJ860" t="s">
        <v>6</v>
      </c>
      <c r="BN860">
        <v>267.5</v>
      </c>
      <c r="BO860">
        <v>1450</v>
      </c>
      <c r="BP860">
        <v>0</v>
      </c>
      <c r="BQ860">
        <v>54</v>
      </c>
      <c r="BR860">
        <v>54</v>
      </c>
      <c r="BS860">
        <v>54.43</v>
      </c>
      <c r="BT860">
        <v>0</v>
      </c>
      <c r="BV860">
        <v>0</v>
      </c>
      <c r="BW860" t="s">
        <v>655</v>
      </c>
      <c r="BX860">
        <v>0.17</v>
      </c>
      <c r="BY860">
        <v>9.2531009999999991</v>
      </c>
      <c r="BZ860">
        <v>0</v>
      </c>
      <c r="CA860">
        <v>1</v>
      </c>
      <c r="CB860">
        <v>0.6</v>
      </c>
      <c r="CC860" s="3">
        <v>7.1269159999999998E-2</v>
      </c>
      <c r="CD860">
        <v>2.875</v>
      </c>
      <c r="CE860">
        <v>2.5</v>
      </c>
      <c r="CF860">
        <v>18</v>
      </c>
      <c r="CG860">
        <v>6</v>
      </c>
      <c r="CH860">
        <v>0</v>
      </c>
      <c r="CI860">
        <v>54.43</v>
      </c>
      <c r="CJ860">
        <v>596.90880000000004</v>
      </c>
    </row>
    <row r="861" spans="1:88">
      <c r="A861">
        <v>860</v>
      </c>
      <c r="B861" t="s">
        <v>0</v>
      </c>
      <c r="C861" t="s">
        <v>1</v>
      </c>
      <c r="D861" t="s">
        <v>207</v>
      </c>
      <c r="E861" t="s">
        <v>101</v>
      </c>
      <c r="F861" t="s">
        <v>149</v>
      </c>
      <c r="G861" t="s">
        <v>106</v>
      </c>
      <c r="H861" t="s">
        <v>185</v>
      </c>
      <c r="J861">
        <v>2</v>
      </c>
      <c r="K861" t="s">
        <v>146</v>
      </c>
      <c r="L861" t="s">
        <v>145</v>
      </c>
      <c r="M861" t="s">
        <v>403</v>
      </c>
      <c r="N861" t="s">
        <v>172</v>
      </c>
      <c r="O861">
        <v>134</v>
      </c>
      <c r="Q861">
        <v>535</v>
      </c>
      <c r="R861">
        <v>93</v>
      </c>
      <c r="S861">
        <v>4.25</v>
      </c>
      <c r="T861">
        <v>3.66</v>
      </c>
      <c r="U861">
        <v>6.41</v>
      </c>
      <c r="V861">
        <v>2272.81</v>
      </c>
      <c r="W861">
        <v>599</v>
      </c>
      <c r="X861">
        <v>1.3332999999999999</v>
      </c>
      <c r="Y861">
        <v>455</v>
      </c>
      <c r="Z861">
        <v>4.99</v>
      </c>
      <c r="AJ861">
        <v>2</v>
      </c>
      <c r="AK861">
        <v>18</v>
      </c>
      <c r="AM861">
        <v>0</v>
      </c>
      <c r="AO861" t="s">
        <v>294</v>
      </c>
      <c r="AT861">
        <v>52</v>
      </c>
      <c r="AV861">
        <v>52.8</v>
      </c>
      <c r="AW861">
        <v>0.46875</v>
      </c>
      <c r="AX861">
        <v>3.75</v>
      </c>
      <c r="AY861">
        <v>51.375</v>
      </c>
      <c r="AZ861">
        <v>4.625</v>
      </c>
      <c r="BA861">
        <v>394.95</v>
      </c>
      <c r="BB861">
        <v>4.99</v>
      </c>
      <c r="BC861">
        <v>55</v>
      </c>
      <c r="BD861">
        <v>0.25</v>
      </c>
      <c r="BE861">
        <v>2.75</v>
      </c>
      <c r="BF861">
        <v>19</v>
      </c>
      <c r="BG861">
        <v>2.5</v>
      </c>
      <c r="BH861">
        <v>60.51</v>
      </c>
      <c r="BI861">
        <v>5.67</v>
      </c>
      <c r="BJ861">
        <v>8</v>
      </c>
      <c r="BL861">
        <v>455.46</v>
      </c>
      <c r="BM861">
        <v>63</v>
      </c>
      <c r="BN861">
        <v>253.23339999999999</v>
      </c>
      <c r="BO861">
        <v>1618</v>
      </c>
      <c r="BP861">
        <v>0</v>
      </c>
      <c r="BQ861">
        <v>46</v>
      </c>
      <c r="BR861">
        <v>46</v>
      </c>
      <c r="BS861">
        <v>45.73</v>
      </c>
      <c r="BT861">
        <v>0</v>
      </c>
      <c r="BV861">
        <v>0</v>
      </c>
      <c r="BW861" t="s">
        <v>655</v>
      </c>
      <c r="BX861">
        <v>0.17</v>
      </c>
      <c r="BY861">
        <v>7.7740999999999998</v>
      </c>
      <c r="BZ861">
        <v>0</v>
      </c>
      <c r="CA861">
        <v>1</v>
      </c>
      <c r="CB861">
        <v>0.6</v>
      </c>
      <c r="CC861" s="3">
        <v>7.1269159999999998E-2</v>
      </c>
      <c r="CD861">
        <v>2.875</v>
      </c>
      <c r="CE861">
        <v>2.5</v>
      </c>
      <c r="CF861">
        <v>18</v>
      </c>
      <c r="CG861">
        <v>6</v>
      </c>
      <c r="CH861">
        <v>0</v>
      </c>
      <c r="CI861">
        <v>45.73</v>
      </c>
      <c r="CJ861">
        <v>474.20460000000003</v>
      </c>
    </row>
    <row r="862" spans="1:88">
      <c r="A862">
        <v>861</v>
      </c>
      <c r="B862" t="s">
        <v>0</v>
      </c>
      <c r="C862" t="s">
        <v>1</v>
      </c>
      <c r="D862" t="s">
        <v>113</v>
      </c>
      <c r="E862" t="s">
        <v>17</v>
      </c>
      <c r="F862" t="s">
        <v>262</v>
      </c>
      <c r="G862" t="s">
        <v>214</v>
      </c>
      <c r="H862" t="s">
        <v>263</v>
      </c>
      <c r="J862">
        <v>2</v>
      </c>
      <c r="K862" t="s">
        <v>108</v>
      </c>
      <c r="L862" t="s">
        <v>568</v>
      </c>
      <c r="M862" t="s">
        <v>629</v>
      </c>
      <c r="N862" t="s">
        <v>302</v>
      </c>
      <c r="O862">
        <v>202</v>
      </c>
      <c r="Q862">
        <v>924</v>
      </c>
      <c r="R862">
        <v>109</v>
      </c>
      <c r="S862">
        <v>4.25</v>
      </c>
      <c r="T862">
        <v>5.2249999999999996</v>
      </c>
      <c r="U862">
        <v>7.46</v>
      </c>
      <c r="V862">
        <v>3927.68</v>
      </c>
      <c r="W862">
        <v>810</v>
      </c>
      <c r="X862">
        <v>1.3332999999999999</v>
      </c>
      <c r="Y862">
        <v>600</v>
      </c>
      <c r="Z862">
        <v>6.55</v>
      </c>
      <c r="AJ862">
        <v>2</v>
      </c>
      <c r="AK862">
        <v>18</v>
      </c>
      <c r="AM862">
        <v>0</v>
      </c>
      <c r="AO862" t="s">
        <v>266</v>
      </c>
      <c r="AT862">
        <v>76</v>
      </c>
      <c r="AV862">
        <v>62.3</v>
      </c>
      <c r="AW862">
        <v>0.46875</v>
      </c>
      <c r="AX862">
        <v>3.75</v>
      </c>
      <c r="AY862">
        <v>67.625</v>
      </c>
      <c r="AZ862">
        <v>6.125</v>
      </c>
      <c r="BA862">
        <v>299.82</v>
      </c>
      <c r="BB862">
        <v>6.57</v>
      </c>
      <c r="BC862">
        <v>73</v>
      </c>
      <c r="BD862">
        <v>0.46875</v>
      </c>
      <c r="BE862">
        <v>3.75</v>
      </c>
      <c r="BF862">
        <v>67.625</v>
      </c>
      <c r="BG862">
        <v>6.125</v>
      </c>
      <c r="BH862">
        <v>299.82</v>
      </c>
      <c r="BI862">
        <v>6.57</v>
      </c>
      <c r="BJ862">
        <v>73</v>
      </c>
      <c r="BL862">
        <v>599.64</v>
      </c>
      <c r="BM862">
        <v>145</v>
      </c>
      <c r="BN862">
        <v>302.12</v>
      </c>
      <c r="BO862">
        <v>1426</v>
      </c>
      <c r="BP862">
        <v>0</v>
      </c>
      <c r="BQ862">
        <v>69</v>
      </c>
      <c r="BR862">
        <v>69</v>
      </c>
      <c r="BS862">
        <v>69.39</v>
      </c>
      <c r="BT862">
        <v>0</v>
      </c>
      <c r="BV862">
        <v>0</v>
      </c>
      <c r="BW862" t="s">
        <v>655</v>
      </c>
      <c r="BX862">
        <v>0.17</v>
      </c>
      <c r="BY862">
        <v>11.7963</v>
      </c>
      <c r="BZ862">
        <v>0</v>
      </c>
      <c r="CA862">
        <v>1</v>
      </c>
      <c r="CB862">
        <v>0.6</v>
      </c>
      <c r="CC862" s="3">
        <v>7.1269159999999998E-2</v>
      </c>
      <c r="CD862">
        <v>2.875</v>
      </c>
      <c r="CE862">
        <v>2.5</v>
      </c>
      <c r="CF862">
        <v>18</v>
      </c>
      <c r="CG862">
        <v>6</v>
      </c>
      <c r="CH862">
        <v>0</v>
      </c>
      <c r="CI862">
        <v>69.39</v>
      </c>
      <c r="CJ862">
        <v>849.98490000000004</v>
      </c>
    </row>
    <row r="863" spans="1:88">
      <c r="A863">
        <v>862</v>
      </c>
      <c r="B863" t="s">
        <v>0</v>
      </c>
      <c r="C863" t="s">
        <v>1</v>
      </c>
      <c r="D863" t="s">
        <v>235</v>
      </c>
      <c r="E863" t="s">
        <v>127</v>
      </c>
      <c r="F863" t="s">
        <v>327</v>
      </c>
      <c r="G863" t="s">
        <v>106</v>
      </c>
      <c r="H863" t="s">
        <v>96</v>
      </c>
      <c r="J863">
        <v>2</v>
      </c>
      <c r="K863" t="s">
        <v>146</v>
      </c>
      <c r="L863" t="s">
        <v>338</v>
      </c>
      <c r="M863" t="s">
        <v>189</v>
      </c>
      <c r="N863" t="s">
        <v>190</v>
      </c>
      <c r="O863">
        <v>115</v>
      </c>
      <c r="Q863">
        <v>399</v>
      </c>
      <c r="R863">
        <v>81</v>
      </c>
      <c r="S863">
        <v>4.25</v>
      </c>
      <c r="T863">
        <v>3.18</v>
      </c>
      <c r="U863">
        <v>6.22</v>
      </c>
      <c r="V863">
        <v>1695.92</v>
      </c>
      <c r="W863">
        <v>506</v>
      </c>
      <c r="X863">
        <v>1.3332999999999999</v>
      </c>
      <c r="Y863">
        <v>376</v>
      </c>
      <c r="Z863">
        <v>4.51</v>
      </c>
      <c r="AJ863">
        <v>2</v>
      </c>
      <c r="AK863">
        <v>18</v>
      </c>
      <c r="AM863">
        <v>0</v>
      </c>
      <c r="AO863" t="s">
        <v>100</v>
      </c>
      <c r="AT863">
        <v>45</v>
      </c>
      <c r="AV863">
        <v>45.1</v>
      </c>
      <c r="AW863">
        <v>0</v>
      </c>
      <c r="AX863">
        <v>0</v>
      </c>
      <c r="AY863">
        <v>53.875</v>
      </c>
      <c r="AZ863">
        <v>4.25</v>
      </c>
      <c r="BA863">
        <v>0</v>
      </c>
      <c r="BB863">
        <v>0</v>
      </c>
      <c r="BC863">
        <v>58</v>
      </c>
      <c r="BN863">
        <v>215.7834</v>
      </c>
      <c r="BO863">
        <v>2229</v>
      </c>
      <c r="BP863">
        <v>0</v>
      </c>
      <c r="BQ863">
        <v>39</v>
      </c>
      <c r="BR863">
        <v>39</v>
      </c>
      <c r="BS863">
        <v>39.130000000000003</v>
      </c>
      <c r="BT863">
        <v>0</v>
      </c>
      <c r="BV863">
        <v>0</v>
      </c>
      <c r="BW863" t="s">
        <v>655</v>
      </c>
      <c r="BX863">
        <v>0.17</v>
      </c>
      <c r="BY863">
        <v>6.6520999999999999</v>
      </c>
      <c r="BZ863">
        <v>0</v>
      </c>
      <c r="CA863">
        <v>1</v>
      </c>
      <c r="CB863">
        <v>0.6</v>
      </c>
      <c r="CC863" s="3">
        <v>7.1269159999999998E-2</v>
      </c>
      <c r="CD863">
        <v>2.875</v>
      </c>
      <c r="CE863">
        <v>2.5</v>
      </c>
      <c r="CF863">
        <v>18</v>
      </c>
      <c r="CG863">
        <v>6</v>
      </c>
      <c r="CH863">
        <v>0</v>
      </c>
      <c r="CI863">
        <v>39.130000000000003</v>
      </c>
      <c r="CJ863">
        <v>347.20089999999999</v>
      </c>
    </row>
    <row r="864" spans="1:88">
      <c r="A864">
        <v>863</v>
      </c>
      <c r="B864" t="s">
        <v>0</v>
      </c>
      <c r="C864" t="s">
        <v>1</v>
      </c>
      <c r="D864" t="s">
        <v>3</v>
      </c>
      <c r="E864" t="s">
        <v>143</v>
      </c>
      <c r="F864" t="s">
        <v>306</v>
      </c>
      <c r="G864" t="s">
        <v>106</v>
      </c>
      <c r="H864" t="s">
        <v>307</v>
      </c>
      <c r="J864">
        <v>2</v>
      </c>
      <c r="K864" t="s">
        <v>146</v>
      </c>
      <c r="L864" t="s">
        <v>297</v>
      </c>
      <c r="M864" t="s">
        <v>206</v>
      </c>
      <c r="N864" t="s">
        <v>131</v>
      </c>
      <c r="O864">
        <v>155</v>
      </c>
      <c r="Q864">
        <v>496</v>
      </c>
      <c r="R864">
        <v>77</v>
      </c>
      <c r="S864">
        <v>4.25</v>
      </c>
      <c r="T864">
        <v>4.1660000000000004</v>
      </c>
      <c r="U864">
        <v>6.78</v>
      </c>
      <c r="V864">
        <v>2107.27</v>
      </c>
      <c r="W864">
        <v>525</v>
      </c>
      <c r="X864">
        <v>1.3332999999999999</v>
      </c>
      <c r="Y864">
        <v>384</v>
      </c>
      <c r="Z864">
        <v>5.49</v>
      </c>
      <c r="AJ864">
        <v>2</v>
      </c>
      <c r="AK864">
        <v>18</v>
      </c>
      <c r="AM864">
        <v>0</v>
      </c>
      <c r="AO864" t="s">
        <v>308</v>
      </c>
      <c r="AT864">
        <v>59</v>
      </c>
      <c r="AV864">
        <v>42.6</v>
      </c>
      <c r="AW864">
        <v>0.46875</v>
      </c>
      <c r="AX864">
        <v>3.75</v>
      </c>
      <c r="AY864">
        <v>56.5</v>
      </c>
      <c r="AZ864">
        <v>5.125</v>
      </c>
      <c r="BA864">
        <v>358.98</v>
      </c>
      <c r="BB864">
        <v>5.49</v>
      </c>
      <c r="BC864">
        <v>61</v>
      </c>
      <c r="BD864">
        <v>0.25</v>
      </c>
      <c r="BE864">
        <v>2.75</v>
      </c>
      <c r="BF864">
        <v>46.25</v>
      </c>
      <c r="BG864">
        <v>2.75</v>
      </c>
      <c r="BH864">
        <v>24.84</v>
      </c>
      <c r="BI864">
        <v>13.82</v>
      </c>
      <c r="BJ864">
        <v>20</v>
      </c>
      <c r="BL864">
        <v>383.82</v>
      </c>
      <c r="BM864">
        <v>80</v>
      </c>
      <c r="BN864">
        <v>203.3</v>
      </c>
      <c r="BO864">
        <v>2511</v>
      </c>
      <c r="BP864">
        <v>0</v>
      </c>
      <c r="BQ864">
        <v>53</v>
      </c>
      <c r="BR864">
        <v>53</v>
      </c>
      <c r="BS864">
        <v>53.04</v>
      </c>
      <c r="BT864">
        <v>0</v>
      </c>
      <c r="BV864">
        <v>0</v>
      </c>
      <c r="BW864" t="s">
        <v>655</v>
      </c>
      <c r="BX864">
        <v>0.17</v>
      </c>
      <c r="BY864">
        <v>9.0167999999999999</v>
      </c>
      <c r="BZ864">
        <v>0</v>
      </c>
      <c r="CA864">
        <v>1</v>
      </c>
      <c r="CB864">
        <v>0.6</v>
      </c>
      <c r="CC864" s="3">
        <v>7.1269159999999998E-2</v>
      </c>
      <c r="CD864">
        <v>2.875</v>
      </c>
      <c r="CE864">
        <v>2.5</v>
      </c>
      <c r="CF864">
        <v>18</v>
      </c>
      <c r="CG864">
        <v>6</v>
      </c>
      <c r="CH864">
        <v>0</v>
      </c>
      <c r="CI864">
        <v>53.04</v>
      </c>
      <c r="CJ864">
        <v>444.16370000000001</v>
      </c>
    </row>
    <row r="865" spans="1:88">
      <c r="A865">
        <v>864</v>
      </c>
      <c r="B865" t="s">
        <v>13</v>
      </c>
      <c r="C865" t="s">
        <v>1</v>
      </c>
      <c r="D865" t="s">
        <v>143</v>
      </c>
      <c r="E865" t="s">
        <v>150</v>
      </c>
      <c r="F865" t="s">
        <v>144</v>
      </c>
      <c r="G865" t="s">
        <v>106</v>
      </c>
      <c r="H865" t="s">
        <v>145</v>
      </c>
      <c r="J865">
        <v>2</v>
      </c>
      <c r="K865" t="s">
        <v>146</v>
      </c>
      <c r="L865" t="s">
        <v>96</v>
      </c>
      <c r="M865" t="s">
        <v>159</v>
      </c>
      <c r="N865" t="s">
        <v>130</v>
      </c>
      <c r="O865">
        <v>111</v>
      </c>
      <c r="Q865">
        <v>457</v>
      </c>
      <c r="R865">
        <v>95</v>
      </c>
      <c r="S865">
        <v>4.25</v>
      </c>
      <c r="T865">
        <v>3.0760000000000001</v>
      </c>
      <c r="U865">
        <v>6.14</v>
      </c>
      <c r="V865">
        <v>1940.42</v>
      </c>
      <c r="W865">
        <v>581</v>
      </c>
      <c r="X865">
        <v>1.3332999999999999</v>
      </c>
      <c r="Y865">
        <v>441</v>
      </c>
      <c r="Z865">
        <v>4.4000000000000004</v>
      </c>
      <c r="AJ865">
        <v>2</v>
      </c>
      <c r="AK865">
        <v>18</v>
      </c>
      <c r="AM865">
        <v>0</v>
      </c>
      <c r="AO865" t="s">
        <v>149</v>
      </c>
      <c r="AT865">
        <v>44</v>
      </c>
      <c r="AV865">
        <v>53.5</v>
      </c>
      <c r="AW865">
        <v>0</v>
      </c>
      <c r="AX865">
        <v>0</v>
      </c>
      <c r="AY865">
        <v>46</v>
      </c>
      <c r="AZ865">
        <v>4.125</v>
      </c>
      <c r="BA865">
        <v>0</v>
      </c>
      <c r="BB865">
        <v>0</v>
      </c>
      <c r="BC865">
        <v>49</v>
      </c>
      <c r="BN865">
        <v>256.80009999999999</v>
      </c>
      <c r="BO865">
        <v>1574</v>
      </c>
      <c r="BP865">
        <v>0</v>
      </c>
      <c r="BQ865">
        <v>38</v>
      </c>
      <c r="BR865">
        <v>38</v>
      </c>
      <c r="BS865">
        <v>37.729999999999997</v>
      </c>
      <c r="BT865">
        <v>0</v>
      </c>
      <c r="BV865">
        <v>0</v>
      </c>
      <c r="BW865" t="s">
        <v>655</v>
      </c>
      <c r="BX865">
        <v>0.17</v>
      </c>
      <c r="BY865">
        <v>6.4141000000000004</v>
      </c>
      <c r="BZ865">
        <v>0</v>
      </c>
      <c r="CA865">
        <v>1</v>
      </c>
      <c r="CB865">
        <v>0.6</v>
      </c>
      <c r="CC865" s="3">
        <v>7.1269159999999998E-2</v>
      </c>
      <c r="CD865">
        <v>2.875</v>
      </c>
      <c r="CE865">
        <v>2.5</v>
      </c>
      <c r="CF865">
        <v>18</v>
      </c>
      <c r="CG865">
        <v>6</v>
      </c>
      <c r="CH865">
        <v>0</v>
      </c>
      <c r="CI865">
        <v>37.729999999999997</v>
      </c>
      <c r="CJ865">
        <v>396.62529999999998</v>
      </c>
    </row>
    <row r="866" spans="1:88">
      <c r="A866">
        <v>865</v>
      </c>
      <c r="B866" t="s">
        <v>0</v>
      </c>
      <c r="C866" t="s">
        <v>1</v>
      </c>
      <c r="D866" t="s">
        <v>381</v>
      </c>
      <c r="E866" t="s">
        <v>113</v>
      </c>
      <c r="F866" t="s">
        <v>132</v>
      </c>
      <c r="G866" t="s">
        <v>106</v>
      </c>
      <c r="H866" t="s">
        <v>340</v>
      </c>
      <c r="J866">
        <v>2</v>
      </c>
      <c r="K866" t="s">
        <v>146</v>
      </c>
      <c r="L866" t="s">
        <v>116</v>
      </c>
      <c r="M866" t="s">
        <v>117</v>
      </c>
      <c r="N866" t="s">
        <v>14</v>
      </c>
      <c r="O866">
        <v>179</v>
      </c>
      <c r="Q866">
        <v>634</v>
      </c>
      <c r="R866">
        <v>85</v>
      </c>
      <c r="S866">
        <v>4.25</v>
      </c>
      <c r="T866">
        <v>4.7190000000000003</v>
      </c>
      <c r="U866">
        <v>7.05</v>
      </c>
      <c r="V866">
        <v>2692.37</v>
      </c>
      <c r="W866">
        <v>602</v>
      </c>
      <c r="X866">
        <v>1.3332999999999999</v>
      </c>
      <c r="Y866">
        <v>445</v>
      </c>
      <c r="Z866">
        <v>6.05</v>
      </c>
      <c r="AJ866">
        <v>2</v>
      </c>
      <c r="AK866">
        <v>18</v>
      </c>
      <c r="AM866">
        <v>0</v>
      </c>
      <c r="AO866" t="s">
        <v>359</v>
      </c>
      <c r="AT866">
        <v>68</v>
      </c>
      <c r="AV866">
        <v>47.7</v>
      </c>
      <c r="AW866" t="s">
        <v>6</v>
      </c>
      <c r="AX866" t="s">
        <v>6</v>
      </c>
      <c r="AY866" t="s">
        <v>6</v>
      </c>
      <c r="AZ866" t="s">
        <v>6</v>
      </c>
      <c r="BA866" t="s">
        <v>6</v>
      </c>
      <c r="BB866" t="s">
        <v>6</v>
      </c>
      <c r="BC866" t="s">
        <v>6</v>
      </c>
      <c r="BD866" t="s">
        <v>6</v>
      </c>
      <c r="BE866" t="s">
        <v>6</v>
      </c>
      <c r="BF866" t="s">
        <v>6</v>
      </c>
      <c r="BG866" t="s">
        <v>6</v>
      </c>
      <c r="BH866" t="s">
        <v>6</v>
      </c>
      <c r="BI866" t="s">
        <v>6</v>
      </c>
      <c r="BJ866" t="s">
        <v>6</v>
      </c>
      <c r="BN866">
        <v>228.26669999999999</v>
      </c>
      <c r="BO866">
        <v>1992</v>
      </c>
      <c r="BP866">
        <v>0</v>
      </c>
      <c r="BQ866">
        <v>61</v>
      </c>
      <c r="BR866">
        <v>61</v>
      </c>
      <c r="BS866">
        <v>61.39</v>
      </c>
      <c r="BT866">
        <v>0</v>
      </c>
      <c r="BV866">
        <v>0</v>
      </c>
      <c r="BW866" t="s">
        <v>655</v>
      </c>
      <c r="BX866">
        <v>0.17</v>
      </c>
      <c r="BY866">
        <v>10.436299999999999</v>
      </c>
      <c r="BZ866">
        <v>0</v>
      </c>
      <c r="CA866">
        <v>1</v>
      </c>
      <c r="CB866">
        <v>0.6</v>
      </c>
      <c r="CC866" s="3">
        <v>7.1269159999999998E-2</v>
      </c>
      <c r="CD866">
        <v>2.875</v>
      </c>
      <c r="CE866">
        <v>2.5</v>
      </c>
      <c r="CF866">
        <v>18</v>
      </c>
      <c r="CG866">
        <v>6</v>
      </c>
      <c r="CH866">
        <v>0</v>
      </c>
      <c r="CI866">
        <v>61.39</v>
      </c>
      <c r="CJ866">
        <v>575.34059999999999</v>
      </c>
    </row>
    <row r="867" spans="1:88">
      <c r="A867">
        <v>866</v>
      </c>
      <c r="B867" t="s">
        <v>0</v>
      </c>
      <c r="C867" t="s">
        <v>1</v>
      </c>
      <c r="D867" t="s">
        <v>580</v>
      </c>
      <c r="E867" t="s">
        <v>180</v>
      </c>
      <c r="F867" t="s">
        <v>371</v>
      </c>
      <c r="G867" t="s">
        <v>106</v>
      </c>
      <c r="H867" t="s">
        <v>493</v>
      </c>
      <c r="J867">
        <v>2</v>
      </c>
      <c r="K867" t="s">
        <v>146</v>
      </c>
      <c r="L867" t="s">
        <v>190</v>
      </c>
      <c r="M867" t="s">
        <v>319</v>
      </c>
      <c r="N867" t="s">
        <v>219</v>
      </c>
      <c r="O867">
        <v>98</v>
      </c>
      <c r="Q867">
        <v>124</v>
      </c>
      <c r="R867">
        <v>30</v>
      </c>
      <c r="S867">
        <v>4.25</v>
      </c>
      <c r="T867">
        <v>2.7309999999999999</v>
      </c>
      <c r="U867">
        <v>5.88</v>
      </c>
      <c r="V867">
        <v>528.65</v>
      </c>
      <c r="W867">
        <v>176</v>
      </c>
      <c r="X867">
        <v>1.3332999999999999</v>
      </c>
      <c r="Y867">
        <v>130</v>
      </c>
      <c r="Z867">
        <v>4.0599999999999996</v>
      </c>
      <c r="AJ867">
        <v>2</v>
      </c>
      <c r="AK867">
        <v>18</v>
      </c>
      <c r="AM867">
        <v>0</v>
      </c>
      <c r="AO867" t="s">
        <v>592</v>
      </c>
      <c r="AT867">
        <v>39</v>
      </c>
      <c r="AV867">
        <v>15.7</v>
      </c>
      <c r="AW867">
        <v>0</v>
      </c>
      <c r="AX867">
        <v>0</v>
      </c>
      <c r="AY867">
        <v>19.625</v>
      </c>
      <c r="AZ867">
        <v>2.5</v>
      </c>
      <c r="BA867">
        <v>0</v>
      </c>
      <c r="BB867">
        <v>0</v>
      </c>
      <c r="BC867">
        <v>15</v>
      </c>
      <c r="BN867">
        <v>71.333349999999996</v>
      </c>
      <c r="BO867">
        <v>20393</v>
      </c>
      <c r="BP867">
        <v>0</v>
      </c>
      <c r="BQ867">
        <v>33</v>
      </c>
      <c r="BR867">
        <v>33</v>
      </c>
      <c r="BS867">
        <v>33.21</v>
      </c>
      <c r="BT867">
        <v>0</v>
      </c>
      <c r="BV867">
        <v>0</v>
      </c>
      <c r="BW867" t="s">
        <v>655</v>
      </c>
      <c r="BX867">
        <v>0.17</v>
      </c>
      <c r="BY867">
        <v>5.6456999999999997</v>
      </c>
      <c r="BZ867">
        <v>0</v>
      </c>
      <c r="CA867">
        <v>1</v>
      </c>
      <c r="CB867">
        <v>0.6</v>
      </c>
      <c r="CC867" s="3">
        <v>7.1269159999999998E-2</v>
      </c>
      <c r="CD867">
        <v>2.875</v>
      </c>
      <c r="CE867">
        <v>2.5</v>
      </c>
      <c r="CF867">
        <v>18</v>
      </c>
      <c r="CG867">
        <v>6</v>
      </c>
      <c r="CH867">
        <v>0</v>
      </c>
      <c r="CI867">
        <v>33.21</v>
      </c>
      <c r="CJ867">
        <v>102.9579</v>
      </c>
    </row>
    <row r="868" spans="1:88">
      <c r="A868">
        <v>867</v>
      </c>
      <c r="B868" t="s">
        <v>13</v>
      </c>
      <c r="C868" t="s">
        <v>1</v>
      </c>
      <c r="D868" t="s">
        <v>101</v>
      </c>
      <c r="E868" t="s">
        <v>381</v>
      </c>
      <c r="F868" t="s">
        <v>339</v>
      </c>
      <c r="G868" t="s">
        <v>106</v>
      </c>
      <c r="H868" t="s">
        <v>167</v>
      </c>
      <c r="J868">
        <v>2</v>
      </c>
      <c r="K868" t="s">
        <v>146</v>
      </c>
      <c r="L868" t="s">
        <v>267</v>
      </c>
      <c r="M868" t="s">
        <v>384</v>
      </c>
      <c r="N868" t="s">
        <v>257</v>
      </c>
      <c r="O868">
        <v>139</v>
      </c>
      <c r="Q868">
        <v>482</v>
      </c>
      <c r="R868">
        <v>83</v>
      </c>
      <c r="S868">
        <v>4.25</v>
      </c>
      <c r="T868">
        <v>3.7829999999999999</v>
      </c>
      <c r="U868">
        <v>6.52</v>
      </c>
      <c r="V868">
        <v>2048.2399999999998</v>
      </c>
      <c r="W868">
        <v>538</v>
      </c>
      <c r="X868">
        <v>1.3332999999999999</v>
      </c>
      <c r="Y868">
        <v>401</v>
      </c>
      <c r="Z868">
        <v>5.1100000000000003</v>
      </c>
      <c r="AJ868">
        <v>2</v>
      </c>
      <c r="AK868">
        <v>18</v>
      </c>
      <c r="AM868">
        <v>0</v>
      </c>
      <c r="AO868" t="s">
        <v>327</v>
      </c>
      <c r="AT868">
        <v>54</v>
      </c>
      <c r="AV868">
        <v>45.9</v>
      </c>
      <c r="AW868">
        <v>0.46875</v>
      </c>
      <c r="AX868">
        <v>3.75</v>
      </c>
      <c r="AY868">
        <v>52.5</v>
      </c>
      <c r="AZ868">
        <v>4.75</v>
      </c>
      <c r="BA868">
        <v>385.67</v>
      </c>
      <c r="BB868">
        <v>5.1100000000000003</v>
      </c>
      <c r="BC868">
        <v>56</v>
      </c>
      <c r="BD868">
        <v>0.1875</v>
      </c>
      <c r="BE868">
        <v>2.75</v>
      </c>
      <c r="BF868">
        <v>17.5</v>
      </c>
      <c r="BG868">
        <v>1.875</v>
      </c>
      <c r="BH868">
        <v>15.14</v>
      </c>
      <c r="BI868">
        <v>10.01</v>
      </c>
      <c r="BJ868">
        <v>6</v>
      </c>
      <c r="BL868">
        <v>400.81</v>
      </c>
      <c r="BM868">
        <v>62</v>
      </c>
      <c r="BN868">
        <v>219.35</v>
      </c>
      <c r="BO868">
        <v>2157</v>
      </c>
      <c r="BP868">
        <v>0</v>
      </c>
      <c r="BQ868">
        <v>47</v>
      </c>
      <c r="BR868">
        <v>47</v>
      </c>
      <c r="BS868">
        <v>47.47</v>
      </c>
      <c r="BT868">
        <v>0</v>
      </c>
      <c r="BV868">
        <v>0</v>
      </c>
      <c r="BW868" t="s">
        <v>655</v>
      </c>
      <c r="BX868">
        <v>0.17</v>
      </c>
      <c r="BY868">
        <v>8.0699009999999998</v>
      </c>
      <c r="BZ868">
        <v>0</v>
      </c>
      <c r="CA868">
        <v>1</v>
      </c>
      <c r="CB868">
        <v>0.6</v>
      </c>
      <c r="CC868" s="3">
        <v>7.1269159999999998E-2</v>
      </c>
      <c r="CD868">
        <v>2.875</v>
      </c>
      <c r="CE868">
        <v>2.5</v>
      </c>
      <c r="CF868">
        <v>18</v>
      </c>
      <c r="CG868">
        <v>6</v>
      </c>
      <c r="CH868">
        <v>0</v>
      </c>
      <c r="CI868">
        <v>47.47</v>
      </c>
      <c r="CJ868">
        <v>427.96809999999999</v>
      </c>
    </row>
    <row r="869" spans="1:88">
      <c r="A869">
        <v>868</v>
      </c>
      <c r="B869" t="s">
        <v>0</v>
      </c>
      <c r="C869" t="s">
        <v>1</v>
      </c>
      <c r="D869" t="s">
        <v>172</v>
      </c>
      <c r="E869" t="s">
        <v>251</v>
      </c>
      <c r="F869" t="s">
        <v>359</v>
      </c>
      <c r="G869" t="s">
        <v>106</v>
      </c>
      <c r="H869" t="s">
        <v>330</v>
      </c>
      <c r="J869">
        <v>2</v>
      </c>
      <c r="K869" t="s">
        <v>146</v>
      </c>
      <c r="L869" t="s">
        <v>253</v>
      </c>
      <c r="M869" t="s">
        <v>254</v>
      </c>
      <c r="N869" t="s">
        <v>255</v>
      </c>
      <c r="O869">
        <v>177</v>
      </c>
      <c r="Q869">
        <v>617</v>
      </c>
      <c r="R869">
        <v>84</v>
      </c>
      <c r="S869">
        <v>4.25</v>
      </c>
      <c r="T869">
        <v>4.6740000000000004</v>
      </c>
      <c r="U869">
        <v>7.05</v>
      </c>
      <c r="V869">
        <v>2624.12</v>
      </c>
      <c r="W869">
        <v>594</v>
      </c>
      <c r="X869">
        <v>1.3332999999999999</v>
      </c>
      <c r="Y869">
        <v>437</v>
      </c>
      <c r="Z869">
        <v>6</v>
      </c>
      <c r="AJ869">
        <v>2</v>
      </c>
      <c r="AK869">
        <v>18</v>
      </c>
      <c r="AM869">
        <v>0</v>
      </c>
      <c r="AO869" t="s">
        <v>360</v>
      </c>
      <c r="AT869">
        <v>67</v>
      </c>
      <c r="AV869">
        <v>47</v>
      </c>
      <c r="AW869">
        <v>0.40625</v>
      </c>
      <c r="AX869">
        <v>3.75</v>
      </c>
      <c r="AY869">
        <v>44.5</v>
      </c>
      <c r="AZ869">
        <v>4.875</v>
      </c>
      <c r="BA869">
        <v>218.67</v>
      </c>
      <c r="BB869">
        <v>6.05</v>
      </c>
      <c r="BC869">
        <v>42</v>
      </c>
      <c r="BD869">
        <v>0.40625</v>
      </c>
      <c r="BE869">
        <v>3.75</v>
      </c>
      <c r="BF869">
        <v>44.5</v>
      </c>
      <c r="BG869">
        <v>4.875</v>
      </c>
      <c r="BH869">
        <v>218.67</v>
      </c>
      <c r="BI869">
        <v>6.05</v>
      </c>
      <c r="BJ869">
        <v>42</v>
      </c>
      <c r="BL869">
        <v>437.34</v>
      </c>
      <c r="BM869">
        <v>84</v>
      </c>
      <c r="BN869">
        <v>224.70009999999999</v>
      </c>
      <c r="BO869">
        <v>2055</v>
      </c>
      <c r="BP869">
        <v>0</v>
      </c>
      <c r="BQ869">
        <v>61</v>
      </c>
      <c r="BR869">
        <v>61</v>
      </c>
      <c r="BS869">
        <v>60.69</v>
      </c>
      <c r="BT869">
        <v>0</v>
      </c>
      <c r="BV869">
        <v>0</v>
      </c>
      <c r="BW869" t="s">
        <v>655</v>
      </c>
      <c r="BX869">
        <v>0.17</v>
      </c>
      <c r="BY869">
        <v>10.317299999999999</v>
      </c>
      <c r="BZ869">
        <v>0</v>
      </c>
      <c r="CA869">
        <v>1</v>
      </c>
      <c r="CB869">
        <v>0.6</v>
      </c>
      <c r="CC869" s="3">
        <v>7.1269159999999998E-2</v>
      </c>
      <c r="CD869">
        <v>2.875</v>
      </c>
      <c r="CE869">
        <v>2.5</v>
      </c>
      <c r="CF869">
        <v>18</v>
      </c>
      <c r="CG869">
        <v>6</v>
      </c>
      <c r="CH869">
        <v>0</v>
      </c>
      <c r="CI869">
        <v>60.69</v>
      </c>
      <c r="CJ869">
        <v>560.12959999999998</v>
      </c>
    </row>
    <row r="870" spans="1:88">
      <c r="A870">
        <v>869</v>
      </c>
      <c r="B870" t="s">
        <v>13</v>
      </c>
      <c r="C870" t="s">
        <v>1</v>
      </c>
      <c r="D870" t="s">
        <v>340</v>
      </c>
      <c r="E870" t="s">
        <v>2</v>
      </c>
      <c r="F870" t="s">
        <v>384</v>
      </c>
      <c r="G870" t="s">
        <v>106</v>
      </c>
      <c r="H870" t="s">
        <v>172</v>
      </c>
      <c r="J870">
        <v>2</v>
      </c>
      <c r="K870" t="s">
        <v>146</v>
      </c>
      <c r="L870" t="s">
        <v>122</v>
      </c>
      <c r="M870" t="s">
        <v>4</v>
      </c>
      <c r="N870" t="s">
        <v>5</v>
      </c>
      <c r="O870">
        <v>107</v>
      </c>
      <c r="Q870">
        <v>392</v>
      </c>
      <c r="R870">
        <v>85</v>
      </c>
      <c r="S870">
        <v>4.25</v>
      </c>
      <c r="T870">
        <v>2.9710000000000001</v>
      </c>
      <c r="U870">
        <v>6.07</v>
      </c>
      <c r="V870">
        <v>1664</v>
      </c>
      <c r="W870">
        <v>515</v>
      </c>
      <c r="X870">
        <v>1.3332999999999999</v>
      </c>
      <c r="Y870">
        <v>387</v>
      </c>
      <c r="Z870">
        <v>4.3</v>
      </c>
      <c r="AJ870">
        <v>2</v>
      </c>
      <c r="AK870">
        <v>18</v>
      </c>
      <c r="AM870">
        <v>0</v>
      </c>
      <c r="AO870" t="s">
        <v>490</v>
      </c>
      <c r="AT870">
        <v>42</v>
      </c>
      <c r="AV870">
        <v>47.3</v>
      </c>
      <c r="AW870">
        <v>0</v>
      </c>
      <c r="AX870">
        <v>0</v>
      </c>
      <c r="AY870">
        <v>36.75</v>
      </c>
      <c r="AZ870">
        <v>3.75</v>
      </c>
      <c r="BA870">
        <v>0</v>
      </c>
      <c r="BB870">
        <v>0</v>
      </c>
      <c r="BC870">
        <v>37</v>
      </c>
      <c r="BN870">
        <v>226.48339999999999</v>
      </c>
      <c r="BO870">
        <v>2023</v>
      </c>
      <c r="BP870">
        <v>0</v>
      </c>
      <c r="BQ870">
        <v>36</v>
      </c>
      <c r="BR870">
        <v>36</v>
      </c>
      <c r="BS870">
        <v>36.340000000000003</v>
      </c>
      <c r="BT870">
        <v>0</v>
      </c>
      <c r="BV870">
        <v>0</v>
      </c>
      <c r="BW870" t="s">
        <v>655</v>
      </c>
      <c r="BX870">
        <v>0.17</v>
      </c>
      <c r="BY870">
        <v>6.1778000000000004</v>
      </c>
      <c r="BZ870">
        <v>0</v>
      </c>
      <c r="CA870">
        <v>1</v>
      </c>
      <c r="CB870">
        <v>0.6</v>
      </c>
      <c r="CC870" s="3">
        <v>7.1269159999999998E-2</v>
      </c>
      <c r="CD870">
        <v>2.875</v>
      </c>
      <c r="CE870">
        <v>2.5</v>
      </c>
      <c r="CF870">
        <v>18</v>
      </c>
      <c r="CG870">
        <v>6</v>
      </c>
      <c r="CH870">
        <v>0</v>
      </c>
      <c r="CI870">
        <v>36.340000000000003</v>
      </c>
      <c r="CJ870">
        <v>337.98469999999998</v>
      </c>
    </row>
    <row r="871" spans="1:88">
      <c r="A871">
        <v>870</v>
      </c>
      <c r="B871" t="s">
        <v>0</v>
      </c>
      <c r="C871" t="s">
        <v>1</v>
      </c>
      <c r="D871" t="s">
        <v>96</v>
      </c>
      <c r="E871" t="s">
        <v>3</v>
      </c>
      <c r="F871" t="s">
        <v>198</v>
      </c>
      <c r="G871" t="s">
        <v>106</v>
      </c>
      <c r="H871" t="s">
        <v>162</v>
      </c>
      <c r="J871">
        <v>2</v>
      </c>
      <c r="K871" t="s">
        <v>146</v>
      </c>
      <c r="L871" t="s">
        <v>363</v>
      </c>
      <c r="M871" t="s">
        <v>383</v>
      </c>
      <c r="N871" t="s">
        <v>119</v>
      </c>
      <c r="O871">
        <v>125</v>
      </c>
      <c r="Q871">
        <v>427</v>
      </c>
      <c r="R871">
        <v>81</v>
      </c>
      <c r="S871">
        <v>4.25</v>
      </c>
      <c r="T871">
        <v>3.4350000000000001</v>
      </c>
      <c r="U871">
        <v>6.26</v>
      </c>
      <c r="V871">
        <v>1814.79</v>
      </c>
      <c r="W871">
        <v>506</v>
      </c>
      <c r="X871">
        <v>1.3332999999999999</v>
      </c>
      <c r="Y871">
        <v>381</v>
      </c>
      <c r="Z871">
        <v>4.76</v>
      </c>
      <c r="AJ871">
        <v>2</v>
      </c>
      <c r="AK871">
        <v>18</v>
      </c>
      <c r="AM871">
        <v>0</v>
      </c>
      <c r="AO871" t="s">
        <v>166</v>
      </c>
      <c r="AT871">
        <v>49</v>
      </c>
      <c r="AV871">
        <v>44.8</v>
      </c>
      <c r="AW871">
        <v>0</v>
      </c>
      <c r="AX871">
        <v>0</v>
      </c>
      <c r="AY871">
        <v>53.125</v>
      </c>
      <c r="AZ871">
        <v>4.5</v>
      </c>
      <c r="BA871">
        <v>0</v>
      </c>
      <c r="BB871">
        <v>0</v>
      </c>
      <c r="BC871">
        <v>57</v>
      </c>
      <c r="BN871">
        <v>214</v>
      </c>
      <c r="BO871">
        <v>2266</v>
      </c>
      <c r="BP871">
        <v>0</v>
      </c>
      <c r="BQ871">
        <v>43</v>
      </c>
      <c r="BR871">
        <v>43</v>
      </c>
      <c r="BS871">
        <v>42.6</v>
      </c>
      <c r="BT871">
        <v>0</v>
      </c>
      <c r="BV871">
        <v>0</v>
      </c>
      <c r="BW871" t="s">
        <v>655</v>
      </c>
      <c r="BX871">
        <v>0.17</v>
      </c>
      <c r="BY871">
        <v>7.242</v>
      </c>
      <c r="BZ871">
        <v>0</v>
      </c>
      <c r="CA871">
        <v>1</v>
      </c>
      <c r="CB871">
        <v>0.6</v>
      </c>
      <c r="CC871" s="3">
        <v>7.1269159999999998E-2</v>
      </c>
      <c r="CD871">
        <v>2.875</v>
      </c>
      <c r="CE871">
        <v>2.5</v>
      </c>
      <c r="CF871">
        <v>18</v>
      </c>
      <c r="CG871">
        <v>6</v>
      </c>
      <c r="CH871">
        <v>0</v>
      </c>
      <c r="CI871">
        <v>42.6</v>
      </c>
      <c r="CJ871">
        <v>374.95409999999998</v>
      </c>
    </row>
    <row r="872" spans="1:88">
      <c r="A872">
        <v>871</v>
      </c>
      <c r="B872" t="s">
        <v>0</v>
      </c>
      <c r="C872" t="s">
        <v>1</v>
      </c>
      <c r="D872" t="s">
        <v>197</v>
      </c>
      <c r="E872" t="s">
        <v>127</v>
      </c>
      <c r="F872" t="s">
        <v>390</v>
      </c>
      <c r="G872" t="s">
        <v>106</v>
      </c>
      <c r="H872" t="s">
        <v>391</v>
      </c>
      <c r="J872">
        <v>2</v>
      </c>
      <c r="K872" t="s">
        <v>108</v>
      </c>
      <c r="L872" t="s">
        <v>338</v>
      </c>
      <c r="M872" t="s">
        <v>189</v>
      </c>
      <c r="N872" t="s">
        <v>190</v>
      </c>
      <c r="O872">
        <v>115</v>
      </c>
      <c r="Q872">
        <v>529</v>
      </c>
      <c r="R872">
        <v>105</v>
      </c>
      <c r="S872">
        <v>4.25</v>
      </c>
      <c r="T872">
        <v>3.18</v>
      </c>
      <c r="U872">
        <v>6.22</v>
      </c>
      <c r="V872">
        <v>2250.12</v>
      </c>
      <c r="W872">
        <v>654</v>
      </c>
      <c r="X872">
        <v>1.3332999999999999</v>
      </c>
      <c r="Y872">
        <v>499</v>
      </c>
      <c r="Z872">
        <v>4.51</v>
      </c>
      <c r="AJ872">
        <v>2</v>
      </c>
      <c r="AK872">
        <v>18</v>
      </c>
      <c r="AM872">
        <v>0</v>
      </c>
      <c r="AO872" t="s">
        <v>392</v>
      </c>
      <c r="AT872">
        <v>45</v>
      </c>
      <c r="AV872">
        <v>60.2</v>
      </c>
      <c r="AW872">
        <v>0.46875</v>
      </c>
      <c r="AX872">
        <v>3.75</v>
      </c>
      <c r="AY872">
        <v>46.375</v>
      </c>
      <c r="AZ872">
        <v>4.25</v>
      </c>
      <c r="BA872">
        <v>436.98</v>
      </c>
      <c r="BB872">
        <v>4.51</v>
      </c>
      <c r="BC872">
        <v>50</v>
      </c>
      <c r="BD872">
        <v>0.25</v>
      </c>
      <c r="BE872">
        <v>2.75</v>
      </c>
      <c r="BF872">
        <v>18.5</v>
      </c>
      <c r="BG872">
        <v>2.25</v>
      </c>
      <c r="BH872">
        <v>61.92</v>
      </c>
      <c r="BI872">
        <v>5.54</v>
      </c>
      <c r="BJ872">
        <v>8</v>
      </c>
      <c r="BL872">
        <v>498.9</v>
      </c>
      <c r="BM872">
        <v>57</v>
      </c>
      <c r="BN872">
        <v>288.90010000000001</v>
      </c>
      <c r="BO872">
        <v>1243</v>
      </c>
      <c r="BP872">
        <v>0</v>
      </c>
      <c r="BQ872">
        <v>39</v>
      </c>
      <c r="BR872">
        <v>39</v>
      </c>
      <c r="BS872">
        <v>39.130000000000003</v>
      </c>
      <c r="BT872">
        <v>0</v>
      </c>
      <c r="BV872">
        <v>0</v>
      </c>
      <c r="BW872" t="s">
        <v>655</v>
      </c>
      <c r="BX872">
        <v>0.17</v>
      </c>
      <c r="BY872">
        <v>6.6520999999999999</v>
      </c>
      <c r="BZ872">
        <v>0</v>
      </c>
      <c r="CA872">
        <v>1</v>
      </c>
      <c r="CB872">
        <v>0.6</v>
      </c>
      <c r="CC872" s="3">
        <v>7.1269159999999998E-2</v>
      </c>
      <c r="CD872">
        <v>2.875</v>
      </c>
      <c r="CE872">
        <v>2.5</v>
      </c>
      <c r="CF872">
        <v>18</v>
      </c>
      <c r="CG872">
        <v>6</v>
      </c>
      <c r="CH872">
        <v>0</v>
      </c>
      <c r="CI872">
        <v>39.130000000000003</v>
      </c>
      <c r="CJ872">
        <v>462.58589999999998</v>
      </c>
    </row>
    <row r="873" spans="1:88">
      <c r="A873">
        <v>872</v>
      </c>
      <c r="B873" t="s">
        <v>13</v>
      </c>
      <c r="C873" t="s">
        <v>1</v>
      </c>
      <c r="D873" t="s">
        <v>14</v>
      </c>
      <c r="E873" t="s">
        <v>104</v>
      </c>
      <c r="F873" t="s">
        <v>192</v>
      </c>
      <c r="G873" t="s">
        <v>214</v>
      </c>
      <c r="H873" t="s">
        <v>193</v>
      </c>
      <c r="J873">
        <v>2</v>
      </c>
      <c r="K873" t="s">
        <v>108</v>
      </c>
      <c r="L873" t="s">
        <v>109</v>
      </c>
      <c r="M873" t="s">
        <v>110</v>
      </c>
      <c r="N873" t="s">
        <v>111</v>
      </c>
      <c r="O873">
        <v>191</v>
      </c>
      <c r="Q873">
        <v>892</v>
      </c>
      <c r="R873">
        <v>110</v>
      </c>
      <c r="S873">
        <v>4.25</v>
      </c>
      <c r="T873">
        <v>4.9850000000000003</v>
      </c>
      <c r="U873">
        <v>7.27</v>
      </c>
      <c r="V873">
        <v>3789.72</v>
      </c>
      <c r="W873">
        <v>802</v>
      </c>
      <c r="X873">
        <v>1.3332999999999999</v>
      </c>
      <c r="Y873">
        <v>601</v>
      </c>
      <c r="Z873">
        <v>6.31</v>
      </c>
      <c r="AJ873">
        <v>2</v>
      </c>
      <c r="AK873">
        <v>18</v>
      </c>
      <c r="AM873">
        <v>0</v>
      </c>
      <c r="AO873" t="s">
        <v>196</v>
      </c>
      <c r="AT873">
        <v>72</v>
      </c>
      <c r="AV873">
        <v>63.4</v>
      </c>
      <c r="AW873">
        <v>0.46875</v>
      </c>
      <c r="AX873">
        <v>3.75</v>
      </c>
      <c r="AY873">
        <v>67.5</v>
      </c>
      <c r="AZ873">
        <v>5.875</v>
      </c>
      <c r="BA873">
        <v>300.29000000000002</v>
      </c>
      <c r="BB873">
        <v>6.56</v>
      </c>
      <c r="BC873">
        <v>73</v>
      </c>
      <c r="BD873">
        <v>0.46875</v>
      </c>
      <c r="BE873">
        <v>3.75</v>
      </c>
      <c r="BF873">
        <v>67.5</v>
      </c>
      <c r="BG873">
        <v>5.875</v>
      </c>
      <c r="BH873">
        <v>300.29000000000002</v>
      </c>
      <c r="BI873">
        <v>6.56</v>
      </c>
      <c r="BJ873">
        <v>73</v>
      </c>
      <c r="BL873">
        <v>600.58000000000004</v>
      </c>
      <c r="BM873">
        <v>145</v>
      </c>
      <c r="BN873">
        <v>307.51499999999999</v>
      </c>
      <c r="BO873">
        <v>1377</v>
      </c>
      <c r="BP873">
        <v>0</v>
      </c>
      <c r="BQ873">
        <v>66</v>
      </c>
      <c r="BR873">
        <v>66</v>
      </c>
      <c r="BS873">
        <v>65.56</v>
      </c>
      <c r="BT873">
        <v>0</v>
      </c>
      <c r="BV873">
        <v>0</v>
      </c>
      <c r="BW873" t="s">
        <v>655</v>
      </c>
      <c r="BX873">
        <v>0.17</v>
      </c>
      <c r="BY873">
        <v>11.145200000000001</v>
      </c>
      <c r="BZ873">
        <v>0</v>
      </c>
      <c r="CA873">
        <v>1</v>
      </c>
      <c r="CB873">
        <v>0.6</v>
      </c>
      <c r="CC873" s="3">
        <v>7.1269159999999998E-2</v>
      </c>
      <c r="CD873">
        <v>2.875</v>
      </c>
      <c r="CE873">
        <v>2.5</v>
      </c>
      <c r="CF873">
        <v>18</v>
      </c>
      <c r="CG873">
        <v>6</v>
      </c>
      <c r="CH873">
        <v>0</v>
      </c>
      <c r="CI873">
        <v>65.56</v>
      </c>
      <c r="CJ873">
        <v>817.08699999999999</v>
      </c>
    </row>
    <row r="874" spans="1:88">
      <c r="A874">
        <v>873</v>
      </c>
      <c r="B874" t="s">
        <v>0</v>
      </c>
      <c r="C874" t="s">
        <v>1</v>
      </c>
      <c r="D874" t="s">
        <v>145</v>
      </c>
      <c r="E874" t="s">
        <v>139</v>
      </c>
      <c r="F874" t="s">
        <v>206</v>
      </c>
      <c r="G874" t="s">
        <v>106</v>
      </c>
      <c r="H874" t="s">
        <v>207</v>
      </c>
      <c r="J874">
        <v>2</v>
      </c>
      <c r="K874" t="s">
        <v>146</v>
      </c>
      <c r="L874" t="s">
        <v>158</v>
      </c>
      <c r="M874" t="s">
        <v>385</v>
      </c>
      <c r="N874" t="s">
        <v>177</v>
      </c>
      <c r="O874">
        <v>109</v>
      </c>
      <c r="Q874">
        <v>446</v>
      </c>
      <c r="R874">
        <v>94</v>
      </c>
      <c r="S874">
        <v>4.25</v>
      </c>
      <c r="T874">
        <v>3.024</v>
      </c>
      <c r="U874">
        <v>6.11</v>
      </c>
      <c r="V874">
        <v>1896.3</v>
      </c>
      <c r="W874">
        <v>575</v>
      </c>
      <c r="X874">
        <v>1.3332999999999999</v>
      </c>
      <c r="Y874">
        <v>436</v>
      </c>
      <c r="Z874">
        <v>4.3499999999999996</v>
      </c>
      <c r="AJ874">
        <v>2</v>
      </c>
      <c r="AK874">
        <v>18</v>
      </c>
      <c r="AM874">
        <v>0</v>
      </c>
      <c r="AO874" t="s">
        <v>211</v>
      </c>
      <c r="AT874">
        <v>43</v>
      </c>
      <c r="AV874">
        <v>53.1</v>
      </c>
      <c r="AW874">
        <v>0</v>
      </c>
      <c r="AX874">
        <v>0</v>
      </c>
      <c r="AY874">
        <v>46.5</v>
      </c>
      <c r="AZ874">
        <v>4.125</v>
      </c>
      <c r="BA874">
        <v>0</v>
      </c>
      <c r="BB874">
        <v>0</v>
      </c>
      <c r="BC874">
        <v>50</v>
      </c>
      <c r="BN874">
        <v>255.01669999999999</v>
      </c>
      <c r="BO874">
        <v>1596</v>
      </c>
      <c r="BP874">
        <v>0</v>
      </c>
      <c r="BQ874">
        <v>37</v>
      </c>
      <c r="BR874">
        <v>37</v>
      </c>
      <c r="BS874">
        <v>37.04</v>
      </c>
      <c r="BT874">
        <v>0</v>
      </c>
      <c r="BV874">
        <v>0</v>
      </c>
      <c r="BW874" t="s">
        <v>655</v>
      </c>
      <c r="BX874">
        <v>0.17</v>
      </c>
      <c r="BY874">
        <v>6.2968000000000002</v>
      </c>
      <c r="BZ874">
        <v>0</v>
      </c>
      <c r="CA874">
        <v>1</v>
      </c>
      <c r="CB874">
        <v>0.6</v>
      </c>
      <c r="CC874" s="3">
        <v>7.1269159999999998E-2</v>
      </c>
      <c r="CD874">
        <v>2.875</v>
      </c>
      <c r="CE874">
        <v>2.5</v>
      </c>
      <c r="CF874">
        <v>18</v>
      </c>
      <c r="CG874">
        <v>6</v>
      </c>
      <c r="CH874">
        <v>0</v>
      </c>
      <c r="CI874">
        <v>37.04</v>
      </c>
      <c r="CJ874">
        <v>386.7321</v>
      </c>
    </row>
    <row r="875" spans="1:88">
      <c r="A875">
        <v>874</v>
      </c>
      <c r="B875" t="s">
        <v>13</v>
      </c>
      <c r="C875" t="s">
        <v>1</v>
      </c>
      <c r="D875" t="s">
        <v>208</v>
      </c>
      <c r="E875" t="s">
        <v>145</v>
      </c>
      <c r="F875" t="s">
        <v>237</v>
      </c>
      <c r="G875" t="s">
        <v>15</v>
      </c>
      <c r="H875" t="s">
        <v>238</v>
      </c>
      <c r="J875">
        <v>2</v>
      </c>
      <c r="K875" t="s">
        <v>108</v>
      </c>
      <c r="L875" t="s">
        <v>348</v>
      </c>
      <c r="M875" t="s">
        <v>149</v>
      </c>
      <c r="N875" t="s">
        <v>233</v>
      </c>
      <c r="O875">
        <v>154</v>
      </c>
      <c r="Q875">
        <v>840</v>
      </c>
      <c r="R875">
        <v>127</v>
      </c>
      <c r="S875">
        <v>4.25</v>
      </c>
      <c r="T875">
        <v>4.1429999999999998</v>
      </c>
      <c r="U875">
        <v>6.78</v>
      </c>
      <c r="V875">
        <v>3571.27</v>
      </c>
      <c r="W875">
        <v>864</v>
      </c>
      <c r="X875">
        <v>1.3332999999999999</v>
      </c>
      <c r="Y875">
        <v>653</v>
      </c>
      <c r="Z875">
        <v>5.47</v>
      </c>
      <c r="AJ875">
        <v>2</v>
      </c>
      <c r="AK875">
        <v>18</v>
      </c>
      <c r="AM875">
        <v>0</v>
      </c>
      <c r="AO875" t="s">
        <v>239</v>
      </c>
      <c r="AT875">
        <v>59</v>
      </c>
      <c r="AV875">
        <v>73.2</v>
      </c>
      <c r="AW875" t="s">
        <v>6</v>
      </c>
      <c r="AX875" t="s">
        <v>6</v>
      </c>
      <c r="AY875" t="s">
        <v>6</v>
      </c>
      <c r="AZ875" t="s">
        <v>6</v>
      </c>
      <c r="BA875" t="s">
        <v>6</v>
      </c>
      <c r="BB875" t="s">
        <v>6</v>
      </c>
      <c r="BC875" t="s">
        <v>6</v>
      </c>
      <c r="BD875" t="s">
        <v>6</v>
      </c>
      <c r="BE875" t="s">
        <v>6</v>
      </c>
      <c r="BF875" t="s">
        <v>6</v>
      </c>
      <c r="BG875" t="s">
        <v>6</v>
      </c>
      <c r="BH875" t="s">
        <v>6</v>
      </c>
      <c r="BI875" t="s">
        <v>6</v>
      </c>
      <c r="BJ875" t="s">
        <v>6</v>
      </c>
      <c r="BN875">
        <v>625.10090000000002</v>
      </c>
      <c r="BO875">
        <v>2799</v>
      </c>
      <c r="BP875">
        <v>0</v>
      </c>
      <c r="BQ875">
        <v>53</v>
      </c>
      <c r="BR875">
        <v>53</v>
      </c>
      <c r="BS875">
        <v>52.69</v>
      </c>
      <c r="BT875">
        <v>0</v>
      </c>
      <c r="BV875">
        <v>0</v>
      </c>
      <c r="BW875" t="s">
        <v>655</v>
      </c>
      <c r="BX875">
        <v>0.17</v>
      </c>
      <c r="BY875">
        <v>8.9573</v>
      </c>
      <c r="BZ875">
        <v>0</v>
      </c>
      <c r="CA875">
        <v>1</v>
      </c>
      <c r="CB875">
        <v>0.6</v>
      </c>
      <c r="CC875" s="3">
        <v>7.1269159999999998E-2</v>
      </c>
      <c r="CD875">
        <v>2.875</v>
      </c>
      <c r="CE875">
        <v>2.5</v>
      </c>
      <c r="CF875">
        <v>18</v>
      </c>
      <c r="CG875">
        <v>6</v>
      </c>
      <c r="CH875">
        <v>0</v>
      </c>
      <c r="CI875">
        <v>52.69</v>
      </c>
      <c r="CJ875">
        <v>758.07529999999997</v>
      </c>
    </row>
    <row r="876" spans="1:88">
      <c r="A876">
        <v>875</v>
      </c>
      <c r="B876" t="s">
        <v>13</v>
      </c>
      <c r="C876" t="s">
        <v>1</v>
      </c>
      <c r="D876" t="s">
        <v>332</v>
      </c>
      <c r="E876" t="s">
        <v>221</v>
      </c>
      <c r="F876" t="s">
        <v>333</v>
      </c>
      <c r="G876" t="s">
        <v>106</v>
      </c>
      <c r="H876" t="s">
        <v>334</v>
      </c>
      <c r="J876">
        <v>2</v>
      </c>
      <c r="K876" t="s">
        <v>146</v>
      </c>
      <c r="L876" t="s">
        <v>307</v>
      </c>
      <c r="M876" t="s">
        <v>379</v>
      </c>
      <c r="N876" t="s">
        <v>2</v>
      </c>
      <c r="O876">
        <v>104</v>
      </c>
      <c r="Q876">
        <v>206</v>
      </c>
      <c r="R876">
        <v>45</v>
      </c>
      <c r="S876">
        <v>4.25</v>
      </c>
      <c r="T876">
        <v>2.8919999999999999</v>
      </c>
      <c r="U876">
        <v>6</v>
      </c>
      <c r="V876">
        <v>875.75</v>
      </c>
      <c r="W876">
        <v>269</v>
      </c>
      <c r="X876">
        <v>1.3332999999999999</v>
      </c>
      <c r="Y876">
        <v>208</v>
      </c>
      <c r="Z876">
        <v>4.22</v>
      </c>
      <c r="AJ876">
        <v>2</v>
      </c>
      <c r="AK876">
        <v>18</v>
      </c>
      <c r="AM876">
        <v>0</v>
      </c>
      <c r="AO876" t="s">
        <v>335</v>
      </c>
      <c r="AT876">
        <v>41</v>
      </c>
      <c r="AV876">
        <v>25.2</v>
      </c>
      <c r="AW876">
        <v>0</v>
      </c>
      <c r="AX876">
        <v>0</v>
      </c>
      <c r="AY876">
        <v>31.125</v>
      </c>
      <c r="AZ876">
        <v>3.125</v>
      </c>
      <c r="BA876">
        <v>0</v>
      </c>
      <c r="BB876">
        <v>0</v>
      </c>
      <c r="BC876">
        <v>28</v>
      </c>
      <c r="BN876">
        <v>117.7</v>
      </c>
      <c r="BO876">
        <v>7491</v>
      </c>
      <c r="BP876">
        <v>0</v>
      </c>
      <c r="BQ876">
        <v>35</v>
      </c>
      <c r="BR876">
        <v>35</v>
      </c>
      <c r="BS876">
        <v>35.299999999999997</v>
      </c>
      <c r="BT876">
        <v>0</v>
      </c>
      <c r="BV876">
        <v>0</v>
      </c>
      <c r="BW876" t="s">
        <v>655</v>
      </c>
      <c r="BX876">
        <v>0.17</v>
      </c>
      <c r="BY876">
        <v>6.0010000000000003</v>
      </c>
      <c r="BZ876">
        <v>0</v>
      </c>
      <c r="CA876">
        <v>1</v>
      </c>
      <c r="CB876">
        <v>0.6</v>
      </c>
      <c r="CC876" s="3">
        <v>7.1269159999999998E-2</v>
      </c>
      <c r="CD876">
        <v>2.875</v>
      </c>
      <c r="CE876">
        <v>2.5</v>
      </c>
      <c r="CF876">
        <v>18</v>
      </c>
      <c r="CG876">
        <v>6</v>
      </c>
      <c r="CH876">
        <v>0</v>
      </c>
      <c r="CI876">
        <v>35.299999999999997</v>
      </c>
      <c r="CJ876">
        <v>174.84819999999999</v>
      </c>
    </row>
    <row r="877" spans="1:88">
      <c r="A877">
        <v>876</v>
      </c>
      <c r="B877" t="s">
        <v>13</v>
      </c>
      <c r="C877" t="s">
        <v>1</v>
      </c>
      <c r="D877" t="s">
        <v>101</v>
      </c>
      <c r="E877" t="s">
        <v>3</v>
      </c>
      <c r="F877" t="s">
        <v>339</v>
      </c>
      <c r="G877" t="s">
        <v>106</v>
      </c>
      <c r="H877" t="s">
        <v>167</v>
      </c>
      <c r="J877">
        <v>2</v>
      </c>
      <c r="K877" t="s">
        <v>146</v>
      </c>
      <c r="L877" t="s">
        <v>363</v>
      </c>
      <c r="M877" t="s">
        <v>383</v>
      </c>
      <c r="N877" t="s">
        <v>119</v>
      </c>
      <c r="O877">
        <v>125</v>
      </c>
      <c r="Q877">
        <v>437</v>
      </c>
      <c r="R877">
        <v>83</v>
      </c>
      <c r="S877">
        <v>4.25</v>
      </c>
      <c r="T877">
        <v>3.4350000000000001</v>
      </c>
      <c r="U877">
        <v>6.26</v>
      </c>
      <c r="V877">
        <v>1858.14</v>
      </c>
      <c r="W877">
        <v>517</v>
      </c>
      <c r="X877">
        <v>1.3332999999999999</v>
      </c>
      <c r="Y877">
        <v>390</v>
      </c>
      <c r="Z877">
        <v>4.76</v>
      </c>
      <c r="AJ877">
        <v>2</v>
      </c>
      <c r="AK877">
        <v>18</v>
      </c>
      <c r="AM877">
        <v>0</v>
      </c>
      <c r="AO877" t="s">
        <v>327</v>
      </c>
      <c r="AT877">
        <v>49</v>
      </c>
      <c r="AV877">
        <v>45.9</v>
      </c>
      <c r="AW877">
        <v>0</v>
      </c>
      <c r="AX877">
        <v>0</v>
      </c>
      <c r="AY877">
        <v>51.875</v>
      </c>
      <c r="AZ877">
        <v>4.5</v>
      </c>
      <c r="BA877">
        <v>0</v>
      </c>
      <c r="BB877">
        <v>0</v>
      </c>
      <c r="BC877">
        <v>56</v>
      </c>
      <c r="BN877">
        <v>219.35</v>
      </c>
      <c r="BO877">
        <v>2157</v>
      </c>
      <c r="BP877">
        <v>0</v>
      </c>
      <c r="BQ877">
        <v>43</v>
      </c>
      <c r="BR877">
        <v>43</v>
      </c>
      <c r="BS877">
        <v>42.6</v>
      </c>
      <c r="BT877">
        <v>0</v>
      </c>
      <c r="BV877">
        <v>0</v>
      </c>
      <c r="BW877" t="s">
        <v>655</v>
      </c>
      <c r="BX877">
        <v>0.17</v>
      </c>
      <c r="BY877">
        <v>7.242</v>
      </c>
      <c r="BZ877">
        <v>0</v>
      </c>
      <c r="CA877">
        <v>1</v>
      </c>
      <c r="CB877">
        <v>0.6</v>
      </c>
      <c r="CC877" s="3">
        <v>7.1269159999999998E-2</v>
      </c>
      <c r="CD877">
        <v>2.875</v>
      </c>
      <c r="CE877">
        <v>2.5</v>
      </c>
      <c r="CF877">
        <v>18</v>
      </c>
      <c r="CG877">
        <v>6</v>
      </c>
      <c r="CH877">
        <v>0</v>
      </c>
      <c r="CI877">
        <v>42.6</v>
      </c>
      <c r="CJ877">
        <v>384.06240000000003</v>
      </c>
    </row>
    <row r="878" spans="1:88">
      <c r="A878">
        <v>877</v>
      </c>
      <c r="B878" t="s">
        <v>13</v>
      </c>
      <c r="C878" t="s">
        <v>1</v>
      </c>
      <c r="D878" t="s">
        <v>2</v>
      </c>
      <c r="E878" t="s">
        <v>178</v>
      </c>
      <c r="F878" t="s">
        <v>154</v>
      </c>
      <c r="G878" t="s">
        <v>106</v>
      </c>
      <c r="H878" t="s">
        <v>217</v>
      </c>
      <c r="J878">
        <v>2</v>
      </c>
      <c r="K878" t="s">
        <v>146</v>
      </c>
      <c r="L878" t="s">
        <v>127</v>
      </c>
      <c r="M878" t="s">
        <v>179</v>
      </c>
      <c r="N878" t="s">
        <v>180</v>
      </c>
      <c r="O878">
        <v>95</v>
      </c>
      <c r="Q878">
        <v>270</v>
      </c>
      <c r="R878">
        <v>67</v>
      </c>
      <c r="S878">
        <v>4.25</v>
      </c>
      <c r="T878">
        <v>2.649</v>
      </c>
      <c r="U878">
        <v>5.81</v>
      </c>
      <c r="V878">
        <v>1146.22</v>
      </c>
      <c r="W878">
        <v>390</v>
      </c>
      <c r="X878">
        <v>1.3332999999999999</v>
      </c>
      <c r="Y878">
        <v>288</v>
      </c>
      <c r="Z878">
        <v>3.98</v>
      </c>
      <c r="AJ878">
        <v>2</v>
      </c>
      <c r="AK878">
        <v>18</v>
      </c>
      <c r="AM878">
        <v>0</v>
      </c>
      <c r="AO878" t="s">
        <v>218</v>
      </c>
      <c r="AT878">
        <v>38</v>
      </c>
      <c r="AV878">
        <v>36.1</v>
      </c>
      <c r="AW878">
        <v>0</v>
      </c>
      <c r="AX878">
        <v>0</v>
      </c>
      <c r="AY878">
        <v>33.75</v>
      </c>
      <c r="AZ878">
        <v>3.25</v>
      </c>
      <c r="BA878">
        <v>0</v>
      </c>
      <c r="BB878">
        <v>0</v>
      </c>
      <c r="BC878">
        <v>32</v>
      </c>
      <c r="BN878">
        <v>171.2</v>
      </c>
      <c r="BO878">
        <v>3540</v>
      </c>
      <c r="BP878">
        <v>0</v>
      </c>
      <c r="BQ878">
        <v>32</v>
      </c>
      <c r="BR878">
        <v>32</v>
      </c>
      <c r="BS878">
        <v>32.17</v>
      </c>
      <c r="BT878">
        <v>0</v>
      </c>
      <c r="BV878">
        <v>0</v>
      </c>
      <c r="BW878" t="s">
        <v>655</v>
      </c>
      <c r="BX878">
        <v>0.17</v>
      </c>
      <c r="BY878">
        <v>5.4688999999999997</v>
      </c>
      <c r="BZ878">
        <v>0</v>
      </c>
      <c r="CA878">
        <v>1</v>
      </c>
      <c r="CB878">
        <v>0.6</v>
      </c>
      <c r="CC878" s="3">
        <v>7.1269159999999998E-2</v>
      </c>
      <c r="CD878">
        <v>2.875</v>
      </c>
      <c r="CE878">
        <v>2.5</v>
      </c>
      <c r="CF878">
        <v>18</v>
      </c>
      <c r="CG878">
        <v>6</v>
      </c>
      <c r="CH878">
        <v>0</v>
      </c>
      <c r="CI878">
        <v>32.17</v>
      </c>
      <c r="CJ878">
        <v>228.12649999999999</v>
      </c>
    </row>
    <row r="879" spans="1:88">
      <c r="A879">
        <v>878</v>
      </c>
      <c r="B879" t="s">
        <v>13</v>
      </c>
      <c r="C879" t="s">
        <v>1</v>
      </c>
      <c r="D879" t="s">
        <v>133</v>
      </c>
      <c r="E879" t="s">
        <v>348</v>
      </c>
      <c r="F879" t="s">
        <v>298</v>
      </c>
      <c r="G879" t="s">
        <v>106</v>
      </c>
      <c r="H879" t="s">
        <v>257</v>
      </c>
      <c r="J879">
        <v>2</v>
      </c>
      <c r="K879" t="s">
        <v>146</v>
      </c>
      <c r="L879" t="s">
        <v>111</v>
      </c>
      <c r="M879" t="s">
        <v>351</v>
      </c>
      <c r="N879" t="s">
        <v>251</v>
      </c>
      <c r="O879">
        <v>174</v>
      </c>
      <c r="Q879">
        <v>635</v>
      </c>
      <c r="R879">
        <v>88</v>
      </c>
      <c r="S879">
        <v>4.25</v>
      </c>
      <c r="T879">
        <v>4.6059999999999999</v>
      </c>
      <c r="U879">
        <v>6.97</v>
      </c>
      <c r="V879">
        <v>2700.23</v>
      </c>
      <c r="W879">
        <v>611</v>
      </c>
      <c r="X879">
        <v>1.3332999999999999</v>
      </c>
      <c r="Y879">
        <v>455</v>
      </c>
      <c r="Z879">
        <v>5.93</v>
      </c>
      <c r="AJ879">
        <v>2</v>
      </c>
      <c r="AK879">
        <v>18</v>
      </c>
      <c r="AM879">
        <v>0</v>
      </c>
      <c r="AO879" t="s">
        <v>301</v>
      </c>
      <c r="AT879">
        <v>66</v>
      </c>
      <c r="AV879">
        <v>49.1</v>
      </c>
      <c r="AW879" t="s">
        <v>6</v>
      </c>
      <c r="AX879" t="s">
        <v>6</v>
      </c>
      <c r="AY879" t="s">
        <v>6</v>
      </c>
      <c r="AZ879" t="s">
        <v>6</v>
      </c>
      <c r="BA879" t="s">
        <v>6</v>
      </c>
      <c r="BB879" t="s">
        <v>6</v>
      </c>
      <c r="BC879" t="s">
        <v>6</v>
      </c>
      <c r="BD879" t="s">
        <v>6</v>
      </c>
      <c r="BE879" t="s">
        <v>6</v>
      </c>
      <c r="BF879" t="s">
        <v>6</v>
      </c>
      <c r="BG879" t="s">
        <v>6</v>
      </c>
      <c r="BH879" t="s">
        <v>6</v>
      </c>
      <c r="BI879" t="s">
        <v>6</v>
      </c>
      <c r="BJ879" t="s">
        <v>6</v>
      </c>
      <c r="BN879">
        <v>235.40010000000001</v>
      </c>
      <c r="BO879">
        <v>1873</v>
      </c>
      <c r="BP879">
        <v>0</v>
      </c>
      <c r="BQ879">
        <v>60</v>
      </c>
      <c r="BR879">
        <v>60</v>
      </c>
      <c r="BS879">
        <v>59.65</v>
      </c>
      <c r="BT879">
        <v>0</v>
      </c>
      <c r="BV879">
        <v>0</v>
      </c>
      <c r="BW879" t="s">
        <v>655</v>
      </c>
      <c r="BX879">
        <v>0.17</v>
      </c>
      <c r="BY879">
        <v>10.140499999999999</v>
      </c>
      <c r="BZ879">
        <v>0</v>
      </c>
      <c r="CA879">
        <v>1</v>
      </c>
      <c r="CB879">
        <v>0.6</v>
      </c>
      <c r="CC879" s="3">
        <v>7.1269159999999998E-2</v>
      </c>
      <c r="CD879">
        <v>2.875</v>
      </c>
      <c r="CE879">
        <v>2.5</v>
      </c>
      <c r="CF879">
        <v>18</v>
      </c>
      <c r="CG879">
        <v>6</v>
      </c>
      <c r="CH879">
        <v>0</v>
      </c>
      <c r="CI879">
        <v>59.65</v>
      </c>
      <c r="CJ879">
        <v>576.03830000000005</v>
      </c>
    </row>
    <row r="880" spans="1:88">
      <c r="A880">
        <v>879</v>
      </c>
      <c r="B880" t="s">
        <v>0</v>
      </c>
      <c r="C880" t="s">
        <v>1</v>
      </c>
      <c r="D880" t="s">
        <v>113</v>
      </c>
      <c r="E880" t="s">
        <v>267</v>
      </c>
      <c r="F880" t="s">
        <v>262</v>
      </c>
      <c r="G880" t="s">
        <v>106</v>
      </c>
      <c r="H880" t="s">
        <v>263</v>
      </c>
      <c r="J880">
        <v>2</v>
      </c>
      <c r="K880" t="s">
        <v>108</v>
      </c>
      <c r="L880" t="s">
        <v>113</v>
      </c>
      <c r="M880" t="s">
        <v>232</v>
      </c>
      <c r="N880" t="s">
        <v>258</v>
      </c>
      <c r="O880">
        <v>159</v>
      </c>
      <c r="Q880">
        <v>738</v>
      </c>
      <c r="R880">
        <v>109</v>
      </c>
      <c r="S880">
        <v>4.25</v>
      </c>
      <c r="T880">
        <v>4.26</v>
      </c>
      <c r="U880">
        <v>6.75</v>
      </c>
      <c r="V880">
        <v>3138.03</v>
      </c>
      <c r="W880">
        <v>733</v>
      </c>
      <c r="X880">
        <v>1.3332999999999999</v>
      </c>
      <c r="Y880">
        <v>561</v>
      </c>
      <c r="Z880">
        <v>5.59</v>
      </c>
      <c r="AJ880">
        <v>2</v>
      </c>
      <c r="AK880">
        <v>18</v>
      </c>
      <c r="AM880">
        <v>0</v>
      </c>
      <c r="AO880" t="s">
        <v>266</v>
      </c>
      <c r="AT880">
        <v>61</v>
      </c>
      <c r="AV880">
        <v>62.3</v>
      </c>
      <c r="AW880">
        <v>0.4375</v>
      </c>
      <c r="AX880">
        <v>3.75</v>
      </c>
      <c r="AY880">
        <v>50.75</v>
      </c>
      <c r="AZ880">
        <v>4.875</v>
      </c>
      <c r="BA880">
        <v>280.68</v>
      </c>
      <c r="BB880">
        <v>5.86</v>
      </c>
      <c r="BC880">
        <v>51</v>
      </c>
      <c r="BD880">
        <v>0.4375</v>
      </c>
      <c r="BE880">
        <v>3.75</v>
      </c>
      <c r="BF880">
        <v>50.75</v>
      </c>
      <c r="BG880">
        <v>4.875</v>
      </c>
      <c r="BH880">
        <v>280.68</v>
      </c>
      <c r="BI880">
        <v>5.86</v>
      </c>
      <c r="BJ880">
        <v>51</v>
      </c>
      <c r="BL880">
        <v>561.36</v>
      </c>
      <c r="BM880">
        <v>102</v>
      </c>
      <c r="BN880">
        <v>299.60000000000002</v>
      </c>
      <c r="BO880">
        <v>1156</v>
      </c>
      <c r="BP880">
        <v>0</v>
      </c>
      <c r="BQ880">
        <v>54</v>
      </c>
      <c r="BR880">
        <v>54</v>
      </c>
      <c r="BS880">
        <v>54.43</v>
      </c>
      <c r="BT880">
        <v>0</v>
      </c>
      <c r="BV880">
        <v>0</v>
      </c>
      <c r="BW880" t="s">
        <v>655</v>
      </c>
      <c r="BX880">
        <v>0.17</v>
      </c>
      <c r="BY880">
        <v>9.2531009999999991</v>
      </c>
      <c r="BZ880">
        <v>0</v>
      </c>
      <c r="CA880">
        <v>1</v>
      </c>
      <c r="CB880">
        <v>0.6</v>
      </c>
      <c r="CC880" s="3">
        <v>7.1269159999999998E-2</v>
      </c>
      <c r="CD880">
        <v>2.875</v>
      </c>
      <c r="CE880">
        <v>2.5</v>
      </c>
      <c r="CF880">
        <v>18</v>
      </c>
      <c r="CG880">
        <v>6</v>
      </c>
      <c r="CH880">
        <v>0</v>
      </c>
      <c r="CI880">
        <v>54.43</v>
      </c>
      <c r="CJ880">
        <v>666.73410000000001</v>
      </c>
    </row>
    <row r="881" spans="1:88">
      <c r="A881">
        <v>880</v>
      </c>
      <c r="B881" t="s">
        <v>0</v>
      </c>
      <c r="C881" t="s">
        <v>1</v>
      </c>
      <c r="D881" t="s">
        <v>249</v>
      </c>
      <c r="E881" t="s">
        <v>369</v>
      </c>
      <c r="F881" t="s">
        <v>309</v>
      </c>
      <c r="G881" t="s">
        <v>15</v>
      </c>
      <c r="H881" t="s">
        <v>310</v>
      </c>
      <c r="J881">
        <v>2</v>
      </c>
      <c r="K881" t="s">
        <v>108</v>
      </c>
      <c r="L881" t="s">
        <v>259</v>
      </c>
      <c r="M881" t="s">
        <v>480</v>
      </c>
      <c r="N881" t="s">
        <v>307</v>
      </c>
      <c r="O881">
        <v>121</v>
      </c>
      <c r="Q881">
        <v>713</v>
      </c>
      <c r="R881">
        <v>135</v>
      </c>
      <c r="S881">
        <v>4.25</v>
      </c>
      <c r="T881">
        <v>3.3340000000000001</v>
      </c>
      <c r="U881">
        <v>6.22</v>
      </c>
      <c r="V881">
        <v>3029.31</v>
      </c>
      <c r="W881">
        <v>839</v>
      </c>
      <c r="X881">
        <v>1.3332999999999999</v>
      </c>
      <c r="Y881">
        <v>650</v>
      </c>
      <c r="Z881">
        <v>4.66</v>
      </c>
      <c r="AJ881">
        <v>2</v>
      </c>
      <c r="AK881">
        <v>18</v>
      </c>
      <c r="AM881">
        <v>0</v>
      </c>
      <c r="AO881" t="s">
        <v>311</v>
      </c>
      <c r="AT881">
        <v>47</v>
      </c>
      <c r="AV881">
        <v>77.599999999999994</v>
      </c>
      <c r="AW881">
        <v>0.5</v>
      </c>
      <c r="AX881">
        <v>5.625</v>
      </c>
      <c r="AY881">
        <v>42.375</v>
      </c>
      <c r="AZ881">
        <v>4.625</v>
      </c>
      <c r="BA881">
        <v>422.92</v>
      </c>
      <c r="BB881">
        <v>5.5</v>
      </c>
      <c r="BC881">
        <v>76</v>
      </c>
      <c r="BD881">
        <v>0.375</v>
      </c>
      <c r="BE881">
        <v>3.75</v>
      </c>
      <c r="BF881">
        <v>28.5</v>
      </c>
      <c r="BG881">
        <v>3.5</v>
      </c>
      <c r="BH881">
        <v>227.13</v>
      </c>
      <c r="BI881">
        <v>4.7300000000000004</v>
      </c>
      <c r="BJ881">
        <v>25</v>
      </c>
      <c r="BL881">
        <v>650.05010000000004</v>
      </c>
      <c r="BM881">
        <v>100</v>
      </c>
      <c r="BN881">
        <v>662.98580000000004</v>
      </c>
      <c r="BO881">
        <v>2489</v>
      </c>
      <c r="BP881">
        <v>0</v>
      </c>
      <c r="BQ881">
        <v>41</v>
      </c>
      <c r="BR881">
        <v>41</v>
      </c>
      <c r="BS881">
        <v>41.21</v>
      </c>
      <c r="BT881">
        <v>0</v>
      </c>
      <c r="BV881">
        <v>0</v>
      </c>
      <c r="BW881" t="s">
        <v>655</v>
      </c>
      <c r="BX881">
        <v>0.17</v>
      </c>
      <c r="BY881">
        <v>7.0057</v>
      </c>
      <c r="BZ881">
        <v>0</v>
      </c>
      <c r="CA881">
        <v>1</v>
      </c>
      <c r="CB881">
        <v>0.6</v>
      </c>
      <c r="CC881" s="3">
        <v>7.1269159999999998E-2</v>
      </c>
      <c r="CD881">
        <v>2.875</v>
      </c>
      <c r="CE881">
        <v>2.5</v>
      </c>
      <c r="CF881">
        <v>18</v>
      </c>
      <c r="CG881">
        <v>6</v>
      </c>
      <c r="CH881">
        <v>0</v>
      </c>
      <c r="CI881">
        <v>41.21</v>
      </c>
      <c r="CJ881">
        <v>628.15129999999999</v>
      </c>
    </row>
    <row r="882" spans="1:88">
      <c r="A882">
        <v>881</v>
      </c>
      <c r="B882" t="s">
        <v>0</v>
      </c>
      <c r="C882" t="s">
        <v>1</v>
      </c>
      <c r="D882" t="s">
        <v>96</v>
      </c>
      <c r="E882" t="s">
        <v>314</v>
      </c>
      <c r="F882" t="s">
        <v>198</v>
      </c>
      <c r="G882" t="s">
        <v>106</v>
      </c>
      <c r="H882" t="s">
        <v>162</v>
      </c>
      <c r="J882">
        <v>2</v>
      </c>
      <c r="K882" t="s">
        <v>146</v>
      </c>
      <c r="L882" t="s">
        <v>205</v>
      </c>
      <c r="M882" t="s">
        <v>603</v>
      </c>
      <c r="N882" t="s">
        <v>103</v>
      </c>
      <c r="O882">
        <v>164</v>
      </c>
      <c r="Q882">
        <v>549</v>
      </c>
      <c r="R882">
        <v>81</v>
      </c>
      <c r="S882">
        <v>4.25</v>
      </c>
      <c r="T882">
        <v>4.3769999999999998</v>
      </c>
      <c r="U882">
        <v>6.82</v>
      </c>
      <c r="V882">
        <v>2332.23</v>
      </c>
      <c r="W882">
        <v>551</v>
      </c>
      <c r="X882">
        <v>1.3332999999999999</v>
      </c>
      <c r="Y882">
        <v>408</v>
      </c>
      <c r="Z882">
        <v>5.71</v>
      </c>
      <c r="AJ882">
        <v>2</v>
      </c>
      <c r="AK882">
        <v>18</v>
      </c>
      <c r="AM882">
        <v>0</v>
      </c>
      <c r="AO882" t="s">
        <v>166</v>
      </c>
      <c r="AT882">
        <v>62</v>
      </c>
      <c r="AV882">
        <v>44.8</v>
      </c>
      <c r="AW882">
        <v>0.40625</v>
      </c>
      <c r="AX882">
        <v>3.75</v>
      </c>
      <c r="AY882">
        <v>43.25</v>
      </c>
      <c r="AZ882">
        <v>4.625</v>
      </c>
      <c r="BA882">
        <v>224.64</v>
      </c>
      <c r="BB882">
        <v>5.89</v>
      </c>
      <c r="BC882">
        <v>41</v>
      </c>
      <c r="BD882">
        <v>0.375</v>
      </c>
      <c r="BE882">
        <v>3.75</v>
      </c>
      <c r="BF882">
        <v>35.125</v>
      </c>
      <c r="BG882">
        <v>4.25</v>
      </c>
      <c r="BH882">
        <v>183.79</v>
      </c>
      <c r="BI882">
        <v>5.86</v>
      </c>
      <c r="BJ882">
        <v>31</v>
      </c>
      <c r="BL882">
        <v>408.43</v>
      </c>
      <c r="BM882">
        <v>72</v>
      </c>
      <c r="BN882">
        <v>214</v>
      </c>
      <c r="BO882">
        <v>2266</v>
      </c>
      <c r="BP882">
        <v>0</v>
      </c>
      <c r="BQ882">
        <v>56</v>
      </c>
      <c r="BR882">
        <v>56</v>
      </c>
      <c r="BS882">
        <v>56.17</v>
      </c>
      <c r="BT882">
        <v>0</v>
      </c>
      <c r="BV882">
        <v>0</v>
      </c>
      <c r="BW882" t="s">
        <v>655</v>
      </c>
      <c r="BX882">
        <v>0.17</v>
      </c>
      <c r="BY882">
        <v>9.5488990000000005</v>
      </c>
      <c r="BZ882">
        <v>0</v>
      </c>
      <c r="CA882">
        <v>1</v>
      </c>
      <c r="CB882">
        <v>0.6</v>
      </c>
      <c r="CC882" s="3">
        <v>7.1269159999999998E-2</v>
      </c>
      <c r="CD882">
        <v>2.875</v>
      </c>
      <c r="CE882">
        <v>2.5</v>
      </c>
      <c r="CF882">
        <v>18</v>
      </c>
      <c r="CG882">
        <v>6</v>
      </c>
      <c r="CH882">
        <v>0</v>
      </c>
      <c r="CI882">
        <v>56.17</v>
      </c>
      <c r="CJ882">
        <v>494.3938</v>
      </c>
    </row>
    <row r="883" spans="1:88">
      <c r="A883">
        <v>882</v>
      </c>
      <c r="B883" t="s">
        <v>0</v>
      </c>
      <c r="C883" t="s">
        <v>1</v>
      </c>
      <c r="D883" t="s">
        <v>280</v>
      </c>
      <c r="E883" t="s">
        <v>8</v>
      </c>
      <c r="F883" t="s">
        <v>102</v>
      </c>
      <c r="G883" t="s">
        <v>15</v>
      </c>
      <c r="H883" t="s">
        <v>423</v>
      </c>
      <c r="J883">
        <v>2</v>
      </c>
      <c r="K883" t="s">
        <v>108</v>
      </c>
      <c r="L883" t="s">
        <v>10</v>
      </c>
      <c r="M883" t="s">
        <v>11</v>
      </c>
      <c r="N883" t="s">
        <v>12</v>
      </c>
      <c r="O883">
        <v>203</v>
      </c>
      <c r="Q883">
        <v>1184</v>
      </c>
      <c r="R883">
        <v>151</v>
      </c>
      <c r="S883">
        <v>4.25</v>
      </c>
      <c r="T883">
        <v>5.2460000000000004</v>
      </c>
      <c r="U883">
        <v>7.35</v>
      </c>
      <c r="V883">
        <v>5033.4799999999996</v>
      </c>
      <c r="W883">
        <v>1112</v>
      </c>
      <c r="X883">
        <v>1.5</v>
      </c>
      <c r="Y883">
        <v>747</v>
      </c>
      <c r="Z883">
        <v>6.74</v>
      </c>
      <c r="AJ883">
        <v>2</v>
      </c>
      <c r="AK883">
        <v>18</v>
      </c>
      <c r="AM883">
        <v>0</v>
      </c>
      <c r="AO883" t="s">
        <v>424</v>
      </c>
      <c r="AT883">
        <v>76</v>
      </c>
      <c r="AV883">
        <v>79.8</v>
      </c>
      <c r="AW883" t="s">
        <v>6</v>
      </c>
      <c r="AX883" t="s">
        <v>6</v>
      </c>
      <c r="AY883" t="s">
        <v>6</v>
      </c>
      <c r="AZ883" t="s">
        <v>6</v>
      </c>
      <c r="BA883" t="s">
        <v>6</v>
      </c>
      <c r="BB883" t="s">
        <v>6</v>
      </c>
      <c r="BC883" t="s">
        <v>6</v>
      </c>
      <c r="BD883" t="s">
        <v>6</v>
      </c>
      <c r="BE883" t="s">
        <v>6</v>
      </c>
      <c r="BF883" t="s">
        <v>6</v>
      </c>
      <c r="BG883" t="s">
        <v>6</v>
      </c>
      <c r="BH883" t="s">
        <v>6</v>
      </c>
      <c r="BI883" t="s">
        <v>6</v>
      </c>
      <c r="BJ883" t="s">
        <v>6</v>
      </c>
      <c r="BN883">
        <v>681.92830000000004</v>
      </c>
      <c r="BO883">
        <v>2352</v>
      </c>
      <c r="BP883">
        <v>0</v>
      </c>
      <c r="BQ883">
        <v>70</v>
      </c>
      <c r="BR883">
        <v>70</v>
      </c>
      <c r="BS883">
        <v>69.730009999999993</v>
      </c>
      <c r="BT883">
        <v>0</v>
      </c>
      <c r="BV883">
        <v>0</v>
      </c>
      <c r="BW883" t="s">
        <v>655</v>
      </c>
      <c r="BX883">
        <v>0.17</v>
      </c>
      <c r="BY883">
        <v>11.854100000000001</v>
      </c>
      <c r="BZ883">
        <v>0</v>
      </c>
      <c r="CA883">
        <v>1</v>
      </c>
      <c r="CB883">
        <v>0.6</v>
      </c>
      <c r="CC883" s="3">
        <v>7.1269159999999998E-2</v>
      </c>
      <c r="CD883">
        <v>2.875</v>
      </c>
      <c r="CE883">
        <v>2.5</v>
      </c>
      <c r="CF883">
        <v>18</v>
      </c>
      <c r="CG883">
        <v>6</v>
      </c>
      <c r="CH883">
        <v>0</v>
      </c>
      <c r="CI883">
        <v>69.730009999999993</v>
      </c>
      <c r="CJ883">
        <v>1092.69</v>
      </c>
    </row>
    <row r="884" spans="1:88">
      <c r="A884">
        <v>883</v>
      </c>
      <c r="B884" t="s">
        <v>0</v>
      </c>
      <c r="C884" t="s">
        <v>1</v>
      </c>
      <c r="D884" t="s">
        <v>552</v>
      </c>
      <c r="E884" t="s">
        <v>178</v>
      </c>
      <c r="F884" t="s">
        <v>392</v>
      </c>
      <c r="G884" t="s">
        <v>106</v>
      </c>
      <c r="H884" t="s">
        <v>563</v>
      </c>
      <c r="J884">
        <v>2</v>
      </c>
      <c r="K884" t="s">
        <v>108</v>
      </c>
      <c r="L884" t="s">
        <v>127</v>
      </c>
      <c r="M884" t="s">
        <v>179</v>
      </c>
      <c r="N884" t="s">
        <v>180</v>
      </c>
      <c r="O884">
        <v>95</v>
      </c>
      <c r="Q884">
        <v>441</v>
      </c>
      <c r="R884">
        <v>104</v>
      </c>
      <c r="S884">
        <v>4.25</v>
      </c>
      <c r="T884">
        <v>2.649</v>
      </c>
      <c r="U884">
        <v>5.81</v>
      </c>
      <c r="V884">
        <v>1872.8</v>
      </c>
      <c r="W884">
        <v>604</v>
      </c>
      <c r="X884">
        <v>1.3332999999999999</v>
      </c>
      <c r="Y884">
        <v>471</v>
      </c>
      <c r="Z884">
        <v>3.98</v>
      </c>
      <c r="AJ884">
        <v>2</v>
      </c>
      <c r="AK884">
        <v>18</v>
      </c>
      <c r="AM884">
        <v>0</v>
      </c>
      <c r="AO884" t="s">
        <v>394</v>
      </c>
      <c r="AT884">
        <v>38</v>
      </c>
      <c r="AV884">
        <v>59.4</v>
      </c>
      <c r="AW884">
        <v>0</v>
      </c>
      <c r="AX884">
        <v>0</v>
      </c>
      <c r="AY884">
        <v>43.125</v>
      </c>
      <c r="AZ884">
        <v>3.75</v>
      </c>
      <c r="BA884">
        <v>0</v>
      </c>
      <c r="BB884">
        <v>0</v>
      </c>
      <c r="BC884">
        <v>46</v>
      </c>
      <c r="BN884">
        <v>285.33339999999998</v>
      </c>
      <c r="BO884">
        <v>1275</v>
      </c>
      <c r="BP884">
        <v>0</v>
      </c>
      <c r="BQ884">
        <v>32</v>
      </c>
      <c r="BR884">
        <v>32</v>
      </c>
      <c r="BS884">
        <v>32.17</v>
      </c>
      <c r="BT884">
        <v>0</v>
      </c>
      <c r="BV884">
        <v>0</v>
      </c>
      <c r="BW884" t="s">
        <v>655</v>
      </c>
      <c r="BX884">
        <v>0.17</v>
      </c>
      <c r="BY884">
        <v>5.4688999999999997</v>
      </c>
      <c r="BZ884">
        <v>0</v>
      </c>
      <c r="CA884">
        <v>1</v>
      </c>
      <c r="CB884">
        <v>0.6</v>
      </c>
      <c r="CC884" s="3">
        <v>7.1269159999999998E-2</v>
      </c>
      <c r="CD884">
        <v>2.875</v>
      </c>
      <c r="CE884">
        <v>2.5</v>
      </c>
      <c r="CF884">
        <v>18</v>
      </c>
      <c r="CG884">
        <v>6</v>
      </c>
      <c r="CH884">
        <v>0</v>
      </c>
      <c r="CI884">
        <v>32.17</v>
      </c>
      <c r="CJ884">
        <v>375.72089999999997</v>
      </c>
    </row>
    <row r="885" spans="1:88">
      <c r="A885">
        <v>884</v>
      </c>
      <c r="B885" t="s">
        <v>13</v>
      </c>
      <c r="C885" t="s">
        <v>1</v>
      </c>
      <c r="D885" t="s">
        <v>113</v>
      </c>
      <c r="E885" t="s">
        <v>143</v>
      </c>
      <c r="F885" t="s">
        <v>262</v>
      </c>
      <c r="G885" t="s">
        <v>106</v>
      </c>
      <c r="H885" t="s">
        <v>263</v>
      </c>
      <c r="J885">
        <v>2</v>
      </c>
      <c r="K885" t="s">
        <v>108</v>
      </c>
      <c r="L885" t="s">
        <v>297</v>
      </c>
      <c r="M885" t="s">
        <v>206</v>
      </c>
      <c r="N885" t="s">
        <v>131</v>
      </c>
      <c r="O885">
        <v>155</v>
      </c>
      <c r="Q885">
        <v>721</v>
      </c>
      <c r="R885">
        <v>109</v>
      </c>
      <c r="S885">
        <v>4.25</v>
      </c>
      <c r="T885">
        <v>4.1660000000000004</v>
      </c>
      <c r="U885">
        <v>6.78</v>
      </c>
      <c r="V885">
        <v>3064.67</v>
      </c>
      <c r="W885">
        <v>736</v>
      </c>
      <c r="X885">
        <v>1.3332999999999999</v>
      </c>
      <c r="Y885">
        <v>558</v>
      </c>
      <c r="Z885">
        <v>5.49</v>
      </c>
      <c r="AJ885">
        <v>2</v>
      </c>
      <c r="AK885">
        <v>18</v>
      </c>
      <c r="AM885">
        <v>0</v>
      </c>
      <c r="AO885" t="s">
        <v>266</v>
      </c>
      <c r="AT885">
        <v>59</v>
      </c>
      <c r="AV885">
        <v>62.3</v>
      </c>
      <c r="AW885" t="s">
        <v>6</v>
      </c>
      <c r="AX885" t="s">
        <v>6</v>
      </c>
      <c r="AY885" t="s">
        <v>6</v>
      </c>
      <c r="AZ885" t="s">
        <v>6</v>
      </c>
      <c r="BA885" t="s">
        <v>6</v>
      </c>
      <c r="BB885" t="s">
        <v>6</v>
      </c>
      <c r="BC885" t="s">
        <v>6</v>
      </c>
      <c r="BD885" t="s">
        <v>6</v>
      </c>
      <c r="BE885" t="s">
        <v>6</v>
      </c>
      <c r="BF885" t="s">
        <v>6</v>
      </c>
      <c r="BG885" t="s">
        <v>6</v>
      </c>
      <c r="BH885" t="s">
        <v>6</v>
      </c>
      <c r="BI885" t="s">
        <v>6</v>
      </c>
      <c r="BJ885" t="s">
        <v>6</v>
      </c>
      <c r="BN885">
        <v>299.60000000000002</v>
      </c>
      <c r="BO885">
        <v>1156</v>
      </c>
      <c r="BP885">
        <v>0</v>
      </c>
      <c r="BQ885">
        <v>53</v>
      </c>
      <c r="BR885">
        <v>53</v>
      </c>
      <c r="BS885">
        <v>53.04</v>
      </c>
      <c r="BT885">
        <v>0</v>
      </c>
      <c r="BV885">
        <v>0</v>
      </c>
      <c r="BW885" t="s">
        <v>655</v>
      </c>
      <c r="BX885">
        <v>0.17</v>
      </c>
      <c r="BY885">
        <v>9.0167999999999999</v>
      </c>
      <c r="BZ885">
        <v>0</v>
      </c>
      <c r="CA885">
        <v>1</v>
      </c>
      <c r="CB885">
        <v>0.6</v>
      </c>
      <c r="CC885" s="3">
        <v>7.1269159999999998E-2</v>
      </c>
      <c r="CD885">
        <v>2.875</v>
      </c>
      <c r="CE885">
        <v>2.5</v>
      </c>
      <c r="CF885">
        <v>18</v>
      </c>
      <c r="CG885">
        <v>6</v>
      </c>
      <c r="CH885">
        <v>0</v>
      </c>
      <c r="CI885">
        <v>53.04</v>
      </c>
      <c r="CJ885">
        <v>649.70740000000001</v>
      </c>
    </row>
    <row r="886" spans="1:88">
      <c r="A886">
        <v>885</v>
      </c>
      <c r="B886" t="s">
        <v>0</v>
      </c>
      <c r="C886" t="s">
        <v>1</v>
      </c>
      <c r="D886" t="s">
        <v>127</v>
      </c>
      <c r="E886" t="s">
        <v>96</v>
      </c>
      <c r="F886" t="s">
        <v>129</v>
      </c>
      <c r="G886" t="s">
        <v>106</v>
      </c>
      <c r="H886" t="s">
        <v>130</v>
      </c>
      <c r="J886">
        <v>2</v>
      </c>
      <c r="K886" t="s">
        <v>146</v>
      </c>
      <c r="L886" t="s">
        <v>293</v>
      </c>
      <c r="M886" t="s">
        <v>100</v>
      </c>
      <c r="N886" t="s">
        <v>101</v>
      </c>
      <c r="O886">
        <v>131</v>
      </c>
      <c r="Q886">
        <v>389</v>
      </c>
      <c r="R886">
        <v>72</v>
      </c>
      <c r="S886">
        <v>4.25</v>
      </c>
      <c r="T886">
        <v>3.5859999999999999</v>
      </c>
      <c r="U886">
        <v>6.37</v>
      </c>
      <c r="V886">
        <v>1653.25</v>
      </c>
      <c r="W886">
        <v>457</v>
      </c>
      <c r="X886">
        <v>1.3332999999999999</v>
      </c>
      <c r="Y886">
        <v>337</v>
      </c>
      <c r="Z886">
        <v>4.91</v>
      </c>
      <c r="AJ886">
        <v>2</v>
      </c>
      <c r="AK886">
        <v>18</v>
      </c>
      <c r="AM886">
        <v>0</v>
      </c>
      <c r="AO886" t="s">
        <v>134</v>
      </c>
      <c r="AT886">
        <v>51</v>
      </c>
      <c r="AV886">
        <v>39</v>
      </c>
      <c r="AW886">
        <v>0</v>
      </c>
      <c r="AX886">
        <v>0</v>
      </c>
      <c r="AY886">
        <v>42.25</v>
      </c>
      <c r="AZ886">
        <v>4.25</v>
      </c>
      <c r="BA886">
        <v>0</v>
      </c>
      <c r="BB886">
        <v>0</v>
      </c>
      <c r="BC886">
        <v>43</v>
      </c>
      <c r="BN886">
        <v>185.4667</v>
      </c>
      <c r="BO886">
        <v>3017</v>
      </c>
      <c r="BP886">
        <v>0</v>
      </c>
      <c r="BQ886">
        <v>45</v>
      </c>
      <c r="BR886">
        <v>45</v>
      </c>
      <c r="BS886">
        <v>44.69</v>
      </c>
      <c r="BT886">
        <v>0</v>
      </c>
      <c r="BV886">
        <v>0</v>
      </c>
      <c r="BW886" t="s">
        <v>655</v>
      </c>
      <c r="BX886">
        <v>0.17</v>
      </c>
      <c r="BY886">
        <v>7.5972999999999997</v>
      </c>
      <c r="BZ886">
        <v>0</v>
      </c>
      <c r="CA886">
        <v>1</v>
      </c>
      <c r="CB886">
        <v>0.6</v>
      </c>
      <c r="CC886" s="3">
        <v>7.1269159999999998E-2</v>
      </c>
      <c r="CD886">
        <v>2.875</v>
      </c>
      <c r="CE886">
        <v>2.5</v>
      </c>
      <c r="CF886">
        <v>18</v>
      </c>
      <c r="CG886">
        <v>6</v>
      </c>
      <c r="CH886">
        <v>0</v>
      </c>
      <c r="CI886">
        <v>44.69</v>
      </c>
      <c r="CJ886">
        <v>342.3895</v>
      </c>
    </row>
    <row r="887" spans="1:88">
      <c r="A887">
        <v>886</v>
      </c>
      <c r="B887" t="s">
        <v>13</v>
      </c>
      <c r="C887" t="s">
        <v>1</v>
      </c>
      <c r="D887" t="s">
        <v>278</v>
      </c>
      <c r="E887" t="s">
        <v>113</v>
      </c>
      <c r="F887" t="s">
        <v>239</v>
      </c>
      <c r="G887" t="s">
        <v>15</v>
      </c>
      <c r="H887" t="s">
        <v>458</v>
      </c>
      <c r="J887">
        <v>2</v>
      </c>
      <c r="K887" t="s">
        <v>108</v>
      </c>
      <c r="L887" t="s">
        <v>116</v>
      </c>
      <c r="M887" t="s">
        <v>117</v>
      </c>
      <c r="N887" t="s">
        <v>14</v>
      </c>
      <c r="O887">
        <v>179</v>
      </c>
      <c r="Q887">
        <v>957</v>
      </c>
      <c r="R887">
        <v>126</v>
      </c>
      <c r="S887">
        <v>4.25</v>
      </c>
      <c r="T887">
        <v>4.7190000000000003</v>
      </c>
      <c r="U887">
        <v>7.05</v>
      </c>
      <c r="V887">
        <v>4069.29</v>
      </c>
      <c r="W887">
        <v>889</v>
      </c>
      <c r="X887">
        <v>1.3332999999999999</v>
      </c>
      <c r="Y887">
        <v>673</v>
      </c>
      <c r="Z887">
        <v>6.05</v>
      </c>
      <c r="AJ887">
        <v>2</v>
      </c>
      <c r="AK887">
        <v>18</v>
      </c>
      <c r="AM887">
        <v>0</v>
      </c>
      <c r="AO887" t="s">
        <v>401</v>
      </c>
      <c r="AT887">
        <v>68</v>
      </c>
      <c r="AV887">
        <v>72.5</v>
      </c>
      <c r="AW887" t="s">
        <v>6</v>
      </c>
      <c r="AX887" t="s">
        <v>6</v>
      </c>
      <c r="AY887" t="s">
        <v>6</v>
      </c>
      <c r="AZ887" t="s">
        <v>6</v>
      </c>
      <c r="BA887" t="s">
        <v>6</v>
      </c>
      <c r="BB887" t="s">
        <v>6</v>
      </c>
      <c r="BC887" t="s">
        <v>6</v>
      </c>
      <c r="BD887" t="s">
        <v>6</v>
      </c>
      <c r="BE887" t="s">
        <v>6</v>
      </c>
      <c r="BF887" t="s">
        <v>6</v>
      </c>
      <c r="BG887" t="s">
        <v>6</v>
      </c>
      <c r="BH887" t="s">
        <v>6</v>
      </c>
      <c r="BI887" t="s">
        <v>6</v>
      </c>
      <c r="BJ887" t="s">
        <v>6</v>
      </c>
      <c r="BN887">
        <v>618.78679999999997</v>
      </c>
      <c r="BO887">
        <v>2857</v>
      </c>
      <c r="BP887">
        <v>0</v>
      </c>
      <c r="BQ887">
        <v>61</v>
      </c>
      <c r="BR887">
        <v>61</v>
      </c>
      <c r="BS887">
        <v>61.39</v>
      </c>
      <c r="BT887">
        <v>0</v>
      </c>
      <c r="BV887">
        <v>0</v>
      </c>
      <c r="BW887" t="s">
        <v>655</v>
      </c>
      <c r="BX887">
        <v>0.17</v>
      </c>
      <c r="BY887">
        <v>10.436299999999999</v>
      </c>
      <c r="BZ887">
        <v>0</v>
      </c>
      <c r="CA887">
        <v>1</v>
      </c>
      <c r="CB887">
        <v>0.6</v>
      </c>
      <c r="CC887" s="3">
        <v>7.1269159999999998E-2</v>
      </c>
      <c r="CD887">
        <v>2.875</v>
      </c>
      <c r="CE887">
        <v>2.5</v>
      </c>
      <c r="CF887">
        <v>18</v>
      </c>
      <c r="CG887">
        <v>6</v>
      </c>
      <c r="CH887">
        <v>0</v>
      </c>
      <c r="CI887">
        <v>61.39</v>
      </c>
      <c r="CJ887">
        <v>874.49580000000003</v>
      </c>
    </row>
    <row r="888" spans="1:88">
      <c r="A888">
        <v>887</v>
      </c>
      <c r="B888" t="s">
        <v>0</v>
      </c>
      <c r="C888" t="s">
        <v>1</v>
      </c>
      <c r="D888" t="s">
        <v>176</v>
      </c>
      <c r="E888" t="s">
        <v>96</v>
      </c>
      <c r="F888" t="s">
        <v>134</v>
      </c>
      <c r="G888" t="s">
        <v>106</v>
      </c>
      <c r="H888" t="s">
        <v>177</v>
      </c>
      <c r="J888">
        <v>2</v>
      </c>
      <c r="K888" t="s">
        <v>146</v>
      </c>
      <c r="L888" t="s">
        <v>293</v>
      </c>
      <c r="M888" t="s">
        <v>100</v>
      </c>
      <c r="N888" t="s">
        <v>101</v>
      </c>
      <c r="O888">
        <v>131</v>
      </c>
      <c r="Q888">
        <v>382</v>
      </c>
      <c r="R888">
        <v>71</v>
      </c>
      <c r="S888">
        <v>4.25</v>
      </c>
      <c r="T888">
        <v>3.5859999999999999</v>
      </c>
      <c r="U888">
        <v>6.37</v>
      </c>
      <c r="V888">
        <v>1623.07</v>
      </c>
      <c r="W888">
        <v>449</v>
      </c>
      <c r="X888">
        <v>1.3332999999999999</v>
      </c>
      <c r="Y888">
        <v>331</v>
      </c>
      <c r="Z888">
        <v>4.91</v>
      </c>
      <c r="AJ888">
        <v>2</v>
      </c>
      <c r="AK888">
        <v>18</v>
      </c>
      <c r="AM888">
        <v>0</v>
      </c>
      <c r="AO888" t="s">
        <v>152</v>
      </c>
      <c r="AT888">
        <v>51</v>
      </c>
      <c r="AV888">
        <v>38.200000000000003</v>
      </c>
      <c r="AW888">
        <v>0</v>
      </c>
      <c r="AX888">
        <v>0</v>
      </c>
      <c r="AY888">
        <v>43</v>
      </c>
      <c r="AZ888">
        <v>4.25</v>
      </c>
      <c r="BA888">
        <v>0</v>
      </c>
      <c r="BB888">
        <v>0</v>
      </c>
      <c r="BC888">
        <v>44</v>
      </c>
      <c r="BN888">
        <v>181.9</v>
      </c>
      <c r="BO888">
        <v>3136</v>
      </c>
      <c r="BP888">
        <v>0</v>
      </c>
      <c r="BQ888">
        <v>45</v>
      </c>
      <c r="BR888">
        <v>45</v>
      </c>
      <c r="BS888">
        <v>44.69</v>
      </c>
      <c r="BT888">
        <v>0</v>
      </c>
      <c r="BV888">
        <v>0</v>
      </c>
      <c r="BW888" t="s">
        <v>655</v>
      </c>
      <c r="BX888">
        <v>0.17</v>
      </c>
      <c r="BY888">
        <v>7.5972999999999997</v>
      </c>
      <c r="BZ888">
        <v>0</v>
      </c>
      <c r="CA888">
        <v>1</v>
      </c>
      <c r="CB888">
        <v>0.6</v>
      </c>
      <c r="CC888" s="3">
        <v>7.1269159999999998E-2</v>
      </c>
      <c r="CD888">
        <v>2.875</v>
      </c>
      <c r="CE888">
        <v>2.5</v>
      </c>
      <c r="CF888">
        <v>18</v>
      </c>
      <c r="CG888">
        <v>6</v>
      </c>
      <c r="CH888">
        <v>0</v>
      </c>
      <c r="CI888">
        <v>44.69</v>
      </c>
      <c r="CJ888">
        <v>336.01949999999999</v>
      </c>
    </row>
    <row r="889" spans="1:88">
      <c r="A889">
        <v>888</v>
      </c>
      <c r="B889" t="s">
        <v>13</v>
      </c>
      <c r="C889" t="s">
        <v>1</v>
      </c>
      <c r="D889" t="s">
        <v>178</v>
      </c>
      <c r="E889" t="s">
        <v>381</v>
      </c>
      <c r="F889" t="s">
        <v>408</v>
      </c>
      <c r="G889" t="s">
        <v>106</v>
      </c>
      <c r="H889" t="s">
        <v>141</v>
      </c>
      <c r="J889">
        <v>2</v>
      </c>
      <c r="K889" t="s">
        <v>146</v>
      </c>
      <c r="L889" t="s">
        <v>267</v>
      </c>
      <c r="M889" t="s">
        <v>384</v>
      </c>
      <c r="N889" t="s">
        <v>257</v>
      </c>
      <c r="O889">
        <v>139</v>
      </c>
      <c r="Q889">
        <v>336</v>
      </c>
      <c r="R889">
        <v>60</v>
      </c>
      <c r="S889">
        <v>4.25</v>
      </c>
      <c r="T889">
        <v>3.7829999999999999</v>
      </c>
      <c r="U889">
        <v>6.52</v>
      </c>
      <c r="V889">
        <v>1427.36</v>
      </c>
      <c r="W889">
        <v>392</v>
      </c>
      <c r="X889">
        <v>1.5</v>
      </c>
      <c r="Y889">
        <v>270</v>
      </c>
      <c r="Z889">
        <v>5.28</v>
      </c>
      <c r="AJ889">
        <v>2</v>
      </c>
      <c r="AK889">
        <v>18</v>
      </c>
      <c r="AM889">
        <v>0</v>
      </c>
      <c r="AO889" t="s">
        <v>409</v>
      </c>
      <c r="AT889">
        <v>54</v>
      </c>
      <c r="AV889">
        <v>31.7</v>
      </c>
      <c r="AW889">
        <v>0</v>
      </c>
      <c r="AX889">
        <v>0</v>
      </c>
      <c r="AY889">
        <v>52.625</v>
      </c>
      <c r="AZ889">
        <v>4.625</v>
      </c>
      <c r="BA889">
        <v>0</v>
      </c>
      <c r="BB889">
        <v>0</v>
      </c>
      <c r="BC889">
        <v>53</v>
      </c>
      <c r="BN889">
        <v>149.80000000000001</v>
      </c>
      <c r="BO889">
        <v>4624</v>
      </c>
      <c r="BP889">
        <v>0</v>
      </c>
      <c r="BQ889">
        <v>47</v>
      </c>
      <c r="BR889">
        <v>47</v>
      </c>
      <c r="BS889">
        <v>47.47</v>
      </c>
      <c r="BT889">
        <v>0</v>
      </c>
      <c r="BV889">
        <v>0</v>
      </c>
      <c r="BW889" t="s">
        <v>655</v>
      </c>
      <c r="BX889">
        <v>0.17</v>
      </c>
      <c r="BY889">
        <v>8.0699009999999998</v>
      </c>
      <c r="BZ889">
        <v>0</v>
      </c>
      <c r="CA889">
        <v>1</v>
      </c>
      <c r="CB889">
        <v>0.6</v>
      </c>
      <c r="CC889" s="3">
        <v>7.1269159999999998E-2</v>
      </c>
      <c r="CD889">
        <v>2.875</v>
      </c>
      <c r="CE889">
        <v>2.5</v>
      </c>
      <c r="CF889">
        <v>18</v>
      </c>
      <c r="CG889">
        <v>6</v>
      </c>
      <c r="CH889">
        <v>0</v>
      </c>
      <c r="CI889">
        <v>47.47</v>
      </c>
      <c r="CJ889">
        <v>296.02530000000002</v>
      </c>
    </row>
    <row r="890" spans="1:88">
      <c r="A890">
        <v>889</v>
      </c>
      <c r="B890" t="s">
        <v>13</v>
      </c>
      <c r="C890" t="s">
        <v>1</v>
      </c>
      <c r="D890" t="s">
        <v>356</v>
      </c>
      <c r="E890" t="s">
        <v>228</v>
      </c>
      <c r="F890" t="s">
        <v>225</v>
      </c>
      <c r="G890" t="s">
        <v>106</v>
      </c>
      <c r="H890" t="s">
        <v>332</v>
      </c>
      <c r="J890">
        <v>2</v>
      </c>
      <c r="K890" t="s">
        <v>146</v>
      </c>
      <c r="L890" t="s">
        <v>174</v>
      </c>
      <c r="M890" t="s">
        <v>230</v>
      </c>
      <c r="N890" t="s">
        <v>231</v>
      </c>
      <c r="O890">
        <v>102</v>
      </c>
      <c r="Q890">
        <v>205</v>
      </c>
      <c r="R890">
        <v>45</v>
      </c>
      <c r="S890">
        <v>4.25</v>
      </c>
      <c r="T890">
        <v>2.8380000000000001</v>
      </c>
      <c r="U890">
        <v>5.96</v>
      </c>
      <c r="V890">
        <v>872.56</v>
      </c>
      <c r="W890">
        <v>271</v>
      </c>
      <c r="X890">
        <v>1.3332999999999999</v>
      </c>
      <c r="Y890">
        <v>209</v>
      </c>
      <c r="Z890">
        <v>4.17</v>
      </c>
      <c r="AJ890">
        <v>2</v>
      </c>
      <c r="AK890">
        <v>18</v>
      </c>
      <c r="AM890">
        <v>0</v>
      </c>
      <c r="AO890" t="s">
        <v>372</v>
      </c>
      <c r="AT890">
        <v>41</v>
      </c>
      <c r="AV890">
        <v>25.5</v>
      </c>
      <c r="AW890">
        <v>0</v>
      </c>
      <c r="AX890">
        <v>0</v>
      </c>
      <c r="AY890">
        <v>30.875</v>
      </c>
      <c r="AZ890">
        <v>3.125</v>
      </c>
      <c r="BA890">
        <v>0</v>
      </c>
      <c r="BB890">
        <v>0</v>
      </c>
      <c r="BC890">
        <v>27</v>
      </c>
      <c r="BN890">
        <v>119.4834</v>
      </c>
      <c r="BO890">
        <v>7269</v>
      </c>
      <c r="BP890">
        <v>0</v>
      </c>
      <c r="BQ890">
        <v>35</v>
      </c>
      <c r="BR890">
        <v>35</v>
      </c>
      <c r="BS890">
        <v>34.6</v>
      </c>
      <c r="BT890">
        <v>0</v>
      </c>
      <c r="BV890">
        <v>0</v>
      </c>
      <c r="BW890" t="s">
        <v>655</v>
      </c>
      <c r="BX890">
        <v>0.17</v>
      </c>
      <c r="BY890">
        <v>5.8819999999999997</v>
      </c>
      <c r="BZ890">
        <v>0</v>
      </c>
      <c r="CA890">
        <v>1</v>
      </c>
      <c r="CB890">
        <v>0.6</v>
      </c>
      <c r="CC890" s="3">
        <v>7.1269159999999998E-2</v>
      </c>
      <c r="CD890">
        <v>2.875</v>
      </c>
      <c r="CE890">
        <v>2.5</v>
      </c>
      <c r="CF890">
        <v>18</v>
      </c>
      <c r="CG890">
        <v>6</v>
      </c>
      <c r="CH890">
        <v>0</v>
      </c>
      <c r="CI890">
        <v>34.6</v>
      </c>
      <c r="CJ890">
        <v>173.8468</v>
      </c>
    </row>
    <row r="891" spans="1:88">
      <c r="A891">
        <v>890</v>
      </c>
      <c r="B891" t="s">
        <v>0</v>
      </c>
      <c r="C891" t="s">
        <v>1</v>
      </c>
      <c r="D891" t="s">
        <v>332</v>
      </c>
      <c r="E891" t="s">
        <v>178</v>
      </c>
      <c r="F891" t="s">
        <v>333</v>
      </c>
      <c r="G891" t="s">
        <v>106</v>
      </c>
      <c r="H891" t="s">
        <v>334</v>
      </c>
      <c r="J891">
        <v>2</v>
      </c>
      <c r="K891" t="s">
        <v>146</v>
      </c>
      <c r="L891" t="s">
        <v>127</v>
      </c>
      <c r="M891" t="s">
        <v>179</v>
      </c>
      <c r="N891" t="s">
        <v>180</v>
      </c>
      <c r="O891">
        <v>95</v>
      </c>
      <c r="Q891">
        <v>190</v>
      </c>
      <c r="R891">
        <v>45</v>
      </c>
      <c r="S891">
        <v>4.25</v>
      </c>
      <c r="T891">
        <v>2.649</v>
      </c>
      <c r="U891">
        <v>5.81</v>
      </c>
      <c r="V891">
        <v>807.62</v>
      </c>
      <c r="W891">
        <v>261</v>
      </c>
      <c r="X891">
        <v>1.3332999999999999</v>
      </c>
      <c r="Y891">
        <v>203</v>
      </c>
      <c r="Z891">
        <v>3.98</v>
      </c>
      <c r="AJ891">
        <v>2</v>
      </c>
      <c r="AK891">
        <v>18</v>
      </c>
      <c r="AM891">
        <v>0</v>
      </c>
      <c r="AO891" t="s">
        <v>335</v>
      </c>
      <c r="AT891">
        <v>38</v>
      </c>
      <c r="AV891">
        <v>25.2</v>
      </c>
      <c r="AW891">
        <v>0</v>
      </c>
      <c r="AX891">
        <v>0</v>
      </c>
      <c r="AY891">
        <v>31.875</v>
      </c>
      <c r="AZ891">
        <v>3</v>
      </c>
      <c r="BA891">
        <v>0</v>
      </c>
      <c r="BB891">
        <v>0</v>
      </c>
      <c r="BC891">
        <v>28</v>
      </c>
      <c r="BN891">
        <v>117.7</v>
      </c>
      <c r="BO891">
        <v>7491</v>
      </c>
      <c r="BP891">
        <v>0</v>
      </c>
      <c r="BQ891">
        <v>32</v>
      </c>
      <c r="BR891">
        <v>32</v>
      </c>
      <c r="BS891">
        <v>32.17</v>
      </c>
      <c r="BT891">
        <v>0</v>
      </c>
      <c r="BV891">
        <v>0</v>
      </c>
      <c r="BW891" t="s">
        <v>655</v>
      </c>
      <c r="BX891">
        <v>0.17</v>
      </c>
      <c r="BY891">
        <v>5.4688999999999997</v>
      </c>
      <c r="BZ891">
        <v>0</v>
      </c>
      <c r="CA891">
        <v>1</v>
      </c>
      <c r="CB891">
        <v>0.6</v>
      </c>
      <c r="CC891" s="3">
        <v>7.1269159999999998E-2</v>
      </c>
      <c r="CD891">
        <v>2.875</v>
      </c>
      <c r="CE891">
        <v>2.5</v>
      </c>
      <c r="CF891">
        <v>18</v>
      </c>
      <c r="CG891">
        <v>6</v>
      </c>
      <c r="CH891">
        <v>0</v>
      </c>
      <c r="CI891">
        <v>32.17</v>
      </c>
      <c r="CJ891">
        <v>159.34460000000001</v>
      </c>
    </row>
    <row r="892" spans="1:88">
      <c r="A892">
        <v>891</v>
      </c>
      <c r="B892" t="s">
        <v>0</v>
      </c>
      <c r="C892" t="s">
        <v>1</v>
      </c>
      <c r="D892" t="s">
        <v>630</v>
      </c>
      <c r="E892" t="s">
        <v>131</v>
      </c>
      <c r="F892" t="s">
        <v>631</v>
      </c>
      <c r="G892" t="s">
        <v>15</v>
      </c>
      <c r="H892" t="s">
        <v>630</v>
      </c>
      <c r="J892">
        <v>2</v>
      </c>
      <c r="K892" t="s">
        <v>9</v>
      </c>
      <c r="L892" t="s">
        <v>300</v>
      </c>
      <c r="M892" t="s">
        <v>271</v>
      </c>
      <c r="N892" t="s">
        <v>181</v>
      </c>
      <c r="O892">
        <v>158</v>
      </c>
      <c r="Q892">
        <v>1010</v>
      </c>
      <c r="R892">
        <v>149</v>
      </c>
      <c r="S892">
        <v>4.25</v>
      </c>
      <c r="T892">
        <v>4.2370000000000001</v>
      </c>
      <c r="U892">
        <v>6.86</v>
      </c>
      <c r="V892">
        <v>4291.82</v>
      </c>
      <c r="W892">
        <v>1021</v>
      </c>
      <c r="X892">
        <v>1.3332999999999999</v>
      </c>
      <c r="Y892">
        <v>771</v>
      </c>
      <c r="Z892">
        <v>5.57</v>
      </c>
      <c r="AJ892">
        <v>2</v>
      </c>
      <c r="AK892">
        <v>18</v>
      </c>
      <c r="AM892">
        <v>0</v>
      </c>
      <c r="AO892" t="s">
        <v>632</v>
      </c>
      <c r="AT892">
        <v>60</v>
      </c>
      <c r="AV892">
        <v>85.6</v>
      </c>
      <c r="AW892" t="s">
        <v>6</v>
      </c>
      <c r="AX892" t="s">
        <v>6</v>
      </c>
      <c r="AY892" t="s">
        <v>6</v>
      </c>
      <c r="AZ892" t="s">
        <v>6</v>
      </c>
      <c r="BA892" t="s">
        <v>6</v>
      </c>
      <c r="BB892" t="s">
        <v>6</v>
      </c>
      <c r="BC892" t="s">
        <v>6</v>
      </c>
      <c r="BD892" t="s">
        <v>6</v>
      </c>
      <c r="BE892" t="s">
        <v>6</v>
      </c>
      <c r="BF892" t="s">
        <v>6</v>
      </c>
      <c r="BG892" t="s">
        <v>6</v>
      </c>
      <c r="BH892" t="s">
        <v>6</v>
      </c>
      <c r="BI892" t="s">
        <v>6</v>
      </c>
      <c r="BJ892" t="s">
        <v>6</v>
      </c>
      <c r="BN892">
        <v>732.44150000000002</v>
      </c>
      <c r="BO892">
        <v>2039</v>
      </c>
      <c r="BP892">
        <v>0</v>
      </c>
      <c r="BQ892">
        <v>54</v>
      </c>
      <c r="BR892">
        <v>54</v>
      </c>
      <c r="BS892">
        <v>54.08</v>
      </c>
      <c r="BT892">
        <v>0</v>
      </c>
      <c r="BV892">
        <v>6</v>
      </c>
      <c r="BW892" t="s">
        <v>655</v>
      </c>
      <c r="BX892">
        <v>0.27933340000000001</v>
      </c>
      <c r="BY892">
        <v>15.106350000000001</v>
      </c>
      <c r="BZ892">
        <v>0</v>
      </c>
      <c r="CA892">
        <v>1</v>
      </c>
      <c r="CB892">
        <v>0.6</v>
      </c>
      <c r="CC892" s="3">
        <v>7.1269159999999998E-2</v>
      </c>
      <c r="CD892">
        <v>2.875</v>
      </c>
      <c r="CE892">
        <v>2.5</v>
      </c>
      <c r="CF892">
        <v>18</v>
      </c>
      <c r="CG892">
        <v>6</v>
      </c>
      <c r="CH892">
        <v>0</v>
      </c>
      <c r="CI892">
        <v>54.08</v>
      </c>
      <c r="CJ892">
        <v>909.11789999999996</v>
      </c>
    </row>
    <row r="893" spans="1:88">
      <c r="A893">
        <v>892</v>
      </c>
      <c r="B893" t="s">
        <v>13</v>
      </c>
      <c r="C893" t="s">
        <v>1</v>
      </c>
      <c r="D893" t="s">
        <v>340</v>
      </c>
      <c r="E893" t="s">
        <v>235</v>
      </c>
      <c r="F893" t="s">
        <v>384</v>
      </c>
      <c r="G893" t="s">
        <v>106</v>
      </c>
      <c r="H893" t="s">
        <v>172</v>
      </c>
      <c r="J893">
        <v>2</v>
      </c>
      <c r="K893" t="s">
        <v>146</v>
      </c>
      <c r="L893" t="s">
        <v>185</v>
      </c>
      <c r="M893" t="s">
        <v>198</v>
      </c>
      <c r="N893" t="s">
        <v>338</v>
      </c>
      <c r="O893">
        <v>132</v>
      </c>
      <c r="Q893">
        <v>474</v>
      </c>
      <c r="R893">
        <v>85</v>
      </c>
      <c r="S893">
        <v>4.25</v>
      </c>
      <c r="T893">
        <v>3.61</v>
      </c>
      <c r="U893">
        <v>6.37</v>
      </c>
      <c r="V893">
        <v>2014.16</v>
      </c>
      <c r="W893">
        <v>541</v>
      </c>
      <c r="X893">
        <v>1.3332999999999999</v>
      </c>
      <c r="Y893">
        <v>408</v>
      </c>
      <c r="Z893">
        <v>4.9400000000000004</v>
      </c>
      <c r="AJ893">
        <v>2</v>
      </c>
      <c r="AK893">
        <v>18</v>
      </c>
      <c r="AM893">
        <v>0</v>
      </c>
      <c r="AO893" t="s">
        <v>490</v>
      </c>
      <c r="AT893">
        <v>51</v>
      </c>
      <c r="AV893">
        <v>47.3</v>
      </c>
      <c r="AW893">
        <v>0.46875</v>
      </c>
      <c r="AX893">
        <v>3.75</v>
      </c>
      <c r="AY893">
        <v>50.875</v>
      </c>
      <c r="AZ893">
        <v>4.625</v>
      </c>
      <c r="BA893">
        <v>398.95</v>
      </c>
      <c r="BB893">
        <v>4.9400000000000004</v>
      </c>
      <c r="BC893">
        <v>55</v>
      </c>
      <c r="BD893">
        <v>0.1875</v>
      </c>
      <c r="BE893">
        <v>2.75</v>
      </c>
      <c r="BF893">
        <v>30.375</v>
      </c>
      <c r="BG893">
        <v>1.875</v>
      </c>
      <c r="BH893">
        <v>8.76</v>
      </c>
      <c r="BI893">
        <v>17.309999999999999</v>
      </c>
      <c r="BJ893">
        <v>10</v>
      </c>
      <c r="BL893">
        <v>407.71</v>
      </c>
      <c r="BM893">
        <v>64</v>
      </c>
      <c r="BN893">
        <v>226.48339999999999</v>
      </c>
      <c r="BO893">
        <v>2023</v>
      </c>
      <c r="BP893">
        <v>0</v>
      </c>
      <c r="BQ893">
        <v>45</v>
      </c>
      <c r="BR893">
        <v>45</v>
      </c>
      <c r="BS893">
        <v>45.04</v>
      </c>
      <c r="BT893">
        <v>0</v>
      </c>
      <c r="BV893">
        <v>0</v>
      </c>
      <c r="BW893" t="s">
        <v>655</v>
      </c>
      <c r="BX893">
        <v>0.17</v>
      </c>
      <c r="BY893">
        <v>7.6568009999999997</v>
      </c>
      <c r="BZ893">
        <v>0</v>
      </c>
      <c r="CA893">
        <v>1</v>
      </c>
      <c r="CB893">
        <v>0.6</v>
      </c>
      <c r="CC893" s="3">
        <v>7.1269159999999998E-2</v>
      </c>
      <c r="CD893">
        <v>2.875</v>
      </c>
      <c r="CE893">
        <v>2.5</v>
      </c>
      <c r="CF893">
        <v>18</v>
      </c>
      <c r="CG893">
        <v>6</v>
      </c>
      <c r="CH893">
        <v>0</v>
      </c>
      <c r="CI893">
        <v>45.04</v>
      </c>
      <c r="CJ893">
        <v>418.90019999999998</v>
      </c>
    </row>
    <row r="894" spans="1:88">
      <c r="A894">
        <v>893</v>
      </c>
      <c r="B894" t="s">
        <v>13</v>
      </c>
      <c r="C894" t="s">
        <v>1</v>
      </c>
      <c r="D894" t="s">
        <v>120</v>
      </c>
      <c r="E894" t="s">
        <v>178</v>
      </c>
      <c r="F894" t="s">
        <v>112</v>
      </c>
      <c r="G894" t="s">
        <v>106</v>
      </c>
      <c r="H894" t="s">
        <v>590</v>
      </c>
      <c r="J894">
        <v>2</v>
      </c>
      <c r="K894" t="s">
        <v>108</v>
      </c>
      <c r="L894" t="s">
        <v>127</v>
      </c>
      <c r="M894" t="s">
        <v>179</v>
      </c>
      <c r="N894" t="s">
        <v>180</v>
      </c>
      <c r="O894">
        <v>95</v>
      </c>
      <c r="Q894">
        <v>425</v>
      </c>
      <c r="R894">
        <v>101</v>
      </c>
      <c r="S894">
        <v>4.25</v>
      </c>
      <c r="T894">
        <v>2.649</v>
      </c>
      <c r="U894">
        <v>5.81</v>
      </c>
      <c r="V894">
        <v>1805.1</v>
      </c>
      <c r="W894">
        <v>584</v>
      </c>
      <c r="X894">
        <v>1.3332999999999999</v>
      </c>
      <c r="Y894">
        <v>454</v>
      </c>
      <c r="Z894">
        <v>3.98</v>
      </c>
      <c r="AJ894">
        <v>2</v>
      </c>
      <c r="AK894">
        <v>18</v>
      </c>
      <c r="AM894">
        <v>0</v>
      </c>
      <c r="AO894" t="s">
        <v>517</v>
      </c>
      <c r="AT894">
        <v>38</v>
      </c>
      <c r="AV894">
        <v>57.3</v>
      </c>
      <c r="AW894">
        <v>0</v>
      </c>
      <c r="AX894">
        <v>0</v>
      </c>
      <c r="AY894">
        <v>44.75</v>
      </c>
      <c r="AZ894">
        <v>3.75</v>
      </c>
      <c r="BA894">
        <v>0</v>
      </c>
      <c r="BB894">
        <v>0</v>
      </c>
      <c r="BC894">
        <v>48</v>
      </c>
      <c r="BN894">
        <v>274.63339999999999</v>
      </c>
      <c r="BO894">
        <v>1376</v>
      </c>
      <c r="BP894">
        <v>0</v>
      </c>
      <c r="BQ894">
        <v>32</v>
      </c>
      <c r="BR894">
        <v>32</v>
      </c>
      <c r="BS894">
        <v>32.17</v>
      </c>
      <c r="BT894">
        <v>0</v>
      </c>
      <c r="BV894">
        <v>0</v>
      </c>
      <c r="BW894" t="s">
        <v>655</v>
      </c>
      <c r="BX894">
        <v>0.17</v>
      </c>
      <c r="BY894">
        <v>5.4688999999999997</v>
      </c>
      <c r="BZ894">
        <v>0</v>
      </c>
      <c r="CA894">
        <v>1</v>
      </c>
      <c r="CB894">
        <v>0.6</v>
      </c>
      <c r="CC894" s="3">
        <v>7.1269159999999998E-2</v>
      </c>
      <c r="CD894">
        <v>2.875</v>
      </c>
      <c r="CE894">
        <v>2.5</v>
      </c>
      <c r="CF894">
        <v>18</v>
      </c>
      <c r="CG894">
        <v>6</v>
      </c>
      <c r="CH894">
        <v>0</v>
      </c>
      <c r="CI894">
        <v>32.17</v>
      </c>
      <c r="CJ894">
        <v>361.96449999999999</v>
      </c>
    </row>
    <row r="895" spans="1:88">
      <c r="A895">
        <v>894</v>
      </c>
      <c r="B895" t="s">
        <v>0</v>
      </c>
      <c r="C895" t="s">
        <v>1</v>
      </c>
      <c r="D895" t="s">
        <v>174</v>
      </c>
      <c r="E895" t="s">
        <v>139</v>
      </c>
      <c r="F895" t="s">
        <v>270</v>
      </c>
      <c r="G895" t="s">
        <v>106</v>
      </c>
      <c r="H895" t="s">
        <v>369</v>
      </c>
      <c r="J895">
        <v>2</v>
      </c>
      <c r="K895" t="s">
        <v>146</v>
      </c>
      <c r="L895" t="s">
        <v>158</v>
      </c>
      <c r="M895" t="s">
        <v>385</v>
      </c>
      <c r="N895" t="s">
        <v>177</v>
      </c>
      <c r="O895">
        <v>109</v>
      </c>
      <c r="Q895">
        <v>350</v>
      </c>
      <c r="R895">
        <v>76</v>
      </c>
      <c r="S895">
        <v>4.25</v>
      </c>
      <c r="T895">
        <v>3.024</v>
      </c>
      <c r="U895">
        <v>6.11</v>
      </c>
      <c r="V895">
        <v>1487.96</v>
      </c>
      <c r="W895">
        <v>462</v>
      </c>
      <c r="X895">
        <v>1.3332999999999999</v>
      </c>
      <c r="Y895">
        <v>342</v>
      </c>
      <c r="Z895">
        <v>4.3499999999999996</v>
      </c>
      <c r="AJ895">
        <v>2</v>
      </c>
      <c r="AK895">
        <v>18</v>
      </c>
      <c r="AM895">
        <v>0</v>
      </c>
      <c r="AO895" t="s">
        <v>480</v>
      </c>
      <c r="AT895">
        <v>43</v>
      </c>
      <c r="AV895">
        <v>41.5</v>
      </c>
      <c r="AW895">
        <v>0</v>
      </c>
      <c r="AX895">
        <v>0</v>
      </c>
      <c r="AY895">
        <v>41.625</v>
      </c>
      <c r="AZ895">
        <v>3.75</v>
      </c>
      <c r="BA895">
        <v>0</v>
      </c>
      <c r="BB895">
        <v>0</v>
      </c>
      <c r="BC895">
        <v>42</v>
      </c>
      <c r="BN895">
        <v>197.95</v>
      </c>
      <c r="BO895">
        <v>2648</v>
      </c>
      <c r="BP895">
        <v>0</v>
      </c>
      <c r="BQ895">
        <v>37</v>
      </c>
      <c r="BR895">
        <v>37</v>
      </c>
      <c r="BS895">
        <v>37.04</v>
      </c>
      <c r="BT895">
        <v>0</v>
      </c>
      <c r="BV895">
        <v>0</v>
      </c>
      <c r="BW895" t="s">
        <v>655</v>
      </c>
      <c r="BX895">
        <v>0.17</v>
      </c>
      <c r="BY895">
        <v>6.2968000000000002</v>
      </c>
      <c r="BZ895">
        <v>0</v>
      </c>
      <c r="CA895">
        <v>1</v>
      </c>
      <c r="CB895">
        <v>0.6</v>
      </c>
      <c r="CC895" s="3">
        <v>7.1269159999999998E-2</v>
      </c>
      <c r="CD895">
        <v>2.875</v>
      </c>
      <c r="CE895">
        <v>2.5</v>
      </c>
      <c r="CF895">
        <v>18</v>
      </c>
      <c r="CG895">
        <v>6</v>
      </c>
      <c r="CH895">
        <v>0</v>
      </c>
      <c r="CI895">
        <v>37.04</v>
      </c>
      <c r="CJ895">
        <v>302.25819999999999</v>
      </c>
    </row>
    <row r="896" spans="1:88">
      <c r="A896">
        <v>895</v>
      </c>
      <c r="B896" t="s">
        <v>0</v>
      </c>
      <c r="C896" t="s">
        <v>1</v>
      </c>
      <c r="D896" t="s">
        <v>2</v>
      </c>
      <c r="E896" t="s">
        <v>119</v>
      </c>
      <c r="F896" t="s">
        <v>154</v>
      </c>
      <c r="G896" t="s">
        <v>106</v>
      </c>
      <c r="H896" t="s">
        <v>217</v>
      </c>
      <c r="J896">
        <v>2</v>
      </c>
      <c r="K896" t="s">
        <v>146</v>
      </c>
      <c r="L896" t="s">
        <v>165</v>
      </c>
      <c r="M896" t="s">
        <v>286</v>
      </c>
      <c r="N896" t="s">
        <v>96</v>
      </c>
      <c r="O896">
        <v>128</v>
      </c>
      <c r="Q896">
        <v>353</v>
      </c>
      <c r="R896">
        <v>67</v>
      </c>
      <c r="S896">
        <v>4.25</v>
      </c>
      <c r="T896">
        <v>3.5110000000000001</v>
      </c>
      <c r="U896">
        <v>6.3</v>
      </c>
      <c r="V896">
        <v>1500.5</v>
      </c>
      <c r="W896">
        <v>423</v>
      </c>
      <c r="X896">
        <v>1.3332999999999999</v>
      </c>
      <c r="Y896">
        <v>310</v>
      </c>
      <c r="Z896">
        <v>4.84</v>
      </c>
      <c r="AJ896">
        <v>2</v>
      </c>
      <c r="AK896">
        <v>18</v>
      </c>
      <c r="AM896">
        <v>0</v>
      </c>
      <c r="AO896" t="s">
        <v>218</v>
      </c>
      <c r="AT896">
        <v>50</v>
      </c>
      <c r="AV896">
        <v>36.1</v>
      </c>
      <c r="AW896">
        <v>0</v>
      </c>
      <c r="AX896">
        <v>0</v>
      </c>
      <c r="AY896">
        <v>45.875</v>
      </c>
      <c r="AZ896">
        <v>4.25</v>
      </c>
      <c r="BA896">
        <v>0</v>
      </c>
      <c r="BB896">
        <v>0</v>
      </c>
      <c r="BC896">
        <v>46</v>
      </c>
      <c r="BN896">
        <v>171.2</v>
      </c>
      <c r="BO896">
        <v>3540</v>
      </c>
      <c r="BP896">
        <v>0</v>
      </c>
      <c r="BQ896">
        <v>44</v>
      </c>
      <c r="BR896">
        <v>44</v>
      </c>
      <c r="BS896">
        <v>43.65</v>
      </c>
      <c r="BT896">
        <v>0</v>
      </c>
      <c r="BV896">
        <v>0</v>
      </c>
      <c r="BW896" t="s">
        <v>655</v>
      </c>
      <c r="BX896">
        <v>0.17</v>
      </c>
      <c r="BY896">
        <v>7.4205009999999998</v>
      </c>
      <c r="BZ896">
        <v>0</v>
      </c>
      <c r="CA896">
        <v>1</v>
      </c>
      <c r="CB896">
        <v>0.6</v>
      </c>
      <c r="CC896" s="3">
        <v>7.1269159999999998E-2</v>
      </c>
      <c r="CD896">
        <v>2.875</v>
      </c>
      <c r="CE896">
        <v>2.5</v>
      </c>
      <c r="CF896">
        <v>18</v>
      </c>
      <c r="CG896">
        <v>6</v>
      </c>
      <c r="CH896">
        <v>0</v>
      </c>
      <c r="CI896">
        <v>43.65</v>
      </c>
      <c r="CJ896">
        <v>309.53440000000001</v>
      </c>
    </row>
    <row r="897" spans="1:88">
      <c r="A897">
        <v>896</v>
      </c>
      <c r="B897" t="s">
        <v>0</v>
      </c>
      <c r="C897" t="s">
        <v>1</v>
      </c>
      <c r="D897" t="s">
        <v>399</v>
      </c>
      <c r="E897" t="s">
        <v>176</v>
      </c>
      <c r="F897" t="s">
        <v>406</v>
      </c>
      <c r="G897" t="s">
        <v>106</v>
      </c>
      <c r="H897" t="s">
        <v>227</v>
      </c>
      <c r="J897">
        <v>2</v>
      </c>
      <c r="K897" t="s">
        <v>146</v>
      </c>
      <c r="L897" t="s">
        <v>167</v>
      </c>
      <c r="M897" t="s">
        <v>226</v>
      </c>
      <c r="N897" t="s">
        <v>227</v>
      </c>
      <c r="O897">
        <v>113</v>
      </c>
      <c r="Q897">
        <v>346</v>
      </c>
      <c r="R897">
        <v>73</v>
      </c>
      <c r="S897">
        <v>4.25</v>
      </c>
      <c r="T897">
        <v>3.1280000000000001</v>
      </c>
      <c r="U897">
        <v>6.18</v>
      </c>
      <c r="V897">
        <v>1471.22</v>
      </c>
      <c r="W897">
        <v>450</v>
      </c>
      <c r="X897">
        <v>1.3332999999999999</v>
      </c>
      <c r="Y897">
        <v>330</v>
      </c>
      <c r="Z897">
        <v>4.46</v>
      </c>
      <c r="AJ897">
        <v>2</v>
      </c>
      <c r="AK897">
        <v>18</v>
      </c>
      <c r="AM897">
        <v>0</v>
      </c>
      <c r="AO897" t="s">
        <v>129</v>
      </c>
      <c r="AT897">
        <v>45</v>
      </c>
      <c r="AV897">
        <v>39.700000000000003</v>
      </c>
      <c r="AW897">
        <v>0</v>
      </c>
      <c r="AX897">
        <v>0</v>
      </c>
      <c r="AY897">
        <v>43.125</v>
      </c>
      <c r="AZ897">
        <v>3.875</v>
      </c>
      <c r="BA897">
        <v>0</v>
      </c>
      <c r="BB897">
        <v>0</v>
      </c>
      <c r="BC897">
        <v>44</v>
      </c>
      <c r="BN897">
        <v>189.0334</v>
      </c>
      <c r="BO897">
        <v>2904</v>
      </c>
      <c r="BP897">
        <v>0</v>
      </c>
      <c r="BQ897">
        <v>38</v>
      </c>
      <c r="BR897">
        <v>38</v>
      </c>
      <c r="BS897">
        <v>38.43</v>
      </c>
      <c r="BT897">
        <v>0</v>
      </c>
      <c r="BV897">
        <v>0</v>
      </c>
      <c r="BW897" t="s">
        <v>655</v>
      </c>
      <c r="BX897">
        <v>0.17</v>
      </c>
      <c r="BY897">
        <v>6.5331000000000001</v>
      </c>
      <c r="BZ897">
        <v>0</v>
      </c>
      <c r="CA897">
        <v>1</v>
      </c>
      <c r="CB897">
        <v>0.6</v>
      </c>
      <c r="CC897" s="3">
        <v>7.1269159999999998E-2</v>
      </c>
      <c r="CD897">
        <v>2.875</v>
      </c>
      <c r="CE897">
        <v>2.5</v>
      </c>
      <c r="CF897">
        <v>18</v>
      </c>
      <c r="CG897">
        <v>6</v>
      </c>
      <c r="CH897">
        <v>0</v>
      </c>
      <c r="CI897">
        <v>38.43</v>
      </c>
      <c r="CJ897">
        <v>299.9067</v>
      </c>
    </row>
    <row r="898" spans="1:88">
      <c r="A898">
        <v>897</v>
      </c>
      <c r="B898" t="s">
        <v>0</v>
      </c>
      <c r="C898" t="s">
        <v>1</v>
      </c>
      <c r="D898" t="s">
        <v>565</v>
      </c>
      <c r="E898" t="s">
        <v>95</v>
      </c>
      <c r="F898" t="s">
        <v>566</v>
      </c>
      <c r="G898" t="s">
        <v>15</v>
      </c>
      <c r="H898" t="s">
        <v>565</v>
      </c>
      <c r="J898">
        <v>2</v>
      </c>
      <c r="K898" t="s">
        <v>9</v>
      </c>
      <c r="L898" t="s">
        <v>553</v>
      </c>
      <c r="M898" t="s">
        <v>582</v>
      </c>
      <c r="N898" t="s">
        <v>94</v>
      </c>
      <c r="O898">
        <v>229</v>
      </c>
      <c r="Q898">
        <v>1372</v>
      </c>
      <c r="R898">
        <v>155</v>
      </c>
      <c r="S898">
        <v>4.25</v>
      </c>
      <c r="T898">
        <v>5.7939999999999996</v>
      </c>
      <c r="U898">
        <v>7.72</v>
      </c>
      <c r="V898">
        <v>5831.8</v>
      </c>
      <c r="W898">
        <v>1200</v>
      </c>
      <c r="X898">
        <v>1.5</v>
      </c>
      <c r="Y898">
        <v>800</v>
      </c>
      <c r="Z898">
        <v>7.29</v>
      </c>
      <c r="AJ898">
        <v>2</v>
      </c>
      <c r="AK898">
        <v>18</v>
      </c>
      <c r="AM898">
        <v>0</v>
      </c>
      <c r="AO898" t="s">
        <v>567</v>
      </c>
      <c r="AT898">
        <v>85</v>
      </c>
      <c r="AV898">
        <v>81.900000000000006</v>
      </c>
      <c r="AW898" t="s">
        <v>6</v>
      </c>
      <c r="AX898" t="s">
        <v>6</v>
      </c>
      <c r="AY898" t="s">
        <v>6</v>
      </c>
      <c r="AZ898" t="s">
        <v>6</v>
      </c>
      <c r="BA898" t="s">
        <v>6</v>
      </c>
      <c r="BB898" t="s">
        <v>6</v>
      </c>
      <c r="BC898" t="s">
        <v>6</v>
      </c>
      <c r="BD898" t="s">
        <v>6</v>
      </c>
      <c r="BE898" t="s">
        <v>6</v>
      </c>
      <c r="BF898" t="s">
        <v>6</v>
      </c>
      <c r="BG898" t="s">
        <v>6</v>
      </c>
      <c r="BH898" t="s">
        <v>6</v>
      </c>
      <c r="BI898" t="s">
        <v>6</v>
      </c>
      <c r="BJ898" t="s">
        <v>6</v>
      </c>
      <c r="BN898">
        <v>700.87080000000003</v>
      </c>
      <c r="BO898">
        <v>2227</v>
      </c>
      <c r="BP898">
        <v>0</v>
      </c>
      <c r="BQ898">
        <v>79</v>
      </c>
      <c r="BR898">
        <v>79</v>
      </c>
      <c r="BS898">
        <v>78.78</v>
      </c>
      <c r="BT898">
        <v>0</v>
      </c>
      <c r="BV898">
        <v>6</v>
      </c>
      <c r="BW898" t="s">
        <v>655</v>
      </c>
      <c r="BX898">
        <v>0.27933330000000001</v>
      </c>
      <c r="BY898">
        <v>22.005880000000001</v>
      </c>
      <c r="BZ898">
        <v>0</v>
      </c>
      <c r="CA898">
        <v>1</v>
      </c>
      <c r="CB898">
        <v>0.6</v>
      </c>
      <c r="CC898" s="3">
        <v>7.1269159999999998E-2</v>
      </c>
      <c r="CD898">
        <v>2.875</v>
      </c>
      <c r="CE898">
        <v>2.5</v>
      </c>
      <c r="CF898">
        <v>18</v>
      </c>
      <c r="CG898">
        <v>6</v>
      </c>
      <c r="CH898">
        <v>0</v>
      </c>
      <c r="CI898">
        <v>78.78</v>
      </c>
      <c r="CJ898">
        <v>1268.194</v>
      </c>
    </row>
    <row r="899" spans="1:88">
      <c r="A899">
        <v>898</v>
      </c>
      <c r="B899" t="s">
        <v>13</v>
      </c>
      <c r="C899" t="s">
        <v>1</v>
      </c>
      <c r="D899" t="s">
        <v>328</v>
      </c>
      <c r="E899" t="s">
        <v>96</v>
      </c>
      <c r="F899" t="s">
        <v>329</v>
      </c>
      <c r="G899" t="s">
        <v>15</v>
      </c>
      <c r="H899" t="s">
        <v>328</v>
      </c>
      <c r="J899">
        <v>2</v>
      </c>
      <c r="K899" t="s">
        <v>9</v>
      </c>
      <c r="L899" t="s">
        <v>293</v>
      </c>
      <c r="M899" t="s">
        <v>100</v>
      </c>
      <c r="N899" t="s">
        <v>101</v>
      </c>
      <c r="O899">
        <v>131</v>
      </c>
      <c r="Q899">
        <v>878</v>
      </c>
      <c r="R899">
        <v>154</v>
      </c>
      <c r="S899">
        <v>4.25</v>
      </c>
      <c r="T899">
        <v>3.5859999999999999</v>
      </c>
      <c r="U899">
        <v>6.37</v>
      </c>
      <c r="V899">
        <v>3730.39</v>
      </c>
      <c r="W899">
        <v>980</v>
      </c>
      <c r="X899">
        <v>1.3332999999999999</v>
      </c>
      <c r="Y899">
        <v>760</v>
      </c>
      <c r="Z899">
        <v>4.91</v>
      </c>
      <c r="AJ899">
        <v>2</v>
      </c>
      <c r="AK899">
        <v>18</v>
      </c>
      <c r="AM899">
        <v>0</v>
      </c>
      <c r="AO899" t="s">
        <v>331</v>
      </c>
      <c r="AT899">
        <v>51</v>
      </c>
      <c r="AV899">
        <v>88.5</v>
      </c>
      <c r="AW899" t="s">
        <v>6</v>
      </c>
      <c r="AX899" t="s">
        <v>6</v>
      </c>
      <c r="AY899" t="s">
        <v>6</v>
      </c>
      <c r="AZ899" t="s">
        <v>6</v>
      </c>
      <c r="BA899" t="s">
        <v>6</v>
      </c>
      <c r="BB899" t="s">
        <v>6</v>
      </c>
      <c r="BC899" t="s">
        <v>6</v>
      </c>
      <c r="BD899" t="s">
        <v>6</v>
      </c>
      <c r="BE899" t="s">
        <v>6</v>
      </c>
      <c r="BF899" t="s">
        <v>6</v>
      </c>
      <c r="BG899" t="s">
        <v>6</v>
      </c>
      <c r="BH899" t="s">
        <v>6</v>
      </c>
      <c r="BI899" t="s">
        <v>6</v>
      </c>
      <c r="BJ899" t="s">
        <v>6</v>
      </c>
      <c r="BN899">
        <v>757.69809999999995</v>
      </c>
      <c r="BO899">
        <v>1905</v>
      </c>
      <c r="BP899">
        <v>0</v>
      </c>
      <c r="BQ899">
        <v>45</v>
      </c>
      <c r="BR899">
        <v>45</v>
      </c>
      <c r="BS899">
        <v>44.69</v>
      </c>
      <c r="BT899">
        <v>0</v>
      </c>
      <c r="BV899">
        <v>6</v>
      </c>
      <c r="BW899" t="s">
        <v>655</v>
      </c>
      <c r="BX899">
        <v>0.27933340000000001</v>
      </c>
      <c r="BY899">
        <v>12.483409999999999</v>
      </c>
      <c r="BZ899">
        <v>0</v>
      </c>
      <c r="CA899">
        <v>1</v>
      </c>
      <c r="CB899">
        <v>0.6</v>
      </c>
      <c r="CC899" s="3">
        <v>7.1269159999999998E-2</v>
      </c>
      <c r="CD899">
        <v>2.875</v>
      </c>
      <c r="CE899">
        <v>2.5</v>
      </c>
      <c r="CF899">
        <v>18</v>
      </c>
      <c r="CG899">
        <v>6</v>
      </c>
      <c r="CH899">
        <v>0</v>
      </c>
      <c r="CI899">
        <v>44.69</v>
      </c>
      <c r="CJ899">
        <v>776.74630000000002</v>
      </c>
    </row>
    <row r="900" spans="1:88">
      <c r="A900">
        <v>899</v>
      </c>
      <c r="B900" t="s">
        <v>13</v>
      </c>
      <c r="C900" t="s">
        <v>1</v>
      </c>
      <c r="D900" t="s">
        <v>621</v>
      </c>
      <c r="E900" t="s">
        <v>208</v>
      </c>
      <c r="F900" t="s">
        <v>549</v>
      </c>
      <c r="G900" t="s">
        <v>15</v>
      </c>
      <c r="H900" t="s">
        <v>622</v>
      </c>
      <c r="J900">
        <v>2</v>
      </c>
      <c r="K900" t="s">
        <v>108</v>
      </c>
      <c r="L900" t="s">
        <v>95</v>
      </c>
      <c r="M900" t="s">
        <v>396</v>
      </c>
      <c r="N900" t="s">
        <v>397</v>
      </c>
      <c r="O900">
        <v>209</v>
      </c>
      <c r="Q900">
        <v>1223</v>
      </c>
      <c r="R900">
        <v>152</v>
      </c>
      <c r="S900">
        <v>4.25</v>
      </c>
      <c r="T900">
        <v>5.375</v>
      </c>
      <c r="U900">
        <v>7.42</v>
      </c>
      <c r="V900">
        <v>5197.45</v>
      </c>
      <c r="W900">
        <v>1128</v>
      </c>
      <c r="X900">
        <v>1.5</v>
      </c>
      <c r="Y900">
        <v>757</v>
      </c>
      <c r="Z900">
        <v>6.87</v>
      </c>
      <c r="AJ900">
        <v>2</v>
      </c>
      <c r="AK900">
        <v>18</v>
      </c>
      <c r="AM900">
        <v>0</v>
      </c>
      <c r="AO900" t="s">
        <v>623</v>
      </c>
      <c r="AT900">
        <v>78</v>
      </c>
      <c r="AV900">
        <v>80.099999999999994</v>
      </c>
      <c r="AW900" t="s">
        <v>6</v>
      </c>
      <c r="AX900" t="s">
        <v>6</v>
      </c>
      <c r="AY900" t="s">
        <v>6</v>
      </c>
      <c r="AZ900" t="s">
        <v>6</v>
      </c>
      <c r="BA900" t="s">
        <v>6</v>
      </c>
      <c r="BB900" t="s">
        <v>6</v>
      </c>
      <c r="BC900" t="s">
        <v>6</v>
      </c>
      <c r="BD900" t="s">
        <v>6</v>
      </c>
      <c r="BE900" t="s">
        <v>6</v>
      </c>
      <c r="BF900" t="s">
        <v>6</v>
      </c>
      <c r="BG900" t="s">
        <v>6</v>
      </c>
      <c r="BH900" t="s">
        <v>6</v>
      </c>
      <c r="BI900" t="s">
        <v>6</v>
      </c>
      <c r="BJ900" t="s">
        <v>6</v>
      </c>
      <c r="BN900">
        <v>685.08529999999996</v>
      </c>
      <c r="BO900">
        <v>2331</v>
      </c>
      <c r="BP900">
        <v>0</v>
      </c>
      <c r="BQ900">
        <v>72</v>
      </c>
      <c r="BR900">
        <v>72</v>
      </c>
      <c r="BS900">
        <v>71.819999999999993</v>
      </c>
      <c r="BT900">
        <v>0</v>
      </c>
      <c r="BV900">
        <v>0</v>
      </c>
      <c r="BW900" t="s">
        <v>655</v>
      </c>
      <c r="BX900">
        <v>0.17</v>
      </c>
      <c r="BY900">
        <v>12.2094</v>
      </c>
      <c r="BZ900">
        <v>0</v>
      </c>
      <c r="CA900">
        <v>1</v>
      </c>
      <c r="CB900">
        <v>0.6</v>
      </c>
      <c r="CC900" s="3">
        <v>7.1269159999999998E-2</v>
      </c>
      <c r="CD900">
        <v>2.875</v>
      </c>
      <c r="CE900">
        <v>2.5</v>
      </c>
      <c r="CF900">
        <v>18</v>
      </c>
      <c r="CG900">
        <v>6</v>
      </c>
      <c r="CH900">
        <v>0</v>
      </c>
      <c r="CI900">
        <v>71.819999999999993</v>
      </c>
      <c r="CJ900">
        <v>1130.56</v>
      </c>
    </row>
    <row r="901" spans="1:88">
      <c r="A901">
        <v>900</v>
      </c>
      <c r="B901" t="s">
        <v>0</v>
      </c>
      <c r="C901" t="s">
        <v>1</v>
      </c>
      <c r="D901" t="s">
        <v>297</v>
      </c>
      <c r="E901" t="s">
        <v>143</v>
      </c>
      <c r="F901" t="s">
        <v>292</v>
      </c>
      <c r="G901" t="s">
        <v>106</v>
      </c>
      <c r="H901" t="s">
        <v>474</v>
      </c>
      <c r="J901">
        <v>2</v>
      </c>
      <c r="K901" t="s">
        <v>108</v>
      </c>
      <c r="L901" t="s">
        <v>297</v>
      </c>
      <c r="M901" t="s">
        <v>206</v>
      </c>
      <c r="N901" t="s">
        <v>131</v>
      </c>
      <c r="O901">
        <v>155</v>
      </c>
      <c r="Q901">
        <v>705</v>
      </c>
      <c r="R901">
        <v>106</v>
      </c>
      <c r="S901">
        <v>4.25</v>
      </c>
      <c r="T901">
        <v>4.1660000000000004</v>
      </c>
      <c r="U901">
        <v>6.78</v>
      </c>
      <c r="V901">
        <v>2994.25</v>
      </c>
      <c r="W901">
        <v>721</v>
      </c>
      <c r="X901">
        <v>1.3332999999999999</v>
      </c>
      <c r="Y901">
        <v>545</v>
      </c>
      <c r="Z901">
        <v>5.49</v>
      </c>
      <c r="AJ901">
        <v>2</v>
      </c>
      <c r="AK901">
        <v>18</v>
      </c>
      <c r="AM901">
        <v>0</v>
      </c>
      <c r="AO901" t="s">
        <v>390</v>
      </c>
      <c r="AT901">
        <v>59</v>
      </c>
      <c r="AV901">
        <v>60.9</v>
      </c>
      <c r="AW901">
        <v>0.4375</v>
      </c>
      <c r="AX901">
        <v>3.75</v>
      </c>
      <c r="AY901">
        <v>47.375</v>
      </c>
      <c r="AZ901">
        <v>4.75</v>
      </c>
      <c r="BA901">
        <v>299.97000000000003</v>
      </c>
      <c r="BB901">
        <v>5.48</v>
      </c>
      <c r="BC901">
        <v>48</v>
      </c>
      <c r="BD901">
        <v>0.4375</v>
      </c>
      <c r="BE901">
        <v>3.75</v>
      </c>
      <c r="BF901">
        <v>58</v>
      </c>
      <c r="BG901">
        <v>4.75</v>
      </c>
      <c r="BH901">
        <v>245.43</v>
      </c>
      <c r="BI901">
        <v>6.7</v>
      </c>
      <c r="BJ901">
        <v>59</v>
      </c>
      <c r="BL901">
        <v>545.4</v>
      </c>
      <c r="BM901">
        <v>106</v>
      </c>
      <c r="BN901">
        <v>292.4667</v>
      </c>
      <c r="BO901">
        <v>1213</v>
      </c>
      <c r="BP901">
        <v>0</v>
      </c>
      <c r="BQ901">
        <v>53</v>
      </c>
      <c r="BR901">
        <v>53</v>
      </c>
      <c r="BS901">
        <v>53.04</v>
      </c>
      <c r="BT901">
        <v>0</v>
      </c>
      <c r="BV901">
        <v>0</v>
      </c>
      <c r="BW901" t="s">
        <v>655</v>
      </c>
      <c r="BX901">
        <v>0.17</v>
      </c>
      <c r="BY901">
        <v>9.0167999999999999</v>
      </c>
      <c r="BZ901">
        <v>0</v>
      </c>
      <c r="CA901">
        <v>1</v>
      </c>
      <c r="CB901">
        <v>0.6</v>
      </c>
      <c r="CC901" s="3">
        <v>7.1269159999999998E-2</v>
      </c>
      <c r="CD901">
        <v>2.875</v>
      </c>
      <c r="CE901">
        <v>2.5</v>
      </c>
      <c r="CF901">
        <v>18</v>
      </c>
      <c r="CG901">
        <v>6</v>
      </c>
      <c r="CH901">
        <v>0</v>
      </c>
      <c r="CI901">
        <v>53.04</v>
      </c>
      <c r="CJ901">
        <v>634.58699999999999</v>
      </c>
    </row>
    <row r="902" spans="1:88">
      <c r="A902">
        <v>901</v>
      </c>
      <c r="B902" t="s">
        <v>0</v>
      </c>
      <c r="C902" t="s">
        <v>1</v>
      </c>
      <c r="D902" t="s">
        <v>127</v>
      </c>
      <c r="E902" t="s">
        <v>195</v>
      </c>
      <c r="F902" t="s">
        <v>129</v>
      </c>
      <c r="G902" t="s">
        <v>106</v>
      </c>
      <c r="H902" t="s">
        <v>130</v>
      </c>
      <c r="J902">
        <v>2</v>
      </c>
      <c r="K902" t="s">
        <v>146</v>
      </c>
      <c r="L902" t="s">
        <v>476</v>
      </c>
      <c r="M902" t="s">
        <v>256</v>
      </c>
      <c r="N902" t="s">
        <v>99</v>
      </c>
      <c r="O902">
        <v>146</v>
      </c>
      <c r="Q902">
        <v>430</v>
      </c>
      <c r="R902">
        <v>72</v>
      </c>
      <c r="S902">
        <v>4.25</v>
      </c>
      <c r="T902">
        <v>3.952</v>
      </c>
      <c r="U902">
        <v>6.63</v>
      </c>
      <c r="V902">
        <v>1826.99</v>
      </c>
      <c r="W902">
        <v>475</v>
      </c>
      <c r="X902">
        <v>1.3332999999999999</v>
      </c>
      <c r="Y902">
        <v>346</v>
      </c>
      <c r="Z902">
        <v>5.28</v>
      </c>
      <c r="AJ902">
        <v>2</v>
      </c>
      <c r="AK902">
        <v>18</v>
      </c>
      <c r="AM902">
        <v>0</v>
      </c>
      <c r="AO902" t="s">
        <v>134</v>
      </c>
      <c r="AT902">
        <v>56</v>
      </c>
      <c r="AV902">
        <v>39</v>
      </c>
      <c r="AW902">
        <v>0</v>
      </c>
      <c r="AX902">
        <v>0</v>
      </c>
      <c r="AY902">
        <v>58.625</v>
      </c>
      <c r="AZ902">
        <v>5</v>
      </c>
      <c r="BA902">
        <v>0</v>
      </c>
      <c r="BB902">
        <v>0</v>
      </c>
      <c r="BC902">
        <v>63</v>
      </c>
      <c r="BN902">
        <v>185.4667</v>
      </c>
      <c r="BO902">
        <v>3017</v>
      </c>
      <c r="BP902">
        <v>0</v>
      </c>
      <c r="BQ902">
        <v>50</v>
      </c>
      <c r="BR902">
        <v>50</v>
      </c>
      <c r="BS902">
        <v>49.91</v>
      </c>
      <c r="BT902">
        <v>0</v>
      </c>
      <c r="BV902">
        <v>0</v>
      </c>
      <c r="BW902" t="s">
        <v>655</v>
      </c>
      <c r="BX902">
        <v>0.17</v>
      </c>
      <c r="BY902">
        <v>8.4847000000000001</v>
      </c>
      <c r="BZ902">
        <v>0</v>
      </c>
      <c r="CA902">
        <v>1</v>
      </c>
      <c r="CB902">
        <v>0.6</v>
      </c>
      <c r="CC902" s="3">
        <v>7.1269159999999998E-2</v>
      </c>
      <c r="CD902">
        <v>2.875</v>
      </c>
      <c r="CE902">
        <v>2.5</v>
      </c>
      <c r="CF902">
        <v>18</v>
      </c>
      <c r="CG902">
        <v>6</v>
      </c>
      <c r="CH902">
        <v>0</v>
      </c>
      <c r="CI902">
        <v>49.91</v>
      </c>
      <c r="CJ902">
        <v>382.38220000000001</v>
      </c>
    </row>
    <row r="903" spans="1:88">
      <c r="A903">
        <v>902</v>
      </c>
      <c r="B903" t="s">
        <v>0</v>
      </c>
      <c r="C903" t="s">
        <v>1</v>
      </c>
      <c r="D903" t="s">
        <v>143</v>
      </c>
      <c r="E903" t="s">
        <v>233</v>
      </c>
      <c r="F903" t="s">
        <v>144</v>
      </c>
      <c r="G903" t="s">
        <v>106</v>
      </c>
      <c r="H903" t="s">
        <v>145</v>
      </c>
      <c r="J903">
        <v>2</v>
      </c>
      <c r="K903" t="s">
        <v>146</v>
      </c>
      <c r="L903" t="s">
        <v>251</v>
      </c>
      <c r="M903" t="s">
        <v>236</v>
      </c>
      <c r="N903" t="s">
        <v>272</v>
      </c>
      <c r="O903">
        <v>157</v>
      </c>
      <c r="Q903">
        <v>627</v>
      </c>
      <c r="R903">
        <v>95</v>
      </c>
      <c r="S903">
        <v>4.25</v>
      </c>
      <c r="T903">
        <v>4.2130000000000001</v>
      </c>
      <c r="U903">
        <v>6.82</v>
      </c>
      <c r="V903">
        <v>2666.83</v>
      </c>
      <c r="W903">
        <v>645</v>
      </c>
      <c r="X903">
        <v>1.3332999999999999</v>
      </c>
      <c r="Y903">
        <v>481</v>
      </c>
      <c r="Z903">
        <v>5.54</v>
      </c>
      <c r="AJ903">
        <v>2</v>
      </c>
      <c r="AK903">
        <v>18</v>
      </c>
      <c r="AM903">
        <v>0</v>
      </c>
      <c r="AO903" t="s">
        <v>149</v>
      </c>
      <c r="AT903">
        <v>60</v>
      </c>
      <c r="AV903">
        <v>53.5</v>
      </c>
      <c r="AW903">
        <v>0.40625</v>
      </c>
      <c r="AX903">
        <v>3.75</v>
      </c>
      <c r="AY903">
        <v>40.375</v>
      </c>
      <c r="AZ903">
        <v>4.5</v>
      </c>
      <c r="BA903">
        <v>240.68</v>
      </c>
      <c r="BB903">
        <v>5.5</v>
      </c>
      <c r="BC903">
        <v>38</v>
      </c>
      <c r="BD903">
        <v>0.40625</v>
      </c>
      <c r="BE903">
        <v>3.75</v>
      </c>
      <c r="BF903">
        <v>40.375</v>
      </c>
      <c r="BG903">
        <v>4.5</v>
      </c>
      <c r="BH903">
        <v>240.68</v>
      </c>
      <c r="BI903">
        <v>5.5</v>
      </c>
      <c r="BJ903">
        <v>38</v>
      </c>
      <c r="BL903">
        <v>481.36</v>
      </c>
      <c r="BM903">
        <v>76</v>
      </c>
      <c r="BN903">
        <v>256.80009999999999</v>
      </c>
      <c r="BO903">
        <v>1574</v>
      </c>
      <c r="BP903">
        <v>0</v>
      </c>
      <c r="BQ903">
        <v>54</v>
      </c>
      <c r="BR903">
        <v>54</v>
      </c>
      <c r="BS903">
        <v>53.73</v>
      </c>
      <c r="BT903">
        <v>0</v>
      </c>
      <c r="BV903">
        <v>0</v>
      </c>
      <c r="BW903" t="s">
        <v>655</v>
      </c>
      <c r="BX903">
        <v>0.17</v>
      </c>
      <c r="BY903">
        <v>9.1341000000000001</v>
      </c>
      <c r="BZ903">
        <v>0</v>
      </c>
      <c r="CA903">
        <v>1</v>
      </c>
      <c r="CB903">
        <v>0.6</v>
      </c>
      <c r="CC903" s="3">
        <v>7.1269159999999998E-2</v>
      </c>
      <c r="CD903">
        <v>2.875</v>
      </c>
      <c r="CE903">
        <v>2.5</v>
      </c>
      <c r="CF903">
        <v>18</v>
      </c>
      <c r="CG903">
        <v>6</v>
      </c>
      <c r="CH903">
        <v>0</v>
      </c>
      <c r="CI903">
        <v>53.73</v>
      </c>
      <c r="CJ903">
        <v>564.82050000000004</v>
      </c>
    </row>
    <row r="904" spans="1:88">
      <c r="A904">
        <v>903</v>
      </c>
      <c r="B904" t="s">
        <v>0</v>
      </c>
      <c r="C904" t="s">
        <v>1</v>
      </c>
      <c r="D904" t="s">
        <v>530</v>
      </c>
      <c r="E904" t="s">
        <v>346</v>
      </c>
      <c r="F904" t="s">
        <v>531</v>
      </c>
      <c r="G904" t="s">
        <v>106</v>
      </c>
      <c r="H904" t="s">
        <v>491</v>
      </c>
      <c r="J904">
        <v>2</v>
      </c>
      <c r="K904" t="s">
        <v>146</v>
      </c>
      <c r="L904" t="s">
        <v>177</v>
      </c>
      <c r="M904" t="s">
        <v>407</v>
      </c>
      <c r="N904" t="s">
        <v>178</v>
      </c>
      <c r="O904">
        <v>92</v>
      </c>
      <c r="Q904">
        <v>110</v>
      </c>
      <c r="R904">
        <v>28</v>
      </c>
      <c r="S904">
        <v>4.25</v>
      </c>
      <c r="T904">
        <v>2.5670000000000002</v>
      </c>
      <c r="U904">
        <v>5.73</v>
      </c>
      <c r="V904">
        <v>466.81</v>
      </c>
      <c r="W904">
        <v>162</v>
      </c>
      <c r="X904">
        <v>1.3332999999999999</v>
      </c>
      <c r="Y904">
        <v>120</v>
      </c>
      <c r="Z904">
        <v>3.9</v>
      </c>
      <c r="AJ904">
        <v>2</v>
      </c>
      <c r="AK904">
        <v>18</v>
      </c>
      <c r="AM904">
        <v>0</v>
      </c>
      <c r="AO904" t="s">
        <v>492</v>
      </c>
      <c r="AT904">
        <v>37</v>
      </c>
      <c r="AV904">
        <v>14.7</v>
      </c>
      <c r="AW904">
        <v>0</v>
      </c>
      <c r="AX904">
        <v>0</v>
      </c>
      <c r="AY904">
        <v>21.25</v>
      </c>
      <c r="AZ904">
        <v>2.5</v>
      </c>
      <c r="BA904">
        <v>0</v>
      </c>
      <c r="BB904">
        <v>0</v>
      </c>
      <c r="BC904">
        <v>16</v>
      </c>
      <c r="BN904">
        <v>65.983350000000002</v>
      </c>
      <c r="BO904">
        <v>23834</v>
      </c>
      <c r="BP904">
        <v>0</v>
      </c>
      <c r="BQ904">
        <v>31</v>
      </c>
      <c r="BR904">
        <v>31</v>
      </c>
      <c r="BS904">
        <v>31.13</v>
      </c>
      <c r="BT904">
        <v>0</v>
      </c>
      <c r="BV904">
        <v>0</v>
      </c>
      <c r="BW904" t="s">
        <v>655</v>
      </c>
      <c r="BX904">
        <v>0.17</v>
      </c>
      <c r="BY904">
        <v>5.2920999999999996</v>
      </c>
      <c r="BZ904">
        <v>0</v>
      </c>
      <c r="CA904">
        <v>1</v>
      </c>
      <c r="CB904">
        <v>0.6</v>
      </c>
      <c r="CC904" s="3">
        <v>7.1269159999999998E-2</v>
      </c>
      <c r="CD904">
        <v>2.875</v>
      </c>
      <c r="CE904">
        <v>2.5</v>
      </c>
      <c r="CF904">
        <v>18</v>
      </c>
      <c r="CG904">
        <v>6</v>
      </c>
      <c r="CH904">
        <v>0</v>
      </c>
      <c r="CI904">
        <v>31.13</v>
      </c>
      <c r="CJ904">
        <v>89.853639999999999</v>
      </c>
    </row>
    <row r="905" spans="1:88">
      <c r="A905">
        <v>904</v>
      </c>
      <c r="B905" t="s">
        <v>13</v>
      </c>
      <c r="C905" t="s">
        <v>1</v>
      </c>
      <c r="D905" t="s">
        <v>264</v>
      </c>
      <c r="E905" t="s">
        <v>3</v>
      </c>
      <c r="F905" t="s">
        <v>427</v>
      </c>
      <c r="G905" t="s">
        <v>15</v>
      </c>
      <c r="H905" t="s">
        <v>511</v>
      </c>
      <c r="J905">
        <v>2</v>
      </c>
      <c r="K905" t="s">
        <v>108</v>
      </c>
      <c r="L905" t="s">
        <v>363</v>
      </c>
      <c r="M905" t="s">
        <v>383</v>
      </c>
      <c r="N905" t="s">
        <v>119</v>
      </c>
      <c r="O905">
        <v>125</v>
      </c>
      <c r="Q905">
        <v>707</v>
      </c>
      <c r="R905">
        <v>130</v>
      </c>
      <c r="S905">
        <v>4.25</v>
      </c>
      <c r="T905">
        <v>3.4350000000000001</v>
      </c>
      <c r="U905">
        <v>6.26</v>
      </c>
      <c r="V905">
        <v>3004.83</v>
      </c>
      <c r="W905">
        <v>813</v>
      </c>
      <c r="X905">
        <v>1.3332999999999999</v>
      </c>
      <c r="Y905">
        <v>631</v>
      </c>
      <c r="Z905">
        <v>4.76</v>
      </c>
      <c r="AJ905">
        <v>2</v>
      </c>
      <c r="AK905">
        <v>18</v>
      </c>
      <c r="AM905">
        <v>0</v>
      </c>
      <c r="AO905" t="s">
        <v>428</v>
      </c>
      <c r="AT905">
        <v>49</v>
      </c>
      <c r="AV905">
        <v>74.7</v>
      </c>
      <c r="AW905">
        <v>0.5</v>
      </c>
      <c r="AX905">
        <v>5.625</v>
      </c>
      <c r="AY905">
        <v>43.375</v>
      </c>
      <c r="AZ905">
        <v>4.75</v>
      </c>
      <c r="BA905">
        <v>414.03</v>
      </c>
      <c r="BB905">
        <v>5.62</v>
      </c>
      <c r="BC905">
        <v>78</v>
      </c>
      <c r="BD905">
        <v>0.375</v>
      </c>
      <c r="BE905">
        <v>3.75</v>
      </c>
      <c r="BF905">
        <v>29.75</v>
      </c>
      <c r="BG905">
        <v>3.625</v>
      </c>
      <c r="BH905">
        <v>217.23</v>
      </c>
      <c r="BI905">
        <v>4.9400000000000004</v>
      </c>
      <c r="BJ905">
        <v>26</v>
      </c>
      <c r="BL905">
        <v>631.26</v>
      </c>
      <c r="BM905">
        <v>103</v>
      </c>
      <c r="BN905">
        <v>637.72929999999997</v>
      </c>
      <c r="BO905">
        <v>2690</v>
      </c>
      <c r="BP905">
        <v>0</v>
      </c>
      <c r="BQ905">
        <v>43</v>
      </c>
      <c r="BR905">
        <v>43</v>
      </c>
      <c r="BS905">
        <v>42.6</v>
      </c>
      <c r="BT905">
        <v>0</v>
      </c>
      <c r="BV905">
        <v>0</v>
      </c>
      <c r="BW905" t="s">
        <v>655</v>
      </c>
      <c r="BX905">
        <v>0.17</v>
      </c>
      <c r="BY905">
        <v>7.242</v>
      </c>
      <c r="BZ905">
        <v>0</v>
      </c>
      <c r="CA905">
        <v>1</v>
      </c>
      <c r="CB905">
        <v>0.6</v>
      </c>
      <c r="CC905" s="3">
        <v>7.1269159999999998E-2</v>
      </c>
      <c r="CD905">
        <v>2.875</v>
      </c>
      <c r="CE905">
        <v>2.5</v>
      </c>
      <c r="CF905">
        <v>18</v>
      </c>
      <c r="CG905">
        <v>6</v>
      </c>
      <c r="CH905">
        <v>0</v>
      </c>
      <c r="CI905">
        <v>42.6</v>
      </c>
      <c r="CJ905">
        <v>625.05010000000004</v>
      </c>
    </row>
    <row r="906" spans="1:88">
      <c r="A906">
        <v>905</v>
      </c>
      <c r="B906" t="s">
        <v>13</v>
      </c>
      <c r="C906" t="s">
        <v>1</v>
      </c>
      <c r="D906" t="s">
        <v>119</v>
      </c>
      <c r="E906" t="s">
        <v>122</v>
      </c>
      <c r="F906" t="s">
        <v>121</v>
      </c>
      <c r="G906" t="s">
        <v>106</v>
      </c>
      <c r="H906" t="s">
        <v>122</v>
      </c>
      <c r="J906">
        <v>2</v>
      </c>
      <c r="K906" t="s">
        <v>146</v>
      </c>
      <c r="L906" t="s">
        <v>234</v>
      </c>
      <c r="M906" t="s">
        <v>126</v>
      </c>
      <c r="N906" t="s">
        <v>162</v>
      </c>
      <c r="O906">
        <v>127</v>
      </c>
      <c r="Q906">
        <v>423</v>
      </c>
      <c r="R906">
        <v>79</v>
      </c>
      <c r="S906">
        <v>4.25</v>
      </c>
      <c r="T906">
        <v>3.4860000000000002</v>
      </c>
      <c r="U906">
        <v>6.3</v>
      </c>
      <c r="V906">
        <v>1797.53</v>
      </c>
      <c r="W906">
        <v>499</v>
      </c>
      <c r="X906">
        <v>1.3332999999999999</v>
      </c>
      <c r="Y906">
        <v>374</v>
      </c>
      <c r="Z906">
        <v>4.8099999999999996</v>
      </c>
      <c r="AJ906">
        <v>2</v>
      </c>
      <c r="AK906">
        <v>18</v>
      </c>
      <c r="AM906">
        <v>0</v>
      </c>
      <c r="AO906" t="s">
        <v>126</v>
      </c>
      <c r="AT906">
        <v>49</v>
      </c>
      <c r="AV906">
        <v>43.7</v>
      </c>
      <c r="AW906">
        <v>0</v>
      </c>
      <c r="AX906">
        <v>0</v>
      </c>
      <c r="AY906">
        <v>54.25</v>
      </c>
      <c r="AZ906">
        <v>4.5</v>
      </c>
      <c r="BA906">
        <v>0</v>
      </c>
      <c r="BB906">
        <v>0</v>
      </c>
      <c r="BC906">
        <v>58</v>
      </c>
      <c r="BN906">
        <v>208.65</v>
      </c>
      <c r="BO906">
        <v>2384</v>
      </c>
      <c r="BP906">
        <v>0</v>
      </c>
      <c r="BQ906">
        <v>43</v>
      </c>
      <c r="BR906">
        <v>43</v>
      </c>
      <c r="BS906">
        <v>43.3</v>
      </c>
      <c r="BT906">
        <v>0</v>
      </c>
      <c r="BV906">
        <v>0</v>
      </c>
      <c r="BW906" t="s">
        <v>655</v>
      </c>
      <c r="BX906">
        <v>0.17</v>
      </c>
      <c r="BY906">
        <v>7.3609999999999998</v>
      </c>
      <c r="BZ906">
        <v>0</v>
      </c>
      <c r="CA906">
        <v>1</v>
      </c>
      <c r="CB906">
        <v>0.6</v>
      </c>
      <c r="CC906" s="3">
        <v>7.1269159999999998E-2</v>
      </c>
      <c r="CD906">
        <v>2.875</v>
      </c>
      <c r="CE906">
        <v>2.5</v>
      </c>
      <c r="CF906">
        <v>18</v>
      </c>
      <c r="CG906">
        <v>6</v>
      </c>
      <c r="CH906">
        <v>0</v>
      </c>
      <c r="CI906">
        <v>43.3</v>
      </c>
      <c r="CJ906">
        <v>371.85750000000002</v>
      </c>
    </row>
    <row r="907" spans="1:88">
      <c r="A907">
        <v>906</v>
      </c>
      <c r="B907" t="s">
        <v>13</v>
      </c>
      <c r="C907" t="s">
        <v>1</v>
      </c>
      <c r="D907" t="s">
        <v>176</v>
      </c>
      <c r="E907" t="s">
        <v>167</v>
      </c>
      <c r="F907" t="s">
        <v>134</v>
      </c>
      <c r="G907" t="s">
        <v>106</v>
      </c>
      <c r="H907" t="s">
        <v>177</v>
      </c>
      <c r="J907">
        <v>2</v>
      </c>
      <c r="K907" t="s">
        <v>146</v>
      </c>
      <c r="L907" t="s">
        <v>207</v>
      </c>
      <c r="M907" t="s">
        <v>327</v>
      </c>
      <c r="N907" t="s">
        <v>330</v>
      </c>
      <c r="O907">
        <v>133</v>
      </c>
      <c r="Q907">
        <v>387</v>
      </c>
      <c r="R907">
        <v>71</v>
      </c>
      <c r="S907">
        <v>4.25</v>
      </c>
      <c r="T907">
        <v>3.6349999999999998</v>
      </c>
      <c r="U907">
        <v>6.41</v>
      </c>
      <c r="V907">
        <v>1645.94</v>
      </c>
      <c r="W907">
        <v>452</v>
      </c>
      <c r="X907">
        <v>1.3332999999999999</v>
      </c>
      <c r="Y907">
        <v>332</v>
      </c>
      <c r="Z907">
        <v>4.96</v>
      </c>
      <c r="AJ907">
        <v>2</v>
      </c>
      <c r="AK907">
        <v>18</v>
      </c>
      <c r="AM907">
        <v>0</v>
      </c>
      <c r="AO907" t="s">
        <v>152</v>
      </c>
      <c r="AT907">
        <v>52</v>
      </c>
      <c r="AV907">
        <v>38.200000000000003</v>
      </c>
      <c r="AW907">
        <v>0</v>
      </c>
      <c r="AX907">
        <v>0</v>
      </c>
      <c r="AY907">
        <v>42.875</v>
      </c>
      <c r="AZ907">
        <v>4.375</v>
      </c>
      <c r="BA907">
        <v>0</v>
      </c>
      <c r="BB907">
        <v>0</v>
      </c>
      <c r="BC907">
        <v>43</v>
      </c>
      <c r="BN907">
        <v>181.9</v>
      </c>
      <c r="BO907">
        <v>3136</v>
      </c>
      <c r="BP907">
        <v>0</v>
      </c>
      <c r="BQ907">
        <v>45</v>
      </c>
      <c r="BR907">
        <v>45</v>
      </c>
      <c r="BS907">
        <v>45.39</v>
      </c>
      <c r="BT907">
        <v>0</v>
      </c>
      <c r="BV907">
        <v>0</v>
      </c>
      <c r="BW907" t="s">
        <v>655</v>
      </c>
      <c r="BX907">
        <v>0.17</v>
      </c>
      <c r="BY907">
        <v>7.7163000000000004</v>
      </c>
      <c r="BZ907">
        <v>0</v>
      </c>
      <c r="CA907">
        <v>1</v>
      </c>
      <c r="CB907">
        <v>0.6</v>
      </c>
      <c r="CC907" s="3">
        <v>7.1269159999999998E-2</v>
      </c>
      <c r="CD907">
        <v>2.875</v>
      </c>
      <c r="CE907">
        <v>2.5</v>
      </c>
      <c r="CF907">
        <v>18</v>
      </c>
      <c r="CG907">
        <v>6</v>
      </c>
      <c r="CH907">
        <v>0</v>
      </c>
      <c r="CI907">
        <v>45.39</v>
      </c>
      <c r="CJ907">
        <v>341.28269999999998</v>
      </c>
    </row>
    <row r="908" spans="1:88">
      <c r="A908">
        <v>907</v>
      </c>
      <c r="B908" t="s">
        <v>0</v>
      </c>
      <c r="C908" t="s">
        <v>1</v>
      </c>
      <c r="D908" t="s">
        <v>2</v>
      </c>
      <c r="E908" t="s">
        <v>143</v>
      </c>
      <c r="F908" t="s">
        <v>154</v>
      </c>
      <c r="G908" t="s">
        <v>106</v>
      </c>
      <c r="H908" t="s">
        <v>217</v>
      </c>
      <c r="J908">
        <v>2</v>
      </c>
      <c r="K908" t="s">
        <v>146</v>
      </c>
      <c r="L908" t="s">
        <v>297</v>
      </c>
      <c r="M908" t="s">
        <v>206</v>
      </c>
      <c r="N908" t="s">
        <v>131</v>
      </c>
      <c r="O908">
        <v>155</v>
      </c>
      <c r="Q908">
        <v>421</v>
      </c>
      <c r="R908">
        <v>67</v>
      </c>
      <c r="S908">
        <v>4.25</v>
      </c>
      <c r="T908">
        <v>4.1660000000000004</v>
      </c>
      <c r="U908">
        <v>6.78</v>
      </c>
      <c r="V908">
        <v>1790.27</v>
      </c>
      <c r="W908">
        <v>455</v>
      </c>
      <c r="X908">
        <v>1.5</v>
      </c>
      <c r="Y908">
        <v>316</v>
      </c>
      <c r="Z908">
        <v>5.66</v>
      </c>
      <c r="AJ908">
        <v>2</v>
      </c>
      <c r="AK908">
        <v>18</v>
      </c>
      <c r="AM908">
        <v>0</v>
      </c>
      <c r="AO908" t="s">
        <v>218</v>
      </c>
      <c r="AT908">
        <v>59</v>
      </c>
      <c r="AV908">
        <v>36.1</v>
      </c>
      <c r="AW908">
        <v>0</v>
      </c>
      <c r="AX908">
        <v>0</v>
      </c>
      <c r="AY908">
        <v>64.125</v>
      </c>
      <c r="AZ908">
        <v>5.25</v>
      </c>
      <c r="BA908">
        <v>0</v>
      </c>
      <c r="BB908">
        <v>0</v>
      </c>
      <c r="BC908">
        <v>69</v>
      </c>
      <c r="BN908">
        <v>171.2</v>
      </c>
      <c r="BO908">
        <v>3540</v>
      </c>
      <c r="BP908">
        <v>0</v>
      </c>
      <c r="BQ908">
        <v>53</v>
      </c>
      <c r="BR908">
        <v>53</v>
      </c>
      <c r="BS908">
        <v>53.04</v>
      </c>
      <c r="BT908">
        <v>0</v>
      </c>
      <c r="BV908">
        <v>0</v>
      </c>
      <c r="BW908" t="s">
        <v>655</v>
      </c>
      <c r="BX908">
        <v>0.17</v>
      </c>
      <c r="BY908">
        <v>9.0167999999999999</v>
      </c>
      <c r="BZ908">
        <v>0</v>
      </c>
      <c r="CA908">
        <v>1</v>
      </c>
      <c r="CB908">
        <v>0.6</v>
      </c>
      <c r="CC908" s="3">
        <v>7.1269159999999998E-2</v>
      </c>
      <c r="CD908">
        <v>2.875</v>
      </c>
      <c r="CE908">
        <v>2.5</v>
      </c>
      <c r="CF908">
        <v>18</v>
      </c>
      <c r="CG908">
        <v>6</v>
      </c>
      <c r="CH908">
        <v>0</v>
      </c>
      <c r="CI908">
        <v>53.04</v>
      </c>
      <c r="CJ908">
        <v>376.12150000000003</v>
      </c>
    </row>
    <row r="909" spans="1:88">
      <c r="A909">
        <v>908</v>
      </c>
      <c r="B909" t="s">
        <v>0</v>
      </c>
      <c r="C909" t="s">
        <v>1</v>
      </c>
      <c r="D909" t="s">
        <v>259</v>
      </c>
      <c r="E909" t="s">
        <v>255</v>
      </c>
      <c r="F909" t="s">
        <v>301</v>
      </c>
      <c r="G909" t="s">
        <v>106</v>
      </c>
      <c r="H909" t="s">
        <v>128</v>
      </c>
      <c r="J909">
        <v>2</v>
      </c>
      <c r="K909" t="s">
        <v>146</v>
      </c>
      <c r="L909" t="s">
        <v>276</v>
      </c>
      <c r="M909" t="s">
        <v>277</v>
      </c>
      <c r="N909" t="s">
        <v>123</v>
      </c>
      <c r="O909">
        <v>180</v>
      </c>
      <c r="Q909">
        <v>646</v>
      </c>
      <c r="R909">
        <v>87</v>
      </c>
      <c r="S909">
        <v>4.25</v>
      </c>
      <c r="T909">
        <v>4.7409999999999997</v>
      </c>
      <c r="U909">
        <v>7.08</v>
      </c>
      <c r="V909">
        <v>2746.64</v>
      </c>
      <c r="W909">
        <v>613</v>
      </c>
      <c r="X909">
        <v>1.3332999999999999</v>
      </c>
      <c r="Y909">
        <v>452</v>
      </c>
      <c r="Z909">
        <v>6.07</v>
      </c>
      <c r="AJ909">
        <v>2</v>
      </c>
      <c r="AK909">
        <v>18</v>
      </c>
      <c r="AM909">
        <v>0</v>
      </c>
      <c r="AO909" t="s">
        <v>132</v>
      </c>
      <c r="AT909">
        <v>68</v>
      </c>
      <c r="AV909">
        <v>48.4</v>
      </c>
      <c r="AW909" t="s">
        <v>6</v>
      </c>
      <c r="AX909" t="s">
        <v>6</v>
      </c>
      <c r="AY909" t="s">
        <v>6</v>
      </c>
      <c r="AZ909" t="s">
        <v>6</v>
      </c>
      <c r="BA909" t="s">
        <v>6</v>
      </c>
      <c r="BB909" t="s">
        <v>6</v>
      </c>
      <c r="BC909" t="s">
        <v>6</v>
      </c>
      <c r="BD909" t="s">
        <v>6</v>
      </c>
      <c r="BE909" t="s">
        <v>6</v>
      </c>
      <c r="BF909" t="s">
        <v>6</v>
      </c>
      <c r="BG909" t="s">
        <v>6</v>
      </c>
      <c r="BH909" t="s">
        <v>6</v>
      </c>
      <c r="BI909" t="s">
        <v>6</v>
      </c>
      <c r="BJ909" t="s">
        <v>6</v>
      </c>
      <c r="BN909">
        <v>231.83340000000001</v>
      </c>
      <c r="BO909">
        <v>1931</v>
      </c>
      <c r="BP909">
        <v>0</v>
      </c>
      <c r="BQ909">
        <v>62</v>
      </c>
      <c r="BR909">
        <v>62</v>
      </c>
      <c r="BS909">
        <v>61.73</v>
      </c>
      <c r="BT909">
        <v>0</v>
      </c>
      <c r="BV909">
        <v>0</v>
      </c>
      <c r="BW909" t="s">
        <v>655</v>
      </c>
      <c r="BX909">
        <v>0.17</v>
      </c>
      <c r="BY909">
        <v>10.4941</v>
      </c>
      <c r="BZ909">
        <v>0</v>
      </c>
      <c r="CA909">
        <v>1</v>
      </c>
      <c r="CB909">
        <v>0.6</v>
      </c>
      <c r="CC909" s="3">
        <v>7.1269159999999998E-2</v>
      </c>
      <c r="CD909">
        <v>2.875</v>
      </c>
      <c r="CE909">
        <v>2.5</v>
      </c>
      <c r="CF909">
        <v>18</v>
      </c>
      <c r="CG909">
        <v>6</v>
      </c>
      <c r="CH909">
        <v>0</v>
      </c>
      <c r="CI909">
        <v>61.73</v>
      </c>
      <c r="CJ909">
        <v>587.32600000000002</v>
      </c>
    </row>
    <row r="910" spans="1:88">
      <c r="A910">
        <v>909</v>
      </c>
      <c r="B910" t="s">
        <v>0</v>
      </c>
      <c r="C910" t="s">
        <v>1</v>
      </c>
      <c r="D910" t="s">
        <v>151</v>
      </c>
      <c r="E910" t="s">
        <v>127</v>
      </c>
      <c r="F910" t="s">
        <v>385</v>
      </c>
      <c r="G910" t="s">
        <v>106</v>
      </c>
      <c r="H910" t="s">
        <v>2</v>
      </c>
      <c r="J910">
        <v>2</v>
      </c>
      <c r="K910" t="s">
        <v>146</v>
      </c>
      <c r="L910" t="s">
        <v>338</v>
      </c>
      <c r="M910" t="s">
        <v>189</v>
      </c>
      <c r="N910" t="s">
        <v>190</v>
      </c>
      <c r="O910">
        <v>115</v>
      </c>
      <c r="Q910">
        <v>323</v>
      </c>
      <c r="R910">
        <v>68</v>
      </c>
      <c r="S910">
        <v>4.25</v>
      </c>
      <c r="T910">
        <v>3.18</v>
      </c>
      <c r="U910">
        <v>6.22</v>
      </c>
      <c r="V910">
        <v>1374.45</v>
      </c>
      <c r="W910">
        <v>421</v>
      </c>
      <c r="X910">
        <v>1.3332999999999999</v>
      </c>
      <c r="Y910">
        <v>305</v>
      </c>
      <c r="Z910">
        <v>4.51</v>
      </c>
      <c r="AJ910">
        <v>2</v>
      </c>
      <c r="AK910">
        <v>18</v>
      </c>
      <c r="AM910">
        <v>0</v>
      </c>
      <c r="AO910" t="s">
        <v>4</v>
      </c>
      <c r="AT910">
        <v>45</v>
      </c>
      <c r="AV910">
        <v>36.4</v>
      </c>
      <c r="AW910">
        <v>0</v>
      </c>
      <c r="AX910">
        <v>0</v>
      </c>
      <c r="AY910">
        <v>46.75</v>
      </c>
      <c r="AZ910">
        <v>4</v>
      </c>
      <c r="BA910">
        <v>0</v>
      </c>
      <c r="BB910">
        <v>0</v>
      </c>
      <c r="BC910">
        <v>47</v>
      </c>
      <c r="BN910">
        <v>172.98339999999999</v>
      </c>
      <c r="BO910">
        <v>3468</v>
      </c>
      <c r="BP910">
        <v>0</v>
      </c>
      <c r="BQ910">
        <v>39</v>
      </c>
      <c r="BR910">
        <v>39</v>
      </c>
      <c r="BS910">
        <v>39.130000000000003</v>
      </c>
      <c r="BT910">
        <v>0</v>
      </c>
      <c r="BV910">
        <v>0</v>
      </c>
      <c r="BW910" t="s">
        <v>655</v>
      </c>
      <c r="BX910">
        <v>0.17</v>
      </c>
      <c r="BY910">
        <v>6.6520999999999999</v>
      </c>
      <c r="BZ910">
        <v>0</v>
      </c>
      <c r="CA910">
        <v>1</v>
      </c>
      <c r="CB910">
        <v>0.6</v>
      </c>
      <c r="CC910" s="3">
        <v>7.1269159999999998E-2</v>
      </c>
      <c r="CD910">
        <v>2.875</v>
      </c>
      <c r="CE910">
        <v>2.5</v>
      </c>
      <c r="CF910">
        <v>18</v>
      </c>
      <c r="CG910">
        <v>6</v>
      </c>
      <c r="CH910">
        <v>0</v>
      </c>
      <c r="CI910">
        <v>39.130000000000003</v>
      </c>
      <c r="CJ910">
        <v>280.2706</v>
      </c>
    </row>
    <row r="911" spans="1:88">
      <c r="A911">
        <v>910</v>
      </c>
      <c r="B911" t="s">
        <v>13</v>
      </c>
      <c r="C911" t="s">
        <v>1</v>
      </c>
      <c r="D911" t="s">
        <v>151</v>
      </c>
      <c r="E911" t="s">
        <v>153</v>
      </c>
      <c r="F911" t="s">
        <v>385</v>
      </c>
      <c r="G911" t="s">
        <v>106</v>
      </c>
      <c r="H911" t="s">
        <v>2</v>
      </c>
      <c r="J911">
        <v>2</v>
      </c>
      <c r="K911" t="s">
        <v>146</v>
      </c>
      <c r="L911" t="s">
        <v>195</v>
      </c>
      <c r="M911" t="s">
        <v>306</v>
      </c>
      <c r="N911" t="s">
        <v>158</v>
      </c>
      <c r="O911">
        <v>126</v>
      </c>
      <c r="Q911">
        <v>351</v>
      </c>
      <c r="R911">
        <v>68</v>
      </c>
      <c r="S911">
        <v>4.25</v>
      </c>
      <c r="T911">
        <v>3.46</v>
      </c>
      <c r="U911">
        <v>6.26</v>
      </c>
      <c r="V911">
        <v>1493.49</v>
      </c>
      <c r="W911">
        <v>423</v>
      </c>
      <c r="X911">
        <v>1.3332999999999999</v>
      </c>
      <c r="Y911">
        <v>312</v>
      </c>
      <c r="Z911">
        <v>4.79</v>
      </c>
      <c r="AJ911">
        <v>2</v>
      </c>
      <c r="AK911">
        <v>18</v>
      </c>
      <c r="AM911">
        <v>0</v>
      </c>
      <c r="AO911" t="s">
        <v>4</v>
      </c>
      <c r="AT911">
        <v>49</v>
      </c>
      <c r="AV911">
        <v>36.4</v>
      </c>
      <c r="AW911">
        <v>0</v>
      </c>
      <c r="AX911">
        <v>0</v>
      </c>
      <c r="AY911">
        <v>45.625</v>
      </c>
      <c r="AZ911">
        <v>4.25</v>
      </c>
      <c r="BA911">
        <v>0</v>
      </c>
      <c r="BB911">
        <v>0</v>
      </c>
      <c r="BC911">
        <v>46</v>
      </c>
      <c r="BN911">
        <v>172.98339999999999</v>
      </c>
      <c r="BO911">
        <v>3468</v>
      </c>
      <c r="BP911">
        <v>0</v>
      </c>
      <c r="BQ911">
        <v>43</v>
      </c>
      <c r="BR911">
        <v>43</v>
      </c>
      <c r="BS911">
        <v>42.95</v>
      </c>
      <c r="BT911">
        <v>0</v>
      </c>
      <c r="BV911">
        <v>0</v>
      </c>
      <c r="BW911" t="s">
        <v>655</v>
      </c>
      <c r="BX911">
        <v>0.17</v>
      </c>
      <c r="BY911">
        <v>7.301501</v>
      </c>
      <c r="BZ911">
        <v>0</v>
      </c>
      <c r="CA911">
        <v>1</v>
      </c>
      <c r="CB911">
        <v>0.6</v>
      </c>
      <c r="CC911" s="3">
        <v>7.1269159999999998E-2</v>
      </c>
      <c r="CD911">
        <v>2.875</v>
      </c>
      <c r="CE911">
        <v>2.5</v>
      </c>
      <c r="CF911">
        <v>18</v>
      </c>
      <c r="CG911">
        <v>6</v>
      </c>
      <c r="CH911">
        <v>0</v>
      </c>
      <c r="CI911">
        <v>42.95</v>
      </c>
      <c r="CJ911">
        <v>307.63150000000002</v>
      </c>
    </row>
    <row r="912" spans="1:88">
      <c r="A912">
        <v>911</v>
      </c>
      <c r="B912" t="s">
        <v>13</v>
      </c>
      <c r="C912" t="s">
        <v>1</v>
      </c>
      <c r="D912" t="s">
        <v>233</v>
      </c>
      <c r="E912" t="s">
        <v>165</v>
      </c>
      <c r="F912" t="s">
        <v>271</v>
      </c>
      <c r="G912" t="s">
        <v>106</v>
      </c>
      <c r="H912" t="s">
        <v>279</v>
      </c>
      <c r="J912">
        <v>2</v>
      </c>
      <c r="K912" t="s">
        <v>146</v>
      </c>
      <c r="L912" t="s">
        <v>125</v>
      </c>
      <c r="M912" t="s">
        <v>252</v>
      </c>
      <c r="N912" t="s">
        <v>293</v>
      </c>
      <c r="O912">
        <v>148</v>
      </c>
      <c r="Q912">
        <v>602</v>
      </c>
      <c r="R912">
        <v>96</v>
      </c>
      <c r="S912">
        <v>4.25</v>
      </c>
      <c r="T912">
        <v>4</v>
      </c>
      <c r="U912">
        <v>6.67</v>
      </c>
      <c r="V912">
        <v>2558.4499999999998</v>
      </c>
      <c r="W912">
        <v>639</v>
      </c>
      <c r="X912">
        <v>1.3332999999999999</v>
      </c>
      <c r="Y912">
        <v>480</v>
      </c>
      <c r="Z912">
        <v>5.33</v>
      </c>
      <c r="AJ912">
        <v>2</v>
      </c>
      <c r="AK912">
        <v>18</v>
      </c>
      <c r="AM912">
        <v>0</v>
      </c>
      <c r="AO912" t="s">
        <v>144</v>
      </c>
      <c r="AT912">
        <v>57</v>
      </c>
      <c r="AV912">
        <v>54.2</v>
      </c>
      <c r="AW912">
        <v>0.46875</v>
      </c>
      <c r="AX912">
        <v>3.75</v>
      </c>
      <c r="AY912">
        <v>54.875</v>
      </c>
      <c r="AZ912">
        <v>5</v>
      </c>
      <c r="BA912">
        <v>369.76</v>
      </c>
      <c r="BB912">
        <v>5.33</v>
      </c>
      <c r="BC912">
        <v>59</v>
      </c>
      <c r="BD912">
        <v>0.3125</v>
      </c>
      <c r="BE912">
        <v>2.75</v>
      </c>
      <c r="BF912">
        <v>32.625</v>
      </c>
      <c r="BG912">
        <v>3.375</v>
      </c>
      <c r="BH912">
        <v>110.23</v>
      </c>
      <c r="BI912">
        <v>5.79</v>
      </c>
      <c r="BJ912">
        <v>17</v>
      </c>
      <c r="BL912">
        <v>479.99</v>
      </c>
      <c r="BM912">
        <v>76</v>
      </c>
      <c r="BN912">
        <v>260.36669999999998</v>
      </c>
      <c r="BO912">
        <v>1531</v>
      </c>
      <c r="BP912">
        <v>0</v>
      </c>
      <c r="BQ912">
        <v>51</v>
      </c>
      <c r="BR912">
        <v>51</v>
      </c>
      <c r="BS912">
        <v>50.6</v>
      </c>
      <c r="BT912">
        <v>0</v>
      </c>
      <c r="BV912">
        <v>0</v>
      </c>
      <c r="BW912" t="s">
        <v>655</v>
      </c>
      <c r="BX912">
        <v>0.17</v>
      </c>
      <c r="BY912">
        <v>8.6019989999999993</v>
      </c>
      <c r="BZ912">
        <v>0</v>
      </c>
      <c r="CA912">
        <v>1</v>
      </c>
      <c r="CB912">
        <v>0.6</v>
      </c>
      <c r="CC912" s="3">
        <v>7.1269159999999998E-2</v>
      </c>
      <c r="CD912">
        <v>2.875</v>
      </c>
      <c r="CE912">
        <v>2.5</v>
      </c>
      <c r="CF912">
        <v>18</v>
      </c>
      <c r="CG912">
        <v>6</v>
      </c>
      <c r="CH912">
        <v>0</v>
      </c>
      <c r="CI912">
        <v>50.6</v>
      </c>
      <c r="CJ912">
        <v>539.12980000000005</v>
      </c>
    </row>
    <row r="913" spans="1:88">
      <c r="A913">
        <v>912</v>
      </c>
      <c r="B913" t="s">
        <v>0</v>
      </c>
      <c r="C913" t="s">
        <v>1</v>
      </c>
      <c r="D913" t="s">
        <v>342</v>
      </c>
      <c r="E913" t="s">
        <v>176</v>
      </c>
      <c r="F913" t="s">
        <v>484</v>
      </c>
      <c r="G913" t="s">
        <v>106</v>
      </c>
      <c r="H913" t="s">
        <v>241</v>
      </c>
      <c r="J913">
        <v>2</v>
      </c>
      <c r="K913" t="s">
        <v>146</v>
      </c>
      <c r="L913" t="s">
        <v>167</v>
      </c>
      <c r="M913" t="s">
        <v>226</v>
      </c>
      <c r="N913" t="s">
        <v>227</v>
      </c>
      <c r="O913">
        <v>113</v>
      </c>
      <c r="Q913">
        <v>259</v>
      </c>
      <c r="R913">
        <v>52</v>
      </c>
      <c r="S913">
        <v>4.25</v>
      </c>
      <c r="T913">
        <v>3.1280000000000001</v>
      </c>
      <c r="U913">
        <v>6.18</v>
      </c>
      <c r="V913">
        <v>1102.1500000000001</v>
      </c>
      <c r="W913">
        <v>320</v>
      </c>
      <c r="X913">
        <v>1.3332999999999999</v>
      </c>
      <c r="Y913">
        <v>247</v>
      </c>
      <c r="Z913">
        <v>4.46</v>
      </c>
      <c r="AJ913">
        <v>2</v>
      </c>
      <c r="AK913">
        <v>18</v>
      </c>
      <c r="AM913">
        <v>0</v>
      </c>
      <c r="AO913" t="s">
        <v>243</v>
      </c>
      <c r="AT913">
        <v>45</v>
      </c>
      <c r="AV913">
        <v>29.5</v>
      </c>
      <c r="AW913">
        <v>0</v>
      </c>
      <c r="AX913">
        <v>0</v>
      </c>
      <c r="AY913">
        <v>39.375</v>
      </c>
      <c r="AZ913">
        <v>3.625</v>
      </c>
      <c r="BA913">
        <v>0</v>
      </c>
      <c r="BB913">
        <v>0</v>
      </c>
      <c r="BC913">
        <v>37</v>
      </c>
      <c r="BN913">
        <v>139.1</v>
      </c>
      <c r="BO913">
        <v>5363</v>
      </c>
      <c r="BP913">
        <v>0</v>
      </c>
      <c r="BQ913">
        <v>38</v>
      </c>
      <c r="BR913">
        <v>38</v>
      </c>
      <c r="BS913">
        <v>38.43</v>
      </c>
      <c r="BT913">
        <v>0</v>
      </c>
      <c r="BV913">
        <v>0</v>
      </c>
      <c r="BW913" t="s">
        <v>655</v>
      </c>
      <c r="BX913">
        <v>0.17</v>
      </c>
      <c r="BY913">
        <v>6.5331000000000001</v>
      </c>
      <c r="BZ913">
        <v>0</v>
      </c>
      <c r="CA913">
        <v>1</v>
      </c>
      <c r="CB913">
        <v>0.6</v>
      </c>
      <c r="CC913" s="3">
        <v>7.1269159999999998E-2</v>
      </c>
      <c r="CD913">
        <v>2.875</v>
      </c>
      <c r="CE913">
        <v>2.5</v>
      </c>
      <c r="CF913">
        <v>18</v>
      </c>
      <c r="CG913">
        <v>6</v>
      </c>
      <c r="CH913">
        <v>0</v>
      </c>
      <c r="CI913">
        <v>38.43</v>
      </c>
      <c r="CJ913">
        <v>223.2182</v>
      </c>
    </row>
    <row r="914" spans="1:88">
      <c r="A914">
        <v>913</v>
      </c>
      <c r="B914" t="s">
        <v>13</v>
      </c>
      <c r="C914" t="s">
        <v>1</v>
      </c>
      <c r="D914" t="s">
        <v>212</v>
      </c>
      <c r="E914" t="s">
        <v>212</v>
      </c>
      <c r="F914" t="s">
        <v>213</v>
      </c>
      <c r="G914" t="s">
        <v>15</v>
      </c>
      <c r="H914" t="s">
        <v>215</v>
      </c>
      <c r="J914">
        <v>2</v>
      </c>
      <c r="K914" t="s">
        <v>108</v>
      </c>
      <c r="L914" t="s">
        <v>425</v>
      </c>
      <c r="M914" t="s">
        <v>453</v>
      </c>
      <c r="N914" t="s">
        <v>454</v>
      </c>
      <c r="O914">
        <v>195</v>
      </c>
      <c r="Q914">
        <v>976</v>
      </c>
      <c r="R914">
        <v>119</v>
      </c>
      <c r="S914">
        <v>4.25</v>
      </c>
      <c r="T914">
        <v>5.0730000000000004</v>
      </c>
      <c r="U914">
        <v>7.35</v>
      </c>
      <c r="V914">
        <v>4148.04</v>
      </c>
      <c r="W914">
        <v>871</v>
      </c>
      <c r="X914">
        <v>1.3332999999999999</v>
      </c>
      <c r="Y914">
        <v>648</v>
      </c>
      <c r="Z914">
        <v>6.4</v>
      </c>
      <c r="AJ914">
        <v>2</v>
      </c>
      <c r="AK914">
        <v>18</v>
      </c>
      <c r="AM914">
        <v>0</v>
      </c>
      <c r="AO914" t="s">
        <v>216</v>
      </c>
      <c r="AT914">
        <v>73</v>
      </c>
      <c r="AV914">
        <v>68.099999999999994</v>
      </c>
      <c r="AW914" t="s">
        <v>6</v>
      </c>
      <c r="AX914" t="s">
        <v>6</v>
      </c>
      <c r="AY914" t="s">
        <v>6</v>
      </c>
      <c r="AZ914" t="s">
        <v>6</v>
      </c>
      <c r="BA914" t="s">
        <v>6</v>
      </c>
      <c r="BB914" t="s">
        <v>6</v>
      </c>
      <c r="BC914" t="s">
        <v>6</v>
      </c>
      <c r="BD914" t="s">
        <v>6</v>
      </c>
      <c r="BE914" t="s">
        <v>6</v>
      </c>
      <c r="BF914" t="s">
        <v>6</v>
      </c>
      <c r="BG914" t="s">
        <v>6</v>
      </c>
      <c r="BH914" t="s">
        <v>6</v>
      </c>
      <c r="BI914" t="s">
        <v>6</v>
      </c>
      <c r="BJ914" t="s">
        <v>6</v>
      </c>
      <c r="BN914">
        <v>580.90189999999996</v>
      </c>
      <c r="BO914">
        <v>3242</v>
      </c>
      <c r="BP914">
        <v>0</v>
      </c>
      <c r="BQ914">
        <v>67</v>
      </c>
      <c r="BR914">
        <v>67</v>
      </c>
      <c r="BS914">
        <v>66.95</v>
      </c>
      <c r="BT914">
        <v>0</v>
      </c>
      <c r="BV914">
        <v>0</v>
      </c>
      <c r="BW914" t="s">
        <v>655</v>
      </c>
      <c r="BX914">
        <v>0.17</v>
      </c>
      <c r="BY914">
        <v>11.381500000000001</v>
      </c>
      <c r="BZ914">
        <v>0</v>
      </c>
      <c r="CA914">
        <v>1</v>
      </c>
      <c r="CB914">
        <v>0.6</v>
      </c>
      <c r="CC914" s="3">
        <v>7.1269159999999998E-2</v>
      </c>
      <c r="CD914">
        <v>2.875</v>
      </c>
      <c r="CE914">
        <v>2.5</v>
      </c>
      <c r="CF914">
        <v>18</v>
      </c>
      <c r="CG914">
        <v>6</v>
      </c>
      <c r="CH914">
        <v>0</v>
      </c>
      <c r="CI914">
        <v>66.95</v>
      </c>
      <c r="CJ914">
        <v>896.43979999999999</v>
      </c>
    </row>
    <row r="915" spans="1:88">
      <c r="A915">
        <v>914</v>
      </c>
      <c r="B915" t="s">
        <v>0</v>
      </c>
      <c r="C915" t="s">
        <v>1</v>
      </c>
      <c r="D915" t="s">
        <v>96</v>
      </c>
      <c r="E915" t="s">
        <v>552</v>
      </c>
      <c r="F915" t="s">
        <v>198</v>
      </c>
      <c r="G915" t="s">
        <v>106</v>
      </c>
      <c r="H915" t="s">
        <v>162</v>
      </c>
      <c r="J915">
        <v>2</v>
      </c>
      <c r="K915" t="s">
        <v>146</v>
      </c>
      <c r="L915" t="s">
        <v>104</v>
      </c>
      <c r="M915" t="s">
        <v>600</v>
      </c>
      <c r="N915" t="s">
        <v>348</v>
      </c>
      <c r="O915">
        <v>171</v>
      </c>
      <c r="Q915">
        <v>571</v>
      </c>
      <c r="R915">
        <v>81</v>
      </c>
      <c r="S915">
        <v>4.25</v>
      </c>
      <c r="T915">
        <v>4.5380000000000003</v>
      </c>
      <c r="U915">
        <v>6.93</v>
      </c>
      <c r="V915">
        <v>2424.87</v>
      </c>
      <c r="W915">
        <v>560</v>
      </c>
      <c r="X915">
        <v>1.3332999999999999</v>
      </c>
      <c r="Y915">
        <v>413</v>
      </c>
      <c r="Z915">
        <v>5.87</v>
      </c>
      <c r="AJ915">
        <v>2</v>
      </c>
      <c r="AK915">
        <v>18</v>
      </c>
      <c r="AM915">
        <v>0</v>
      </c>
      <c r="AO915" t="s">
        <v>166</v>
      </c>
      <c r="AT915">
        <v>65</v>
      </c>
      <c r="AV915">
        <v>44.8</v>
      </c>
      <c r="AW915">
        <v>0.46875</v>
      </c>
      <c r="AX915">
        <v>3.75</v>
      </c>
      <c r="AY915">
        <v>60.375</v>
      </c>
      <c r="AZ915">
        <v>5.5</v>
      </c>
      <c r="BA915">
        <v>335.74</v>
      </c>
      <c r="BB915">
        <v>5.87</v>
      </c>
      <c r="BC915">
        <v>65</v>
      </c>
      <c r="BD915">
        <v>0.3125</v>
      </c>
      <c r="BE915">
        <v>2.75</v>
      </c>
      <c r="BF915">
        <v>46.5</v>
      </c>
      <c r="BG915">
        <v>3.625</v>
      </c>
      <c r="BH915">
        <v>77.349999999999994</v>
      </c>
      <c r="BI915">
        <v>8.26</v>
      </c>
      <c r="BJ915">
        <v>25</v>
      </c>
      <c r="BL915">
        <v>413.09</v>
      </c>
      <c r="BM915">
        <v>89</v>
      </c>
      <c r="BN915">
        <v>214</v>
      </c>
      <c r="BO915">
        <v>2266</v>
      </c>
      <c r="BP915">
        <v>0</v>
      </c>
      <c r="BQ915">
        <v>59</v>
      </c>
      <c r="BR915">
        <v>59</v>
      </c>
      <c r="BS915">
        <v>58.6</v>
      </c>
      <c r="BT915">
        <v>0</v>
      </c>
      <c r="BV915">
        <v>0</v>
      </c>
      <c r="BW915" t="s">
        <v>655</v>
      </c>
      <c r="BX915">
        <v>0.17</v>
      </c>
      <c r="BY915">
        <v>9.9619999999999997</v>
      </c>
      <c r="BZ915">
        <v>0</v>
      </c>
      <c r="CA915">
        <v>1</v>
      </c>
      <c r="CB915">
        <v>0.6</v>
      </c>
      <c r="CC915" s="3">
        <v>7.1269159999999998E-2</v>
      </c>
      <c r="CD915">
        <v>2.875</v>
      </c>
      <c r="CE915">
        <v>2.5</v>
      </c>
      <c r="CF915">
        <v>18</v>
      </c>
      <c r="CG915">
        <v>6</v>
      </c>
      <c r="CH915">
        <v>0</v>
      </c>
      <c r="CI915">
        <v>58.6</v>
      </c>
      <c r="CJ915">
        <v>515.78200000000004</v>
      </c>
    </row>
    <row r="916" spans="1:88">
      <c r="A916">
        <v>915</v>
      </c>
      <c r="B916" t="s">
        <v>13</v>
      </c>
      <c r="C916" t="s">
        <v>1</v>
      </c>
      <c r="D916" t="s">
        <v>103</v>
      </c>
      <c r="E916" t="s">
        <v>123</v>
      </c>
      <c r="F916" t="s">
        <v>105</v>
      </c>
      <c r="G916" t="s">
        <v>106</v>
      </c>
      <c r="H916" t="s">
        <v>107</v>
      </c>
      <c r="J916">
        <v>2</v>
      </c>
      <c r="K916" t="s">
        <v>108</v>
      </c>
      <c r="L916" t="s">
        <v>8</v>
      </c>
      <c r="M916" t="s">
        <v>147</v>
      </c>
      <c r="N916" t="s">
        <v>148</v>
      </c>
      <c r="O916">
        <v>183</v>
      </c>
      <c r="Q916">
        <v>784</v>
      </c>
      <c r="R916">
        <v>102</v>
      </c>
      <c r="S916">
        <v>4.25</v>
      </c>
      <c r="T916">
        <v>4.8079999999999998</v>
      </c>
      <c r="U916">
        <v>7.12</v>
      </c>
      <c r="V916">
        <v>3332.08</v>
      </c>
      <c r="W916">
        <v>724</v>
      </c>
      <c r="X916">
        <v>1.3332999999999999</v>
      </c>
      <c r="Y916">
        <v>543</v>
      </c>
      <c r="Z916">
        <v>6.14</v>
      </c>
      <c r="AJ916">
        <v>2</v>
      </c>
      <c r="AK916">
        <v>18</v>
      </c>
      <c r="AM916">
        <v>0</v>
      </c>
      <c r="AO916" t="s">
        <v>112</v>
      </c>
      <c r="AT916">
        <v>69</v>
      </c>
      <c r="AV916">
        <v>58</v>
      </c>
      <c r="AW916">
        <v>0.4375</v>
      </c>
      <c r="AX916">
        <v>3.75</v>
      </c>
      <c r="AY916">
        <v>52.5</v>
      </c>
      <c r="AZ916">
        <v>5.375</v>
      </c>
      <c r="BA916">
        <v>271.33999999999997</v>
      </c>
      <c r="BB916">
        <v>6.06</v>
      </c>
      <c r="BC916">
        <v>53</v>
      </c>
      <c r="BD916">
        <v>0.4375</v>
      </c>
      <c r="BE916">
        <v>3.75</v>
      </c>
      <c r="BF916">
        <v>52.5</v>
      </c>
      <c r="BG916">
        <v>5.375</v>
      </c>
      <c r="BH916">
        <v>271.33999999999997</v>
      </c>
      <c r="BI916">
        <v>6.06</v>
      </c>
      <c r="BJ916">
        <v>53</v>
      </c>
      <c r="BL916">
        <v>542.67999999999995</v>
      </c>
      <c r="BM916">
        <v>106</v>
      </c>
      <c r="BN916">
        <v>278.20010000000002</v>
      </c>
      <c r="BO916">
        <v>1341</v>
      </c>
      <c r="BP916">
        <v>0</v>
      </c>
      <c r="BQ916">
        <v>63</v>
      </c>
      <c r="BR916">
        <v>63</v>
      </c>
      <c r="BS916">
        <v>62.78</v>
      </c>
      <c r="BT916">
        <v>0</v>
      </c>
      <c r="BV916">
        <v>0</v>
      </c>
      <c r="BW916" t="s">
        <v>655</v>
      </c>
      <c r="BX916">
        <v>0.17</v>
      </c>
      <c r="BY916">
        <v>10.672599999999999</v>
      </c>
      <c r="BZ916">
        <v>0</v>
      </c>
      <c r="CA916">
        <v>1</v>
      </c>
      <c r="CB916">
        <v>0.6</v>
      </c>
      <c r="CC916" s="3">
        <v>7.1269159999999998E-2</v>
      </c>
      <c r="CD916">
        <v>2.875</v>
      </c>
      <c r="CE916">
        <v>2.5</v>
      </c>
      <c r="CF916">
        <v>18</v>
      </c>
      <c r="CG916">
        <v>6</v>
      </c>
      <c r="CH916">
        <v>0</v>
      </c>
      <c r="CI916">
        <v>62.78</v>
      </c>
      <c r="CJ916">
        <v>715.32510000000002</v>
      </c>
    </row>
    <row r="917" spans="1:88">
      <c r="A917">
        <v>916</v>
      </c>
      <c r="B917" t="s">
        <v>0</v>
      </c>
      <c r="C917" t="s">
        <v>1</v>
      </c>
      <c r="D917" t="s">
        <v>2</v>
      </c>
      <c r="E917" t="s">
        <v>139</v>
      </c>
      <c r="F917" t="s">
        <v>154</v>
      </c>
      <c r="G917" t="s">
        <v>106</v>
      </c>
      <c r="H917" t="s">
        <v>217</v>
      </c>
      <c r="J917">
        <v>2</v>
      </c>
      <c r="K917" t="s">
        <v>146</v>
      </c>
      <c r="L917" t="s">
        <v>158</v>
      </c>
      <c r="M917" t="s">
        <v>385</v>
      </c>
      <c r="N917" t="s">
        <v>177</v>
      </c>
      <c r="O917">
        <v>109</v>
      </c>
      <c r="Q917">
        <v>305</v>
      </c>
      <c r="R917">
        <v>67</v>
      </c>
      <c r="S917">
        <v>4.25</v>
      </c>
      <c r="T917">
        <v>3.024</v>
      </c>
      <c r="U917">
        <v>6.11</v>
      </c>
      <c r="V917">
        <v>1296.5</v>
      </c>
      <c r="W917">
        <v>410</v>
      </c>
      <c r="X917">
        <v>1.3332999999999999</v>
      </c>
      <c r="Y917">
        <v>298</v>
      </c>
      <c r="Z917">
        <v>4.3499999999999996</v>
      </c>
      <c r="AJ917">
        <v>2</v>
      </c>
      <c r="AK917">
        <v>18</v>
      </c>
      <c r="AM917">
        <v>0</v>
      </c>
      <c r="AO917" t="s">
        <v>218</v>
      </c>
      <c r="AT917">
        <v>43</v>
      </c>
      <c r="AV917">
        <v>36.1</v>
      </c>
      <c r="AW917">
        <v>0</v>
      </c>
      <c r="AX917">
        <v>0</v>
      </c>
      <c r="AY917">
        <v>32.625</v>
      </c>
      <c r="AZ917">
        <v>3.5</v>
      </c>
      <c r="BA917">
        <v>0</v>
      </c>
      <c r="BB917">
        <v>0</v>
      </c>
      <c r="BC917">
        <v>31</v>
      </c>
      <c r="BN917">
        <v>171.2</v>
      </c>
      <c r="BO917">
        <v>3540</v>
      </c>
      <c r="BP917">
        <v>0</v>
      </c>
      <c r="BQ917">
        <v>37</v>
      </c>
      <c r="BR917">
        <v>37</v>
      </c>
      <c r="BS917">
        <v>37.04</v>
      </c>
      <c r="BT917">
        <v>0</v>
      </c>
      <c r="BV917">
        <v>0</v>
      </c>
      <c r="BW917" t="s">
        <v>655</v>
      </c>
      <c r="BX917">
        <v>0.17</v>
      </c>
      <c r="BY917">
        <v>6.2968000000000002</v>
      </c>
      <c r="BZ917">
        <v>0</v>
      </c>
      <c r="CA917">
        <v>1</v>
      </c>
      <c r="CB917">
        <v>0.6</v>
      </c>
      <c r="CC917" s="3">
        <v>7.1269159999999998E-2</v>
      </c>
      <c r="CD917">
        <v>2.875</v>
      </c>
      <c r="CE917">
        <v>2.5</v>
      </c>
      <c r="CF917">
        <v>18</v>
      </c>
      <c r="CG917">
        <v>6</v>
      </c>
      <c r="CH917">
        <v>0</v>
      </c>
      <c r="CI917">
        <v>37.04</v>
      </c>
      <c r="CJ917">
        <v>262.66109999999998</v>
      </c>
    </row>
    <row r="918" spans="1:88">
      <c r="A918">
        <v>917</v>
      </c>
      <c r="B918" t="s">
        <v>0</v>
      </c>
      <c r="C918" t="s">
        <v>1</v>
      </c>
      <c r="D918" t="s">
        <v>381</v>
      </c>
      <c r="E918" t="s">
        <v>234</v>
      </c>
      <c r="F918" t="s">
        <v>132</v>
      </c>
      <c r="G918" t="s">
        <v>106</v>
      </c>
      <c r="H918" t="s">
        <v>340</v>
      </c>
      <c r="J918">
        <v>2</v>
      </c>
      <c r="K918" t="s">
        <v>146</v>
      </c>
      <c r="L918" t="s">
        <v>103</v>
      </c>
      <c r="M918" t="s">
        <v>435</v>
      </c>
      <c r="N918" t="s">
        <v>295</v>
      </c>
      <c r="O918">
        <v>147</v>
      </c>
      <c r="Q918">
        <v>527</v>
      </c>
      <c r="R918">
        <v>85</v>
      </c>
      <c r="S918">
        <v>4.25</v>
      </c>
      <c r="T918">
        <v>3.976</v>
      </c>
      <c r="U918">
        <v>6.67</v>
      </c>
      <c r="V918">
        <v>2241.02</v>
      </c>
      <c r="W918">
        <v>570</v>
      </c>
      <c r="X918">
        <v>1.3332999999999999</v>
      </c>
      <c r="Y918">
        <v>423</v>
      </c>
      <c r="Z918">
        <v>5.3</v>
      </c>
      <c r="AJ918">
        <v>2</v>
      </c>
      <c r="AK918">
        <v>18</v>
      </c>
      <c r="AM918">
        <v>0</v>
      </c>
      <c r="AO918" t="s">
        <v>359</v>
      </c>
      <c r="AT918">
        <v>56</v>
      </c>
      <c r="AV918">
        <v>47.7</v>
      </c>
      <c r="AW918">
        <v>0.46875</v>
      </c>
      <c r="AX918">
        <v>3.75</v>
      </c>
      <c r="AY918">
        <v>54.5</v>
      </c>
      <c r="AZ918">
        <v>5</v>
      </c>
      <c r="BA918">
        <v>371.85</v>
      </c>
      <c r="BB918">
        <v>5.3</v>
      </c>
      <c r="BC918">
        <v>59</v>
      </c>
      <c r="BD918">
        <v>0.25</v>
      </c>
      <c r="BE918">
        <v>2.75</v>
      </c>
      <c r="BF918">
        <v>22.5</v>
      </c>
      <c r="BG918">
        <v>2.625</v>
      </c>
      <c r="BH918">
        <v>50.97</v>
      </c>
      <c r="BI918">
        <v>6.73</v>
      </c>
      <c r="BJ918">
        <v>10</v>
      </c>
      <c r="BL918">
        <v>422.82</v>
      </c>
      <c r="BM918">
        <v>68</v>
      </c>
      <c r="BN918">
        <v>228.26669999999999</v>
      </c>
      <c r="BO918">
        <v>1992</v>
      </c>
      <c r="BP918">
        <v>0</v>
      </c>
      <c r="BQ918">
        <v>50</v>
      </c>
      <c r="BR918">
        <v>50</v>
      </c>
      <c r="BS918">
        <v>50.26</v>
      </c>
      <c r="BT918">
        <v>0</v>
      </c>
      <c r="BV918">
        <v>0</v>
      </c>
      <c r="BW918" t="s">
        <v>655</v>
      </c>
      <c r="BX918">
        <v>0.17</v>
      </c>
      <c r="BY918">
        <v>8.5442</v>
      </c>
      <c r="BZ918">
        <v>0</v>
      </c>
      <c r="CA918">
        <v>1</v>
      </c>
      <c r="CB918">
        <v>0.6</v>
      </c>
      <c r="CC918" s="3">
        <v>7.1269159999999998E-2</v>
      </c>
      <c r="CD918">
        <v>2.875</v>
      </c>
      <c r="CE918">
        <v>2.5</v>
      </c>
      <c r="CF918">
        <v>18</v>
      </c>
      <c r="CG918">
        <v>6</v>
      </c>
      <c r="CH918">
        <v>0</v>
      </c>
      <c r="CI918">
        <v>50.26</v>
      </c>
      <c r="CJ918">
        <v>471.03140000000002</v>
      </c>
    </row>
    <row r="919" spans="1:88">
      <c r="A919">
        <v>918</v>
      </c>
      <c r="B919" t="s">
        <v>0</v>
      </c>
      <c r="C919" t="s">
        <v>1</v>
      </c>
      <c r="D919" t="s">
        <v>341</v>
      </c>
      <c r="E919" t="s">
        <v>169</v>
      </c>
      <c r="F919" t="s">
        <v>343</v>
      </c>
      <c r="G919" t="s">
        <v>106</v>
      </c>
      <c r="H919" t="s">
        <v>344</v>
      </c>
      <c r="J919">
        <v>2</v>
      </c>
      <c r="K919" t="s">
        <v>146</v>
      </c>
      <c r="L919" t="s">
        <v>381</v>
      </c>
      <c r="M919" t="s">
        <v>173</v>
      </c>
      <c r="N919" t="s">
        <v>174</v>
      </c>
      <c r="O919">
        <v>119</v>
      </c>
      <c r="Q919">
        <v>252</v>
      </c>
      <c r="R919">
        <v>48</v>
      </c>
      <c r="S919">
        <v>4.25</v>
      </c>
      <c r="T919">
        <v>3.2829999999999999</v>
      </c>
      <c r="U919">
        <v>6.15</v>
      </c>
      <c r="V919">
        <v>1072.31</v>
      </c>
      <c r="W919">
        <v>297</v>
      </c>
      <c r="X919">
        <v>1.3332999999999999</v>
      </c>
      <c r="Y919">
        <v>233</v>
      </c>
      <c r="Z919">
        <v>4.6100000000000003</v>
      </c>
      <c r="AJ919">
        <v>2</v>
      </c>
      <c r="AK919">
        <v>18</v>
      </c>
      <c r="AM919">
        <v>0</v>
      </c>
      <c r="AO919" t="s">
        <v>347</v>
      </c>
      <c r="AT919">
        <v>47</v>
      </c>
      <c r="AV919">
        <v>27.4</v>
      </c>
      <c r="AW919">
        <v>0</v>
      </c>
      <c r="AX919">
        <v>0</v>
      </c>
      <c r="AY919">
        <v>27.75</v>
      </c>
      <c r="AZ919">
        <v>3.5</v>
      </c>
      <c r="BA919">
        <v>0</v>
      </c>
      <c r="BB919">
        <v>0</v>
      </c>
      <c r="BC919">
        <v>25</v>
      </c>
      <c r="BN919">
        <v>128.4</v>
      </c>
      <c r="BO919">
        <v>6294</v>
      </c>
      <c r="BP919">
        <v>0</v>
      </c>
      <c r="BQ919">
        <v>41</v>
      </c>
      <c r="BR919">
        <v>41</v>
      </c>
      <c r="BS919">
        <v>40.520000000000003</v>
      </c>
      <c r="BT919">
        <v>0</v>
      </c>
      <c r="BV919">
        <v>0</v>
      </c>
      <c r="BW919" t="s">
        <v>655</v>
      </c>
      <c r="BX919">
        <v>0.17</v>
      </c>
      <c r="BY919">
        <v>6.8883999999999999</v>
      </c>
      <c r="BZ919">
        <v>0</v>
      </c>
      <c r="CA919">
        <v>1</v>
      </c>
      <c r="CB919">
        <v>0.6</v>
      </c>
      <c r="CC919" s="3">
        <v>7.1269159999999998E-2</v>
      </c>
      <c r="CD919">
        <v>2.875</v>
      </c>
      <c r="CE919">
        <v>2.5</v>
      </c>
      <c r="CF919">
        <v>18</v>
      </c>
      <c r="CG919">
        <v>6</v>
      </c>
      <c r="CH919">
        <v>0</v>
      </c>
      <c r="CI919">
        <v>40.520000000000003</v>
      </c>
      <c r="CJ919">
        <v>218.0309</v>
      </c>
    </row>
    <row r="920" spans="1:88">
      <c r="A920">
        <v>919</v>
      </c>
      <c r="B920" t="s">
        <v>0</v>
      </c>
      <c r="C920" t="s">
        <v>1</v>
      </c>
      <c r="D920" t="s">
        <v>101</v>
      </c>
      <c r="E920" t="s">
        <v>219</v>
      </c>
      <c r="F920" t="s">
        <v>339</v>
      </c>
      <c r="G920" t="s">
        <v>106</v>
      </c>
      <c r="H920" t="s">
        <v>167</v>
      </c>
      <c r="J920">
        <v>2</v>
      </c>
      <c r="K920" t="s">
        <v>146</v>
      </c>
      <c r="L920" t="s">
        <v>369</v>
      </c>
      <c r="M920" t="s">
        <v>220</v>
      </c>
      <c r="N920" t="s">
        <v>221</v>
      </c>
      <c r="O920">
        <v>101</v>
      </c>
      <c r="Q920">
        <v>361</v>
      </c>
      <c r="R920">
        <v>83</v>
      </c>
      <c r="S920">
        <v>4.25</v>
      </c>
      <c r="T920">
        <v>2.8119999999999998</v>
      </c>
      <c r="U920">
        <v>5.92</v>
      </c>
      <c r="V920">
        <v>1532.55</v>
      </c>
      <c r="W920">
        <v>489</v>
      </c>
      <c r="X920">
        <v>1.3332999999999999</v>
      </c>
      <c r="Y920">
        <v>370</v>
      </c>
      <c r="Z920">
        <v>4.1399999999999997</v>
      </c>
      <c r="AJ920">
        <v>2</v>
      </c>
      <c r="AK920">
        <v>18</v>
      </c>
      <c r="AM920">
        <v>0</v>
      </c>
      <c r="AO920" t="s">
        <v>327</v>
      </c>
      <c r="AT920">
        <v>40</v>
      </c>
      <c r="AV920">
        <v>45.9</v>
      </c>
      <c r="AW920">
        <v>0</v>
      </c>
      <c r="AX920">
        <v>0</v>
      </c>
      <c r="AY920">
        <v>38.375</v>
      </c>
      <c r="AZ920">
        <v>3.625</v>
      </c>
      <c r="BA920">
        <v>0</v>
      </c>
      <c r="BB920">
        <v>0</v>
      </c>
      <c r="BC920">
        <v>39</v>
      </c>
      <c r="BN920">
        <v>219.35</v>
      </c>
      <c r="BO920">
        <v>2157</v>
      </c>
      <c r="BP920">
        <v>0</v>
      </c>
      <c r="BQ920">
        <v>34</v>
      </c>
      <c r="BR920">
        <v>34</v>
      </c>
      <c r="BS920">
        <v>34.26</v>
      </c>
      <c r="BT920">
        <v>0</v>
      </c>
      <c r="BV920">
        <v>0</v>
      </c>
      <c r="BW920" t="s">
        <v>655</v>
      </c>
      <c r="BX920">
        <v>0.17</v>
      </c>
      <c r="BY920">
        <v>5.8242000000000003</v>
      </c>
      <c r="BZ920">
        <v>0</v>
      </c>
      <c r="CA920">
        <v>1</v>
      </c>
      <c r="CB920">
        <v>0.6</v>
      </c>
      <c r="CC920" s="3">
        <v>7.1269159999999998E-2</v>
      </c>
      <c r="CD920">
        <v>2.875</v>
      </c>
      <c r="CE920">
        <v>2.5</v>
      </c>
      <c r="CF920">
        <v>18</v>
      </c>
      <c r="CG920">
        <v>6</v>
      </c>
      <c r="CH920">
        <v>0</v>
      </c>
      <c r="CI920">
        <v>34.26</v>
      </c>
      <c r="CJ920">
        <v>308.87270000000001</v>
      </c>
    </row>
    <row r="921" spans="1:88">
      <c r="A921">
        <v>920</v>
      </c>
      <c r="B921" t="s">
        <v>0</v>
      </c>
      <c r="C921" t="s">
        <v>1</v>
      </c>
      <c r="D921" t="s">
        <v>139</v>
      </c>
      <c r="E921" t="s">
        <v>366</v>
      </c>
      <c r="F921" t="s">
        <v>155</v>
      </c>
      <c r="G921" t="s">
        <v>106</v>
      </c>
      <c r="H921" t="s">
        <v>151</v>
      </c>
      <c r="J921">
        <v>2</v>
      </c>
      <c r="K921" t="s">
        <v>146</v>
      </c>
      <c r="L921" t="s">
        <v>268</v>
      </c>
      <c r="M921" t="s">
        <v>370</v>
      </c>
      <c r="N921" t="s">
        <v>217</v>
      </c>
      <c r="O921">
        <v>103</v>
      </c>
      <c r="Q921">
        <v>296</v>
      </c>
      <c r="R921">
        <v>68</v>
      </c>
      <c r="S921">
        <v>4.25</v>
      </c>
      <c r="T921">
        <v>2.8650000000000002</v>
      </c>
      <c r="U921">
        <v>5.96</v>
      </c>
      <c r="V921">
        <v>1256.3</v>
      </c>
      <c r="W921">
        <v>407</v>
      </c>
      <c r="X921">
        <v>1.3332999999999999</v>
      </c>
      <c r="Y921">
        <v>300</v>
      </c>
      <c r="Z921">
        <v>4.1900000000000004</v>
      </c>
      <c r="AJ921">
        <v>2</v>
      </c>
      <c r="AK921">
        <v>18</v>
      </c>
      <c r="AM921">
        <v>0</v>
      </c>
      <c r="AO921" t="s">
        <v>154</v>
      </c>
      <c r="AT921">
        <v>41</v>
      </c>
      <c r="AV921">
        <v>36.799999999999997</v>
      </c>
      <c r="AW921">
        <v>0</v>
      </c>
      <c r="AX921">
        <v>0</v>
      </c>
      <c r="AY921">
        <v>32.5</v>
      </c>
      <c r="AZ921">
        <v>3.375</v>
      </c>
      <c r="BA921">
        <v>0</v>
      </c>
      <c r="BB921">
        <v>0</v>
      </c>
      <c r="BC921">
        <v>31</v>
      </c>
      <c r="BN921">
        <v>174.76669999999999</v>
      </c>
      <c r="BO921">
        <v>3397</v>
      </c>
      <c r="BP921">
        <v>0</v>
      </c>
      <c r="BQ921">
        <v>35</v>
      </c>
      <c r="BR921">
        <v>35</v>
      </c>
      <c r="BS921">
        <v>34.950000000000003</v>
      </c>
      <c r="BT921">
        <v>0</v>
      </c>
      <c r="BV921">
        <v>0</v>
      </c>
      <c r="BW921" t="s">
        <v>655</v>
      </c>
      <c r="BX921">
        <v>0.17</v>
      </c>
      <c r="BY921">
        <v>5.9414999999999996</v>
      </c>
      <c r="BZ921">
        <v>0</v>
      </c>
      <c r="CA921">
        <v>1</v>
      </c>
      <c r="CB921">
        <v>0.6</v>
      </c>
      <c r="CC921" s="3">
        <v>7.1269159999999998E-2</v>
      </c>
      <c r="CD921">
        <v>2.875</v>
      </c>
      <c r="CE921">
        <v>2.5</v>
      </c>
      <c r="CF921">
        <v>18</v>
      </c>
      <c r="CG921">
        <v>6</v>
      </c>
      <c r="CH921">
        <v>0</v>
      </c>
      <c r="CI921">
        <v>34.950000000000003</v>
      </c>
      <c r="CJ921">
        <v>252.822</v>
      </c>
    </row>
    <row r="922" spans="1:88">
      <c r="A922">
        <v>921</v>
      </c>
      <c r="B922" t="s">
        <v>0</v>
      </c>
      <c r="C922" t="s">
        <v>1</v>
      </c>
      <c r="D922" t="s">
        <v>375</v>
      </c>
      <c r="E922" t="s">
        <v>438</v>
      </c>
      <c r="F922" t="s">
        <v>140</v>
      </c>
      <c r="G922" t="s">
        <v>106</v>
      </c>
      <c r="H922" t="s">
        <v>342</v>
      </c>
      <c r="J922">
        <v>2</v>
      </c>
      <c r="K922" t="s">
        <v>146</v>
      </c>
      <c r="L922" t="s">
        <v>399</v>
      </c>
      <c r="M922" t="s">
        <v>467</v>
      </c>
      <c r="N922" t="s">
        <v>382</v>
      </c>
      <c r="O922">
        <v>97</v>
      </c>
      <c r="Q922">
        <v>229</v>
      </c>
      <c r="R922">
        <v>52</v>
      </c>
      <c r="S922">
        <v>4.25</v>
      </c>
      <c r="T922">
        <v>2.7040000000000002</v>
      </c>
      <c r="U922">
        <v>5.85</v>
      </c>
      <c r="V922">
        <v>972.1</v>
      </c>
      <c r="W922">
        <v>306</v>
      </c>
      <c r="X922">
        <v>1.3332999999999999</v>
      </c>
      <c r="Y922">
        <v>241</v>
      </c>
      <c r="Z922">
        <v>4.03</v>
      </c>
      <c r="AJ922">
        <v>2</v>
      </c>
      <c r="AK922">
        <v>18</v>
      </c>
      <c r="AM922">
        <v>0</v>
      </c>
      <c r="AO922" t="s">
        <v>345</v>
      </c>
      <c r="AT922">
        <v>39</v>
      </c>
      <c r="AV922">
        <v>29.9</v>
      </c>
      <c r="AW922">
        <v>0</v>
      </c>
      <c r="AX922">
        <v>0</v>
      </c>
      <c r="AY922">
        <v>26.75</v>
      </c>
      <c r="AZ922">
        <v>3</v>
      </c>
      <c r="BA922">
        <v>0</v>
      </c>
      <c r="BB922">
        <v>0</v>
      </c>
      <c r="BC922">
        <v>24</v>
      </c>
      <c r="BN922">
        <v>140.88339999999999</v>
      </c>
      <c r="BO922">
        <v>5228</v>
      </c>
      <c r="BP922">
        <v>0</v>
      </c>
      <c r="BQ922">
        <v>33</v>
      </c>
      <c r="BR922">
        <v>33</v>
      </c>
      <c r="BS922">
        <v>32.86</v>
      </c>
      <c r="BT922">
        <v>0</v>
      </c>
      <c r="BV922">
        <v>0</v>
      </c>
      <c r="BW922" t="s">
        <v>655</v>
      </c>
      <c r="BX922">
        <v>0.17</v>
      </c>
      <c r="BY922">
        <v>5.5861999999999998</v>
      </c>
      <c r="BZ922">
        <v>0</v>
      </c>
      <c r="CA922">
        <v>1</v>
      </c>
      <c r="CB922">
        <v>0.6</v>
      </c>
      <c r="CC922" s="3">
        <v>7.1269159999999998E-2</v>
      </c>
      <c r="CD922">
        <v>2.875</v>
      </c>
      <c r="CE922">
        <v>2.5</v>
      </c>
      <c r="CF922">
        <v>18</v>
      </c>
      <c r="CG922">
        <v>6</v>
      </c>
      <c r="CH922">
        <v>0</v>
      </c>
      <c r="CI922">
        <v>32.86</v>
      </c>
      <c r="CJ922">
        <v>193.2071</v>
      </c>
    </row>
    <row r="923" spans="1:88">
      <c r="A923">
        <v>922</v>
      </c>
      <c r="B923" t="s">
        <v>0</v>
      </c>
      <c r="C923" t="s">
        <v>1</v>
      </c>
      <c r="D923" t="s">
        <v>113</v>
      </c>
      <c r="E923" t="s">
        <v>101</v>
      </c>
      <c r="F923" t="s">
        <v>262</v>
      </c>
      <c r="G923" t="s">
        <v>106</v>
      </c>
      <c r="H923" t="s">
        <v>263</v>
      </c>
      <c r="J923">
        <v>2</v>
      </c>
      <c r="K923" t="s">
        <v>108</v>
      </c>
      <c r="L923" t="s">
        <v>145</v>
      </c>
      <c r="M923" t="s">
        <v>403</v>
      </c>
      <c r="N923" t="s">
        <v>172</v>
      </c>
      <c r="O923">
        <v>134</v>
      </c>
      <c r="Q923">
        <v>630</v>
      </c>
      <c r="R923">
        <v>109</v>
      </c>
      <c r="S923">
        <v>4.25</v>
      </c>
      <c r="T923">
        <v>3.66</v>
      </c>
      <c r="U923">
        <v>6.41</v>
      </c>
      <c r="V923">
        <v>2678.81</v>
      </c>
      <c r="W923">
        <v>696</v>
      </c>
      <c r="X923">
        <v>1.3332999999999999</v>
      </c>
      <c r="Y923">
        <v>537</v>
      </c>
      <c r="Z923">
        <v>4.99</v>
      </c>
      <c r="AJ923">
        <v>2</v>
      </c>
      <c r="AK923">
        <v>18</v>
      </c>
      <c r="AM923">
        <v>0</v>
      </c>
      <c r="AO923" t="s">
        <v>266</v>
      </c>
      <c r="AT923">
        <v>52</v>
      </c>
      <c r="AV923">
        <v>62.3</v>
      </c>
      <c r="AW923">
        <v>0.40625</v>
      </c>
      <c r="AX923">
        <v>3.75</v>
      </c>
      <c r="AY923">
        <v>36.25</v>
      </c>
      <c r="AZ923">
        <v>4</v>
      </c>
      <c r="BA923">
        <v>268.41000000000003</v>
      </c>
      <c r="BB923">
        <v>4.93</v>
      </c>
      <c r="BC923">
        <v>34</v>
      </c>
      <c r="BD923">
        <v>0.40625</v>
      </c>
      <c r="BE923">
        <v>3.75</v>
      </c>
      <c r="BF923">
        <v>36.25</v>
      </c>
      <c r="BG923">
        <v>4</v>
      </c>
      <c r="BH923">
        <v>268.41000000000003</v>
      </c>
      <c r="BI923">
        <v>4.93</v>
      </c>
      <c r="BJ923">
        <v>34</v>
      </c>
      <c r="BL923">
        <v>536.82000000000005</v>
      </c>
      <c r="BM923">
        <v>68</v>
      </c>
      <c r="BN923">
        <v>299.60000000000002</v>
      </c>
      <c r="BO923">
        <v>1156</v>
      </c>
      <c r="BP923">
        <v>0</v>
      </c>
      <c r="BQ923">
        <v>46</v>
      </c>
      <c r="BR923">
        <v>46</v>
      </c>
      <c r="BS923">
        <v>45.73</v>
      </c>
      <c r="BT923">
        <v>0</v>
      </c>
      <c r="BV923">
        <v>0</v>
      </c>
      <c r="BW923" t="s">
        <v>655</v>
      </c>
      <c r="BX923">
        <v>0.17</v>
      </c>
      <c r="BY923">
        <v>7.7740999999999998</v>
      </c>
      <c r="BZ923">
        <v>0</v>
      </c>
      <c r="CA923">
        <v>1</v>
      </c>
      <c r="CB923">
        <v>0.6</v>
      </c>
      <c r="CC923" s="3">
        <v>7.1269159999999998E-2</v>
      </c>
      <c r="CD923">
        <v>2.875</v>
      </c>
      <c r="CE923">
        <v>2.5</v>
      </c>
      <c r="CF923">
        <v>18</v>
      </c>
      <c r="CG923">
        <v>6</v>
      </c>
      <c r="CH923">
        <v>0</v>
      </c>
      <c r="CI923">
        <v>45.73</v>
      </c>
      <c r="CJ923">
        <v>560.16449999999998</v>
      </c>
    </row>
    <row r="924" spans="1:88">
      <c r="A924">
        <v>923</v>
      </c>
      <c r="B924" t="s">
        <v>0</v>
      </c>
      <c r="C924" t="s">
        <v>1</v>
      </c>
      <c r="D924" t="s">
        <v>143</v>
      </c>
      <c r="E924" t="s">
        <v>150</v>
      </c>
      <c r="F924" t="s">
        <v>144</v>
      </c>
      <c r="G924" t="s">
        <v>106</v>
      </c>
      <c r="H924" t="s">
        <v>145</v>
      </c>
      <c r="J924">
        <v>2</v>
      </c>
      <c r="K924" t="s">
        <v>146</v>
      </c>
      <c r="L924" t="s">
        <v>96</v>
      </c>
      <c r="M924" t="s">
        <v>159</v>
      </c>
      <c r="N924" t="s">
        <v>130</v>
      </c>
      <c r="O924">
        <v>111</v>
      </c>
      <c r="Q924">
        <v>457</v>
      </c>
      <c r="R924">
        <v>95</v>
      </c>
      <c r="S924">
        <v>4.25</v>
      </c>
      <c r="T924">
        <v>3.0760000000000001</v>
      </c>
      <c r="U924">
        <v>6.14</v>
      </c>
      <c r="V924">
        <v>1940.42</v>
      </c>
      <c r="W924">
        <v>581</v>
      </c>
      <c r="X924">
        <v>1.3332999999999999</v>
      </c>
      <c r="Y924">
        <v>441</v>
      </c>
      <c r="Z924">
        <v>4.4000000000000004</v>
      </c>
      <c r="AJ924">
        <v>2</v>
      </c>
      <c r="AK924">
        <v>18</v>
      </c>
      <c r="AM924">
        <v>0</v>
      </c>
      <c r="AO924" t="s">
        <v>149</v>
      </c>
      <c r="AT924">
        <v>44</v>
      </c>
      <c r="AV924">
        <v>53.5</v>
      </c>
      <c r="AW924">
        <v>0</v>
      </c>
      <c r="AX924">
        <v>0</v>
      </c>
      <c r="AY924">
        <v>46</v>
      </c>
      <c r="AZ924">
        <v>4.125</v>
      </c>
      <c r="BA924">
        <v>0</v>
      </c>
      <c r="BB924">
        <v>0</v>
      </c>
      <c r="BC924">
        <v>49</v>
      </c>
      <c r="BN924">
        <v>256.80009999999999</v>
      </c>
      <c r="BO924">
        <v>1574</v>
      </c>
      <c r="BP924">
        <v>0</v>
      </c>
      <c r="BQ924">
        <v>38</v>
      </c>
      <c r="BR924">
        <v>38</v>
      </c>
      <c r="BS924">
        <v>37.729999999999997</v>
      </c>
      <c r="BT924">
        <v>0</v>
      </c>
      <c r="BV924">
        <v>0</v>
      </c>
      <c r="BW924" t="s">
        <v>655</v>
      </c>
      <c r="BX924">
        <v>0.17</v>
      </c>
      <c r="BY924">
        <v>6.4141000000000004</v>
      </c>
      <c r="BZ924">
        <v>0</v>
      </c>
      <c r="CA924">
        <v>1</v>
      </c>
      <c r="CB924">
        <v>0.6</v>
      </c>
      <c r="CC924" s="3">
        <v>7.1269159999999998E-2</v>
      </c>
      <c r="CD924">
        <v>2.875</v>
      </c>
      <c r="CE924">
        <v>2.5</v>
      </c>
      <c r="CF924">
        <v>18</v>
      </c>
      <c r="CG924">
        <v>6</v>
      </c>
      <c r="CH924">
        <v>0</v>
      </c>
      <c r="CI924">
        <v>37.729999999999997</v>
      </c>
      <c r="CJ924">
        <v>396.62529999999998</v>
      </c>
    </row>
    <row r="925" spans="1:88">
      <c r="A925">
        <v>924</v>
      </c>
      <c r="B925" t="s">
        <v>13</v>
      </c>
      <c r="C925" t="s">
        <v>1</v>
      </c>
      <c r="D925" t="s">
        <v>353</v>
      </c>
      <c r="E925" t="s">
        <v>2</v>
      </c>
      <c r="F925" t="s">
        <v>517</v>
      </c>
      <c r="G925" t="s">
        <v>106</v>
      </c>
      <c r="H925" t="s">
        <v>518</v>
      </c>
      <c r="J925">
        <v>2</v>
      </c>
      <c r="K925" t="s">
        <v>108</v>
      </c>
      <c r="L925" t="s">
        <v>122</v>
      </c>
      <c r="M925" t="s">
        <v>4</v>
      </c>
      <c r="N925" t="s">
        <v>5</v>
      </c>
      <c r="O925">
        <v>107</v>
      </c>
      <c r="Q925">
        <v>466</v>
      </c>
      <c r="R925">
        <v>99</v>
      </c>
      <c r="S925">
        <v>4.25</v>
      </c>
      <c r="T925">
        <v>2.9710000000000001</v>
      </c>
      <c r="U925">
        <v>6.07</v>
      </c>
      <c r="V925">
        <v>1982.45</v>
      </c>
      <c r="W925">
        <v>603</v>
      </c>
      <c r="X925">
        <v>1.3332999999999999</v>
      </c>
      <c r="Y925">
        <v>461</v>
      </c>
      <c r="Z925">
        <v>4.3</v>
      </c>
      <c r="AJ925">
        <v>2</v>
      </c>
      <c r="AK925">
        <v>18</v>
      </c>
      <c r="AM925">
        <v>0</v>
      </c>
      <c r="AO925" t="s">
        <v>182</v>
      </c>
      <c r="AT925">
        <v>42</v>
      </c>
      <c r="AV925">
        <v>56.5</v>
      </c>
      <c r="AW925">
        <v>0</v>
      </c>
      <c r="AX925">
        <v>0</v>
      </c>
      <c r="AY925">
        <v>44</v>
      </c>
      <c r="AZ925">
        <v>4</v>
      </c>
      <c r="BA925">
        <v>0</v>
      </c>
      <c r="BB925">
        <v>0</v>
      </c>
      <c r="BC925">
        <v>47</v>
      </c>
      <c r="BN925">
        <v>271.06670000000003</v>
      </c>
      <c r="BO925">
        <v>1412</v>
      </c>
      <c r="BP925">
        <v>0</v>
      </c>
      <c r="BQ925">
        <v>36</v>
      </c>
      <c r="BR925">
        <v>36</v>
      </c>
      <c r="BS925">
        <v>36.340000000000003</v>
      </c>
      <c r="BT925">
        <v>0</v>
      </c>
      <c r="BV925">
        <v>0</v>
      </c>
      <c r="BW925" t="s">
        <v>655</v>
      </c>
      <c r="BX925">
        <v>0.17</v>
      </c>
      <c r="BY925">
        <v>6.1778000000000004</v>
      </c>
      <c r="BZ925">
        <v>0</v>
      </c>
      <c r="CA925">
        <v>1</v>
      </c>
      <c r="CB925">
        <v>0.6</v>
      </c>
      <c r="CC925" s="3">
        <v>7.1269159999999998E-2</v>
      </c>
      <c r="CD925">
        <v>2.875</v>
      </c>
      <c r="CE925">
        <v>2.5</v>
      </c>
      <c r="CF925">
        <v>18</v>
      </c>
      <c r="CG925">
        <v>6</v>
      </c>
      <c r="CH925">
        <v>0</v>
      </c>
      <c r="CI925">
        <v>36.340000000000003</v>
      </c>
      <c r="CJ925">
        <v>403.70400000000001</v>
      </c>
    </row>
    <row r="926" spans="1:88">
      <c r="A926">
        <v>925</v>
      </c>
      <c r="B926" t="s">
        <v>13</v>
      </c>
      <c r="C926" t="s">
        <v>1</v>
      </c>
      <c r="D926" t="s">
        <v>143</v>
      </c>
      <c r="E926" t="s">
        <v>552</v>
      </c>
      <c r="F926" t="s">
        <v>144</v>
      </c>
      <c r="G926" t="s">
        <v>106</v>
      </c>
      <c r="H926" t="s">
        <v>145</v>
      </c>
      <c r="J926">
        <v>2</v>
      </c>
      <c r="K926" t="s">
        <v>146</v>
      </c>
      <c r="L926" t="s">
        <v>104</v>
      </c>
      <c r="M926" t="s">
        <v>600</v>
      </c>
      <c r="N926" t="s">
        <v>348</v>
      </c>
      <c r="O926">
        <v>171</v>
      </c>
      <c r="Q926">
        <v>680</v>
      </c>
      <c r="R926">
        <v>95</v>
      </c>
      <c r="S926">
        <v>4.25</v>
      </c>
      <c r="T926">
        <v>4.5380000000000003</v>
      </c>
      <c r="U926">
        <v>6.93</v>
      </c>
      <c r="V926">
        <v>2887.91</v>
      </c>
      <c r="W926">
        <v>656</v>
      </c>
      <c r="X926">
        <v>1.3332999999999999</v>
      </c>
      <c r="Y926">
        <v>492</v>
      </c>
      <c r="Z926">
        <v>5.87</v>
      </c>
      <c r="AJ926">
        <v>2</v>
      </c>
      <c r="AK926">
        <v>18</v>
      </c>
      <c r="AM926">
        <v>0</v>
      </c>
      <c r="AO926" t="s">
        <v>149</v>
      </c>
      <c r="AT926">
        <v>65</v>
      </c>
      <c r="AV926">
        <v>53.5</v>
      </c>
      <c r="AW926">
        <v>0.4375</v>
      </c>
      <c r="AX926">
        <v>3.75</v>
      </c>
      <c r="AY926">
        <v>52.625</v>
      </c>
      <c r="AZ926">
        <v>5.125</v>
      </c>
      <c r="BA926">
        <v>270.58</v>
      </c>
      <c r="BB926">
        <v>6.08</v>
      </c>
      <c r="BC926">
        <v>53</v>
      </c>
      <c r="BD926">
        <v>0.40625</v>
      </c>
      <c r="BE926">
        <v>3.75</v>
      </c>
      <c r="BF926">
        <v>44</v>
      </c>
      <c r="BG926">
        <v>4.75</v>
      </c>
      <c r="BH926">
        <v>221.39</v>
      </c>
      <c r="BI926">
        <v>5.98</v>
      </c>
      <c r="BJ926">
        <v>42</v>
      </c>
      <c r="BL926">
        <v>491.97</v>
      </c>
      <c r="BM926">
        <v>94</v>
      </c>
      <c r="BN926">
        <v>256.80009999999999</v>
      </c>
      <c r="BO926">
        <v>1574</v>
      </c>
      <c r="BP926">
        <v>0</v>
      </c>
      <c r="BQ926">
        <v>59</v>
      </c>
      <c r="BR926">
        <v>59</v>
      </c>
      <c r="BS926">
        <v>58.6</v>
      </c>
      <c r="BT926">
        <v>0</v>
      </c>
      <c r="BV926">
        <v>0</v>
      </c>
      <c r="BW926" t="s">
        <v>655</v>
      </c>
      <c r="BX926">
        <v>0.17</v>
      </c>
      <c r="BY926">
        <v>9.9619999999999997</v>
      </c>
      <c r="BZ926">
        <v>0</v>
      </c>
      <c r="CA926">
        <v>1</v>
      </c>
      <c r="CB926">
        <v>0.6</v>
      </c>
      <c r="CC926" s="3">
        <v>7.1269159999999998E-2</v>
      </c>
      <c r="CD926">
        <v>2.875</v>
      </c>
      <c r="CE926">
        <v>2.5</v>
      </c>
      <c r="CF926">
        <v>18</v>
      </c>
      <c r="CG926">
        <v>6</v>
      </c>
      <c r="CH926">
        <v>0</v>
      </c>
      <c r="CI926">
        <v>58.6</v>
      </c>
      <c r="CJ926">
        <v>616.01499999999999</v>
      </c>
    </row>
    <row r="927" spans="1:88">
      <c r="A927">
        <v>926</v>
      </c>
      <c r="B927" t="s">
        <v>13</v>
      </c>
      <c r="C927" t="s">
        <v>1</v>
      </c>
      <c r="D927" t="s">
        <v>377</v>
      </c>
      <c r="E927" t="s">
        <v>267</v>
      </c>
      <c r="F927" t="s">
        <v>378</v>
      </c>
      <c r="G927" t="s">
        <v>20</v>
      </c>
      <c r="H927" t="s">
        <v>377</v>
      </c>
      <c r="J927">
        <v>2</v>
      </c>
      <c r="K927" t="s">
        <v>9</v>
      </c>
      <c r="L927" t="s">
        <v>113</v>
      </c>
      <c r="M927" t="s">
        <v>232</v>
      </c>
      <c r="N927" t="s">
        <v>258</v>
      </c>
      <c r="O927">
        <v>159</v>
      </c>
      <c r="Q927">
        <v>1058</v>
      </c>
      <c r="R927">
        <v>155</v>
      </c>
      <c r="S927">
        <v>4.25</v>
      </c>
      <c r="T927">
        <v>4.26</v>
      </c>
      <c r="U927">
        <v>6.75</v>
      </c>
      <c r="V927">
        <v>4497.5200000000004</v>
      </c>
      <c r="W927">
        <v>1047</v>
      </c>
      <c r="X927">
        <v>1.3332999999999999</v>
      </c>
      <c r="Y927">
        <v>805</v>
      </c>
      <c r="Z927">
        <v>5.59</v>
      </c>
      <c r="AJ927">
        <v>2</v>
      </c>
      <c r="AK927">
        <v>18</v>
      </c>
      <c r="AM927">
        <v>0</v>
      </c>
      <c r="AO927" t="s">
        <v>380</v>
      </c>
      <c r="AT927">
        <v>61</v>
      </c>
      <c r="AV927">
        <v>89.2</v>
      </c>
      <c r="AW927" t="s">
        <v>6</v>
      </c>
      <c r="AX927" t="s">
        <v>6</v>
      </c>
      <c r="AY927" t="s">
        <v>6</v>
      </c>
      <c r="AZ927" t="s">
        <v>6</v>
      </c>
      <c r="BA927" t="s">
        <v>6</v>
      </c>
      <c r="BB927" t="s">
        <v>6</v>
      </c>
      <c r="BC927" t="s">
        <v>6</v>
      </c>
      <c r="BD927" t="s">
        <v>6</v>
      </c>
      <c r="BE927" t="s">
        <v>6</v>
      </c>
      <c r="BF927" t="s">
        <v>6</v>
      </c>
      <c r="BG927" t="s">
        <v>6</v>
      </c>
      <c r="BH927" t="s">
        <v>6</v>
      </c>
      <c r="BI927" t="s">
        <v>6</v>
      </c>
      <c r="BJ927" t="s">
        <v>6</v>
      </c>
      <c r="BN927">
        <v>669.48289999999997</v>
      </c>
      <c r="BO927">
        <v>2672</v>
      </c>
      <c r="BP927">
        <v>0</v>
      </c>
      <c r="BQ927">
        <v>54</v>
      </c>
      <c r="BR927">
        <v>54</v>
      </c>
      <c r="BS927">
        <v>54.43</v>
      </c>
      <c r="BT927">
        <v>0</v>
      </c>
      <c r="BV927">
        <v>6</v>
      </c>
      <c r="BW927" t="s">
        <v>655</v>
      </c>
      <c r="BX927">
        <v>0.27933340000000001</v>
      </c>
      <c r="BY927">
        <v>15.20412</v>
      </c>
      <c r="BZ927">
        <v>0</v>
      </c>
      <c r="CA927">
        <v>1</v>
      </c>
      <c r="CB927">
        <v>0.6</v>
      </c>
      <c r="CC927" s="3">
        <v>7.1269159999999998E-2</v>
      </c>
      <c r="CD927">
        <v>2.875</v>
      </c>
      <c r="CE927">
        <v>2.5</v>
      </c>
      <c r="CF927">
        <v>18</v>
      </c>
      <c r="CG927">
        <v>6</v>
      </c>
      <c r="CH927">
        <v>0</v>
      </c>
      <c r="CI927">
        <v>54.43</v>
      </c>
      <c r="CJ927">
        <v>953.79340000000002</v>
      </c>
    </row>
    <row r="928" spans="1:88">
      <c r="A928">
        <v>927</v>
      </c>
      <c r="B928" t="s">
        <v>0</v>
      </c>
      <c r="C928" t="s">
        <v>1</v>
      </c>
      <c r="D928" t="s">
        <v>487</v>
      </c>
      <c r="E928" t="s">
        <v>143</v>
      </c>
      <c r="F928" t="s">
        <v>488</v>
      </c>
      <c r="G928" t="s">
        <v>15</v>
      </c>
      <c r="H928" t="s">
        <v>487</v>
      </c>
      <c r="J928">
        <v>2</v>
      </c>
      <c r="K928" t="s">
        <v>9</v>
      </c>
      <c r="L928" t="s">
        <v>297</v>
      </c>
      <c r="M928" t="s">
        <v>206</v>
      </c>
      <c r="N928" t="s">
        <v>131</v>
      </c>
      <c r="O928">
        <v>155</v>
      </c>
      <c r="Q928">
        <v>1000</v>
      </c>
      <c r="R928">
        <v>150</v>
      </c>
      <c r="S928">
        <v>4.25</v>
      </c>
      <c r="T928">
        <v>4.1660000000000004</v>
      </c>
      <c r="U928">
        <v>6.78</v>
      </c>
      <c r="V928">
        <v>4251.4799999999996</v>
      </c>
      <c r="W928">
        <v>1018</v>
      </c>
      <c r="X928">
        <v>1.3332999999999999</v>
      </c>
      <c r="Y928">
        <v>774</v>
      </c>
      <c r="Z928">
        <v>5.49</v>
      </c>
      <c r="AJ928">
        <v>2</v>
      </c>
      <c r="AK928">
        <v>18</v>
      </c>
      <c r="AM928">
        <v>0</v>
      </c>
      <c r="AO928" t="s">
        <v>489</v>
      </c>
      <c r="AT928">
        <v>59</v>
      </c>
      <c r="AV928">
        <v>86.3</v>
      </c>
      <c r="AW928" t="s">
        <v>6</v>
      </c>
      <c r="AX928" t="s">
        <v>6</v>
      </c>
      <c r="AY928" t="s">
        <v>6</v>
      </c>
      <c r="AZ928" t="s">
        <v>6</v>
      </c>
      <c r="BA928" t="s">
        <v>6</v>
      </c>
      <c r="BB928" t="s">
        <v>6</v>
      </c>
      <c r="BC928" t="s">
        <v>6</v>
      </c>
      <c r="BD928" t="s">
        <v>6</v>
      </c>
      <c r="BE928" t="s">
        <v>6</v>
      </c>
      <c r="BF928" t="s">
        <v>6</v>
      </c>
      <c r="BG928" t="s">
        <v>6</v>
      </c>
      <c r="BH928" t="s">
        <v>6</v>
      </c>
      <c r="BI928" t="s">
        <v>6</v>
      </c>
      <c r="BJ928" t="s">
        <v>6</v>
      </c>
      <c r="BN928">
        <v>738.75559999999996</v>
      </c>
      <c r="BO928">
        <v>2004</v>
      </c>
      <c r="BP928">
        <v>0</v>
      </c>
      <c r="BQ928">
        <v>53</v>
      </c>
      <c r="BR928">
        <v>53</v>
      </c>
      <c r="BS928">
        <v>53.04</v>
      </c>
      <c r="BT928">
        <v>0</v>
      </c>
      <c r="BV928">
        <v>6</v>
      </c>
      <c r="BW928" t="s">
        <v>655</v>
      </c>
      <c r="BX928">
        <v>0.27933340000000001</v>
      </c>
      <c r="BY928">
        <v>14.81584</v>
      </c>
      <c r="BZ928">
        <v>0</v>
      </c>
      <c r="CA928">
        <v>1</v>
      </c>
      <c r="CB928">
        <v>0.6</v>
      </c>
      <c r="CC928" s="3">
        <v>7.1269159999999998E-2</v>
      </c>
      <c r="CD928">
        <v>2.875</v>
      </c>
      <c r="CE928">
        <v>2.5</v>
      </c>
      <c r="CF928">
        <v>18</v>
      </c>
      <c r="CG928">
        <v>6</v>
      </c>
      <c r="CH928">
        <v>0</v>
      </c>
      <c r="CI928">
        <v>53.04</v>
      </c>
      <c r="CJ928">
        <v>899.19510000000002</v>
      </c>
    </row>
    <row r="929" spans="1:88">
      <c r="A929">
        <v>928</v>
      </c>
      <c r="B929" t="s">
        <v>13</v>
      </c>
      <c r="C929" t="s">
        <v>1</v>
      </c>
      <c r="D929" t="s">
        <v>328</v>
      </c>
      <c r="E929" t="s">
        <v>187</v>
      </c>
      <c r="F929" t="s">
        <v>329</v>
      </c>
      <c r="G929" t="s">
        <v>20</v>
      </c>
      <c r="H929" t="s">
        <v>328</v>
      </c>
      <c r="J929">
        <v>2</v>
      </c>
      <c r="K929" t="s">
        <v>9</v>
      </c>
      <c r="L929" t="s">
        <v>713</v>
      </c>
      <c r="M929" t="s">
        <v>515</v>
      </c>
      <c r="N929" t="s">
        <v>672</v>
      </c>
      <c r="O929">
        <v>238</v>
      </c>
      <c r="Q929">
        <v>1535</v>
      </c>
      <c r="R929">
        <v>168</v>
      </c>
      <c r="S929">
        <v>4.25</v>
      </c>
      <c r="T929">
        <v>5.9779999999999998</v>
      </c>
      <c r="U929">
        <v>7.87</v>
      </c>
      <c r="V929">
        <v>6523.96</v>
      </c>
      <c r="W929">
        <v>1321</v>
      </c>
      <c r="X929">
        <v>1.5</v>
      </c>
      <c r="Y929">
        <v>873</v>
      </c>
      <c r="Z929">
        <v>7.47</v>
      </c>
      <c r="AJ929">
        <v>2</v>
      </c>
      <c r="AK929">
        <v>18</v>
      </c>
      <c r="AM929">
        <v>0</v>
      </c>
      <c r="AO929" t="s">
        <v>331</v>
      </c>
      <c r="AT929">
        <v>88</v>
      </c>
      <c r="AV929">
        <v>88.5</v>
      </c>
      <c r="AW929" t="s">
        <v>6</v>
      </c>
      <c r="AX929" t="s">
        <v>6</v>
      </c>
      <c r="AY929" t="s">
        <v>6</v>
      </c>
      <c r="AZ929" t="s">
        <v>6</v>
      </c>
      <c r="BA929" t="s">
        <v>6</v>
      </c>
      <c r="BB929" t="s">
        <v>6</v>
      </c>
      <c r="BC929" t="s">
        <v>6</v>
      </c>
      <c r="BD929" t="s">
        <v>6</v>
      </c>
      <c r="BE929" t="s">
        <v>6</v>
      </c>
      <c r="BF929" t="s">
        <v>6</v>
      </c>
      <c r="BG929" t="s">
        <v>6</v>
      </c>
      <c r="BH929" t="s">
        <v>6</v>
      </c>
      <c r="BI929" t="s">
        <v>6</v>
      </c>
      <c r="BJ929" t="s">
        <v>6</v>
      </c>
      <c r="BN929">
        <v>663.95</v>
      </c>
      <c r="BO929">
        <v>2716</v>
      </c>
      <c r="BP929">
        <v>0</v>
      </c>
      <c r="BQ929">
        <v>82</v>
      </c>
      <c r="BR929">
        <v>82</v>
      </c>
      <c r="BS929">
        <v>81.91001</v>
      </c>
      <c r="BT929">
        <v>0</v>
      </c>
      <c r="BV929">
        <v>6</v>
      </c>
      <c r="BW929" t="s">
        <v>655</v>
      </c>
      <c r="BX929">
        <v>0.27933340000000001</v>
      </c>
      <c r="BY929">
        <v>22.880199999999999</v>
      </c>
      <c r="BZ929">
        <v>0</v>
      </c>
      <c r="CA929">
        <v>1</v>
      </c>
      <c r="CB929">
        <v>0.6</v>
      </c>
      <c r="CC929" s="3">
        <v>7.1269159999999998E-2</v>
      </c>
      <c r="CD929">
        <v>2.875</v>
      </c>
      <c r="CE929">
        <v>2.5</v>
      </c>
      <c r="CF929">
        <v>18</v>
      </c>
      <c r="CG929">
        <v>6</v>
      </c>
      <c r="CH929">
        <v>0</v>
      </c>
      <c r="CI929">
        <v>81.91001</v>
      </c>
      <c r="CJ929">
        <v>1423.6590000000001</v>
      </c>
    </row>
    <row r="930" spans="1:88">
      <c r="A930">
        <v>929</v>
      </c>
      <c r="B930" t="s">
        <v>0</v>
      </c>
      <c r="C930" t="s">
        <v>1</v>
      </c>
      <c r="D930" t="s">
        <v>113</v>
      </c>
      <c r="E930" t="s">
        <v>104</v>
      </c>
      <c r="F930" t="s">
        <v>262</v>
      </c>
      <c r="G930" t="s">
        <v>214</v>
      </c>
      <c r="H930" t="s">
        <v>263</v>
      </c>
      <c r="J930">
        <v>2</v>
      </c>
      <c r="K930" t="s">
        <v>108</v>
      </c>
      <c r="L930" t="s">
        <v>109</v>
      </c>
      <c r="M930" t="s">
        <v>110</v>
      </c>
      <c r="N930" t="s">
        <v>111</v>
      </c>
      <c r="O930">
        <v>191</v>
      </c>
      <c r="Q930">
        <v>877</v>
      </c>
      <c r="R930">
        <v>109</v>
      </c>
      <c r="S930">
        <v>4.25</v>
      </c>
      <c r="T930">
        <v>4.9850000000000003</v>
      </c>
      <c r="U930">
        <v>7.27</v>
      </c>
      <c r="V930">
        <v>3725.5</v>
      </c>
      <c r="W930">
        <v>789</v>
      </c>
      <c r="X930">
        <v>1.3332999999999999</v>
      </c>
      <c r="Y930">
        <v>590</v>
      </c>
      <c r="Z930">
        <v>6.31</v>
      </c>
      <c r="AJ930">
        <v>2</v>
      </c>
      <c r="AK930">
        <v>18</v>
      </c>
      <c r="AM930">
        <v>0</v>
      </c>
      <c r="AO930" t="s">
        <v>266</v>
      </c>
      <c r="AT930">
        <v>72</v>
      </c>
      <c r="AV930">
        <v>62.3</v>
      </c>
      <c r="AW930">
        <v>0.46875</v>
      </c>
      <c r="AX930">
        <v>3.75</v>
      </c>
      <c r="AY930">
        <v>68.625</v>
      </c>
      <c r="AZ930">
        <v>5.875</v>
      </c>
      <c r="BA930">
        <v>295.2</v>
      </c>
      <c r="BB930">
        <v>6.67</v>
      </c>
      <c r="BC930">
        <v>74</v>
      </c>
      <c r="BD930">
        <v>0.46875</v>
      </c>
      <c r="BE930">
        <v>3.75</v>
      </c>
      <c r="BF930">
        <v>68.625</v>
      </c>
      <c r="BG930">
        <v>5.875</v>
      </c>
      <c r="BH930">
        <v>295.2</v>
      </c>
      <c r="BI930">
        <v>6.67</v>
      </c>
      <c r="BJ930">
        <v>74</v>
      </c>
      <c r="BL930">
        <v>590.4</v>
      </c>
      <c r="BM930">
        <v>147</v>
      </c>
      <c r="BN930">
        <v>302.12</v>
      </c>
      <c r="BO930">
        <v>1426</v>
      </c>
      <c r="BP930">
        <v>0</v>
      </c>
      <c r="BQ930">
        <v>66</v>
      </c>
      <c r="BR930">
        <v>66</v>
      </c>
      <c r="BS930">
        <v>65.56</v>
      </c>
      <c r="BT930">
        <v>0</v>
      </c>
      <c r="BV930">
        <v>0</v>
      </c>
      <c r="BW930" t="s">
        <v>655</v>
      </c>
      <c r="BX930">
        <v>0.17</v>
      </c>
      <c r="BY930">
        <v>11.145200000000001</v>
      </c>
      <c r="BZ930">
        <v>0</v>
      </c>
      <c r="CA930">
        <v>1</v>
      </c>
      <c r="CB930">
        <v>0.6</v>
      </c>
      <c r="CC930" s="3">
        <v>7.1269159999999998E-2</v>
      </c>
      <c r="CD930">
        <v>2.875</v>
      </c>
      <c r="CE930">
        <v>2.5</v>
      </c>
      <c r="CF930">
        <v>18</v>
      </c>
      <c r="CG930">
        <v>6</v>
      </c>
      <c r="CH930">
        <v>0</v>
      </c>
      <c r="CI930">
        <v>65.56</v>
      </c>
      <c r="CJ930">
        <v>803.06979999999999</v>
      </c>
    </row>
    <row r="931" spans="1:88">
      <c r="A931">
        <v>930</v>
      </c>
      <c r="B931" t="s">
        <v>13</v>
      </c>
      <c r="C931" t="s">
        <v>1</v>
      </c>
      <c r="D931" t="s">
        <v>96</v>
      </c>
      <c r="E931" t="s">
        <v>364</v>
      </c>
      <c r="F931" t="s">
        <v>198</v>
      </c>
      <c r="G931" t="s">
        <v>106</v>
      </c>
      <c r="H931" t="s">
        <v>162</v>
      </c>
      <c r="J931">
        <v>2</v>
      </c>
      <c r="K931" t="s">
        <v>146</v>
      </c>
      <c r="L931" t="s">
        <v>314</v>
      </c>
      <c r="M931" t="s">
        <v>298</v>
      </c>
      <c r="N931" t="s">
        <v>234</v>
      </c>
      <c r="O931">
        <v>144</v>
      </c>
      <c r="Q931">
        <v>486</v>
      </c>
      <c r="R931">
        <v>81</v>
      </c>
      <c r="S931">
        <v>4.25</v>
      </c>
      <c r="T931">
        <v>3.9039999999999999</v>
      </c>
      <c r="U931">
        <v>6.6</v>
      </c>
      <c r="V931">
        <v>2066.81</v>
      </c>
      <c r="W931">
        <v>534</v>
      </c>
      <c r="X931">
        <v>1.3332999999999999</v>
      </c>
      <c r="Y931">
        <v>395</v>
      </c>
      <c r="Z931">
        <v>5.23</v>
      </c>
      <c r="AJ931">
        <v>2</v>
      </c>
      <c r="AK931">
        <v>18</v>
      </c>
      <c r="AM931">
        <v>0</v>
      </c>
      <c r="AO931" t="s">
        <v>166</v>
      </c>
      <c r="AT931">
        <v>55</v>
      </c>
      <c r="AV931">
        <v>44.8</v>
      </c>
      <c r="AW931">
        <v>0.46875</v>
      </c>
      <c r="AX931">
        <v>3.75</v>
      </c>
      <c r="AY931">
        <v>53.75</v>
      </c>
      <c r="AZ931">
        <v>4.875</v>
      </c>
      <c r="BA931">
        <v>376.83</v>
      </c>
      <c r="BB931">
        <v>5.23</v>
      </c>
      <c r="BC931">
        <v>58</v>
      </c>
      <c r="BD931">
        <v>0.1875</v>
      </c>
      <c r="BE931">
        <v>2.75</v>
      </c>
      <c r="BF931">
        <v>14.5</v>
      </c>
      <c r="BG931">
        <v>2</v>
      </c>
      <c r="BH931">
        <v>18.350000000000001</v>
      </c>
      <c r="BI931">
        <v>8.26</v>
      </c>
      <c r="BJ931">
        <v>5</v>
      </c>
      <c r="BL931">
        <v>395.18</v>
      </c>
      <c r="BM931">
        <v>62</v>
      </c>
      <c r="BN931">
        <v>214</v>
      </c>
      <c r="BO931">
        <v>2266</v>
      </c>
      <c r="BP931">
        <v>0</v>
      </c>
      <c r="BQ931">
        <v>49</v>
      </c>
      <c r="BR931">
        <v>49</v>
      </c>
      <c r="BS931">
        <v>49.21</v>
      </c>
      <c r="BT931">
        <v>0</v>
      </c>
      <c r="BV931">
        <v>0</v>
      </c>
      <c r="BW931" t="s">
        <v>655</v>
      </c>
      <c r="BX931">
        <v>0.17</v>
      </c>
      <c r="BY931">
        <v>8.3657000000000004</v>
      </c>
      <c r="BZ931">
        <v>0</v>
      </c>
      <c r="CA931">
        <v>1</v>
      </c>
      <c r="CB931">
        <v>0.6</v>
      </c>
      <c r="CC931" s="3">
        <v>7.1269159999999998E-2</v>
      </c>
      <c r="CD931">
        <v>2.875</v>
      </c>
      <c r="CE931">
        <v>2.5</v>
      </c>
      <c r="CF931">
        <v>18</v>
      </c>
      <c r="CG931">
        <v>6</v>
      </c>
      <c r="CH931">
        <v>0</v>
      </c>
      <c r="CI931">
        <v>49.21</v>
      </c>
      <c r="CJ931">
        <v>433.13369999999998</v>
      </c>
    </row>
    <row r="932" spans="1:88">
      <c r="A932">
        <v>931</v>
      </c>
      <c r="B932" t="s">
        <v>0</v>
      </c>
      <c r="C932" t="s">
        <v>1</v>
      </c>
      <c r="D932" t="s">
        <v>104</v>
      </c>
      <c r="E932" t="s">
        <v>253</v>
      </c>
      <c r="F932" t="s">
        <v>337</v>
      </c>
      <c r="G932" t="s">
        <v>15</v>
      </c>
      <c r="H932" t="s">
        <v>398</v>
      </c>
      <c r="J932">
        <v>2</v>
      </c>
      <c r="K932" t="s">
        <v>108</v>
      </c>
      <c r="L932" t="s">
        <v>287</v>
      </c>
      <c r="M932" t="s">
        <v>633</v>
      </c>
      <c r="N932" t="s">
        <v>276</v>
      </c>
      <c r="O932">
        <v>197</v>
      </c>
      <c r="Q932">
        <v>965</v>
      </c>
      <c r="R932">
        <v>116</v>
      </c>
      <c r="S932">
        <v>4.25</v>
      </c>
      <c r="T932">
        <v>5.117</v>
      </c>
      <c r="U932">
        <v>7.35</v>
      </c>
      <c r="V932">
        <v>4100.2299999999996</v>
      </c>
      <c r="W932">
        <v>853</v>
      </c>
      <c r="X932">
        <v>1.3332999999999999</v>
      </c>
      <c r="Y932">
        <v>636</v>
      </c>
      <c r="Z932">
        <v>6.45</v>
      </c>
      <c r="AJ932">
        <v>2</v>
      </c>
      <c r="AK932">
        <v>18</v>
      </c>
      <c r="AM932">
        <v>0</v>
      </c>
      <c r="AO932" t="s">
        <v>170</v>
      </c>
      <c r="AT932">
        <v>74</v>
      </c>
      <c r="AV932">
        <v>66.7</v>
      </c>
      <c r="AW932" t="s">
        <v>6</v>
      </c>
      <c r="AX932" t="s">
        <v>6</v>
      </c>
      <c r="AY932" t="s">
        <v>6</v>
      </c>
      <c r="AZ932" t="s">
        <v>6</v>
      </c>
      <c r="BA932" t="s">
        <v>6</v>
      </c>
      <c r="BB932" t="s">
        <v>6</v>
      </c>
      <c r="BC932" t="s">
        <v>6</v>
      </c>
      <c r="BD932" t="s">
        <v>6</v>
      </c>
      <c r="BE932" t="s">
        <v>6</v>
      </c>
      <c r="BF932" t="s">
        <v>6</v>
      </c>
      <c r="BG932" t="s">
        <v>6</v>
      </c>
      <c r="BH932" t="s">
        <v>6</v>
      </c>
      <c r="BI932" t="s">
        <v>6</v>
      </c>
      <c r="BJ932" t="s">
        <v>6</v>
      </c>
      <c r="BN932">
        <v>568.27359999999999</v>
      </c>
      <c r="BO932">
        <v>3387</v>
      </c>
      <c r="BP932">
        <v>0</v>
      </c>
      <c r="BQ932">
        <v>68</v>
      </c>
      <c r="BR932">
        <v>68</v>
      </c>
      <c r="BS932">
        <v>67.650000000000006</v>
      </c>
      <c r="BT932">
        <v>0</v>
      </c>
      <c r="BV932">
        <v>0</v>
      </c>
      <c r="BW932" t="s">
        <v>655</v>
      </c>
      <c r="BX932">
        <v>0.17</v>
      </c>
      <c r="BY932">
        <v>11.500500000000001</v>
      </c>
      <c r="BZ932">
        <v>0</v>
      </c>
      <c r="CA932">
        <v>1</v>
      </c>
      <c r="CB932">
        <v>0.6</v>
      </c>
      <c r="CC932" s="3">
        <v>7.1269159999999998E-2</v>
      </c>
      <c r="CD932">
        <v>2.875</v>
      </c>
      <c r="CE932">
        <v>2.5</v>
      </c>
      <c r="CF932">
        <v>18</v>
      </c>
      <c r="CG932">
        <v>6</v>
      </c>
      <c r="CH932">
        <v>0</v>
      </c>
      <c r="CI932">
        <v>67.650000000000006</v>
      </c>
      <c r="CJ932">
        <v>886.52719999999999</v>
      </c>
    </row>
    <row r="933" spans="1:88">
      <c r="A933">
        <v>932</v>
      </c>
      <c r="B933" t="s">
        <v>13</v>
      </c>
      <c r="C933" t="s">
        <v>1</v>
      </c>
      <c r="D933" t="s">
        <v>545</v>
      </c>
      <c r="E933" t="s">
        <v>634</v>
      </c>
      <c r="F933" t="s">
        <v>437</v>
      </c>
      <c r="G933" t="s">
        <v>15</v>
      </c>
      <c r="H933" t="s">
        <v>548</v>
      </c>
      <c r="J933">
        <v>2</v>
      </c>
      <c r="K933" t="s">
        <v>108</v>
      </c>
      <c r="L933" t="s">
        <v>714</v>
      </c>
      <c r="M933" t="s">
        <v>414</v>
      </c>
      <c r="N933" t="s">
        <v>377</v>
      </c>
      <c r="O933">
        <v>250</v>
      </c>
      <c r="Q933">
        <v>1463</v>
      </c>
      <c r="R933">
        <v>153</v>
      </c>
      <c r="S933">
        <v>4.25</v>
      </c>
      <c r="T933">
        <v>6.2190000000000003</v>
      </c>
      <c r="U933">
        <v>8.0200010000000006</v>
      </c>
      <c r="V933">
        <v>6217.02</v>
      </c>
      <c r="W933">
        <v>1231</v>
      </c>
      <c r="X933">
        <v>1.5</v>
      </c>
      <c r="Y933">
        <v>806</v>
      </c>
      <c r="Z933">
        <v>7.71</v>
      </c>
      <c r="AJ933">
        <v>2</v>
      </c>
      <c r="AK933">
        <v>18</v>
      </c>
      <c r="AM933">
        <v>0</v>
      </c>
      <c r="AO933" t="s">
        <v>549</v>
      </c>
      <c r="AT933">
        <v>92</v>
      </c>
      <c r="AV933">
        <v>80.900000000000006</v>
      </c>
      <c r="AW933" t="s">
        <v>6</v>
      </c>
      <c r="AX933" t="s">
        <v>6</v>
      </c>
      <c r="AY933" t="s">
        <v>6</v>
      </c>
      <c r="AZ933" t="s">
        <v>6</v>
      </c>
      <c r="BA933" t="s">
        <v>6</v>
      </c>
      <c r="BB933" t="s">
        <v>6</v>
      </c>
      <c r="BC933" t="s">
        <v>6</v>
      </c>
      <c r="BD933" t="s">
        <v>6</v>
      </c>
      <c r="BE933" t="s">
        <v>6</v>
      </c>
      <c r="BF933" t="s">
        <v>6</v>
      </c>
      <c r="BG933" t="s">
        <v>6</v>
      </c>
      <c r="BH933" t="s">
        <v>6</v>
      </c>
      <c r="BI933" t="s">
        <v>6</v>
      </c>
      <c r="BJ933" t="s">
        <v>6</v>
      </c>
      <c r="BN933">
        <v>691.39949999999999</v>
      </c>
      <c r="BO933">
        <v>2288</v>
      </c>
      <c r="BP933">
        <v>0</v>
      </c>
      <c r="BQ933">
        <v>86</v>
      </c>
      <c r="BR933">
        <v>86</v>
      </c>
      <c r="BS933">
        <v>86.08</v>
      </c>
      <c r="BT933">
        <v>0</v>
      </c>
      <c r="BV933">
        <v>0</v>
      </c>
      <c r="BW933" t="s">
        <v>655</v>
      </c>
      <c r="BX933">
        <v>0.17</v>
      </c>
      <c r="BY933">
        <v>14.633599999999999</v>
      </c>
      <c r="BZ933">
        <v>0</v>
      </c>
      <c r="CA933">
        <v>1</v>
      </c>
      <c r="CB933">
        <v>0.6</v>
      </c>
      <c r="CC933" s="3">
        <v>7.1269159999999998E-2</v>
      </c>
      <c r="CD933">
        <v>2.875</v>
      </c>
      <c r="CE933">
        <v>2.5</v>
      </c>
      <c r="CF933">
        <v>18</v>
      </c>
      <c r="CG933">
        <v>6</v>
      </c>
      <c r="CH933">
        <v>0</v>
      </c>
      <c r="CI933">
        <v>86.08</v>
      </c>
      <c r="CJ933">
        <v>1367.3050000000001</v>
      </c>
    </row>
    <row r="934" spans="1:88">
      <c r="A934">
        <v>933</v>
      </c>
      <c r="B934" t="s">
        <v>0</v>
      </c>
      <c r="C934" t="s">
        <v>1</v>
      </c>
      <c r="D934" t="s">
        <v>267</v>
      </c>
      <c r="E934" t="s">
        <v>172</v>
      </c>
      <c r="F934" t="s">
        <v>269</v>
      </c>
      <c r="G934" t="s">
        <v>106</v>
      </c>
      <c r="H934" t="s">
        <v>131</v>
      </c>
      <c r="J934">
        <v>2</v>
      </c>
      <c r="K934" t="s">
        <v>146</v>
      </c>
      <c r="L934" t="s">
        <v>233</v>
      </c>
      <c r="M934" t="s">
        <v>490</v>
      </c>
      <c r="N934" t="s">
        <v>128</v>
      </c>
      <c r="O934">
        <v>137</v>
      </c>
      <c r="Q934">
        <v>568</v>
      </c>
      <c r="R934">
        <v>97</v>
      </c>
      <c r="S934">
        <v>4.25</v>
      </c>
      <c r="T934">
        <v>3.734</v>
      </c>
      <c r="U934">
        <v>6.48</v>
      </c>
      <c r="V934">
        <v>2414.12</v>
      </c>
      <c r="W934">
        <v>628</v>
      </c>
      <c r="X934">
        <v>1.3332999999999999</v>
      </c>
      <c r="Y934">
        <v>477</v>
      </c>
      <c r="Z934">
        <v>5.0599999999999996</v>
      </c>
      <c r="AJ934">
        <v>2</v>
      </c>
      <c r="AK934">
        <v>18</v>
      </c>
      <c r="AM934">
        <v>0</v>
      </c>
      <c r="AO934" t="s">
        <v>271</v>
      </c>
      <c r="AT934">
        <v>53</v>
      </c>
      <c r="AV934">
        <v>54.9</v>
      </c>
      <c r="AW934">
        <v>0.46875</v>
      </c>
      <c r="AX934">
        <v>3.75</v>
      </c>
      <c r="AY934">
        <v>52</v>
      </c>
      <c r="AZ934">
        <v>4.75</v>
      </c>
      <c r="BA934">
        <v>389.49</v>
      </c>
      <c r="BB934">
        <v>5.0599999999999996</v>
      </c>
      <c r="BC934">
        <v>56</v>
      </c>
      <c r="BD934">
        <v>0.3125</v>
      </c>
      <c r="BE934">
        <v>2.75</v>
      </c>
      <c r="BF934">
        <v>41</v>
      </c>
      <c r="BG934">
        <v>3.125</v>
      </c>
      <c r="BH934">
        <v>87.6</v>
      </c>
      <c r="BI934">
        <v>7.29</v>
      </c>
      <c r="BJ934">
        <v>22</v>
      </c>
      <c r="BL934">
        <v>477.09</v>
      </c>
      <c r="BM934">
        <v>77</v>
      </c>
      <c r="BN934">
        <v>263.93340000000001</v>
      </c>
      <c r="BO934">
        <v>1490</v>
      </c>
      <c r="BP934">
        <v>0</v>
      </c>
      <c r="BQ934">
        <v>47</v>
      </c>
      <c r="BR934">
        <v>47</v>
      </c>
      <c r="BS934">
        <v>46.78</v>
      </c>
      <c r="BT934">
        <v>0</v>
      </c>
      <c r="BV934">
        <v>0</v>
      </c>
      <c r="BW934" t="s">
        <v>655</v>
      </c>
      <c r="BX934">
        <v>0.17</v>
      </c>
      <c r="BY934">
        <v>7.9526000000000003</v>
      </c>
      <c r="BZ934">
        <v>0</v>
      </c>
      <c r="CA934">
        <v>1</v>
      </c>
      <c r="CB934">
        <v>0.6</v>
      </c>
      <c r="CC934" s="3">
        <v>7.1269159999999998E-2</v>
      </c>
      <c r="CD934">
        <v>2.875</v>
      </c>
      <c r="CE934">
        <v>2.5</v>
      </c>
      <c r="CF934">
        <v>18</v>
      </c>
      <c r="CG934">
        <v>6</v>
      </c>
      <c r="CH934">
        <v>0</v>
      </c>
      <c r="CI934">
        <v>46.78</v>
      </c>
      <c r="CJ934">
        <v>505.09660000000002</v>
      </c>
    </row>
    <row r="935" spans="1:88">
      <c r="A935">
        <v>934</v>
      </c>
      <c r="B935" t="s">
        <v>13</v>
      </c>
      <c r="C935" t="s">
        <v>1</v>
      </c>
      <c r="D935" t="s">
        <v>278</v>
      </c>
      <c r="E935" t="s">
        <v>234</v>
      </c>
      <c r="F935" t="s">
        <v>239</v>
      </c>
      <c r="G935" t="s">
        <v>15</v>
      </c>
      <c r="H935" t="s">
        <v>458</v>
      </c>
      <c r="J935">
        <v>2</v>
      </c>
      <c r="K935" t="s">
        <v>108</v>
      </c>
      <c r="L935" t="s">
        <v>103</v>
      </c>
      <c r="M935" t="s">
        <v>435</v>
      </c>
      <c r="N935" t="s">
        <v>295</v>
      </c>
      <c r="O935">
        <v>147</v>
      </c>
      <c r="Q935">
        <v>797</v>
      </c>
      <c r="R935">
        <v>126</v>
      </c>
      <c r="S935">
        <v>4.25</v>
      </c>
      <c r="T935">
        <v>3.976</v>
      </c>
      <c r="U935">
        <v>6.67</v>
      </c>
      <c r="V935">
        <v>3387.42</v>
      </c>
      <c r="W935">
        <v>841</v>
      </c>
      <c r="X935">
        <v>1.3332999999999999</v>
      </c>
      <c r="Y935">
        <v>639</v>
      </c>
      <c r="Z935">
        <v>5.3</v>
      </c>
      <c r="AJ935">
        <v>2</v>
      </c>
      <c r="AK935">
        <v>18</v>
      </c>
      <c r="AM935">
        <v>0</v>
      </c>
      <c r="AO935" t="s">
        <v>401</v>
      </c>
      <c r="AT935">
        <v>56</v>
      </c>
      <c r="AV935">
        <v>72.5</v>
      </c>
      <c r="AW935" t="s">
        <v>6</v>
      </c>
      <c r="AX935" t="s">
        <v>6</v>
      </c>
      <c r="AY935" t="s">
        <v>6</v>
      </c>
      <c r="AZ935" t="s">
        <v>6</v>
      </c>
      <c r="BA935" t="s">
        <v>6</v>
      </c>
      <c r="BB935" t="s">
        <v>6</v>
      </c>
      <c r="BC935" t="s">
        <v>6</v>
      </c>
      <c r="BD935" t="s">
        <v>6</v>
      </c>
      <c r="BE935" t="s">
        <v>6</v>
      </c>
      <c r="BF935" t="s">
        <v>6</v>
      </c>
      <c r="BG935" t="s">
        <v>6</v>
      </c>
      <c r="BH935" t="s">
        <v>6</v>
      </c>
      <c r="BI935" t="s">
        <v>6</v>
      </c>
      <c r="BJ935" t="s">
        <v>6</v>
      </c>
      <c r="BN935">
        <v>618.78679999999997</v>
      </c>
      <c r="BO935">
        <v>2857</v>
      </c>
      <c r="BP935">
        <v>0</v>
      </c>
      <c r="BQ935">
        <v>50</v>
      </c>
      <c r="BR935">
        <v>50</v>
      </c>
      <c r="BS935">
        <v>50.26</v>
      </c>
      <c r="BT935">
        <v>0</v>
      </c>
      <c r="BV935">
        <v>0</v>
      </c>
      <c r="BW935" t="s">
        <v>655</v>
      </c>
      <c r="BX935">
        <v>0.17</v>
      </c>
      <c r="BY935">
        <v>8.5442</v>
      </c>
      <c r="BZ935">
        <v>0</v>
      </c>
      <c r="CA935">
        <v>1</v>
      </c>
      <c r="CB935">
        <v>0.6</v>
      </c>
      <c r="CC935" s="3">
        <v>7.1269159999999998E-2</v>
      </c>
      <c r="CD935">
        <v>2.875</v>
      </c>
      <c r="CE935">
        <v>2.5</v>
      </c>
      <c r="CF935">
        <v>18</v>
      </c>
      <c r="CG935">
        <v>6</v>
      </c>
      <c r="CH935">
        <v>0</v>
      </c>
      <c r="CI935">
        <v>50.26</v>
      </c>
      <c r="CJ935">
        <v>715.94970000000001</v>
      </c>
    </row>
    <row r="936" spans="1:88">
      <c r="A936">
        <v>935</v>
      </c>
      <c r="B936" t="s">
        <v>0</v>
      </c>
      <c r="C936" t="s">
        <v>1</v>
      </c>
      <c r="D936" t="s">
        <v>141</v>
      </c>
      <c r="E936" t="s">
        <v>131</v>
      </c>
      <c r="F936" t="s">
        <v>179</v>
      </c>
      <c r="G936" t="s">
        <v>106</v>
      </c>
      <c r="H936" t="s">
        <v>510</v>
      </c>
      <c r="J936">
        <v>2</v>
      </c>
      <c r="K936" t="s">
        <v>146</v>
      </c>
      <c r="L936" t="s">
        <v>300</v>
      </c>
      <c r="M936" t="s">
        <v>271</v>
      </c>
      <c r="N936" t="s">
        <v>181</v>
      </c>
      <c r="O936">
        <v>158</v>
      </c>
      <c r="Q936">
        <v>374</v>
      </c>
      <c r="R936">
        <v>55</v>
      </c>
      <c r="S936">
        <v>4.25</v>
      </c>
      <c r="T936">
        <v>4.2370000000000001</v>
      </c>
      <c r="U936">
        <v>6.86</v>
      </c>
      <c r="V936">
        <v>1589.37</v>
      </c>
      <c r="W936">
        <v>375</v>
      </c>
      <c r="X936">
        <v>1.3332999999999999</v>
      </c>
      <c r="Y936">
        <v>285</v>
      </c>
      <c r="Z936">
        <v>5.57</v>
      </c>
      <c r="AJ936">
        <v>2</v>
      </c>
      <c r="AK936">
        <v>18</v>
      </c>
      <c r="AM936">
        <v>0</v>
      </c>
      <c r="AO936" t="s">
        <v>354</v>
      </c>
      <c r="AT936">
        <v>60</v>
      </c>
      <c r="AV936">
        <v>31.3</v>
      </c>
      <c r="AW936">
        <v>0</v>
      </c>
      <c r="AX936">
        <v>0</v>
      </c>
      <c r="AY936">
        <v>49.875</v>
      </c>
      <c r="AZ936">
        <v>4.875</v>
      </c>
      <c r="BA936">
        <v>0</v>
      </c>
      <c r="BB936">
        <v>0</v>
      </c>
      <c r="BC936">
        <v>50</v>
      </c>
      <c r="BN936">
        <v>148.01669999999999</v>
      </c>
      <c r="BO936">
        <v>4736</v>
      </c>
      <c r="BP936">
        <v>0</v>
      </c>
      <c r="BQ936">
        <v>54</v>
      </c>
      <c r="BR936">
        <v>54</v>
      </c>
      <c r="BS936">
        <v>54.08</v>
      </c>
      <c r="BT936">
        <v>0</v>
      </c>
      <c r="BV936">
        <v>0</v>
      </c>
      <c r="BW936" t="s">
        <v>655</v>
      </c>
      <c r="BX936">
        <v>0.17</v>
      </c>
      <c r="BY936">
        <v>9.1936009999999992</v>
      </c>
      <c r="BZ936">
        <v>0</v>
      </c>
      <c r="CA936">
        <v>1</v>
      </c>
      <c r="CB936">
        <v>0.6</v>
      </c>
      <c r="CC936" s="3">
        <v>7.1269159999999998E-2</v>
      </c>
      <c r="CD936">
        <v>2.875</v>
      </c>
      <c r="CE936">
        <v>2.5</v>
      </c>
      <c r="CF936">
        <v>18</v>
      </c>
      <c r="CG936">
        <v>6</v>
      </c>
      <c r="CH936">
        <v>0</v>
      </c>
      <c r="CI936">
        <v>54.08</v>
      </c>
      <c r="CJ936">
        <v>333.39139999999998</v>
      </c>
    </row>
    <row r="937" spans="1:88">
      <c r="A937">
        <v>936</v>
      </c>
      <c r="B937" t="s">
        <v>0</v>
      </c>
      <c r="C937" t="s">
        <v>1</v>
      </c>
      <c r="D937" t="s">
        <v>284</v>
      </c>
      <c r="E937" t="s">
        <v>141</v>
      </c>
      <c r="F937" t="s">
        <v>374</v>
      </c>
      <c r="G937" t="s">
        <v>106</v>
      </c>
      <c r="H937" t="s">
        <v>448</v>
      </c>
      <c r="J937">
        <v>2</v>
      </c>
      <c r="K937" t="s">
        <v>146</v>
      </c>
      <c r="L937" t="s">
        <v>130</v>
      </c>
      <c r="M937" t="s">
        <v>409</v>
      </c>
      <c r="N937" t="s">
        <v>438</v>
      </c>
      <c r="O937">
        <v>94</v>
      </c>
      <c r="Q937">
        <v>212</v>
      </c>
      <c r="R937">
        <v>50</v>
      </c>
      <c r="S937">
        <v>4.25</v>
      </c>
      <c r="T937">
        <v>2.6219999999999999</v>
      </c>
      <c r="U937">
        <v>5.81</v>
      </c>
      <c r="V937">
        <v>900.66</v>
      </c>
      <c r="W937">
        <v>291</v>
      </c>
      <c r="X937">
        <v>1.3332999999999999</v>
      </c>
      <c r="Y937">
        <v>228</v>
      </c>
      <c r="Z937">
        <v>3.95</v>
      </c>
      <c r="AJ937">
        <v>2</v>
      </c>
      <c r="AK937">
        <v>18</v>
      </c>
      <c r="AM937">
        <v>0</v>
      </c>
      <c r="AO937" t="s">
        <v>481</v>
      </c>
      <c r="AT937">
        <v>38</v>
      </c>
      <c r="AV937">
        <v>28.4</v>
      </c>
      <c r="AW937">
        <v>0</v>
      </c>
      <c r="AX937">
        <v>0</v>
      </c>
      <c r="AY937">
        <v>28.375</v>
      </c>
      <c r="AZ937">
        <v>3</v>
      </c>
      <c r="BA937">
        <v>0</v>
      </c>
      <c r="BB937">
        <v>0</v>
      </c>
      <c r="BC937">
        <v>25</v>
      </c>
      <c r="BN937">
        <v>133.75</v>
      </c>
      <c r="BO937">
        <v>5801</v>
      </c>
      <c r="BP937">
        <v>0</v>
      </c>
      <c r="BQ937">
        <v>32</v>
      </c>
      <c r="BR937">
        <v>32</v>
      </c>
      <c r="BS937">
        <v>31.82</v>
      </c>
      <c r="BT937">
        <v>0</v>
      </c>
      <c r="BV937">
        <v>0</v>
      </c>
      <c r="BW937" t="s">
        <v>655</v>
      </c>
      <c r="BX937">
        <v>0.17</v>
      </c>
      <c r="BY937">
        <v>5.4093999999999998</v>
      </c>
      <c r="BZ937">
        <v>0</v>
      </c>
      <c r="CA937">
        <v>1</v>
      </c>
      <c r="CB937">
        <v>0.6</v>
      </c>
      <c r="CC937" s="3">
        <v>7.1269159999999998E-2</v>
      </c>
      <c r="CD937">
        <v>2.875</v>
      </c>
      <c r="CE937">
        <v>2.5</v>
      </c>
      <c r="CF937">
        <v>18</v>
      </c>
      <c r="CG937">
        <v>6</v>
      </c>
      <c r="CH937">
        <v>0</v>
      </c>
      <c r="CI937">
        <v>31.82</v>
      </c>
      <c r="CJ937">
        <v>178.02109999999999</v>
      </c>
    </row>
    <row r="938" spans="1:88">
      <c r="A938">
        <v>937</v>
      </c>
      <c r="B938" t="s">
        <v>0</v>
      </c>
      <c r="C938" t="s">
        <v>1</v>
      </c>
      <c r="D938" t="s">
        <v>143</v>
      </c>
      <c r="E938" t="s">
        <v>8</v>
      </c>
      <c r="F938" t="s">
        <v>144</v>
      </c>
      <c r="G938" t="s">
        <v>106</v>
      </c>
      <c r="H938" t="s">
        <v>145</v>
      </c>
      <c r="J938">
        <v>2</v>
      </c>
      <c r="K938" t="s">
        <v>146</v>
      </c>
      <c r="L938" t="s">
        <v>10</v>
      </c>
      <c r="M938" t="s">
        <v>11</v>
      </c>
      <c r="N938" t="s">
        <v>12</v>
      </c>
      <c r="O938">
        <v>203</v>
      </c>
      <c r="Q938">
        <v>798</v>
      </c>
      <c r="R938">
        <v>102</v>
      </c>
      <c r="S938">
        <v>4.25</v>
      </c>
      <c r="T938">
        <v>5.2460000000000004</v>
      </c>
      <c r="U938">
        <v>7.35</v>
      </c>
      <c r="V938">
        <v>3393.2</v>
      </c>
      <c r="W938">
        <v>746</v>
      </c>
      <c r="X938">
        <v>1.5</v>
      </c>
      <c r="Y938">
        <v>503</v>
      </c>
      <c r="Z938">
        <v>6.74</v>
      </c>
      <c r="AJ938">
        <v>2</v>
      </c>
      <c r="AK938">
        <v>18</v>
      </c>
      <c r="AM938">
        <v>0</v>
      </c>
      <c r="AO938" t="s">
        <v>149</v>
      </c>
      <c r="AT938">
        <v>76</v>
      </c>
      <c r="AV938">
        <v>53.5</v>
      </c>
      <c r="AW938">
        <v>0.46875</v>
      </c>
      <c r="AX938">
        <v>3.75</v>
      </c>
      <c r="AY938">
        <v>73.25</v>
      </c>
      <c r="AZ938">
        <v>6.375</v>
      </c>
      <c r="BA938">
        <v>276.89</v>
      </c>
      <c r="BB938">
        <v>7.11</v>
      </c>
      <c r="BC938">
        <v>79</v>
      </c>
      <c r="BD938">
        <v>0.4375</v>
      </c>
      <c r="BE938">
        <v>3.75</v>
      </c>
      <c r="BF938">
        <v>62.75</v>
      </c>
      <c r="BG938">
        <v>5.875</v>
      </c>
      <c r="BH938">
        <v>226.54</v>
      </c>
      <c r="BI938">
        <v>7.26</v>
      </c>
      <c r="BJ938">
        <v>64</v>
      </c>
      <c r="BL938">
        <v>503.43</v>
      </c>
      <c r="BM938">
        <v>142</v>
      </c>
      <c r="BN938">
        <v>256.80009999999999</v>
      </c>
      <c r="BO938">
        <v>1574</v>
      </c>
      <c r="BP938">
        <v>0</v>
      </c>
      <c r="BQ938">
        <v>70</v>
      </c>
      <c r="BR938">
        <v>70</v>
      </c>
      <c r="BS938">
        <v>69.730009999999993</v>
      </c>
      <c r="BT938">
        <v>0</v>
      </c>
      <c r="BV938">
        <v>0</v>
      </c>
      <c r="BW938" t="s">
        <v>655</v>
      </c>
      <c r="BX938">
        <v>0.17</v>
      </c>
      <c r="BY938">
        <v>11.854100000000001</v>
      </c>
      <c r="BZ938">
        <v>0</v>
      </c>
      <c r="CA938">
        <v>1</v>
      </c>
      <c r="CB938">
        <v>0.6</v>
      </c>
      <c r="CC938" s="3">
        <v>7.1269159999999998E-2</v>
      </c>
      <c r="CD938">
        <v>2.875</v>
      </c>
      <c r="CE938">
        <v>2.5</v>
      </c>
      <c r="CF938">
        <v>18</v>
      </c>
      <c r="CG938">
        <v>6</v>
      </c>
      <c r="CH938">
        <v>0</v>
      </c>
      <c r="CI938">
        <v>69.730009999999993</v>
      </c>
      <c r="CJ938">
        <v>733.01580000000001</v>
      </c>
    </row>
    <row r="939" spans="1:88">
      <c r="A939">
        <v>938</v>
      </c>
      <c r="B939" t="s">
        <v>0</v>
      </c>
      <c r="C939" t="s">
        <v>1</v>
      </c>
      <c r="D939" t="s">
        <v>279</v>
      </c>
      <c r="E939" t="s">
        <v>96</v>
      </c>
      <c r="F939" t="s">
        <v>236</v>
      </c>
      <c r="G939" t="s">
        <v>106</v>
      </c>
      <c r="H939" t="s">
        <v>143</v>
      </c>
      <c r="J939">
        <v>2</v>
      </c>
      <c r="K939" t="s">
        <v>146</v>
      </c>
      <c r="L939" t="s">
        <v>293</v>
      </c>
      <c r="M939" t="s">
        <v>100</v>
      </c>
      <c r="N939" t="s">
        <v>101</v>
      </c>
      <c r="O939">
        <v>131</v>
      </c>
      <c r="Q939">
        <v>534</v>
      </c>
      <c r="R939">
        <v>95</v>
      </c>
      <c r="S939">
        <v>4.25</v>
      </c>
      <c r="T939">
        <v>3.5859999999999999</v>
      </c>
      <c r="U939">
        <v>6.37</v>
      </c>
      <c r="V939">
        <v>2271.4899999999998</v>
      </c>
      <c r="W939">
        <v>606</v>
      </c>
      <c r="X939">
        <v>1.3332999999999999</v>
      </c>
      <c r="Y939">
        <v>463</v>
      </c>
      <c r="Z939">
        <v>4.91</v>
      </c>
      <c r="AJ939">
        <v>2</v>
      </c>
      <c r="AK939">
        <v>18</v>
      </c>
      <c r="AM939">
        <v>0</v>
      </c>
      <c r="AO939" t="s">
        <v>206</v>
      </c>
      <c r="AT939">
        <v>51</v>
      </c>
      <c r="AV939">
        <v>53.9</v>
      </c>
      <c r="AW939">
        <v>0.46875</v>
      </c>
      <c r="AX939">
        <v>3.75</v>
      </c>
      <c r="AY939">
        <v>50.5</v>
      </c>
      <c r="AZ939">
        <v>4.625</v>
      </c>
      <c r="BA939">
        <v>401.38</v>
      </c>
      <c r="BB939">
        <v>4.91</v>
      </c>
      <c r="BC939">
        <v>54</v>
      </c>
      <c r="BD939">
        <v>0.25</v>
      </c>
      <c r="BE939">
        <v>2.75</v>
      </c>
      <c r="BF939">
        <v>18.75</v>
      </c>
      <c r="BG939">
        <v>2.5</v>
      </c>
      <c r="BH939">
        <v>61.23</v>
      </c>
      <c r="BI939">
        <v>5.6</v>
      </c>
      <c r="BJ939">
        <v>8</v>
      </c>
      <c r="BL939">
        <v>462.61</v>
      </c>
      <c r="BM939">
        <v>62</v>
      </c>
      <c r="BN939">
        <v>258.58339999999998</v>
      </c>
      <c r="BO939">
        <v>1552</v>
      </c>
      <c r="BP939">
        <v>0</v>
      </c>
      <c r="BQ939">
        <v>45</v>
      </c>
      <c r="BR939">
        <v>45</v>
      </c>
      <c r="BS939">
        <v>44.69</v>
      </c>
      <c r="BT939">
        <v>0</v>
      </c>
      <c r="BV939">
        <v>0</v>
      </c>
      <c r="BW939" t="s">
        <v>655</v>
      </c>
      <c r="BX939">
        <v>0.17</v>
      </c>
      <c r="BY939">
        <v>7.5972999999999997</v>
      </c>
      <c r="BZ939">
        <v>0</v>
      </c>
      <c r="CA939">
        <v>1</v>
      </c>
      <c r="CB939">
        <v>0.6</v>
      </c>
      <c r="CC939" s="3">
        <v>7.1269159999999998E-2</v>
      </c>
      <c r="CD939">
        <v>2.875</v>
      </c>
      <c r="CE939">
        <v>2.5</v>
      </c>
      <c r="CF939">
        <v>18</v>
      </c>
      <c r="CG939">
        <v>6</v>
      </c>
      <c r="CH939">
        <v>0</v>
      </c>
      <c r="CI939">
        <v>44.69</v>
      </c>
      <c r="CJ939">
        <v>472.97519999999997</v>
      </c>
    </row>
    <row r="940" spans="1:88">
      <c r="A940">
        <v>939</v>
      </c>
      <c r="B940" t="s">
        <v>0</v>
      </c>
      <c r="C940" t="s">
        <v>1</v>
      </c>
      <c r="D940" t="s">
        <v>231</v>
      </c>
      <c r="E940" t="s">
        <v>366</v>
      </c>
      <c r="F940" t="s">
        <v>218</v>
      </c>
      <c r="G940" t="s">
        <v>106</v>
      </c>
      <c r="H940" t="s">
        <v>221</v>
      </c>
      <c r="J940">
        <v>2</v>
      </c>
      <c r="K940" t="s">
        <v>146</v>
      </c>
      <c r="L940" t="s">
        <v>268</v>
      </c>
      <c r="M940" t="s">
        <v>370</v>
      </c>
      <c r="N940" t="s">
        <v>217</v>
      </c>
      <c r="O940">
        <v>103</v>
      </c>
      <c r="Q940">
        <v>284</v>
      </c>
      <c r="R940">
        <v>66</v>
      </c>
      <c r="S940">
        <v>4.25</v>
      </c>
      <c r="T940">
        <v>2.8650000000000002</v>
      </c>
      <c r="U940">
        <v>5.96</v>
      </c>
      <c r="V940">
        <v>1207.8</v>
      </c>
      <c r="W940">
        <v>393</v>
      </c>
      <c r="X940">
        <v>1.3332999999999999</v>
      </c>
      <c r="Y940">
        <v>288</v>
      </c>
      <c r="Z940">
        <v>4.1900000000000004</v>
      </c>
      <c r="AJ940">
        <v>2</v>
      </c>
      <c r="AK940">
        <v>18</v>
      </c>
      <c r="AM940">
        <v>0</v>
      </c>
      <c r="AO940" t="s">
        <v>379</v>
      </c>
      <c r="AT940">
        <v>41</v>
      </c>
      <c r="AV940">
        <v>35.299999999999997</v>
      </c>
      <c r="AW940">
        <v>0</v>
      </c>
      <c r="AX940">
        <v>0</v>
      </c>
      <c r="AY940">
        <v>33.75</v>
      </c>
      <c r="AZ940">
        <v>3.375</v>
      </c>
      <c r="BA940">
        <v>0</v>
      </c>
      <c r="BB940">
        <v>0</v>
      </c>
      <c r="BC940">
        <v>32</v>
      </c>
      <c r="BN940">
        <v>167.63339999999999</v>
      </c>
      <c r="BO940">
        <v>3693</v>
      </c>
      <c r="BP940">
        <v>0</v>
      </c>
      <c r="BQ940">
        <v>35</v>
      </c>
      <c r="BR940">
        <v>35</v>
      </c>
      <c r="BS940">
        <v>34.950000000000003</v>
      </c>
      <c r="BT940">
        <v>0</v>
      </c>
      <c r="BV940">
        <v>0</v>
      </c>
      <c r="BW940" t="s">
        <v>655</v>
      </c>
      <c r="BX940">
        <v>0.17</v>
      </c>
      <c r="BY940">
        <v>5.9414999999999996</v>
      </c>
      <c r="BZ940">
        <v>0</v>
      </c>
      <c r="CA940">
        <v>1</v>
      </c>
      <c r="CB940">
        <v>0.6</v>
      </c>
      <c r="CC940" s="3">
        <v>7.1269159999999998E-2</v>
      </c>
      <c r="CD940">
        <v>2.875</v>
      </c>
      <c r="CE940">
        <v>2.5</v>
      </c>
      <c r="CF940">
        <v>18</v>
      </c>
      <c r="CG940">
        <v>6</v>
      </c>
      <c r="CH940">
        <v>0</v>
      </c>
      <c r="CI940">
        <v>34.950000000000003</v>
      </c>
      <c r="CJ940">
        <v>242.8586</v>
      </c>
    </row>
    <row r="941" spans="1:88">
      <c r="A941">
        <v>940</v>
      </c>
      <c r="B941" t="s">
        <v>0</v>
      </c>
      <c r="C941" t="s">
        <v>1</v>
      </c>
      <c r="D941" t="s">
        <v>430</v>
      </c>
      <c r="E941" t="s">
        <v>219</v>
      </c>
      <c r="F941" t="s">
        <v>445</v>
      </c>
      <c r="G941" t="s">
        <v>106</v>
      </c>
      <c r="H941" t="s">
        <v>446</v>
      </c>
      <c r="J941">
        <v>2</v>
      </c>
      <c r="K941" t="s">
        <v>146</v>
      </c>
      <c r="L941" t="s">
        <v>369</v>
      </c>
      <c r="M941" t="s">
        <v>220</v>
      </c>
      <c r="N941" t="s">
        <v>221</v>
      </c>
      <c r="O941">
        <v>101</v>
      </c>
      <c r="Q941">
        <v>167</v>
      </c>
      <c r="R941">
        <v>38</v>
      </c>
      <c r="S941">
        <v>4.25</v>
      </c>
      <c r="T941">
        <v>2.8119999999999998</v>
      </c>
      <c r="U941">
        <v>5.92</v>
      </c>
      <c r="V941">
        <v>710.13</v>
      </c>
      <c r="W941">
        <v>225</v>
      </c>
      <c r="X941">
        <v>1.3332999999999999</v>
      </c>
      <c r="Y941">
        <v>172</v>
      </c>
      <c r="Z941">
        <v>4.1399999999999997</v>
      </c>
      <c r="AJ941">
        <v>2</v>
      </c>
      <c r="AK941">
        <v>18</v>
      </c>
      <c r="AM941">
        <v>0</v>
      </c>
      <c r="AO941" t="s">
        <v>447</v>
      </c>
      <c r="AT941">
        <v>40</v>
      </c>
      <c r="AV941">
        <v>20.8</v>
      </c>
      <c r="AW941">
        <v>0</v>
      </c>
      <c r="AX941">
        <v>0</v>
      </c>
      <c r="AY941">
        <v>37.625</v>
      </c>
      <c r="AZ941">
        <v>3.125</v>
      </c>
      <c r="BA941">
        <v>0</v>
      </c>
      <c r="BB941">
        <v>0</v>
      </c>
      <c r="BC941">
        <v>33</v>
      </c>
      <c r="BN941">
        <v>96.300020000000004</v>
      </c>
      <c r="BO941">
        <v>11190</v>
      </c>
      <c r="BP941">
        <v>0</v>
      </c>
      <c r="BQ941">
        <v>34</v>
      </c>
      <c r="BR941">
        <v>34</v>
      </c>
      <c r="BS941">
        <v>34.26</v>
      </c>
      <c r="BT941">
        <v>0</v>
      </c>
      <c r="BV941">
        <v>0</v>
      </c>
      <c r="BW941" t="s">
        <v>655</v>
      </c>
      <c r="BX941">
        <v>0.17</v>
      </c>
      <c r="BY941">
        <v>5.8242000000000003</v>
      </c>
      <c r="BZ941">
        <v>0</v>
      </c>
      <c r="CA941">
        <v>1</v>
      </c>
      <c r="CB941">
        <v>0.6</v>
      </c>
      <c r="CC941" s="3">
        <v>7.1269159999999998E-2</v>
      </c>
      <c r="CD941">
        <v>2.875</v>
      </c>
      <c r="CE941">
        <v>2.5</v>
      </c>
      <c r="CF941">
        <v>18</v>
      </c>
      <c r="CG941">
        <v>6</v>
      </c>
      <c r="CH941">
        <v>0</v>
      </c>
      <c r="CI941">
        <v>34.26</v>
      </c>
      <c r="CJ941">
        <v>140.39670000000001</v>
      </c>
    </row>
    <row r="942" spans="1:88">
      <c r="A942">
        <v>941</v>
      </c>
      <c r="B942" t="s">
        <v>13</v>
      </c>
      <c r="C942" t="s">
        <v>1</v>
      </c>
      <c r="D942" t="s">
        <v>19</v>
      </c>
      <c r="E942" t="s">
        <v>99</v>
      </c>
      <c r="F942" t="s">
        <v>114</v>
      </c>
      <c r="G942" t="s">
        <v>106</v>
      </c>
      <c r="H942" t="s">
        <v>115</v>
      </c>
      <c r="J942">
        <v>2</v>
      </c>
      <c r="K942" t="s">
        <v>108</v>
      </c>
      <c r="L942" t="s">
        <v>393</v>
      </c>
      <c r="M942" t="s">
        <v>184</v>
      </c>
      <c r="N942" t="s">
        <v>185</v>
      </c>
      <c r="O942">
        <v>149</v>
      </c>
      <c r="Q942">
        <v>719</v>
      </c>
      <c r="R942">
        <v>112</v>
      </c>
      <c r="S942">
        <v>4.25</v>
      </c>
      <c r="T942">
        <v>4.024</v>
      </c>
      <c r="U942">
        <v>6.71</v>
      </c>
      <c r="V942">
        <v>3056.21</v>
      </c>
      <c r="W942">
        <v>753</v>
      </c>
      <c r="X942">
        <v>1.3332999999999999</v>
      </c>
      <c r="Y942">
        <v>571</v>
      </c>
      <c r="Z942">
        <v>5.35</v>
      </c>
      <c r="AJ942">
        <v>2</v>
      </c>
      <c r="AK942">
        <v>18</v>
      </c>
      <c r="AM942">
        <v>0</v>
      </c>
      <c r="AO942" t="s">
        <v>118</v>
      </c>
      <c r="AT942">
        <v>57</v>
      </c>
      <c r="AV942">
        <v>64.5</v>
      </c>
      <c r="AW942" t="s">
        <v>6</v>
      </c>
      <c r="AX942" t="s">
        <v>6</v>
      </c>
      <c r="AY942" t="s">
        <v>6</v>
      </c>
      <c r="AZ942" t="s">
        <v>6</v>
      </c>
      <c r="BA942" t="s">
        <v>6</v>
      </c>
      <c r="BB942" t="s">
        <v>6</v>
      </c>
      <c r="BC942" t="s">
        <v>6</v>
      </c>
      <c r="BD942" t="s">
        <v>6</v>
      </c>
      <c r="BE942" t="s">
        <v>6</v>
      </c>
      <c r="BF942" t="s">
        <v>6</v>
      </c>
      <c r="BG942" t="s">
        <v>6</v>
      </c>
      <c r="BH942" t="s">
        <v>6</v>
      </c>
      <c r="BI942" t="s">
        <v>6</v>
      </c>
      <c r="BJ942" t="s">
        <v>6</v>
      </c>
      <c r="BN942">
        <v>310.30009999999999</v>
      </c>
      <c r="BO942">
        <v>1078</v>
      </c>
      <c r="BP942">
        <v>0</v>
      </c>
      <c r="BQ942">
        <v>51</v>
      </c>
      <c r="BR942">
        <v>51</v>
      </c>
      <c r="BS942">
        <v>50.95</v>
      </c>
      <c r="BT942">
        <v>0</v>
      </c>
      <c r="BV942">
        <v>0</v>
      </c>
      <c r="BW942" t="s">
        <v>655</v>
      </c>
      <c r="BX942">
        <v>0.17</v>
      </c>
      <c r="BY942">
        <v>8.6615000000000002</v>
      </c>
      <c r="BZ942">
        <v>0</v>
      </c>
      <c r="CA942">
        <v>1</v>
      </c>
      <c r="CB942">
        <v>0.6</v>
      </c>
      <c r="CC942" s="3">
        <v>7.1269159999999998E-2</v>
      </c>
      <c r="CD942">
        <v>2.875</v>
      </c>
      <c r="CE942">
        <v>2.5</v>
      </c>
      <c r="CF942">
        <v>18</v>
      </c>
      <c r="CG942">
        <v>6</v>
      </c>
      <c r="CH942">
        <v>0</v>
      </c>
      <c r="CI942">
        <v>50.95</v>
      </c>
      <c r="CJ942">
        <v>645.89319999999998</v>
      </c>
    </row>
    <row r="943" spans="1:88">
      <c r="A943">
        <v>942</v>
      </c>
      <c r="B943" t="s">
        <v>0</v>
      </c>
      <c r="C943" t="s">
        <v>1</v>
      </c>
      <c r="D943" t="s">
        <v>251</v>
      </c>
      <c r="E943" t="s">
        <v>130</v>
      </c>
      <c r="F943" t="s">
        <v>266</v>
      </c>
      <c r="G943" t="s">
        <v>106</v>
      </c>
      <c r="H943" t="s">
        <v>291</v>
      </c>
      <c r="J943">
        <v>2</v>
      </c>
      <c r="K943" t="s">
        <v>108</v>
      </c>
      <c r="L943" t="s">
        <v>101</v>
      </c>
      <c r="M943" t="s">
        <v>134</v>
      </c>
      <c r="N943" t="s">
        <v>399</v>
      </c>
      <c r="O943">
        <v>114</v>
      </c>
      <c r="Q943">
        <v>538</v>
      </c>
      <c r="R943">
        <v>107</v>
      </c>
      <c r="S943">
        <v>4.25</v>
      </c>
      <c r="T943">
        <v>3.1539999999999999</v>
      </c>
      <c r="U943">
        <v>6.18</v>
      </c>
      <c r="V943">
        <v>2285.4299999999998</v>
      </c>
      <c r="W943">
        <v>664</v>
      </c>
      <c r="X943">
        <v>1.3332999999999999</v>
      </c>
      <c r="Y943">
        <v>510</v>
      </c>
      <c r="Z943">
        <v>4.4800000000000004</v>
      </c>
      <c r="AJ943">
        <v>2</v>
      </c>
      <c r="AK943">
        <v>18</v>
      </c>
      <c r="AM943">
        <v>0</v>
      </c>
      <c r="AO943" t="s">
        <v>292</v>
      </c>
      <c r="AT943">
        <v>45</v>
      </c>
      <c r="AV943">
        <v>61.6</v>
      </c>
      <c r="AW943">
        <v>0.46875</v>
      </c>
      <c r="AX943">
        <v>3.75</v>
      </c>
      <c r="AY943">
        <v>46.125</v>
      </c>
      <c r="AZ943">
        <v>4.25</v>
      </c>
      <c r="BA943">
        <v>439.91</v>
      </c>
      <c r="BB943">
        <v>4.4800000000000004</v>
      </c>
      <c r="BC943">
        <v>49</v>
      </c>
      <c r="BD943">
        <v>0.25</v>
      </c>
      <c r="BE943">
        <v>2.75</v>
      </c>
      <c r="BF943">
        <v>16.375</v>
      </c>
      <c r="BG943">
        <v>2.25</v>
      </c>
      <c r="BH943">
        <v>70.230009999999993</v>
      </c>
      <c r="BI943">
        <v>4.88</v>
      </c>
      <c r="BJ943">
        <v>7</v>
      </c>
      <c r="BL943">
        <v>510.14</v>
      </c>
      <c r="BM943">
        <v>56</v>
      </c>
      <c r="BN943">
        <v>296.03339999999997</v>
      </c>
      <c r="BO943">
        <v>1184</v>
      </c>
      <c r="BP943">
        <v>0</v>
      </c>
      <c r="BQ943">
        <v>39</v>
      </c>
      <c r="BR943">
        <v>39</v>
      </c>
      <c r="BS943">
        <v>38.78</v>
      </c>
      <c r="BT943">
        <v>0</v>
      </c>
      <c r="BV943">
        <v>0</v>
      </c>
      <c r="BW943" t="s">
        <v>655</v>
      </c>
      <c r="BX943">
        <v>0.17</v>
      </c>
      <c r="BY943">
        <v>6.5926</v>
      </c>
      <c r="BZ943">
        <v>0</v>
      </c>
      <c r="CA943">
        <v>1</v>
      </c>
      <c r="CB943">
        <v>0.6</v>
      </c>
      <c r="CC943" s="3">
        <v>7.1269159999999998E-2</v>
      </c>
      <c r="CD943">
        <v>2.875</v>
      </c>
      <c r="CE943">
        <v>2.5</v>
      </c>
      <c r="CF943">
        <v>18</v>
      </c>
      <c r="CG943">
        <v>6</v>
      </c>
      <c r="CH943">
        <v>0</v>
      </c>
      <c r="CI943">
        <v>38.78</v>
      </c>
      <c r="CJ943">
        <v>469.50360000000001</v>
      </c>
    </row>
    <row r="944" spans="1:88">
      <c r="A944">
        <v>943</v>
      </c>
      <c r="B944" t="s">
        <v>13</v>
      </c>
      <c r="C944" t="s">
        <v>1</v>
      </c>
      <c r="D944" t="s">
        <v>96</v>
      </c>
      <c r="E944" t="s">
        <v>151</v>
      </c>
      <c r="F944" t="s">
        <v>198</v>
      </c>
      <c r="G944" t="s">
        <v>106</v>
      </c>
      <c r="H944" t="s">
        <v>162</v>
      </c>
      <c r="J944">
        <v>2</v>
      </c>
      <c r="K944" t="s">
        <v>146</v>
      </c>
      <c r="L944" t="s">
        <v>119</v>
      </c>
      <c r="M944" t="s">
        <v>154</v>
      </c>
      <c r="N944" t="s">
        <v>150</v>
      </c>
      <c r="O944">
        <v>108</v>
      </c>
      <c r="Q944">
        <v>374</v>
      </c>
      <c r="R944">
        <v>81</v>
      </c>
      <c r="S944">
        <v>4.25</v>
      </c>
      <c r="T944">
        <v>2.9980000000000002</v>
      </c>
      <c r="U944">
        <v>6.07</v>
      </c>
      <c r="V944">
        <v>1589.45</v>
      </c>
      <c r="W944">
        <v>491</v>
      </c>
      <c r="X944">
        <v>1.3332999999999999</v>
      </c>
      <c r="Y944">
        <v>367</v>
      </c>
      <c r="Z944">
        <v>4.33</v>
      </c>
      <c r="AJ944">
        <v>2</v>
      </c>
      <c r="AK944">
        <v>18</v>
      </c>
      <c r="AM944">
        <v>0</v>
      </c>
      <c r="AO944" t="s">
        <v>166</v>
      </c>
      <c r="AT944">
        <v>43</v>
      </c>
      <c r="AV944">
        <v>44.8</v>
      </c>
      <c r="AW944">
        <v>0</v>
      </c>
      <c r="AX944">
        <v>0</v>
      </c>
      <c r="AY944">
        <v>38.75</v>
      </c>
      <c r="AZ944">
        <v>3.75</v>
      </c>
      <c r="BA944">
        <v>0</v>
      </c>
      <c r="BB944">
        <v>0</v>
      </c>
      <c r="BC944">
        <v>39</v>
      </c>
      <c r="BN944">
        <v>214</v>
      </c>
      <c r="BO944">
        <v>2266</v>
      </c>
      <c r="BP944">
        <v>0</v>
      </c>
      <c r="BQ944">
        <v>37</v>
      </c>
      <c r="BR944">
        <v>37</v>
      </c>
      <c r="BS944">
        <v>36.69</v>
      </c>
      <c r="BT944">
        <v>0</v>
      </c>
      <c r="BV944">
        <v>0</v>
      </c>
      <c r="BW944" t="s">
        <v>655</v>
      </c>
      <c r="BX944">
        <v>0.17</v>
      </c>
      <c r="BY944">
        <v>6.2373000000000003</v>
      </c>
      <c r="BZ944">
        <v>0</v>
      </c>
      <c r="CA944">
        <v>1</v>
      </c>
      <c r="CB944">
        <v>0.6</v>
      </c>
      <c r="CC944" s="3">
        <v>7.1269159999999998E-2</v>
      </c>
      <c r="CD944">
        <v>2.875</v>
      </c>
      <c r="CE944">
        <v>2.5</v>
      </c>
      <c r="CF944">
        <v>18</v>
      </c>
      <c r="CG944">
        <v>6</v>
      </c>
      <c r="CH944">
        <v>0</v>
      </c>
      <c r="CI944">
        <v>36.69</v>
      </c>
      <c r="CJ944">
        <v>322.9359</v>
      </c>
    </row>
    <row r="945" spans="1:88">
      <c r="A945">
        <v>944</v>
      </c>
      <c r="B945" t="s">
        <v>0</v>
      </c>
      <c r="C945" t="s">
        <v>1</v>
      </c>
      <c r="D945" t="s">
        <v>14</v>
      </c>
      <c r="E945" t="s">
        <v>353</v>
      </c>
      <c r="F945" t="s">
        <v>192</v>
      </c>
      <c r="G945" t="s">
        <v>106</v>
      </c>
      <c r="H945" t="s">
        <v>193</v>
      </c>
      <c r="J945">
        <v>2</v>
      </c>
      <c r="K945" t="s">
        <v>108</v>
      </c>
      <c r="L945" t="s">
        <v>123</v>
      </c>
      <c r="M945" t="s">
        <v>509</v>
      </c>
      <c r="N945" t="s">
        <v>476</v>
      </c>
      <c r="O945">
        <v>163</v>
      </c>
      <c r="Q945">
        <v>769</v>
      </c>
      <c r="R945">
        <v>110</v>
      </c>
      <c r="S945">
        <v>4.25</v>
      </c>
      <c r="T945">
        <v>4.3529999999999998</v>
      </c>
      <c r="U945">
        <v>6.82</v>
      </c>
      <c r="V945">
        <v>3266.76</v>
      </c>
      <c r="W945">
        <v>753</v>
      </c>
      <c r="X945">
        <v>1.3332999999999999</v>
      </c>
      <c r="Y945">
        <v>575</v>
      </c>
      <c r="Z945">
        <v>5.68</v>
      </c>
      <c r="AJ945">
        <v>2</v>
      </c>
      <c r="AK945">
        <v>18</v>
      </c>
      <c r="AM945">
        <v>0</v>
      </c>
      <c r="AO945" t="s">
        <v>196</v>
      </c>
      <c r="AT945">
        <v>62</v>
      </c>
      <c r="AV945">
        <v>63.4</v>
      </c>
      <c r="AW945">
        <v>0.4375</v>
      </c>
      <c r="AX945">
        <v>3.75</v>
      </c>
      <c r="AY945">
        <v>49.5</v>
      </c>
      <c r="AZ945">
        <v>5</v>
      </c>
      <c r="BA945">
        <v>287.56</v>
      </c>
      <c r="BB945">
        <v>5.72</v>
      </c>
      <c r="BC945">
        <v>50</v>
      </c>
      <c r="BD945">
        <v>0.4375</v>
      </c>
      <c r="BE945">
        <v>3.75</v>
      </c>
      <c r="BF945">
        <v>49.5</v>
      </c>
      <c r="BG945">
        <v>5</v>
      </c>
      <c r="BH945">
        <v>287.56</v>
      </c>
      <c r="BI945">
        <v>5.72</v>
      </c>
      <c r="BJ945">
        <v>50</v>
      </c>
      <c r="BL945">
        <v>575.12</v>
      </c>
      <c r="BM945">
        <v>100</v>
      </c>
      <c r="BN945">
        <v>304.95010000000002</v>
      </c>
      <c r="BO945">
        <v>1116</v>
      </c>
      <c r="BP945">
        <v>0</v>
      </c>
      <c r="BQ945">
        <v>56</v>
      </c>
      <c r="BR945">
        <v>56</v>
      </c>
      <c r="BS945">
        <v>55.82</v>
      </c>
      <c r="BT945">
        <v>0</v>
      </c>
      <c r="BV945">
        <v>0</v>
      </c>
      <c r="BW945" t="s">
        <v>655</v>
      </c>
      <c r="BX945">
        <v>0.17</v>
      </c>
      <c r="BY945">
        <v>9.4893999999999998</v>
      </c>
      <c r="BZ945">
        <v>0</v>
      </c>
      <c r="CA945">
        <v>1</v>
      </c>
      <c r="CB945">
        <v>0.6</v>
      </c>
      <c r="CC945" s="3">
        <v>7.1269159999999998E-2</v>
      </c>
      <c r="CD945">
        <v>2.875</v>
      </c>
      <c r="CE945">
        <v>2.5</v>
      </c>
      <c r="CF945">
        <v>18</v>
      </c>
      <c r="CG945">
        <v>6</v>
      </c>
      <c r="CH945">
        <v>0</v>
      </c>
      <c r="CI945">
        <v>55.82</v>
      </c>
      <c r="CJ945">
        <v>695.69550000000004</v>
      </c>
    </row>
    <row r="946" spans="1:88">
      <c r="A946">
        <v>945</v>
      </c>
      <c r="B946" t="s">
        <v>13</v>
      </c>
      <c r="C946" t="s">
        <v>1</v>
      </c>
      <c r="D946" t="s">
        <v>279</v>
      </c>
      <c r="E946" t="s">
        <v>143</v>
      </c>
      <c r="F946" t="s">
        <v>236</v>
      </c>
      <c r="G946" t="s">
        <v>106</v>
      </c>
      <c r="H946" t="s">
        <v>143</v>
      </c>
      <c r="J946">
        <v>2</v>
      </c>
      <c r="K946" t="s">
        <v>146</v>
      </c>
      <c r="L946" t="s">
        <v>297</v>
      </c>
      <c r="M946" t="s">
        <v>206</v>
      </c>
      <c r="N946" t="s">
        <v>131</v>
      </c>
      <c r="O946">
        <v>155</v>
      </c>
      <c r="Q946">
        <v>624</v>
      </c>
      <c r="R946">
        <v>95</v>
      </c>
      <c r="S946">
        <v>4.25</v>
      </c>
      <c r="T946">
        <v>4.1660000000000004</v>
      </c>
      <c r="U946">
        <v>6.78</v>
      </c>
      <c r="V946">
        <v>2653.1</v>
      </c>
      <c r="W946">
        <v>645</v>
      </c>
      <c r="X946">
        <v>1.3332999999999999</v>
      </c>
      <c r="Y946">
        <v>483</v>
      </c>
      <c r="Z946">
        <v>5.49</v>
      </c>
      <c r="AJ946">
        <v>2</v>
      </c>
      <c r="AK946">
        <v>18</v>
      </c>
      <c r="AM946">
        <v>0</v>
      </c>
      <c r="AO946" t="s">
        <v>206</v>
      </c>
      <c r="AT946">
        <v>59</v>
      </c>
      <c r="AV946">
        <v>53.9</v>
      </c>
      <c r="AW946">
        <v>0.40625</v>
      </c>
      <c r="AX946">
        <v>3.75</v>
      </c>
      <c r="AY946">
        <v>40.25</v>
      </c>
      <c r="AZ946">
        <v>4.5</v>
      </c>
      <c r="BA946">
        <v>241.63</v>
      </c>
      <c r="BB946">
        <v>5.48</v>
      </c>
      <c r="BC946">
        <v>38</v>
      </c>
      <c r="BD946">
        <v>0.40625</v>
      </c>
      <c r="BE946">
        <v>3.75</v>
      </c>
      <c r="BF946">
        <v>40.25</v>
      </c>
      <c r="BG946">
        <v>4.5</v>
      </c>
      <c r="BH946">
        <v>241.63</v>
      </c>
      <c r="BI946">
        <v>5.48</v>
      </c>
      <c r="BJ946">
        <v>38</v>
      </c>
      <c r="BL946">
        <v>483.26</v>
      </c>
      <c r="BM946">
        <v>76</v>
      </c>
      <c r="BN946">
        <v>258.58339999999998</v>
      </c>
      <c r="BO946">
        <v>1552</v>
      </c>
      <c r="BP946">
        <v>0</v>
      </c>
      <c r="BQ946">
        <v>53</v>
      </c>
      <c r="BR946">
        <v>53</v>
      </c>
      <c r="BS946">
        <v>53.04</v>
      </c>
      <c r="BT946">
        <v>0</v>
      </c>
      <c r="BV946">
        <v>0</v>
      </c>
      <c r="BW946" t="s">
        <v>655</v>
      </c>
      <c r="BX946">
        <v>0.17</v>
      </c>
      <c r="BY946">
        <v>9.0167999999999999</v>
      </c>
      <c r="BZ946">
        <v>0</v>
      </c>
      <c r="CA946">
        <v>1</v>
      </c>
      <c r="CB946">
        <v>0.6</v>
      </c>
      <c r="CC946" s="3">
        <v>7.1269159999999998E-2</v>
      </c>
      <c r="CD946">
        <v>2.875</v>
      </c>
      <c r="CE946">
        <v>2.5</v>
      </c>
      <c r="CF946">
        <v>18</v>
      </c>
      <c r="CG946">
        <v>6</v>
      </c>
      <c r="CH946">
        <v>0</v>
      </c>
      <c r="CI946">
        <v>53.04</v>
      </c>
      <c r="CJ946">
        <v>561.34730000000002</v>
      </c>
    </row>
    <row r="947" spans="1:88">
      <c r="A947">
        <v>946</v>
      </c>
      <c r="B947" t="s">
        <v>13</v>
      </c>
      <c r="C947" t="s">
        <v>1</v>
      </c>
      <c r="D947" t="s">
        <v>8</v>
      </c>
      <c r="E947" t="s">
        <v>104</v>
      </c>
      <c r="F947" t="s">
        <v>246</v>
      </c>
      <c r="G947" t="s">
        <v>15</v>
      </c>
      <c r="H947" t="s">
        <v>247</v>
      </c>
      <c r="J947">
        <v>2</v>
      </c>
      <c r="K947" t="s">
        <v>108</v>
      </c>
      <c r="L947" t="s">
        <v>109</v>
      </c>
      <c r="M947" t="s">
        <v>110</v>
      </c>
      <c r="N947" t="s">
        <v>111</v>
      </c>
      <c r="O947">
        <v>191</v>
      </c>
      <c r="Q947">
        <v>997</v>
      </c>
      <c r="R947">
        <v>124</v>
      </c>
      <c r="S947">
        <v>4.25</v>
      </c>
      <c r="T947">
        <v>4.9850000000000003</v>
      </c>
      <c r="U947">
        <v>7.27</v>
      </c>
      <c r="V947">
        <v>4239.16</v>
      </c>
      <c r="W947">
        <v>899</v>
      </c>
      <c r="X947">
        <v>1.3332999999999999</v>
      </c>
      <c r="Y947">
        <v>672</v>
      </c>
      <c r="Z947">
        <v>6.31</v>
      </c>
      <c r="AJ947">
        <v>2</v>
      </c>
      <c r="AK947">
        <v>18</v>
      </c>
      <c r="AM947">
        <v>0</v>
      </c>
      <c r="AO947" t="s">
        <v>250</v>
      </c>
      <c r="AT947">
        <v>72</v>
      </c>
      <c r="AV947">
        <v>71.099999999999994</v>
      </c>
      <c r="AW947" t="s">
        <v>6</v>
      </c>
      <c r="AX947" t="s">
        <v>6</v>
      </c>
      <c r="AY947" t="s">
        <v>6</v>
      </c>
      <c r="AZ947" t="s">
        <v>6</v>
      </c>
      <c r="BA947" t="s">
        <v>6</v>
      </c>
      <c r="BB947" t="s">
        <v>6</v>
      </c>
      <c r="BC947" t="s">
        <v>6</v>
      </c>
      <c r="BD947" t="s">
        <v>6</v>
      </c>
      <c r="BE947" t="s">
        <v>6</v>
      </c>
      <c r="BF947" t="s">
        <v>6</v>
      </c>
      <c r="BG947" t="s">
        <v>6</v>
      </c>
      <c r="BH947" t="s">
        <v>6</v>
      </c>
      <c r="BI947" t="s">
        <v>6</v>
      </c>
      <c r="BJ947" t="s">
        <v>6</v>
      </c>
      <c r="BN947">
        <v>606.1585</v>
      </c>
      <c r="BO947">
        <v>2977</v>
      </c>
      <c r="BP947">
        <v>0</v>
      </c>
      <c r="BQ947">
        <v>66</v>
      </c>
      <c r="BR947">
        <v>66</v>
      </c>
      <c r="BS947">
        <v>65.56</v>
      </c>
      <c r="BT947">
        <v>0</v>
      </c>
      <c r="BV947">
        <v>0</v>
      </c>
      <c r="BW947" t="s">
        <v>655</v>
      </c>
      <c r="BX947">
        <v>0.17</v>
      </c>
      <c r="BY947">
        <v>11.145200000000001</v>
      </c>
      <c r="BZ947">
        <v>0</v>
      </c>
      <c r="CA947">
        <v>1</v>
      </c>
      <c r="CB947">
        <v>0.6</v>
      </c>
      <c r="CC947" s="3">
        <v>7.1269159999999998E-2</v>
      </c>
      <c r="CD947">
        <v>2.875</v>
      </c>
      <c r="CE947">
        <v>2.5</v>
      </c>
      <c r="CF947">
        <v>18</v>
      </c>
      <c r="CG947">
        <v>6</v>
      </c>
      <c r="CH947">
        <v>0</v>
      </c>
      <c r="CI947">
        <v>65.56</v>
      </c>
      <c r="CJ947">
        <v>915.20740000000001</v>
      </c>
    </row>
    <row r="948" spans="1:88">
      <c r="A948">
        <v>947</v>
      </c>
      <c r="B948" t="s">
        <v>13</v>
      </c>
      <c r="C948" t="s">
        <v>1</v>
      </c>
      <c r="D948" t="s">
        <v>293</v>
      </c>
      <c r="E948" t="s">
        <v>255</v>
      </c>
      <c r="F948" t="s">
        <v>294</v>
      </c>
      <c r="G948" t="s">
        <v>106</v>
      </c>
      <c r="H948" t="s">
        <v>295</v>
      </c>
      <c r="J948">
        <v>2</v>
      </c>
      <c r="K948" t="s">
        <v>146</v>
      </c>
      <c r="L948" t="s">
        <v>276</v>
      </c>
      <c r="M948" t="s">
        <v>277</v>
      </c>
      <c r="N948" t="s">
        <v>123</v>
      </c>
      <c r="O948">
        <v>180</v>
      </c>
      <c r="Q948">
        <v>694</v>
      </c>
      <c r="R948">
        <v>92</v>
      </c>
      <c r="S948">
        <v>4.25</v>
      </c>
      <c r="T948">
        <v>4.7409999999999997</v>
      </c>
      <c r="U948">
        <v>7.08</v>
      </c>
      <c r="V948">
        <v>2949.03</v>
      </c>
      <c r="W948">
        <v>654</v>
      </c>
      <c r="X948">
        <v>1.3332999999999999</v>
      </c>
      <c r="Y948">
        <v>486</v>
      </c>
      <c r="Z948">
        <v>6.07</v>
      </c>
      <c r="AJ948">
        <v>2</v>
      </c>
      <c r="AK948">
        <v>18</v>
      </c>
      <c r="AM948">
        <v>0</v>
      </c>
      <c r="AO948" t="s">
        <v>296</v>
      </c>
      <c r="AT948">
        <v>68</v>
      </c>
      <c r="AV948">
        <v>52</v>
      </c>
      <c r="AW948">
        <v>0.4375</v>
      </c>
      <c r="AX948">
        <v>3.75</v>
      </c>
      <c r="AY948">
        <v>53.25</v>
      </c>
      <c r="AZ948">
        <v>5.25</v>
      </c>
      <c r="BA948">
        <v>267.2</v>
      </c>
      <c r="BB948">
        <v>6.15</v>
      </c>
      <c r="BC948">
        <v>54</v>
      </c>
      <c r="BD948">
        <v>0.40625</v>
      </c>
      <c r="BE948">
        <v>3.75</v>
      </c>
      <c r="BF948">
        <v>44.5</v>
      </c>
      <c r="BG948">
        <v>4.875</v>
      </c>
      <c r="BH948">
        <v>218.62</v>
      </c>
      <c r="BI948">
        <v>6.05</v>
      </c>
      <c r="BJ948">
        <v>42</v>
      </c>
      <c r="BL948">
        <v>485.82</v>
      </c>
      <c r="BM948">
        <v>96</v>
      </c>
      <c r="BN948">
        <v>249.66669999999999</v>
      </c>
      <c r="BO948">
        <v>1665</v>
      </c>
      <c r="BP948">
        <v>0</v>
      </c>
      <c r="BQ948">
        <v>62</v>
      </c>
      <c r="BR948">
        <v>62</v>
      </c>
      <c r="BS948">
        <v>61.73</v>
      </c>
      <c r="BT948">
        <v>0</v>
      </c>
      <c r="BV948">
        <v>0</v>
      </c>
      <c r="BW948" t="s">
        <v>655</v>
      </c>
      <c r="BX948">
        <v>0.17</v>
      </c>
      <c r="BY948">
        <v>10.4941</v>
      </c>
      <c r="BZ948">
        <v>0</v>
      </c>
      <c r="CA948">
        <v>1</v>
      </c>
      <c r="CB948">
        <v>0.6</v>
      </c>
      <c r="CC948" s="3">
        <v>7.1269159999999998E-2</v>
      </c>
      <c r="CD948">
        <v>2.875</v>
      </c>
      <c r="CE948">
        <v>2.5</v>
      </c>
      <c r="CF948">
        <v>18</v>
      </c>
      <c r="CG948">
        <v>6</v>
      </c>
      <c r="CH948">
        <v>0</v>
      </c>
      <c r="CI948">
        <v>61.73</v>
      </c>
      <c r="CJ948">
        <v>631.32029999999997</v>
      </c>
    </row>
    <row r="949" spans="1:88">
      <c r="A949">
        <v>948</v>
      </c>
      <c r="B949" t="s">
        <v>13</v>
      </c>
      <c r="C949" t="s">
        <v>1</v>
      </c>
      <c r="D949" t="s">
        <v>342</v>
      </c>
      <c r="E949" t="s">
        <v>219</v>
      </c>
      <c r="F949" t="s">
        <v>484</v>
      </c>
      <c r="G949" t="s">
        <v>106</v>
      </c>
      <c r="H949" t="s">
        <v>241</v>
      </c>
      <c r="J949">
        <v>2</v>
      </c>
      <c r="K949" t="s">
        <v>146</v>
      </c>
      <c r="L949" t="s">
        <v>369</v>
      </c>
      <c r="M949" t="s">
        <v>220</v>
      </c>
      <c r="N949" t="s">
        <v>221</v>
      </c>
      <c r="O949">
        <v>101</v>
      </c>
      <c r="Q949">
        <v>234</v>
      </c>
      <c r="R949">
        <v>52</v>
      </c>
      <c r="S949">
        <v>4.25</v>
      </c>
      <c r="T949">
        <v>2.8119999999999998</v>
      </c>
      <c r="U949">
        <v>5.92</v>
      </c>
      <c r="V949">
        <v>996.19</v>
      </c>
      <c r="W949">
        <v>306</v>
      </c>
      <c r="X949">
        <v>1.3332999999999999</v>
      </c>
      <c r="Y949">
        <v>241</v>
      </c>
      <c r="Z949">
        <v>4.1399999999999997</v>
      </c>
      <c r="AJ949">
        <v>2</v>
      </c>
      <c r="AK949">
        <v>18</v>
      </c>
      <c r="AM949">
        <v>0</v>
      </c>
      <c r="AO949" t="s">
        <v>243</v>
      </c>
      <c r="AT949">
        <v>40</v>
      </c>
      <c r="AV949">
        <v>29.5</v>
      </c>
      <c r="AW949">
        <v>0</v>
      </c>
      <c r="AX949">
        <v>0</v>
      </c>
      <c r="AY949">
        <v>26.875</v>
      </c>
      <c r="AZ949">
        <v>3.125</v>
      </c>
      <c r="BA949">
        <v>0</v>
      </c>
      <c r="BB949">
        <v>0</v>
      </c>
      <c r="BC949">
        <v>24</v>
      </c>
      <c r="BN949">
        <v>139.1</v>
      </c>
      <c r="BO949">
        <v>5363</v>
      </c>
      <c r="BP949">
        <v>0</v>
      </c>
      <c r="BQ949">
        <v>34</v>
      </c>
      <c r="BR949">
        <v>34</v>
      </c>
      <c r="BS949">
        <v>34.26</v>
      </c>
      <c r="BT949">
        <v>0</v>
      </c>
      <c r="BV949">
        <v>0</v>
      </c>
      <c r="BW949" t="s">
        <v>655</v>
      </c>
      <c r="BX949">
        <v>0.17</v>
      </c>
      <c r="BY949">
        <v>5.8242000000000003</v>
      </c>
      <c r="BZ949">
        <v>0</v>
      </c>
      <c r="CA949">
        <v>1</v>
      </c>
      <c r="CB949">
        <v>0.6</v>
      </c>
      <c r="CC949" s="3">
        <v>7.1269159999999998E-2</v>
      </c>
      <c r="CD949">
        <v>2.875</v>
      </c>
      <c r="CE949">
        <v>2.5</v>
      </c>
      <c r="CF949">
        <v>18</v>
      </c>
      <c r="CG949">
        <v>6</v>
      </c>
      <c r="CH949">
        <v>0</v>
      </c>
      <c r="CI949">
        <v>34.26</v>
      </c>
      <c r="CJ949">
        <v>198.99700000000001</v>
      </c>
    </row>
    <row r="950" spans="1:88">
      <c r="A950">
        <v>949</v>
      </c>
      <c r="B950" t="s">
        <v>0</v>
      </c>
      <c r="C950" t="s">
        <v>1</v>
      </c>
      <c r="D950" t="s">
        <v>320</v>
      </c>
      <c r="E950" t="s">
        <v>317</v>
      </c>
      <c r="F950" t="s">
        <v>321</v>
      </c>
      <c r="G950" t="s">
        <v>106</v>
      </c>
      <c r="H950" t="s">
        <v>322</v>
      </c>
      <c r="J950">
        <v>2</v>
      </c>
      <c r="K950" t="s">
        <v>146</v>
      </c>
      <c r="L950" t="s">
        <v>169</v>
      </c>
      <c r="M950" t="s">
        <v>400</v>
      </c>
      <c r="N950" t="s">
        <v>228</v>
      </c>
      <c r="O950">
        <v>99</v>
      </c>
      <c r="Q950">
        <v>148</v>
      </c>
      <c r="R950">
        <v>35</v>
      </c>
      <c r="S950">
        <v>4.25</v>
      </c>
      <c r="T950">
        <v>2.758</v>
      </c>
      <c r="U950">
        <v>5.88</v>
      </c>
      <c r="V950">
        <v>627.16999999999996</v>
      </c>
      <c r="W950">
        <v>203</v>
      </c>
      <c r="X950">
        <v>1.3332999999999999</v>
      </c>
      <c r="Y950">
        <v>153</v>
      </c>
      <c r="Z950">
        <v>4.09</v>
      </c>
      <c r="AJ950">
        <v>2</v>
      </c>
      <c r="AK950">
        <v>18</v>
      </c>
      <c r="AM950">
        <v>0</v>
      </c>
      <c r="AO950" t="s">
        <v>323</v>
      </c>
      <c r="AT950">
        <v>40</v>
      </c>
      <c r="AV950">
        <v>18.600000000000001</v>
      </c>
      <c r="AW950">
        <v>0</v>
      </c>
      <c r="AX950">
        <v>0</v>
      </c>
      <c r="AY950">
        <v>16.625</v>
      </c>
      <c r="AZ950">
        <v>2.5</v>
      </c>
      <c r="BA950">
        <v>0</v>
      </c>
      <c r="BB950">
        <v>0</v>
      </c>
      <c r="BC950">
        <v>12</v>
      </c>
      <c r="BN950">
        <v>85.600009999999997</v>
      </c>
      <c r="BO950">
        <v>14162</v>
      </c>
      <c r="BP950">
        <v>0</v>
      </c>
      <c r="BQ950">
        <v>34</v>
      </c>
      <c r="BR950">
        <v>34</v>
      </c>
      <c r="BS950">
        <v>33.56</v>
      </c>
      <c r="BT950">
        <v>0</v>
      </c>
      <c r="BV950">
        <v>0</v>
      </c>
      <c r="BW950" t="s">
        <v>655</v>
      </c>
      <c r="BX950">
        <v>0.17</v>
      </c>
      <c r="BY950">
        <v>5.7051999999999996</v>
      </c>
      <c r="BZ950">
        <v>0</v>
      </c>
      <c r="CA950">
        <v>1</v>
      </c>
      <c r="CB950">
        <v>0.6</v>
      </c>
      <c r="CC950" s="3">
        <v>7.1269159999999998E-2</v>
      </c>
      <c r="CD950">
        <v>2.875</v>
      </c>
      <c r="CE950">
        <v>2.5</v>
      </c>
      <c r="CF950">
        <v>18</v>
      </c>
      <c r="CG950">
        <v>6</v>
      </c>
      <c r="CH950">
        <v>0</v>
      </c>
      <c r="CI950">
        <v>33.56</v>
      </c>
      <c r="CJ950">
        <v>123.1773</v>
      </c>
    </row>
    <row r="951" spans="1:88">
      <c r="A951">
        <v>950</v>
      </c>
      <c r="B951" t="s">
        <v>0</v>
      </c>
      <c r="C951" t="s">
        <v>1</v>
      </c>
      <c r="D951" t="s">
        <v>449</v>
      </c>
      <c r="E951" t="s">
        <v>341</v>
      </c>
      <c r="F951" t="s">
        <v>481</v>
      </c>
      <c r="G951" t="s">
        <v>106</v>
      </c>
      <c r="H951" t="s">
        <v>341</v>
      </c>
      <c r="J951">
        <v>2</v>
      </c>
      <c r="K951" t="s">
        <v>146</v>
      </c>
      <c r="L951" t="s">
        <v>366</v>
      </c>
      <c r="M951" t="s">
        <v>499</v>
      </c>
      <c r="N951" t="s">
        <v>284</v>
      </c>
      <c r="O951">
        <v>83</v>
      </c>
      <c r="Q951">
        <v>185</v>
      </c>
      <c r="R951">
        <v>49</v>
      </c>
      <c r="S951">
        <v>4.25</v>
      </c>
      <c r="T951">
        <v>2.3170000000000002</v>
      </c>
      <c r="U951">
        <v>5.55</v>
      </c>
      <c r="V951">
        <v>786.97</v>
      </c>
      <c r="W951">
        <v>271</v>
      </c>
      <c r="X951">
        <v>1.1666000000000001</v>
      </c>
      <c r="Y951">
        <v>226</v>
      </c>
      <c r="Z951">
        <v>3.48</v>
      </c>
      <c r="AJ951">
        <v>2</v>
      </c>
      <c r="AK951">
        <v>18</v>
      </c>
      <c r="AM951">
        <v>0</v>
      </c>
      <c r="AO951" t="s">
        <v>499</v>
      </c>
      <c r="AT951">
        <v>34</v>
      </c>
      <c r="AV951">
        <v>27.7</v>
      </c>
      <c r="AW951">
        <v>0</v>
      </c>
      <c r="AX951">
        <v>0</v>
      </c>
      <c r="AY951">
        <v>28.625</v>
      </c>
      <c r="AZ951">
        <v>2.625</v>
      </c>
      <c r="BA951">
        <v>0</v>
      </c>
      <c r="BB951">
        <v>0</v>
      </c>
      <c r="BC951">
        <v>25</v>
      </c>
      <c r="BN951">
        <v>130.18340000000001</v>
      </c>
      <c r="BO951">
        <v>6123</v>
      </c>
      <c r="BP951">
        <v>0</v>
      </c>
      <c r="BQ951">
        <v>28</v>
      </c>
      <c r="BR951">
        <v>28</v>
      </c>
      <c r="BS951">
        <v>28</v>
      </c>
      <c r="BT951">
        <v>0</v>
      </c>
      <c r="BV951">
        <v>0</v>
      </c>
      <c r="BW951" t="s">
        <v>655</v>
      </c>
      <c r="BX951">
        <v>0.17</v>
      </c>
      <c r="BY951">
        <v>4.76</v>
      </c>
      <c r="BZ951">
        <v>0</v>
      </c>
      <c r="CA951">
        <v>1</v>
      </c>
      <c r="CB951">
        <v>0.6</v>
      </c>
      <c r="CC951" s="3">
        <v>7.1269159999999998E-2</v>
      </c>
      <c r="CD951">
        <v>2.875</v>
      </c>
      <c r="CE951">
        <v>2.5</v>
      </c>
      <c r="CF951">
        <v>18</v>
      </c>
      <c r="CG951">
        <v>6</v>
      </c>
      <c r="CH951">
        <v>0</v>
      </c>
      <c r="CI951">
        <v>28</v>
      </c>
      <c r="CJ951">
        <v>152.6585</v>
      </c>
    </row>
    <row r="952" spans="1:88">
      <c r="A952">
        <v>951</v>
      </c>
      <c r="B952" t="s">
        <v>13</v>
      </c>
      <c r="C952" t="s">
        <v>1</v>
      </c>
      <c r="D952" t="s">
        <v>185</v>
      </c>
      <c r="E952" t="s">
        <v>143</v>
      </c>
      <c r="F952" t="s">
        <v>211</v>
      </c>
      <c r="G952" t="s">
        <v>106</v>
      </c>
      <c r="H952" t="s">
        <v>293</v>
      </c>
      <c r="J952">
        <v>2</v>
      </c>
      <c r="K952" t="s">
        <v>146</v>
      </c>
      <c r="L952" t="s">
        <v>297</v>
      </c>
      <c r="M952" t="s">
        <v>206</v>
      </c>
      <c r="N952" t="s">
        <v>131</v>
      </c>
      <c r="O952">
        <v>155</v>
      </c>
      <c r="Q952">
        <v>608</v>
      </c>
      <c r="R952">
        <v>93</v>
      </c>
      <c r="S952">
        <v>4.25</v>
      </c>
      <c r="T952">
        <v>4.1660000000000004</v>
      </c>
      <c r="U952">
        <v>6.78</v>
      </c>
      <c r="V952">
        <v>2582.6799999999998</v>
      </c>
      <c r="W952">
        <v>630</v>
      </c>
      <c r="X952">
        <v>1.3332999999999999</v>
      </c>
      <c r="Y952">
        <v>470</v>
      </c>
      <c r="Z952">
        <v>5.49</v>
      </c>
      <c r="AJ952">
        <v>2</v>
      </c>
      <c r="AK952">
        <v>18</v>
      </c>
      <c r="AM952">
        <v>0</v>
      </c>
      <c r="AO952" t="s">
        <v>465</v>
      </c>
      <c r="AT952">
        <v>59</v>
      </c>
      <c r="AV952">
        <v>52.4</v>
      </c>
      <c r="AW952">
        <v>0.46875</v>
      </c>
      <c r="AX952">
        <v>3.75</v>
      </c>
      <c r="AY952">
        <v>56.5</v>
      </c>
      <c r="AZ952">
        <v>5.125</v>
      </c>
      <c r="BA952">
        <v>358.98</v>
      </c>
      <c r="BB952">
        <v>5.49</v>
      </c>
      <c r="BC952">
        <v>61</v>
      </c>
      <c r="BD952">
        <v>0.3125</v>
      </c>
      <c r="BE952">
        <v>2.75</v>
      </c>
      <c r="BF952">
        <v>32.25</v>
      </c>
      <c r="BG952">
        <v>3.375</v>
      </c>
      <c r="BH952">
        <v>111.44</v>
      </c>
      <c r="BI952">
        <v>5.73</v>
      </c>
      <c r="BJ952">
        <v>17</v>
      </c>
      <c r="BL952">
        <v>470.42</v>
      </c>
      <c r="BM952">
        <v>77</v>
      </c>
      <c r="BN952">
        <v>251.45009999999999</v>
      </c>
      <c r="BO952">
        <v>1641</v>
      </c>
      <c r="BP952">
        <v>0</v>
      </c>
      <c r="BQ952">
        <v>53</v>
      </c>
      <c r="BR952">
        <v>53</v>
      </c>
      <c r="BS952">
        <v>53.04</v>
      </c>
      <c r="BT952">
        <v>0</v>
      </c>
      <c r="BV952">
        <v>0</v>
      </c>
      <c r="BW952" t="s">
        <v>655</v>
      </c>
      <c r="BX952">
        <v>0.17</v>
      </c>
      <c r="BY952">
        <v>9.0167999999999999</v>
      </c>
      <c r="BZ952">
        <v>0</v>
      </c>
      <c r="CA952">
        <v>1</v>
      </c>
      <c r="CB952">
        <v>0.6</v>
      </c>
      <c r="CC952" s="3">
        <v>7.1269159999999998E-2</v>
      </c>
      <c r="CD952">
        <v>2.875</v>
      </c>
      <c r="CE952">
        <v>2.5</v>
      </c>
      <c r="CF952">
        <v>18</v>
      </c>
      <c r="CG952">
        <v>6</v>
      </c>
      <c r="CH952">
        <v>0</v>
      </c>
      <c r="CI952">
        <v>53.04</v>
      </c>
      <c r="CJ952">
        <v>546.22680000000003</v>
      </c>
    </row>
    <row r="953" spans="1:88">
      <c r="A953">
        <v>952</v>
      </c>
      <c r="B953" t="s">
        <v>13</v>
      </c>
      <c r="C953" t="s">
        <v>1</v>
      </c>
      <c r="D953" t="s">
        <v>96</v>
      </c>
      <c r="E953" t="s">
        <v>103</v>
      </c>
      <c r="F953" t="s">
        <v>198</v>
      </c>
      <c r="G953" t="s">
        <v>106</v>
      </c>
      <c r="H953" t="s">
        <v>162</v>
      </c>
      <c r="J953">
        <v>2</v>
      </c>
      <c r="K953" t="s">
        <v>146</v>
      </c>
      <c r="L953" t="s">
        <v>455</v>
      </c>
      <c r="M953" t="s">
        <v>315</v>
      </c>
      <c r="N953" t="s">
        <v>316</v>
      </c>
      <c r="O953">
        <v>167</v>
      </c>
      <c r="Q953">
        <v>558</v>
      </c>
      <c r="R953">
        <v>81</v>
      </c>
      <c r="S953">
        <v>4.25</v>
      </c>
      <c r="T953">
        <v>4.4459999999999997</v>
      </c>
      <c r="U953">
        <v>6.86</v>
      </c>
      <c r="V953">
        <v>2371.88</v>
      </c>
      <c r="W953">
        <v>555</v>
      </c>
      <c r="X953">
        <v>1.3332999999999999</v>
      </c>
      <c r="Y953">
        <v>411</v>
      </c>
      <c r="Z953">
        <v>5.77</v>
      </c>
      <c r="AJ953">
        <v>2</v>
      </c>
      <c r="AK953">
        <v>18</v>
      </c>
      <c r="AM953">
        <v>0</v>
      </c>
      <c r="AO953" t="s">
        <v>166</v>
      </c>
      <c r="AT953">
        <v>63</v>
      </c>
      <c r="AV953">
        <v>44.8</v>
      </c>
      <c r="AW953">
        <v>0.46875</v>
      </c>
      <c r="AX953">
        <v>3.75</v>
      </c>
      <c r="AY953">
        <v>59.375</v>
      </c>
      <c r="AZ953">
        <v>5.375</v>
      </c>
      <c r="BA953">
        <v>341.56</v>
      </c>
      <c r="BB953">
        <v>5.77</v>
      </c>
      <c r="BC953">
        <v>64</v>
      </c>
      <c r="BD953">
        <v>0.3125</v>
      </c>
      <c r="BE953">
        <v>2.75</v>
      </c>
      <c r="BF953">
        <v>51.75</v>
      </c>
      <c r="BG953">
        <v>3.625</v>
      </c>
      <c r="BH953">
        <v>69.510000000000005</v>
      </c>
      <c r="BI953">
        <v>9.18</v>
      </c>
      <c r="BJ953">
        <v>28</v>
      </c>
      <c r="BL953">
        <v>411.07</v>
      </c>
      <c r="BM953">
        <v>91</v>
      </c>
      <c r="BN953">
        <v>214</v>
      </c>
      <c r="BO953">
        <v>2266</v>
      </c>
      <c r="BP953">
        <v>0</v>
      </c>
      <c r="BQ953">
        <v>57</v>
      </c>
      <c r="BR953">
        <v>57</v>
      </c>
      <c r="BS953">
        <v>57.21</v>
      </c>
      <c r="BT953">
        <v>0</v>
      </c>
      <c r="BV953">
        <v>0</v>
      </c>
      <c r="BW953" t="s">
        <v>655</v>
      </c>
      <c r="BX953">
        <v>0.17</v>
      </c>
      <c r="BY953">
        <v>9.7257010000000008</v>
      </c>
      <c r="BZ953">
        <v>0</v>
      </c>
      <c r="CA953">
        <v>1</v>
      </c>
      <c r="CB953">
        <v>0.6</v>
      </c>
      <c r="CC953" s="3">
        <v>7.1269159999999998E-2</v>
      </c>
      <c r="CD953">
        <v>2.875</v>
      </c>
      <c r="CE953">
        <v>2.5</v>
      </c>
      <c r="CF953">
        <v>18</v>
      </c>
      <c r="CG953">
        <v>6</v>
      </c>
      <c r="CH953">
        <v>0</v>
      </c>
      <c r="CI953">
        <v>57.21</v>
      </c>
      <c r="CJ953">
        <v>503.54759999999999</v>
      </c>
    </row>
    <row r="954" spans="1:88">
      <c r="A954">
        <v>953</v>
      </c>
      <c r="B954" t="s">
        <v>0</v>
      </c>
      <c r="C954" t="s">
        <v>1</v>
      </c>
      <c r="D954" t="s">
        <v>104</v>
      </c>
      <c r="E954" t="s">
        <v>257</v>
      </c>
      <c r="F954" t="s">
        <v>337</v>
      </c>
      <c r="G954" t="s">
        <v>214</v>
      </c>
      <c r="H954" t="s">
        <v>398</v>
      </c>
      <c r="J954">
        <v>2</v>
      </c>
      <c r="K954" t="s">
        <v>108</v>
      </c>
      <c r="L954" t="s">
        <v>258</v>
      </c>
      <c r="M954" t="s">
        <v>301</v>
      </c>
      <c r="N954" t="s">
        <v>363</v>
      </c>
      <c r="O954">
        <v>142</v>
      </c>
      <c r="Q954">
        <v>711</v>
      </c>
      <c r="R954">
        <v>116</v>
      </c>
      <c r="S954">
        <v>4.25</v>
      </c>
      <c r="T954">
        <v>3.8559999999999999</v>
      </c>
      <c r="U954">
        <v>6.56</v>
      </c>
      <c r="V954">
        <v>3020.98</v>
      </c>
      <c r="W954">
        <v>761</v>
      </c>
      <c r="X954">
        <v>1.3332999999999999</v>
      </c>
      <c r="Y954">
        <v>583</v>
      </c>
      <c r="Z954">
        <v>5.18</v>
      </c>
      <c r="AJ954">
        <v>2</v>
      </c>
      <c r="AK954">
        <v>18</v>
      </c>
      <c r="AM954">
        <v>0</v>
      </c>
      <c r="AO954" t="s">
        <v>170</v>
      </c>
      <c r="AT954">
        <v>55</v>
      </c>
      <c r="AV954">
        <v>66.7</v>
      </c>
      <c r="AW954">
        <v>0.4375</v>
      </c>
      <c r="AX954">
        <v>3.75</v>
      </c>
      <c r="AY954">
        <v>44.375</v>
      </c>
      <c r="AZ954">
        <v>4.5</v>
      </c>
      <c r="BA954">
        <v>320.76</v>
      </c>
      <c r="BB954">
        <v>5.13</v>
      </c>
      <c r="BC954">
        <v>45</v>
      </c>
      <c r="BD954">
        <v>0.4375</v>
      </c>
      <c r="BE954">
        <v>3.75</v>
      </c>
      <c r="BF954">
        <v>54.25</v>
      </c>
      <c r="BG954">
        <v>4.5</v>
      </c>
      <c r="BH954">
        <v>262.44</v>
      </c>
      <c r="BI954">
        <v>6.27</v>
      </c>
      <c r="BJ954">
        <v>55</v>
      </c>
      <c r="BL954">
        <v>583.20000000000005</v>
      </c>
      <c r="BM954">
        <v>99</v>
      </c>
      <c r="BN954">
        <v>323.7</v>
      </c>
      <c r="BO954">
        <v>1242</v>
      </c>
      <c r="BP954">
        <v>0</v>
      </c>
      <c r="BQ954">
        <v>49</v>
      </c>
      <c r="BR954">
        <v>49</v>
      </c>
      <c r="BS954">
        <v>48.52</v>
      </c>
      <c r="BT954">
        <v>0</v>
      </c>
      <c r="BV954">
        <v>0</v>
      </c>
      <c r="BW954" t="s">
        <v>655</v>
      </c>
      <c r="BX954">
        <v>0.17</v>
      </c>
      <c r="BY954">
        <v>8.2484000000000002</v>
      </c>
      <c r="BZ954">
        <v>0</v>
      </c>
      <c r="CA954">
        <v>1</v>
      </c>
      <c r="CB954">
        <v>0.6</v>
      </c>
      <c r="CC954" s="3">
        <v>7.1269159999999998E-2</v>
      </c>
      <c r="CD954">
        <v>2.875</v>
      </c>
      <c r="CE954">
        <v>2.5</v>
      </c>
      <c r="CF954">
        <v>18</v>
      </c>
      <c r="CG954">
        <v>6</v>
      </c>
      <c r="CH954">
        <v>0</v>
      </c>
      <c r="CI954">
        <v>48.52</v>
      </c>
      <c r="CJ954">
        <v>635.83600000000001</v>
      </c>
    </row>
    <row r="955" spans="1:88">
      <c r="A955">
        <v>954</v>
      </c>
      <c r="B955" t="s">
        <v>0</v>
      </c>
      <c r="C955" t="s">
        <v>1</v>
      </c>
      <c r="D955" t="s">
        <v>96</v>
      </c>
      <c r="E955" t="s">
        <v>181</v>
      </c>
      <c r="F955" t="s">
        <v>198</v>
      </c>
      <c r="G955" t="s">
        <v>106</v>
      </c>
      <c r="H955" t="s">
        <v>162</v>
      </c>
      <c r="J955">
        <v>2</v>
      </c>
      <c r="K955" t="s">
        <v>146</v>
      </c>
      <c r="L955" t="s">
        <v>202</v>
      </c>
      <c r="M955" t="s">
        <v>313</v>
      </c>
      <c r="N955" t="s">
        <v>314</v>
      </c>
      <c r="O955">
        <v>161</v>
      </c>
      <c r="Q955">
        <v>539</v>
      </c>
      <c r="R955">
        <v>81</v>
      </c>
      <c r="S955">
        <v>4.25</v>
      </c>
      <c r="T955">
        <v>4.3070000000000004</v>
      </c>
      <c r="U955">
        <v>6.75</v>
      </c>
      <c r="V955">
        <v>2292.5700000000002</v>
      </c>
      <c r="W955">
        <v>546</v>
      </c>
      <c r="X955">
        <v>1.3332999999999999</v>
      </c>
      <c r="Y955">
        <v>406</v>
      </c>
      <c r="Z955">
        <v>5.64</v>
      </c>
      <c r="AJ955">
        <v>2</v>
      </c>
      <c r="AK955">
        <v>18</v>
      </c>
      <c r="AM955">
        <v>0</v>
      </c>
      <c r="AO955" t="s">
        <v>166</v>
      </c>
      <c r="AT955">
        <v>61</v>
      </c>
      <c r="AV955">
        <v>44.8</v>
      </c>
      <c r="AW955">
        <v>0.46875</v>
      </c>
      <c r="AX955">
        <v>3.75</v>
      </c>
      <c r="AY955">
        <v>58</v>
      </c>
      <c r="AZ955">
        <v>5.25</v>
      </c>
      <c r="BA955">
        <v>349.43</v>
      </c>
      <c r="BB955">
        <v>5.64</v>
      </c>
      <c r="BC955">
        <v>62</v>
      </c>
      <c r="BD955">
        <v>0.25</v>
      </c>
      <c r="BE955">
        <v>2.75</v>
      </c>
      <c r="BF955">
        <v>20.125</v>
      </c>
      <c r="BG955">
        <v>2.875</v>
      </c>
      <c r="BH955">
        <v>57.05</v>
      </c>
      <c r="BI955">
        <v>6.01</v>
      </c>
      <c r="BJ955">
        <v>9</v>
      </c>
      <c r="BL955">
        <v>406.48</v>
      </c>
      <c r="BM955">
        <v>71</v>
      </c>
      <c r="BN955">
        <v>214</v>
      </c>
      <c r="BO955">
        <v>2266</v>
      </c>
      <c r="BP955">
        <v>0</v>
      </c>
      <c r="BQ955">
        <v>55</v>
      </c>
      <c r="BR955">
        <v>55</v>
      </c>
      <c r="BS955">
        <v>55.13</v>
      </c>
      <c r="BT955">
        <v>0</v>
      </c>
      <c r="BV955">
        <v>0</v>
      </c>
      <c r="BW955" t="s">
        <v>655</v>
      </c>
      <c r="BX955">
        <v>0.17</v>
      </c>
      <c r="BY955">
        <v>9.3720999999999997</v>
      </c>
      <c r="BZ955">
        <v>0</v>
      </c>
      <c r="CA955">
        <v>1</v>
      </c>
      <c r="CB955">
        <v>0.6</v>
      </c>
      <c r="CC955" s="3">
        <v>7.1269159999999998E-2</v>
      </c>
      <c r="CD955">
        <v>2.875</v>
      </c>
      <c r="CE955">
        <v>2.5</v>
      </c>
      <c r="CF955">
        <v>18</v>
      </c>
      <c r="CG955">
        <v>6</v>
      </c>
      <c r="CH955">
        <v>0</v>
      </c>
      <c r="CI955">
        <v>55.13</v>
      </c>
      <c r="CJ955">
        <v>485.24</v>
      </c>
    </row>
    <row r="956" spans="1:88">
      <c r="A956">
        <v>955</v>
      </c>
      <c r="B956" t="s">
        <v>0</v>
      </c>
      <c r="C956" t="s">
        <v>1</v>
      </c>
      <c r="D956" t="s">
        <v>267</v>
      </c>
      <c r="E956" t="s">
        <v>195</v>
      </c>
      <c r="F956" t="s">
        <v>269</v>
      </c>
      <c r="G956" t="s">
        <v>106</v>
      </c>
      <c r="H956" t="s">
        <v>131</v>
      </c>
      <c r="J956">
        <v>2</v>
      </c>
      <c r="K956" t="s">
        <v>146</v>
      </c>
      <c r="L956" t="s">
        <v>476</v>
      </c>
      <c r="M956" t="s">
        <v>256</v>
      </c>
      <c r="N956" t="s">
        <v>99</v>
      </c>
      <c r="O956">
        <v>146</v>
      </c>
      <c r="Q956">
        <v>602</v>
      </c>
      <c r="R956">
        <v>97</v>
      </c>
      <c r="S956">
        <v>4.25</v>
      </c>
      <c r="T956">
        <v>3.952</v>
      </c>
      <c r="U956">
        <v>6.63</v>
      </c>
      <c r="V956">
        <v>2560.0300000000002</v>
      </c>
      <c r="W956">
        <v>643</v>
      </c>
      <c r="X956">
        <v>1.3332999999999999</v>
      </c>
      <c r="Y956">
        <v>485</v>
      </c>
      <c r="Z956">
        <v>5.28</v>
      </c>
      <c r="AJ956">
        <v>2</v>
      </c>
      <c r="AK956">
        <v>18</v>
      </c>
      <c r="AM956">
        <v>0</v>
      </c>
      <c r="AO956" t="s">
        <v>271</v>
      </c>
      <c r="AT956">
        <v>56</v>
      </c>
      <c r="AV956">
        <v>54.9</v>
      </c>
      <c r="AW956">
        <v>0.46875</v>
      </c>
      <c r="AX956">
        <v>3.75</v>
      </c>
      <c r="AY956">
        <v>54.25</v>
      </c>
      <c r="AZ956">
        <v>5</v>
      </c>
      <c r="BA956">
        <v>373.26</v>
      </c>
      <c r="BB956">
        <v>5.28</v>
      </c>
      <c r="BC956">
        <v>58</v>
      </c>
      <c r="BD956">
        <v>0.3125</v>
      </c>
      <c r="BE956">
        <v>2.75</v>
      </c>
      <c r="BF956">
        <v>32.25</v>
      </c>
      <c r="BG956">
        <v>3.25</v>
      </c>
      <c r="BH956">
        <v>111.59</v>
      </c>
      <c r="BI956">
        <v>5.72</v>
      </c>
      <c r="BJ956">
        <v>17</v>
      </c>
      <c r="BL956">
        <v>484.85</v>
      </c>
      <c r="BM956">
        <v>75</v>
      </c>
      <c r="BN956">
        <v>263.93340000000001</v>
      </c>
      <c r="BO956">
        <v>1490</v>
      </c>
      <c r="BP956">
        <v>0</v>
      </c>
      <c r="BQ956">
        <v>50</v>
      </c>
      <c r="BR956">
        <v>50</v>
      </c>
      <c r="BS956">
        <v>49.91</v>
      </c>
      <c r="BT956">
        <v>0</v>
      </c>
      <c r="BV956">
        <v>0</v>
      </c>
      <c r="BW956" t="s">
        <v>655</v>
      </c>
      <c r="BX956">
        <v>0.17</v>
      </c>
      <c r="BY956">
        <v>8.4847000000000001</v>
      </c>
      <c r="BZ956">
        <v>0</v>
      </c>
      <c r="CA956">
        <v>1</v>
      </c>
      <c r="CB956">
        <v>0.6</v>
      </c>
      <c r="CC956" s="3">
        <v>7.1269159999999998E-2</v>
      </c>
      <c r="CD956">
        <v>2.875</v>
      </c>
      <c r="CE956">
        <v>2.5</v>
      </c>
      <c r="CF956">
        <v>18</v>
      </c>
      <c r="CG956">
        <v>6</v>
      </c>
      <c r="CH956">
        <v>0</v>
      </c>
      <c r="CI956">
        <v>49.91</v>
      </c>
      <c r="CJ956">
        <v>538.89210000000003</v>
      </c>
    </row>
    <row r="957" spans="1:88">
      <c r="A957">
        <v>956</v>
      </c>
      <c r="B957" t="s">
        <v>13</v>
      </c>
      <c r="C957" t="s">
        <v>1</v>
      </c>
      <c r="D957" t="s">
        <v>176</v>
      </c>
      <c r="E957" t="s">
        <v>219</v>
      </c>
      <c r="F957" t="s">
        <v>134</v>
      </c>
      <c r="G957" t="s">
        <v>106</v>
      </c>
      <c r="H957" t="s">
        <v>177</v>
      </c>
      <c r="J957">
        <v>2</v>
      </c>
      <c r="K957" t="s">
        <v>146</v>
      </c>
      <c r="L957" t="s">
        <v>369</v>
      </c>
      <c r="M957" t="s">
        <v>220</v>
      </c>
      <c r="N957" t="s">
        <v>221</v>
      </c>
      <c r="O957">
        <v>101</v>
      </c>
      <c r="Q957">
        <v>302</v>
      </c>
      <c r="R957">
        <v>71</v>
      </c>
      <c r="S957">
        <v>4.25</v>
      </c>
      <c r="T957">
        <v>2.8119999999999998</v>
      </c>
      <c r="U957">
        <v>5.92</v>
      </c>
      <c r="V957">
        <v>1282.26</v>
      </c>
      <c r="W957">
        <v>417</v>
      </c>
      <c r="X957">
        <v>1.3332999999999999</v>
      </c>
      <c r="Y957">
        <v>310</v>
      </c>
      <c r="Z957">
        <v>4.1399999999999997</v>
      </c>
      <c r="AJ957">
        <v>2</v>
      </c>
      <c r="AK957">
        <v>18</v>
      </c>
      <c r="AM957">
        <v>0</v>
      </c>
      <c r="AO957" t="s">
        <v>152</v>
      </c>
      <c r="AT957">
        <v>40</v>
      </c>
      <c r="AV957">
        <v>38.200000000000003</v>
      </c>
      <c r="AW957">
        <v>0</v>
      </c>
      <c r="AX957">
        <v>0</v>
      </c>
      <c r="AY957">
        <v>31.375</v>
      </c>
      <c r="AZ957">
        <v>3.375</v>
      </c>
      <c r="BA957">
        <v>0</v>
      </c>
      <c r="BB957">
        <v>0</v>
      </c>
      <c r="BC957">
        <v>30</v>
      </c>
      <c r="BN957">
        <v>181.9</v>
      </c>
      <c r="BO957">
        <v>3136</v>
      </c>
      <c r="BP957">
        <v>0</v>
      </c>
      <c r="BQ957">
        <v>34</v>
      </c>
      <c r="BR957">
        <v>34</v>
      </c>
      <c r="BS957">
        <v>34.26</v>
      </c>
      <c r="BT957">
        <v>0</v>
      </c>
      <c r="BV957">
        <v>0</v>
      </c>
      <c r="BW957" t="s">
        <v>655</v>
      </c>
      <c r="BX957">
        <v>0.17</v>
      </c>
      <c r="BY957">
        <v>5.8242000000000003</v>
      </c>
      <c r="BZ957">
        <v>0</v>
      </c>
      <c r="CA957">
        <v>1</v>
      </c>
      <c r="CB957">
        <v>0.6</v>
      </c>
      <c r="CC957" s="3">
        <v>7.1269159999999998E-2</v>
      </c>
      <c r="CD957">
        <v>2.875</v>
      </c>
      <c r="CE957">
        <v>2.5</v>
      </c>
      <c r="CF957">
        <v>18</v>
      </c>
      <c r="CG957">
        <v>6</v>
      </c>
      <c r="CH957">
        <v>0</v>
      </c>
      <c r="CI957">
        <v>34.26</v>
      </c>
      <c r="CJ957">
        <v>257.59739999999999</v>
      </c>
    </row>
    <row r="958" spans="1:88">
      <c r="A958">
        <v>957</v>
      </c>
      <c r="B958" t="s">
        <v>0</v>
      </c>
      <c r="C958" t="s">
        <v>1</v>
      </c>
      <c r="D958" t="s">
        <v>3</v>
      </c>
      <c r="E958" t="s">
        <v>139</v>
      </c>
      <c r="F958" t="s">
        <v>306</v>
      </c>
      <c r="G958" t="s">
        <v>106</v>
      </c>
      <c r="H958" t="s">
        <v>307</v>
      </c>
      <c r="J958">
        <v>2</v>
      </c>
      <c r="K958" t="s">
        <v>146</v>
      </c>
      <c r="L958" t="s">
        <v>158</v>
      </c>
      <c r="M958" t="s">
        <v>385</v>
      </c>
      <c r="N958" t="s">
        <v>177</v>
      </c>
      <c r="O958">
        <v>109</v>
      </c>
      <c r="Q958">
        <v>359</v>
      </c>
      <c r="R958">
        <v>77</v>
      </c>
      <c r="S958">
        <v>4.25</v>
      </c>
      <c r="T958">
        <v>3.024</v>
      </c>
      <c r="U958">
        <v>6.11</v>
      </c>
      <c r="V958">
        <v>1526.26</v>
      </c>
      <c r="W958">
        <v>473</v>
      </c>
      <c r="X958">
        <v>1.3332999999999999</v>
      </c>
      <c r="Y958">
        <v>351</v>
      </c>
      <c r="Z958">
        <v>4.3499999999999996</v>
      </c>
      <c r="AJ958">
        <v>2</v>
      </c>
      <c r="AK958">
        <v>18</v>
      </c>
      <c r="AM958">
        <v>0</v>
      </c>
      <c r="AO958" t="s">
        <v>308</v>
      </c>
      <c r="AT958">
        <v>43</v>
      </c>
      <c r="AV958">
        <v>42.6</v>
      </c>
      <c r="AW958">
        <v>0</v>
      </c>
      <c r="AX958">
        <v>0</v>
      </c>
      <c r="AY958">
        <v>40.5</v>
      </c>
      <c r="AZ958">
        <v>3.75</v>
      </c>
      <c r="BA958">
        <v>0</v>
      </c>
      <c r="BB958">
        <v>0</v>
      </c>
      <c r="BC958">
        <v>41</v>
      </c>
      <c r="BN958">
        <v>203.3</v>
      </c>
      <c r="BO958">
        <v>2511</v>
      </c>
      <c r="BP958">
        <v>0</v>
      </c>
      <c r="BQ958">
        <v>37</v>
      </c>
      <c r="BR958">
        <v>37</v>
      </c>
      <c r="BS958">
        <v>37.04</v>
      </c>
      <c r="BT958">
        <v>0</v>
      </c>
      <c r="BV958">
        <v>0</v>
      </c>
      <c r="BW958" t="s">
        <v>655</v>
      </c>
      <c r="BX958">
        <v>0.17</v>
      </c>
      <c r="BY958">
        <v>6.2968000000000002</v>
      </c>
      <c r="BZ958">
        <v>0</v>
      </c>
      <c r="CA958">
        <v>1</v>
      </c>
      <c r="CB958">
        <v>0.6</v>
      </c>
      <c r="CC958" s="3">
        <v>7.1269159999999998E-2</v>
      </c>
      <c r="CD958">
        <v>2.875</v>
      </c>
      <c r="CE958">
        <v>2.5</v>
      </c>
      <c r="CF958">
        <v>18</v>
      </c>
      <c r="CG958">
        <v>6</v>
      </c>
      <c r="CH958">
        <v>0</v>
      </c>
      <c r="CI958">
        <v>37.04</v>
      </c>
      <c r="CJ958">
        <v>310.17759999999998</v>
      </c>
    </row>
    <row r="959" spans="1:88">
      <c r="A959">
        <v>958</v>
      </c>
      <c r="B959" t="s">
        <v>13</v>
      </c>
      <c r="C959" t="s">
        <v>1</v>
      </c>
      <c r="D959" t="s">
        <v>363</v>
      </c>
      <c r="E959" t="s">
        <v>133</v>
      </c>
      <c r="F959" t="s">
        <v>256</v>
      </c>
      <c r="G959" t="s">
        <v>106</v>
      </c>
      <c r="H959" t="s">
        <v>364</v>
      </c>
      <c r="J959">
        <v>2</v>
      </c>
      <c r="K959" t="s">
        <v>146</v>
      </c>
      <c r="L959" t="s">
        <v>353</v>
      </c>
      <c r="M959" t="s">
        <v>194</v>
      </c>
      <c r="N959" t="s">
        <v>195</v>
      </c>
      <c r="O959">
        <v>143</v>
      </c>
      <c r="Q959">
        <v>537</v>
      </c>
      <c r="R959">
        <v>89</v>
      </c>
      <c r="S959">
        <v>4.25</v>
      </c>
      <c r="T959">
        <v>3.88</v>
      </c>
      <c r="U959">
        <v>6.6</v>
      </c>
      <c r="V959">
        <v>2282.33</v>
      </c>
      <c r="W959">
        <v>587</v>
      </c>
      <c r="X959">
        <v>1.3332999999999999</v>
      </c>
      <c r="Y959">
        <v>438</v>
      </c>
      <c r="Z959">
        <v>5.21</v>
      </c>
      <c r="AJ959">
        <v>2</v>
      </c>
      <c r="AK959">
        <v>18</v>
      </c>
      <c r="AM959">
        <v>0</v>
      </c>
      <c r="AO959" t="s">
        <v>298</v>
      </c>
      <c r="AT959">
        <v>55</v>
      </c>
      <c r="AV959">
        <v>49.9</v>
      </c>
      <c r="AW959">
        <v>0.46875</v>
      </c>
      <c r="AX959">
        <v>3.75</v>
      </c>
      <c r="AY959">
        <v>53.625</v>
      </c>
      <c r="AZ959">
        <v>4.875</v>
      </c>
      <c r="BA959">
        <v>378.27</v>
      </c>
      <c r="BB959">
        <v>5.21</v>
      </c>
      <c r="BC959">
        <v>58</v>
      </c>
      <c r="BD959">
        <v>0.25</v>
      </c>
      <c r="BE959">
        <v>2.75</v>
      </c>
      <c r="BF959">
        <v>19.25</v>
      </c>
      <c r="BG959">
        <v>2.625</v>
      </c>
      <c r="BH959">
        <v>59.79</v>
      </c>
      <c r="BI959">
        <v>5.74</v>
      </c>
      <c r="BJ959">
        <v>8</v>
      </c>
      <c r="BL959">
        <v>438.06</v>
      </c>
      <c r="BM959">
        <v>65</v>
      </c>
      <c r="BN959">
        <v>238.9667</v>
      </c>
      <c r="BO959">
        <v>1817</v>
      </c>
      <c r="BP959">
        <v>0</v>
      </c>
      <c r="BQ959">
        <v>49</v>
      </c>
      <c r="BR959">
        <v>49</v>
      </c>
      <c r="BS959">
        <v>48.86</v>
      </c>
      <c r="BT959">
        <v>0</v>
      </c>
      <c r="BV959">
        <v>0</v>
      </c>
      <c r="BW959" t="s">
        <v>655</v>
      </c>
      <c r="BX959">
        <v>0.17</v>
      </c>
      <c r="BY959">
        <v>8.3062000000000005</v>
      </c>
      <c r="BZ959">
        <v>0</v>
      </c>
      <c r="CA959">
        <v>1</v>
      </c>
      <c r="CB959">
        <v>0.6</v>
      </c>
      <c r="CC959" s="3">
        <v>7.1269159999999998E-2</v>
      </c>
      <c r="CD959">
        <v>2.875</v>
      </c>
      <c r="CE959">
        <v>2.5</v>
      </c>
      <c r="CF959">
        <v>18</v>
      </c>
      <c r="CG959">
        <v>6</v>
      </c>
      <c r="CH959">
        <v>0</v>
      </c>
      <c r="CI959">
        <v>48.86</v>
      </c>
      <c r="CJ959">
        <v>478.80399999999997</v>
      </c>
    </row>
    <row r="960" spans="1:88">
      <c r="A960">
        <v>959</v>
      </c>
      <c r="B960" t="s">
        <v>0</v>
      </c>
      <c r="C960" t="s">
        <v>1</v>
      </c>
      <c r="D960" t="s">
        <v>328</v>
      </c>
      <c r="E960" t="s">
        <v>96</v>
      </c>
      <c r="F960" t="s">
        <v>329</v>
      </c>
      <c r="G960" t="s">
        <v>15</v>
      </c>
      <c r="H960" t="s">
        <v>328</v>
      </c>
      <c r="J960">
        <v>2</v>
      </c>
      <c r="K960" t="s">
        <v>9</v>
      </c>
      <c r="L960" t="s">
        <v>293</v>
      </c>
      <c r="M960" t="s">
        <v>100</v>
      </c>
      <c r="N960" t="s">
        <v>101</v>
      </c>
      <c r="O960">
        <v>131</v>
      </c>
      <c r="Q960">
        <v>878</v>
      </c>
      <c r="R960">
        <v>154</v>
      </c>
      <c r="S960">
        <v>4.25</v>
      </c>
      <c r="T960">
        <v>3.5859999999999999</v>
      </c>
      <c r="U960">
        <v>6.37</v>
      </c>
      <c r="V960">
        <v>3730.39</v>
      </c>
      <c r="W960">
        <v>980</v>
      </c>
      <c r="X960">
        <v>1.3332999999999999</v>
      </c>
      <c r="Y960">
        <v>760</v>
      </c>
      <c r="Z960">
        <v>4.91</v>
      </c>
      <c r="AJ960">
        <v>2</v>
      </c>
      <c r="AK960">
        <v>18</v>
      </c>
      <c r="AM960">
        <v>0</v>
      </c>
      <c r="AO960" t="s">
        <v>331</v>
      </c>
      <c r="AT960">
        <v>51</v>
      </c>
      <c r="AV960">
        <v>88.5</v>
      </c>
      <c r="AW960" t="s">
        <v>6</v>
      </c>
      <c r="AX960" t="s">
        <v>6</v>
      </c>
      <c r="AY960" t="s">
        <v>6</v>
      </c>
      <c r="AZ960" t="s">
        <v>6</v>
      </c>
      <c r="BA960" t="s">
        <v>6</v>
      </c>
      <c r="BB960" t="s">
        <v>6</v>
      </c>
      <c r="BC960" t="s">
        <v>6</v>
      </c>
      <c r="BD960" t="s">
        <v>6</v>
      </c>
      <c r="BE960" t="s">
        <v>6</v>
      </c>
      <c r="BF960" t="s">
        <v>6</v>
      </c>
      <c r="BG960" t="s">
        <v>6</v>
      </c>
      <c r="BH960" t="s">
        <v>6</v>
      </c>
      <c r="BI960" t="s">
        <v>6</v>
      </c>
      <c r="BJ960" t="s">
        <v>6</v>
      </c>
      <c r="BN960">
        <v>757.69809999999995</v>
      </c>
      <c r="BO960">
        <v>1905</v>
      </c>
      <c r="BP960">
        <v>0</v>
      </c>
      <c r="BQ960">
        <v>45</v>
      </c>
      <c r="BR960">
        <v>45</v>
      </c>
      <c r="BS960">
        <v>44.69</v>
      </c>
      <c r="BT960">
        <v>0</v>
      </c>
      <c r="BV960">
        <v>6</v>
      </c>
      <c r="BW960" t="s">
        <v>655</v>
      </c>
      <c r="BX960">
        <v>0.27933340000000001</v>
      </c>
      <c r="BY960">
        <v>12.483409999999999</v>
      </c>
      <c r="BZ960">
        <v>0</v>
      </c>
      <c r="CA960">
        <v>1</v>
      </c>
      <c r="CB960">
        <v>0.6</v>
      </c>
      <c r="CC960" s="3">
        <v>7.1269159999999998E-2</v>
      </c>
      <c r="CD960">
        <v>2.875</v>
      </c>
      <c r="CE960">
        <v>2.5</v>
      </c>
      <c r="CF960">
        <v>18</v>
      </c>
      <c r="CG960">
        <v>6</v>
      </c>
      <c r="CH960">
        <v>0</v>
      </c>
      <c r="CI960">
        <v>44.69</v>
      </c>
      <c r="CJ960">
        <v>776.74630000000002</v>
      </c>
    </row>
    <row r="961" spans="1:88">
      <c r="A961">
        <v>960</v>
      </c>
      <c r="B961" t="s">
        <v>0</v>
      </c>
      <c r="C961" t="s">
        <v>1</v>
      </c>
      <c r="D961" t="s">
        <v>253</v>
      </c>
      <c r="E961" t="s">
        <v>123</v>
      </c>
      <c r="F961" t="s">
        <v>636</v>
      </c>
      <c r="G961" t="s">
        <v>15</v>
      </c>
      <c r="H961" t="s">
        <v>637</v>
      </c>
      <c r="J961">
        <v>2</v>
      </c>
      <c r="K961" t="s">
        <v>108</v>
      </c>
      <c r="L961" t="s">
        <v>8</v>
      </c>
      <c r="M961" t="s">
        <v>147</v>
      </c>
      <c r="N961" t="s">
        <v>148</v>
      </c>
      <c r="O961">
        <v>183</v>
      </c>
      <c r="Q961">
        <v>929</v>
      </c>
      <c r="R961">
        <v>120</v>
      </c>
      <c r="S961">
        <v>4.25</v>
      </c>
      <c r="T961">
        <v>4.8079999999999998</v>
      </c>
      <c r="U961">
        <v>7.12</v>
      </c>
      <c r="V961">
        <v>3948.84</v>
      </c>
      <c r="W961">
        <v>853</v>
      </c>
      <c r="X961">
        <v>1.3332999999999999</v>
      </c>
      <c r="Y961">
        <v>643</v>
      </c>
      <c r="Z961">
        <v>6.14</v>
      </c>
      <c r="AJ961">
        <v>2</v>
      </c>
      <c r="AK961">
        <v>18</v>
      </c>
      <c r="AM961">
        <v>0</v>
      </c>
      <c r="AO961" t="s">
        <v>213</v>
      </c>
      <c r="AT961">
        <v>69</v>
      </c>
      <c r="AV961">
        <v>68.900000000000006</v>
      </c>
      <c r="AW961" t="s">
        <v>6</v>
      </c>
      <c r="AX961" t="s">
        <v>6</v>
      </c>
      <c r="AY961" t="s">
        <v>6</v>
      </c>
      <c r="AZ961" t="s">
        <v>6</v>
      </c>
      <c r="BA961" t="s">
        <v>6</v>
      </c>
      <c r="BB961" t="s">
        <v>6</v>
      </c>
      <c r="BC961" t="s">
        <v>6</v>
      </c>
      <c r="BD961" t="s">
        <v>6</v>
      </c>
      <c r="BE961" t="s">
        <v>6</v>
      </c>
      <c r="BF961" t="s">
        <v>6</v>
      </c>
      <c r="BG961" t="s">
        <v>6</v>
      </c>
      <c r="BH961" t="s">
        <v>6</v>
      </c>
      <c r="BI961" t="s">
        <v>6</v>
      </c>
      <c r="BJ961" t="s">
        <v>6</v>
      </c>
      <c r="BN961">
        <v>587.21600000000001</v>
      </c>
      <c r="BO961">
        <v>3172</v>
      </c>
      <c r="BP961">
        <v>0</v>
      </c>
      <c r="BQ961">
        <v>63</v>
      </c>
      <c r="BR961">
        <v>63</v>
      </c>
      <c r="BS961">
        <v>62.78</v>
      </c>
      <c r="BT961">
        <v>0</v>
      </c>
      <c r="BV961">
        <v>0</v>
      </c>
      <c r="BW961" t="s">
        <v>655</v>
      </c>
      <c r="BX961">
        <v>0.17</v>
      </c>
      <c r="BY961">
        <v>10.672599999999999</v>
      </c>
      <c r="BZ961">
        <v>0</v>
      </c>
      <c r="CA961">
        <v>1</v>
      </c>
      <c r="CB961">
        <v>0.6</v>
      </c>
      <c r="CC961" s="3">
        <v>7.1269159999999998E-2</v>
      </c>
      <c r="CD961">
        <v>2.875</v>
      </c>
      <c r="CE961">
        <v>2.5</v>
      </c>
      <c r="CF961">
        <v>18</v>
      </c>
      <c r="CG961">
        <v>6</v>
      </c>
      <c r="CH961">
        <v>0</v>
      </c>
      <c r="CI961">
        <v>62.78</v>
      </c>
      <c r="CJ961">
        <v>849.55340000000001</v>
      </c>
    </row>
    <row r="962" spans="1:88">
      <c r="A962">
        <v>961</v>
      </c>
      <c r="B962" t="s">
        <v>0</v>
      </c>
      <c r="C962" t="s">
        <v>1</v>
      </c>
      <c r="D962" t="s">
        <v>545</v>
      </c>
      <c r="E962" t="s">
        <v>139</v>
      </c>
      <c r="F962" t="s">
        <v>437</v>
      </c>
      <c r="G962" t="s">
        <v>15</v>
      </c>
      <c r="H962" t="s">
        <v>548</v>
      </c>
      <c r="J962">
        <v>2</v>
      </c>
      <c r="K962" t="s">
        <v>108</v>
      </c>
      <c r="L962" t="s">
        <v>158</v>
      </c>
      <c r="M962" t="s">
        <v>385</v>
      </c>
      <c r="N962" t="s">
        <v>177</v>
      </c>
      <c r="O962">
        <v>109</v>
      </c>
      <c r="Q962">
        <v>676</v>
      </c>
      <c r="R962">
        <v>141</v>
      </c>
      <c r="S962">
        <v>4.25</v>
      </c>
      <c r="T962">
        <v>3.024</v>
      </c>
      <c r="U962">
        <v>6.11</v>
      </c>
      <c r="V962">
        <v>2871.04</v>
      </c>
      <c r="W962">
        <v>859</v>
      </c>
      <c r="X962">
        <v>1.3332999999999999</v>
      </c>
      <c r="Y962">
        <v>660</v>
      </c>
      <c r="Z962">
        <v>4.3499999999999996</v>
      </c>
      <c r="AJ962">
        <v>2</v>
      </c>
      <c r="AK962">
        <v>18</v>
      </c>
      <c r="AM962">
        <v>0</v>
      </c>
      <c r="AO962" t="s">
        <v>549</v>
      </c>
      <c r="AT962">
        <v>43</v>
      </c>
      <c r="AV962">
        <v>80.900000000000006</v>
      </c>
      <c r="AW962">
        <v>0.5</v>
      </c>
      <c r="AX962">
        <v>5.625</v>
      </c>
      <c r="AY962">
        <v>33.5</v>
      </c>
      <c r="AZ962">
        <v>4.375</v>
      </c>
      <c r="BA962">
        <v>534.98</v>
      </c>
      <c r="BB962">
        <v>4.3499999999999996</v>
      </c>
      <c r="BC962">
        <v>60</v>
      </c>
      <c r="BD962">
        <v>0.3125</v>
      </c>
      <c r="BE962">
        <v>3.75</v>
      </c>
      <c r="BF962">
        <v>20.375</v>
      </c>
      <c r="BG962">
        <v>2.75</v>
      </c>
      <c r="BH962">
        <v>125.02</v>
      </c>
      <c r="BI962">
        <v>5.1100000000000003</v>
      </c>
      <c r="BJ962">
        <v>15</v>
      </c>
      <c r="BL962">
        <v>660</v>
      </c>
      <c r="BM962">
        <v>75</v>
      </c>
      <c r="BN962">
        <v>691.39949999999999</v>
      </c>
      <c r="BO962">
        <v>2288</v>
      </c>
      <c r="BP962">
        <v>0</v>
      </c>
      <c r="BQ962">
        <v>37</v>
      </c>
      <c r="BR962">
        <v>37</v>
      </c>
      <c r="BS962">
        <v>37.04</v>
      </c>
      <c r="BT962">
        <v>0</v>
      </c>
      <c r="BV962">
        <v>0</v>
      </c>
      <c r="BW962" t="s">
        <v>655</v>
      </c>
      <c r="BX962">
        <v>0.17</v>
      </c>
      <c r="BY962">
        <v>6.2968000000000002</v>
      </c>
      <c r="BZ962">
        <v>0</v>
      </c>
      <c r="CA962">
        <v>1</v>
      </c>
      <c r="CB962">
        <v>0.6</v>
      </c>
      <c r="CC962" s="3">
        <v>7.1269159999999998E-2</v>
      </c>
      <c r="CD962">
        <v>2.875</v>
      </c>
      <c r="CE962">
        <v>2.5</v>
      </c>
      <c r="CF962">
        <v>18</v>
      </c>
      <c r="CG962">
        <v>6</v>
      </c>
      <c r="CH962">
        <v>0</v>
      </c>
      <c r="CI962">
        <v>37.04</v>
      </c>
      <c r="CJ962">
        <v>588.34760000000006</v>
      </c>
    </row>
    <row r="963" spans="1:88">
      <c r="A963">
        <v>962</v>
      </c>
      <c r="B963" t="s">
        <v>0</v>
      </c>
      <c r="C963" t="s">
        <v>1</v>
      </c>
      <c r="D963" t="s">
        <v>8</v>
      </c>
      <c r="E963" t="s">
        <v>178</v>
      </c>
      <c r="F963" t="s">
        <v>246</v>
      </c>
      <c r="G963" t="s">
        <v>214</v>
      </c>
      <c r="H963" t="s">
        <v>247</v>
      </c>
      <c r="J963">
        <v>2</v>
      </c>
      <c r="K963" t="s">
        <v>108</v>
      </c>
      <c r="L963" t="s">
        <v>127</v>
      </c>
      <c r="M963" t="s">
        <v>179</v>
      </c>
      <c r="N963" t="s">
        <v>180</v>
      </c>
      <c r="O963">
        <v>95</v>
      </c>
      <c r="Q963">
        <v>526</v>
      </c>
      <c r="R963">
        <v>124</v>
      </c>
      <c r="S963">
        <v>4.25</v>
      </c>
      <c r="T963">
        <v>2.649</v>
      </c>
      <c r="U963">
        <v>5.81</v>
      </c>
      <c r="V963">
        <v>2234.0100000000002</v>
      </c>
      <c r="W963">
        <v>718</v>
      </c>
      <c r="X963">
        <v>1.3332999999999999</v>
      </c>
      <c r="Y963">
        <v>561</v>
      </c>
      <c r="Z963">
        <v>3.98</v>
      </c>
      <c r="AJ963">
        <v>2</v>
      </c>
      <c r="AK963">
        <v>18</v>
      </c>
      <c r="AM963">
        <v>0</v>
      </c>
      <c r="AO963" t="s">
        <v>250</v>
      </c>
      <c r="AT963">
        <v>38</v>
      </c>
      <c r="AV963">
        <v>71.099999999999994</v>
      </c>
      <c r="AW963">
        <v>0.46875</v>
      </c>
      <c r="AX963">
        <v>3.75</v>
      </c>
      <c r="AY963">
        <v>41</v>
      </c>
      <c r="AZ963">
        <v>3.75</v>
      </c>
      <c r="BA963">
        <v>495.18</v>
      </c>
      <c r="BB963">
        <v>3.98</v>
      </c>
      <c r="BC963">
        <v>44</v>
      </c>
      <c r="BD963">
        <v>0.25</v>
      </c>
      <c r="BE963">
        <v>2.75</v>
      </c>
      <c r="BF963">
        <v>17.375</v>
      </c>
      <c r="BG963">
        <v>2</v>
      </c>
      <c r="BH963">
        <v>66.12</v>
      </c>
      <c r="BI963">
        <v>5.19</v>
      </c>
      <c r="BJ963">
        <v>8</v>
      </c>
      <c r="BL963">
        <v>561.29999999999995</v>
      </c>
      <c r="BM963">
        <v>51</v>
      </c>
      <c r="BN963">
        <v>345.28</v>
      </c>
      <c r="BO963">
        <v>1092</v>
      </c>
      <c r="BP963">
        <v>0</v>
      </c>
      <c r="BQ963">
        <v>32</v>
      </c>
      <c r="BR963">
        <v>32</v>
      </c>
      <c r="BS963">
        <v>32.17</v>
      </c>
      <c r="BT963">
        <v>0</v>
      </c>
      <c r="BV963">
        <v>0</v>
      </c>
      <c r="BW963" t="s">
        <v>655</v>
      </c>
      <c r="BX963">
        <v>0.17</v>
      </c>
      <c r="BY963">
        <v>5.4688999999999997</v>
      </c>
      <c r="BZ963">
        <v>0</v>
      </c>
      <c r="CA963">
        <v>1</v>
      </c>
      <c r="CB963">
        <v>0.6</v>
      </c>
      <c r="CC963" s="3">
        <v>7.1269159999999998E-2</v>
      </c>
      <c r="CD963">
        <v>2.875</v>
      </c>
      <c r="CE963">
        <v>2.5</v>
      </c>
      <c r="CF963">
        <v>18</v>
      </c>
      <c r="CG963">
        <v>6</v>
      </c>
      <c r="CH963">
        <v>0</v>
      </c>
      <c r="CI963">
        <v>32.17</v>
      </c>
      <c r="CJ963">
        <v>449.08819999999997</v>
      </c>
    </row>
    <row r="964" spans="1:88">
      <c r="A964">
        <v>963</v>
      </c>
      <c r="B964" t="s">
        <v>0</v>
      </c>
      <c r="C964" t="s">
        <v>1</v>
      </c>
      <c r="D964" t="s">
        <v>382</v>
      </c>
      <c r="E964" t="s">
        <v>162</v>
      </c>
      <c r="F964" t="s">
        <v>220</v>
      </c>
      <c r="G964" t="s">
        <v>106</v>
      </c>
      <c r="H964" t="s">
        <v>317</v>
      </c>
      <c r="J964">
        <v>2</v>
      </c>
      <c r="K964" t="s">
        <v>146</v>
      </c>
      <c r="L964" t="s">
        <v>295</v>
      </c>
      <c r="M964" t="s">
        <v>166</v>
      </c>
      <c r="N964" t="s">
        <v>167</v>
      </c>
      <c r="O964">
        <v>130</v>
      </c>
      <c r="Q964">
        <v>333</v>
      </c>
      <c r="R964">
        <v>63</v>
      </c>
      <c r="S964">
        <v>4.25</v>
      </c>
      <c r="T964">
        <v>3.5609999999999999</v>
      </c>
      <c r="U964">
        <v>6.33</v>
      </c>
      <c r="V964">
        <v>1416.99</v>
      </c>
      <c r="W964">
        <v>399</v>
      </c>
      <c r="X964">
        <v>1.3332999999999999</v>
      </c>
      <c r="Y964">
        <v>290</v>
      </c>
      <c r="Z964">
        <v>4.8899999999999997</v>
      </c>
      <c r="AJ964">
        <v>2</v>
      </c>
      <c r="AK964">
        <v>18</v>
      </c>
      <c r="AM964">
        <v>0</v>
      </c>
      <c r="AO964" t="s">
        <v>400</v>
      </c>
      <c r="AT964">
        <v>50</v>
      </c>
      <c r="AV964">
        <v>33.5</v>
      </c>
      <c r="AW964">
        <v>0</v>
      </c>
      <c r="AX964">
        <v>0</v>
      </c>
      <c r="AY964">
        <v>49.125</v>
      </c>
      <c r="AZ964">
        <v>4.25</v>
      </c>
      <c r="BA964">
        <v>0</v>
      </c>
      <c r="BB964">
        <v>0</v>
      </c>
      <c r="BC964">
        <v>50</v>
      </c>
      <c r="BN964">
        <v>158.7167</v>
      </c>
      <c r="BO964">
        <v>4119</v>
      </c>
      <c r="BP964">
        <v>0</v>
      </c>
      <c r="BQ964">
        <v>44</v>
      </c>
      <c r="BR964">
        <v>44</v>
      </c>
      <c r="BS964">
        <v>44.34</v>
      </c>
      <c r="BT964">
        <v>0</v>
      </c>
      <c r="BV964">
        <v>0</v>
      </c>
      <c r="BW964" t="s">
        <v>655</v>
      </c>
      <c r="BX964">
        <v>0.17</v>
      </c>
      <c r="BY964">
        <v>7.5377999999999998</v>
      </c>
      <c r="BZ964">
        <v>0</v>
      </c>
      <c r="CA964">
        <v>1</v>
      </c>
      <c r="CB964">
        <v>0.6</v>
      </c>
      <c r="CC964" s="3">
        <v>7.1269159999999998E-2</v>
      </c>
      <c r="CD964">
        <v>2.875</v>
      </c>
      <c r="CE964">
        <v>2.5</v>
      </c>
      <c r="CF964">
        <v>18</v>
      </c>
      <c r="CG964">
        <v>6</v>
      </c>
      <c r="CH964">
        <v>0</v>
      </c>
      <c r="CI964">
        <v>44.34</v>
      </c>
      <c r="CJ964">
        <v>292.30689999999998</v>
      </c>
    </row>
    <row r="965" spans="1:88">
      <c r="A965">
        <v>964</v>
      </c>
      <c r="B965" t="s">
        <v>13</v>
      </c>
      <c r="C965" t="s">
        <v>1</v>
      </c>
      <c r="D965" t="s">
        <v>133</v>
      </c>
      <c r="E965" t="s">
        <v>172</v>
      </c>
      <c r="F965" t="s">
        <v>298</v>
      </c>
      <c r="G965" t="s">
        <v>106</v>
      </c>
      <c r="H965" t="s">
        <v>257</v>
      </c>
      <c r="J965">
        <v>2</v>
      </c>
      <c r="K965" t="s">
        <v>146</v>
      </c>
      <c r="L965" t="s">
        <v>233</v>
      </c>
      <c r="M965" t="s">
        <v>490</v>
      </c>
      <c r="N965" t="s">
        <v>128</v>
      </c>
      <c r="O965">
        <v>137</v>
      </c>
      <c r="Q965">
        <v>509</v>
      </c>
      <c r="R965">
        <v>88</v>
      </c>
      <c r="S965">
        <v>4.25</v>
      </c>
      <c r="T965">
        <v>3.734</v>
      </c>
      <c r="U965">
        <v>6.48</v>
      </c>
      <c r="V965">
        <v>2162.7399999999998</v>
      </c>
      <c r="W965">
        <v>568</v>
      </c>
      <c r="X965">
        <v>1.3332999999999999</v>
      </c>
      <c r="Y965">
        <v>427</v>
      </c>
      <c r="Z965">
        <v>5.0599999999999996</v>
      </c>
      <c r="AJ965">
        <v>2</v>
      </c>
      <c r="AK965">
        <v>18</v>
      </c>
      <c r="AM965">
        <v>0</v>
      </c>
      <c r="AO965" t="s">
        <v>301</v>
      </c>
      <c r="AT965">
        <v>53</v>
      </c>
      <c r="AV965">
        <v>49.1</v>
      </c>
      <c r="AW965">
        <v>0.46875</v>
      </c>
      <c r="AX965">
        <v>3.75</v>
      </c>
      <c r="AY965">
        <v>52</v>
      </c>
      <c r="AZ965">
        <v>4.75</v>
      </c>
      <c r="BA965">
        <v>389.49</v>
      </c>
      <c r="BB965">
        <v>5.0599999999999996</v>
      </c>
      <c r="BC965">
        <v>56</v>
      </c>
      <c r="BD965">
        <v>0.25</v>
      </c>
      <c r="BE965">
        <v>2.75</v>
      </c>
      <c r="BF965">
        <v>30.25</v>
      </c>
      <c r="BG965">
        <v>2.5</v>
      </c>
      <c r="BH965">
        <v>37.92</v>
      </c>
      <c r="BI965">
        <v>9.0500000000000007</v>
      </c>
      <c r="BJ965">
        <v>13</v>
      </c>
      <c r="BL965">
        <v>427.41</v>
      </c>
      <c r="BM965">
        <v>69</v>
      </c>
      <c r="BN965">
        <v>235.40010000000001</v>
      </c>
      <c r="BO965">
        <v>1873</v>
      </c>
      <c r="BP965">
        <v>0</v>
      </c>
      <c r="BQ965">
        <v>47</v>
      </c>
      <c r="BR965">
        <v>47</v>
      </c>
      <c r="BS965">
        <v>46.78</v>
      </c>
      <c r="BT965">
        <v>0</v>
      </c>
      <c r="BV965">
        <v>0</v>
      </c>
      <c r="BW965" t="s">
        <v>655</v>
      </c>
      <c r="BX965">
        <v>0.17</v>
      </c>
      <c r="BY965">
        <v>7.9526000000000003</v>
      </c>
      <c r="BZ965">
        <v>0</v>
      </c>
      <c r="CA965">
        <v>1</v>
      </c>
      <c r="CB965">
        <v>0.6</v>
      </c>
      <c r="CC965" s="3">
        <v>7.1269159999999998E-2</v>
      </c>
      <c r="CD965">
        <v>2.875</v>
      </c>
      <c r="CE965">
        <v>2.5</v>
      </c>
      <c r="CF965">
        <v>18</v>
      </c>
      <c r="CG965">
        <v>6</v>
      </c>
      <c r="CH965">
        <v>0</v>
      </c>
      <c r="CI965">
        <v>46.78</v>
      </c>
      <c r="CJ965">
        <v>451.75310000000002</v>
      </c>
    </row>
    <row r="966" spans="1:88">
      <c r="A966">
        <v>965</v>
      </c>
      <c r="B966" t="s">
        <v>0</v>
      </c>
      <c r="C966" t="s">
        <v>1</v>
      </c>
      <c r="D966" t="s">
        <v>103</v>
      </c>
      <c r="E966" t="s">
        <v>14</v>
      </c>
      <c r="F966" t="s">
        <v>105</v>
      </c>
      <c r="G966" t="s">
        <v>106</v>
      </c>
      <c r="H966" t="s">
        <v>107</v>
      </c>
      <c r="J966">
        <v>2</v>
      </c>
      <c r="K966" t="s">
        <v>108</v>
      </c>
      <c r="L966" t="s">
        <v>17</v>
      </c>
      <c r="M966" t="s">
        <v>18</v>
      </c>
      <c r="N966" t="s">
        <v>19</v>
      </c>
      <c r="O966">
        <v>182</v>
      </c>
      <c r="Q966">
        <v>780</v>
      </c>
      <c r="R966">
        <v>102</v>
      </c>
      <c r="S966">
        <v>4.25</v>
      </c>
      <c r="T966">
        <v>4.7859999999999996</v>
      </c>
      <c r="U966">
        <v>7.12</v>
      </c>
      <c r="V966">
        <v>3314.91</v>
      </c>
      <c r="W966">
        <v>724</v>
      </c>
      <c r="X966">
        <v>1.3332999999999999</v>
      </c>
      <c r="Y966">
        <v>543</v>
      </c>
      <c r="Z966">
        <v>6.11</v>
      </c>
      <c r="AJ966">
        <v>2</v>
      </c>
      <c r="AK966">
        <v>18</v>
      </c>
      <c r="AM966">
        <v>0</v>
      </c>
      <c r="AO966" t="s">
        <v>112</v>
      </c>
      <c r="AT966">
        <v>69</v>
      </c>
      <c r="AV966">
        <v>58</v>
      </c>
      <c r="AW966">
        <v>0.4375</v>
      </c>
      <c r="AX966">
        <v>3.75</v>
      </c>
      <c r="AY966">
        <v>52.5</v>
      </c>
      <c r="AZ966">
        <v>5.375</v>
      </c>
      <c r="BA966">
        <v>271.26</v>
      </c>
      <c r="BB966">
        <v>6.06</v>
      </c>
      <c r="BC966">
        <v>53</v>
      </c>
      <c r="BD966">
        <v>0.4375</v>
      </c>
      <c r="BE966">
        <v>3.75</v>
      </c>
      <c r="BF966">
        <v>52.5</v>
      </c>
      <c r="BG966">
        <v>5.375</v>
      </c>
      <c r="BH966">
        <v>271.26</v>
      </c>
      <c r="BI966">
        <v>6.06</v>
      </c>
      <c r="BJ966">
        <v>53</v>
      </c>
      <c r="BL966">
        <v>542.52</v>
      </c>
      <c r="BM966">
        <v>106</v>
      </c>
      <c r="BN966">
        <v>278.20010000000002</v>
      </c>
      <c r="BO966">
        <v>1341</v>
      </c>
      <c r="BP966">
        <v>0</v>
      </c>
      <c r="BQ966">
        <v>62</v>
      </c>
      <c r="BR966">
        <v>62</v>
      </c>
      <c r="BS966">
        <v>62.43</v>
      </c>
      <c r="BT966">
        <v>0</v>
      </c>
      <c r="BV966">
        <v>0</v>
      </c>
      <c r="BW966" t="s">
        <v>655</v>
      </c>
      <c r="BX966">
        <v>0.17</v>
      </c>
      <c r="BY966">
        <v>10.613099999999999</v>
      </c>
      <c r="BZ966">
        <v>0</v>
      </c>
      <c r="CA966">
        <v>1</v>
      </c>
      <c r="CB966">
        <v>0.6</v>
      </c>
      <c r="CC966" s="3">
        <v>7.1269159999999998E-2</v>
      </c>
      <c r="CD966">
        <v>2.875</v>
      </c>
      <c r="CE966">
        <v>2.5</v>
      </c>
      <c r="CF966">
        <v>18</v>
      </c>
      <c r="CG966">
        <v>6</v>
      </c>
      <c r="CH966">
        <v>0</v>
      </c>
      <c r="CI966">
        <v>62.43</v>
      </c>
      <c r="CJ966">
        <v>711.33720000000005</v>
      </c>
    </row>
    <row r="967" spans="1:88">
      <c r="A967">
        <v>966</v>
      </c>
      <c r="B967" t="s">
        <v>13</v>
      </c>
      <c r="C967" t="s">
        <v>1</v>
      </c>
      <c r="D967" t="s">
        <v>96</v>
      </c>
      <c r="E967" t="s">
        <v>96</v>
      </c>
      <c r="F967" t="s">
        <v>198</v>
      </c>
      <c r="G967" t="s">
        <v>106</v>
      </c>
      <c r="H967" t="s">
        <v>162</v>
      </c>
      <c r="J967">
        <v>2</v>
      </c>
      <c r="K967" t="s">
        <v>146</v>
      </c>
      <c r="L967" t="s">
        <v>293</v>
      </c>
      <c r="M967" t="s">
        <v>100</v>
      </c>
      <c r="N967" t="s">
        <v>101</v>
      </c>
      <c r="O967">
        <v>131</v>
      </c>
      <c r="Q967">
        <v>446</v>
      </c>
      <c r="R967">
        <v>81</v>
      </c>
      <c r="S967">
        <v>4.25</v>
      </c>
      <c r="T967">
        <v>3.5859999999999999</v>
      </c>
      <c r="U967">
        <v>6.37</v>
      </c>
      <c r="V967">
        <v>1894.48</v>
      </c>
      <c r="W967">
        <v>515</v>
      </c>
      <c r="X967">
        <v>1.3332999999999999</v>
      </c>
      <c r="Y967">
        <v>386</v>
      </c>
      <c r="Z967">
        <v>4.91</v>
      </c>
      <c r="AJ967">
        <v>2</v>
      </c>
      <c r="AK967">
        <v>18</v>
      </c>
      <c r="AM967">
        <v>0</v>
      </c>
      <c r="AO967" t="s">
        <v>166</v>
      </c>
      <c r="AT967">
        <v>51</v>
      </c>
      <c r="AV967">
        <v>44.8</v>
      </c>
      <c r="AW967">
        <v>0</v>
      </c>
      <c r="AX967">
        <v>0</v>
      </c>
      <c r="AY967">
        <v>52.5</v>
      </c>
      <c r="AZ967">
        <v>4.625</v>
      </c>
      <c r="BA967">
        <v>0</v>
      </c>
      <c r="BB967">
        <v>0</v>
      </c>
      <c r="BC967">
        <v>56</v>
      </c>
      <c r="BN967">
        <v>214</v>
      </c>
      <c r="BO967">
        <v>2266</v>
      </c>
      <c r="BP967">
        <v>0</v>
      </c>
      <c r="BQ967">
        <v>45</v>
      </c>
      <c r="BR967">
        <v>45</v>
      </c>
      <c r="BS967">
        <v>44.69</v>
      </c>
      <c r="BT967">
        <v>0</v>
      </c>
      <c r="BV967">
        <v>0</v>
      </c>
      <c r="BW967" t="s">
        <v>655</v>
      </c>
      <c r="BX967">
        <v>0.17</v>
      </c>
      <c r="BY967">
        <v>7.5972999999999997</v>
      </c>
      <c r="BZ967">
        <v>0</v>
      </c>
      <c r="CA967">
        <v>1</v>
      </c>
      <c r="CB967">
        <v>0.6</v>
      </c>
      <c r="CC967" s="3">
        <v>7.1269159999999998E-2</v>
      </c>
      <c r="CD967">
        <v>2.875</v>
      </c>
      <c r="CE967">
        <v>2.5</v>
      </c>
      <c r="CF967">
        <v>18</v>
      </c>
      <c r="CG967">
        <v>6</v>
      </c>
      <c r="CH967">
        <v>0</v>
      </c>
      <c r="CI967">
        <v>44.69</v>
      </c>
      <c r="CJ967">
        <v>393.34980000000002</v>
      </c>
    </row>
    <row r="968" spans="1:88">
      <c r="A968">
        <v>967</v>
      </c>
      <c r="B968" t="s">
        <v>13</v>
      </c>
      <c r="C968" t="s">
        <v>1</v>
      </c>
      <c r="D968" t="s">
        <v>338</v>
      </c>
      <c r="E968" t="s">
        <v>113</v>
      </c>
      <c r="F968" t="s">
        <v>360</v>
      </c>
      <c r="G968" t="s">
        <v>106</v>
      </c>
      <c r="H968" t="s">
        <v>101</v>
      </c>
      <c r="J968">
        <v>2</v>
      </c>
      <c r="K968" t="s">
        <v>146</v>
      </c>
      <c r="L968" t="s">
        <v>116</v>
      </c>
      <c r="M968" t="s">
        <v>117</v>
      </c>
      <c r="N968" t="s">
        <v>14</v>
      </c>
      <c r="O968">
        <v>179</v>
      </c>
      <c r="Q968">
        <v>615</v>
      </c>
      <c r="R968">
        <v>83</v>
      </c>
      <c r="S968">
        <v>4.25</v>
      </c>
      <c r="T968">
        <v>4.7190000000000003</v>
      </c>
      <c r="U968">
        <v>7.05</v>
      </c>
      <c r="V968">
        <v>2611.83</v>
      </c>
      <c r="W968">
        <v>586</v>
      </c>
      <c r="X968">
        <v>1.3332999999999999</v>
      </c>
      <c r="Y968">
        <v>432</v>
      </c>
      <c r="Z968">
        <v>6.05</v>
      </c>
      <c r="AJ968">
        <v>2</v>
      </c>
      <c r="AK968">
        <v>18</v>
      </c>
      <c r="AM968">
        <v>0</v>
      </c>
      <c r="AO968" t="s">
        <v>403</v>
      </c>
      <c r="AT968">
        <v>68</v>
      </c>
      <c r="AV968">
        <v>46.2</v>
      </c>
      <c r="AW968">
        <v>0.46875</v>
      </c>
      <c r="AX968">
        <v>3.75</v>
      </c>
      <c r="AY968">
        <v>62.25</v>
      </c>
      <c r="AZ968">
        <v>5.625</v>
      </c>
      <c r="BA968">
        <v>325.75</v>
      </c>
      <c r="BB968">
        <v>6.05</v>
      </c>
      <c r="BC968">
        <v>67</v>
      </c>
      <c r="BD968">
        <v>0.3125</v>
      </c>
      <c r="BE968">
        <v>2.75</v>
      </c>
      <c r="BF968">
        <v>34</v>
      </c>
      <c r="BG968">
        <v>3.75</v>
      </c>
      <c r="BH968">
        <v>105.95</v>
      </c>
      <c r="BI968">
        <v>6.03</v>
      </c>
      <c r="BJ968">
        <v>18</v>
      </c>
      <c r="BL968">
        <v>431.7</v>
      </c>
      <c r="BM968">
        <v>84</v>
      </c>
      <c r="BN968">
        <v>221.13339999999999</v>
      </c>
      <c r="BO968">
        <v>2122</v>
      </c>
      <c r="BP968">
        <v>0</v>
      </c>
      <c r="BQ968">
        <v>61</v>
      </c>
      <c r="BR968">
        <v>61</v>
      </c>
      <c r="BS968">
        <v>61.39</v>
      </c>
      <c r="BT968">
        <v>0</v>
      </c>
      <c r="BV968">
        <v>0</v>
      </c>
      <c r="BW968" t="s">
        <v>655</v>
      </c>
      <c r="BX968">
        <v>0.17</v>
      </c>
      <c r="BY968">
        <v>10.436299999999999</v>
      </c>
      <c r="BZ968">
        <v>0</v>
      </c>
      <c r="CA968">
        <v>1</v>
      </c>
      <c r="CB968">
        <v>0.6</v>
      </c>
      <c r="CC968" s="3">
        <v>7.1269159999999998E-2</v>
      </c>
      <c r="CD968">
        <v>2.875</v>
      </c>
      <c r="CE968">
        <v>2.5</v>
      </c>
      <c r="CF968">
        <v>18</v>
      </c>
      <c r="CG968">
        <v>6</v>
      </c>
      <c r="CH968">
        <v>0</v>
      </c>
      <c r="CI968">
        <v>61.39</v>
      </c>
      <c r="CJ968">
        <v>557.83979999999997</v>
      </c>
    </row>
    <row r="969" spans="1:88">
      <c r="A969">
        <v>968</v>
      </c>
      <c r="B969" t="s">
        <v>13</v>
      </c>
      <c r="C969" t="s">
        <v>1</v>
      </c>
      <c r="D969" t="s">
        <v>133</v>
      </c>
      <c r="E969" t="s">
        <v>434</v>
      </c>
      <c r="F969" t="s">
        <v>298</v>
      </c>
      <c r="G969" t="s">
        <v>106</v>
      </c>
      <c r="H969" t="s">
        <v>257</v>
      </c>
      <c r="J969">
        <v>2</v>
      </c>
      <c r="K969" t="s">
        <v>146</v>
      </c>
      <c r="L969" t="s">
        <v>305</v>
      </c>
      <c r="M969" t="s">
        <v>564</v>
      </c>
      <c r="N969" t="s">
        <v>104</v>
      </c>
      <c r="O969">
        <v>188</v>
      </c>
      <c r="Q969">
        <v>683</v>
      </c>
      <c r="R969">
        <v>88</v>
      </c>
      <c r="S969">
        <v>4.25</v>
      </c>
      <c r="T969">
        <v>4.9189999999999996</v>
      </c>
      <c r="U969">
        <v>7.2</v>
      </c>
      <c r="V969">
        <v>2903.64</v>
      </c>
      <c r="W969">
        <v>632</v>
      </c>
      <c r="X969">
        <v>1.3332999999999999</v>
      </c>
      <c r="Y969">
        <v>465</v>
      </c>
      <c r="Z969">
        <v>6.25</v>
      </c>
      <c r="AJ969">
        <v>2</v>
      </c>
      <c r="AK969">
        <v>18</v>
      </c>
      <c r="AM969">
        <v>0</v>
      </c>
      <c r="AO969" t="s">
        <v>301</v>
      </c>
      <c r="AT969">
        <v>71</v>
      </c>
      <c r="AV969">
        <v>49.1</v>
      </c>
      <c r="AW969">
        <v>0.4375</v>
      </c>
      <c r="AX969">
        <v>3.75</v>
      </c>
      <c r="AY969">
        <v>55.625</v>
      </c>
      <c r="AZ969">
        <v>5.5</v>
      </c>
      <c r="BA969">
        <v>255.51</v>
      </c>
      <c r="BB969">
        <v>6.44</v>
      </c>
      <c r="BC969">
        <v>56</v>
      </c>
      <c r="BD969">
        <v>0.40625</v>
      </c>
      <c r="BE969">
        <v>3.75</v>
      </c>
      <c r="BF969">
        <v>46.5</v>
      </c>
      <c r="BG969">
        <v>5.125</v>
      </c>
      <c r="BH969">
        <v>209.07</v>
      </c>
      <c r="BI969">
        <v>6.33</v>
      </c>
      <c r="BJ969">
        <v>44</v>
      </c>
      <c r="BL969">
        <v>464.58</v>
      </c>
      <c r="BM969">
        <v>100</v>
      </c>
      <c r="BN969">
        <v>235.40010000000001</v>
      </c>
      <c r="BO969">
        <v>1873</v>
      </c>
      <c r="BP969">
        <v>0</v>
      </c>
      <c r="BQ969">
        <v>65</v>
      </c>
      <c r="BR969">
        <v>65</v>
      </c>
      <c r="BS969">
        <v>64.52</v>
      </c>
      <c r="BT969">
        <v>0</v>
      </c>
      <c r="BV969">
        <v>0</v>
      </c>
      <c r="BW969" t="s">
        <v>655</v>
      </c>
      <c r="BX969">
        <v>0.17</v>
      </c>
      <c r="BY969">
        <v>10.968400000000001</v>
      </c>
      <c r="BZ969">
        <v>0</v>
      </c>
      <c r="CA969">
        <v>1</v>
      </c>
      <c r="CB969">
        <v>0.6</v>
      </c>
      <c r="CC969" s="3">
        <v>7.1269159999999998E-2</v>
      </c>
      <c r="CD969">
        <v>2.875</v>
      </c>
      <c r="CE969">
        <v>2.5</v>
      </c>
      <c r="CF969">
        <v>18</v>
      </c>
      <c r="CG969">
        <v>6</v>
      </c>
      <c r="CH969">
        <v>0</v>
      </c>
      <c r="CI969">
        <v>64.52</v>
      </c>
      <c r="CJ969">
        <v>623.06759999999997</v>
      </c>
    </row>
    <row r="970" spans="1:88">
      <c r="A970">
        <v>969</v>
      </c>
      <c r="B970" t="s">
        <v>0</v>
      </c>
      <c r="C970" t="s">
        <v>1</v>
      </c>
      <c r="D970" t="s">
        <v>317</v>
      </c>
      <c r="E970" t="s">
        <v>340</v>
      </c>
      <c r="F970" t="s">
        <v>318</v>
      </c>
      <c r="G970" t="s">
        <v>106</v>
      </c>
      <c r="H970" t="s">
        <v>180</v>
      </c>
      <c r="J970">
        <v>2</v>
      </c>
      <c r="K970" t="s">
        <v>146</v>
      </c>
      <c r="L970" t="s">
        <v>131</v>
      </c>
      <c r="M970" t="s">
        <v>359</v>
      </c>
      <c r="N970" t="s">
        <v>259</v>
      </c>
      <c r="O970">
        <v>138</v>
      </c>
      <c r="Q970">
        <v>349</v>
      </c>
      <c r="R970">
        <v>62</v>
      </c>
      <c r="S970">
        <v>4.25</v>
      </c>
      <c r="T970">
        <v>3.758</v>
      </c>
      <c r="U970">
        <v>6.48</v>
      </c>
      <c r="V970">
        <v>1481.38</v>
      </c>
      <c r="W970">
        <v>405</v>
      </c>
      <c r="X970">
        <v>1.5</v>
      </c>
      <c r="Y970">
        <v>282</v>
      </c>
      <c r="Z970">
        <v>5.25</v>
      </c>
      <c r="AJ970">
        <v>2</v>
      </c>
      <c r="AK970">
        <v>18</v>
      </c>
      <c r="AM970">
        <v>0</v>
      </c>
      <c r="AO970" t="s">
        <v>319</v>
      </c>
      <c r="AT970">
        <v>53</v>
      </c>
      <c r="AV970">
        <v>33.200000000000003</v>
      </c>
      <c r="AW970">
        <v>0</v>
      </c>
      <c r="AX970">
        <v>0</v>
      </c>
      <c r="AY970">
        <v>50.375</v>
      </c>
      <c r="AZ970">
        <v>4.625</v>
      </c>
      <c r="BA970">
        <v>0</v>
      </c>
      <c r="BB970">
        <v>0</v>
      </c>
      <c r="BC970">
        <v>51</v>
      </c>
      <c r="BN970">
        <v>156.93340000000001</v>
      </c>
      <c r="BO970">
        <v>4213</v>
      </c>
      <c r="BP970">
        <v>0</v>
      </c>
      <c r="BQ970">
        <v>47</v>
      </c>
      <c r="BR970">
        <v>47</v>
      </c>
      <c r="BS970">
        <v>47.13</v>
      </c>
      <c r="BT970">
        <v>0</v>
      </c>
      <c r="BV970">
        <v>0</v>
      </c>
      <c r="BW970" t="s">
        <v>655</v>
      </c>
      <c r="BX970">
        <v>0.17</v>
      </c>
      <c r="BY970">
        <v>8.0121000000000002</v>
      </c>
      <c r="BZ970">
        <v>0</v>
      </c>
      <c r="CA970">
        <v>1</v>
      </c>
      <c r="CB970">
        <v>0.6</v>
      </c>
      <c r="CC970" s="3">
        <v>7.1269159999999998E-2</v>
      </c>
      <c r="CD970">
        <v>2.875</v>
      </c>
      <c r="CE970">
        <v>2.5</v>
      </c>
      <c r="CF970">
        <v>18</v>
      </c>
      <c r="CG970">
        <v>6</v>
      </c>
      <c r="CH970">
        <v>0</v>
      </c>
      <c r="CI970">
        <v>47.13</v>
      </c>
      <c r="CJ970">
        <v>307.3408</v>
      </c>
    </row>
    <row r="971" spans="1:88">
      <c r="A971">
        <v>970</v>
      </c>
      <c r="B971" t="s">
        <v>13</v>
      </c>
      <c r="C971" t="s">
        <v>1</v>
      </c>
      <c r="D971" t="s">
        <v>143</v>
      </c>
      <c r="E971" t="s">
        <v>181</v>
      </c>
      <c r="F971" t="s">
        <v>144</v>
      </c>
      <c r="G971" t="s">
        <v>106</v>
      </c>
      <c r="H971" t="s">
        <v>145</v>
      </c>
      <c r="J971">
        <v>2</v>
      </c>
      <c r="K971" t="s">
        <v>146</v>
      </c>
      <c r="L971" t="s">
        <v>202</v>
      </c>
      <c r="M971" t="s">
        <v>313</v>
      </c>
      <c r="N971" t="s">
        <v>314</v>
      </c>
      <c r="O971">
        <v>161</v>
      </c>
      <c r="Q971">
        <v>642</v>
      </c>
      <c r="R971">
        <v>95</v>
      </c>
      <c r="S971">
        <v>4.25</v>
      </c>
      <c r="T971">
        <v>4.3070000000000004</v>
      </c>
      <c r="U971">
        <v>6.75</v>
      </c>
      <c r="V971">
        <v>2730.37</v>
      </c>
      <c r="W971">
        <v>639</v>
      </c>
      <c r="X971">
        <v>1.3332999999999999</v>
      </c>
      <c r="Y971">
        <v>484</v>
      </c>
      <c r="Z971">
        <v>5.64</v>
      </c>
      <c r="AJ971">
        <v>2</v>
      </c>
      <c r="AK971">
        <v>18</v>
      </c>
      <c r="AM971">
        <v>0</v>
      </c>
      <c r="AO971" t="s">
        <v>149</v>
      </c>
      <c r="AT971">
        <v>61</v>
      </c>
      <c r="AV971">
        <v>53.5</v>
      </c>
      <c r="AW971" t="s">
        <v>6</v>
      </c>
      <c r="AX971" t="s">
        <v>6</v>
      </c>
      <c r="AY971" t="s">
        <v>6</v>
      </c>
      <c r="AZ971" t="s">
        <v>6</v>
      </c>
      <c r="BA971" t="s">
        <v>6</v>
      </c>
      <c r="BB971" t="s">
        <v>6</v>
      </c>
      <c r="BC971" t="s">
        <v>6</v>
      </c>
      <c r="BD971" t="s">
        <v>6</v>
      </c>
      <c r="BE971" t="s">
        <v>6</v>
      </c>
      <c r="BF971" t="s">
        <v>6</v>
      </c>
      <c r="BG971" t="s">
        <v>6</v>
      </c>
      <c r="BH971" t="s">
        <v>6</v>
      </c>
      <c r="BI971" t="s">
        <v>6</v>
      </c>
      <c r="BJ971" t="s">
        <v>6</v>
      </c>
      <c r="BN971">
        <v>256.80009999999999</v>
      </c>
      <c r="BO971">
        <v>1574</v>
      </c>
      <c r="BP971">
        <v>0</v>
      </c>
      <c r="BQ971">
        <v>55</v>
      </c>
      <c r="BR971">
        <v>55</v>
      </c>
      <c r="BS971">
        <v>55.13</v>
      </c>
      <c r="BT971">
        <v>0</v>
      </c>
      <c r="BV971">
        <v>0</v>
      </c>
      <c r="BW971" t="s">
        <v>655</v>
      </c>
      <c r="BX971">
        <v>0.17</v>
      </c>
      <c r="BY971">
        <v>9.3720999999999997</v>
      </c>
      <c r="BZ971">
        <v>0</v>
      </c>
      <c r="CA971">
        <v>1</v>
      </c>
      <c r="CB971">
        <v>0.6</v>
      </c>
      <c r="CC971" s="3">
        <v>7.1269159999999998E-2</v>
      </c>
      <c r="CD971">
        <v>2.875</v>
      </c>
      <c r="CE971">
        <v>2.5</v>
      </c>
      <c r="CF971">
        <v>18</v>
      </c>
      <c r="CG971">
        <v>6</v>
      </c>
      <c r="CH971">
        <v>0</v>
      </c>
      <c r="CI971">
        <v>55.13</v>
      </c>
      <c r="CJ971">
        <v>579.5376</v>
      </c>
    </row>
    <row r="972" spans="1:88">
      <c r="A972">
        <v>971</v>
      </c>
      <c r="B972" t="s">
        <v>0</v>
      </c>
      <c r="C972" t="s">
        <v>1</v>
      </c>
      <c r="D972" t="s">
        <v>151</v>
      </c>
      <c r="E972" t="s">
        <v>297</v>
      </c>
      <c r="F972" t="s">
        <v>385</v>
      </c>
      <c r="G972" t="s">
        <v>106</v>
      </c>
      <c r="H972" t="s">
        <v>2</v>
      </c>
      <c r="J972">
        <v>2</v>
      </c>
      <c r="K972" t="s">
        <v>146</v>
      </c>
      <c r="L972" t="s">
        <v>212</v>
      </c>
      <c r="M972" t="s">
        <v>299</v>
      </c>
      <c r="N972" t="s">
        <v>300</v>
      </c>
      <c r="O972">
        <v>175</v>
      </c>
      <c r="Q972">
        <v>476</v>
      </c>
      <c r="R972">
        <v>68</v>
      </c>
      <c r="S972">
        <v>4.25</v>
      </c>
      <c r="T972">
        <v>4.6280000000000001</v>
      </c>
      <c r="U972">
        <v>7.01</v>
      </c>
      <c r="V972">
        <v>2024.82</v>
      </c>
      <c r="W972">
        <v>474</v>
      </c>
      <c r="X972">
        <v>1.5</v>
      </c>
      <c r="Y972">
        <v>331</v>
      </c>
      <c r="Z972">
        <v>6.12</v>
      </c>
      <c r="AJ972">
        <v>2</v>
      </c>
      <c r="AK972">
        <v>18</v>
      </c>
      <c r="AM972">
        <v>0</v>
      </c>
      <c r="AO972" t="s">
        <v>4</v>
      </c>
      <c r="AT972">
        <v>66</v>
      </c>
      <c r="AV972">
        <v>36.4</v>
      </c>
      <c r="AW972">
        <v>0.46875</v>
      </c>
      <c r="AX972">
        <v>3.75</v>
      </c>
      <c r="AY972">
        <v>63</v>
      </c>
      <c r="AZ972">
        <v>5.75</v>
      </c>
      <c r="BA972">
        <v>322.02999999999997</v>
      </c>
      <c r="BB972">
        <v>6.12</v>
      </c>
      <c r="BC972">
        <v>68</v>
      </c>
      <c r="BD972">
        <v>0.1875</v>
      </c>
      <c r="BE972">
        <v>2.75</v>
      </c>
      <c r="BF972">
        <v>30.125</v>
      </c>
      <c r="BG972">
        <v>2.25</v>
      </c>
      <c r="BH972">
        <v>8.82</v>
      </c>
      <c r="BI972">
        <v>17.190000000000001</v>
      </c>
      <c r="BJ972">
        <v>10</v>
      </c>
      <c r="BL972">
        <v>330.85</v>
      </c>
      <c r="BM972">
        <v>77</v>
      </c>
      <c r="BN972">
        <v>172.98339999999999</v>
      </c>
      <c r="BO972">
        <v>3468</v>
      </c>
      <c r="BP972">
        <v>0</v>
      </c>
      <c r="BQ972">
        <v>60</v>
      </c>
      <c r="BR972">
        <v>60</v>
      </c>
      <c r="BS972">
        <v>60</v>
      </c>
      <c r="BT972">
        <v>0</v>
      </c>
      <c r="BV972">
        <v>0</v>
      </c>
      <c r="BW972" t="s">
        <v>655</v>
      </c>
      <c r="BX972">
        <v>0.17</v>
      </c>
      <c r="BY972">
        <v>10.199999999999999</v>
      </c>
      <c r="BZ972">
        <v>0</v>
      </c>
      <c r="CA972">
        <v>1</v>
      </c>
      <c r="CB972">
        <v>0.6</v>
      </c>
      <c r="CC972" s="3">
        <v>7.1269159999999998E-2</v>
      </c>
      <c r="CD972">
        <v>2.875</v>
      </c>
      <c r="CE972">
        <v>2.5</v>
      </c>
      <c r="CF972">
        <v>18</v>
      </c>
      <c r="CG972">
        <v>6</v>
      </c>
      <c r="CH972">
        <v>0</v>
      </c>
      <c r="CI972">
        <v>60</v>
      </c>
      <c r="CJ972">
        <v>429.75299999999999</v>
      </c>
    </row>
    <row r="973" spans="1:88">
      <c r="A973">
        <v>972</v>
      </c>
      <c r="B973" t="s">
        <v>0</v>
      </c>
      <c r="C973" t="s">
        <v>1</v>
      </c>
      <c r="D973" t="s">
        <v>113</v>
      </c>
      <c r="E973" t="s">
        <v>120</v>
      </c>
      <c r="F973" t="s">
        <v>262</v>
      </c>
      <c r="G973" t="s">
        <v>106</v>
      </c>
      <c r="H973" t="s">
        <v>263</v>
      </c>
      <c r="J973">
        <v>2</v>
      </c>
      <c r="K973" t="s">
        <v>108</v>
      </c>
      <c r="L973" t="s">
        <v>19</v>
      </c>
      <c r="M973" t="s">
        <v>124</v>
      </c>
      <c r="N973" t="s">
        <v>125</v>
      </c>
      <c r="O973">
        <v>165</v>
      </c>
      <c r="Q973">
        <v>764</v>
      </c>
      <c r="R973">
        <v>109</v>
      </c>
      <c r="S973">
        <v>4.25</v>
      </c>
      <c r="T973">
        <v>4.4000000000000004</v>
      </c>
      <c r="U973">
        <v>6.82</v>
      </c>
      <c r="V973">
        <v>3248.36</v>
      </c>
      <c r="W973">
        <v>741</v>
      </c>
      <c r="X973">
        <v>1.3332999999999999</v>
      </c>
      <c r="Y973">
        <v>567</v>
      </c>
      <c r="Z973">
        <v>5.73</v>
      </c>
      <c r="AJ973">
        <v>2</v>
      </c>
      <c r="AK973">
        <v>18</v>
      </c>
      <c r="AM973">
        <v>0</v>
      </c>
      <c r="AO973" t="s">
        <v>266</v>
      </c>
      <c r="AT973">
        <v>63</v>
      </c>
      <c r="AV973">
        <v>62.3</v>
      </c>
      <c r="AW973">
        <v>0.4375</v>
      </c>
      <c r="AX973">
        <v>3.75</v>
      </c>
      <c r="AY973">
        <v>50.25</v>
      </c>
      <c r="AZ973">
        <v>5</v>
      </c>
      <c r="BA973">
        <v>283.45</v>
      </c>
      <c r="BB973">
        <v>5.8</v>
      </c>
      <c r="BC973">
        <v>51</v>
      </c>
      <c r="BD973">
        <v>0.4375</v>
      </c>
      <c r="BE973">
        <v>3.75</v>
      </c>
      <c r="BF973">
        <v>50.25</v>
      </c>
      <c r="BG973">
        <v>5</v>
      </c>
      <c r="BH973">
        <v>283.45</v>
      </c>
      <c r="BI973">
        <v>5.8</v>
      </c>
      <c r="BJ973">
        <v>51</v>
      </c>
      <c r="BL973">
        <v>566.9</v>
      </c>
      <c r="BM973">
        <v>101</v>
      </c>
      <c r="BN973">
        <v>299.60000000000002</v>
      </c>
      <c r="BO973">
        <v>1156</v>
      </c>
      <c r="BP973">
        <v>0</v>
      </c>
      <c r="BQ973">
        <v>57</v>
      </c>
      <c r="BR973">
        <v>57</v>
      </c>
      <c r="BS973">
        <v>56.52</v>
      </c>
      <c r="BT973">
        <v>0</v>
      </c>
      <c r="BV973">
        <v>0</v>
      </c>
      <c r="BW973" t="s">
        <v>655</v>
      </c>
      <c r="BX973">
        <v>0.17</v>
      </c>
      <c r="BY973">
        <v>9.6084010000000006</v>
      </c>
      <c r="BZ973">
        <v>0</v>
      </c>
      <c r="CA973">
        <v>1</v>
      </c>
      <c r="CB973">
        <v>0.6</v>
      </c>
      <c r="CC973" s="3">
        <v>7.1269159999999998E-2</v>
      </c>
      <c r="CD973">
        <v>2.875</v>
      </c>
      <c r="CE973">
        <v>2.5</v>
      </c>
      <c r="CF973">
        <v>18</v>
      </c>
      <c r="CG973">
        <v>6</v>
      </c>
      <c r="CH973">
        <v>0</v>
      </c>
      <c r="CI973">
        <v>56.52</v>
      </c>
      <c r="CJ973">
        <v>692.33529999999996</v>
      </c>
    </row>
    <row r="974" spans="1:88">
      <c r="A974">
        <v>973</v>
      </c>
      <c r="B974" t="s">
        <v>0</v>
      </c>
      <c r="C974" t="s">
        <v>1</v>
      </c>
      <c r="D974" t="s">
        <v>454</v>
      </c>
      <c r="E974" t="s">
        <v>455</v>
      </c>
      <c r="F974" t="s">
        <v>417</v>
      </c>
      <c r="G974" t="s">
        <v>15</v>
      </c>
      <c r="H974" t="s">
        <v>497</v>
      </c>
      <c r="J974">
        <v>2</v>
      </c>
      <c r="K974" t="s">
        <v>108</v>
      </c>
      <c r="L974" t="s">
        <v>278</v>
      </c>
      <c r="M974" t="s">
        <v>456</v>
      </c>
      <c r="N974" t="s">
        <v>457</v>
      </c>
      <c r="O974">
        <v>187</v>
      </c>
      <c r="Q974">
        <v>953</v>
      </c>
      <c r="R974">
        <v>120</v>
      </c>
      <c r="S974">
        <v>4.25</v>
      </c>
      <c r="T974">
        <v>4.8970000000000002</v>
      </c>
      <c r="U974">
        <v>7.2</v>
      </c>
      <c r="V974">
        <v>4050.76</v>
      </c>
      <c r="W974">
        <v>867</v>
      </c>
      <c r="X974">
        <v>1.3332999999999999</v>
      </c>
      <c r="Y974">
        <v>650</v>
      </c>
      <c r="Z974">
        <v>6.23</v>
      </c>
      <c r="AJ974">
        <v>2</v>
      </c>
      <c r="AK974">
        <v>18</v>
      </c>
      <c r="AM974">
        <v>0</v>
      </c>
      <c r="AO974" t="s">
        <v>163</v>
      </c>
      <c r="AT974">
        <v>70</v>
      </c>
      <c r="AV974">
        <v>69.2</v>
      </c>
      <c r="AW974" t="s">
        <v>6</v>
      </c>
      <c r="AX974" t="s">
        <v>6</v>
      </c>
      <c r="AY974" t="s">
        <v>6</v>
      </c>
      <c r="AZ974" t="s">
        <v>6</v>
      </c>
      <c r="BA974" t="s">
        <v>6</v>
      </c>
      <c r="BB974" t="s">
        <v>6</v>
      </c>
      <c r="BC974" t="s">
        <v>6</v>
      </c>
      <c r="BD974" t="s">
        <v>6</v>
      </c>
      <c r="BE974" t="s">
        <v>6</v>
      </c>
      <c r="BF974" t="s">
        <v>6</v>
      </c>
      <c r="BG974" t="s">
        <v>6</v>
      </c>
      <c r="BH974" t="s">
        <v>6</v>
      </c>
      <c r="BI974" t="s">
        <v>6</v>
      </c>
      <c r="BJ974" t="s">
        <v>6</v>
      </c>
      <c r="BN974">
        <v>590.37310000000002</v>
      </c>
      <c r="BO974">
        <v>3138</v>
      </c>
      <c r="BP974">
        <v>0</v>
      </c>
      <c r="BQ974">
        <v>64</v>
      </c>
      <c r="BR974">
        <v>64</v>
      </c>
      <c r="BS974">
        <v>64.17</v>
      </c>
      <c r="BT974">
        <v>0</v>
      </c>
      <c r="BV974">
        <v>0</v>
      </c>
      <c r="BW974" t="s">
        <v>655</v>
      </c>
      <c r="BX974">
        <v>0.17</v>
      </c>
      <c r="BY974">
        <v>10.908899999999999</v>
      </c>
      <c r="BZ974">
        <v>0</v>
      </c>
      <c r="CA974">
        <v>1</v>
      </c>
      <c r="CB974">
        <v>0.6</v>
      </c>
      <c r="CC974" s="3">
        <v>7.1269159999999998E-2</v>
      </c>
      <c r="CD974">
        <v>2.875</v>
      </c>
      <c r="CE974">
        <v>2.5</v>
      </c>
      <c r="CF974">
        <v>18</v>
      </c>
      <c r="CG974">
        <v>6</v>
      </c>
      <c r="CH974">
        <v>0</v>
      </c>
      <c r="CI974">
        <v>64.17</v>
      </c>
      <c r="CJ974">
        <v>872.93650000000002</v>
      </c>
    </row>
    <row r="975" spans="1:88">
      <c r="A975">
        <v>974</v>
      </c>
      <c r="B975" t="s">
        <v>0</v>
      </c>
      <c r="C975" t="s">
        <v>1</v>
      </c>
      <c r="D975" t="s">
        <v>267</v>
      </c>
      <c r="E975" t="s">
        <v>123</v>
      </c>
      <c r="F975" t="s">
        <v>269</v>
      </c>
      <c r="G975" t="s">
        <v>106</v>
      </c>
      <c r="H975" t="s">
        <v>131</v>
      </c>
      <c r="J975">
        <v>2</v>
      </c>
      <c r="K975" t="s">
        <v>146</v>
      </c>
      <c r="L975" t="s">
        <v>8</v>
      </c>
      <c r="M975" t="s">
        <v>147</v>
      </c>
      <c r="N975" t="s">
        <v>148</v>
      </c>
      <c r="O975">
        <v>183</v>
      </c>
      <c r="Q975">
        <v>744</v>
      </c>
      <c r="R975">
        <v>97</v>
      </c>
      <c r="S975">
        <v>4.25</v>
      </c>
      <c r="T975">
        <v>4.8079999999999998</v>
      </c>
      <c r="U975">
        <v>7.12</v>
      </c>
      <c r="V975">
        <v>3159.91</v>
      </c>
      <c r="W975">
        <v>690</v>
      </c>
      <c r="X975">
        <v>1.3332999999999999</v>
      </c>
      <c r="Y975">
        <v>515</v>
      </c>
      <c r="Z975">
        <v>6.14</v>
      </c>
      <c r="AJ975">
        <v>2</v>
      </c>
      <c r="AK975">
        <v>18</v>
      </c>
      <c r="AM975">
        <v>0</v>
      </c>
      <c r="AO975" t="s">
        <v>271</v>
      </c>
      <c r="AT975">
        <v>69</v>
      </c>
      <c r="AV975">
        <v>54.9</v>
      </c>
      <c r="AW975">
        <v>0.4375</v>
      </c>
      <c r="AX975">
        <v>3.75</v>
      </c>
      <c r="AY975">
        <v>55.25</v>
      </c>
      <c r="AZ975">
        <v>5.375</v>
      </c>
      <c r="BA975">
        <v>257.32</v>
      </c>
      <c r="BB975">
        <v>6.39</v>
      </c>
      <c r="BC975">
        <v>56</v>
      </c>
      <c r="BD975">
        <v>0.4375</v>
      </c>
      <c r="BE975">
        <v>3.75</v>
      </c>
      <c r="BF975">
        <v>55.25</v>
      </c>
      <c r="BG975">
        <v>5.375</v>
      </c>
      <c r="BH975">
        <v>257.32</v>
      </c>
      <c r="BI975">
        <v>6.39</v>
      </c>
      <c r="BJ975">
        <v>56</v>
      </c>
      <c r="BL975">
        <v>514.64</v>
      </c>
      <c r="BM975">
        <v>111</v>
      </c>
      <c r="BN975">
        <v>263.93340000000001</v>
      </c>
      <c r="BO975">
        <v>1490</v>
      </c>
      <c r="BP975">
        <v>0</v>
      </c>
      <c r="BQ975">
        <v>63</v>
      </c>
      <c r="BR975">
        <v>63</v>
      </c>
      <c r="BS975">
        <v>62.78</v>
      </c>
      <c r="BT975">
        <v>0</v>
      </c>
      <c r="BV975">
        <v>0</v>
      </c>
      <c r="BW975" t="s">
        <v>655</v>
      </c>
      <c r="BX975">
        <v>0.17</v>
      </c>
      <c r="BY975">
        <v>10.672599999999999</v>
      </c>
      <c r="BZ975">
        <v>0</v>
      </c>
      <c r="CA975">
        <v>1</v>
      </c>
      <c r="CB975">
        <v>0.6</v>
      </c>
      <c r="CC975" s="3">
        <v>7.1269159999999998E-2</v>
      </c>
      <c r="CD975">
        <v>2.875</v>
      </c>
      <c r="CE975">
        <v>2.5</v>
      </c>
      <c r="CF975">
        <v>18</v>
      </c>
      <c r="CG975">
        <v>6</v>
      </c>
      <c r="CH975">
        <v>0</v>
      </c>
      <c r="CI975">
        <v>62.78</v>
      </c>
      <c r="CJ975">
        <v>677.85299999999995</v>
      </c>
    </row>
    <row r="976" spans="1:88">
      <c r="A976">
        <v>975</v>
      </c>
      <c r="B976" t="s">
        <v>0</v>
      </c>
      <c r="C976" t="s">
        <v>1</v>
      </c>
      <c r="D976" t="s">
        <v>127</v>
      </c>
      <c r="E976" t="s">
        <v>369</v>
      </c>
      <c r="F976" t="s">
        <v>129</v>
      </c>
      <c r="G976" t="s">
        <v>106</v>
      </c>
      <c r="H976" t="s">
        <v>130</v>
      </c>
      <c r="J976">
        <v>2</v>
      </c>
      <c r="K976" t="s">
        <v>146</v>
      </c>
      <c r="L976" t="s">
        <v>259</v>
      </c>
      <c r="M976" t="s">
        <v>480</v>
      </c>
      <c r="N976" t="s">
        <v>307</v>
      </c>
      <c r="O976">
        <v>121</v>
      </c>
      <c r="Q976">
        <v>362</v>
      </c>
      <c r="R976">
        <v>72</v>
      </c>
      <c r="S976">
        <v>4.25</v>
      </c>
      <c r="T976">
        <v>3.3340000000000001</v>
      </c>
      <c r="U976">
        <v>6.22</v>
      </c>
      <c r="V976">
        <v>1537.43</v>
      </c>
      <c r="W976">
        <v>446</v>
      </c>
      <c r="X976">
        <v>1.3332999999999999</v>
      </c>
      <c r="Y976">
        <v>330</v>
      </c>
      <c r="Z976">
        <v>4.66</v>
      </c>
      <c r="AJ976">
        <v>2</v>
      </c>
      <c r="AK976">
        <v>18</v>
      </c>
      <c r="AM976">
        <v>0</v>
      </c>
      <c r="AO976" t="s">
        <v>134</v>
      </c>
      <c r="AT976">
        <v>47</v>
      </c>
      <c r="AV976">
        <v>39</v>
      </c>
      <c r="AW976">
        <v>0</v>
      </c>
      <c r="AX976">
        <v>0</v>
      </c>
      <c r="AY976">
        <v>43.125</v>
      </c>
      <c r="AZ976">
        <v>4.125</v>
      </c>
      <c r="BA976">
        <v>0</v>
      </c>
      <c r="BB976">
        <v>0</v>
      </c>
      <c r="BC976">
        <v>44</v>
      </c>
      <c r="BN976">
        <v>185.4667</v>
      </c>
      <c r="BO976">
        <v>3017</v>
      </c>
      <c r="BP976">
        <v>0</v>
      </c>
      <c r="BQ976">
        <v>41</v>
      </c>
      <c r="BR976">
        <v>41</v>
      </c>
      <c r="BS976">
        <v>41.21</v>
      </c>
      <c r="BT976">
        <v>0</v>
      </c>
      <c r="BV976">
        <v>0</v>
      </c>
      <c r="BW976" t="s">
        <v>655</v>
      </c>
      <c r="BX976">
        <v>0.17</v>
      </c>
      <c r="BY976">
        <v>7.0057</v>
      </c>
      <c r="BZ976">
        <v>0</v>
      </c>
      <c r="CA976">
        <v>1</v>
      </c>
      <c r="CB976">
        <v>0.6</v>
      </c>
      <c r="CC976" s="3">
        <v>7.1269159999999998E-2</v>
      </c>
      <c r="CD976">
        <v>2.875</v>
      </c>
      <c r="CE976">
        <v>2.5</v>
      </c>
      <c r="CF976">
        <v>18</v>
      </c>
      <c r="CG976">
        <v>6</v>
      </c>
      <c r="CH976">
        <v>0</v>
      </c>
      <c r="CI976">
        <v>41.21</v>
      </c>
      <c r="CJ976">
        <v>315.72770000000003</v>
      </c>
    </row>
    <row r="977" spans="1:88">
      <c r="A977">
        <v>976</v>
      </c>
      <c r="B977" t="s">
        <v>0</v>
      </c>
      <c r="C977" t="s">
        <v>1</v>
      </c>
      <c r="D977" t="s">
        <v>2</v>
      </c>
      <c r="E977" t="s">
        <v>314</v>
      </c>
      <c r="F977" t="s">
        <v>154</v>
      </c>
      <c r="G977" t="s">
        <v>106</v>
      </c>
      <c r="H977" t="s">
        <v>217</v>
      </c>
      <c r="J977">
        <v>2</v>
      </c>
      <c r="K977" t="s">
        <v>146</v>
      </c>
      <c r="L977" t="s">
        <v>205</v>
      </c>
      <c r="M977" t="s">
        <v>603</v>
      </c>
      <c r="N977" t="s">
        <v>103</v>
      </c>
      <c r="O977">
        <v>164</v>
      </c>
      <c r="Q977">
        <v>444</v>
      </c>
      <c r="R977">
        <v>67</v>
      </c>
      <c r="S977">
        <v>4.25</v>
      </c>
      <c r="T977">
        <v>4.3769999999999998</v>
      </c>
      <c r="U977">
        <v>6.82</v>
      </c>
      <c r="V977">
        <v>1886.87</v>
      </c>
      <c r="W977">
        <v>457</v>
      </c>
      <c r="X977">
        <v>1.3332999999999999</v>
      </c>
      <c r="Y977">
        <v>330</v>
      </c>
      <c r="Z977">
        <v>5.71</v>
      </c>
      <c r="AJ977">
        <v>2</v>
      </c>
      <c r="AK977">
        <v>18</v>
      </c>
      <c r="AM977">
        <v>0</v>
      </c>
      <c r="AO977" t="s">
        <v>218</v>
      </c>
      <c r="AT977">
        <v>62</v>
      </c>
      <c r="AV977">
        <v>36.1</v>
      </c>
      <c r="AW977">
        <v>0</v>
      </c>
      <c r="AX977">
        <v>0</v>
      </c>
      <c r="AY977">
        <v>61.375</v>
      </c>
      <c r="AZ977">
        <v>5.375</v>
      </c>
      <c r="BA977">
        <v>0</v>
      </c>
      <c r="BB977">
        <v>0</v>
      </c>
      <c r="BC977">
        <v>66</v>
      </c>
      <c r="BN977">
        <v>171.2</v>
      </c>
      <c r="BO977">
        <v>3540</v>
      </c>
      <c r="BP977">
        <v>0</v>
      </c>
      <c r="BQ977">
        <v>56</v>
      </c>
      <c r="BR977">
        <v>56</v>
      </c>
      <c r="BS977">
        <v>56.17</v>
      </c>
      <c r="BT977">
        <v>0</v>
      </c>
      <c r="BV977">
        <v>0</v>
      </c>
      <c r="BW977" t="s">
        <v>655</v>
      </c>
      <c r="BX977">
        <v>0.17</v>
      </c>
      <c r="BY977">
        <v>9.5488990000000005</v>
      </c>
      <c r="BZ977">
        <v>0</v>
      </c>
      <c r="CA977">
        <v>1</v>
      </c>
      <c r="CB977">
        <v>0.6</v>
      </c>
      <c r="CC977" s="3">
        <v>7.1269159999999998E-2</v>
      </c>
      <c r="CD977">
        <v>2.875</v>
      </c>
      <c r="CE977">
        <v>2.5</v>
      </c>
      <c r="CF977">
        <v>18</v>
      </c>
      <c r="CG977">
        <v>6</v>
      </c>
      <c r="CH977">
        <v>0</v>
      </c>
      <c r="CI977">
        <v>56.17</v>
      </c>
      <c r="CJ977">
        <v>398.31729999999999</v>
      </c>
    </row>
    <row r="978" spans="1:88">
      <c r="A978">
        <v>977</v>
      </c>
      <c r="B978" t="s">
        <v>13</v>
      </c>
      <c r="C978" t="s">
        <v>1</v>
      </c>
      <c r="D978" t="s">
        <v>169</v>
      </c>
      <c r="E978" t="s">
        <v>338</v>
      </c>
      <c r="F978" t="s">
        <v>404</v>
      </c>
      <c r="G978" t="s">
        <v>106</v>
      </c>
      <c r="H978" t="s">
        <v>190</v>
      </c>
      <c r="J978">
        <v>2</v>
      </c>
      <c r="K978" t="s">
        <v>146</v>
      </c>
      <c r="L978" t="s">
        <v>143</v>
      </c>
      <c r="M978" t="s">
        <v>339</v>
      </c>
      <c r="N978" t="s">
        <v>340</v>
      </c>
      <c r="O978">
        <v>135</v>
      </c>
      <c r="Q978">
        <v>414</v>
      </c>
      <c r="R978">
        <v>74</v>
      </c>
      <c r="S978">
        <v>4.25</v>
      </c>
      <c r="T978">
        <v>3.6850000000000001</v>
      </c>
      <c r="U978">
        <v>6.45</v>
      </c>
      <c r="V978">
        <v>1761.49</v>
      </c>
      <c r="W978">
        <v>477</v>
      </c>
      <c r="X978">
        <v>1.3332999999999999</v>
      </c>
      <c r="Y978">
        <v>352</v>
      </c>
      <c r="Z978">
        <v>5.01</v>
      </c>
      <c r="AJ978">
        <v>2</v>
      </c>
      <c r="AK978">
        <v>18</v>
      </c>
      <c r="AM978">
        <v>0</v>
      </c>
      <c r="AO978" t="s">
        <v>406</v>
      </c>
      <c r="AT978">
        <v>52</v>
      </c>
      <c r="AV978">
        <v>40.4</v>
      </c>
      <c r="AW978">
        <v>0</v>
      </c>
      <c r="AX978">
        <v>0</v>
      </c>
      <c r="AY978">
        <v>57.625</v>
      </c>
      <c r="AZ978">
        <v>4.75</v>
      </c>
      <c r="BA978">
        <v>0</v>
      </c>
      <c r="BB978">
        <v>0</v>
      </c>
      <c r="BC978">
        <v>62</v>
      </c>
      <c r="BN978">
        <v>192.6</v>
      </c>
      <c r="BO978">
        <v>2797</v>
      </c>
      <c r="BP978">
        <v>0</v>
      </c>
      <c r="BQ978">
        <v>46</v>
      </c>
      <c r="BR978">
        <v>46</v>
      </c>
      <c r="BS978">
        <v>46.08</v>
      </c>
      <c r="BT978">
        <v>0</v>
      </c>
      <c r="BV978">
        <v>0</v>
      </c>
      <c r="BW978" t="s">
        <v>655</v>
      </c>
      <c r="BX978">
        <v>0.17</v>
      </c>
      <c r="BY978">
        <v>7.8336009999999998</v>
      </c>
      <c r="BZ978">
        <v>0</v>
      </c>
      <c r="CA978">
        <v>1</v>
      </c>
      <c r="CB978">
        <v>0.6</v>
      </c>
      <c r="CC978" s="3">
        <v>7.1269159999999998E-2</v>
      </c>
      <c r="CD978">
        <v>2.875</v>
      </c>
      <c r="CE978">
        <v>2.5</v>
      </c>
      <c r="CF978">
        <v>18</v>
      </c>
      <c r="CG978">
        <v>6</v>
      </c>
      <c r="CH978">
        <v>0</v>
      </c>
      <c r="CI978">
        <v>46.08</v>
      </c>
      <c r="CJ978">
        <v>366.17520000000002</v>
      </c>
    </row>
    <row r="979" spans="1:88">
      <c r="A979">
        <v>978</v>
      </c>
      <c r="B979" t="s">
        <v>0</v>
      </c>
      <c r="C979" t="s">
        <v>1</v>
      </c>
      <c r="D979" t="s">
        <v>219</v>
      </c>
      <c r="E979" t="s">
        <v>96</v>
      </c>
      <c r="F979" t="s">
        <v>230</v>
      </c>
      <c r="G979" t="s">
        <v>106</v>
      </c>
      <c r="H979" t="s">
        <v>382</v>
      </c>
      <c r="J979">
        <v>2</v>
      </c>
      <c r="K979" t="s">
        <v>146</v>
      </c>
      <c r="L979" t="s">
        <v>293</v>
      </c>
      <c r="M979" t="s">
        <v>100</v>
      </c>
      <c r="N979" t="s">
        <v>101</v>
      </c>
      <c r="O979">
        <v>131</v>
      </c>
      <c r="Q979">
        <v>339</v>
      </c>
      <c r="R979">
        <v>64</v>
      </c>
      <c r="S979">
        <v>4.25</v>
      </c>
      <c r="T979">
        <v>3.5859999999999999</v>
      </c>
      <c r="U979">
        <v>6.37</v>
      </c>
      <c r="V979">
        <v>1442.11</v>
      </c>
      <c r="W979">
        <v>405</v>
      </c>
      <c r="X979">
        <v>1.3332999999999999</v>
      </c>
      <c r="Y979">
        <v>294</v>
      </c>
      <c r="Z979">
        <v>4.91</v>
      </c>
      <c r="AJ979">
        <v>2</v>
      </c>
      <c r="AK979">
        <v>18</v>
      </c>
      <c r="AM979">
        <v>0</v>
      </c>
      <c r="AO979" t="s">
        <v>318</v>
      </c>
      <c r="AT979">
        <v>51</v>
      </c>
      <c r="AV979">
        <v>33.9</v>
      </c>
      <c r="AW979">
        <v>0</v>
      </c>
      <c r="AX979">
        <v>0</v>
      </c>
      <c r="AY979">
        <v>48.5</v>
      </c>
      <c r="AZ979">
        <v>4.25</v>
      </c>
      <c r="BA979">
        <v>0</v>
      </c>
      <c r="BB979">
        <v>0</v>
      </c>
      <c r="BC979">
        <v>49</v>
      </c>
      <c r="BN979">
        <v>160.5</v>
      </c>
      <c r="BO979">
        <v>4028</v>
      </c>
      <c r="BP979">
        <v>0</v>
      </c>
      <c r="BQ979">
        <v>45</v>
      </c>
      <c r="BR979">
        <v>45</v>
      </c>
      <c r="BS979">
        <v>44.69</v>
      </c>
      <c r="BT979">
        <v>0</v>
      </c>
      <c r="BV979">
        <v>0</v>
      </c>
      <c r="BW979" t="s">
        <v>655</v>
      </c>
      <c r="BX979">
        <v>0.17</v>
      </c>
      <c r="BY979">
        <v>7.5972999999999997</v>
      </c>
      <c r="BZ979">
        <v>0</v>
      </c>
      <c r="CA979">
        <v>1</v>
      </c>
      <c r="CB979">
        <v>0.6</v>
      </c>
      <c r="CC979" s="3">
        <v>7.1269159999999998E-2</v>
      </c>
      <c r="CD979">
        <v>2.875</v>
      </c>
      <c r="CE979">
        <v>2.5</v>
      </c>
      <c r="CF979">
        <v>18</v>
      </c>
      <c r="CG979">
        <v>6</v>
      </c>
      <c r="CH979">
        <v>0</v>
      </c>
      <c r="CI979">
        <v>44.69</v>
      </c>
      <c r="CJ979">
        <v>297.79919999999998</v>
      </c>
    </row>
    <row r="980" spans="1:88">
      <c r="A980">
        <v>979</v>
      </c>
      <c r="B980" t="s">
        <v>0</v>
      </c>
      <c r="C980" t="s">
        <v>1</v>
      </c>
      <c r="D980" t="s">
        <v>234</v>
      </c>
      <c r="E980" t="s">
        <v>133</v>
      </c>
      <c r="F980" t="s">
        <v>252</v>
      </c>
      <c r="G980" t="s">
        <v>106</v>
      </c>
      <c r="H980" t="s">
        <v>195</v>
      </c>
      <c r="J980">
        <v>2</v>
      </c>
      <c r="K980" t="s">
        <v>146</v>
      </c>
      <c r="L980" t="s">
        <v>353</v>
      </c>
      <c r="M980" t="s">
        <v>194</v>
      </c>
      <c r="N980" t="s">
        <v>195</v>
      </c>
      <c r="O980">
        <v>143</v>
      </c>
      <c r="Q980">
        <v>545</v>
      </c>
      <c r="R980">
        <v>90</v>
      </c>
      <c r="S980">
        <v>4.25</v>
      </c>
      <c r="T980">
        <v>3.88</v>
      </c>
      <c r="U980">
        <v>6.6</v>
      </c>
      <c r="V980">
        <v>2314.9699999999998</v>
      </c>
      <c r="W980">
        <v>594</v>
      </c>
      <c r="X980">
        <v>1.3332999999999999</v>
      </c>
      <c r="Y980">
        <v>444</v>
      </c>
      <c r="Z980">
        <v>5.21</v>
      </c>
      <c r="AJ980">
        <v>2</v>
      </c>
      <c r="AK980">
        <v>18</v>
      </c>
      <c r="AM980">
        <v>0</v>
      </c>
      <c r="AO980" t="s">
        <v>256</v>
      </c>
      <c r="AT980">
        <v>55</v>
      </c>
      <c r="AV980">
        <v>50.6</v>
      </c>
      <c r="AW980">
        <v>0.46875</v>
      </c>
      <c r="AX980">
        <v>3.75</v>
      </c>
      <c r="AY980">
        <v>53.625</v>
      </c>
      <c r="AZ980">
        <v>4.875</v>
      </c>
      <c r="BA980">
        <v>378.27</v>
      </c>
      <c r="BB980">
        <v>5.21</v>
      </c>
      <c r="BC980">
        <v>58</v>
      </c>
      <c r="BD980">
        <v>0.25</v>
      </c>
      <c r="BE980">
        <v>2.75</v>
      </c>
      <c r="BF980">
        <v>17.375</v>
      </c>
      <c r="BG980">
        <v>2.625</v>
      </c>
      <c r="BH980">
        <v>66.06</v>
      </c>
      <c r="BI980">
        <v>5.19</v>
      </c>
      <c r="BJ980">
        <v>8</v>
      </c>
      <c r="BL980">
        <v>444.33</v>
      </c>
      <c r="BM980">
        <v>65</v>
      </c>
      <c r="BN980">
        <v>242.5334</v>
      </c>
      <c r="BO980">
        <v>1764</v>
      </c>
      <c r="BP980">
        <v>0</v>
      </c>
      <c r="BQ980">
        <v>49</v>
      </c>
      <c r="BR980">
        <v>49</v>
      </c>
      <c r="BS980">
        <v>48.86</v>
      </c>
      <c r="BT980">
        <v>0</v>
      </c>
      <c r="BV980">
        <v>0</v>
      </c>
      <c r="BW980" t="s">
        <v>655</v>
      </c>
      <c r="BX980">
        <v>0.17</v>
      </c>
      <c r="BY980">
        <v>8.3062000000000005</v>
      </c>
      <c r="BZ980">
        <v>0</v>
      </c>
      <c r="CA980">
        <v>1</v>
      </c>
      <c r="CB980">
        <v>0.6</v>
      </c>
      <c r="CC980" s="3">
        <v>7.1269159999999998E-2</v>
      </c>
      <c r="CD980">
        <v>2.875</v>
      </c>
      <c r="CE980">
        <v>2.5</v>
      </c>
      <c r="CF980">
        <v>18</v>
      </c>
      <c r="CG980">
        <v>6</v>
      </c>
      <c r="CH980">
        <v>0</v>
      </c>
      <c r="CI980">
        <v>48.86</v>
      </c>
      <c r="CJ980">
        <v>485.76850000000002</v>
      </c>
    </row>
    <row r="981" spans="1:88">
      <c r="A981">
        <v>980</v>
      </c>
      <c r="B981" t="s">
        <v>0</v>
      </c>
      <c r="C981" t="s">
        <v>1</v>
      </c>
      <c r="D981" t="s">
        <v>141</v>
      </c>
      <c r="E981" t="s">
        <v>2</v>
      </c>
      <c r="F981" t="s">
        <v>179</v>
      </c>
      <c r="G981" t="s">
        <v>106</v>
      </c>
      <c r="H981" t="s">
        <v>510</v>
      </c>
      <c r="J981">
        <v>2</v>
      </c>
      <c r="K981" t="s">
        <v>146</v>
      </c>
      <c r="L981" t="s">
        <v>122</v>
      </c>
      <c r="M981" t="s">
        <v>4</v>
      </c>
      <c r="N981" t="s">
        <v>5</v>
      </c>
      <c r="O981">
        <v>107</v>
      </c>
      <c r="Q981">
        <v>262</v>
      </c>
      <c r="R981">
        <v>55</v>
      </c>
      <c r="S981">
        <v>4.25</v>
      </c>
      <c r="T981">
        <v>2.9710000000000001</v>
      </c>
      <c r="U981">
        <v>6.07</v>
      </c>
      <c r="V981">
        <v>1111.75</v>
      </c>
      <c r="W981">
        <v>331</v>
      </c>
      <c r="X981">
        <v>1.3332999999999999</v>
      </c>
      <c r="Y981">
        <v>259</v>
      </c>
      <c r="Z981">
        <v>4.3</v>
      </c>
      <c r="AJ981">
        <v>2</v>
      </c>
      <c r="AK981">
        <v>18</v>
      </c>
      <c r="AM981">
        <v>0</v>
      </c>
      <c r="AO981" t="s">
        <v>354</v>
      </c>
      <c r="AT981">
        <v>42</v>
      </c>
      <c r="AV981">
        <v>31.3</v>
      </c>
      <c r="AW981">
        <v>0</v>
      </c>
      <c r="AX981">
        <v>0</v>
      </c>
      <c r="AY981">
        <v>37.625</v>
      </c>
      <c r="AZ981">
        <v>3.5</v>
      </c>
      <c r="BA981">
        <v>0</v>
      </c>
      <c r="BB981">
        <v>0</v>
      </c>
      <c r="BC981">
        <v>36</v>
      </c>
      <c r="BN981">
        <v>148.01669999999999</v>
      </c>
      <c r="BO981">
        <v>4736</v>
      </c>
      <c r="BP981">
        <v>0</v>
      </c>
      <c r="BQ981">
        <v>36</v>
      </c>
      <c r="BR981">
        <v>36</v>
      </c>
      <c r="BS981">
        <v>36.340000000000003</v>
      </c>
      <c r="BT981">
        <v>0</v>
      </c>
      <c r="BV981">
        <v>0</v>
      </c>
      <c r="BW981" t="s">
        <v>655</v>
      </c>
      <c r="BX981">
        <v>0.17</v>
      </c>
      <c r="BY981">
        <v>6.1778000000000004</v>
      </c>
      <c r="BZ981">
        <v>0</v>
      </c>
      <c r="CA981">
        <v>1</v>
      </c>
      <c r="CB981">
        <v>0.6</v>
      </c>
      <c r="CC981" s="3">
        <v>7.1269159999999998E-2</v>
      </c>
      <c r="CD981">
        <v>2.875</v>
      </c>
      <c r="CE981">
        <v>2.5</v>
      </c>
      <c r="CF981">
        <v>18</v>
      </c>
      <c r="CG981">
        <v>6</v>
      </c>
      <c r="CH981">
        <v>0</v>
      </c>
      <c r="CI981">
        <v>36.340000000000003</v>
      </c>
      <c r="CJ981">
        <v>224.0282</v>
      </c>
    </row>
    <row r="982" spans="1:88">
      <c r="A982">
        <v>981</v>
      </c>
      <c r="B982" t="s">
        <v>13</v>
      </c>
      <c r="C982" t="s">
        <v>1</v>
      </c>
      <c r="D982" t="s">
        <v>672</v>
      </c>
      <c r="E982" t="s">
        <v>205</v>
      </c>
      <c r="F982" t="s">
        <v>673</v>
      </c>
      <c r="G982" t="s">
        <v>15</v>
      </c>
      <c r="H982" t="s">
        <v>672</v>
      </c>
      <c r="J982">
        <v>2</v>
      </c>
      <c r="K982" t="s">
        <v>9</v>
      </c>
      <c r="L982" t="s">
        <v>459</v>
      </c>
      <c r="M982" t="s">
        <v>601</v>
      </c>
      <c r="N982" t="s">
        <v>455</v>
      </c>
      <c r="O982">
        <v>184</v>
      </c>
      <c r="Q982">
        <v>1155</v>
      </c>
      <c r="R982">
        <v>148</v>
      </c>
      <c r="S982">
        <v>4.25</v>
      </c>
      <c r="T982">
        <v>4.8310000000000004</v>
      </c>
      <c r="U982">
        <v>7.16</v>
      </c>
      <c r="V982">
        <v>4907.7700000000004</v>
      </c>
      <c r="W982">
        <v>1057</v>
      </c>
      <c r="X982">
        <v>1.3332999999999999</v>
      </c>
      <c r="Y982">
        <v>797</v>
      </c>
      <c r="Z982">
        <v>6.16</v>
      </c>
      <c r="AJ982">
        <v>2</v>
      </c>
      <c r="AK982">
        <v>18</v>
      </c>
      <c r="AM982">
        <v>0</v>
      </c>
      <c r="AO982" t="s">
        <v>674</v>
      </c>
      <c r="AT982">
        <v>69</v>
      </c>
      <c r="AV982">
        <v>84.8</v>
      </c>
      <c r="AW982" t="s">
        <v>6</v>
      </c>
      <c r="AX982" t="s">
        <v>6</v>
      </c>
      <c r="AY982" t="s">
        <v>6</v>
      </c>
      <c r="AZ982" t="s">
        <v>6</v>
      </c>
      <c r="BA982" t="s">
        <v>6</v>
      </c>
      <c r="BB982" t="s">
        <v>6</v>
      </c>
      <c r="BC982" t="s">
        <v>6</v>
      </c>
      <c r="BD982" t="s">
        <v>6</v>
      </c>
      <c r="BE982" t="s">
        <v>6</v>
      </c>
      <c r="BF982" t="s">
        <v>6</v>
      </c>
      <c r="BG982" t="s">
        <v>6</v>
      </c>
      <c r="BH982" t="s">
        <v>6</v>
      </c>
      <c r="BI982" t="s">
        <v>6</v>
      </c>
      <c r="BJ982" t="s">
        <v>6</v>
      </c>
      <c r="BN982">
        <v>726.12729999999999</v>
      </c>
      <c r="BO982">
        <v>2075</v>
      </c>
      <c r="BP982">
        <v>0</v>
      </c>
      <c r="BQ982">
        <v>63</v>
      </c>
      <c r="BR982">
        <v>63</v>
      </c>
      <c r="BS982">
        <v>63.13</v>
      </c>
      <c r="BT982">
        <v>0</v>
      </c>
      <c r="BV982">
        <v>6</v>
      </c>
      <c r="BW982" t="s">
        <v>655</v>
      </c>
      <c r="BX982">
        <v>0.27933340000000001</v>
      </c>
      <c r="BY982">
        <v>17.634319999999999</v>
      </c>
      <c r="BZ982">
        <v>0</v>
      </c>
      <c r="CA982">
        <v>1</v>
      </c>
      <c r="CB982">
        <v>0.6</v>
      </c>
      <c r="CC982" s="3">
        <v>7.1269159999999998E-2</v>
      </c>
      <c r="CD982">
        <v>2.875</v>
      </c>
      <c r="CE982">
        <v>2.5</v>
      </c>
      <c r="CF982">
        <v>18</v>
      </c>
      <c r="CG982">
        <v>6</v>
      </c>
      <c r="CH982">
        <v>0</v>
      </c>
      <c r="CI982">
        <v>63.13</v>
      </c>
      <c r="CJ982">
        <v>1052.2560000000001</v>
      </c>
    </row>
    <row r="983" spans="1:88">
      <c r="A983">
        <v>982</v>
      </c>
      <c r="B983" t="s">
        <v>13</v>
      </c>
      <c r="C983" t="s">
        <v>1</v>
      </c>
      <c r="D983" t="s">
        <v>619</v>
      </c>
      <c r="E983" t="s">
        <v>176</v>
      </c>
      <c r="F983" t="s">
        <v>567</v>
      </c>
      <c r="G983" t="s">
        <v>15</v>
      </c>
      <c r="H983" t="s">
        <v>638</v>
      </c>
      <c r="J983">
        <v>2</v>
      </c>
      <c r="K983" t="s">
        <v>108</v>
      </c>
      <c r="L983" t="s">
        <v>167</v>
      </c>
      <c r="M983" t="s">
        <v>226</v>
      </c>
      <c r="N983" t="s">
        <v>227</v>
      </c>
      <c r="O983">
        <v>113</v>
      </c>
      <c r="Q983">
        <v>701</v>
      </c>
      <c r="R983">
        <v>141</v>
      </c>
      <c r="S983">
        <v>4.25</v>
      </c>
      <c r="T983">
        <v>3.1280000000000001</v>
      </c>
      <c r="U983">
        <v>6.18</v>
      </c>
      <c r="V983">
        <v>2979.03</v>
      </c>
      <c r="W983">
        <v>873</v>
      </c>
      <c r="X983">
        <v>1.3332999999999999</v>
      </c>
      <c r="Y983">
        <v>668</v>
      </c>
      <c r="Z983">
        <v>4.46</v>
      </c>
      <c r="AJ983">
        <v>2</v>
      </c>
      <c r="AK983">
        <v>18</v>
      </c>
      <c r="AM983">
        <v>0</v>
      </c>
      <c r="AO983" t="s">
        <v>97</v>
      </c>
      <c r="AT983">
        <v>45</v>
      </c>
      <c r="AV983">
        <v>81.2</v>
      </c>
      <c r="AW983">
        <v>0.5</v>
      </c>
      <c r="AX983">
        <v>5.625</v>
      </c>
      <c r="AY983">
        <v>40.625</v>
      </c>
      <c r="AZ983">
        <v>4.5</v>
      </c>
      <c r="BA983">
        <v>441.88</v>
      </c>
      <c r="BB983">
        <v>5.26</v>
      </c>
      <c r="BC983">
        <v>73</v>
      </c>
      <c r="BD983">
        <v>0.375</v>
      </c>
      <c r="BE983">
        <v>3.75</v>
      </c>
      <c r="BF983">
        <v>28.625</v>
      </c>
      <c r="BG983">
        <v>3.375</v>
      </c>
      <c r="BH983">
        <v>226.05</v>
      </c>
      <c r="BI983">
        <v>4.76</v>
      </c>
      <c r="BJ983">
        <v>25</v>
      </c>
      <c r="BL983">
        <v>667.93</v>
      </c>
      <c r="BM983">
        <v>97</v>
      </c>
      <c r="BN983">
        <v>694.5566</v>
      </c>
      <c r="BO983">
        <v>2267</v>
      </c>
      <c r="BP983">
        <v>0</v>
      </c>
      <c r="BQ983">
        <v>38</v>
      </c>
      <c r="BR983">
        <v>38</v>
      </c>
      <c r="BS983">
        <v>38.43</v>
      </c>
      <c r="BT983">
        <v>0</v>
      </c>
      <c r="BV983">
        <v>0</v>
      </c>
      <c r="BW983" t="s">
        <v>655</v>
      </c>
      <c r="BX983">
        <v>0.17</v>
      </c>
      <c r="BY983">
        <v>6.5331000000000001</v>
      </c>
      <c r="BZ983">
        <v>0</v>
      </c>
      <c r="CA983">
        <v>1</v>
      </c>
      <c r="CB983">
        <v>0.6</v>
      </c>
      <c r="CC983" s="3">
        <v>7.1269159999999998E-2</v>
      </c>
      <c r="CD983">
        <v>2.875</v>
      </c>
      <c r="CE983">
        <v>2.5</v>
      </c>
      <c r="CF983">
        <v>18</v>
      </c>
      <c r="CG983">
        <v>6</v>
      </c>
      <c r="CH983">
        <v>0</v>
      </c>
      <c r="CI983">
        <v>38.43</v>
      </c>
      <c r="CJ983">
        <v>613.16539999999998</v>
      </c>
    </row>
    <row r="984" spans="1:88">
      <c r="A984">
        <v>983</v>
      </c>
      <c r="B984" t="s">
        <v>0</v>
      </c>
      <c r="C984" t="s">
        <v>1</v>
      </c>
      <c r="D984" t="s">
        <v>341</v>
      </c>
      <c r="E984" t="s">
        <v>177</v>
      </c>
      <c r="F984" t="s">
        <v>343</v>
      </c>
      <c r="G984" t="s">
        <v>106</v>
      </c>
      <c r="H984" t="s">
        <v>344</v>
      </c>
      <c r="J984">
        <v>2</v>
      </c>
      <c r="K984" t="s">
        <v>146</v>
      </c>
      <c r="L984" t="s">
        <v>235</v>
      </c>
      <c r="M984" t="s">
        <v>152</v>
      </c>
      <c r="N984" t="s">
        <v>127</v>
      </c>
      <c r="O984">
        <v>112</v>
      </c>
      <c r="Q984">
        <v>239</v>
      </c>
      <c r="R984">
        <v>48</v>
      </c>
      <c r="S984">
        <v>4.25</v>
      </c>
      <c r="T984">
        <v>3.1019999999999999</v>
      </c>
      <c r="U984">
        <v>6.14</v>
      </c>
      <c r="V984">
        <v>1014.77</v>
      </c>
      <c r="W984">
        <v>297</v>
      </c>
      <c r="X984">
        <v>1.3332999999999999</v>
      </c>
      <c r="Y984">
        <v>229</v>
      </c>
      <c r="Z984">
        <v>4.43</v>
      </c>
      <c r="AJ984">
        <v>2</v>
      </c>
      <c r="AK984">
        <v>18</v>
      </c>
      <c r="AM984">
        <v>0</v>
      </c>
      <c r="AO984" t="s">
        <v>347</v>
      </c>
      <c r="AT984">
        <v>44</v>
      </c>
      <c r="AV984">
        <v>27.4</v>
      </c>
      <c r="AW984">
        <v>0</v>
      </c>
      <c r="AX984">
        <v>0</v>
      </c>
      <c r="AY984">
        <v>28.25</v>
      </c>
      <c r="AZ984">
        <v>3.375</v>
      </c>
      <c r="BA984">
        <v>0</v>
      </c>
      <c r="BB984">
        <v>0</v>
      </c>
      <c r="BC984">
        <v>25</v>
      </c>
      <c r="BN984">
        <v>128.4</v>
      </c>
      <c r="BO984">
        <v>6294</v>
      </c>
      <c r="BP984">
        <v>0</v>
      </c>
      <c r="BQ984">
        <v>38</v>
      </c>
      <c r="BR984">
        <v>38</v>
      </c>
      <c r="BS984">
        <v>38.08</v>
      </c>
      <c r="BT984">
        <v>0</v>
      </c>
      <c r="BV984">
        <v>0</v>
      </c>
      <c r="BW984" t="s">
        <v>655</v>
      </c>
      <c r="BX984">
        <v>0.17</v>
      </c>
      <c r="BY984">
        <v>6.4736010000000004</v>
      </c>
      <c r="BZ984">
        <v>0</v>
      </c>
      <c r="CA984">
        <v>1</v>
      </c>
      <c r="CB984">
        <v>0.6</v>
      </c>
      <c r="CC984" s="3">
        <v>7.1269159999999998E-2</v>
      </c>
      <c r="CD984">
        <v>2.875</v>
      </c>
      <c r="CE984">
        <v>2.5</v>
      </c>
      <c r="CF984">
        <v>18</v>
      </c>
      <c r="CG984">
        <v>6</v>
      </c>
      <c r="CH984">
        <v>0</v>
      </c>
      <c r="CI984">
        <v>38.08</v>
      </c>
      <c r="CJ984">
        <v>204.90170000000001</v>
      </c>
    </row>
    <row r="985" spans="1:88">
      <c r="A985">
        <v>984</v>
      </c>
      <c r="B985" t="s">
        <v>13</v>
      </c>
      <c r="C985" t="s">
        <v>1</v>
      </c>
      <c r="D985" t="s">
        <v>565</v>
      </c>
      <c r="E985" t="s">
        <v>234</v>
      </c>
      <c r="F985" t="s">
        <v>566</v>
      </c>
      <c r="G985" t="s">
        <v>15</v>
      </c>
      <c r="H985" t="s">
        <v>565</v>
      </c>
      <c r="J985">
        <v>2</v>
      </c>
      <c r="K985" t="s">
        <v>9</v>
      </c>
      <c r="L985" t="s">
        <v>103</v>
      </c>
      <c r="M985" t="s">
        <v>435</v>
      </c>
      <c r="N985" t="s">
        <v>295</v>
      </c>
      <c r="O985">
        <v>147</v>
      </c>
      <c r="Q985">
        <v>905</v>
      </c>
      <c r="R985">
        <v>143</v>
      </c>
      <c r="S985">
        <v>4.25</v>
      </c>
      <c r="T985">
        <v>3.976</v>
      </c>
      <c r="U985">
        <v>6.67</v>
      </c>
      <c r="V985">
        <v>3846.71</v>
      </c>
      <c r="W985">
        <v>951</v>
      </c>
      <c r="X985">
        <v>1.3332999999999999</v>
      </c>
      <c r="Y985">
        <v>726</v>
      </c>
      <c r="Z985">
        <v>5.3</v>
      </c>
      <c r="AJ985">
        <v>2</v>
      </c>
      <c r="AK985">
        <v>18</v>
      </c>
      <c r="AM985">
        <v>0</v>
      </c>
      <c r="AO985" t="s">
        <v>567</v>
      </c>
      <c r="AT985">
        <v>56</v>
      </c>
      <c r="AV985">
        <v>81.900000000000006</v>
      </c>
      <c r="AW985" t="s">
        <v>6</v>
      </c>
      <c r="AX985" t="s">
        <v>6</v>
      </c>
      <c r="AY985" t="s">
        <v>6</v>
      </c>
      <c r="AZ985" t="s">
        <v>6</v>
      </c>
      <c r="BA985" t="s">
        <v>6</v>
      </c>
      <c r="BB985" t="s">
        <v>6</v>
      </c>
      <c r="BC985" t="s">
        <v>6</v>
      </c>
      <c r="BD985" t="s">
        <v>6</v>
      </c>
      <c r="BE985" t="s">
        <v>6</v>
      </c>
      <c r="BF985" t="s">
        <v>6</v>
      </c>
      <c r="BG985" t="s">
        <v>6</v>
      </c>
      <c r="BH985" t="s">
        <v>6</v>
      </c>
      <c r="BI985" t="s">
        <v>6</v>
      </c>
      <c r="BJ985" t="s">
        <v>6</v>
      </c>
      <c r="BN985">
        <v>700.87080000000003</v>
      </c>
      <c r="BO985">
        <v>2227</v>
      </c>
      <c r="BP985">
        <v>0</v>
      </c>
      <c r="BQ985">
        <v>50</v>
      </c>
      <c r="BR985">
        <v>50</v>
      </c>
      <c r="BS985">
        <v>50.26</v>
      </c>
      <c r="BT985">
        <v>0</v>
      </c>
      <c r="BV985">
        <v>6</v>
      </c>
      <c r="BW985" t="s">
        <v>655</v>
      </c>
      <c r="BX985">
        <v>0.27933330000000001</v>
      </c>
      <c r="BY985">
        <v>14.039289999999999</v>
      </c>
      <c r="BZ985">
        <v>0</v>
      </c>
      <c r="CA985">
        <v>1</v>
      </c>
      <c r="CB985">
        <v>0.6</v>
      </c>
      <c r="CC985" s="3">
        <v>7.1269159999999998E-2</v>
      </c>
      <c r="CD985">
        <v>2.875</v>
      </c>
      <c r="CE985">
        <v>2.5</v>
      </c>
      <c r="CF985">
        <v>18</v>
      </c>
      <c r="CG985">
        <v>6</v>
      </c>
      <c r="CH985">
        <v>0</v>
      </c>
      <c r="CI985">
        <v>50.26</v>
      </c>
      <c r="CJ985">
        <v>809.08150000000001</v>
      </c>
    </row>
    <row r="986" spans="1:88">
      <c r="A986">
        <v>985</v>
      </c>
      <c r="B986" t="s">
        <v>0</v>
      </c>
      <c r="C986" t="s">
        <v>1</v>
      </c>
      <c r="D986" t="s">
        <v>297</v>
      </c>
      <c r="E986" t="s">
        <v>207</v>
      </c>
      <c r="F986" t="s">
        <v>292</v>
      </c>
      <c r="G986" t="s">
        <v>106</v>
      </c>
      <c r="H986" t="s">
        <v>474</v>
      </c>
      <c r="J986">
        <v>2</v>
      </c>
      <c r="K986" t="s">
        <v>108</v>
      </c>
      <c r="L986" t="s">
        <v>197</v>
      </c>
      <c r="M986" t="s">
        <v>211</v>
      </c>
      <c r="N986" t="s">
        <v>279</v>
      </c>
      <c r="O986">
        <v>153</v>
      </c>
      <c r="Q986">
        <v>696</v>
      </c>
      <c r="R986">
        <v>106</v>
      </c>
      <c r="S986">
        <v>4.25</v>
      </c>
      <c r="T986">
        <v>4.1189999999999998</v>
      </c>
      <c r="U986">
        <v>6.75</v>
      </c>
      <c r="V986">
        <v>2958.12</v>
      </c>
      <c r="W986">
        <v>718</v>
      </c>
      <c r="X986">
        <v>1.3332999999999999</v>
      </c>
      <c r="Y986">
        <v>543</v>
      </c>
      <c r="Z986">
        <v>5.45</v>
      </c>
      <c r="AJ986">
        <v>2</v>
      </c>
      <c r="AK986">
        <v>18</v>
      </c>
      <c r="AM986">
        <v>0</v>
      </c>
      <c r="AO986" t="s">
        <v>390</v>
      </c>
      <c r="AT986">
        <v>58</v>
      </c>
      <c r="AV986">
        <v>60.9</v>
      </c>
      <c r="AW986">
        <v>0.4375</v>
      </c>
      <c r="AX986">
        <v>3.75</v>
      </c>
      <c r="AY986">
        <v>47.625</v>
      </c>
      <c r="AZ986">
        <v>4.75</v>
      </c>
      <c r="BA986">
        <v>298.52</v>
      </c>
      <c r="BB986">
        <v>5.51</v>
      </c>
      <c r="BC986">
        <v>48</v>
      </c>
      <c r="BD986">
        <v>0.40625</v>
      </c>
      <c r="BE986">
        <v>3.75</v>
      </c>
      <c r="BF986">
        <v>39.875</v>
      </c>
      <c r="BG986">
        <v>4.375</v>
      </c>
      <c r="BH986">
        <v>244.25</v>
      </c>
      <c r="BI986">
        <v>5.42</v>
      </c>
      <c r="BJ986">
        <v>38</v>
      </c>
      <c r="BL986">
        <v>542.77</v>
      </c>
      <c r="BM986">
        <v>85</v>
      </c>
      <c r="BN986">
        <v>292.4667</v>
      </c>
      <c r="BO986">
        <v>1213</v>
      </c>
      <c r="BP986">
        <v>0</v>
      </c>
      <c r="BQ986">
        <v>52</v>
      </c>
      <c r="BR986">
        <v>52</v>
      </c>
      <c r="BS986">
        <v>52.34</v>
      </c>
      <c r="BT986">
        <v>0</v>
      </c>
      <c r="BV986">
        <v>0</v>
      </c>
      <c r="BW986" t="s">
        <v>655</v>
      </c>
      <c r="BX986">
        <v>0.17</v>
      </c>
      <c r="BY986">
        <v>8.8978009999999994</v>
      </c>
      <c r="BZ986">
        <v>0</v>
      </c>
      <c r="CA986">
        <v>1</v>
      </c>
      <c r="CB986">
        <v>0.6</v>
      </c>
      <c r="CC986" s="3">
        <v>7.1269159999999998E-2</v>
      </c>
      <c r="CD986">
        <v>2.875</v>
      </c>
      <c r="CE986">
        <v>2.5</v>
      </c>
      <c r="CF986">
        <v>18</v>
      </c>
      <c r="CG986">
        <v>6</v>
      </c>
      <c r="CH986">
        <v>0</v>
      </c>
      <c r="CI986">
        <v>52.34</v>
      </c>
      <c r="CJ986">
        <v>626.21199999999999</v>
      </c>
    </row>
    <row r="987" spans="1:88">
      <c r="A987">
        <v>986</v>
      </c>
      <c r="B987" t="s">
        <v>13</v>
      </c>
      <c r="C987" t="s">
        <v>1</v>
      </c>
      <c r="D987" t="s">
        <v>135</v>
      </c>
      <c r="E987" t="s">
        <v>169</v>
      </c>
      <c r="F987" t="s">
        <v>137</v>
      </c>
      <c r="G987" t="s">
        <v>106</v>
      </c>
      <c r="H987" t="s">
        <v>138</v>
      </c>
      <c r="J987">
        <v>2</v>
      </c>
      <c r="K987" t="s">
        <v>146</v>
      </c>
      <c r="L987" t="s">
        <v>381</v>
      </c>
      <c r="M987" t="s">
        <v>173</v>
      </c>
      <c r="N987" t="s">
        <v>174</v>
      </c>
      <c r="O987">
        <v>119</v>
      </c>
      <c r="Q987">
        <v>213</v>
      </c>
      <c r="R987">
        <v>41</v>
      </c>
      <c r="S987">
        <v>4.25</v>
      </c>
      <c r="T987">
        <v>3.2829999999999999</v>
      </c>
      <c r="U987">
        <v>6.15</v>
      </c>
      <c r="V987">
        <v>906.52</v>
      </c>
      <c r="W987">
        <v>255</v>
      </c>
      <c r="X987">
        <v>1.3332999999999999</v>
      </c>
      <c r="Y987">
        <v>197</v>
      </c>
      <c r="Z987">
        <v>4.6100000000000003</v>
      </c>
      <c r="AJ987">
        <v>2</v>
      </c>
      <c r="AK987">
        <v>18</v>
      </c>
      <c r="AM987">
        <v>0</v>
      </c>
      <c r="AO987" t="s">
        <v>142</v>
      </c>
      <c r="AT987">
        <v>47</v>
      </c>
      <c r="AV987">
        <v>23</v>
      </c>
      <c r="AW987">
        <v>0</v>
      </c>
      <c r="AX987">
        <v>0</v>
      </c>
      <c r="AY987">
        <v>32.875</v>
      </c>
      <c r="AZ987">
        <v>3.5</v>
      </c>
      <c r="BA987">
        <v>0</v>
      </c>
      <c r="BB987">
        <v>0</v>
      </c>
      <c r="BC987">
        <v>29</v>
      </c>
      <c r="BN987">
        <v>107</v>
      </c>
      <c r="BO987">
        <v>9064</v>
      </c>
      <c r="BP987">
        <v>0</v>
      </c>
      <c r="BQ987">
        <v>41</v>
      </c>
      <c r="BR987">
        <v>41</v>
      </c>
      <c r="BS987">
        <v>40.520000000000003</v>
      </c>
      <c r="BT987">
        <v>0</v>
      </c>
      <c r="BV987">
        <v>0</v>
      </c>
      <c r="BW987" t="s">
        <v>655</v>
      </c>
      <c r="BX987">
        <v>0.17</v>
      </c>
      <c r="BY987">
        <v>6.8883999999999999</v>
      </c>
      <c r="BZ987">
        <v>0</v>
      </c>
      <c r="CA987">
        <v>1</v>
      </c>
      <c r="CB987">
        <v>0.6</v>
      </c>
      <c r="CC987" s="3">
        <v>7.1269159999999998E-2</v>
      </c>
      <c r="CD987">
        <v>2.875</v>
      </c>
      <c r="CE987">
        <v>2.5</v>
      </c>
      <c r="CF987">
        <v>18</v>
      </c>
      <c r="CG987">
        <v>6</v>
      </c>
      <c r="CH987">
        <v>0</v>
      </c>
      <c r="CI987">
        <v>40.520000000000003</v>
      </c>
      <c r="CJ987">
        <v>183.37700000000001</v>
      </c>
    </row>
    <row r="988" spans="1:88">
      <c r="A988">
        <v>987</v>
      </c>
      <c r="B988" t="s">
        <v>0</v>
      </c>
      <c r="C988" t="s">
        <v>1</v>
      </c>
      <c r="D988" t="s">
        <v>143</v>
      </c>
      <c r="E988" t="s">
        <v>552</v>
      </c>
      <c r="F988" t="s">
        <v>144</v>
      </c>
      <c r="G988" t="s">
        <v>106</v>
      </c>
      <c r="H988" t="s">
        <v>145</v>
      </c>
      <c r="J988">
        <v>2</v>
      </c>
      <c r="K988" t="s">
        <v>146</v>
      </c>
      <c r="L988" t="s">
        <v>104</v>
      </c>
      <c r="M988" t="s">
        <v>600</v>
      </c>
      <c r="N988" t="s">
        <v>348</v>
      </c>
      <c r="O988">
        <v>171</v>
      </c>
      <c r="Q988">
        <v>680</v>
      </c>
      <c r="R988">
        <v>95</v>
      </c>
      <c r="S988">
        <v>4.25</v>
      </c>
      <c r="T988">
        <v>4.5380000000000003</v>
      </c>
      <c r="U988">
        <v>6.93</v>
      </c>
      <c r="V988">
        <v>2887.91</v>
      </c>
      <c r="W988">
        <v>656</v>
      </c>
      <c r="X988">
        <v>1.3332999999999999</v>
      </c>
      <c r="Y988">
        <v>492</v>
      </c>
      <c r="Z988">
        <v>5.87</v>
      </c>
      <c r="AJ988">
        <v>2</v>
      </c>
      <c r="AK988">
        <v>18</v>
      </c>
      <c r="AM988">
        <v>0</v>
      </c>
      <c r="AO988" t="s">
        <v>149</v>
      </c>
      <c r="AT988">
        <v>65</v>
      </c>
      <c r="AV988">
        <v>53.5</v>
      </c>
      <c r="AW988">
        <v>0.4375</v>
      </c>
      <c r="AX988">
        <v>3.75</v>
      </c>
      <c r="AY988">
        <v>52.625</v>
      </c>
      <c r="AZ988">
        <v>5.125</v>
      </c>
      <c r="BA988">
        <v>270.58</v>
      </c>
      <c r="BB988">
        <v>6.08</v>
      </c>
      <c r="BC988">
        <v>53</v>
      </c>
      <c r="BD988">
        <v>0.40625</v>
      </c>
      <c r="BE988">
        <v>3.75</v>
      </c>
      <c r="BF988">
        <v>44</v>
      </c>
      <c r="BG988">
        <v>4.75</v>
      </c>
      <c r="BH988">
        <v>221.39</v>
      </c>
      <c r="BI988">
        <v>5.98</v>
      </c>
      <c r="BJ988">
        <v>42</v>
      </c>
      <c r="BL988">
        <v>491.97</v>
      </c>
      <c r="BM988">
        <v>94</v>
      </c>
      <c r="BN988">
        <v>256.80009999999999</v>
      </c>
      <c r="BO988">
        <v>1574</v>
      </c>
      <c r="BP988">
        <v>0</v>
      </c>
      <c r="BQ988">
        <v>59</v>
      </c>
      <c r="BR988">
        <v>59</v>
      </c>
      <c r="BS988">
        <v>58.6</v>
      </c>
      <c r="BT988">
        <v>0</v>
      </c>
      <c r="BV988">
        <v>0</v>
      </c>
      <c r="BW988" t="s">
        <v>655</v>
      </c>
      <c r="BX988">
        <v>0.17</v>
      </c>
      <c r="BY988">
        <v>9.9619999999999997</v>
      </c>
      <c r="BZ988">
        <v>0</v>
      </c>
      <c r="CA988">
        <v>1</v>
      </c>
      <c r="CB988">
        <v>0.6</v>
      </c>
      <c r="CC988" s="3">
        <v>7.1269159999999998E-2</v>
      </c>
      <c r="CD988">
        <v>2.875</v>
      </c>
      <c r="CE988">
        <v>2.5</v>
      </c>
      <c r="CF988">
        <v>18</v>
      </c>
      <c r="CG988">
        <v>6</v>
      </c>
      <c r="CH988">
        <v>0</v>
      </c>
      <c r="CI988">
        <v>58.6</v>
      </c>
      <c r="CJ988">
        <v>616.01499999999999</v>
      </c>
    </row>
    <row r="989" spans="1:88">
      <c r="A989">
        <v>988</v>
      </c>
      <c r="B989" t="s">
        <v>13</v>
      </c>
      <c r="C989" t="s">
        <v>1</v>
      </c>
      <c r="D989" t="s">
        <v>2</v>
      </c>
      <c r="E989" t="s">
        <v>307</v>
      </c>
      <c r="F989" t="s">
        <v>154</v>
      </c>
      <c r="G989" t="s">
        <v>106</v>
      </c>
      <c r="H989" t="s">
        <v>217</v>
      </c>
      <c r="J989">
        <v>2</v>
      </c>
      <c r="K989" t="s">
        <v>146</v>
      </c>
      <c r="L989" t="s">
        <v>364</v>
      </c>
      <c r="M989" t="s">
        <v>308</v>
      </c>
      <c r="N989" t="s">
        <v>122</v>
      </c>
      <c r="O989">
        <v>124</v>
      </c>
      <c r="Q989">
        <v>343</v>
      </c>
      <c r="R989">
        <v>67</v>
      </c>
      <c r="S989">
        <v>4.25</v>
      </c>
      <c r="T989">
        <v>3.41</v>
      </c>
      <c r="U989">
        <v>6.22</v>
      </c>
      <c r="V989">
        <v>1457.62</v>
      </c>
      <c r="W989">
        <v>417</v>
      </c>
      <c r="X989">
        <v>1.3332999999999999</v>
      </c>
      <c r="Y989">
        <v>308</v>
      </c>
      <c r="Z989">
        <v>4.74</v>
      </c>
      <c r="AJ989">
        <v>2</v>
      </c>
      <c r="AK989">
        <v>18</v>
      </c>
      <c r="AM989">
        <v>0</v>
      </c>
      <c r="AO989" t="s">
        <v>218</v>
      </c>
      <c r="AT989">
        <v>48</v>
      </c>
      <c r="AV989">
        <v>36.1</v>
      </c>
      <c r="AW989">
        <v>0</v>
      </c>
      <c r="AX989">
        <v>0</v>
      </c>
      <c r="AY989">
        <v>46.25</v>
      </c>
      <c r="AZ989">
        <v>4.125</v>
      </c>
      <c r="BA989">
        <v>0</v>
      </c>
      <c r="BB989">
        <v>0</v>
      </c>
      <c r="BC989">
        <v>47</v>
      </c>
      <c r="BN989">
        <v>171.2</v>
      </c>
      <c r="BO989">
        <v>3540</v>
      </c>
      <c r="BP989">
        <v>0</v>
      </c>
      <c r="BQ989">
        <v>42</v>
      </c>
      <c r="BR989">
        <v>42</v>
      </c>
      <c r="BS989">
        <v>42.26</v>
      </c>
      <c r="BT989">
        <v>0</v>
      </c>
      <c r="BV989">
        <v>0</v>
      </c>
      <c r="BW989" t="s">
        <v>655</v>
      </c>
      <c r="BX989">
        <v>0.17</v>
      </c>
      <c r="BY989">
        <v>7.1841999999999997</v>
      </c>
      <c r="BZ989">
        <v>0</v>
      </c>
      <c r="CA989">
        <v>1</v>
      </c>
      <c r="CB989">
        <v>0.6</v>
      </c>
      <c r="CC989" s="3">
        <v>7.1269159999999998E-2</v>
      </c>
      <c r="CD989">
        <v>2.875</v>
      </c>
      <c r="CE989">
        <v>2.5</v>
      </c>
      <c r="CF989">
        <v>18</v>
      </c>
      <c r="CG989">
        <v>6</v>
      </c>
      <c r="CH989">
        <v>0</v>
      </c>
      <c r="CI989">
        <v>42.26</v>
      </c>
      <c r="CJ989">
        <v>299.67750000000001</v>
      </c>
    </row>
    <row r="990" spans="1:88">
      <c r="A990">
        <v>989</v>
      </c>
      <c r="B990" t="s">
        <v>0</v>
      </c>
      <c r="C990" t="s">
        <v>1</v>
      </c>
      <c r="D990" t="s">
        <v>267</v>
      </c>
      <c r="E990" t="s">
        <v>210</v>
      </c>
      <c r="F990" t="s">
        <v>269</v>
      </c>
      <c r="G990" t="s">
        <v>106</v>
      </c>
      <c r="H990" t="s">
        <v>131</v>
      </c>
      <c r="J990">
        <v>2</v>
      </c>
      <c r="K990" t="s">
        <v>146</v>
      </c>
      <c r="L990" t="s">
        <v>397</v>
      </c>
      <c r="M990" t="s">
        <v>604</v>
      </c>
      <c r="N990" t="s">
        <v>212</v>
      </c>
      <c r="O990">
        <v>192</v>
      </c>
      <c r="Q990">
        <v>778</v>
      </c>
      <c r="R990">
        <v>97</v>
      </c>
      <c r="S990">
        <v>4.25</v>
      </c>
      <c r="T990">
        <v>5.0069999999999997</v>
      </c>
      <c r="U990">
        <v>7.27</v>
      </c>
      <c r="V990">
        <v>3305.82</v>
      </c>
      <c r="W990">
        <v>705</v>
      </c>
      <c r="X990">
        <v>1.3332999999999999</v>
      </c>
      <c r="Y990">
        <v>521</v>
      </c>
      <c r="Z990">
        <v>6.34</v>
      </c>
      <c r="AJ990">
        <v>2</v>
      </c>
      <c r="AK990">
        <v>18</v>
      </c>
      <c r="AM990">
        <v>0</v>
      </c>
      <c r="AO990" t="s">
        <v>271</v>
      </c>
      <c r="AT990">
        <v>72</v>
      </c>
      <c r="AV990">
        <v>54.9</v>
      </c>
      <c r="AW990">
        <v>0.4375</v>
      </c>
      <c r="AX990">
        <v>3.75</v>
      </c>
      <c r="AY990">
        <v>54.625</v>
      </c>
      <c r="AZ990">
        <v>5.5</v>
      </c>
      <c r="BA990">
        <v>260.70999999999998</v>
      </c>
      <c r="BB990">
        <v>6.31</v>
      </c>
      <c r="BC990">
        <v>55</v>
      </c>
      <c r="BD990">
        <v>0.4375</v>
      </c>
      <c r="BE990">
        <v>3.75</v>
      </c>
      <c r="BF990">
        <v>54.625</v>
      </c>
      <c r="BG990">
        <v>5.5</v>
      </c>
      <c r="BH990">
        <v>260.70999999999998</v>
      </c>
      <c r="BI990">
        <v>6.31</v>
      </c>
      <c r="BJ990">
        <v>55</v>
      </c>
      <c r="BL990">
        <v>521.41999999999996</v>
      </c>
      <c r="BM990">
        <v>110</v>
      </c>
      <c r="BN990">
        <v>263.93340000000001</v>
      </c>
      <c r="BO990">
        <v>1490</v>
      </c>
      <c r="BP990">
        <v>0</v>
      </c>
      <c r="BQ990">
        <v>66</v>
      </c>
      <c r="BR990">
        <v>66</v>
      </c>
      <c r="BS990">
        <v>65.91001</v>
      </c>
      <c r="BT990">
        <v>0</v>
      </c>
      <c r="BV990">
        <v>0</v>
      </c>
      <c r="BW990" t="s">
        <v>655</v>
      </c>
      <c r="BX990">
        <v>0.17</v>
      </c>
      <c r="BY990">
        <v>11.204700000000001</v>
      </c>
      <c r="BZ990">
        <v>0</v>
      </c>
      <c r="CA990">
        <v>1</v>
      </c>
      <c r="CB990">
        <v>0.6</v>
      </c>
      <c r="CC990" s="3">
        <v>7.1269159999999998E-2</v>
      </c>
      <c r="CD990">
        <v>2.875</v>
      </c>
      <c r="CE990">
        <v>2.5</v>
      </c>
      <c r="CF990">
        <v>18</v>
      </c>
      <c r="CG990">
        <v>6</v>
      </c>
      <c r="CH990">
        <v>0</v>
      </c>
      <c r="CI990">
        <v>65.91001</v>
      </c>
      <c r="CJ990">
        <v>711.64859999999999</v>
      </c>
    </row>
    <row r="991" spans="1:88">
      <c r="A991">
        <v>990</v>
      </c>
      <c r="B991" t="s">
        <v>13</v>
      </c>
      <c r="C991" t="s">
        <v>1</v>
      </c>
      <c r="D991" t="s">
        <v>176</v>
      </c>
      <c r="E991" t="s">
        <v>169</v>
      </c>
      <c r="F991" t="s">
        <v>134</v>
      </c>
      <c r="G991" t="s">
        <v>106</v>
      </c>
      <c r="H991" t="s">
        <v>177</v>
      </c>
      <c r="J991">
        <v>2</v>
      </c>
      <c r="K991" t="s">
        <v>146</v>
      </c>
      <c r="L991" t="s">
        <v>381</v>
      </c>
      <c r="M991" t="s">
        <v>173</v>
      </c>
      <c r="N991" t="s">
        <v>174</v>
      </c>
      <c r="O991">
        <v>119</v>
      </c>
      <c r="Q991">
        <v>350</v>
      </c>
      <c r="R991">
        <v>71</v>
      </c>
      <c r="S991">
        <v>4.25</v>
      </c>
      <c r="T991">
        <v>3.2829999999999999</v>
      </c>
      <c r="U991">
        <v>6.15</v>
      </c>
      <c r="V991">
        <v>1486.82</v>
      </c>
      <c r="W991">
        <v>434</v>
      </c>
      <c r="X991">
        <v>1.3332999999999999</v>
      </c>
      <c r="Y991">
        <v>323</v>
      </c>
      <c r="Z991">
        <v>4.6100000000000003</v>
      </c>
      <c r="AJ991">
        <v>2</v>
      </c>
      <c r="AK991">
        <v>18</v>
      </c>
      <c r="AM991">
        <v>0</v>
      </c>
      <c r="AO991" t="s">
        <v>152</v>
      </c>
      <c r="AT991">
        <v>47</v>
      </c>
      <c r="AV991">
        <v>38.200000000000003</v>
      </c>
      <c r="AW991">
        <v>0</v>
      </c>
      <c r="AX991">
        <v>0</v>
      </c>
      <c r="AY991">
        <v>44.125</v>
      </c>
      <c r="AZ991">
        <v>4</v>
      </c>
      <c r="BA991">
        <v>0</v>
      </c>
      <c r="BB991">
        <v>0</v>
      </c>
      <c r="BC991">
        <v>45</v>
      </c>
      <c r="BN991">
        <v>181.9</v>
      </c>
      <c r="BO991">
        <v>3136</v>
      </c>
      <c r="BP991">
        <v>0</v>
      </c>
      <c r="BQ991">
        <v>41</v>
      </c>
      <c r="BR991">
        <v>41</v>
      </c>
      <c r="BS991">
        <v>40.520000000000003</v>
      </c>
      <c r="BT991">
        <v>0</v>
      </c>
      <c r="BV991">
        <v>0</v>
      </c>
      <c r="BW991" t="s">
        <v>655</v>
      </c>
      <c r="BX991">
        <v>0.17</v>
      </c>
      <c r="BY991">
        <v>6.8883999999999999</v>
      </c>
      <c r="BZ991">
        <v>0</v>
      </c>
      <c r="CA991">
        <v>1</v>
      </c>
      <c r="CB991">
        <v>0.6</v>
      </c>
      <c r="CC991" s="3">
        <v>7.1269159999999998E-2</v>
      </c>
      <c r="CD991">
        <v>2.875</v>
      </c>
      <c r="CE991">
        <v>2.5</v>
      </c>
      <c r="CF991">
        <v>18</v>
      </c>
      <c r="CG991">
        <v>6</v>
      </c>
      <c r="CH991">
        <v>0</v>
      </c>
      <c r="CI991">
        <v>40.520000000000003</v>
      </c>
      <c r="CJ991">
        <v>304.66570000000002</v>
      </c>
    </row>
    <row r="992" spans="1:88">
      <c r="A992">
        <v>991</v>
      </c>
      <c r="B992" t="s">
        <v>13</v>
      </c>
      <c r="C992" t="s">
        <v>1</v>
      </c>
      <c r="D992" t="s">
        <v>169</v>
      </c>
      <c r="E992" t="s">
        <v>5</v>
      </c>
      <c r="F992" t="s">
        <v>404</v>
      </c>
      <c r="G992" t="s">
        <v>106</v>
      </c>
      <c r="H992" t="s">
        <v>190</v>
      </c>
      <c r="J992">
        <v>2</v>
      </c>
      <c r="K992" t="s">
        <v>146</v>
      </c>
      <c r="L992" t="s">
        <v>162</v>
      </c>
      <c r="M992" t="s">
        <v>155</v>
      </c>
      <c r="N992" t="s">
        <v>176</v>
      </c>
      <c r="O992">
        <v>110</v>
      </c>
      <c r="Q992">
        <v>344</v>
      </c>
      <c r="R992">
        <v>74</v>
      </c>
      <c r="S992">
        <v>4.25</v>
      </c>
      <c r="T992">
        <v>3.05</v>
      </c>
      <c r="U992">
        <v>6.11</v>
      </c>
      <c r="V992">
        <v>1461.74</v>
      </c>
      <c r="W992">
        <v>452</v>
      </c>
      <c r="X992">
        <v>1.3332999999999999</v>
      </c>
      <c r="Y992">
        <v>334</v>
      </c>
      <c r="Z992">
        <v>4.38</v>
      </c>
      <c r="AJ992">
        <v>2</v>
      </c>
      <c r="AK992">
        <v>18</v>
      </c>
      <c r="AM992">
        <v>0</v>
      </c>
      <c r="AO992" t="s">
        <v>406</v>
      </c>
      <c r="AT992">
        <v>44</v>
      </c>
      <c r="AV992">
        <v>40.4</v>
      </c>
      <c r="AW992">
        <v>0</v>
      </c>
      <c r="AX992">
        <v>0</v>
      </c>
      <c r="AY992">
        <v>42.625</v>
      </c>
      <c r="AZ992">
        <v>3.875</v>
      </c>
      <c r="BA992">
        <v>0</v>
      </c>
      <c r="BB992">
        <v>0</v>
      </c>
      <c r="BC992">
        <v>43</v>
      </c>
      <c r="BN992">
        <v>192.6</v>
      </c>
      <c r="BO992">
        <v>2797</v>
      </c>
      <c r="BP992">
        <v>0</v>
      </c>
      <c r="BQ992">
        <v>37</v>
      </c>
      <c r="BR992">
        <v>37</v>
      </c>
      <c r="BS992">
        <v>37.39</v>
      </c>
      <c r="BT992">
        <v>0</v>
      </c>
      <c r="BV992">
        <v>0</v>
      </c>
      <c r="BW992" t="s">
        <v>655</v>
      </c>
      <c r="BX992">
        <v>0.17</v>
      </c>
      <c r="BY992">
        <v>6.3563000000000001</v>
      </c>
      <c r="BZ992">
        <v>0</v>
      </c>
      <c r="CA992">
        <v>1</v>
      </c>
      <c r="CB992">
        <v>0.6</v>
      </c>
      <c r="CC992" s="3">
        <v>7.1269159999999998E-2</v>
      </c>
      <c r="CD992">
        <v>2.875</v>
      </c>
      <c r="CE992">
        <v>2.5</v>
      </c>
      <c r="CF992">
        <v>18</v>
      </c>
      <c r="CG992">
        <v>6</v>
      </c>
      <c r="CH992">
        <v>0</v>
      </c>
      <c r="CI992">
        <v>37.39</v>
      </c>
      <c r="CJ992">
        <v>297.12</v>
      </c>
    </row>
    <row r="993" spans="1:88">
      <c r="A993">
        <v>992</v>
      </c>
      <c r="B993" t="s">
        <v>0</v>
      </c>
      <c r="C993" t="s">
        <v>1</v>
      </c>
      <c r="D993" t="s">
        <v>240</v>
      </c>
      <c r="E993" t="s">
        <v>96</v>
      </c>
      <c r="F993" t="s">
        <v>142</v>
      </c>
      <c r="G993" t="s">
        <v>106</v>
      </c>
      <c r="H993" t="s">
        <v>242</v>
      </c>
      <c r="J993">
        <v>2</v>
      </c>
      <c r="K993" t="s">
        <v>146</v>
      </c>
      <c r="L993" t="s">
        <v>293</v>
      </c>
      <c r="M993" t="s">
        <v>100</v>
      </c>
      <c r="N993" t="s">
        <v>101</v>
      </c>
      <c r="O993">
        <v>131</v>
      </c>
      <c r="Q993">
        <v>226</v>
      </c>
      <c r="R993">
        <v>40</v>
      </c>
      <c r="S993">
        <v>4.25</v>
      </c>
      <c r="T993">
        <v>3.5859999999999999</v>
      </c>
      <c r="U993">
        <v>6.37</v>
      </c>
      <c r="V993">
        <v>959.6</v>
      </c>
      <c r="W993">
        <v>257</v>
      </c>
      <c r="X993">
        <v>1.3332999999999999</v>
      </c>
      <c r="Y993">
        <v>195</v>
      </c>
      <c r="Z993">
        <v>4.91</v>
      </c>
      <c r="AJ993">
        <v>2</v>
      </c>
      <c r="AK993">
        <v>18</v>
      </c>
      <c r="AM993">
        <v>0</v>
      </c>
      <c r="AO993" t="s">
        <v>244</v>
      </c>
      <c r="AT993">
        <v>51</v>
      </c>
      <c r="AV993">
        <v>22.3</v>
      </c>
      <c r="AW993">
        <v>0</v>
      </c>
      <c r="AX993">
        <v>0</v>
      </c>
      <c r="AY993">
        <v>33.125</v>
      </c>
      <c r="AZ993">
        <v>3.625</v>
      </c>
      <c r="BA993">
        <v>0</v>
      </c>
      <c r="BB993">
        <v>0</v>
      </c>
      <c r="BC993">
        <v>29</v>
      </c>
      <c r="BN993">
        <v>103.43340000000001</v>
      </c>
      <c r="BO993">
        <v>9699</v>
      </c>
      <c r="BP993">
        <v>0</v>
      </c>
      <c r="BQ993">
        <v>45</v>
      </c>
      <c r="BR993">
        <v>45</v>
      </c>
      <c r="BS993">
        <v>44.69</v>
      </c>
      <c r="BT993">
        <v>0</v>
      </c>
      <c r="BV993">
        <v>0</v>
      </c>
      <c r="BW993" t="s">
        <v>655</v>
      </c>
      <c r="BX993">
        <v>0.17</v>
      </c>
      <c r="BY993">
        <v>7.5972999999999997</v>
      </c>
      <c r="BZ993">
        <v>0</v>
      </c>
      <c r="CA993">
        <v>1</v>
      </c>
      <c r="CB993">
        <v>0.6</v>
      </c>
      <c r="CC993" s="3">
        <v>7.1269159999999998E-2</v>
      </c>
      <c r="CD993">
        <v>2.875</v>
      </c>
      <c r="CE993">
        <v>2.5</v>
      </c>
      <c r="CF993">
        <v>18</v>
      </c>
      <c r="CG993">
        <v>6</v>
      </c>
      <c r="CH993">
        <v>0</v>
      </c>
      <c r="CI993">
        <v>44.69</v>
      </c>
      <c r="CJ993">
        <v>195.87860000000001</v>
      </c>
    </row>
    <row r="994" spans="1:88">
      <c r="A994">
        <v>993</v>
      </c>
      <c r="B994" t="s">
        <v>13</v>
      </c>
      <c r="C994" t="s">
        <v>1</v>
      </c>
      <c r="D994" t="s">
        <v>449</v>
      </c>
      <c r="E994" t="s">
        <v>139</v>
      </c>
      <c r="F994" t="s">
        <v>481</v>
      </c>
      <c r="G994" t="s">
        <v>106</v>
      </c>
      <c r="H994" t="s">
        <v>341</v>
      </c>
      <c r="J994">
        <v>2</v>
      </c>
      <c r="K994" t="s">
        <v>146</v>
      </c>
      <c r="L994" t="s">
        <v>158</v>
      </c>
      <c r="M994" t="s">
        <v>385</v>
      </c>
      <c r="N994" t="s">
        <v>177</v>
      </c>
      <c r="O994">
        <v>109</v>
      </c>
      <c r="Q994">
        <v>236</v>
      </c>
      <c r="R994">
        <v>49</v>
      </c>
      <c r="S994">
        <v>4.25</v>
      </c>
      <c r="T994">
        <v>3.024</v>
      </c>
      <c r="U994">
        <v>6.11</v>
      </c>
      <c r="V994">
        <v>1003</v>
      </c>
      <c r="W994">
        <v>299</v>
      </c>
      <c r="X994">
        <v>1.3332999999999999</v>
      </c>
      <c r="Y994">
        <v>231</v>
      </c>
      <c r="Z994">
        <v>4.3499999999999996</v>
      </c>
      <c r="AJ994">
        <v>2</v>
      </c>
      <c r="AK994">
        <v>18</v>
      </c>
      <c r="AM994">
        <v>0</v>
      </c>
      <c r="AO994" t="s">
        <v>499</v>
      </c>
      <c r="AT994">
        <v>43</v>
      </c>
      <c r="AV994">
        <v>27.7</v>
      </c>
      <c r="AW994">
        <v>0</v>
      </c>
      <c r="AX994">
        <v>0</v>
      </c>
      <c r="AY994">
        <v>28</v>
      </c>
      <c r="AZ994">
        <v>3.25</v>
      </c>
      <c r="BA994">
        <v>0</v>
      </c>
      <c r="BB994">
        <v>0</v>
      </c>
      <c r="BC994">
        <v>25</v>
      </c>
      <c r="BN994">
        <v>130.18340000000001</v>
      </c>
      <c r="BO994">
        <v>6123</v>
      </c>
      <c r="BP994">
        <v>0</v>
      </c>
      <c r="BQ994">
        <v>37</v>
      </c>
      <c r="BR994">
        <v>37</v>
      </c>
      <c r="BS994">
        <v>37.04</v>
      </c>
      <c r="BT994">
        <v>0</v>
      </c>
      <c r="BV994">
        <v>0</v>
      </c>
      <c r="BW994" t="s">
        <v>655</v>
      </c>
      <c r="BX994">
        <v>0.17</v>
      </c>
      <c r="BY994">
        <v>6.2968000000000002</v>
      </c>
      <c r="BZ994">
        <v>0</v>
      </c>
      <c r="CA994">
        <v>1</v>
      </c>
      <c r="CB994">
        <v>0.6</v>
      </c>
      <c r="CC994" s="3">
        <v>7.1269159999999998E-2</v>
      </c>
      <c r="CD994">
        <v>2.875</v>
      </c>
      <c r="CE994">
        <v>2.5</v>
      </c>
      <c r="CF994">
        <v>18</v>
      </c>
      <c r="CG994">
        <v>6</v>
      </c>
      <c r="CH994">
        <v>0</v>
      </c>
      <c r="CI994">
        <v>37.04</v>
      </c>
      <c r="CJ994">
        <v>201.94540000000001</v>
      </c>
    </row>
    <row r="995" spans="1:88">
      <c r="A995">
        <v>994</v>
      </c>
      <c r="B995" t="s">
        <v>0</v>
      </c>
      <c r="C995" t="s">
        <v>1</v>
      </c>
      <c r="D995" t="s">
        <v>341</v>
      </c>
      <c r="E995" t="s">
        <v>8</v>
      </c>
      <c r="F995" t="s">
        <v>343</v>
      </c>
      <c r="G995" t="s">
        <v>106</v>
      </c>
      <c r="H995" t="s">
        <v>344</v>
      </c>
      <c r="J995">
        <v>2</v>
      </c>
      <c r="K995" t="s">
        <v>146</v>
      </c>
      <c r="L995" t="s">
        <v>10</v>
      </c>
      <c r="M995" t="s">
        <v>11</v>
      </c>
      <c r="N995" t="s">
        <v>12</v>
      </c>
      <c r="O995">
        <v>203</v>
      </c>
      <c r="Q995">
        <v>414</v>
      </c>
      <c r="R995">
        <v>52</v>
      </c>
      <c r="S995">
        <v>4.25</v>
      </c>
      <c r="T995">
        <v>5.2460000000000004</v>
      </c>
      <c r="U995">
        <v>7.35</v>
      </c>
      <c r="V995">
        <v>1761.41</v>
      </c>
      <c r="W995">
        <v>382</v>
      </c>
      <c r="X995">
        <v>1.5</v>
      </c>
      <c r="Y995">
        <v>261</v>
      </c>
      <c r="Z995">
        <v>6.74</v>
      </c>
      <c r="AJ995">
        <v>2</v>
      </c>
      <c r="AK995">
        <v>18</v>
      </c>
      <c r="AM995">
        <v>0</v>
      </c>
      <c r="AO995" t="s">
        <v>347</v>
      </c>
      <c r="AT995">
        <v>76</v>
      </c>
      <c r="AV995">
        <v>27.4</v>
      </c>
      <c r="AW995">
        <v>0</v>
      </c>
      <c r="AX995">
        <v>0</v>
      </c>
      <c r="AY995">
        <v>77.625</v>
      </c>
      <c r="AZ995">
        <v>6.375</v>
      </c>
      <c r="BA995">
        <v>0</v>
      </c>
      <c r="BB995">
        <v>0</v>
      </c>
      <c r="BC995">
        <v>83</v>
      </c>
      <c r="BN995">
        <v>128.4</v>
      </c>
      <c r="BO995">
        <v>6294</v>
      </c>
      <c r="BP995">
        <v>0</v>
      </c>
      <c r="BQ995">
        <v>70</v>
      </c>
      <c r="BR995">
        <v>70</v>
      </c>
      <c r="BS995">
        <v>69.730009999999993</v>
      </c>
      <c r="BT995">
        <v>0</v>
      </c>
      <c r="BV995">
        <v>0</v>
      </c>
      <c r="BW995" t="s">
        <v>655</v>
      </c>
      <c r="BX995">
        <v>0.17</v>
      </c>
      <c r="BY995">
        <v>11.854100000000001</v>
      </c>
      <c r="BZ995">
        <v>0</v>
      </c>
      <c r="CA995">
        <v>1</v>
      </c>
      <c r="CB995">
        <v>0.6</v>
      </c>
      <c r="CC995" s="3">
        <v>7.1269159999999998E-2</v>
      </c>
      <c r="CD995">
        <v>2.875</v>
      </c>
      <c r="CE995">
        <v>2.5</v>
      </c>
      <c r="CF995">
        <v>18</v>
      </c>
      <c r="CG995">
        <v>6</v>
      </c>
      <c r="CH995">
        <v>0</v>
      </c>
      <c r="CI995">
        <v>69.730009999999993</v>
      </c>
      <c r="CJ995">
        <v>375.2047</v>
      </c>
    </row>
    <row r="996" spans="1:88">
      <c r="A996">
        <v>995</v>
      </c>
      <c r="B996" t="s">
        <v>13</v>
      </c>
      <c r="C996" t="s">
        <v>1</v>
      </c>
      <c r="D996" t="s">
        <v>104</v>
      </c>
      <c r="E996" t="s">
        <v>113</v>
      </c>
      <c r="F996" t="s">
        <v>337</v>
      </c>
      <c r="G996" t="s">
        <v>15</v>
      </c>
      <c r="H996" t="s">
        <v>398</v>
      </c>
      <c r="J996">
        <v>2</v>
      </c>
      <c r="K996" t="s">
        <v>108</v>
      </c>
      <c r="L996" t="s">
        <v>116</v>
      </c>
      <c r="M996" t="s">
        <v>117</v>
      </c>
      <c r="N996" t="s">
        <v>14</v>
      </c>
      <c r="O996">
        <v>179</v>
      </c>
      <c r="Q996">
        <v>882</v>
      </c>
      <c r="R996">
        <v>116</v>
      </c>
      <c r="S996">
        <v>4.25</v>
      </c>
      <c r="T996">
        <v>4.7190000000000003</v>
      </c>
      <c r="U996">
        <v>7.05</v>
      </c>
      <c r="V996">
        <v>3747.05</v>
      </c>
      <c r="W996">
        <v>818</v>
      </c>
      <c r="X996">
        <v>1.3332999999999999</v>
      </c>
      <c r="Y996">
        <v>619</v>
      </c>
      <c r="Z996">
        <v>6.05</v>
      </c>
      <c r="AJ996">
        <v>2</v>
      </c>
      <c r="AK996">
        <v>18</v>
      </c>
      <c r="AM996">
        <v>0</v>
      </c>
      <c r="AO996" t="s">
        <v>170</v>
      </c>
      <c r="AT996">
        <v>68</v>
      </c>
      <c r="AV996">
        <v>66.7</v>
      </c>
      <c r="AW996" t="s">
        <v>6</v>
      </c>
      <c r="AX996" t="s">
        <v>6</v>
      </c>
      <c r="AY996" t="s">
        <v>6</v>
      </c>
      <c r="AZ996" t="s">
        <v>6</v>
      </c>
      <c r="BA996" t="s">
        <v>6</v>
      </c>
      <c r="BB996" t="s">
        <v>6</v>
      </c>
      <c r="BC996" t="s">
        <v>6</v>
      </c>
      <c r="BD996" t="s">
        <v>6</v>
      </c>
      <c r="BE996" t="s">
        <v>6</v>
      </c>
      <c r="BF996" t="s">
        <v>6</v>
      </c>
      <c r="BG996" t="s">
        <v>6</v>
      </c>
      <c r="BH996" t="s">
        <v>6</v>
      </c>
      <c r="BI996" t="s">
        <v>6</v>
      </c>
      <c r="BJ996" t="s">
        <v>6</v>
      </c>
      <c r="BN996">
        <v>568.27359999999999</v>
      </c>
      <c r="BO996">
        <v>3387</v>
      </c>
      <c r="BP996">
        <v>0</v>
      </c>
      <c r="BQ996">
        <v>61</v>
      </c>
      <c r="BR996">
        <v>61</v>
      </c>
      <c r="BS996">
        <v>61.39</v>
      </c>
      <c r="BT996">
        <v>0</v>
      </c>
      <c r="BV996">
        <v>0</v>
      </c>
      <c r="BW996" t="s">
        <v>655</v>
      </c>
      <c r="BX996">
        <v>0.17</v>
      </c>
      <c r="BY996">
        <v>10.436299999999999</v>
      </c>
      <c r="BZ996">
        <v>0</v>
      </c>
      <c r="CA996">
        <v>1</v>
      </c>
      <c r="CB996">
        <v>0.6</v>
      </c>
      <c r="CC996" s="3">
        <v>7.1269159999999998E-2</v>
      </c>
      <c r="CD996">
        <v>2.875</v>
      </c>
      <c r="CE996">
        <v>2.5</v>
      </c>
      <c r="CF996">
        <v>18</v>
      </c>
      <c r="CG996">
        <v>6</v>
      </c>
      <c r="CH996">
        <v>0</v>
      </c>
      <c r="CI996">
        <v>61.39</v>
      </c>
      <c r="CJ996">
        <v>804.4923</v>
      </c>
    </row>
    <row r="997" spans="1:88">
      <c r="A997">
        <v>996</v>
      </c>
      <c r="B997" t="s">
        <v>0</v>
      </c>
      <c r="C997" t="s">
        <v>1</v>
      </c>
      <c r="D997" t="s">
        <v>123</v>
      </c>
      <c r="E997" t="s">
        <v>139</v>
      </c>
      <c r="F997" t="s">
        <v>118</v>
      </c>
      <c r="G997" t="s">
        <v>106</v>
      </c>
      <c r="H997" t="s">
        <v>386</v>
      </c>
      <c r="J997">
        <v>2</v>
      </c>
      <c r="K997" t="s">
        <v>108</v>
      </c>
      <c r="L997" t="s">
        <v>158</v>
      </c>
      <c r="M997" t="s">
        <v>385</v>
      </c>
      <c r="N997" t="s">
        <v>177</v>
      </c>
      <c r="O997">
        <v>109</v>
      </c>
      <c r="Q997">
        <v>534</v>
      </c>
      <c r="R997">
        <v>111</v>
      </c>
      <c r="S997">
        <v>4.25</v>
      </c>
      <c r="T997">
        <v>3.024</v>
      </c>
      <c r="U997">
        <v>6.11</v>
      </c>
      <c r="V997">
        <v>2271.2399999999998</v>
      </c>
      <c r="W997">
        <v>678</v>
      </c>
      <c r="X997">
        <v>1.3332999999999999</v>
      </c>
      <c r="Y997">
        <v>522</v>
      </c>
      <c r="Z997">
        <v>4.3499999999999996</v>
      </c>
      <c r="AJ997">
        <v>2</v>
      </c>
      <c r="AK997">
        <v>18</v>
      </c>
      <c r="AM997">
        <v>0</v>
      </c>
      <c r="AO997" t="s">
        <v>357</v>
      </c>
      <c r="AT997">
        <v>43</v>
      </c>
      <c r="AV997">
        <v>63.8</v>
      </c>
      <c r="AW997">
        <v>0.46875</v>
      </c>
      <c r="AX997">
        <v>3.75</v>
      </c>
      <c r="AY997">
        <v>44.75</v>
      </c>
      <c r="AZ997">
        <v>4.125</v>
      </c>
      <c r="BA997">
        <v>453.06</v>
      </c>
      <c r="BB997">
        <v>4.3499999999999996</v>
      </c>
      <c r="BC997">
        <v>48</v>
      </c>
      <c r="BD997">
        <v>0.25</v>
      </c>
      <c r="BE997">
        <v>2.75</v>
      </c>
      <c r="BF997">
        <v>16.625</v>
      </c>
      <c r="BG997">
        <v>2.125</v>
      </c>
      <c r="BH997">
        <v>69.06</v>
      </c>
      <c r="BI997">
        <v>4.96</v>
      </c>
      <c r="BJ997">
        <v>7</v>
      </c>
      <c r="BL997">
        <v>522.12</v>
      </c>
      <c r="BM997">
        <v>55</v>
      </c>
      <c r="BN997">
        <v>306.73340000000002</v>
      </c>
      <c r="BO997">
        <v>1103</v>
      </c>
      <c r="BP997">
        <v>0</v>
      </c>
      <c r="BQ997">
        <v>37</v>
      </c>
      <c r="BR997">
        <v>37</v>
      </c>
      <c r="BS997">
        <v>37.04</v>
      </c>
      <c r="BT997">
        <v>0</v>
      </c>
      <c r="BV997">
        <v>0</v>
      </c>
      <c r="BW997" t="s">
        <v>655</v>
      </c>
      <c r="BX997">
        <v>0.17</v>
      </c>
      <c r="BY997">
        <v>6.2968000000000002</v>
      </c>
      <c r="BZ997">
        <v>0</v>
      </c>
      <c r="CA997">
        <v>1</v>
      </c>
      <c r="CB997">
        <v>0.6</v>
      </c>
      <c r="CC997" s="3">
        <v>7.1269159999999998E-2</v>
      </c>
      <c r="CD997">
        <v>2.875</v>
      </c>
      <c r="CE997">
        <v>2.5</v>
      </c>
      <c r="CF997">
        <v>18</v>
      </c>
      <c r="CG997">
        <v>6</v>
      </c>
      <c r="CH997">
        <v>0</v>
      </c>
      <c r="CI997">
        <v>37.04</v>
      </c>
      <c r="CJ997">
        <v>464.2765</v>
      </c>
    </row>
    <row r="998" spans="1:88">
      <c r="A998">
        <v>997</v>
      </c>
      <c r="B998" t="s">
        <v>13</v>
      </c>
      <c r="C998" t="s">
        <v>1</v>
      </c>
      <c r="D998" t="s">
        <v>305</v>
      </c>
      <c r="E998" t="s">
        <v>113</v>
      </c>
      <c r="F998" t="s">
        <v>452</v>
      </c>
      <c r="G998" t="s">
        <v>15</v>
      </c>
      <c r="H998" t="s">
        <v>639</v>
      </c>
      <c r="J998">
        <v>2</v>
      </c>
      <c r="K998" t="s">
        <v>108</v>
      </c>
      <c r="L998" t="s">
        <v>116</v>
      </c>
      <c r="M998" t="s">
        <v>117</v>
      </c>
      <c r="N998" t="s">
        <v>14</v>
      </c>
      <c r="O998">
        <v>179</v>
      </c>
      <c r="Q998">
        <v>962</v>
      </c>
      <c r="R998">
        <v>127</v>
      </c>
      <c r="S998">
        <v>4.25</v>
      </c>
      <c r="T998">
        <v>4.7190000000000003</v>
      </c>
      <c r="U998">
        <v>7.05</v>
      </c>
      <c r="V998">
        <v>4089.39</v>
      </c>
      <c r="W998">
        <v>894</v>
      </c>
      <c r="X998">
        <v>1.3332999999999999</v>
      </c>
      <c r="Y998">
        <v>676</v>
      </c>
      <c r="Z998">
        <v>6.05</v>
      </c>
      <c r="AJ998">
        <v>2</v>
      </c>
      <c r="AK998">
        <v>18</v>
      </c>
      <c r="AM998">
        <v>0</v>
      </c>
      <c r="AO998" t="s">
        <v>387</v>
      </c>
      <c r="AT998">
        <v>68</v>
      </c>
      <c r="AV998">
        <v>72.900000000000006</v>
      </c>
      <c r="AW998" t="s">
        <v>6</v>
      </c>
      <c r="AX998" t="s">
        <v>6</v>
      </c>
      <c r="AY998" t="s">
        <v>6</v>
      </c>
      <c r="AZ998" t="s">
        <v>6</v>
      </c>
      <c r="BA998" t="s">
        <v>6</v>
      </c>
      <c r="BB998" t="s">
        <v>6</v>
      </c>
      <c r="BC998" t="s">
        <v>6</v>
      </c>
      <c r="BD998" t="s">
        <v>6</v>
      </c>
      <c r="BE998" t="s">
        <v>6</v>
      </c>
      <c r="BF998" t="s">
        <v>6</v>
      </c>
      <c r="BG998" t="s">
        <v>6</v>
      </c>
      <c r="BH998" t="s">
        <v>6</v>
      </c>
      <c r="BI998" t="s">
        <v>6</v>
      </c>
      <c r="BJ998" t="s">
        <v>6</v>
      </c>
      <c r="BN998">
        <v>621.94380000000001</v>
      </c>
      <c r="BO998">
        <v>2828</v>
      </c>
      <c r="BP998">
        <v>0</v>
      </c>
      <c r="BQ998">
        <v>61</v>
      </c>
      <c r="BR998">
        <v>61</v>
      </c>
      <c r="BS998">
        <v>61.39</v>
      </c>
      <c r="BT998">
        <v>0</v>
      </c>
      <c r="BV998">
        <v>0</v>
      </c>
      <c r="BW998" t="s">
        <v>655</v>
      </c>
      <c r="BX998">
        <v>0.17</v>
      </c>
      <c r="BY998">
        <v>10.436299999999999</v>
      </c>
      <c r="BZ998">
        <v>0</v>
      </c>
      <c r="CA998">
        <v>1</v>
      </c>
      <c r="CB998">
        <v>0.6</v>
      </c>
      <c r="CC998" s="3">
        <v>7.1269159999999998E-2</v>
      </c>
      <c r="CD998">
        <v>2.875</v>
      </c>
      <c r="CE998">
        <v>2.5</v>
      </c>
      <c r="CF998">
        <v>18</v>
      </c>
      <c r="CG998">
        <v>6</v>
      </c>
      <c r="CH998">
        <v>0</v>
      </c>
      <c r="CI998">
        <v>61.39</v>
      </c>
      <c r="CJ998">
        <v>878.87099999999998</v>
      </c>
    </row>
    <row r="999" spans="1:88">
      <c r="A999">
        <v>998</v>
      </c>
      <c r="B999" t="s">
        <v>0</v>
      </c>
      <c r="C999" t="s">
        <v>1</v>
      </c>
      <c r="D999" t="s">
        <v>8</v>
      </c>
      <c r="E999" t="s">
        <v>399</v>
      </c>
      <c r="F999" t="s">
        <v>246</v>
      </c>
      <c r="G999" t="s">
        <v>214</v>
      </c>
      <c r="H999" t="s">
        <v>247</v>
      </c>
      <c r="J999">
        <v>2</v>
      </c>
      <c r="K999" t="s">
        <v>108</v>
      </c>
      <c r="L999" t="s">
        <v>172</v>
      </c>
      <c r="M999" t="s">
        <v>463</v>
      </c>
      <c r="N999" t="s">
        <v>229</v>
      </c>
      <c r="O999">
        <v>117</v>
      </c>
      <c r="Q999">
        <v>634</v>
      </c>
      <c r="R999">
        <v>124</v>
      </c>
      <c r="S999">
        <v>4.25</v>
      </c>
      <c r="T999">
        <v>3.2320000000000002</v>
      </c>
      <c r="U999">
        <v>6.26</v>
      </c>
      <c r="V999">
        <v>2693.43</v>
      </c>
      <c r="W999">
        <v>774</v>
      </c>
      <c r="X999">
        <v>1.3332999999999999</v>
      </c>
      <c r="Y999">
        <v>591</v>
      </c>
      <c r="Z999">
        <v>4.5599999999999996</v>
      </c>
      <c r="AJ999">
        <v>2</v>
      </c>
      <c r="AK999">
        <v>18</v>
      </c>
      <c r="AM999">
        <v>0</v>
      </c>
      <c r="AO999" t="s">
        <v>250</v>
      </c>
      <c r="AT999">
        <v>46</v>
      </c>
      <c r="AV999">
        <v>71.099999999999994</v>
      </c>
      <c r="AW999" t="s">
        <v>6</v>
      </c>
      <c r="AX999" t="s">
        <v>6</v>
      </c>
      <c r="AY999" t="s">
        <v>6</v>
      </c>
      <c r="AZ999" t="s">
        <v>6</v>
      </c>
      <c r="BA999" t="s">
        <v>6</v>
      </c>
      <c r="BB999" t="s">
        <v>6</v>
      </c>
      <c r="BC999" t="s">
        <v>6</v>
      </c>
      <c r="BD999" t="s">
        <v>6</v>
      </c>
      <c r="BE999" t="s">
        <v>6</v>
      </c>
      <c r="BF999" t="s">
        <v>6</v>
      </c>
      <c r="BG999" t="s">
        <v>6</v>
      </c>
      <c r="BH999" t="s">
        <v>6</v>
      </c>
      <c r="BI999" t="s">
        <v>6</v>
      </c>
      <c r="BJ999" t="s">
        <v>6</v>
      </c>
      <c r="BN999">
        <v>345.28</v>
      </c>
      <c r="BO999">
        <v>1092</v>
      </c>
      <c r="BP999">
        <v>0</v>
      </c>
      <c r="BQ999">
        <v>40</v>
      </c>
      <c r="BR999">
        <v>40</v>
      </c>
      <c r="BS999">
        <v>39.82</v>
      </c>
      <c r="BT999">
        <v>0</v>
      </c>
      <c r="BV999">
        <v>0</v>
      </c>
      <c r="BW999" t="s">
        <v>655</v>
      </c>
      <c r="BX999">
        <v>0.17</v>
      </c>
      <c r="BY999">
        <v>6.7694000000000001</v>
      </c>
      <c r="BZ999">
        <v>0</v>
      </c>
      <c r="CA999">
        <v>1</v>
      </c>
      <c r="CB999">
        <v>0.6</v>
      </c>
      <c r="CC999" s="3">
        <v>7.1269159999999998E-2</v>
      </c>
      <c r="CD999">
        <v>2.875</v>
      </c>
      <c r="CE999">
        <v>2.5</v>
      </c>
      <c r="CF999">
        <v>18</v>
      </c>
      <c r="CG999">
        <v>6</v>
      </c>
      <c r="CH999">
        <v>0</v>
      </c>
      <c r="CI999">
        <v>39.82</v>
      </c>
      <c r="CJ999">
        <v>555.88109999999995</v>
      </c>
    </row>
    <row r="1000" spans="1:88">
      <c r="A1000">
        <v>999</v>
      </c>
      <c r="B1000" t="s">
        <v>0</v>
      </c>
      <c r="C1000" t="s">
        <v>1</v>
      </c>
      <c r="D1000" t="s">
        <v>145</v>
      </c>
      <c r="E1000" t="s">
        <v>251</v>
      </c>
      <c r="F1000" t="s">
        <v>206</v>
      </c>
      <c r="G1000" t="s">
        <v>106</v>
      </c>
      <c r="H1000" t="s">
        <v>207</v>
      </c>
      <c r="J1000">
        <v>2</v>
      </c>
      <c r="K1000" t="s">
        <v>146</v>
      </c>
      <c r="L1000" t="s">
        <v>253</v>
      </c>
      <c r="M1000" t="s">
        <v>254</v>
      </c>
      <c r="N1000" t="s">
        <v>255</v>
      </c>
      <c r="O1000">
        <v>177</v>
      </c>
      <c r="Q1000">
        <v>697</v>
      </c>
      <c r="R1000">
        <v>94</v>
      </c>
      <c r="S1000">
        <v>4.25</v>
      </c>
      <c r="T1000">
        <v>4.6740000000000004</v>
      </c>
      <c r="U1000">
        <v>7.05</v>
      </c>
      <c r="V1000">
        <v>2962.84</v>
      </c>
      <c r="W1000">
        <v>663</v>
      </c>
      <c r="X1000">
        <v>1.3332999999999999</v>
      </c>
      <c r="Y1000">
        <v>494</v>
      </c>
      <c r="Z1000">
        <v>6</v>
      </c>
      <c r="AJ1000">
        <v>2</v>
      </c>
      <c r="AK1000">
        <v>18</v>
      </c>
      <c r="AM1000">
        <v>0</v>
      </c>
      <c r="AO1000" t="s">
        <v>211</v>
      </c>
      <c r="AT1000">
        <v>67</v>
      </c>
      <c r="AV1000">
        <v>53.1</v>
      </c>
      <c r="AW1000">
        <v>0.4375</v>
      </c>
      <c r="AX1000">
        <v>3.75</v>
      </c>
      <c r="AY1000">
        <v>52.375</v>
      </c>
      <c r="AZ1000">
        <v>5.25</v>
      </c>
      <c r="BA1000">
        <v>271.58999999999997</v>
      </c>
      <c r="BB1000">
        <v>6.05</v>
      </c>
      <c r="BC1000">
        <v>53</v>
      </c>
      <c r="BD1000">
        <v>0.40625</v>
      </c>
      <c r="BE1000">
        <v>3.75</v>
      </c>
      <c r="BF1000">
        <v>43.75</v>
      </c>
      <c r="BG1000">
        <v>4.875</v>
      </c>
      <c r="BH1000">
        <v>222.21</v>
      </c>
      <c r="BI1000">
        <v>5.96</v>
      </c>
      <c r="BJ1000">
        <v>42</v>
      </c>
      <c r="BL1000">
        <v>493.8</v>
      </c>
      <c r="BM1000">
        <v>94</v>
      </c>
      <c r="BN1000">
        <v>255.01669999999999</v>
      </c>
      <c r="BO1000">
        <v>1596</v>
      </c>
      <c r="BP1000">
        <v>0</v>
      </c>
      <c r="BQ1000">
        <v>61</v>
      </c>
      <c r="BR1000">
        <v>61</v>
      </c>
      <c r="BS1000">
        <v>60.69</v>
      </c>
      <c r="BT1000">
        <v>0</v>
      </c>
      <c r="BV1000">
        <v>0</v>
      </c>
      <c r="BW1000" t="s">
        <v>655</v>
      </c>
      <c r="BX1000">
        <v>0.17</v>
      </c>
      <c r="BY1000">
        <v>10.317299999999999</v>
      </c>
      <c r="BZ1000">
        <v>0</v>
      </c>
      <c r="CA1000">
        <v>1</v>
      </c>
      <c r="CB1000">
        <v>0.6</v>
      </c>
      <c r="CC1000" s="3">
        <v>7.1269159999999998E-2</v>
      </c>
      <c r="CD1000">
        <v>2.875</v>
      </c>
      <c r="CE1000">
        <v>2.5</v>
      </c>
      <c r="CF1000">
        <v>18</v>
      </c>
      <c r="CG1000">
        <v>6</v>
      </c>
      <c r="CH1000">
        <v>0</v>
      </c>
      <c r="CI1000">
        <v>60.69</v>
      </c>
      <c r="CJ1000">
        <v>633.66010000000006</v>
      </c>
    </row>
    <row r="1001" spans="1:88">
      <c r="A1001">
        <v>1000</v>
      </c>
      <c r="B1001" t="s">
        <v>0</v>
      </c>
      <c r="C1001" t="s">
        <v>1</v>
      </c>
      <c r="D1001" t="s">
        <v>135</v>
      </c>
      <c r="E1001" t="s">
        <v>253</v>
      </c>
      <c r="F1001" t="s">
        <v>137</v>
      </c>
      <c r="G1001" t="s">
        <v>106</v>
      </c>
      <c r="H1001" t="s">
        <v>138</v>
      </c>
      <c r="J1001">
        <v>2</v>
      </c>
      <c r="K1001" t="s">
        <v>146</v>
      </c>
      <c r="L1001" t="s">
        <v>287</v>
      </c>
      <c r="M1001" t="s">
        <v>633</v>
      </c>
      <c r="N1001" t="s">
        <v>276</v>
      </c>
      <c r="O1001">
        <v>197</v>
      </c>
      <c r="Q1001">
        <v>341</v>
      </c>
      <c r="R1001">
        <v>41</v>
      </c>
      <c r="S1001">
        <v>4.25</v>
      </c>
      <c r="T1001">
        <v>5.117</v>
      </c>
      <c r="U1001">
        <v>7.35</v>
      </c>
      <c r="V1001">
        <v>1447.93</v>
      </c>
      <c r="W1001">
        <v>304</v>
      </c>
      <c r="X1001">
        <v>1.3332999999999999</v>
      </c>
      <c r="Y1001">
        <v>224</v>
      </c>
      <c r="Z1001">
        <v>6.45</v>
      </c>
      <c r="AJ1001">
        <v>2</v>
      </c>
      <c r="AK1001">
        <v>18</v>
      </c>
      <c r="AM1001">
        <v>0</v>
      </c>
      <c r="AO1001" t="s">
        <v>142</v>
      </c>
      <c r="AT1001">
        <v>74</v>
      </c>
      <c r="AV1001">
        <v>23</v>
      </c>
      <c r="AW1001">
        <v>0</v>
      </c>
      <c r="AX1001">
        <v>0</v>
      </c>
      <c r="AY1001">
        <v>63.375</v>
      </c>
      <c r="AZ1001">
        <v>5.625</v>
      </c>
      <c r="BA1001">
        <v>0</v>
      </c>
      <c r="BB1001">
        <v>0</v>
      </c>
      <c r="BC1001">
        <v>64</v>
      </c>
      <c r="BN1001">
        <v>107</v>
      </c>
      <c r="BO1001">
        <v>9064</v>
      </c>
      <c r="BP1001">
        <v>0</v>
      </c>
      <c r="BQ1001">
        <v>68</v>
      </c>
      <c r="BR1001">
        <v>68</v>
      </c>
      <c r="BS1001">
        <v>67.650000000000006</v>
      </c>
      <c r="BT1001">
        <v>0</v>
      </c>
      <c r="BV1001">
        <v>0</v>
      </c>
      <c r="BW1001" t="s">
        <v>655</v>
      </c>
      <c r="BX1001">
        <v>0.17</v>
      </c>
      <c r="BY1001">
        <v>11.500500000000001</v>
      </c>
      <c r="BZ1001">
        <v>0</v>
      </c>
      <c r="CA1001">
        <v>1</v>
      </c>
      <c r="CB1001">
        <v>0.6</v>
      </c>
      <c r="CC1001" s="3">
        <v>7.1269159999999998E-2</v>
      </c>
      <c r="CD1001">
        <v>2.875</v>
      </c>
      <c r="CE1001">
        <v>2.5</v>
      </c>
      <c r="CF1001">
        <v>18</v>
      </c>
      <c r="CG1001">
        <v>6</v>
      </c>
      <c r="CH1001">
        <v>0</v>
      </c>
      <c r="CI1001">
        <v>67.650000000000006</v>
      </c>
      <c r="CJ1001">
        <v>306.15629999999999</v>
      </c>
    </row>
    <row r="1002" spans="1:88">
      <c r="A1002">
        <v>1001</v>
      </c>
      <c r="B1002" t="s">
        <v>13</v>
      </c>
      <c r="C1002" t="s">
        <v>1</v>
      </c>
      <c r="D1002" t="s">
        <v>628</v>
      </c>
      <c r="E1002" t="s">
        <v>212</v>
      </c>
      <c r="F1002" t="s">
        <v>715</v>
      </c>
      <c r="G1002" t="s">
        <v>15</v>
      </c>
      <c r="H1002" t="s">
        <v>628</v>
      </c>
      <c r="J1002">
        <v>2</v>
      </c>
      <c r="K1002" t="s">
        <v>9</v>
      </c>
      <c r="L1002" t="s">
        <v>425</v>
      </c>
      <c r="M1002" t="s">
        <v>453</v>
      </c>
      <c r="N1002" t="s">
        <v>454</v>
      </c>
      <c r="O1002">
        <v>195</v>
      </c>
      <c r="Q1002">
        <v>1184</v>
      </c>
      <c r="R1002">
        <v>143</v>
      </c>
      <c r="S1002">
        <v>4.25</v>
      </c>
      <c r="T1002">
        <v>5.0730000000000004</v>
      </c>
      <c r="U1002">
        <v>7.35</v>
      </c>
      <c r="V1002">
        <v>5030.17</v>
      </c>
      <c r="W1002">
        <v>1052</v>
      </c>
      <c r="X1002">
        <v>1.3332999999999999</v>
      </c>
      <c r="Y1002">
        <v>786</v>
      </c>
      <c r="Z1002">
        <v>6.4</v>
      </c>
      <c r="AJ1002">
        <v>2</v>
      </c>
      <c r="AK1002">
        <v>18</v>
      </c>
      <c r="AM1002">
        <v>0</v>
      </c>
      <c r="AO1002" t="s">
        <v>716</v>
      </c>
      <c r="AT1002">
        <v>73</v>
      </c>
      <c r="AV1002">
        <v>82.3</v>
      </c>
      <c r="AW1002" t="s">
        <v>6</v>
      </c>
      <c r="AX1002" t="s">
        <v>6</v>
      </c>
      <c r="AY1002" t="s">
        <v>6</v>
      </c>
      <c r="AZ1002" t="s">
        <v>6</v>
      </c>
      <c r="BA1002" t="s">
        <v>6</v>
      </c>
      <c r="BB1002" t="s">
        <v>6</v>
      </c>
      <c r="BC1002" t="s">
        <v>6</v>
      </c>
      <c r="BD1002" t="s">
        <v>6</v>
      </c>
      <c r="BE1002" t="s">
        <v>6</v>
      </c>
      <c r="BF1002" t="s">
        <v>6</v>
      </c>
      <c r="BG1002" t="s">
        <v>6</v>
      </c>
      <c r="BH1002" t="s">
        <v>6</v>
      </c>
      <c r="BI1002" t="s">
        <v>6</v>
      </c>
      <c r="BJ1002" t="s">
        <v>6</v>
      </c>
      <c r="BN1002">
        <v>704.02779999999996</v>
      </c>
      <c r="BO1002">
        <v>2207</v>
      </c>
      <c r="BP1002">
        <v>0</v>
      </c>
      <c r="BQ1002">
        <v>67</v>
      </c>
      <c r="BR1002">
        <v>67</v>
      </c>
      <c r="BS1002">
        <v>66.95</v>
      </c>
      <c r="BT1002">
        <v>0</v>
      </c>
      <c r="BV1002">
        <v>6</v>
      </c>
      <c r="BW1002" t="s">
        <v>655</v>
      </c>
      <c r="BX1002">
        <v>0.27933340000000001</v>
      </c>
      <c r="BY1002">
        <v>18.701370000000001</v>
      </c>
      <c r="BZ1002">
        <v>0</v>
      </c>
      <c r="CA1002">
        <v>1</v>
      </c>
      <c r="CB1002">
        <v>0.6</v>
      </c>
      <c r="CC1002" s="3">
        <v>7.1269159999999998E-2</v>
      </c>
      <c r="CD1002">
        <v>2.875</v>
      </c>
      <c r="CE1002">
        <v>2.5</v>
      </c>
      <c r="CF1002">
        <v>18</v>
      </c>
      <c r="CG1002">
        <v>6</v>
      </c>
      <c r="CH1002">
        <v>0</v>
      </c>
      <c r="CI1002">
        <v>66.95</v>
      </c>
      <c r="CJ1002">
        <v>1082.527</v>
      </c>
    </row>
    <row r="1003" spans="1:88">
      <c r="A1003">
        <v>1002</v>
      </c>
      <c r="B1003" t="s">
        <v>0</v>
      </c>
      <c r="C1003" t="s">
        <v>1</v>
      </c>
      <c r="D1003" t="s">
        <v>96</v>
      </c>
      <c r="E1003" t="s">
        <v>2</v>
      </c>
      <c r="F1003" t="s">
        <v>198</v>
      </c>
      <c r="G1003" t="s">
        <v>106</v>
      </c>
      <c r="H1003" t="s">
        <v>162</v>
      </c>
      <c r="J1003">
        <v>2</v>
      </c>
      <c r="K1003" t="s">
        <v>146</v>
      </c>
      <c r="L1003" t="s">
        <v>122</v>
      </c>
      <c r="M1003" t="s">
        <v>4</v>
      </c>
      <c r="N1003" t="s">
        <v>5</v>
      </c>
      <c r="O1003">
        <v>107</v>
      </c>
      <c r="Q1003">
        <v>371</v>
      </c>
      <c r="R1003">
        <v>81</v>
      </c>
      <c r="S1003">
        <v>4.25</v>
      </c>
      <c r="T1003">
        <v>2.9710000000000001</v>
      </c>
      <c r="U1003">
        <v>6.07</v>
      </c>
      <c r="V1003">
        <v>1576.11</v>
      </c>
      <c r="W1003">
        <v>491</v>
      </c>
      <c r="X1003">
        <v>1.3332999999999999</v>
      </c>
      <c r="Y1003">
        <v>367</v>
      </c>
      <c r="Z1003">
        <v>4.3</v>
      </c>
      <c r="AJ1003">
        <v>2</v>
      </c>
      <c r="AK1003">
        <v>18</v>
      </c>
      <c r="AM1003">
        <v>0</v>
      </c>
      <c r="AO1003" t="s">
        <v>166</v>
      </c>
      <c r="AT1003">
        <v>42</v>
      </c>
      <c r="AV1003">
        <v>44.8</v>
      </c>
      <c r="AW1003">
        <v>0</v>
      </c>
      <c r="AX1003">
        <v>0</v>
      </c>
      <c r="AY1003">
        <v>38.875</v>
      </c>
      <c r="AZ1003">
        <v>3.75</v>
      </c>
      <c r="BA1003">
        <v>0</v>
      </c>
      <c r="BB1003">
        <v>0</v>
      </c>
      <c r="BC1003">
        <v>39</v>
      </c>
      <c r="BN1003">
        <v>214</v>
      </c>
      <c r="BO1003">
        <v>2266</v>
      </c>
      <c r="BP1003">
        <v>0</v>
      </c>
      <c r="BQ1003">
        <v>36</v>
      </c>
      <c r="BR1003">
        <v>36</v>
      </c>
      <c r="BS1003">
        <v>36.340000000000003</v>
      </c>
      <c r="BT1003">
        <v>0</v>
      </c>
      <c r="BV1003">
        <v>0</v>
      </c>
      <c r="BW1003" t="s">
        <v>655</v>
      </c>
      <c r="BX1003">
        <v>0.17</v>
      </c>
      <c r="BY1003">
        <v>6.1778000000000004</v>
      </c>
      <c r="BZ1003">
        <v>0</v>
      </c>
      <c r="CA1003">
        <v>1</v>
      </c>
      <c r="CB1003">
        <v>0.6</v>
      </c>
      <c r="CC1003" s="3">
        <v>7.1269159999999998E-2</v>
      </c>
      <c r="CD1003">
        <v>2.875</v>
      </c>
      <c r="CE1003">
        <v>2.5</v>
      </c>
      <c r="CF1003">
        <v>18</v>
      </c>
      <c r="CG1003">
        <v>6</v>
      </c>
      <c r="CH1003">
        <v>0</v>
      </c>
      <c r="CI1003">
        <v>36.340000000000003</v>
      </c>
      <c r="CJ1003">
        <v>319.8553</v>
      </c>
    </row>
    <row r="1004" spans="1:88">
      <c r="A1004">
        <v>1003</v>
      </c>
      <c r="B1004" t="s">
        <v>0</v>
      </c>
      <c r="C1004" t="s">
        <v>1</v>
      </c>
      <c r="D1004" t="s">
        <v>293</v>
      </c>
      <c r="E1004" t="s">
        <v>96</v>
      </c>
      <c r="F1004" t="s">
        <v>294</v>
      </c>
      <c r="G1004" t="s">
        <v>106</v>
      </c>
      <c r="H1004" t="s">
        <v>295</v>
      </c>
      <c r="J1004">
        <v>2</v>
      </c>
      <c r="K1004" t="s">
        <v>146</v>
      </c>
      <c r="L1004" t="s">
        <v>293</v>
      </c>
      <c r="M1004" t="s">
        <v>100</v>
      </c>
      <c r="N1004" t="s">
        <v>101</v>
      </c>
      <c r="O1004">
        <v>131</v>
      </c>
      <c r="Q1004">
        <v>517</v>
      </c>
      <c r="R1004">
        <v>92</v>
      </c>
      <c r="S1004">
        <v>4.25</v>
      </c>
      <c r="T1004">
        <v>3.5859999999999999</v>
      </c>
      <c r="U1004">
        <v>6.37</v>
      </c>
      <c r="V1004">
        <v>2196.0500000000002</v>
      </c>
      <c r="W1004">
        <v>588</v>
      </c>
      <c r="X1004">
        <v>1.3332999999999999</v>
      </c>
      <c r="Y1004">
        <v>447</v>
      </c>
      <c r="Z1004">
        <v>4.91</v>
      </c>
      <c r="AJ1004">
        <v>2</v>
      </c>
      <c r="AK1004">
        <v>18</v>
      </c>
      <c r="AM1004">
        <v>0</v>
      </c>
      <c r="AO1004" t="s">
        <v>296</v>
      </c>
      <c r="AT1004">
        <v>51</v>
      </c>
      <c r="AV1004">
        <v>52</v>
      </c>
      <c r="AW1004">
        <v>0.46875</v>
      </c>
      <c r="AX1004">
        <v>3.75</v>
      </c>
      <c r="AY1004">
        <v>50.5</v>
      </c>
      <c r="AZ1004">
        <v>4.625</v>
      </c>
      <c r="BA1004">
        <v>401.38</v>
      </c>
      <c r="BB1004">
        <v>4.91</v>
      </c>
      <c r="BC1004">
        <v>54</v>
      </c>
      <c r="BD1004">
        <v>0.25</v>
      </c>
      <c r="BE1004">
        <v>2.75</v>
      </c>
      <c r="BF1004">
        <v>25</v>
      </c>
      <c r="BG1004">
        <v>2.5</v>
      </c>
      <c r="BH1004">
        <v>45.88</v>
      </c>
      <c r="BI1004">
        <v>7.48</v>
      </c>
      <c r="BJ1004">
        <v>11</v>
      </c>
      <c r="BL1004">
        <v>447.26</v>
      </c>
      <c r="BM1004">
        <v>65</v>
      </c>
      <c r="BN1004">
        <v>249.66669999999999</v>
      </c>
      <c r="BO1004">
        <v>1665</v>
      </c>
      <c r="BP1004">
        <v>0</v>
      </c>
      <c r="BQ1004">
        <v>45</v>
      </c>
      <c r="BR1004">
        <v>45</v>
      </c>
      <c r="BS1004">
        <v>44.69</v>
      </c>
      <c r="BT1004">
        <v>0</v>
      </c>
      <c r="BV1004">
        <v>0</v>
      </c>
      <c r="BW1004" t="s">
        <v>655</v>
      </c>
      <c r="BX1004">
        <v>0.17</v>
      </c>
      <c r="BY1004">
        <v>7.5972999999999997</v>
      </c>
      <c r="BZ1004">
        <v>0</v>
      </c>
      <c r="CA1004">
        <v>1</v>
      </c>
      <c r="CB1004">
        <v>0.6</v>
      </c>
      <c r="CC1004" s="3">
        <v>7.1269159999999998E-2</v>
      </c>
      <c r="CD1004">
        <v>2.875</v>
      </c>
      <c r="CE1004">
        <v>2.5</v>
      </c>
      <c r="CF1004">
        <v>18</v>
      </c>
      <c r="CG1004">
        <v>6</v>
      </c>
      <c r="CH1004">
        <v>0</v>
      </c>
      <c r="CI1004">
        <v>44.69</v>
      </c>
      <c r="CJ1004">
        <v>457.05020000000002</v>
      </c>
    </row>
    <row r="1005" spans="1:88">
      <c r="A1005">
        <v>1004</v>
      </c>
      <c r="B1005" t="s">
        <v>13</v>
      </c>
      <c r="C1005" t="s">
        <v>1</v>
      </c>
      <c r="D1005" t="s">
        <v>5</v>
      </c>
      <c r="E1005" t="s">
        <v>136</v>
      </c>
      <c r="F1005" t="s">
        <v>159</v>
      </c>
      <c r="G1005" t="s">
        <v>106</v>
      </c>
      <c r="H1005" t="s">
        <v>139</v>
      </c>
      <c r="J1005">
        <v>2</v>
      </c>
      <c r="K1005" t="s">
        <v>146</v>
      </c>
      <c r="L1005" t="s">
        <v>150</v>
      </c>
      <c r="M1005" t="s">
        <v>140</v>
      </c>
      <c r="N1005" t="s">
        <v>141</v>
      </c>
      <c r="O1005">
        <v>91</v>
      </c>
      <c r="Q1005">
        <v>267</v>
      </c>
      <c r="R1005">
        <v>69</v>
      </c>
      <c r="S1005">
        <v>4.25</v>
      </c>
      <c r="T1005">
        <v>2.54</v>
      </c>
      <c r="U1005">
        <v>5.73</v>
      </c>
      <c r="V1005">
        <v>1135.93</v>
      </c>
      <c r="W1005">
        <v>394</v>
      </c>
      <c r="X1005">
        <v>1.3332999999999999</v>
      </c>
      <c r="Y1005">
        <v>294</v>
      </c>
      <c r="Z1005">
        <v>3.87</v>
      </c>
      <c r="AJ1005">
        <v>2</v>
      </c>
      <c r="AK1005">
        <v>18</v>
      </c>
      <c r="AM1005">
        <v>0</v>
      </c>
      <c r="AO1005" t="s">
        <v>385</v>
      </c>
      <c r="AT1005">
        <v>37</v>
      </c>
      <c r="AV1005">
        <v>37.200000000000003</v>
      </c>
      <c r="AW1005">
        <v>0</v>
      </c>
      <c r="AX1005">
        <v>0</v>
      </c>
      <c r="AY1005">
        <v>33.125</v>
      </c>
      <c r="AZ1005">
        <v>3.125</v>
      </c>
      <c r="BA1005">
        <v>0</v>
      </c>
      <c r="BB1005">
        <v>0</v>
      </c>
      <c r="BC1005">
        <v>31</v>
      </c>
      <c r="BN1005">
        <v>176.55</v>
      </c>
      <c r="BO1005">
        <v>3329</v>
      </c>
      <c r="BP1005">
        <v>0</v>
      </c>
      <c r="BQ1005">
        <v>31</v>
      </c>
      <c r="BR1005">
        <v>31</v>
      </c>
      <c r="BS1005">
        <v>30.78</v>
      </c>
      <c r="BT1005">
        <v>0</v>
      </c>
      <c r="BV1005">
        <v>0</v>
      </c>
      <c r="BW1005" t="s">
        <v>655</v>
      </c>
      <c r="BX1005">
        <v>0.17</v>
      </c>
      <c r="BY1005">
        <v>5.2325999999999997</v>
      </c>
      <c r="BZ1005">
        <v>0</v>
      </c>
      <c r="CA1005">
        <v>1</v>
      </c>
      <c r="CB1005">
        <v>0.6</v>
      </c>
      <c r="CC1005" s="3">
        <v>7.1269159999999998E-2</v>
      </c>
      <c r="CD1005">
        <v>2.875</v>
      </c>
      <c r="CE1005">
        <v>2.5</v>
      </c>
      <c r="CF1005">
        <v>18</v>
      </c>
      <c r="CG1005">
        <v>6</v>
      </c>
      <c r="CH1005">
        <v>0</v>
      </c>
      <c r="CI1005">
        <v>30.78</v>
      </c>
      <c r="CJ1005">
        <v>224.85059999999999</v>
      </c>
    </row>
    <row r="1006" spans="1:88">
      <c r="A1006">
        <v>1005</v>
      </c>
      <c r="B1006" t="s">
        <v>0</v>
      </c>
      <c r="C1006" t="s">
        <v>1</v>
      </c>
      <c r="D1006" t="s">
        <v>8</v>
      </c>
      <c r="E1006" t="s">
        <v>104</v>
      </c>
      <c r="F1006" t="s">
        <v>246</v>
      </c>
      <c r="G1006" t="s">
        <v>15</v>
      </c>
      <c r="H1006" t="s">
        <v>247</v>
      </c>
      <c r="J1006">
        <v>2</v>
      </c>
      <c r="K1006" t="s">
        <v>108</v>
      </c>
      <c r="L1006" t="s">
        <v>109</v>
      </c>
      <c r="M1006" t="s">
        <v>110</v>
      </c>
      <c r="N1006" t="s">
        <v>111</v>
      </c>
      <c r="O1006">
        <v>191</v>
      </c>
      <c r="Q1006">
        <v>997</v>
      </c>
      <c r="R1006">
        <v>124</v>
      </c>
      <c r="S1006">
        <v>4.25</v>
      </c>
      <c r="T1006">
        <v>4.9850000000000003</v>
      </c>
      <c r="U1006">
        <v>7.27</v>
      </c>
      <c r="V1006">
        <v>4239.16</v>
      </c>
      <c r="W1006">
        <v>899</v>
      </c>
      <c r="X1006">
        <v>1.3332999999999999</v>
      </c>
      <c r="Y1006">
        <v>672</v>
      </c>
      <c r="Z1006">
        <v>6.31</v>
      </c>
      <c r="AJ1006">
        <v>2</v>
      </c>
      <c r="AK1006">
        <v>18</v>
      </c>
      <c r="AM1006">
        <v>0</v>
      </c>
      <c r="AO1006" t="s">
        <v>250</v>
      </c>
      <c r="AT1006">
        <v>72</v>
      </c>
      <c r="AV1006">
        <v>71.099999999999994</v>
      </c>
      <c r="AW1006" t="s">
        <v>6</v>
      </c>
      <c r="AX1006" t="s">
        <v>6</v>
      </c>
      <c r="AY1006" t="s">
        <v>6</v>
      </c>
      <c r="AZ1006" t="s">
        <v>6</v>
      </c>
      <c r="BA1006" t="s">
        <v>6</v>
      </c>
      <c r="BB1006" t="s">
        <v>6</v>
      </c>
      <c r="BC1006" t="s">
        <v>6</v>
      </c>
      <c r="BD1006" t="s">
        <v>6</v>
      </c>
      <c r="BE1006" t="s">
        <v>6</v>
      </c>
      <c r="BF1006" t="s">
        <v>6</v>
      </c>
      <c r="BG1006" t="s">
        <v>6</v>
      </c>
      <c r="BH1006" t="s">
        <v>6</v>
      </c>
      <c r="BI1006" t="s">
        <v>6</v>
      </c>
      <c r="BJ1006" t="s">
        <v>6</v>
      </c>
      <c r="BN1006">
        <v>606.1585</v>
      </c>
      <c r="BO1006">
        <v>2977</v>
      </c>
      <c r="BP1006">
        <v>0</v>
      </c>
      <c r="BQ1006">
        <v>66</v>
      </c>
      <c r="BR1006">
        <v>66</v>
      </c>
      <c r="BS1006">
        <v>65.56</v>
      </c>
      <c r="BT1006">
        <v>0</v>
      </c>
      <c r="BV1006">
        <v>0</v>
      </c>
      <c r="BW1006" t="s">
        <v>655</v>
      </c>
      <c r="BX1006">
        <v>0.17</v>
      </c>
      <c r="BY1006">
        <v>11.145200000000001</v>
      </c>
      <c r="BZ1006">
        <v>0</v>
      </c>
      <c r="CA1006">
        <v>1</v>
      </c>
      <c r="CB1006">
        <v>0.6</v>
      </c>
      <c r="CC1006" s="3">
        <v>7.1269159999999998E-2</v>
      </c>
      <c r="CD1006">
        <v>2.875</v>
      </c>
      <c r="CE1006">
        <v>2.5</v>
      </c>
      <c r="CF1006">
        <v>18</v>
      </c>
      <c r="CG1006">
        <v>6</v>
      </c>
      <c r="CH1006">
        <v>0</v>
      </c>
      <c r="CI1006">
        <v>65.56</v>
      </c>
      <c r="CJ1006">
        <v>915.20740000000001</v>
      </c>
    </row>
    <row r="1007" spans="1:88">
      <c r="A1007">
        <v>1006</v>
      </c>
      <c r="B1007" t="s">
        <v>13</v>
      </c>
      <c r="C1007" t="s">
        <v>1</v>
      </c>
      <c r="D1007" t="s">
        <v>181</v>
      </c>
      <c r="E1007" t="s">
        <v>272</v>
      </c>
      <c r="F1007" t="s">
        <v>182</v>
      </c>
      <c r="G1007" t="s">
        <v>106</v>
      </c>
      <c r="H1007" t="s">
        <v>183</v>
      </c>
      <c r="J1007">
        <v>2</v>
      </c>
      <c r="K1007" t="s">
        <v>108</v>
      </c>
      <c r="L1007" t="s">
        <v>255</v>
      </c>
      <c r="M1007" t="s">
        <v>269</v>
      </c>
      <c r="N1007" t="s">
        <v>353</v>
      </c>
      <c r="O1007">
        <v>160</v>
      </c>
      <c r="Q1007">
        <v>666</v>
      </c>
      <c r="R1007">
        <v>98</v>
      </c>
      <c r="S1007">
        <v>4.25</v>
      </c>
      <c r="T1007">
        <v>4.2839999999999998</v>
      </c>
      <c r="U1007">
        <v>6.75</v>
      </c>
      <c r="V1007">
        <v>2830.07</v>
      </c>
      <c r="W1007">
        <v>663</v>
      </c>
      <c r="X1007">
        <v>1.3332999999999999</v>
      </c>
      <c r="Y1007">
        <v>504</v>
      </c>
      <c r="Z1007">
        <v>5.61</v>
      </c>
      <c r="AJ1007">
        <v>2</v>
      </c>
      <c r="AK1007">
        <v>18</v>
      </c>
      <c r="AM1007">
        <v>0</v>
      </c>
      <c r="AO1007" t="s">
        <v>186</v>
      </c>
      <c r="AT1007">
        <v>61</v>
      </c>
      <c r="AV1007">
        <v>55.8</v>
      </c>
      <c r="AW1007">
        <v>0.4375</v>
      </c>
      <c r="AX1007">
        <v>3.75</v>
      </c>
      <c r="AY1007">
        <v>51.25</v>
      </c>
      <c r="AZ1007">
        <v>4.875</v>
      </c>
      <c r="BA1007">
        <v>277.45</v>
      </c>
      <c r="BB1007">
        <v>5.93</v>
      </c>
      <c r="BC1007">
        <v>52</v>
      </c>
      <c r="BD1007">
        <v>0.40625</v>
      </c>
      <c r="BE1007">
        <v>3.75</v>
      </c>
      <c r="BF1007">
        <v>42.875</v>
      </c>
      <c r="BG1007">
        <v>4.5</v>
      </c>
      <c r="BH1007">
        <v>227</v>
      </c>
      <c r="BI1007">
        <v>5.83</v>
      </c>
      <c r="BJ1007">
        <v>41</v>
      </c>
      <c r="BL1007">
        <v>504.45</v>
      </c>
      <c r="BM1007">
        <v>92</v>
      </c>
      <c r="BN1007">
        <v>267.5</v>
      </c>
      <c r="BO1007">
        <v>1450</v>
      </c>
      <c r="BP1007">
        <v>0</v>
      </c>
      <c r="BQ1007">
        <v>55</v>
      </c>
      <c r="BR1007">
        <v>55</v>
      </c>
      <c r="BS1007">
        <v>54.78</v>
      </c>
      <c r="BT1007">
        <v>0</v>
      </c>
      <c r="BV1007">
        <v>0</v>
      </c>
      <c r="BW1007" t="s">
        <v>655</v>
      </c>
      <c r="BX1007">
        <v>0.17</v>
      </c>
      <c r="BY1007">
        <v>9.3125999999999998</v>
      </c>
      <c r="BZ1007">
        <v>0</v>
      </c>
      <c r="CA1007">
        <v>1</v>
      </c>
      <c r="CB1007">
        <v>0.6</v>
      </c>
      <c r="CC1007" s="3">
        <v>7.1269159999999998E-2</v>
      </c>
      <c r="CD1007">
        <v>2.875</v>
      </c>
      <c r="CE1007">
        <v>2.5</v>
      </c>
      <c r="CF1007">
        <v>18</v>
      </c>
      <c r="CG1007">
        <v>6</v>
      </c>
      <c r="CH1007">
        <v>0</v>
      </c>
      <c r="CI1007">
        <v>54.78</v>
      </c>
      <c r="CJ1007">
        <v>600.74710000000005</v>
      </c>
    </row>
    <row r="1008" spans="1:88">
      <c r="A1008">
        <v>1007</v>
      </c>
      <c r="B1008" t="s">
        <v>13</v>
      </c>
      <c r="C1008" t="s">
        <v>1</v>
      </c>
      <c r="D1008" t="s">
        <v>316</v>
      </c>
      <c r="E1008" t="s">
        <v>169</v>
      </c>
      <c r="F1008" t="s">
        <v>349</v>
      </c>
      <c r="G1008" t="s">
        <v>106</v>
      </c>
      <c r="H1008" t="s">
        <v>350</v>
      </c>
      <c r="J1008">
        <v>2</v>
      </c>
      <c r="K1008" t="s">
        <v>108</v>
      </c>
      <c r="L1008" t="s">
        <v>381</v>
      </c>
      <c r="M1008" t="s">
        <v>173</v>
      </c>
      <c r="N1008" t="s">
        <v>174</v>
      </c>
      <c r="O1008">
        <v>119</v>
      </c>
      <c r="Q1008">
        <v>536</v>
      </c>
      <c r="R1008">
        <v>103</v>
      </c>
      <c r="S1008">
        <v>4.25</v>
      </c>
      <c r="T1008">
        <v>3.2829999999999999</v>
      </c>
      <c r="U1008">
        <v>6.15</v>
      </c>
      <c r="V1008">
        <v>2279.5300000000002</v>
      </c>
      <c r="W1008">
        <v>636</v>
      </c>
      <c r="X1008">
        <v>1.3332999999999999</v>
      </c>
      <c r="Y1008">
        <v>494</v>
      </c>
      <c r="Z1008">
        <v>4.6100000000000003</v>
      </c>
      <c r="AJ1008">
        <v>2</v>
      </c>
      <c r="AK1008">
        <v>18</v>
      </c>
      <c r="AM1008">
        <v>0</v>
      </c>
      <c r="AO1008" t="s">
        <v>352</v>
      </c>
      <c r="AT1008">
        <v>47</v>
      </c>
      <c r="AV1008">
        <v>59.1</v>
      </c>
      <c r="AW1008">
        <v>0.46875</v>
      </c>
      <c r="AX1008">
        <v>3.75</v>
      </c>
      <c r="AY1008">
        <v>47.375</v>
      </c>
      <c r="AZ1008">
        <v>4.375</v>
      </c>
      <c r="BA1008">
        <v>427.51</v>
      </c>
      <c r="BB1008">
        <v>4.6100000000000003</v>
      </c>
      <c r="BC1008">
        <v>51</v>
      </c>
      <c r="BD1008">
        <v>0.25</v>
      </c>
      <c r="BE1008">
        <v>2.75</v>
      </c>
      <c r="BF1008">
        <v>17.125</v>
      </c>
      <c r="BG1008">
        <v>2.25</v>
      </c>
      <c r="BH1008">
        <v>66.95</v>
      </c>
      <c r="BI1008">
        <v>5.12</v>
      </c>
      <c r="BJ1008">
        <v>7</v>
      </c>
      <c r="BL1008">
        <v>494.46</v>
      </c>
      <c r="BM1008">
        <v>58</v>
      </c>
      <c r="BN1008">
        <v>283.55009999999999</v>
      </c>
      <c r="BO1008">
        <v>1291</v>
      </c>
      <c r="BP1008">
        <v>0</v>
      </c>
      <c r="BQ1008">
        <v>41</v>
      </c>
      <c r="BR1008">
        <v>41</v>
      </c>
      <c r="BS1008">
        <v>40.520000000000003</v>
      </c>
      <c r="BT1008">
        <v>0</v>
      </c>
      <c r="BV1008">
        <v>0</v>
      </c>
      <c r="BW1008" t="s">
        <v>655</v>
      </c>
      <c r="BX1008">
        <v>0.17</v>
      </c>
      <c r="BY1008">
        <v>6.8883999999999999</v>
      </c>
      <c r="BZ1008">
        <v>0</v>
      </c>
      <c r="CA1008">
        <v>1</v>
      </c>
      <c r="CB1008">
        <v>0.6</v>
      </c>
      <c r="CC1008" s="3">
        <v>7.1269159999999998E-2</v>
      </c>
      <c r="CD1008">
        <v>2.875</v>
      </c>
      <c r="CE1008">
        <v>2.5</v>
      </c>
      <c r="CF1008">
        <v>18</v>
      </c>
      <c r="CG1008">
        <v>6</v>
      </c>
      <c r="CH1008">
        <v>0</v>
      </c>
      <c r="CI1008">
        <v>40.520000000000003</v>
      </c>
      <c r="CJ1008">
        <v>470.35469999999998</v>
      </c>
    </row>
    <row r="1009" spans="1:88">
      <c r="A1009">
        <v>1008</v>
      </c>
      <c r="B1009" t="s">
        <v>13</v>
      </c>
      <c r="C1009" t="s">
        <v>1</v>
      </c>
      <c r="D1009" t="s">
        <v>143</v>
      </c>
      <c r="E1009" t="s">
        <v>278</v>
      </c>
      <c r="F1009" t="s">
        <v>144</v>
      </c>
      <c r="G1009" t="s">
        <v>106</v>
      </c>
      <c r="H1009" t="s">
        <v>145</v>
      </c>
      <c r="J1009">
        <v>2</v>
      </c>
      <c r="K1009" t="s">
        <v>146</v>
      </c>
      <c r="L1009" t="s">
        <v>280</v>
      </c>
      <c r="M1009" t="s">
        <v>281</v>
      </c>
      <c r="N1009" t="s">
        <v>282</v>
      </c>
      <c r="O1009">
        <v>207</v>
      </c>
      <c r="Q1009">
        <v>813</v>
      </c>
      <c r="R1009">
        <v>102</v>
      </c>
      <c r="S1009">
        <v>4.25</v>
      </c>
      <c r="T1009">
        <v>5.3319999999999999</v>
      </c>
      <c r="U1009">
        <v>7.42</v>
      </c>
      <c r="V1009">
        <v>3456.78</v>
      </c>
      <c r="W1009">
        <v>753</v>
      </c>
      <c r="X1009">
        <v>1.5</v>
      </c>
      <c r="Y1009">
        <v>506</v>
      </c>
      <c r="Z1009">
        <v>6.83</v>
      </c>
      <c r="AJ1009">
        <v>2</v>
      </c>
      <c r="AK1009">
        <v>18</v>
      </c>
      <c r="AM1009">
        <v>0</v>
      </c>
      <c r="AO1009" t="s">
        <v>149</v>
      </c>
      <c r="AT1009">
        <v>77</v>
      </c>
      <c r="AV1009">
        <v>53.5</v>
      </c>
      <c r="AW1009">
        <v>0.46875</v>
      </c>
      <c r="AX1009">
        <v>3.75</v>
      </c>
      <c r="AY1009">
        <v>72.875</v>
      </c>
      <c r="AZ1009">
        <v>6.375</v>
      </c>
      <c r="BA1009">
        <v>278.36</v>
      </c>
      <c r="BB1009">
        <v>7.08</v>
      </c>
      <c r="BC1009">
        <v>78</v>
      </c>
      <c r="BD1009">
        <v>0.4375</v>
      </c>
      <c r="BE1009">
        <v>3.75</v>
      </c>
      <c r="BF1009">
        <v>62.5</v>
      </c>
      <c r="BG1009">
        <v>6</v>
      </c>
      <c r="BH1009">
        <v>227.75</v>
      </c>
      <c r="BI1009">
        <v>7.22</v>
      </c>
      <c r="BJ1009">
        <v>63</v>
      </c>
      <c r="BL1009">
        <v>506.11</v>
      </c>
      <c r="BM1009">
        <v>141</v>
      </c>
      <c r="BN1009">
        <v>256.80009999999999</v>
      </c>
      <c r="BO1009">
        <v>1574</v>
      </c>
      <c r="BP1009">
        <v>0</v>
      </c>
      <c r="BQ1009">
        <v>71</v>
      </c>
      <c r="BR1009">
        <v>71</v>
      </c>
      <c r="BS1009">
        <v>71.13</v>
      </c>
      <c r="BT1009">
        <v>0</v>
      </c>
      <c r="BV1009">
        <v>0</v>
      </c>
      <c r="BW1009" t="s">
        <v>655</v>
      </c>
      <c r="BX1009">
        <v>0.17</v>
      </c>
      <c r="BY1009">
        <v>12.0921</v>
      </c>
      <c r="BZ1009">
        <v>0</v>
      </c>
      <c r="CA1009">
        <v>1</v>
      </c>
      <c r="CB1009">
        <v>0.6</v>
      </c>
      <c r="CC1009" s="3">
        <v>7.1269159999999998E-2</v>
      </c>
      <c r="CD1009">
        <v>2.875</v>
      </c>
      <c r="CE1009">
        <v>2.5</v>
      </c>
      <c r="CF1009">
        <v>18</v>
      </c>
      <c r="CG1009">
        <v>6</v>
      </c>
      <c r="CH1009">
        <v>0</v>
      </c>
      <c r="CI1009">
        <v>71.13</v>
      </c>
      <c r="CJ1009">
        <v>747.7328</v>
      </c>
    </row>
    <row r="1010" spans="1:88">
      <c r="A1010">
        <v>1009</v>
      </c>
      <c r="B1010" t="s">
        <v>13</v>
      </c>
      <c r="C1010" t="s">
        <v>1</v>
      </c>
      <c r="D1010" t="s">
        <v>366</v>
      </c>
      <c r="E1010" t="s">
        <v>382</v>
      </c>
      <c r="F1010" t="s">
        <v>379</v>
      </c>
      <c r="G1010" t="s">
        <v>106</v>
      </c>
      <c r="H1010" t="s">
        <v>228</v>
      </c>
      <c r="J1010">
        <v>2</v>
      </c>
      <c r="K1010" t="s">
        <v>146</v>
      </c>
      <c r="L1010" t="s">
        <v>229</v>
      </c>
      <c r="M1010" t="s">
        <v>318</v>
      </c>
      <c r="N1010" t="s">
        <v>366</v>
      </c>
      <c r="O1010">
        <v>100</v>
      </c>
      <c r="Q1010">
        <v>271</v>
      </c>
      <c r="R1010">
        <v>65</v>
      </c>
      <c r="S1010">
        <v>4.25</v>
      </c>
      <c r="T1010">
        <v>2.7850000000000001</v>
      </c>
      <c r="U1010">
        <v>5.92</v>
      </c>
      <c r="V1010">
        <v>1152.68</v>
      </c>
      <c r="W1010">
        <v>383</v>
      </c>
      <c r="X1010">
        <v>1.3332999999999999</v>
      </c>
      <c r="Y1010">
        <v>280</v>
      </c>
      <c r="Z1010">
        <v>4.1100000000000003</v>
      </c>
      <c r="AJ1010">
        <v>2</v>
      </c>
      <c r="AK1010">
        <v>18</v>
      </c>
      <c r="AM1010">
        <v>0</v>
      </c>
      <c r="AO1010" t="s">
        <v>230</v>
      </c>
      <c r="AT1010">
        <v>40</v>
      </c>
      <c r="AV1010">
        <v>34.6</v>
      </c>
      <c r="AW1010">
        <v>0</v>
      </c>
      <c r="AX1010">
        <v>0</v>
      </c>
      <c r="AY1010">
        <v>34.625</v>
      </c>
      <c r="AZ1010">
        <v>3.375</v>
      </c>
      <c r="BA1010">
        <v>0</v>
      </c>
      <c r="BB1010">
        <v>0</v>
      </c>
      <c r="BC1010">
        <v>33</v>
      </c>
      <c r="BN1010">
        <v>164.0667</v>
      </c>
      <c r="BO1010">
        <v>3855</v>
      </c>
      <c r="BP1010">
        <v>0</v>
      </c>
      <c r="BQ1010">
        <v>34</v>
      </c>
      <c r="BR1010">
        <v>34</v>
      </c>
      <c r="BS1010">
        <v>33.909999999999997</v>
      </c>
      <c r="BT1010">
        <v>0</v>
      </c>
      <c r="BV1010">
        <v>0</v>
      </c>
      <c r="BW1010" t="s">
        <v>655</v>
      </c>
      <c r="BX1010">
        <v>0.17</v>
      </c>
      <c r="BY1010">
        <v>5.7647000000000004</v>
      </c>
      <c r="BZ1010">
        <v>0</v>
      </c>
      <c r="CA1010">
        <v>1</v>
      </c>
      <c r="CB1010">
        <v>0.6</v>
      </c>
      <c r="CC1010" s="3">
        <v>7.1269159999999998E-2</v>
      </c>
      <c r="CD1010">
        <v>2.875</v>
      </c>
      <c r="CE1010">
        <v>2.5</v>
      </c>
      <c r="CF1010">
        <v>18</v>
      </c>
      <c r="CG1010">
        <v>6</v>
      </c>
      <c r="CH1010">
        <v>0</v>
      </c>
      <c r="CI1010">
        <v>33.909999999999997</v>
      </c>
      <c r="CJ1010">
        <v>230.79839999999999</v>
      </c>
    </row>
    <row r="1011" spans="1:88">
      <c r="A1011">
        <v>1010</v>
      </c>
      <c r="B1011" t="s">
        <v>0</v>
      </c>
      <c r="C1011" t="s">
        <v>1</v>
      </c>
      <c r="D1011" t="s">
        <v>111</v>
      </c>
      <c r="E1011" t="s">
        <v>195</v>
      </c>
      <c r="F1011" t="s">
        <v>156</v>
      </c>
      <c r="G1011" t="s">
        <v>214</v>
      </c>
      <c r="H1011" t="s">
        <v>157</v>
      </c>
      <c r="J1011">
        <v>2</v>
      </c>
      <c r="K1011" t="s">
        <v>108</v>
      </c>
      <c r="L1011" t="s">
        <v>476</v>
      </c>
      <c r="M1011" t="s">
        <v>256</v>
      </c>
      <c r="N1011" t="s">
        <v>99</v>
      </c>
      <c r="O1011">
        <v>146</v>
      </c>
      <c r="Q1011">
        <v>741</v>
      </c>
      <c r="R1011">
        <v>118</v>
      </c>
      <c r="S1011">
        <v>4.25</v>
      </c>
      <c r="T1011">
        <v>3.952</v>
      </c>
      <c r="U1011">
        <v>6.63</v>
      </c>
      <c r="V1011">
        <v>3149.37</v>
      </c>
      <c r="W1011">
        <v>782</v>
      </c>
      <c r="X1011">
        <v>1.3332999999999999</v>
      </c>
      <c r="Y1011">
        <v>596</v>
      </c>
      <c r="Z1011">
        <v>5.28</v>
      </c>
      <c r="AJ1011">
        <v>2</v>
      </c>
      <c r="AK1011">
        <v>18</v>
      </c>
      <c r="AM1011">
        <v>0</v>
      </c>
      <c r="AO1011" t="s">
        <v>160</v>
      </c>
      <c r="AT1011">
        <v>56</v>
      </c>
      <c r="AV1011">
        <v>67.8</v>
      </c>
      <c r="AW1011">
        <v>0.4375</v>
      </c>
      <c r="AX1011">
        <v>3.75</v>
      </c>
      <c r="AY1011">
        <v>47.75</v>
      </c>
      <c r="AZ1011">
        <v>4.625</v>
      </c>
      <c r="BA1011">
        <v>298.23</v>
      </c>
      <c r="BB1011">
        <v>5.51</v>
      </c>
      <c r="BC1011">
        <v>48</v>
      </c>
      <c r="BD1011">
        <v>0.4375</v>
      </c>
      <c r="BE1011">
        <v>3.75</v>
      </c>
      <c r="BF1011">
        <v>47.75</v>
      </c>
      <c r="BG1011">
        <v>4.625</v>
      </c>
      <c r="BH1011">
        <v>298.23</v>
      </c>
      <c r="BI1011">
        <v>5.51</v>
      </c>
      <c r="BJ1011">
        <v>48</v>
      </c>
      <c r="BL1011">
        <v>596.46</v>
      </c>
      <c r="BM1011">
        <v>96</v>
      </c>
      <c r="BN1011">
        <v>329.09500000000003</v>
      </c>
      <c r="BO1011">
        <v>1202</v>
      </c>
      <c r="BP1011">
        <v>0</v>
      </c>
      <c r="BQ1011">
        <v>50</v>
      </c>
      <c r="BR1011">
        <v>50</v>
      </c>
      <c r="BS1011">
        <v>49.91</v>
      </c>
      <c r="BT1011">
        <v>0</v>
      </c>
      <c r="BV1011">
        <v>0</v>
      </c>
      <c r="BW1011" t="s">
        <v>655</v>
      </c>
      <c r="BX1011">
        <v>0.17</v>
      </c>
      <c r="BY1011">
        <v>8.4847000000000001</v>
      </c>
      <c r="BZ1011">
        <v>0</v>
      </c>
      <c r="CA1011">
        <v>1</v>
      </c>
      <c r="CB1011">
        <v>0.6</v>
      </c>
      <c r="CC1011" s="3">
        <v>7.1269159999999998E-2</v>
      </c>
      <c r="CD1011">
        <v>2.875</v>
      </c>
      <c r="CE1011">
        <v>2.5</v>
      </c>
      <c r="CF1011">
        <v>18</v>
      </c>
      <c r="CG1011">
        <v>6</v>
      </c>
      <c r="CH1011">
        <v>0</v>
      </c>
      <c r="CI1011">
        <v>49.91</v>
      </c>
      <c r="CJ1011">
        <v>664.72260000000006</v>
      </c>
    </row>
    <row r="1012" spans="1:88">
      <c r="A1012">
        <v>1011</v>
      </c>
      <c r="B1012" t="s">
        <v>0</v>
      </c>
      <c r="C1012" t="s">
        <v>1</v>
      </c>
      <c r="D1012" t="s">
        <v>14</v>
      </c>
      <c r="E1012" t="s">
        <v>2</v>
      </c>
      <c r="F1012" t="s">
        <v>192</v>
      </c>
      <c r="G1012" t="s">
        <v>106</v>
      </c>
      <c r="H1012" t="s">
        <v>193</v>
      </c>
      <c r="J1012">
        <v>2</v>
      </c>
      <c r="K1012" t="s">
        <v>108</v>
      </c>
      <c r="L1012" t="s">
        <v>122</v>
      </c>
      <c r="M1012" t="s">
        <v>4</v>
      </c>
      <c r="N1012" t="s">
        <v>5</v>
      </c>
      <c r="O1012">
        <v>107</v>
      </c>
      <c r="Q1012">
        <v>523</v>
      </c>
      <c r="R1012">
        <v>110</v>
      </c>
      <c r="S1012">
        <v>4.25</v>
      </c>
      <c r="T1012">
        <v>2.9710000000000001</v>
      </c>
      <c r="U1012">
        <v>6.07</v>
      </c>
      <c r="V1012">
        <v>2220.87</v>
      </c>
      <c r="W1012">
        <v>670</v>
      </c>
      <c r="X1012">
        <v>1.3332999999999999</v>
      </c>
      <c r="Y1012">
        <v>516</v>
      </c>
      <c r="Z1012">
        <v>4.3</v>
      </c>
      <c r="AJ1012">
        <v>2</v>
      </c>
      <c r="AK1012">
        <v>18</v>
      </c>
      <c r="AM1012">
        <v>0</v>
      </c>
      <c r="AO1012" t="s">
        <v>196</v>
      </c>
      <c r="AT1012">
        <v>42</v>
      </c>
      <c r="AV1012">
        <v>63.4</v>
      </c>
      <c r="AW1012">
        <v>0.46875</v>
      </c>
      <c r="AX1012">
        <v>3.75</v>
      </c>
      <c r="AY1012">
        <v>44.25</v>
      </c>
      <c r="AZ1012">
        <v>4</v>
      </c>
      <c r="BA1012">
        <v>458.33</v>
      </c>
      <c r="BB1012">
        <v>4.3</v>
      </c>
      <c r="BC1012">
        <v>48</v>
      </c>
      <c r="BD1012">
        <v>0.25</v>
      </c>
      <c r="BE1012">
        <v>2.75</v>
      </c>
      <c r="BF1012">
        <v>19.75</v>
      </c>
      <c r="BG1012">
        <v>2.125</v>
      </c>
      <c r="BH1012">
        <v>58.15</v>
      </c>
      <c r="BI1012">
        <v>5.9</v>
      </c>
      <c r="BJ1012">
        <v>9</v>
      </c>
      <c r="BL1012">
        <v>516.48</v>
      </c>
      <c r="BM1012">
        <v>56</v>
      </c>
      <c r="BN1012">
        <v>304.95010000000002</v>
      </c>
      <c r="BO1012">
        <v>1116</v>
      </c>
      <c r="BP1012">
        <v>0</v>
      </c>
      <c r="BQ1012">
        <v>36</v>
      </c>
      <c r="BR1012">
        <v>36</v>
      </c>
      <c r="BS1012">
        <v>36.340000000000003</v>
      </c>
      <c r="BT1012">
        <v>0</v>
      </c>
      <c r="BV1012">
        <v>0</v>
      </c>
      <c r="BW1012" t="s">
        <v>655</v>
      </c>
      <c r="BX1012">
        <v>0.17</v>
      </c>
      <c r="BY1012">
        <v>6.1778000000000004</v>
      </c>
      <c r="BZ1012">
        <v>0</v>
      </c>
      <c r="CA1012">
        <v>1</v>
      </c>
      <c r="CB1012">
        <v>0.6</v>
      </c>
      <c r="CC1012" s="3">
        <v>7.1269159999999998E-2</v>
      </c>
      <c r="CD1012">
        <v>2.875</v>
      </c>
      <c r="CE1012">
        <v>2.5</v>
      </c>
      <c r="CF1012">
        <v>18</v>
      </c>
      <c r="CG1012">
        <v>6</v>
      </c>
      <c r="CH1012">
        <v>0</v>
      </c>
      <c r="CI1012">
        <v>36.340000000000003</v>
      </c>
      <c r="CJ1012">
        <v>452.91250000000002</v>
      </c>
    </row>
    <row r="1013" spans="1:88">
      <c r="A1013">
        <v>1012</v>
      </c>
      <c r="B1013" t="s">
        <v>0</v>
      </c>
      <c r="C1013" t="s">
        <v>1</v>
      </c>
      <c r="D1013" t="s">
        <v>201</v>
      </c>
      <c r="E1013" t="s">
        <v>616</v>
      </c>
      <c r="F1013" t="s">
        <v>486</v>
      </c>
      <c r="G1013" t="s">
        <v>214</v>
      </c>
      <c r="H1013" t="s">
        <v>575</v>
      </c>
      <c r="J1013">
        <v>2</v>
      </c>
      <c r="K1013" t="s">
        <v>108</v>
      </c>
      <c r="L1013" t="s">
        <v>470</v>
      </c>
      <c r="M1013" t="s">
        <v>640</v>
      </c>
      <c r="N1013" t="s">
        <v>568</v>
      </c>
      <c r="O1013">
        <v>219</v>
      </c>
      <c r="Q1013">
        <v>980</v>
      </c>
      <c r="R1013">
        <v>116</v>
      </c>
      <c r="S1013">
        <v>4.25</v>
      </c>
      <c r="T1013">
        <v>5.5860000000000003</v>
      </c>
      <c r="U1013">
        <v>7.57</v>
      </c>
      <c r="V1013">
        <v>4166.6099999999997</v>
      </c>
      <c r="W1013">
        <v>880</v>
      </c>
      <c r="X1013">
        <v>1.5</v>
      </c>
      <c r="Y1013">
        <v>589</v>
      </c>
      <c r="Z1013">
        <v>7.08</v>
      </c>
      <c r="AJ1013">
        <v>2</v>
      </c>
      <c r="AK1013">
        <v>18</v>
      </c>
      <c r="AM1013">
        <v>0</v>
      </c>
      <c r="AO1013" t="s">
        <v>576</v>
      </c>
      <c r="AT1013">
        <v>81</v>
      </c>
      <c r="AV1013">
        <v>61.3</v>
      </c>
      <c r="AW1013" t="s">
        <v>6</v>
      </c>
      <c r="AX1013" t="s">
        <v>6</v>
      </c>
      <c r="AY1013" t="s">
        <v>6</v>
      </c>
      <c r="AZ1013" t="s">
        <v>6</v>
      </c>
      <c r="BA1013" t="s">
        <v>6</v>
      </c>
      <c r="BB1013" t="s">
        <v>6</v>
      </c>
      <c r="BC1013" t="s">
        <v>6</v>
      </c>
      <c r="BD1013" t="s">
        <v>6</v>
      </c>
      <c r="BE1013" t="s">
        <v>6</v>
      </c>
      <c r="BF1013" t="s">
        <v>6</v>
      </c>
      <c r="BG1013" t="s">
        <v>6</v>
      </c>
      <c r="BH1013" t="s">
        <v>6</v>
      </c>
      <c r="BI1013" t="s">
        <v>6</v>
      </c>
      <c r="BJ1013" t="s">
        <v>6</v>
      </c>
      <c r="BN1013">
        <v>296.72500000000002</v>
      </c>
      <c r="BO1013">
        <v>1479</v>
      </c>
      <c r="BP1013">
        <v>0</v>
      </c>
      <c r="BQ1013">
        <v>75</v>
      </c>
      <c r="BR1013">
        <v>75</v>
      </c>
      <c r="BS1013">
        <v>75.3</v>
      </c>
      <c r="BT1013">
        <v>0</v>
      </c>
      <c r="BV1013">
        <v>0</v>
      </c>
      <c r="BW1013" t="s">
        <v>655</v>
      </c>
      <c r="BX1013">
        <v>0.17</v>
      </c>
      <c r="BY1013">
        <v>12.801</v>
      </c>
      <c r="BZ1013">
        <v>0</v>
      </c>
      <c r="CA1013">
        <v>1</v>
      </c>
      <c r="CB1013">
        <v>0.6</v>
      </c>
      <c r="CC1013" s="3">
        <v>7.1269159999999998E-2</v>
      </c>
      <c r="CD1013">
        <v>2.875</v>
      </c>
      <c r="CE1013">
        <v>2.5</v>
      </c>
      <c r="CF1013">
        <v>18</v>
      </c>
      <c r="CG1013">
        <v>6</v>
      </c>
      <c r="CH1013">
        <v>0</v>
      </c>
      <c r="CI1013">
        <v>75.3</v>
      </c>
      <c r="CJ1013">
        <v>906.27909999999997</v>
      </c>
    </row>
    <row r="1014" spans="1:88">
      <c r="A1014">
        <v>1013</v>
      </c>
      <c r="B1014" t="s">
        <v>13</v>
      </c>
      <c r="C1014" t="s">
        <v>1</v>
      </c>
      <c r="D1014" t="s">
        <v>96</v>
      </c>
      <c r="E1014" t="s">
        <v>317</v>
      </c>
      <c r="F1014" t="s">
        <v>198</v>
      </c>
      <c r="G1014" t="s">
        <v>106</v>
      </c>
      <c r="H1014" t="s">
        <v>162</v>
      </c>
      <c r="J1014">
        <v>2</v>
      </c>
      <c r="K1014" t="s">
        <v>146</v>
      </c>
      <c r="L1014" t="s">
        <v>169</v>
      </c>
      <c r="M1014" t="s">
        <v>400</v>
      </c>
      <c r="N1014" t="s">
        <v>228</v>
      </c>
      <c r="O1014">
        <v>99</v>
      </c>
      <c r="Q1014">
        <v>346</v>
      </c>
      <c r="R1014">
        <v>81</v>
      </c>
      <c r="S1014">
        <v>4.25</v>
      </c>
      <c r="T1014">
        <v>2.758</v>
      </c>
      <c r="U1014">
        <v>5.88</v>
      </c>
      <c r="V1014">
        <v>1470.11</v>
      </c>
      <c r="W1014">
        <v>475</v>
      </c>
      <c r="X1014">
        <v>1.3332999999999999</v>
      </c>
      <c r="Y1014">
        <v>359</v>
      </c>
      <c r="Z1014">
        <v>4.09</v>
      </c>
      <c r="AJ1014">
        <v>2</v>
      </c>
      <c r="AK1014">
        <v>18</v>
      </c>
      <c r="AM1014">
        <v>0</v>
      </c>
      <c r="AO1014" t="s">
        <v>166</v>
      </c>
      <c r="AT1014">
        <v>40</v>
      </c>
      <c r="AV1014">
        <v>44.8</v>
      </c>
      <c r="AW1014">
        <v>0</v>
      </c>
      <c r="AX1014">
        <v>0</v>
      </c>
      <c r="AY1014">
        <v>39.625</v>
      </c>
      <c r="AZ1014">
        <v>3.625</v>
      </c>
      <c r="BA1014">
        <v>0</v>
      </c>
      <c r="BB1014">
        <v>0</v>
      </c>
      <c r="BC1014">
        <v>40</v>
      </c>
      <c r="BN1014">
        <v>214</v>
      </c>
      <c r="BO1014">
        <v>2266</v>
      </c>
      <c r="BP1014">
        <v>0</v>
      </c>
      <c r="BQ1014">
        <v>34</v>
      </c>
      <c r="BR1014">
        <v>34</v>
      </c>
      <c r="BS1014">
        <v>33.56</v>
      </c>
      <c r="BT1014">
        <v>0</v>
      </c>
      <c r="BV1014">
        <v>0</v>
      </c>
      <c r="BW1014" t="s">
        <v>655</v>
      </c>
      <c r="BX1014">
        <v>0.17</v>
      </c>
      <c r="BY1014">
        <v>5.7051999999999996</v>
      </c>
      <c r="BZ1014">
        <v>0</v>
      </c>
      <c r="CA1014">
        <v>1</v>
      </c>
      <c r="CB1014">
        <v>0.6</v>
      </c>
      <c r="CC1014" s="3">
        <v>7.1269159999999998E-2</v>
      </c>
      <c r="CD1014">
        <v>2.875</v>
      </c>
      <c r="CE1014">
        <v>2.5</v>
      </c>
      <c r="CF1014">
        <v>18</v>
      </c>
      <c r="CG1014">
        <v>6</v>
      </c>
      <c r="CH1014">
        <v>0</v>
      </c>
      <c r="CI1014">
        <v>33.56</v>
      </c>
      <c r="CJ1014">
        <v>295.38639999999998</v>
      </c>
    </row>
    <row r="1015" spans="1:88">
      <c r="A1015">
        <v>1014</v>
      </c>
      <c r="B1015" t="s">
        <v>13</v>
      </c>
      <c r="C1015" t="s">
        <v>1</v>
      </c>
      <c r="D1015" t="s">
        <v>338</v>
      </c>
      <c r="E1015" t="s">
        <v>234</v>
      </c>
      <c r="F1015" t="s">
        <v>360</v>
      </c>
      <c r="G1015" t="s">
        <v>106</v>
      </c>
      <c r="H1015" t="s">
        <v>101</v>
      </c>
      <c r="J1015">
        <v>2</v>
      </c>
      <c r="K1015" t="s">
        <v>146</v>
      </c>
      <c r="L1015" t="s">
        <v>103</v>
      </c>
      <c r="M1015" t="s">
        <v>435</v>
      </c>
      <c r="N1015" t="s">
        <v>295</v>
      </c>
      <c r="O1015">
        <v>147</v>
      </c>
      <c r="Q1015">
        <v>512</v>
      </c>
      <c r="R1015">
        <v>83</v>
      </c>
      <c r="S1015">
        <v>4.25</v>
      </c>
      <c r="T1015">
        <v>3.976</v>
      </c>
      <c r="U1015">
        <v>6.67</v>
      </c>
      <c r="V1015">
        <v>2173.96</v>
      </c>
      <c r="W1015">
        <v>555</v>
      </c>
      <c r="X1015">
        <v>1.3332999999999999</v>
      </c>
      <c r="Y1015">
        <v>410</v>
      </c>
      <c r="Z1015">
        <v>5.3</v>
      </c>
      <c r="AJ1015">
        <v>2</v>
      </c>
      <c r="AK1015">
        <v>18</v>
      </c>
      <c r="AM1015">
        <v>0</v>
      </c>
      <c r="AO1015" t="s">
        <v>403</v>
      </c>
      <c r="AT1015">
        <v>56</v>
      </c>
      <c r="AV1015">
        <v>46.2</v>
      </c>
      <c r="AW1015">
        <v>0.46875</v>
      </c>
      <c r="AX1015">
        <v>3.75</v>
      </c>
      <c r="AY1015">
        <v>54.5</v>
      </c>
      <c r="AZ1015">
        <v>5</v>
      </c>
      <c r="BA1015">
        <v>371.85</v>
      </c>
      <c r="BB1015">
        <v>5.3</v>
      </c>
      <c r="BC1015">
        <v>59</v>
      </c>
      <c r="BD1015">
        <v>0.25</v>
      </c>
      <c r="BE1015">
        <v>2.75</v>
      </c>
      <c r="BF1015">
        <v>30</v>
      </c>
      <c r="BG1015">
        <v>2.625</v>
      </c>
      <c r="BH1015">
        <v>38.32</v>
      </c>
      <c r="BI1015">
        <v>8.9600000000000009</v>
      </c>
      <c r="BJ1015">
        <v>13</v>
      </c>
      <c r="BL1015">
        <v>410.17</v>
      </c>
      <c r="BM1015">
        <v>71</v>
      </c>
      <c r="BN1015">
        <v>221.13339999999999</v>
      </c>
      <c r="BO1015">
        <v>2122</v>
      </c>
      <c r="BP1015">
        <v>0</v>
      </c>
      <c r="BQ1015">
        <v>50</v>
      </c>
      <c r="BR1015">
        <v>50</v>
      </c>
      <c r="BS1015">
        <v>50.26</v>
      </c>
      <c r="BT1015">
        <v>0</v>
      </c>
      <c r="BV1015">
        <v>0</v>
      </c>
      <c r="BW1015" t="s">
        <v>655</v>
      </c>
      <c r="BX1015">
        <v>0.17</v>
      </c>
      <c r="BY1015">
        <v>8.5442</v>
      </c>
      <c r="BZ1015">
        <v>0</v>
      </c>
      <c r="CA1015">
        <v>1</v>
      </c>
      <c r="CB1015">
        <v>0.6</v>
      </c>
      <c r="CC1015" s="3">
        <v>7.1269159999999998E-2</v>
      </c>
      <c r="CD1015">
        <v>2.875</v>
      </c>
      <c r="CE1015">
        <v>2.5</v>
      </c>
      <c r="CF1015">
        <v>18</v>
      </c>
      <c r="CG1015">
        <v>6</v>
      </c>
      <c r="CH1015">
        <v>0</v>
      </c>
      <c r="CI1015">
        <v>50.26</v>
      </c>
      <c r="CJ1015">
        <v>456.70350000000002</v>
      </c>
    </row>
    <row r="1016" spans="1:88">
      <c r="A1016">
        <v>1015</v>
      </c>
      <c r="B1016" t="s">
        <v>0</v>
      </c>
      <c r="C1016" t="s">
        <v>1</v>
      </c>
      <c r="D1016" t="s">
        <v>207</v>
      </c>
      <c r="E1016" t="s">
        <v>172</v>
      </c>
      <c r="F1016" t="s">
        <v>149</v>
      </c>
      <c r="G1016" t="s">
        <v>106</v>
      </c>
      <c r="H1016" t="s">
        <v>185</v>
      </c>
      <c r="J1016">
        <v>2</v>
      </c>
      <c r="K1016" t="s">
        <v>146</v>
      </c>
      <c r="L1016" t="s">
        <v>233</v>
      </c>
      <c r="M1016" t="s">
        <v>490</v>
      </c>
      <c r="N1016" t="s">
        <v>128</v>
      </c>
      <c r="O1016">
        <v>137</v>
      </c>
      <c r="Q1016">
        <v>546</v>
      </c>
      <c r="R1016">
        <v>93</v>
      </c>
      <c r="S1016">
        <v>4.25</v>
      </c>
      <c r="T1016">
        <v>3.734</v>
      </c>
      <c r="U1016">
        <v>6.48</v>
      </c>
      <c r="V1016">
        <v>2319.86</v>
      </c>
      <c r="W1016">
        <v>606</v>
      </c>
      <c r="X1016">
        <v>1.3332999999999999</v>
      </c>
      <c r="Y1016">
        <v>458</v>
      </c>
      <c r="Z1016">
        <v>5.0599999999999996</v>
      </c>
      <c r="AJ1016">
        <v>2</v>
      </c>
      <c r="AK1016">
        <v>18</v>
      </c>
      <c r="AM1016">
        <v>0</v>
      </c>
      <c r="AO1016" t="s">
        <v>294</v>
      </c>
      <c r="AT1016">
        <v>53</v>
      </c>
      <c r="AV1016">
        <v>52.8</v>
      </c>
      <c r="AW1016">
        <v>0.40625</v>
      </c>
      <c r="AX1016">
        <v>3.75</v>
      </c>
      <c r="AY1016">
        <v>38.625</v>
      </c>
      <c r="AZ1016">
        <v>4.125</v>
      </c>
      <c r="BA1016">
        <v>252.15</v>
      </c>
      <c r="BB1016">
        <v>5.25</v>
      </c>
      <c r="BC1016">
        <v>37</v>
      </c>
      <c r="BD1016">
        <v>0.375</v>
      </c>
      <c r="BE1016">
        <v>3.75</v>
      </c>
      <c r="BF1016">
        <v>31.375</v>
      </c>
      <c r="BG1016">
        <v>3.75</v>
      </c>
      <c r="BH1016">
        <v>206.32</v>
      </c>
      <c r="BI1016">
        <v>5.22</v>
      </c>
      <c r="BJ1016">
        <v>28</v>
      </c>
      <c r="BL1016">
        <v>458.47</v>
      </c>
      <c r="BM1016">
        <v>64</v>
      </c>
      <c r="BN1016">
        <v>253.23339999999999</v>
      </c>
      <c r="BO1016">
        <v>1618</v>
      </c>
      <c r="BP1016">
        <v>0</v>
      </c>
      <c r="BQ1016">
        <v>47</v>
      </c>
      <c r="BR1016">
        <v>47</v>
      </c>
      <c r="BS1016">
        <v>46.78</v>
      </c>
      <c r="BT1016">
        <v>0</v>
      </c>
      <c r="BV1016">
        <v>0</v>
      </c>
      <c r="BW1016" t="s">
        <v>655</v>
      </c>
      <c r="BX1016">
        <v>0.17</v>
      </c>
      <c r="BY1016">
        <v>7.9526000000000003</v>
      </c>
      <c r="BZ1016">
        <v>0</v>
      </c>
      <c r="CA1016">
        <v>1</v>
      </c>
      <c r="CB1016">
        <v>0.6</v>
      </c>
      <c r="CC1016" s="3">
        <v>7.1269159999999998E-2</v>
      </c>
      <c r="CD1016">
        <v>2.875</v>
      </c>
      <c r="CE1016">
        <v>2.5</v>
      </c>
      <c r="CF1016">
        <v>18</v>
      </c>
      <c r="CG1016">
        <v>6</v>
      </c>
      <c r="CH1016">
        <v>0</v>
      </c>
      <c r="CI1016">
        <v>46.78</v>
      </c>
      <c r="CJ1016">
        <v>485.09280000000001</v>
      </c>
    </row>
    <row r="1017" spans="1:88">
      <c r="A1017">
        <v>1016</v>
      </c>
      <c r="B1017" t="s">
        <v>13</v>
      </c>
      <c r="C1017" t="s">
        <v>1</v>
      </c>
      <c r="D1017" t="s">
        <v>207</v>
      </c>
      <c r="E1017" t="s">
        <v>381</v>
      </c>
      <c r="F1017" t="s">
        <v>149</v>
      </c>
      <c r="G1017" t="s">
        <v>106</v>
      </c>
      <c r="H1017" t="s">
        <v>185</v>
      </c>
      <c r="J1017">
        <v>2</v>
      </c>
      <c r="K1017" t="s">
        <v>146</v>
      </c>
      <c r="L1017" t="s">
        <v>267</v>
      </c>
      <c r="M1017" t="s">
        <v>384</v>
      </c>
      <c r="N1017" t="s">
        <v>257</v>
      </c>
      <c r="O1017">
        <v>139</v>
      </c>
      <c r="Q1017">
        <v>553</v>
      </c>
      <c r="R1017">
        <v>93</v>
      </c>
      <c r="S1017">
        <v>4.25</v>
      </c>
      <c r="T1017">
        <v>3.7829999999999999</v>
      </c>
      <c r="U1017">
        <v>6.52</v>
      </c>
      <c r="V1017">
        <v>2350.7600000000002</v>
      </c>
      <c r="W1017">
        <v>609</v>
      </c>
      <c r="X1017">
        <v>1.3332999999999999</v>
      </c>
      <c r="Y1017">
        <v>460</v>
      </c>
      <c r="Z1017">
        <v>5.1100000000000003</v>
      </c>
      <c r="AJ1017">
        <v>2</v>
      </c>
      <c r="AK1017">
        <v>18</v>
      </c>
      <c r="AM1017">
        <v>0</v>
      </c>
      <c r="AO1017" t="s">
        <v>294</v>
      </c>
      <c r="AT1017">
        <v>54</v>
      </c>
      <c r="AV1017">
        <v>52.8</v>
      </c>
      <c r="AW1017">
        <v>0.40625</v>
      </c>
      <c r="AX1017">
        <v>3.75</v>
      </c>
      <c r="AY1017">
        <v>38.5</v>
      </c>
      <c r="AZ1017">
        <v>4.125</v>
      </c>
      <c r="BA1017">
        <v>253.01</v>
      </c>
      <c r="BB1017">
        <v>5.23</v>
      </c>
      <c r="BC1017">
        <v>36</v>
      </c>
      <c r="BD1017">
        <v>0.375</v>
      </c>
      <c r="BE1017">
        <v>3.75</v>
      </c>
      <c r="BF1017">
        <v>31.25</v>
      </c>
      <c r="BG1017">
        <v>3.875</v>
      </c>
      <c r="BH1017">
        <v>207.01</v>
      </c>
      <c r="BI1017">
        <v>5.2</v>
      </c>
      <c r="BJ1017">
        <v>28</v>
      </c>
      <c r="BL1017">
        <v>460.02</v>
      </c>
      <c r="BM1017">
        <v>63</v>
      </c>
      <c r="BN1017">
        <v>253.23339999999999</v>
      </c>
      <c r="BO1017">
        <v>1618</v>
      </c>
      <c r="BP1017">
        <v>0</v>
      </c>
      <c r="BQ1017">
        <v>47</v>
      </c>
      <c r="BR1017">
        <v>47</v>
      </c>
      <c r="BS1017">
        <v>47.47</v>
      </c>
      <c r="BT1017">
        <v>0</v>
      </c>
      <c r="BV1017">
        <v>0</v>
      </c>
      <c r="BW1017" t="s">
        <v>655</v>
      </c>
      <c r="BX1017">
        <v>0.17</v>
      </c>
      <c r="BY1017">
        <v>8.0699009999999998</v>
      </c>
      <c r="BZ1017">
        <v>0</v>
      </c>
      <c r="CA1017">
        <v>1</v>
      </c>
      <c r="CB1017">
        <v>0.6</v>
      </c>
      <c r="CC1017" s="3">
        <v>7.1269159999999998E-2</v>
      </c>
      <c r="CD1017">
        <v>2.875</v>
      </c>
      <c r="CE1017">
        <v>2.5</v>
      </c>
      <c r="CF1017">
        <v>18</v>
      </c>
      <c r="CG1017">
        <v>6</v>
      </c>
      <c r="CH1017">
        <v>0</v>
      </c>
      <c r="CI1017">
        <v>47.47</v>
      </c>
      <c r="CJ1017">
        <v>492.24790000000002</v>
      </c>
    </row>
    <row r="1018" spans="1:88">
      <c r="A1018">
        <v>1017</v>
      </c>
      <c r="B1018" t="s">
        <v>13</v>
      </c>
      <c r="C1018" t="s">
        <v>1</v>
      </c>
      <c r="D1018" t="s">
        <v>346</v>
      </c>
      <c r="E1018" t="s">
        <v>641</v>
      </c>
      <c r="F1018" t="s">
        <v>354</v>
      </c>
      <c r="G1018" t="s">
        <v>106</v>
      </c>
      <c r="H1018" t="s">
        <v>136</v>
      </c>
      <c r="J1018">
        <v>2</v>
      </c>
      <c r="K1018" t="s">
        <v>146</v>
      </c>
      <c r="L1018" t="s">
        <v>341</v>
      </c>
      <c r="M1018" t="s">
        <v>642</v>
      </c>
      <c r="N1018" t="s">
        <v>541</v>
      </c>
      <c r="O1018">
        <v>63</v>
      </c>
      <c r="Q1018">
        <v>161</v>
      </c>
      <c r="R1018">
        <v>53</v>
      </c>
      <c r="S1018">
        <v>4.25</v>
      </c>
      <c r="T1018">
        <v>1.734</v>
      </c>
      <c r="U1018">
        <v>5.28</v>
      </c>
      <c r="V1018">
        <v>684.03</v>
      </c>
      <c r="W1018">
        <v>282</v>
      </c>
      <c r="X1018">
        <v>1.1666000000000001</v>
      </c>
      <c r="Y1018">
        <v>236</v>
      </c>
      <c r="Z1018">
        <v>2.9</v>
      </c>
      <c r="AJ1018">
        <v>2</v>
      </c>
      <c r="AK1018">
        <v>18</v>
      </c>
      <c r="AM1018">
        <v>0</v>
      </c>
      <c r="AO1018" t="s">
        <v>140</v>
      </c>
      <c r="AT1018">
        <v>27</v>
      </c>
      <c r="AV1018">
        <v>30.6</v>
      </c>
      <c r="AW1018">
        <v>0</v>
      </c>
      <c r="AX1018">
        <v>0</v>
      </c>
      <c r="AY1018">
        <v>27.375</v>
      </c>
      <c r="AZ1018">
        <v>2.125</v>
      </c>
      <c r="BA1018">
        <v>0</v>
      </c>
      <c r="BB1018">
        <v>0</v>
      </c>
      <c r="BC1018">
        <v>24</v>
      </c>
      <c r="BN1018">
        <v>144.44999999999999</v>
      </c>
      <c r="BO1018">
        <v>4973</v>
      </c>
      <c r="BP1018">
        <v>0</v>
      </c>
      <c r="BQ1018">
        <v>21</v>
      </c>
      <c r="BR1018">
        <v>21</v>
      </c>
      <c r="BS1018">
        <v>21.04</v>
      </c>
      <c r="BT1018">
        <v>0</v>
      </c>
      <c r="BV1018">
        <v>0</v>
      </c>
      <c r="BW1018" t="s">
        <v>655</v>
      </c>
      <c r="BX1018">
        <v>0.17</v>
      </c>
      <c r="BY1018">
        <v>3.5768</v>
      </c>
      <c r="BZ1018">
        <v>0</v>
      </c>
      <c r="CA1018">
        <v>1</v>
      </c>
      <c r="CB1018">
        <v>0.6</v>
      </c>
      <c r="CC1018" s="3">
        <v>7.1269159999999998E-2</v>
      </c>
      <c r="CD1018">
        <v>2.875</v>
      </c>
      <c r="CE1018">
        <v>2.5</v>
      </c>
      <c r="CF1018">
        <v>18</v>
      </c>
      <c r="CG1018">
        <v>6</v>
      </c>
      <c r="CH1018">
        <v>0</v>
      </c>
      <c r="CI1018">
        <v>21.04</v>
      </c>
      <c r="CJ1018">
        <v>126.708</v>
      </c>
    </row>
    <row r="1019" spans="1:88">
      <c r="A1019">
        <v>1018</v>
      </c>
      <c r="B1019" t="s">
        <v>13</v>
      </c>
      <c r="C1019" t="s">
        <v>1</v>
      </c>
      <c r="D1019" t="s">
        <v>342</v>
      </c>
      <c r="E1019" t="s">
        <v>464</v>
      </c>
      <c r="F1019" t="s">
        <v>484</v>
      </c>
      <c r="G1019" t="s">
        <v>106</v>
      </c>
      <c r="H1019" t="s">
        <v>241</v>
      </c>
      <c r="J1019">
        <v>2</v>
      </c>
      <c r="K1019" t="s">
        <v>146</v>
      </c>
      <c r="L1019" t="s">
        <v>227</v>
      </c>
      <c r="M1019" t="s">
        <v>408</v>
      </c>
      <c r="N1019" t="s">
        <v>317</v>
      </c>
      <c r="O1019">
        <v>96</v>
      </c>
      <c r="Q1019">
        <v>224</v>
      </c>
      <c r="R1019">
        <v>52</v>
      </c>
      <c r="S1019">
        <v>4.25</v>
      </c>
      <c r="T1019">
        <v>2.677</v>
      </c>
      <c r="U1019">
        <v>5.85</v>
      </c>
      <c r="V1019">
        <v>951.95</v>
      </c>
      <c r="W1019">
        <v>303</v>
      </c>
      <c r="X1019">
        <v>1.3332999999999999</v>
      </c>
      <c r="Y1019">
        <v>237</v>
      </c>
      <c r="Z1019">
        <v>4.01</v>
      </c>
      <c r="AJ1019">
        <v>2</v>
      </c>
      <c r="AK1019">
        <v>18</v>
      </c>
      <c r="AM1019">
        <v>0</v>
      </c>
      <c r="AO1019" t="s">
        <v>243</v>
      </c>
      <c r="AT1019">
        <v>39</v>
      </c>
      <c r="AV1019">
        <v>29.5</v>
      </c>
      <c r="AW1019">
        <v>0</v>
      </c>
      <c r="AX1019">
        <v>0</v>
      </c>
      <c r="AY1019">
        <v>27.25</v>
      </c>
      <c r="AZ1019">
        <v>3</v>
      </c>
      <c r="BA1019">
        <v>0</v>
      </c>
      <c r="BB1019">
        <v>0</v>
      </c>
      <c r="BC1019">
        <v>24</v>
      </c>
      <c r="BN1019">
        <v>139.1</v>
      </c>
      <c r="BO1019">
        <v>5363</v>
      </c>
      <c r="BP1019">
        <v>0</v>
      </c>
      <c r="BQ1019">
        <v>33</v>
      </c>
      <c r="BR1019">
        <v>33</v>
      </c>
      <c r="BS1019">
        <v>32.520000000000003</v>
      </c>
      <c r="BT1019">
        <v>0</v>
      </c>
      <c r="BV1019">
        <v>0</v>
      </c>
      <c r="BW1019" t="s">
        <v>655</v>
      </c>
      <c r="BX1019">
        <v>0.17</v>
      </c>
      <c r="BY1019">
        <v>5.5284000000000004</v>
      </c>
      <c r="BZ1019">
        <v>0</v>
      </c>
      <c r="CA1019">
        <v>1</v>
      </c>
      <c r="CB1019">
        <v>0.6</v>
      </c>
      <c r="CC1019" s="3">
        <v>7.1269159999999998E-2</v>
      </c>
      <c r="CD1019">
        <v>2.875</v>
      </c>
      <c r="CE1019">
        <v>2.5</v>
      </c>
      <c r="CF1019">
        <v>18</v>
      </c>
      <c r="CG1019">
        <v>6</v>
      </c>
      <c r="CH1019">
        <v>0</v>
      </c>
      <c r="CI1019">
        <v>32.520000000000003</v>
      </c>
      <c r="CJ1019">
        <v>188.8904</v>
      </c>
    </row>
    <row r="1020" spans="1:88">
      <c r="A1020">
        <v>1019</v>
      </c>
      <c r="B1020" t="s">
        <v>0</v>
      </c>
      <c r="C1020" t="s">
        <v>1</v>
      </c>
      <c r="D1020" t="s">
        <v>643</v>
      </c>
      <c r="E1020" t="s">
        <v>136</v>
      </c>
      <c r="F1020" t="s">
        <v>323</v>
      </c>
      <c r="G1020" t="s">
        <v>106</v>
      </c>
      <c r="H1020" t="s">
        <v>505</v>
      </c>
      <c r="J1020">
        <v>2</v>
      </c>
      <c r="K1020" t="s">
        <v>146</v>
      </c>
      <c r="L1020" t="s">
        <v>150</v>
      </c>
      <c r="M1020" t="s">
        <v>140</v>
      </c>
      <c r="N1020" t="s">
        <v>141</v>
      </c>
      <c r="O1020">
        <v>91</v>
      </c>
      <c r="Q1020">
        <v>132</v>
      </c>
      <c r="R1020">
        <v>33</v>
      </c>
      <c r="S1020">
        <v>4.25</v>
      </c>
      <c r="T1020">
        <v>2.54</v>
      </c>
      <c r="U1020">
        <v>5.73</v>
      </c>
      <c r="V1020">
        <v>560.02</v>
      </c>
      <c r="W1020">
        <v>191</v>
      </c>
      <c r="X1020">
        <v>1.3332999999999999</v>
      </c>
      <c r="Y1020">
        <v>145</v>
      </c>
      <c r="Z1020">
        <v>3.87</v>
      </c>
      <c r="AJ1020">
        <v>2</v>
      </c>
      <c r="AK1020">
        <v>18</v>
      </c>
      <c r="AM1020">
        <v>0</v>
      </c>
      <c r="AO1020" t="s">
        <v>584</v>
      </c>
      <c r="AT1020">
        <v>37</v>
      </c>
      <c r="AV1020">
        <v>17.899999999999999</v>
      </c>
      <c r="AW1020">
        <v>0</v>
      </c>
      <c r="AX1020">
        <v>0</v>
      </c>
      <c r="AY1020">
        <v>17.625</v>
      </c>
      <c r="AZ1020">
        <v>2.375</v>
      </c>
      <c r="BA1020">
        <v>0</v>
      </c>
      <c r="BB1020">
        <v>0</v>
      </c>
      <c r="BC1020">
        <v>13</v>
      </c>
      <c r="BN1020">
        <v>82.033339999999995</v>
      </c>
      <c r="BO1020">
        <v>15420</v>
      </c>
      <c r="BP1020">
        <v>0</v>
      </c>
      <c r="BQ1020">
        <v>31</v>
      </c>
      <c r="BR1020">
        <v>31</v>
      </c>
      <c r="BS1020">
        <v>30.78</v>
      </c>
      <c r="BT1020">
        <v>0</v>
      </c>
      <c r="BV1020">
        <v>0</v>
      </c>
      <c r="BW1020" t="s">
        <v>655</v>
      </c>
      <c r="BX1020">
        <v>0.17</v>
      </c>
      <c r="BY1020">
        <v>5.2325999999999997</v>
      </c>
      <c r="BZ1020">
        <v>0</v>
      </c>
      <c r="CA1020">
        <v>1</v>
      </c>
      <c r="CB1020">
        <v>0.6</v>
      </c>
      <c r="CC1020" s="3">
        <v>7.1269159999999998E-2</v>
      </c>
      <c r="CD1020">
        <v>2.875</v>
      </c>
      <c r="CE1020">
        <v>2.5</v>
      </c>
      <c r="CF1020">
        <v>18</v>
      </c>
      <c r="CG1020">
        <v>6</v>
      </c>
      <c r="CH1020">
        <v>0</v>
      </c>
      <c r="CI1020">
        <v>30.78</v>
      </c>
      <c r="CJ1020">
        <v>108.5864</v>
      </c>
    </row>
    <row r="1021" spans="1:88">
      <c r="A1021">
        <v>1020</v>
      </c>
      <c r="B1021" t="s">
        <v>0</v>
      </c>
      <c r="C1021" t="s">
        <v>1</v>
      </c>
      <c r="D1021" t="s">
        <v>283</v>
      </c>
      <c r="E1021" t="s">
        <v>438</v>
      </c>
      <c r="F1021" t="s">
        <v>243</v>
      </c>
      <c r="G1021" t="s">
        <v>106</v>
      </c>
      <c r="H1021" t="s">
        <v>284</v>
      </c>
      <c r="J1021">
        <v>2</v>
      </c>
      <c r="K1021" t="s">
        <v>146</v>
      </c>
      <c r="L1021" t="s">
        <v>399</v>
      </c>
      <c r="M1021" t="s">
        <v>467</v>
      </c>
      <c r="N1021" t="s">
        <v>382</v>
      </c>
      <c r="O1021">
        <v>97</v>
      </c>
      <c r="Q1021">
        <v>221</v>
      </c>
      <c r="R1021">
        <v>51</v>
      </c>
      <c r="S1021">
        <v>4.25</v>
      </c>
      <c r="T1021">
        <v>2.7040000000000002</v>
      </c>
      <c r="U1021">
        <v>5.85</v>
      </c>
      <c r="V1021">
        <v>937.59</v>
      </c>
      <c r="W1021">
        <v>296</v>
      </c>
      <c r="X1021">
        <v>1.3332999999999999</v>
      </c>
      <c r="Y1021">
        <v>233</v>
      </c>
      <c r="Z1021">
        <v>4.03</v>
      </c>
      <c r="AJ1021">
        <v>2</v>
      </c>
      <c r="AK1021">
        <v>18</v>
      </c>
      <c r="AM1021">
        <v>0</v>
      </c>
      <c r="AO1021" t="s">
        <v>285</v>
      </c>
      <c r="AT1021">
        <v>39</v>
      </c>
      <c r="AV1021">
        <v>28.8</v>
      </c>
      <c r="AW1021">
        <v>0</v>
      </c>
      <c r="AX1021">
        <v>0</v>
      </c>
      <c r="AY1021">
        <v>27.75</v>
      </c>
      <c r="AZ1021">
        <v>3</v>
      </c>
      <c r="BA1021">
        <v>0</v>
      </c>
      <c r="BB1021">
        <v>0</v>
      </c>
      <c r="BC1021">
        <v>25</v>
      </c>
      <c r="BN1021">
        <v>135.5334</v>
      </c>
      <c r="BO1021">
        <v>5649</v>
      </c>
      <c r="BP1021">
        <v>0</v>
      </c>
      <c r="BQ1021">
        <v>33</v>
      </c>
      <c r="BR1021">
        <v>33</v>
      </c>
      <c r="BS1021">
        <v>32.86</v>
      </c>
      <c r="BT1021">
        <v>0</v>
      </c>
      <c r="BV1021">
        <v>0</v>
      </c>
      <c r="BW1021" t="s">
        <v>655</v>
      </c>
      <c r="BX1021">
        <v>0.17</v>
      </c>
      <c r="BY1021">
        <v>5.5861999999999998</v>
      </c>
      <c r="BZ1021">
        <v>0</v>
      </c>
      <c r="CA1021">
        <v>1</v>
      </c>
      <c r="CB1021">
        <v>0.6</v>
      </c>
      <c r="CC1021" s="3">
        <v>7.1269159999999998E-2</v>
      </c>
      <c r="CD1021">
        <v>2.875</v>
      </c>
      <c r="CE1021">
        <v>2.5</v>
      </c>
      <c r="CF1021">
        <v>18</v>
      </c>
      <c r="CG1021">
        <v>6</v>
      </c>
      <c r="CH1021">
        <v>0</v>
      </c>
      <c r="CI1021">
        <v>32.86</v>
      </c>
      <c r="CJ1021">
        <v>186.1814</v>
      </c>
    </row>
    <row r="1022" spans="1:88">
      <c r="A1022">
        <v>1021</v>
      </c>
      <c r="B1022" t="s">
        <v>0</v>
      </c>
      <c r="C1022" t="s">
        <v>1</v>
      </c>
      <c r="D1022" t="s">
        <v>328</v>
      </c>
      <c r="E1022" t="s">
        <v>104</v>
      </c>
      <c r="F1022" t="s">
        <v>329</v>
      </c>
      <c r="G1022" t="s">
        <v>20</v>
      </c>
      <c r="H1022" t="s">
        <v>328</v>
      </c>
      <c r="J1022">
        <v>2</v>
      </c>
      <c r="K1022" t="s">
        <v>9</v>
      </c>
      <c r="L1022" t="s">
        <v>109</v>
      </c>
      <c r="M1022" t="s">
        <v>110</v>
      </c>
      <c r="N1022" t="s">
        <v>111</v>
      </c>
      <c r="O1022">
        <v>191</v>
      </c>
      <c r="Q1022">
        <v>1246</v>
      </c>
      <c r="R1022">
        <v>154</v>
      </c>
      <c r="S1022">
        <v>4.25</v>
      </c>
      <c r="T1022">
        <v>4.9850000000000003</v>
      </c>
      <c r="U1022">
        <v>7.27</v>
      </c>
      <c r="V1022">
        <v>5296.81</v>
      </c>
      <c r="W1022">
        <v>1119</v>
      </c>
      <c r="X1022">
        <v>1.3332999999999999</v>
      </c>
      <c r="Y1022">
        <v>839</v>
      </c>
      <c r="Z1022">
        <v>6.31</v>
      </c>
      <c r="AJ1022">
        <v>2</v>
      </c>
      <c r="AK1022">
        <v>18</v>
      </c>
      <c r="AM1022">
        <v>0</v>
      </c>
      <c r="AO1022" t="s">
        <v>331</v>
      </c>
      <c r="AT1022">
        <v>72</v>
      </c>
      <c r="AV1022">
        <v>88.5</v>
      </c>
      <c r="AW1022" t="s">
        <v>6</v>
      </c>
      <c r="AX1022" t="s">
        <v>6</v>
      </c>
      <c r="AY1022" t="s">
        <v>6</v>
      </c>
      <c r="AZ1022" t="s">
        <v>6</v>
      </c>
      <c r="BA1022" t="s">
        <v>6</v>
      </c>
      <c r="BB1022" t="s">
        <v>6</v>
      </c>
      <c r="BC1022" t="s">
        <v>6</v>
      </c>
      <c r="BD1022" t="s">
        <v>6</v>
      </c>
      <c r="BE1022" t="s">
        <v>6</v>
      </c>
      <c r="BF1022" t="s">
        <v>6</v>
      </c>
      <c r="BG1022" t="s">
        <v>6</v>
      </c>
      <c r="BH1022" t="s">
        <v>6</v>
      </c>
      <c r="BI1022" t="s">
        <v>6</v>
      </c>
      <c r="BJ1022" t="s">
        <v>6</v>
      </c>
      <c r="BN1022">
        <v>663.95</v>
      </c>
      <c r="BO1022">
        <v>2716</v>
      </c>
      <c r="BP1022">
        <v>0</v>
      </c>
      <c r="BQ1022">
        <v>66</v>
      </c>
      <c r="BR1022">
        <v>66</v>
      </c>
      <c r="BS1022">
        <v>65.56</v>
      </c>
      <c r="BT1022">
        <v>0</v>
      </c>
      <c r="BV1022">
        <v>6</v>
      </c>
      <c r="BW1022" t="s">
        <v>655</v>
      </c>
      <c r="BX1022">
        <v>0.27933340000000001</v>
      </c>
      <c r="BY1022">
        <v>18.313089999999999</v>
      </c>
      <c r="BZ1022">
        <v>0</v>
      </c>
      <c r="CA1022">
        <v>1</v>
      </c>
      <c r="CB1022">
        <v>0.6</v>
      </c>
      <c r="CC1022" s="3">
        <v>7.1269159999999998E-2</v>
      </c>
      <c r="CD1022">
        <v>2.875</v>
      </c>
      <c r="CE1022">
        <v>2.5</v>
      </c>
      <c r="CF1022">
        <v>18</v>
      </c>
      <c r="CG1022">
        <v>6</v>
      </c>
      <c r="CH1022">
        <v>0</v>
      </c>
      <c r="CI1022">
        <v>65.56</v>
      </c>
      <c r="CJ1022">
        <v>1139.4829999999999</v>
      </c>
    </row>
    <row r="1023" spans="1:88">
      <c r="A1023">
        <v>1022</v>
      </c>
      <c r="B1023" t="s">
        <v>0</v>
      </c>
      <c r="C1023" t="s">
        <v>1</v>
      </c>
      <c r="D1023" t="s">
        <v>491</v>
      </c>
      <c r="E1023" t="s">
        <v>2</v>
      </c>
      <c r="F1023" t="s">
        <v>597</v>
      </c>
      <c r="G1023" t="s">
        <v>106</v>
      </c>
      <c r="H1023" t="s">
        <v>598</v>
      </c>
      <c r="J1023">
        <v>2</v>
      </c>
      <c r="K1023" t="s">
        <v>146</v>
      </c>
      <c r="L1023" t="s">
        <v>122</v>
      </c>
      <c r="M1023" t="s">
        <v>4</v>
      </c>
      <c r="N1023" t="s">
        <v>5</v>
      </c>
      <c r="O1023">
        <v>107</v>
      </c>
      <c r="Q1023">
        <v>123</v>
      </c>
      <c r="R1023">
        <v>28</v>
      </c>
      <c r="S1023">
        <v>4.25</v>
      </c>
      <c r="T1023">
        <v>2.9710000000000001</v>
      </c>
      <c r="U1023">
        <v>6.07</v>
      </c>
      <c r="V1023">
        <v>521.90009999999995</v>
      </c>
      <c r="W1023">
        <v>168</v>
      </c>
      <c r="X1023">
        <v>1.3332999999999999</v>
      </c>
      <c r="Y1023">
        <v>121</v>
      </c>
      <c r="Z1023">
        <v>4.3</v>
      </c>
      <c r="AJ1023">
        <v>2</v>
      </c>
      <c r="AK1023">
        <v>18</v>
      </c>
      <c r="AM1023">
        <v>0</v>
      </c>
      <c r="AO1023" t="s">
        <v>599</v>
      </c>
      <c r="AT1023">
        <v>42</v>
      </c>
      <c r="AV1023">
        <v>14.3</v>
      </c>
      <c r="AW1023">
        <v>0</v>
      </c>
      <c r="AX1023">
        <v>0</v>
      </c>
      <c r="AY1023">
        <v>21</v>
      </c>
      <c r="AZ1023">
        <v>2.75</v>
      </c>
      <c r="BA1023">
        <v>0</v>
      </c>
      <c r="BB1023">
        <v>0</v>
      </c>
      <c r="BC1023">
        <v>16</v>
      </c>
      <c r="BN1023">
        <v>64.200010000000006</v>
      </c>
      <c r="BO1023">
        <v>25177</v>
      </c>
      <c r="BP1023">
        <v>0</v>
      </c>
      <c r="BQ1023">
        <v>36</v>
      </c>
      <c r="BR1023">
        <v>36</v>
      </c>
      <c r="BS1023">
        <v>36.340000000000003</v>
      </c>
      <c r="BT1023">
        <v>0</v>
      </c>
      <c r="BV1023">
        <v>0</v>
      </c>
      <c r="BW1023" t="s">
        <v>655</v>
      </c>
      <c r="BX1023">
        <v>0.17</v>
      </c>
      <c r="BY1023">
        <v>6.1778000000000004</v>
      </c>
      <c r="BZ1023">
        <v>0</v>
      </c>
      <c r="CA1023">
        <v>1</v>
      </c>
      <c r="CB1023">
        <v>0.6</v>
      </c>
      <c r="CC1023" s="3">
        <v>7.1269159999999998E-2</v>
      </c>
      <c r="CD1023">
        <v>2.875</v>
      </c>
      <c r="CE1023">
        <v>2.5</v>
      </c>
      <c r="CF1023">
        <v>18</v>
      </c>
      <c r="CG1023">
        <v>6</v>
      </c>
      <c r="CH1023">
        <v>0</v>
      </c>
      <c r="CI1023">
        <v>36.340000000000003</v>
      </c>
      <c r="CJ1023">
        <v>102.3019</v>
      </c>
    </row>
    <row r="1024" spans="1:88">
      <c r="A1024">
        <v>1023</v>
      </c>
      <c r="B1024" t="s">
        <v>0</v>
      </c>
      <c r="C1024" t="s">
        <v>1</v>
      </c>
      <c r="D1024" t="s">
        <v>113</v>
      </c>
      <c r="E1024" t="s">
        <v>253</v>
      </c>
      <c r="F1024" t="s">
        <v>262</v>
      </c>
      <c r="G1024" t="s">
        <v>214</v>
      </c>
      <c r="H1024" t="s">
        <v>263</v>
      </c>
      <c r="J1024">
        <v>2</v>
      </c>
      <c r="K1024" t="s">
        <v>108</v>
      </c>
      <c r="L1024" t="s">
        <v>287</v>
      </c>
      <c r="M1024" t="s">
        <v>633</v>
      </c>
      <c r="N1024" t="s">
        <v>276</v>
      </c>
      <c r="O1024">
        <v>197</v>
      </c>
      <c r="Q1024">
        <v>903</v>
      </c>
      <c r="R1024">
        <v>109</v>
      </c>
      <c r="S1024">
        <v>4.25</v>
      </c>
      <c r="T1024">
        <v>5.117</v>
      </c>
      <c r="U1024">
        <v>7.35</v>
      </c>
      <c r="V1024">
        <v>3835.83</v>
      </c>
      <c r="W1024">
        <v>798</v>
      </c>
      <c r="X1024">
        <v>1.3332999999999999</v>
      </c>
      <c r="Y1024">
        <v>595</v>
      </c>
      <c r="Z1024">
        <v>6.45</v>
      </c>
      <c r="AJ1024">
        <v>2</v>
      </c>
      <c r="AK1024">
        <v>18</v>
      </c>
      <c r="AM1024">
        <v>0</v>
      </c>
      <c r="AO1024" t="s">
        <v>266</v>
      </c>
      <c r="AT1024">
        <v>74</v>
      </c>
      <c r="AV1024">
        <v>62.3</v>
      </c>
      <c r="AW1024">
        <v>0.46875</v>
      </c>
      <c r="AX1024">
        <v>3.75</v>
      </c>
      <c r="AY1024">
        <v>68.125</v>
      </c>
      <c r="AZ1024">
        <v>6</v>
      </c>
      <c r="BA1024">
        <v>297.35000000000002</v>
      </c>
      <c r="BB1024">
        <v>6.62</v>
      </c>
      <c r="BC1024">
        <v>73</v>
      </c>
      <c r="BD1024">
        <v>0.46875</v>
      </c>
      <c r="BE1024">
        <v>3.75</v>
      </c>
      <c r="BF1024">
        <v>68.125</v>
      </c>
      <c r="BG1024">
        <v>6</v>
      </c>
      <c r="BH1024">
        <v>297.35000000000002</v>
      </c>
      <c r="BI1024">
        <v>6.62</v>
      </c>
      <c r="BJ1024">
        <v>73</v>
      </c>
      <c r="BL1024">
        <v>594.70000000000005</v>
      </c>
      <c r="BM1024">
        <v>146</v>
      </c>
      <c r="BN1024">
        <v>302.12</v>
      </c>
      <c r="BO1024">
        <v>1426</v>
      </c>
      <c r="BP1024">
        <v>0</v>
      </c>
      <c r="BQ1024">
        <v>68</v>
      </c>
      <c r="BR1024">
        <v>68</v>
      </c>
      <c r="BS1024">
        <v>67.650000000000006</v>
      </c>
      <c r="BT1024">
        <v>0</v>
      </c>
      <c r="BV1024">
        <v>0</v>
      </c>
      <c r="BW1024" t="s">
        <v>655</v>
      </c>
      <c r="BX1024">
        <v>0.17</v>
      </c>
      <c r="BY1024">
        <v>11.500500000000001</v>
      </c>
      <c r="BZ1024">
        <v>0</v>
      </c>
      <c r="CA1024">
        <v>1</v>
      </c>
      <c r="CB1024">
        <v>0.6</v>
      </c>
      <c r="CC1024" s="3">
        <v>7.1269159999999998E-2</v>
      </c>
      <c r="CD1024">
        <v>2.875</v>
      </c>
      <c r="CE1024">
        <v>2.5</v>
      </c>
      <c r="CF1024">
        <v>18</v>
      </c>
      <c r="CG1024">
        <v>6</v>
      </c>
      <c r="CH1024">
        <v>0</v>
      </c>
      <c r="CI1024">
        <v>67.650000000000006</v>
      </c>
      <c r="CJ1024">
        <v>828.67100000000005</v>
      </c>
    </row>
    <row r="1025" spans="1:88">
      <c r="A1025">
        <v>1024</v>
      </c>
      <c r="B1025" t="s">
        <v>13</v>
      </c>
      <c r="C1025" t="s">
        <v>1</v>
      </c>
      <c r="D1025" t="s">
        <v>96</v>
      </c>
      <c r="E1025" t="s">
        <v>295</v>
      </c>
      <c r="F1025" t="s">
        <v>198</v>
      </c>
      <c r="G1025" t="s">
        <v>106</v>
      </c>
      <c r="H1025" t="s">
        <v>162</v>
      </c>
      <c r="J1025">
        <v>2</v>
      </c>
      <c r="K1025" t="s">
        <v>146</v>
      </c>
      <c r="L1025" t="s">
        <v>316</v>
      </c>
      <c r="M1025" t="s">
        <v>296</v>
      </c>
      <c r="N1025" t="s">
        <v>207</v>
      </c>
      <c r="O1025">
        <v>150</v>
      </c>
      <c r="Q1025">
        <v>505</v>
      </c>
      <c r="R1025">
        <v>81</v>
      </c>
      <c r="S1025">
        <v>4.25</v>
      </c>
      <c r="T1025">
        <v>4.048</v>
      </c>
      <c r="U1025">
        <v>6.71</v>
      </c>
      <c r="V1025">
        <v>2146.54</v>
      </c>
      <c r="W1025">
        <v>542</v>
      </c>
      <c r="X1025">
        <v>1.3332999999999999</v>
      </c>
      <c r="Y1025">
        <v>399</v>
      </c>
      <c r="Z1025">
        <v>5.38</v>
      </c>
      <c r="AJ1025">
        <v>2</v>
      </c>
      <c r="AK1025">
        <v>18</v>
      </c>
      <c r="AM1025">
        <v>0</v>
      </c>
      <c r="AO1025" t="s">
        <v>166</v>
      </c>
      <c r="AT1025">
        <v>57</v>
      </c>
      <c r="AV1025">
        <v>44.8</v>
      </c>
      <c r="AW1025">
        <v>0.46875</v>
      </c>
      <c r="AX1025">
        <v>3.75</v>
      </c>
      <c r="AY1025">
        <v>55.375</v>
      </c>
      <c r="AZ1025">
        <v>5</v>
      </c>
      <c r="BA1025">
        <v>366.32</v>
      </c>
      <c r="BB1025">
        <v>5.38</v>
      </c>
      <c r="BC1025">
        <v>59</v>
      </c>
      <c r="BD1025">
        <v>0.25</v>
      </c>
      <c r="BE1025">
        <v>2.75</v>
      </c>
      <c r="BF1025">
        <v>35.125</v>
      </c>
      <c r="BG1025">
        <v>2.75</v>
      </c>
      <c r="BH1025">
        <v>32.659999999999997</v>
      </c>
      <c r="BI1025">
        <v>10.51</v>
      </c>
      <c r="BJ1025">
        <v>15</v>
      </c>
      <c r="BL1025">
        <v>398.98</v>
      </c>
      <c r="BM1025">
        <v>74</v>
      </c>
      <c r="BN1025">
        <v>214</v>
      </c>
      <c r="BO1025">
        <v>2266</v>
      </c>
      <c r="BP1025">
        <v>0</v>
      </c>
      <c r="BQ1025">
        <v>51</v>
      </c>
      <c r="BR1025">
        <v>51</v>
      </c>
      <c r="BS1025">
        <v>51.3</v>
      </c>
      <c r="BT1025">
        <v>0</v>
      </c>
      <c r="BV1025">
        <v>0</v>
      </c>
      <c r="BW1025" t="s">
        <v>655</v>
      </c>
      <c r="BX1025">
        <v>0.17</v>
      </c>
      <c r="BY1025">
        <v>8.7210000000000001</v>
      </c>
      <c r="BZ1025">
        <v>0</v>
      </c>
      <c r="CA1025">
        <v>1</v>
      </c>
      <c r="CB1025">
        <v>0.6</v>
      </c>
      <c r="CC1025" s="3">
        <v>7.1269159999999998E-2</v>
      </c>
      <c r="CD1025">
        <v>2.875</v>
      </c>
      <c r="CE1025">
        <v>2.5</v>
      </c>
      <c r="CF1025">
        <v>18</v>
      </c>
      <c r="CG1025">
        <v>6</v>
      </c>
      <c r="CH1025">
        <v>0</v>
      </c>
      <c r="CI1025">
        <v>51.3</v>
      </c>
      <c r="CJ1025">
        <v>451.52929999999998</v>
      </c>
    </row>
    <row r="1026" spans="1:88">
      <c r="A1026">
        <v>1025</v>
      </c>
      <c r="B1026" t="s">
        <v>0</v>
      </c>
      <c r="C1026" t="s">
        <v>1</v>
      </c>
      <c r="D1026" t="s">
        <v>202</v>
      </c>
      <c r="E1026" t="s">
        <v>438</v>
      </c>
      <c r="F1026" t="s">
        <v>357</v>
      </c>
      <c r="G1026" t="s">
        <v>106</v>
      </c>
      <c r="H1026" t="s">
        <v>358</v>
      </c>
      <c r="J1026">
        <v>2</v>
      </c>
      <c r="K1026" t="s">
        <v>108</v>
      </c>
      <c r="L1026" t="s">
        <v>399</v>
      </c>
      <c r="M1026" t="s">
        <v>467</v>
      </c>
      <c r="N1026" t="s">
        <v>382</v>
      </c>
      <c r="O1026">
        <v>97</v>
      </c>
      <c r="Q1026">
        <v>476</v>
      </c>
      <c r="R1026">
        <v>110</v>
      </c>
      <c r="S1026">
        <v>4.25</v>
      </c>
      <c r="T1026">
        <v>2.7040000000000002</v>
      </c>
      <c r="U1026">
        <v>5.85</v>
      </c>
      <c r="V1026">
        <v>2022.53</v>
      </c>
      <c r="W1026">
        <v>642</v>
      </c>
      <c r="X1026">
        <v>1.3332999999999999</v>
      </c>
      <c r="Y1026">
        <v>502</v>
      </c>
      <c r="Z1026">
        <v>4.03</v>
      </c>
      <c r="AJ1026">
        <v>2</v>
      </c>
      <c r="AK1026">
        <v>18</v>
      </c>
      <c r="AM1026">
        <v>0</v>
      </c>
      <c r="AO1026" t="s">
        <v>262</v>
      </c>
      <c r="AT1026">
        <v>39</v>
      </c>
      <c r="AV1026">
        <v>63.1</v>
      </c>
      <c r="AW1026">
        <v>0.46875</v>
      </c>
      <c r="AX1026">
        <v>3.75</v>
      </c>
      <c r="AY1026">
        <v>41.5</v>
      </c>
      <c r="AZ1026">
        <v>3.75</v>
      </c>
      <c r="BA1026">
        <v>489.03</v>
      </c>
      <c r="BB1026">
        <v>4.03</v>
      </c>
      <c r="BC1026">
        <v>45</v>
      </c>
      <c r="BD1026">
        <v>0.1875</v>
      </c>
      <c r="BE1026">
        <v>2.75</v>
      </c>
      <c r="BF1026">
        <v>20.75</v>
      </c>
      <c r="BG1026">
        <v>1.5</v>
      </c>
      <c r="BH1026">
        <v>12.82</v>
      </c>
      <c r="BI1026">
        <v>11.83</v>
      </c>
      <c r="BJ1026">
        <v>7</v>
      </c>
      <c r="BL1026">
        <v>501.85</v>
      </c>
      <c r="BM1026">
        <v>51</v>
      </c>
      <c r="BN1026">
        <v>303.16669999999999</v>
      </c>
      <c r="BO1026">
        <v>1129</v>
      </c>
      <c r="BP1026">
        <v>0</v>
      </c>
      <c r="BQ1026">
        <v>33</v>
      </c>
      <c r="BR1026">
        <v>33</v>
      </c>
      <c r="BS1026">
        <v>32.86</v>
      </c>
      <c r="BT1026">
        <v>0</v>
      </c>
      <c r="BV1026">
        <v>0</v>
      </c>
      <c r="BW1026" t="s">
        <v>655</v>
      </c>
      <c r="BX1026">
        <v>0.17</v>
      </c>
      <c r="BY1026">
        <v>5.5861999999999998</v>
      </c>
      <c r="BZ1026">
        <v>0</v>
      </c>
      <c r="CA1026">
        <v>1</v>
      </c>
      <c r="CB1026">
        <v>0.6</v>
      </c>
      <c r="CC1026" s="3">
        <v>7.1269159999999998E-2</v>
      </c>
      <c r="CD1026">
        <v>2.875</v>
      </c>
      <c r="CE1026">
        <v>2.5</v>
      </c>
      <c r="CF1026">
        <v>18</v>
      </c>
      <c r="CG1026">
        <v>6</v>
      </c>
      <c r="CH1026">
        <v>0</v>
      </c>
      <c r="CI1026">
        <v>32.86</v>
      </c>
      <c r="CJ1026">
        <v>407.19869999999997</v>
      </c>
    </row>
    <row r="1027" spans="1:88">
      <c r="A1027">
        <v>1026</v>
      </c>
      <c r="B1027" t="s">
        <v>0</v>
      </c>
      <c r="C1027" t="s">
        <v>1</v>
      </c>
      <c r="D1027" t="s">
        <v>197</v>
      </c>
      <c r="E1027" t="s">
        <v>272</v>
      </c>
      <c r="F1027" t="s">
        <v>390</v>
      </c>
      <c r="G1027" t="s">
        <v>106</v>
      </c>
      <c r="H1027" t="s">
        <v>391</v>
      </c>
      <c r="J1027">
        <v>2</v>
      </c>
      <c r="K1027" t="s">
        <v>108</v>
      </c>
      <c r="L1027" t="s">
        <v>255</v>
      </c>
      <c r="M1027" t="s">
        <v>269</v>
      </c>
      <c r="N1027" t="s">
        <v>353</v>
      </c>
      <c r="O1027">
        <v>160</v>
      </c>
      <c r="Q1027">
        <v>717</v>
      </c>
      <c r="R1027">
        <v>105</v>
      </c>
      <c r="S1027">
        <v>4.25</v>
      </c>
      <c r="T1027">
        <v>4.2839999999999998</v>
      </c>
      <c r="U1027">
        <v>6.75</v>
      </c>
      <c r="V1027">
        <v>3047.71</v>
      </c>
      <c r="W1027">
        <v>710</v>
      </c>
      <c r="X1027">
        <v>1.3332999999999999</v>
      </c>
      <c r="Y1027">
        <v>543</v>
      </c>
      <c r="Z1027">
        <v>5.61</v>
      </c>
      <c r="AJ1027">
        <v>2</v>
      </c>
      <c r="AK1027">
        <v>18</v>
      </c>
      <c r="AM1027">
        <v>0</v>
      </c>
      <c r="AO1027" t="s">
        <v>392</v>
      </c>
      <c r="AT1027">
        <v>61</v>
      </c>
      <c r="AV1027">
        <v>60.2</v>
      </c>
      <c r="AW1027" t="s">
        <v>6</v>
      </c>
      <c r="AX1027" t="s">
        <v>6</v>
      </c>
      <c r="AY1027" t="s">
        <v>6</v>
      </c>
      <c r="AZ1027" t="s">
        <v>6</v>
      </c>
      <c r="BA1027" t="s">
        <v>6</v>
      </c>
      <c r="BB1027" t="s">
        <v>6</v>
      </c>
      <c r="BC1027" t="s">
        <v>6</v>
      </c>
      <c r="BD1027" t="s">
        <v>6</v>
      </c>
      <c r="BE1027" t="s">
        <v>6</v>
      </c>
      <c r="BF1027" t="s">
        <v>6</v>
      </c>
      <c r="BG1027" t="s">
        <v>6</v>
      </c>
      <c r="BH1027" t="s">
        <v>6</v>
      </c>
      <c r="BI1027" t="s">
        <v>6</v>
      </c>
      <c r="BJ1027" t="s">
        <v>6</v>
      </c>
      <c r="BN1027">
        <v>288.90010000000001</v>
      </c>
      <c r="BO1027">
        <v>1243</v>
      </c>
      <c r="BP1027">
        <v>0</v>
      </c>
      <c r="BQ1027">
        <v>55</v>
      </c>
      <c r="BR1027">
        <v>55</v>
      </c>
      <c r="BS1027">
        <v>54.78</v>
      </c>
      <c r="BT1027">
        <v>0</v>
      </c>
      <c r="BV1027">
        <v>0</v>
      </c>
      <c r="BW1027" t="s">
        <v>655</v>
      </c>
      <c r="BX1027">
        <v>0.17</v>
      </c>
      <c r="BY1027">
        <v>9.3125999999999998</v>
      </c>
      <c r="BZ1027">
        <v>0</v>
      </c>
      <c r="CA1027">
        <v>1</v>
      </c>
      <c r="CB1027">
        <v>0.6</v>
      </c>
      <c r="CC1027" s="3">
        <v>7.1269159999999998E-2</v>
      </c>
      <c r="CD1027">
        <v>2.875</v>
      </c>
      <c r="CE1027">
        <v>2.5</v>
      </c>
      <c r="CF1027">
        <v>18</v>
      </c>
      <c r="CG1027">
        <v>6</v>
      </c>
      <c r="CH1027">
        <v>0</v>
      </c>
      <c r="CI1027">
        <v>54.78</v>
      </c>
      <c r="CJ1027">
        <v>647.59659999999997</v>
      </c>
    </row>
    <row r="1028" spans="1:88">
      <c r="A1028">
        <v>1027</v>
      </c>
      <c r="B1028" t="s">
        <v>0</v>
      </c>
      <c r="C1028" t="s">
        <v>1</v>
      </c>
      <c r="D1028" t="s">
        <v>136</v>
      </c>
      <c r="E1028" t="s">
        <v>317</v>
      </c>
      <c r="F1028" t="s">
        <v>407</v>
      </c>
      <c r="G1028" t="s">
        <v>106</v>
      </c>
      <c r="H1028" t="s">
        <v>375</v>
      </c>
      <c r="J1028">
        <v>2</v>
      </c>
      <c r="K1028" t="s">
        <v>146</v>
      </c>
      <c r="L1028" t="s">
        <v>169</v>
      </c>
      <c r="M1028" t="s">
        <v>400</v>
      </c>
      <c r="N1028" t="s">
        <v>228</v>
      </c>
      <c r="O1028">
        <v>99</v>
      </c>
      <c r="Q1028">
        <v>236</v>
      </c>
      <c r="R1028">
        <v>53</v>
      </c>
      <c r="S1028">
        <v>4.25</v>
      </c>
      <c r="T1028">
        <v>2.758</v>
      </c>
      <c r="U1028">
        <v>5.88</v>
      </c>
      <c r="V1028">
        <v>1001.76</v>
      </c>
      <c r="W1028">
        <v>311</v>
      </c>
      <c r="X1028">
        <v>1.3332999999999999</v>
      </c>
      <c r="Y1028">
        <v>245</v>
      </c>
      <c r="Z1028">
        <v>4.09</v>
      </c>
      <c r="AJ1028">
        <v>2</v>
      </c>
      <c r="AK1028">
        <v>18</v>
      </c>
      <c r="AM1028">
        <v>0</v>
      </c>
      <c r="AO1028" t="s">
        <v>484</v>
      </c>
      <c r="AT1028">
        <v>40</v>
      </c>
      <c r="AV1028">
        <v>30.3</v>
      </c>
      <c r="AW1028">
        <v>0</v>
      </c>
      <c r="AX1028">
        <v>0</v>
      </c>
      <c r="AY1028">
        <v>26.375</v>
      </c>
      <c r="AZ1028">
        <v>3.125</v>
      </c>
      <c r="BA1028">
        <v>0</v>
      </c>
      <c r="BB1028">
        <v>0</v>
      </c>
      <c r="BC1028">
        <v>23</v>
      </c>
      <c r="BN1028">
        <v>142.66669999999999</v>
      </c>
      <c r="BO1028">
        <v>5098</v>
      </c>
      <c r="BP1028">
        <v>0</v>
      </c>
      <c r="BQ1028">
        <v>34</v>
      </c>
      <c r="BR1028">
        <v>34</v>
      </c>
      <c r="BS1028">
        <v>33.56</v>
      </c>
      <c r="BT1028">
        <v>0</v>
      </c>
      <c r="BV1028">
        <v>0</v>
      </c>
      <c r="BW1028" t="s">
        <v>655</v>
      </c>
      <c r="BX1028">
        <v>0.17</v>
      </c>
      <c r="BY1028">
        <v>5.7051999999999996</v>
      </c>
      <c r="BZ1028">
        <v>0</v>
      </c>
      <c r="CA1028">
        <v>1</v>
      </c>
      <c r="CB1028">
        <v>0.6</v>
      </c>
      <c r="CC1028" s="3">
        <v>7.1269159999999998E-2</v>
      </c>
      <c r="CD1028">
        <v>2.875</v>
      </c>
      <c r="CE1028">
        <v>2.5</v>
      </c>
      <c r="CF1028">
        <v>18</v>
      </c>
      <c r="CG1028">
        <v>6</v>
      </c>
      <c r="CH1028">
        <v>0</v>
      </c>
      <c r="CI1028">
        <v>33.56</v>
      </c>
      <c r="CJ1028">
        <v>199.71469999999999</v>
      </c>
    </row>
    <row r="1029" spans="1:88">
      <c r="A1029">
        <v>1028</v>
      </c>
      <c r="B1029" t="s">
        <v>13</v>
      </c>
      <c r="C1029" t="s">
        <v>1</v>
      </c>
      <c r="D1029" t="s">
        <v>377</v>
      </c>
      <c r="E1029" t="s">
        <v>178</v>
      </c>
      <c r="F1029" t="s">
        <v>378</v>
      </c>
      <c r="G1029" t="s">
        <v>15</v>
      </c>
      <c r="H1029" t="s">
        <v>377</v>
      </c>
      <c r="J1029">
        <v>2</v>
      </c>
      <c r="K1029" t="s">
        <v>9</v>
      </c>
      <c r="L1029" t="s">
        <v>127</v>
      </c>
      <c r="M1029" t="s">
        <v>179</v>
      </c>
      <c r="N1029" t="s">
        <v>180</v>
      </c>
      <c r="O1029">
        <v>95</v>
      </c>
      <c r="Q1029">
        <v>662</v>
      </c>
      <c r="R1029">
        <v>155</v>
      </c>
      <c r="S1029">
        <v>4.25</v>
      </c>
      <c r="T1029">
        <v>2.649</v>
      </c>
      <c r="U1029">
        <v>5.81</v>
      </c>
      <c r="V1029">
        <v>2813.33</v>
      </c>
      <c r="W1029">
        <v>901</v>
      </c>
      <c r="X1029">
        <v>1.3332999999999999</v>
      </c>
      <c r="Y1029">
        <v>707</v>
      </c>
      <c r="Z1029">
        <v>3.98</v>
      </c>
      <c r="AJ1029">
        <v>2</v>
      </c>
      <c r="AK1029">
        <v>18</v>
      </c>
      <c r="AM1029">
        <v>0</v>
      </c>
      <c r="AO1029" t="s">
        <v>380</v>
      </c>
      <c r="AT1029">
        <v>38</v>
      </c>
      <c r="AV1029">
        <v>89.2</v>
      </c>
      <c r="AW1029">
        <v>0.5</v>
      </c>
      <c r="AX1029">
        <v>5.625</v>
      </c>
      <c r="AY1029">
        <v>30.625</v>
      </c>
      <c r="AZ1029">
        <v>4</v>
      </c>
      <c r="BA1029">
        <v>584.72</v>
      </c>
      <c r="BB1029">
        <v>3.98</v>
      </c>
      <c r="BC1029">
        <v>55</v>
      </c>
      <c r="BD1029">
        <v>0.3125</v>
      </c>
      <c r="BE1029">
        <v>3.75</v>
      </c>
      <c r="BF1029">
        <v>20.875</v>
      </c>
      <c r="BG1029">
        <v>2.5</v>
      </c>
      <c r="BH1029">
        <v>122.14</v>
      </c>
      <c r="BI1029">
        <v>5.23</v>
      </c>
      <c r="BJ1029">
        <v>16</v>
      </c>
      <c r="BL1029">
        <v>706.86</v>
      </c>
      <c r="BM1029">
        <v>70</v>
      </c>
      <c r="BN1029">
        <v>764.01220000000001</v>
      </c>
      <c r="BO1029">
        <v>1874</v>
      </c>
      <c r="BP1029">
        <v>0</v>
      </c>
      <c r="BQ1029">
        <v>32</v>
      </c>
      <c r="BR1029">
        <v>32</v>
      </c>
      <c r="BS1029">
        <v>32.17</v>
      </c>
      <c r="BT1029">
        <v>0</v>
      </c>
      <c r="BV1029">
        <v>6</v>
      </c>
      <c r="BW1029" t="s">
        <v>655</v>
      </c>
      <c r="BX1029">
        <v>0.27933340000000001</v>
      </c>
      <c r="BY1029">
        <v>8.9861540000000009</v>
      </c>
      <c r="BZ1029">
        <v>0</v>
      </c>
      <c r="CA1029">
        <v>1</v>
      </c>
      <c r="CB1029">
        <v>0.6</v>
      </c>
      <c r="CC1029" s="3">
        <v>7.1269159999999998E-2</v>
      </c>
      <c r="CD1029">
        <v>2.875</v>
      </c>
      <c r="CE1029">
        <v>2.5</v>
      </c>
      <c r="CF1029">
        <v>18</v>
      </c>
      <c r="CG1029">
        <v>6</v>
      </c>
      <c r="CH1029">
        <v>0</v>
      </c>
      <c r="CI1029">
        <v>32.17</v>
      </c>
      <c r="CJ1029">
        <v>563.72460000000001</v>
      </c>
    </row>
    <row r="1030" spans="1:88">
      <c r="A1030">
        <v>1029</v>
      </c>
      <c r="B1030" t="s">
        <v>0</v>
      </c>
      <c r="C1030" t="s">
        <v>1</v>
      </c>
      <c r="D1030" t="s">
        <v>268</v>
      </c>
      <c r="E1030" t="s">
        <v>234</v>
      </c>
      <c r="F1030" t="s">
        <v>308</v>
      </c>
      <c r="G1030" t="s">
        <v>106</v>
      </c>
      <c r="H1030" t="s">
        <v>174</v>
      </c>
      <c r="J1030">
        <v>2</v>
      </c>
      <c r="K1030" t="s">
        <v>146</v>
      </c>
      <c r="L1030" t="s">
        <v>103</v>
      </c>
      <c r="M1030" t="s">
        <v>435</v>
      </c>
      <c r="N1030" t="s">
        <v>295</v>
      </c>
      <c r="O1030">
        <v>147</v>
      </c>
      <c r="Q1030">
        <v>464</v>
      </c>
      <c r="R1030">
        <v>76</v>
      </c>
      <c r="S1030">
        <v>4.25</v>
      </c>
      <c r="T1030">
        <v>3.976</v>
      </c>
      <c r="U1030">
        <v>6.67</v>
      </c>
      <c r="V1030">
        <v>1972.76</v>
      </c>
      <c r="W1030">
        <v>509</v>
      </c>
      <c r="X1030">
        <v>1.3332999999999999</v>
      </c>
      <c r="Y1030">
        <v>372</v>
      </c>
      <c r="Z1030">
        <v>5.3</v>
      </c>
      <c r="AJ1030">
        <v>2</v>
      </c>
      <c r="AK1030">
        <v>18</v>
      </c>
      <c r="AM1030">
        <v>0</v>
      </c>
      <c r="AO1030" t="s">
        <v>312</v>
      </c>
      <c r="AT1030">
        <v>56</v>
      </c>
      <c r="AV1030">
        <v>41.9</v>
      </c>
      <c r="AW1030">
        <v>0</v>
      </c>
      <c r="AX1030">
        <v>0</v>
      </c>
      <c r="AY1030">
        <v>54.5</v>
      </c>
      <c r="AZ1030">
        <v>5</v>
      </c>
      <c r="BA1030">
        <v>0</v>
      </c>
      <c r="BB1030">
        <v>0</v>
      </c>
      <c r="BC1030">
        <v>58</v>
      </c>
      <c r="BN1030">
        <v>199.73339999999999</v>
      </c>
      <c r="BO1030">
        <v>2601</v>
      </c>
      <c r="BP1030">
        <v>0</v>
      </c>
      <c r="BQ1030">
        <v>50</v>
      </c>
      <c r="BR1030">
        <v>50</v>
      </c>
      <c r="BS1030">
        <v>50.26</v>
      </c>
      <c r="BT1030">
        <v>0</v>
      </c>
      <c r="BV1030">
        <v>0</v>
      </c>
      <c r="BW1030" t="s">
        <v>655</v>
      </c>
      <c r="BX1030">
        <v>0.17</v>
      </c>
      <c r="BY1030">
        <v>8.5442</v>
      </c>
      <c r="BZ1030">
        <v>0</v>
      </c>
      <c r="CA1030">
        <v>1</v>
      </c>
      <c r="CB1030">
        <v>0.6</v>
      </c>
      <c r="CC1030" s="3">
        <v>7.1269159999999998E-2</v>
      </c>
      <c r="CD1030">
        <v>2.875</v>
      </c>
      <c r="CE1030">
        <v>2.5</v>
      </c>
      <c r="CF1030">
        <v>18</v>
      </c>
      <c r="CG1030">
        <v>6</v>
      </c>
      <c r="CH1030">
        <v>0</v>
      </c>
      <c r="CI1030">
        <v>50.26</v>
      </c>
      <c r="CJ1030">
        <v>413.71960000000001</v>
      </c>
    </row>
    <row r="1031" spans="1:88">
      <c r="A1031">
        <v>1030</v>
      </c>
      <c r="B1031" t="s">
        <v>0</v>
      </c>
      <c r="C1031" t="s">
        <v>1</v>
      </c>
      <c r="D1031" t="s">
        <v>307</v>
      </c>
      <c r="E1031" t="s">
        <v>2</v>
      </c>
      <c r="F1031" t="s">
        <v>383</v>
      </c>
      <c r="G1031" t="s">
        <v>106</v>
      </c>
      <c r="H1031" t="s">
        <v>268</v>
      </c>
      <c r="J1031">
        <v>2</v>
      </c>
      <c r="K1031" t="s">
        <v>146</v>
      </c>
      <c r="L1031" t="s">
        <v>122</v>
      </c>
      <c r="M1031" t="s">
        <v>4</v>
      </c>
      <c r="N1031" t="s">
        <v>5</v>
      </c>
      <c r="O1031">
        <v>107</v>
      </c>
      <c r="Q1031">
        <v>350</v>
      </c>
      <c r="R1031">
        <v>77</v>
      </c>
      <c r="S1031">
        <v>4.25</v>
      </c>
      <c r="T1031">
        <v>2.9710000000000001</v>
      </c>
      <c r="U1031">
        <v>6.07</v>
      </c>
      <c r="V1031">
        <v>1488.26</v>
      </c>
      <c r="W1031">
        <v>466</v>
      </c>
      <c r="X1031">
        <v>1.3332999999999999</v>
      </c>
      <c r="Y1031">
        <v>346</v>
      </c>
      <c r="Z1031">
        <v>4.3</v>
      </c>
      <c r="AJ1031">
        <v>2</v>
      </c>
      <c r="AK1031">
        <v>18</v>
      </c>
      <c r="AM1031">
        <v>0</v>
      </c>
      <c r="AO1031" t="s">
        <v>270</v>
      </c>
      <c r="AT1031">
        <v>42</v>
      </c>
      <c r="AV1031">
        <v>42.2</v>
      </c>
      <c r="AW1031">
        <v>0</v>
      </c>
      <c r="AX1031">
        <v>0</v>
      </c>
      <c r="AY1031">
        <v>41.125</v>
      </c>
      <c r="AZ1031">
        <v>3.75</v>
      </c>
      <c r="BA1031">
        <v>0</v>
      </c>
      <c r="BB1031">
        <v>0</v>
      </c>
      <c r="BC1031">
        <v>42</v>
      </c>
      <c r="BN1031">
        <v>201.51669999999999</v>
      </c>
      <c r="BO1031">
        <v>2555</v>
      </c>
      <c r="BP1031">
        <v>0</v>
      </c>
      <c r="BQ1031">
        <v>36</v>
      </c>
      <c r="BR1031">
        <v>36</v>
      </c>
      <c r="BS1031">
        <v>36.340000000000003</v>
      </c>
      <c r="BT1031">
        <v>0</v>
      </c>
      <c r="BV1031">
        <v>0</v>
      </c>
      <c r="BW1031" t="s">
        <v>655</v>
      </c>
      <c r="BX1031">
        <v>0.17</v>
      </c>
      <c r="BY1031">
        <v>6.1778000000000004</v>
      </c>
      <c r="BZ1031">
        <v>0</v>
      </c>
      <c r="CA1031">
        <v>1</v>
      </c>
      <c r="CB1031">
        <v>0.6</v>
      </c>
      <c r="CC1031" s="3">
        <v>7.1269159999999998E-2</v>
      </c>
      <c r="CD1031">
        <v>2.875</v>
      </c>
      <c r="CE1031">
        <v>2.5</v>
      </c>
      <c r="CF1031">
        <v>18</v>
      </c>
      <c r="CG1031">
        <v>6</v>
      </c>
      <c r="CH1031">
        <v>0</v>
      </c>
      <c r="CI1031">
        <v>36.340000000000003</v>
      </c>
      <c r="CJ1031">
        <v>301.72579999999999</v>
      </c>
    </row>
    <row r="1032" spans="1:88">
      <c r="A1032">
        <v>1031</v>
      </c>
      <c r="B1032" t="s">
        <v>0</v>
      </c>
      <c r="C1032" t="s">
        <v>1</v>
      </c>
      <c r="D1032" t="s">
        <v>169</v>
      </c>
      <c r="E1032" t="s">
        <v>96</v>
      </c>
      <c r="F1032" t="s">
        <v>404</v>
      </c>
      <c r="G1032" t="s">
        <v>106</v>
      </c>
      <c r="H1032" t="s">
        <v>190</v>
      </c>
      <c r="J1032">
        <v>2</v>
      </c>
      <c r="K1032" t="s">
        <v>146</v>
      </c>
      <c r="L1032" t="s">
        <v>293</v>
      </c>
      <c r="M1032" t="s">
        <v>100</v>
      </c>
      <c r="N1032" t="s">
        <v>101</v>
      </c>
      <c r="O1032">
        <v>131</v>
      </c>
      <c r="Q1032">
        <v>403</v>
      </c>
      <c r="R1032">
        <v>74</v>
      </c>
      <c r="S1032">
        <v>4.25</v>
      </c>
      <c r="T1032">
        <v>3.5859999999999999</v>
      </c>
      <c r="U1032">
        <v>6.37</v>
      </c>
      <c r="V1032">
        <v>1713.55</v>
      </c>
      <c r="W1032">
        <v>471</v>
      </c>
      <c r="X1032">
        <v>1.3332999999999999</v>
      </c>
      <c r="Y1032">
        <v>349</v>
      </c>
      <c r="Z1032">
        <v>4.91</v>
      </c>
      <c r="AJ1032">
        <v>2</v>
      </c>
      <c r="AK1032">
        <v>18</v>
      </c>
      <c r="AM1032">
        <v>0</v>
      </c>
      <c r="AO1032" t="s">
        <v>406</v>
      </c>
      <c r="AT1032">
        <v>51</v>
      </c>
      <c r="AV1032">
        <v>40.4</v>
      </c>
      <c r="AW1032">
        <v>0</v>
      </c>
      <c r="AX1032">
        <v>0</v>
      </c>
      <c r="AY1032">
        <v>58.125</v>
      </c>
      <c r="AZ1032">
        <v>4.625</v>
      </c>
      <c r="BA1032">
        <v>0</v>
      </c>
      <c r="BB1032">
        <v>0</v>
      </c>
      <c r="BC1032">
        <v>62</v>
      </c>
      <c r="BN1032">
        <v>192.6</v>
      </c>
      <c r="BO1032">
        <v>2797</v>
      </c>
      <c r="BP1032">
        <v>0</v>
      </c>
      <c r="BQ1032">
        <v>45</v>
      </c>
      <c r="BR1032">
        <v>45</v>
      </c>
      <c r="BS1032">
        <v>44.69</v>
      </c>
      <c r="BT1032">
        <v>0</v>
      </c>
      <c r="BV1032">
        <v>0</v>
      </c>
      <c r="BW1032" t="s">
        <v>655</v>
      </c>
      <c r="BX1032">
        <v>0.17</v>
      </c>
      <c r="BY1032">
        <v>7.5972999999999997</v>
      </c>
      <c r="BZ1032">
        <v>0</v>
      </c>
      <c r="CA1032">
        <v>1</v>
      </c>
      <c r="CB1032">
        <v>0.6</v>
      </c>
      <c r="CC1032" s="3">
        <v>7.1269159999999998E-2</v>
      </c>
      <c r="CD1032">
        <v>2.875</v>
      </c>
      <c r="CE1032">
        <v>2.5</v>
      </c>
      <c r="CF1032">
        <v>18</v>
      </c>
      <c r="CG1032">
        <v>6</v>
      </c>
      <c r="CH1032">
        <v>0</v>
      </c>
      <c r="CI1032">
        <v>44.69</v>
      </c>
      <c r="CJ1032">
        <v>355.12950000000001</v>
      </c>
    </row>
    <row r="1033" spans="1:88">
      <c r="A1033">
        <v>1032</v>
      </c>
      <c r="B1033" t="s">
        <v>0</v>
      </c>
      <c r="C1033" t="s">
        <v>1</v>
      </c>
      <c r="D1033" t="s">
        <v>158</v>
      </c>
      <c r="E1033" t="s">
        <v>235</v>
      </c>
      <c r="F1033" t="s">
        <v>166</v>
      </c>
      <c r="G1033" t="s">
        <v>106</v>
      </c>
      <c r="H1033" t="s">
        <v>119</v>
      </c>
      <c r="J1033">
        <v>2</v>
      </c>
      <c r="K1033" t="s">
        <v>146</v>
      </c>
      <c r="L1033" t="s">
        <v>185</v>
      </c>
      <c r="M1033" t="s">
        <v>198</v>
      </c>
      <c r="N1033" t="s">
        <v>338</v>
      </c>
      <c r="O1033">
        <v>132</v>
      </c>
      <c r="Q1033">
        <v>442</v>
      </c>
      <c r="R1033">
        <v>80</v>
      </c>
      <c r="S1033">
        <v>4.25</v>
      </c>
      <c r="T1033">
        <v>3.61</v>
      </c>
      <c r="U1033">
        <v>6.37</v>
      </c>
      <c r="V1033">
        <v>1877.48</v>
      </c>
      <c r="W1033">
        <v>508</v>
      </c>
      <c r="X1033">
        <v>1.3332999999999999</v>
      </c>
      <c r="Y1033">
        <v>380</v>
      </c>
      <c r="Z1033">
        <v>4.9400000000000004</v>
      </c>
      <c r="AJ1033">
        <v>2</v>
      </c>
      <c r="AK1033">
        <v>18</v>
      </c>
      <c r="AM1033">
        <v>0</v>
      </c>
      <c r="AO1033" t="s">
        <v>286</v>
      </c>
      <c r="AT1033">
        <v>51</v>
      </c>
      <c r="AV1033">
        <v>44.1</v>
      </c>
      <c r="AW1033">
        <v>0</v>
      </c>
      <c r="AX1033">
        <v>0</v>
      </c>
      <c r="AY1033">
        <v>53.375</v>
      </c>
      <c r="AZ1033">
        <v>4.625</v>
      </c>
      <c r="BA1033">
        <v>0</v>
      </c>
      <c r="BB1033">
        <v>0</v>
      </c>
      <c r="BC1033">
        <v>57</v>
      </c>
      <c r="BN1033">
        <v>210.43340000000001</v>
      </c>
      <c r="BO1033">
        <v>2343</v>
      </c>
      <c r="BP1033">
        <v>0</v>
      </c>
      <c r="BQ1033">
        <v>45</v>
      </c>
      <c r="BR1033">
        <v>45</v>
      </c>
      <c r="BS1033">
        <v>45.04</v>
      </c>
      <c r="BT1033">
        <v>0</v>
      </c>
      <c r="BV1033">
        <v>0</v>
      </c>
      <c r="BW1033" t="s">
        <v>655</v>
      </c>
      <c r="BX1033">
        <v>0.17</v>
      </c>
      <c r="BY1033">
        <v>7.6568009999999997</v>
      </c>
      <c r="BZ1033">
        <v>0</v>
      </c>
      <c r="CA1033">
        <v>1</v>
      </c>
      <c r="CB1033">
        <v>0.6</v>
      </c>
      <c r="CC1033" s="3">
        <v>7.1269159999999998E-2</v>
      </c>
      <c r="CD1033">
        <v>2.875</v>
      </c>
      <c r="CE1033">
        <v>2.5</v>
      </c>
      <c r="CF1033">
        <v>18</v>
      </c>
      <c r="CG1033">
        <v>6</v>
      </c>
      <c r="CH1033">
        <v>0</v>
      </c>
      <c r="CI1033">
        <v>45.04</v>
      </c>
      <c r="CJ1033">
        <v>390.01049999999998</v>
      </c>
    </row>
    <row r="1034" spans="1:88">
      <c r="A1034">
        <v>1033</v>
      </c>
      <c r="B1034" t="s">
        <v>0</v>
      </c>
      <c r="C1034" t="s">
        <v>1</v>
      </c>
      <c r="D1034" t="s">
        <v>466</v>
      </c>
      <c r="E1034" t="s">
        <v>425</v>
      </c>
      <c r="F1034" t="s">
        <v>578</v>
      </c>
      <c r="G1034" t="s">
        <v>214</v>
      </c>
      <c r="H1034" t="s">
        <v>607</v>
      </c>
      <c r="J1034">
        <v>2</v>
      </c>
      <c r="K1034" t="s">
        <v>108</v>
      </c>
      <c r="L1034" t="s">
        <v>420</v>
      </c>
      <c r="M1034" t="s">
        <v>586</v>
      </c>
      <c r="N1034" t="s">
        <v>245</v>
      </c>
      <c r="O1034">
        <v>215</v>
      </c>
      <c r="Q1034">
        <v>941</v>
      </c>
      <c r="R1034">
        <v>113</v>
      </c>
      <c r="S1034">
        <v>4.25</v>
      </c>
      <c r="T1034">
        <v>5.5019999999999998</v>
      </c>
      <c r="U1034">
        <v>7.5</v>
      </c>
      <c r="V1034">
        <v>3998.74</v>
      </c>
      <c r="W1034">
        <v>851</v>
      </c>
      <c r="X1034">
        <v>1.5</v>
      </c>
      <c r="Y1034">
        <v>571</v>
      </c>
      <c r="Z1034">
        <v>7</v>
      </c>
      <c r="AJ1034">
        <v>2</v>
      </c>
      <c r="AK1034">
        <v>18</v>
      </c>
      <c r="AM1034">
        <v>0</v>
      </c>
      <c r="AO1034" t="s">
        <v>349</v>
      </c>
      <c r="AT1034">
        <v>80</v>
      </c>
      <c r="AV1034">
        <v>59.8</v>
      </c>
      <c r="AW1034">
        <v>0.46875</v>
      </c>
      <c r="AX1034">
        <v>3.75</v>
      </c>
      <c r="AY1034">
        <v>71</v>
      </c>
      <c r="AZ1034">
        <v>6.5</v>
      </c>
      <c r="BA1034">
        <v>285.62</v>
      </c>
      <c r="BB1034">
        <v>6.9</v>
      </c>
      <c r="BC1034">
        <v>76</v>
      </c>
      <c r="BD1034">
        <v>0.46875</v>
      </c>
      <c r="BE1034">
        <v>3.75</v>
      </c>
      <c r="BF1034">
        <v>71</v>
      </c>
      <c r="BG1034">
        <v>6.5</v>
      </c>
      <c r="BH1034">
        <v>285.62</v>
      </c>
      <c r="BI1034">
        <v>6.9</v>
      </c>
      <c r="BJ1034">
        <v>76</v>
      </c>
      <c r="BL1034">
        <v>571.24</v>
      </c>
      <c r="BM1034">
        <v>152</v>
      </c>
      <c r="BN1034">
        <v>289.5317</v>
      </c>
      <c r="BO1034">
        <v>1553</v>
      </c>
      <c r="BP1034">
        <v>0</v>
      </c>
      <c r="BQ1034">
        <v>74</v>
      </c>
      <c r="BR1034">
        <v>74</v>
      </c>
      <c r="BS1034">
        <v>73.91001</v>
      </c>
      <c r="BT1034">
        <v>0</v>
      </c>
      <c r="BV1034">
        <v>0</v>
      </c>
      <c r="BW1034" t="s">
        <v>655</v>
      </c>
      <c r="BX1034">
        <v>0.17</v>
      </c>
      <c r="BY1034">
        <v>12.5647</v>
      </c>
      <c r="BZ1034">
        <v>0</v>
      </c>
      <c r="CA1034">
        <v>1</v>
      </c>
      <c r="CB1034">
        <v>0.6</v>
      </c>
      <c r="CC1034" s="3">
        <v>7.1269159999999998E-2</v>
      </c>
      <c r="CD1034">
        <v>2.875</v>
      </c>
      <c r="CE1034">
        <v>2.5</v>
      </c>
      <c r="CF1034">
        <v>18</v>
      </c>
      <c r="CG1034">
        <v>6</v>
      </c>
      <c r="CH1034">
        <v>0</v>
      </c>
      <c r="CI1034">
        <v>73.91001</v>
      </c>
      <c r="CJ1034">
        <v>868.47969999999998</v>
      </c>
    </row>
    <row r="1035" spans="1:88">
      <c r="A1035">
        <v>1034</v>
      </c>
      <c r="B1035" t="s">
        <v>0</v>
      </c>
      <c r="C1035" t="s">
        <v>1</v>
      </c>
      <c r="D1035" t="s">
        <v>17</v>
      </c>
      <c r="E1035" t="s">
        <v>221</v>
      </c>
      <c r="F1035" t="s">
        <v>418</v>
      </c>
      <c r="G1035" t="s">
        <v>214</v>
      </c>
      <c r="H1035" t="s">
        <v>419</v>
      </c>
      <c r="J1035">
        <v>2</v>
      </c>
      <c r="K1035" t="s">
        <v>108</v>
      </c>
      <c r="L1035" t="s">
        <v>307</v>
      </c>
      <c r="M1035" t="s">
        <v>379</v>
      </c>
      <c r="N1035" t="s">
        <v>2</v>
      </c>
      <c r="O1035">
        <v>104</v>
      </c>
      <c r="Q1035">
        <v>567</v>
      </c>
      <c r="R1035">
        <v>123</v>
      </c>
      <c r="S1035">
        <v>4.25</v>
      </c>
      <c r="T1035">
        <v>2.8919999999999999</v>
      </c>
      <c r="U1035">
        <v>6</v>
      </c>
      <c r="V1035">
        <v>2409.6999999999998</v>
      </c>
      <c r="W1035">
        <v>738</v>
      </c>
      <c r="X1035">
        <v>1.3332999999999999</v>
      </c>
      <c r="Y1035">
        <v>571</v>
      </c>
      <c r="Z1035">
        <v>4.22</v>
      </c>
      <c r="AJ1035">
        <v>2</v>
      </c>
      <c r="AK1035">
        <v>18</v>
      </c>
      <c r="AM1035">
        <v>0</v>
      </c>
      <c r="AO1035" t="s">
        <v>415</v>
      </c>
      <c r="AT1035">
        <v>41</v>
      </c>
      <c r="AV1035">
        <v>70.7</v>
      </c>
      <c r="AW1035">
        <v>0.46875</v>
      </c>
      <c r="AX1035">
        <v>3.75</v>
      </c>
      <c r="AY1035">
        <v>43.375</v>
      </c>
      <c r="AZ1035">
        <v>4</v>
      </c>
      <c r="BA1035">
        <v>467.01</v>
      </c>
      <c r="BB1035">
        <v>4.22</v>
      </c>
      <c r="BC1035">
        <v>47</v>
      </c>
      <c r="BD1035">
        <v>0.3125</v>
      </c>
      <c r="BE1035">
        <v>2.75</v>
      </c>
      <c r="BF1035">
        <v>34.625</v>
      </c>
      <c r="BG1035">
        <v>2.625</v>
      </c>
      <c r="BH1035">
        <v>104</v>
      </c>
      <c r="BI1035">
        <v>6.14</v>
      </c>
      <c r="BJ1035">
        <v>18</v>
      </c>
      <c r="BL1035">
        <v>571.01</v>
      </c>
      <c r="BM1035">
        <v>64</v>
      </c>
      <c r="BN1035">
        <v>343.48169999999999</v>
      </c>
      <c r="BO1035">
        <v>1104</v>
      </c>
      <c r="BP1035">
        <v>0</v>
      </c>
      <c r="BQ1035">
        <v>35</v>
      </c>
      <c r="BR1035">
        <v>35</v>
      </c>
      <c r="BS1035">
        <v>35.299999999999997</v>
      </c>
      <c r="BT1035">
        <v>0</v>
      </c>
      <c r="BV1035">
        <v>0</v>
      </c>
      <c r="BW1035" t="s">
        <v>655</v>
      </c>
      <c r="BX1035">
        <v>0.17</v>
      </c>
      <c r="BY1035">
        <v>6.0010000000000003</v>
      </c>
      <c r="BZ1035">
        <v>0</v>
      </c>
      <c r="CA1035">
        <v>1</v>
      </c>
      <c r="CB1035">
        <v>0.6</v>
      </c>
      <c r="CC1035" s="3">
        <v>7.1269159999999998E-2</v>
      </c>
      <c r="CD1035">
        <v>2.875</v>
      </c>
      <c r="CE1035">
        <v>2.5</v>
      </c>
      <c r="CF1035">
        <v>18</v>
      </c>
      <c r="CG1035">
        <v>6</v>
      </c>
      <c r="CH1035">
        <v>0</v>
      </c>
      <c r="CI1035">
        <v>35.299999999999997</v>
      </c>
      <c r="CJ1035">
        <v>490.26679999999999</v>
      </c>
    </row>
    <row r="1036" spans="1:88">
      <c r="A1036">
        <v>1035</v>
      </c>
      <c r="B1036" t="s">
        <v>0</v>
      </c>
      <c r="C1036" t="s">
        <v>1</v>
      </c>
      <c r="D1036" t="s">
        <v>522</v>
      </c>
      <c r="E1036" t="s">
        <v>19</v>
      </c>
      <c r="F1036" t="s">
        <v>691</v>
      </c>
      <c r="G1036" t="s">
        <v>15</v>
      </c>
      <c r="H1036" t="s">
        <v>522</v>
      </c>
      <c r="J1036">
        <v>2</v>
      </c>
      <c r="K1036" t="s">
        <v>9</v>
      </c>
      <c r="L1036" t="s">
        <v>302</v>
      </c>
      <c r="M1036" t="s">
        <v>433</v>
      </c>
      <c r="N1036" t="s">
        <v>434</v>
      </c>
      <c r="O1036">
        <v>185</v>
      </c>
      <c r="Q1036">
        <v>1156</v>
      </c>
      <c r="R1036">
        <v>147</v>
      </c>
      <c r="S1036">
        <v>4.25</v>
      </c>
      <c r="T1036">
        <v>4.8529999999999998</v>
      </c>
      <c r="U1036">
        <v>7.16</v>
      </c>
      <c r="V1036">
        <v>4911.51</v>
      </c>
      <c r="W1036">
        <v>1052</v>
      </c>
      <c r="X1036">
        <v>1.3332999999999999</v>
      </c>
      <c r="Y1036">
        <v>795</v>
      </c>
      <c r="Z1036">
        <v>6.18</v>
      </c>
      <c r="AJ1036">
        <v>2</v>
      </c>
      <c r="AK1036">
        <v>18</v>
      </c>
      <c r="AM1036">
        <v>0</v>
      </c>
      <c r="AO1036" t="s">
        <v>695</v>
      </c>
      <c r="AT1036">
        <v>70</v>
      </c>
      <c r="AV1036">
        <v>84.5</v>
      </c>
      <c r="AW1036" t="s">
        <v>6</v>
      </c>
      <c r="AX1036" t="s">
        <v>6</v>
      </c>
      <c r="AY1036" t="s">
        <v>6</v>
      </c>
      <c r="AZ1036" t="s">
        <v>6</v>
      </c>
      <c r="BA1036" t="s">
        <v>6</v>
      </c>
      <c r="BB1036" t="s">
        <v>6</v>
      </c>
      <c r="BC1036" t="s">
        <v>6</v>
      </c>
      <c r="BD1036" t="s">
        <v>6</v>
      </c>
      <c r="BE1036" t="s">
        <v>6</v>
      </c>
      <c r="BF1036" t="s">
        <v>6</v>
      </c>
      <c r="BG1036" t="s">
        <v>6</v>
      </c>
      <c r="BH1036" t="s">
        <v>6</v>
      </c>
      <c r="BI1036" t="s">
        <v>6</v>
      </c>
      <c r="BJ1036" t="s">
        <v>6</v>
      </c>
      <c r="BN1036">
        <v>722.97029999999995</v>
      </c>
      <c r="BO1036">
        <v>2093</v>
      </c>
      <c r="BP1036">
        <v>0</v>
      </c>
      <c r="BQ1036">
        <v>63</v>
      </c>
      <c r="BR1036">
        <v>63</v>
      </c>
      <c r="BS1036">
        <v>63.47</v>
      </c>
      <c r="BT1036">
        <v>0</v>
      </c>
      <c r="BV1036">
        <v>6</v>
      </c>
      <c r="BW1036" t="s">
        <v>655</v>
      </c>
      <c r="BX1036">
        <v>0.27933340000000001</v>
      </c>
      <c r="BY1036">
        <v>17.729289999999999</v>
      </c>
      <c r="BZ1036">
        <v>0</v>
      </c>
      <c r="CA1036">
        <v>1</v>
      </c>
      <c r="CB1036">
        <v>0.6</v>
      </c>
      <c r="CC1036" s="3">
        <v>7.1269159999999998E-2</v>
      </c>
      <c r="CD1036">
        <v>2.875</v>
      </c>
      <c r="CE1036">
        <v>2.5</v>
      </c>
      <c r="CF1036">
        <v>18</v>
      </c>
      <c r="CG1036">
        <v>6</v>
      </c>
      <c r="CH1036">
        <v>0</v>
      </c>
      <c r="CI1036">
        <v>63.47</v>
      </c>
      <c r="CJ1036">
        <v>1053.3989999999999</v>
      </c>
    </row>
    <row r="1037" spans="1:88">
      <c r="A1037">
        <v>1036</v>
      </c>
      <c r="B1037" t="s">
        <v>0</v>
      </c>
      <c r="C1037" t="s">
        <v>1</v>
      </c>
      <c r="D1037" t="s">
        <v>255</v>
      </c>
      <c r="E1037" t="s">
        <v>202</v>
      </c>
      <c r="F1037" t="s">
        <v>196</v>
      </c>
      <c r="G1037" t="s">
        <v>214</v>
      </c>
      <c r="H1037" t="s">
        <v>410</v>
      </c>
      <c r="J1037">
        <v>2</v>
      </c>
      <c r="K1037" t="s">
        <v>108</v>
      </c>
      <c r="L1037" t="s">
        <v>203</v>
      </c>
      <c r="M1037" t="s">
        <v>204</v>
      </c>
      <c r="N1037" t="s">
        <v>205</v>
      </c>
      <c r="O1037">
        <v>181</v>
      </c>
      <c r="Q1037">
        <v>838</v>
      </c>
      <c r="R1037">
        <v>109</v>
      </c>
      <c r="S1037">
        <v>4.25</v>
      </c>
      <c r="T1037">
        <v>4.7640000000000002</v>
      </c>
      <c r="U1037">
        <v>7.08</v>
      </c>
      <c r="V1037">
        <v>3562.18</v>
      </c>
      <c r="W1037">
        <v>773</v>
      </c>
      <c r="X1037">
        <v>1.3332999999999999</v>
      </c>
      <c r="Y1037">
        <v>585</v>
      </c>
      <c r="Z1037">
        <v>6.09</v>
      </c>
      <c r="AJ1037">
        <v>2</v>
      </c>
      <c r="AK1037">
        <v>18</v>
      </c>
      <c r="AM1037">
        <v>0</v>
      </c>
      <c r="AO1037" t="s">
        <v>411</v>
      </c>
      <c r="AT1037">
        <v>68</v>
      </c>
      <c r="AV1037">
        <v>62.7</v>
      </c>
      <c r="AW1037">
        <v>0.46875</v>
      </c>
      <c r="AX1037">
        <v>3.75</v>
      </c>
      <c r="AY1037">
        <v>63</v>
      </c>
      <c r="AZ1037">
        <v>5.75</v>
      </c>
      <c r="BA1037">
        <v>321.7</v>
      </c>
      <c r="BB1037">
        <v>6.12</v>
      </c>
      <c r="BC1037">
        <v>68</v>
      </c>
      <c r="BD1037">
        <v>0.4375</v>
      </c>
      <c r="BE1037">
        <v>3.75</v>
      </c>
      <c r="BF1037">
        <v>54</v>
      </c>
      <c r="BG1037">
        <v>5.375</v>
      </c>
      <c r="BH1037">
        <v>263.20999999999998</v>
      </c>
      <c r="BI1037">
        <v>6.25</v>
      </c>
      <c r="BJ1037">
        <v>55</v>
      </c>
      <c r="BL1037">
        <v>584.91010000000006</v>
      </c>
      <c r="BM1037">
        <v>122</v>
      </c>
      <c r="BN1037">
        <v>303.91829999999999</v>
      </c>
      <c r="BO1037">
        <v>1410</v>
      </c>
      <c r="BP1037">
        <v>0</v>
      </c>
      <c r="BQ1037">
        <v>62</v>
      </c>
      <c r="BR1037">
        <v>62</v>
      </c>
      <c r="BS1037">
        <v>62.08</v>
      </c>
      <c r="BT1037">
        <v>0</v>
      </c>
      <c r="BV1037">
        <v>0</v>
      </c>
      <c r="BW1037" t="s">
        <v>655</v>
      </c>
      <c r="BX1037">
        <v>0.17</v>
      </c>
      <c r="BY1037">
        <v>10.553599999999999</v>
      </c>
      <c r="BZ1037">
        <v>0</v>
      </c>
      <c r="CA1037">
        <v>1</v>
      </c>
      <c r="CB1037">
        <v>0.6</v>
      </c>
      <c r="CC1037" s="3">
        <v>7.1269159999999998E-2</v>
      </c>
      <c r="CD1037">
        <v>2.875</v>
      </c>
      <c r="CE1037">
        <v>2.5</v>
      </c>
      <c r="CF1037">
        <v>18</v>
      </c>
      <c r="CG1037">
        <v>6</v>
      </c>
      <c r="CH1037">
        <v>0</v>
      </c>
      <c r="CI1037">
        <v>62.08</v>
      </c>
      <c r="CJ1037">
        <v>764.86630000000002</v>
      </c>
    </row>
    <row r="1038" spans="1:88">
      <c r="A1038">
        <v>1037</v>
      </c>
      <c r="B1038" t="s">
        <v>13</v>
      </c>
      <c r="C1038" t="s">
        <v>1</v>
      </c>
      <c r="D1038" t="s">
        <v>181</v>
      </c>
      <c r="E1038" t="s">
        <v>202</v>
      </c>
      <c r="F1038" t="s">
        <v>182</v>
      </c>
      <c r="G1038" t="s">
        <v>106</v>
      </c>
      <c r="H1038" t="s">
        <v>183</v>
      </c>
      <c r="J1038">
        <v>2</v>
      </c>
      <c r="K1038" t="s">
        <v>108</v>
      </c>
      <c r="L1038" t="s">
        <v>203</v>
      </c>
      <c r="M1038" t="s">
        <v>204</v>
      </c>
      <c r="N1038" t="s">
        <v>205</v>
      </c>
      <c r="O1038">
        <v>181</v>
      </c>
      <c r="Q1038">
        <v>747</v>
      </c>
      <c r="R1038">
        <v>98</v>
      </c>
      <c r="S1038">
        <v>4.25</v>
      </c>
      <c r="T1038">
        <v>4.7640000000000002</v>
      </c>
      <c r="U1038">
        <v>7.08</v>
      </c>
      <c r="V1038">
        <v>3175.6</v>
      </c>
      <c r="W1038">
        <v>696</v>
      </c>
      <c r="X1038">
        <v>1.3332999999999999</v>
      </c>
      <c r="Y1038">
        <v>521</v>
      </c>
      <c r="Z1038">
        <v>6.09</v>
      </c>
      <c r="AJ1038">
        <v>2</v>
      </c>
      <c r="AK1038">
        <v>18</v>
      </c>
      <c r="AM1038">
        <v>0</v>
      </c>
      <c r="AO1038" t="s">
        <v>186</v>
      </c>
      <c r="AT1038">
        <v>68</v>
      </c>
      <c r="AV1038">
        <v>55.8</v>
      </c>
      <c r="AW1038">
        <v>0.4375</v>
      </c>
      <c r="AX1038">
        <v>3.75</v>
      </c>
      <c r="AY1038">
        <v>54.625</v>
      </c>
      <c r="AZ1038">
        <v>5.375</v>
      </c>
      <c r="BA1038">
        <v>260.72000000000003</v>
      </c>
      <c r="BB1038">
        <v>6.31</v>
      </c>
      <c r="BC1038">
        <v>55</v>
      </c>
      <c r="BD1038">
        <v>0.4375</v>
      </c>
      <c r="BE1038">
        <v>3.75</v>
      </c>
      <c r="BF1038">
        <v>54.625</v>
      </c>
      <c r="BG1038">
        <v>5.375</v>
      </c>
      <c r="BH1038">
        <v>260.72000000000003</v>
      </c>
      <c r="BI1038">
        <v>6.31</v>
      </c>
      <c r="BJ1038">
        <v>55</v>
      </c>
      <c r="BL1038">
        <v>521.44000000000005</v>
      </c>
      <c r="BM1038">
        <v>110</v>
      </c>
      <c r="BN1038">
        <v>267.5</v>
      </c>
      <c r="BO1038">
        <v>1450</v>
      </c>
      <c r="BP1038">
        <v>0</v>
      </c>
      <c r="BQ1038">
        <v>62</v>
      </c>
      <c r="BR1038">
        <v>62</v>
      </c>
      <c r="BS1038">
        <v>62.08</v>
      </c>
      <c r="BT1038">
        <v>0</v>
      </c>
      <c r="BV1038">
        <v>0</v>
      </c>
      <c r="BW1038" t="s">
        <v>655</v>
      </c>
      <c r="BX1038">
        <v>0.17</v>
      </c>
      <c r="BY1038">
        <v>10.553599999999999</v>
      </c>
      <c r="BZ1038">
        <v>0</v>
      </c>
      <c r="CA1038">
        <v>1</v>
      </c>
      <c r="CB1038">
        <v>0.6</v>
      </c>
      <c r="CC1038" s="3">
        <v>7.1269159999999998E-2</v>
      </c>
      <c r="CD1038">
        <v>2.875</v>
      </c>
      <c r="CE1038">
        <v>2.5</v>
      </c>
      <c r="CF1038">
        <v>18</v>
      </c>
      <c r="CG1038">
        <v>6</v>
      </c>
      <c r="CH1038">
        <v>0</v>
      </c>
      <c r="CI1038">
        <v>62.08</v>
      </c>
      <c r="CJ1038">
        <v>680.803</v>
      </c>
    </row>
    <row r="1039" spans="1:88">
      <c r="A1039">
        <v>1038</v>
      </c>
      <c r="B1039" t="s">
        <v>0</v>
      </c>
      <c r="C1039" t="s">
        <v>1</v>
      </c>
      <c r="D1039" t="s">
        <v>253</v>
      </c>
      <c r="E1039" t="s">
        <v>8</v>
      </c>
      <c r="F1039" t="s">
        <v>636</v>
      </c>
      <c r="G1039" t="s">
        <v>15</v>
      </c>
      <c r="H1039" t="s">
        <v>637</v>
      </c>
      <c r="J1039">
        <v>2</v>
      </c>
      <c r="K1039" t="s">
        <v>108</v>
      </c>
      <c r="L1039" t="s">
        <v>10</v>
      </c>
      <c r="M1039" t="s">
        <v>11</v>
      </c>
      <c r="N1039" t="s">
        <v>12</v>
      </c>
      <c r="O1039">
        <v>203</v>
      </c>
      <c r="Q1039">
        <v>1024</v>
      </c>
      <c r="R1039">
        <v>131</v>
      </c>
      <c r="S1039">
        <v>4.25</v>
      </c>
      <c r="T1039">
        <v>5.2460000000000004</v>
      </c>
      <c r="U1039">
        <v>7.35</v>
      </c>
      <c r="V1039">
        <v>4353.57</v>
      </c>
      <c r="W1039">
        <v>961</v>
      </c>
      <c r="X1039">
        <v>1.5</v>
      </c>
      <c r="Y1039">
        <v>646</v>
      </c>
      <c r="Z1039">
        <v>6.74</v>
      </c>
      <c r="AJ1039">
        <v>2</v>
      </c>
      <c r="AK1039">
        <v>18</v>
      </c>
      <c r="AM1039">
        <v>0</v>
      </c>
      <c r="AO1039" t="s">
        <v>213</v>
      </c>
      <c r="AT1039">
        <v>76</v>
      </c>
      <c r="AV1039">
        <v>68.900000000000006</v>
      </c>
      <c r="AW1039" t="s">
        <v>6</v>
      </c>
      <c r="AX1039" t="s">
        <v>6</v>
      </c>
      <c r="AY1039" t="s">
        <v>6</v>
      </c>
      <c r="AZ1039" t="s">
        <v>6</v>
      </c>
      <c r="BA1039" t="s">
        <v>6</v>
      </c>
      <c r="BB1039" t="s">
        <v>6</v>
      </c>
      <c r="BC1039" t="s">
        <v>6</v>
      </c>
      <c r="BD1039" t="s">
        <v>6</v>
      </c>
      <c r="BE1039" t="s">
        <v>6</v>
      </c>
      <c r="BF1039" t="s">
        <v>6</v>
      </c>
      <c r="BG1039" t="s">
        <v>6</v>
      </c>
      <c r="BH1039" t="s">
        <v>6</v>
      </c>
      <c r="BI1039" t="s">
        <v>6</v>
      </c>
      <c r="BJ1039" t="s">
        <v>6</v>
      </c>
      <c r="BN1039">
        <v>587.21600000000001</v>
      </c>
      <c r="BO1039">
        <v>3172</v>
      </c>
      <c r="BP1039">
        <v>0</v>
      </c>
      <c r="BQ1039">
        <v>70</v>
      </c>
      <c r="BR1039">
        <v>70</v>
      </c>
      <c r="BS1039">
        <v>69.730009999999993</v>
      </c>
      <c r="BT1039">
        <v>0</v>
      </c>
      <c r="BV1039">
        <v>0</v>
      </c>
      <c r="BW1039" t="s">
        <v>655</v>
      </c>
      <c r="BX1039">
        <v>0.17</v>
      </c>
      <c r="BY1039">
        <v>11.854100000000001</v>
      </c>
      <c r="BZ1039">
        <v>0</v>
      </c>
      <c r="CA1039">
        <v>1</v>
      </c>
      <c r="CB1039">
        <v>0.6</v>
      </c>
      <c r="CC1039" s="3">
        <v>7.1269159999999998E-2</v>
      </c>
      <c r="CD1039">
        <v>2.875</v>
      </c>
      <c r="CE1039">
        <v>2.5</v>
      </c>
      <c r="CF1039">
        <v>18</v>
      </c>
      <c r="CG1039">
        <v>6</v>
      </c>
      <c r="CH1039">
        <v>0</v>
      </c>
      <c r="CI1039">
        <v>69.730009999999993</v>
      </c>
      <c r="CJ1039">
        <v>943.60249999999996</v>
      </c>
    </row>
    <row r="1040" spans="1:88">
      <c r="A1040">
        <v>1039</v>
      </c>
      <c r="B1040" t="s">
        <v>13</v>
      </c>
      <c r="C1040" t="s">
        <v>1</v>
      </c>
      <c r="D1040" t="s">
        <v>96</v>
      </c>
      <c r="E1040" t="s">
        <v>197</v>
      </c>
      <c r="F1040" t="s">
        <v>198</v>
      </c>
      <c r="G1040" t="s">
        <v>106</v>
      </c>
      <c r="H1040" t="s">
        <v>162</v>
      </c>
      <c r="J1040">
        <v>2</v>
      </c>
      <c r="K1040" t="s">
        <v>146</v>
      </c>
      <c r="L1040" t="s">
        <v>199</v>
      </c>
      <c r="M1040" t="s">
        <v>200</v>
      </c>
      <c r="N1040" t="s">
        <v>201</v>
      </c>
      <c r="O1040">
        <v>173</v>
      </c>
      <c r="Q1040">
        <v>577</v>
      </c>
      <c r="R1040">
        <v>81</v>
      </c>
      <c r="S1040">
        <v>4.25</v>
      </c>
      <c r="T1040">
        <v>4.5830000000000002</v>
      </c>
      <c r="U1040">
        <v>6.97</v>
      </c>
      <c r="V1040">
        <v>2451.5700000000002</v>
      </c>
      <c r="W1040">
        <v>563</v>
      </c>
      <c r="X1040">
        <v>1.3332999999999999</v>
      </c>
      <c r="Y1040">
        <v>415</v>
      </c>
      <c r="Z1040">
        <v>5.91</v>
      </c>
      <c r="AJ1040">
        <v>2</v>
      </c>
      <c r="AK1040">
        <v>18</v>
      </c>
      <c r="AM1040">
        <v>0</v>
      </c>
      <c r="AO1040" t="s">
        <v>166</v>
      </c>
      <c r="AT1040">
        <v>65</v>
      </c>
      <c r="AV1040">
        <v>44.8</v>
      </c>
      <c r="AW1040">
        <v>0.46875</v>
      </c>
      <c r="AX1040">
        <v>3.75</v>
      </c>
      <c r="AY1040">
        <v>60.75</v>
      </c>
      <c r="AZ1040">
        <v>5.5</v>
      </c>
      <c r="BA1040">
        <v>333.47</v>
      </c>
      <c r="BB1040">
        <v>5.91</v>
      </c>
      <c r="BC1040">
        <v>65</v>
      </c>
      <c r="BD1040">
        <v>0.3125</v>
      </c>
      <c r="BE1040">
        <v>2.75</v>
      </c>
      <c r="BF1040">
        <v>44.25</v>
      </c>
      <c r="BG1040">
        <v>3.75</v>
      </c>
      <c r="BH1040">
        <v>81.33</v>
      </c>
      <c r="BI1040">
        <v>7.85</v>
      </c>
      <c r="BJ1040">
        <v>24</v>
      </c>
      <c r="BL1040">
        <v>414.8</v>
      </c>
      <c r="BM1040">
        <v>88</v>
      </c>
      <c r="BN1040">
        <v>214</v>
      </c>
      <c r="BO1040">
        <v>2266</v>
      </c>
      <c r="BP1040">
        <v>0</v>
      </c>
      <c r="BQ1040">
        <v>59</v>
      </c>
      <c r="BR1040">
        <v>59</v>
      </c>
      <c r="BS1040">
        <v>59.3</v>
      </c>
      <c r="BT1040">
        <v>0</v>
      </c>
      <c r="BV1040">
        <v>0</v>
      </c>
      <c r="BW1040" t="s">
        <v>655</v>
      </c>
      <c r="BX1040">
        <v>0.17</v>
      </c>
      <c r="BY1040">
        <v>10.081</v>
      </c>
      <c r="BZ1040">
        <v>0</v>
      </c>
      <c r="CA1040">
        <v>1</v>
      </c>
      <c r="CB1040">
        <v>0.6</v>
      </c>
      <c r="CC1040" s="3">
        <v>7.1269159999999998E-2</v>
      </c>
      <c r="CD1040">
        <v>2.875</v>
      </c>
      <c r="CE1040">
        <v>2.5</v>
      </c>
      <c r="CF1040">
        <v>18</v>
      </c>
      <c r="CG1040">
        <v>6</v>
      </c>
      <c r="CH1040">
        <v>0</v>
      </c>
      <c r="CI1040">
        <v>59.3</v>
      </c>
      <c r="CJ1040">
        <v>521.94320000000005</v>
      </c>
    </row>
    <row r="1041" spans="1:88">
      <c r="A1041">
        <v>1040</v>
      </c>
      <c r="B1041" t="s">
        <v>0</v>
      </c>
      <c r="C1041" t="s">
        <v>1</v>
      </c>
      <c r="D1041" t="s">
        <v>3</v>
      </c>
      <c r="E1041" t="s">
        <v>122</v>
      </c>
      <c r="F1041" t="s">
        <v>306</v>
      </c>
      <c r="G1041" t="s">
        <v>106</v>
      </c>
      <c r="H1041" t="s">
        <v>307</v>
      </c>
      <c r="J1041">
        <v>2</v>
      </c>
      <c r="K1041" t="s">
        <v>146</v>
      </c>
      <c r="L1041" t="s">
        <v>234</v>
      </c>
      <c r="M1041" t="s">
        <v>126</v>
      </c>
      <c r="N1041" t="s">
        <v>162</v>
      </c>
      <c r="O1041">
        <v>127</v>
      </c>
      <c r="Q1041">
        <v>413</v>
      </c>
      <c r="R1041">
        <v>77</v>
      </c>
      <c r="S1041">
        <v>4.25</v>
      </c>
      <c r="T1041">
        <v>3.4860000000000002</v>
      </c>
      <c r="U1041">
        <v>6.3</v>
      </c>
      <c r="V1041">
        <v>1753.59</v>
      </c>
      <c r="W1041">
        <v>488</v>
      </c>
      <c r="X1041">
        <v>1.3332999999999999</v>
      </c>
      <c r="Y1041">
        <v>365</v>
      </c>
      <c r="Z1041">
        <v>4.8099999999999996</v>
      </c>
      <c r="AJ1041">
        <v>2</v>
      </c>
      <c r="AK1041">
        <v>18</v>
      </c>
      <c r="AM1041">
        <v>0</v>
      </c>
      <c r="AO1041" t="s">
        <v>308</v>
      </c>
      <c r="AT1041">
        <v>49</v>
      </c>
      <c r="AV1041">
        <v>42.6</v>
      </c>
      <c r="AW1041">
        <v>0</v>
      </c>
      <c r="AX1041">
        <v>0</v>
      </c>
      <c r="AY1041">
        <v>55.625</v>
      </c>
      <c r="AZ1041">
        <v>4.5</v>
      </c>
      <c r="BA1041">
        <v>0</v>
      </c>
      <c r="BB1041">
        <v>0</v>
      </c>
      <c r="BC1041">
        <v>60</v>
      </c>
      <c r="BN1041">
        <v>203.3</v>
      </c>
      <c r="BO1041">
        <v>2511</v>
      </c>
      <c r="BP1041">
        <v>0</v>
      </c>
      <c r="BQ1041">
        <v>43</v>
      </c>
      <c r="BR1041">
        <v>43</v>
      </c>
      <c r="BS1041">
        <v>43.3</v>
      </c>
      <c r="BT1041">
        <v>0</v>
      </c>
      <c r="BV1041">
        <v>0</v>
      </c>
      <c r="BW1041" t="s">
        <v>655</v>
      </c>
      <c r="BX1041">
        <v>0.17</v>
      </c>
      <c r="BY1041">
        <v>7.3609999999999998</v>
      </c>
      <c r="BZ1041">
        <v>0</v>
      </c>
      <c r="CA1041">
        <v>1</v>
      </c>
      <c r="CB1041">
        <v>0.6</v>
      </c>
      <c r="CC1041" s="3">
        <v>7.1269159999999998E-2</v>
      </c>
      <c r="CD1041">
        <v>2.875</v>
      </c>
      <c r="CE1041">
        <v>2.5</v>
      </c>
      <c r="CF1041">
        <v>18</v>
      </c>
      <c r="CG1041">
        <v>6</v>
      </c>
      <c r="CH1041">
        <v>0</v>
      </c>
      <c r="CI1041">
        <v>43.3</v>
      </c>
      <c r="CJ1041">
        <v>362.59969999999998</v>
      </c>
    </row>
    <row r="1042" spans="1:88">
      <c r="A1042">
        <v>1041</v>
      </c>
      <c r="B1042" t="s">
        <v>0</v>
      </c>
      <c r="C1042" t="s">
        <v>1</v>
      </c>
      <c r="D1042" t="s">
        <v>280</v>
      </c>
      <c r="E1042" t="s">
        <v>96</v>
      </c>
      <c r="F1042" t="s">
        <v>102</v>
      </c>
      <c r="G1042" t="s">
        <v>15</v>
      </c>
      <c r="H1042" t="s">
        <v>423</v>
      </c>
      <c r="J1042">
        <v>2</v>
      </c>
      <c r="K1042" t="s">
        <v>108</v>
      </c>
      <c r="L1042" t="s">
        <v>293</v>
      </c>
      <c r="M1042" t="s">
        <v>100</v>
      </c>
      <c r="N1042" t="s">
        <v>101</v>
      </c>
      <c r="O1042">
        <v>131</v>
      </c>
      <c r="Q1042">
        <v>788</v>
      </c>
      <c r="R1042">
        <v>139</v>
      </c>
      <c r="S1042">
        <v>4.25</v>
      </c>
      <c r="T1042">
        <v>3.5859999999999999</v>
      </c>
      <c r="U1042">
        <v>6.37</v>
      </c>
      <c r="V1042">
        <v>3347.76</v>
      </c>
      <c r="W1042">
        <v>884</v>
      </c>
      <c r="X1042">
        <v>1.3332999999999999</v>
      </c>
      <c r="Y1042">
        <v>682</v>
      </c>
      <c r="Z1042">
        <v>4.91</v>
      </c>
      <c r="AJ1042">
        <v>2</v>
      </c>
      <c r="AK1042">
        <v>18</v>
      </c>
      <c r="AM1042">
        <v>0</v>
      </c>
      <c r="AO1042" t="s">
        <v>424</v>
      </c>
      <c r="AT1042">
        <v>51</v>
      </c>
      <c r="AV1042">
        <v>79.8</v>
      </c>
      <c r="AW1042" t="s">
        <v>6</v>
      </c>
      <c r="AX1042" t="s">
        <v>6</v>
      </c>
      <c r="AY1042" t="s">
        <v>6</v>
      </c>
      <c r="AZ1042" t="s">
        <v>6</v>
      </c>
      <c r="BA1042" t="s">
        <v>6</v>
      </c>
      <c r="BB1042" t="s">
        <v>6</v>
      </c>
      <c r="BC1042" t="s">
        <v>6</v>
      </c>
      <c r="BD1042" t="s">
        <v>6</v>
      </c>
      <c r="BE1042" t="s">
        <v>6</v>
      </c>
      <c r="BF1042" t="s">
        <v>6</v>
      </c>
      <c r="BG1042" t="s">
        <v>6</v>
      </c>
      <c r="BH1042" t="s">
        <v>6</v>
      </c>
      <c r="BI1042" t="s">
        <v>6</v>
      </c>
      <c r="BJ1042" t="s">
        <v>6</v>
      </c>
      <c r="BN1042">
        <v>681.92830000000004</v>
      </c>
      <c r="BO1042">
        <v>2352</v>
      </c>
      <c r="BP1042">
        <v>0</v>
      </c>
      <c r="BQ1042">
        <v>45</v>
      </c>
      <c r="BR1042">
        <v>45</v>
      </c>
      <c r="BS1042">
        <v>44.69</v>
      </c>
      <c r="BT1042">
        <v>0</v>
      </c>
      <c r="BV1042">
        <v>0</v>
      </c>
      <c r="BW1042" t="s">
        <v>655</v>
      </c>
      <c r="BX1042">
        <v>0.17</v>
      </c>
      <c r="BY1042">
        <v>7.5972999999999997</v>
      </c>
      <c r="BZ1042">
        <v>0</v>
      </c>
      <c r="CA1042">
        <v>1</v>
      </c>
      <c r="CB1042">
        <v>0.6</v>
      </c>
      <c r="CC1042" s="3">
        <v>7.1269159999999998E-2</v>
      </c>
      <c r="CD1042">
        <v>2.875</v>
      </c>
      <c r="CE1042">
        <v>2.5</v>
      </c>
      <c r="CF1042">
        <v>18</v>
      </c>
      <c r="CG1042">
        <v>6</v>
      </c>
      <c r="CH1042">
        <v>0</v>
      </c>
      <c r="CI1042">
        <v>44.69</v>
      </c>
      <c r="CJ1042">
        <v>700.30600000000004</v>
      </c>
    </row>
    <row r="1043" spans="1:88">
      <c r="A1043">
        <v>1042</v>
      </c>
      <c r="B1043" t="s">
        <v>0</v>
      </c>
      <c r="C1043" t="s">
        <v>1</v>
      </c>
      <c r="D1043" t="s">
        <v>148</v>
      </c>
      <c r="E1043" t="s">
        <v>228</v>
      </c>
      <c r="F1043" t="s">
        <v>496</v>
      </c>
      <c r="G1043" t="s">
        <v>106</v>
      </c>
      <c r="H1043" t="s">
        <v>585</v>
      </c>
      <c r="J1043">
        <v>2</v>
      </c>
      <c r="K1043" t="s">
        <v>108</v>
      </c>
      <c r="L1043" t="s">
        <v>174</v>
      </c>
      <c r="M1043" t="s">
        <v>230</v>
      </c>
      <c r="N1043" t="s">
        <v>231</v>
      </c>
      <c r="O1043">
        <v>102</v>
      </c>
      <c r="Q1043">
        <v>512</v>
      </c>
      <c r="R1043">
        <v>113</v>
      </c>
      <c r="S1043">
        <v>4.25</v>
      </c>
      <c r="T1043">
        <v>2.8380000000000001</v>
      </c>
      <c r="U1043">
        <v>5.96</v>
      </c>
      <c r="V1043">
        <v>2175.5700000000002</v>
      </c>
      <c r="W1043">
        <v>673</v>
      </c>
      <c r="X1043">
        <v>1.3332999999999999</v>
      </c>
      <c r="Y1043">
        <v>522</v>
      </c>
      <c r="Z1043">
        <v>4.17</v>
      </c>
      <c r="AJ1043">
        <v>2</v>
      </c>
      <c r="AK1043">
        <v>18</v>
      </c>
      <c r="AM1043">
        <v>0</v>
      </c>
      <c r="AO1043" t="s">
        <v>573</v>
      </c>
      <c r="AT1043">
        <v>41</v>
      </c>
      <c r="AV1043">
        <v>64.900000000000006</v>
      </c>
      <c r="AW1043">
        <v>0.46875</v>
      </c>
      <c r="AX1043">
        <v>3.75</v>
      </c>
      <c r="AY1043">
        <v>42.875</v>
      </c>
      <c r="AZ1043">
        <v>3.875</v>
      </c>
      <c r="BA1043">
        <v>472.61</v>
      </c>
      <c r="BB1043">
        <v>4.17</v>
      </c>
      <c r="BC1043">
        <v>46</v>
      </c>
      <c r="BD1043">
        <v>0.25</v>
      </c>
      <c r="BE1043">
        <v>2.75</v>
      </c>
      <c r="BF1043">
        <v>23.375</v>
      </c>
      <c r="BG1043">
        <v>2.125</v>
      </c>
      <c r="BH1043">
        <v>49.1</v>
      </c>
      <c r="BI1043">
        <v>6.99</v>
      </c>
      <c r="BJ1043">
        <v>10</v>
      </c>
      <c r="BL1043">
        <v>521.71</v>
      </c>
      <c r="BM1043">
        <v>56</v>
      </c>
      <c r="BN1043">
        <v>312.08339999999998</v>
      </c>
      <c r="BO1043">
        <v>1065</v>
      </c>
      <c r="BP1043">
        <v>0</v>
      </c>
      <c r="BQ1043">
        <v>35</v>
      </c>
      <c r="BR1043">
        <v>35</v>
      </c>
      <c r="BS1043">
        <v>34.6</v>
      </c>
      <c r="BT1043">
        <v>0</v>
      </c>
      <c r="BV1043">
        <v>0</v>
      </c>
      <c r="BW1043" t="s">
        <v>655</v>
      </c>
      <c r="BX1043">
        <v>0.17</v>
      </c>
      <c r="BY1043">
        <v>5.8819999999999997</v>
      </c>
      <c r="BZ1043">
        <v>0</v>
      </c>
      <c r="CA1043">
        <v>1</v>
      </c>
      <c r="CB1043">
        <v>0.6</v>
      </c>
      <c r="CC1043" s="3">
        <v>7.1269159999999998E-2</v>
      </c>
      <c r="CD1043">
        <v>2.875</v>
      </c>
      <c r="CE1043">
        <v>2.5</v>
      </c>
      <c r="CF1043">
        <v>18</v>
      </c>
      <c r="CG1043">
        <v>6</v>
      </c>
      <c r="CH1043">
        <v>0</v>
      </c>
      <c r="CI1043">
        <v>34.6</v>
      </c>
      <c r="CJ1043">
        <v>441.09010000000001</v>
      </c>
    </row>
    <row r="1044" spans="1:88">
      <c r="A1044">
        <v>1043</v>
      </c>
      <c r="B1044" t="s">
        <v>13</v>
      </c>
      <c r="C1044" t="s">
        <v>1</v>
      </c>
      <c r="D1044" t="s">
        <v>212</v>
      </c>
      <c r="E1044" t="s">
        <v>19</v>
      </c>
      <c r="F1044" t="s">
        <v>213</v>
      </c>
      <c r="G1044" t="s">
        <v>15</v>
      </c>
      <c r="H1044" t="s">
        <v>215</v>
      </c>
      <c r="J1044">
        <v>2</v>
      </c>
      <c r="K1044" t="s">
        <v>108</v>
      </c>
      <c r="L1044" t="s">
        <v>302</v>
      </c>
      <c r="M1044" t="s">
        <v>433</v>
      </c>
      <c r="N1044" t="s">
        <v>434</v>
      </c>
      <c r="O1044">
        <v>185</v>
      </c>
      <c r="Q1044">
        <v>929</v>
      </c>
      <c r="R1044">
        <v>119</v>
      </c>
      <c r="S1044">
        <v>4.25</v>
      </c>
      <c r="T1044">
        <v>4.8529999999999998</v>
      </c>
      <c r="U1044">
        <v>7.16</v>
      </c>
      <c r="V1044">
        <v>3947.48</v>
      </c>
      <c r="W1044">
        <v>849</v>
      </c>
      <c r="X1044">
        <v>1.3332999999999999</v>
      </c>
      <c r="Y1044">
        <v>639</v>
      </c>
      <c r="Z1044">
        <v>6.18</v>
      </c>
      <c r="AJ1044">
        <v>2</v>
      </c>
      <c r="AK1044">
        <v>18</v>
      </c>
      <c r="AM1044">
        <v>0</v>
      </c>
      <c r="AO1044" t="s">
        <v>216</v>
      </c>
      <c r="AT1044">
        <v>70</v>
      </c>
      <c r="AV1044">
        <v>68.099999999999994</v>
      </c>
      <c r="AW1044" t="s">
        <v>6</v>
      </c>
      <c r="AX1044" t="s">
        <v>6</v>
      </c>
      <c r="AY1044" t="s">
        <v>6</v>
      </c>
      <c r="AZ1044" t="s">
        <v>6</v>
      </c>
      <c r="BA1044" t="s">
        <v>6</v>
      </c>
      <c r="BB1044" t="s">
        <v>6</v>
      </c>
      <c r="BC1044" t="s">
        <v>6</v>
      </c>
      <c r="BD1044" t="s">
        <v>6</v>
      </c>
      <c r="BE1044" t="s">
        <v>6</v>
      </c>
      <c r="BF1044" t="s">
        <v>6</v>
      </c>
      <c r="BG1044" t="s">
        <v>6</v>
      </c>
      <c r="BH1044" t="s">
        <v>6</v>
      </c>
      <c r="BI1044" t="s">
        <v>6</v>
      </c>
      <c r="BJ1044" t="s">
        <v>6</v>
      </c>
      <c r="BN1044">
        <v>580.90189999999996</v>
      </c>
      <c r="BO1044">
        <v>3242</v>
      </c>
      <c r="BP1044">
        <v>0</v>
      </c>
      <c r="BQ1044">
        <v>63</v>
      </c>
      <c r="BR1044">
        <v>63</v>
      </c>
      <c r="BS1044">
        <v>63.47</v>
      </c>
      <c r="BT1044">
        <v>0</v>
      </c>
      <c r="BV1044">
        <v>0</v>
      </c>
      <c r="BW1044" t="s">
        <v>655</v>
      </c>
      <c r="BX1044">
        <v>0.17</v>
      </c>
      <c r="BY1044">
        <v>10.789899999999999</v>
      </c>
      <c r="BZ1044">
        <v>0</v>
      </c>
      <c r="CA1044">
        <v>1</v>
      </c>
      <c r="CB1044">
        <v>0.6</v>
      </c>
      <c r="CC1044" s="3">
        <v>7.1269159999999998E-2</v>
      </c>
      <c r="CD1044">
        <v>2.875</v>
      </c>
      <c r="CE1044">
        <v>2.5</v>
      </c>
      <c r="CF1044">
        <v>18</v>
      </c>
      <c r="CG1044">
        <v>6</v>
      </c>
      <c r="CH1044">
        <v>0</v>
      </c>
      <c r="CI1044">
        <v>63.47</v>
      </c>
      <c r="CJ1044">
        <v>849.84379999999999</v>
      </c>
    </row>
    <row r="1045" spans="1:88">
      <c r="A1045">
        <v>1044</v>
      </c>
      <c r="B1045" t="s">
        <v>13</v>
      </c>
      <c r="C1045" t="s">
        <v>1</v>
      </c>
      <c r="D1045" t="s">
        <v>276</v>
      </c>
      <c r="E1045" t="s">
        <v>197</v>
      </c>
      <c r="F1045" t="s">
        <v>415</v>
      </c>
      <c r="G1045" t="s">
        <v>15</v>
      </c>
      <c r="H1045" t="s">
        <v>416</v>
      </c>
      <c r="J1045">
        <v>2</v>
      </c>
      <c r="K1045" t="s">
        <v>108</v>
      </c>
      <c r="L1045" t="s">
        <v>199</v>
      </c>
      <c r="M1045" t="s">
        <v>200</v>
      </c>
      <c r="N1045" t="s">
        <v>201</v>
      </c>
      <c r="O1045">
        <v>173</v>
      </c>
      <c r="Q1045">
        <v>895</v>
      </c>
      <c r="R1045">
        <v>122</v>
      </c>
      <c r="S1045">
        <v>4.25</v>
      </c>
      <c r="T1045">
        <v>4.5830000000000002</v>
      </c>
      <c r="U1045">
        <v>6.97</v>
      </c>
      <c r="V1045">
        <v>3804.72</v>
      </c>
      <c r="W1045">
        <v>848</v>
      </c>
      <c r="X1045">
        <v>1.3332999999999999</v>
      </c>
      <c r="Y1045">
        <v>644</v>
      </c>
      <c r="Z1045">
        <v>5.91</v>
      </c>
      <c r="AJ1045">
        <v>2</v>
      </c>
      <c r="AK1045">
        <v>18</v>
      </c>
      <c r="AM1045">
        <v>0</v>
      </c>
      <c r="AO1045" t="s">
        <v>417</v>
      </c>
      <c r="AT1045">
        <v>65</v>
      </c>
      <c r="AV1045">
        <v>70</v>
      </c>
      <c r="AW1045" t="s">
        <v>6</v>
      </c>
      <c r="AX1045" t="s">
        <v>6</v>
      </c>
      <c r="AY1045" t="s">
        <v>6</v>
      </c>
      <c r="AZ1045" t="s">
        <v>6</v>
      </c>
      <c r="BA1045" t="s">
        <v>6</v>
      </c>
      <c r="BB1045" t="s">
        <v>6</v>
      </c>
      <c r="BC1045" t="s">
        <v>6</v>
      </c>
      <c r="BD1045" t="s">
        <v>6</v>
      </c>
      <c r="BE1045" t="s">
        <v>6</v>
      </c>
      <c r="BF1045" t="s">
        <v>6</v>
      </c>
      <c r="BG1045" t="s">
        <v>6</v>
      </c>
      <c r="BH1045" t="s">
        <v>6</v>
      </c>
      <c r="BI1045" t="s">
        <v>6</v>
      </c>
      <c r="BJ1045" t="s">
        <v>6</v>
      </c>
      <c r="BN1045">
        <v>596.68719999999996</v>
      </c>
      <c r="BO1045">
        <v>3072</v>
      </c>
      <c r="BP1045">
        <v>0</v>
      </c>
      <c r="BQ1045">
        <v>59</v>
      </c>
      <c r="BR1045">
        <v>59</v>
      </c>
      <c r="BS1045">
        <v>59.3</v>
      </c>
      <c r="BT1045">
        <v>0</v>
      </c>
      <c r="BV1045">
        <v>0</v>
      </c>
      <c r="BW1045" t="s">
        <v>655</v>
      </c>
      <c r="BX1045">
        <v>0.17</v>
      </c>
      <c r="BY1045">
        <v>10.081</v>
      </c>
      <c r="BZ1045">
        <v>0</v>
      </c>
      <c r="CA1045">
        <v>1</v>
      </c>
      <c r="CB1045">
        <v>0.6</v>
      </c>
      <c r="CC1045" s="3">
        <v>7.1269159999999998E-2</v>
      </c>
      <c r="CD1045">
        <v>2.875</v>
      </c>
      <c r="CE1045">
        <v>2.5</v>
      </c>
      <c r="CF1045">
        <v>18</v>
      </c>
      <c r="CG1045">
        <v>6</v>
      </c>
      <c r="CH1045">
        <v>0</v>
      </c>
      <c r="CI1045">
        <v>59.3</v>
      </c>
      <c r="CJ1045">
        <v>815.14</v>
      </c>
    </row>
    <row r="1046" spans="1:88">
      <c r="A1046">
        <v>1045</v>
      </c>
      <c r="B1046" t="s">
        <v>13</v>
      </c>
      <c r="C1046" t="s">
        <v>1</v>
      </c>
      <c r="D1046" t="s">
        <v>197</v>
      </c>
      <c r="E1046" t="s">
        <v>113</v>
      </c>
      <c r="F1046" t="s">
        <v>390</v>
      </c>
      <c r="G1046" t="s">
        <v>106</v>
      </c>
      <c r="H1046" t="s">
        <v>391</v>
      </c>
      <c r="J1046">
        <v>2</v>
      </c>
      <c r="K1046" t="s">
        <v>108</v>
      </c>
      <c r="L1046" t="s">
        <v>116</v>
      </c>
      <c r="M1046" t="s">
        <v>117</v>
      </c>
      <c r="N1046" t="s">
        <v>14</v>
      </c>
      <c r="O1046">
        <v>179</v>
      </c>
      <c r="Q1046">
        <v>796</v>
      </c>
      <c r="R1046">
        <v>105</v>
      </c>
      <c r="S1046">
        <v>4.25</v>
      </c>
      <c r="T1046">
        <v>4.7190000000000003</v>
      </c>
      <c r="U1046">
        <v>7.05</v>
      </c>
      <c r="V1046">
        <v>3384.61</v>
      </c>
      <c r="W1046">
        <v>741</v>
      </c>
      <c r="X1046">
        <v>1.3332999999999999</v>
      </c>
      <c r="Y1046">
        <v>559</v>
      </c>
      <c r="Z1046">
        <v>6.05</v>
      </c>
      <c r="AJ1046">
        <v>2</v>
      </c>
      <c r="AK1046">
        <v>18</v>
      </c>
      <c r="AM1046">
        <v>0</v>
      </c>
      <c r="AO1046" t="s">
        <v>392</v>
      </c>
      <c r="AT1046">
        <v>68</v>
      </c>
      <c r="AV1046">
        <v>60.2</v>
      </c>
      <c r="AW1046">
        <v>0.46875</v>
      </c>
      <c r="AX1046">
        <v>3.75</v>
      </c>
      <c r="AY1046">
        <v>65.875</v>
      </c>
      <c r="AZ1046">
        <v>5.625</v>
      </c>
      <c r="BA1046">
        <v>307.68</v>
      </c>
      <c r="BB1046">
        <v>6.4</v>
      </c>
      <c r="BC1046">
        <v>71</v>
      </c>
      <c r="BD1046">
        <v>0.4375</v>
      </c>
      <c r="BE1046">
        <v>3.75</v>
      </c>
      <c r="BF1046">
        <v>56.5</v>
      </c>
      <c r="BG1046">
        <v>5.25</v>
      </c>
      <c r="BH1046">
        <v>251.75</v>
      </c>
      <c r="BI1046">
        <v>6.53</v>
      </c>
      <c r="BJ1046">
        <v>57</v>
      </c>
      <c r="BL1046">
        <v>559.42999999999995</v>
      </c>
      <c r="BM1046">
        <v>127</v>
      </c>
      <c r="BN1046">
        <v>288.90010000000001</v>
      </c>
      <c r="BO1046">
        <v>1243</v>
      </c>
      <c r="BP1046">
        <v>0</v>
      </c>
      <c r="BQ1046">
        <v>61</v>
      </c>
      <c r="BR1046">
        <v>61</v>
      </c>
      <c r="BS1046">
        <v>61.39</v>
      </c>
      <c r="BT1046">
        <v>0</v>
      </c>
      <c r="BV1046">
        <v>0</v>
      </c>
      <c r="BW1046" t="s">
        <v>655</v>
      </c>
      <c r="BX1046">
        <v>0.17</v>
      </c>
      <c r="BY1046">
        <v>10.436299999999999</v>
      </c>
      <c r="BZ1046">
        <v>0</v>
      </c>
      <c r="CA1046">
        <v>1</v>
      </c>
      <c r="CB1046">
        <v>0.6</v>
      </c>
      <c r="CC1046" s="3">
        <v>7.1269159999999998E-2</v>
      </c>
      <c r="CD1046">
        <v>2.875</v>
      </c>
      <c r="CE1046">
        <v>2.5</v>
      </c>
      <c r="CF1046">
        <v>18</v>
      </c>
      <c r="CG1046">
        <v>6</v>
      </c>
      <c r="CH1046">
        <v>0</v>
      </c>
      <c r="CI1046">
        <v>61.39</v>
      </c>
      <c r="CJ1046">
        <v>725.73850000000004</v>
      </c>
    </row>
    <row r="1047" spans="1:88">
      <c r="A1047">
        <v>1046</v>
      </c>
      <c r="B1047" t="s">
        <v>13</v>
      </c>
      <c r="C1047" t="s">
        <v>1</v>
      </c>
      <c r="D1047" t="s">
        <v>295</v>
      </c>
      <c r="E1047" t="s">
        <v>233</v>
      </c>
      <c r="F1047" t="s">
        <v>465</v>
      </c>
      <c r="G1047" t="s">
        <v>106</v>
      </c>
      <c r="H1047" t="s">
        <v>99</v>
      </c>
      <c r="J1047">
        <v>2</v>
      </c>
      <c r="K1047" t="s">
        <v>146</v>
      </c>
      <c r="L1047" t="s">
        <v>251</v>
      </c>
      <c r="M1047" t="s">
        <v>236</v>
      </c>
      <c r="N1047" t="s">
        <v>272</v>
      </c>
      <c r="O1047">
        <v>157</v>
      </c>
      <c r="Q1047">
        <v>607</v>
      </c>
      <c r="R1047">
        <v>92</v>
      </c>
      <c r="S1047">
        <v>4.25</v>
      </c>
      <c r="T1047">
        <v>4.2130000000000001</v>
      </c>
      <c r="U1047">
        <v>6.82</v>
      </c>
      <c r="V1047">
        <v>2577.71</v>
      </c>
      <c r="W1047">
        <v>626</v>
      </c>
      <c r="X1047">
        <v>1.3332999999999999</v>
      </c>
      <c r="Y1047">
        <v>465</v>
      </c>
      <c r="Z1047">
        <v>5.54</v>
      </c>
      <c r="AJ1047">
        <v>2</v>
      </c>
      <c r="AK1047">
        <v>18</v>
      </c>
      <c r="AM1047">
        <v>0</v>
      </c>
      <c r="AO1047" t="s">
        <v>184</v>
      </c>
      <c r="AT1047">
        <v>60</v>
      </c>
      <c r="AV1047">
        <v>51.7</v>
      </c>
      <c r="AW1047">
        <v>0.46875</v>
      </c>
      <c r="AX1047">
        <v>3.75</v>
      </c>
      <c r="AY1047">
        <v>57</v>
      </c>
      <c r="AZ1047">
        <v>5.25</v>
      </c>
      <c r="BA1047">
        <v>355.74</v>
      </c>
      <c r="BB1047">
        <v>5.54</v>
      </c>
      <c r="BC1047">
        <v>61</v>
      </c>
      <c r="BD1047">
        <v>0.3125</v>
      </c>
      <c r="BE1047">
        <v>2.75</v>
      </c>
      <c r="BF1047">
        <v>32.875</v>
      </c>
      <c r="BG1047">
        <v>3.5</v>
      </c>
      <c r="BH1047">
        <v>109.55</v>
      </c>
      <c r="BI1047">
        <v>5.83</v>
      </c>
      <c r="BJ1047">
        <v>17</v>
      </c>
      <c r="BL1047">
        <v>465.29</v>
      </c>
      <c r="BM1047">
        <v>78</v>
      </c>
      <c r="BN1047">
        <v>247.88339999999999</v>
      </c>
      <c r="BO1047">
        <v>1689</v>
      </c>
      <c r="BP1047">
        <v>0</v>
      </c>
      <c r="BQ1047">
        <v>54</v>
      </c>
      <c r="BR1047">
        <v>54</v>
      </c>
      <c r="BS1047">
        <v>53.73</v>
      </c>
      <c r="BT1047">
        <v>0</v>
      </c>
      <c r="BV1047">
        <v>0</v>
      </c>
      <c r="BW1047" t="s">
        <v>655</v>
      </c>
      <c r="BX1047">
        <v>0.17</v>
      </c>
      <c r="BY1047">
        <v>9.1341000000000001</v>
      </c>
      <c r="BZ1047">
        <v>0</v>
      </c>
      <c r="CA1047">
        <v>1</v>
      </c>
      <c r="CB1047">
        <v>0.6</v>
      </c>
      <c r="CC1047" s="3">
        <v>7.1269159999999998E-2</v>
      </c>
      <c r="CD1047">
        <v>2.875</v>
      </c>
      <c r="CE1047">
        <v>2.5</v>
      </c>
      <c r="CF1047">
        <v>18</v>
      </c>
      <c r="CG1047">
        <v>6</v>
      </c>
      <c r="CH1047">
        <v>0</v>
      </c>
      <c r="CI1047">
        <v>53.73</v>
      </c>
      <c r="CJ1047">
        <v>545.67409999999995</v>
      </c>
    </row>
    <row r="1048" spans="1:88">
      <c r="A1048">
        <v>1047</v>
      </c>
      <c r="B1048" t="s">
        <v>0</v>
      </c>
      <c r="C1048" t="s">
        <v>1</v>
      </c>
      <c r="D1048" t="s">
        <v>8</v>
      </c>
      <c r="E1048" t="s">
        <v>267</v>
      </c>
      <c r="F1048" t="s">
        <v>246</v>
      </c>
      <c r="G1048" t="s">
        <v>15</v>
      </c>
      <c r="H1048" t="s">
        <v>247</v>
      </c>
      <c r="J1048">
        <v>2</v>
      </c>
      <c r="K1048" t="s">
        <v>108</v>
      </c>
      <c r="L1048" t="s">
        <v>113</v>
      </c>
      <c r="M1048" t="s">
        <v>232</v>
      </c>
      <c r="N1048" t="s">
        <v>258</v>
      </c>
      <c r="O1048">
        <v>159</v>
      </c>
      <c r="Q1048">
        <v>840</v>
      </c>
      <c r="R1048">
        <v>124</v>
      </c>
      <c r="S1048">
        <v>4.25</v>
      </c>
      <c r="T1048">
        <v>4.26</v>
      </c>
      <c r="U1048">
        <v>6.75</v>
      </c>
      <c r="V1048">
        <v>3570.76</v>
      </c>
      <c r="W1048">
        <v>834</v>
      </c>
      <c r="X1048">
        <v>1.3332999999999999</v>
      </c>
      <c r="Y1048">
        <v>639</v>
      </c>
      <c r="Z1048">
        <v>5.59</v>
      </c>
      <c r="AJ1048">
        <v>2</v>
      </c>
      <c r="AK1048">
        <v>18</v>
      </c>
      <c r="AM1048">
        <v>0</v>
      </c>
      <c r="AO1048" t="s">
        <v>250</v>
      </c>
      <c r="AT1048">
        <v>61</v>
      </c>
      <c r="AV1048">
        <v>71.099999999999994</v>
      </c>
      <c r="AW1048" t="s">
        <v>6</v>
      </c>
      <c r="AX1048" t="s">
        <v>6</v>
      </c>
      <c r="AY1048" t="s">
        <v>6</v>
      </c>
      <c r="AZ1048" t="s">
        <v>6</v>
      </c>
      <c r="BA1048" t="s">
        <v>6</v>
      </c>
      <c r="BB1048" t="s">
        <v>6</v>
      </c>
      <c r="BC1048" t="s">
        <v>6</v>
      </c>
      <c r="BD1048" t="s">
        <v>6</v>
      </c>
      <c r="BE1048" t="s">
        <v>6</v>
      </c>
      <c r="BF1048" t="s">
        <v>6</v>
      </c>
      <c r="BG1048" t="s">
        <v>6</v>
      </c>
      <c r="BH1048" t="s">
        <v>6</v>
      </c>
      <c r="BI1048" t="s">
        <v>6</v>
      </c>
      <c r="BJ1048" t="s">
        <v>6</v>
      </c>
      <c r="BN1048">
        <v>606.1585</v>
      </c>
      <c r="BO1048">
        <v>2977</v>
      </c>
      <c r="BP1048">
        <v>0</v>
      </c>
      <c r="BQ1048">
        <v>54</v>
      </c>
      <c r="BR1048">
        <v>54</v>
      </c>
      <c r="BS1048">
        <v>54.43</v>
      </c>
      <c r="BT1048">
        <v>0</v>
      </c>
      <c r="BV1048">
        <v>0</v>
      </c>
      <c r="BW1048" t="s">
        <v>655</v>
      </c>
      <c r="BX1048">
        <v>0.17</v>
      </c>
      <c r="BY1048">
        <v>9.2531009999999991</v>
      </c>
      <c r="BZ1048">
        <v>0</v>
      </c>
      <c r="CA1048">
        <v>1</v>
      </c>
      <c r="CB1048">
        <v>0.6</v>
      </c>
      <c r="CC1048" s="3">
        <v>7.1269159999999998E-2</v>
      </c>
      <c r="CD1048">
        <v>2.875</v>
      </c>
      <c r="CE1048">
        <v>2.5</v>
      </c>
      <c r="CF1048">
        <v>18</v>
      </c>
      <c r="CG1048">
        <v>6</v>
      </c>
      <c r="CH1048">
        <v>0</v>
      </c>
      <c r="CI1048">
        <v>54.43</v>
      </c>
      <c r="CJ1048">
        <v>759.83450000000005</v>
      </c>
    </row>
    <row r="1049" spans="1:88">
      <c r="A1049">
        <v>1048</v>
      </c>
      <c r="B1049" t="s">
        <v>13</v>
      </c>
      <c r="C1049" t="s">
        <v>1</v>
      </c>
      <c r="D1049" t="s">
        <v>2</v>
      </c>
      <c r="E1049" t="s">
        <v>96</v>
      </c>
      <c r="F1049" t="s">
        <v>154</v>
      </c>
      <c r="G1049" t="s">
        <v>106</v>
      </c>
      <c r="H1049" t="s">
        <v>217</v>
      </c>
      <c r="J1049">
        <v>2</v>
      </c>
      <c r="K1049" t="s">
        <v>146</v>
      </c>
      <c r="L1049" t="s">
        <v>293</v>
      </c>
      <c r="M1049" t="s">
        <v>100</v>
      </c>
      <c r="N1049" t="s">
        <v>101</v>
      </c>
      <c r="O1049">
        <v>131</v>
      </c>
      <c r="Q1049">
        <v>361</v>
      </c>
      <c r="R1049">
        <v>67</v>
      </c>
      <c r="S1049">
        <v>4.25</v>
      </c>
      <c r="T1049">
        <v>3.5859999999999999</v>
      </c>
      <c r="U1049">
        <v>6.37</v>
      </c>
      <c r="V1049">
        <v>1532.59</v>
      </c>
      <c r="W1049">
        <v>427</v>
      </c>
      <c r="X1049">
        <v>1.3332999999999999</v>
      </c>
      <c r="Y1049">
        <v>312</v>
      </c>
      <c r="Z1049">
        <v>4.91</v>
      </c>
      <c r="AJ1049">
        <v>2</v>
      </c>
      <c r="AK1049">
        <v>18</v>
      </c>
      <c r="AM1049">
        <v>0</v>
      </c>
      <c r="AO1049" t="s">
        <v>218</v>
      </c>
      <c r="AT1049">
        <v>51</v>
      </c>
      <c r="AV1049">
        <v>36.1</v>
      </c>
      <c r="AW1049">
        <v>0</v>
      </c>
      <c r="AX1049">
        <v>0</v>
      </c>
      <c r="AY1049">
        <v>45.625</v>
      </c>
      <c r="AZ1049">
        <v>4.25</v>
      </c>
      <c r="BA1049">
        <v>0</v>
      </c>
      <c r="BB1049">
        <v>0</v>
      </c>
      <c r="BC1049">
        <v>46</v>
      </c>
      <c r="BN1049">
        <v>171.2</v>
      </c>
      <c r="BO1049">
        <v>3540</v>
      </c>
      <c r="BP1049">
        <v>0</v>
      </c>
      <c r="BQ1049">
        <v>45</v>
      </c>
      <c r="BR1049">
        <v>45</v>
      </c>
      <c r="BS1049">
        <v>44.69</v>
      </c>
      <c r="BT1049">
        <v>0</v>
      </c>
      <c r="BV1049">
        <v>0</v>
      </c>
      <c r="BW1049" t="s">
        <v>655</v>
      </c>
      <c r="BX1049">
        <v>0.17</v>
      </c>
      <c r="BY1049">
        <v>7.5972999999999997</v>
      </c>
      <c r="BZ1049">
        <v>0</v>
      </c>
      <c r="CA1049">
        <v>1</v>
      </c>
      <c r="CB1049">
        <v>0.6</v>
      </c>
      <c r="CC1049" s="3">
        <v>7.1269159999999998E-2</v>
      </c>
      <c r="CD1049">
        <v>2.875</v>
      </c>
      <c r="CE1049">
        <v>2.5</v>
      </c>
      <c r="CF1049">
        <v>18</v>
      </c>
      <c r="CG1049">
        <v>6</v>
      </c>
      <c r="CH1049">
        <v>0</v>
      </c>
      <c r="CI1049">
        <v>44.69</v>
      </c>
      <c r="CJ1049">
        <v>316.90929999999997</v>
      </c>
    </row>
    <row r="1050" spans="1:88">
      <c r="A1050">
        <v>1049</v>
      </c>
      <c r="B1050" t="s">
        <v>0</v>
      </c>
      <c r="C1050" t="s">
        <v>1</v>
      </c>
      <c r="D1050" t="s">
        <v>143</v>
      </c>
      <c r="E1050" t="s">
        <v>255</v>
      </c>
      <c r="F1050" t="s">
        <v>144</v>
      </c>
      <c r="G1050" t="s">
        <v>106</v>
      </c>
      <c r="H1050" t="s">
        <v>145</v>
      </c>
      <c r="J1050">
        <v>2</v>
      </c>
      <c r="K1050" t="s">
        <v>146</v>
      </c>
      <c r="L1050" t="s">
        <v>276</v>
      </c>
      <c r="M1050" t="s">
        <v>277</v>
      </c>
      <c r="N1050" t="s">
        <v>123</v>
      </c>
      <c r="O1050">
        <v>180</v>
      </c>
      <c r="Q1050">
        <v>713</v>
      </c>
      <c r="R1050">
        <v>95</v>
      </c>
      <c r="S1050">
        <v>4.25</v>
      </c>
      <c r="T1050">
        <v>4.7409999999999997</v>
      </c>
      <c r="U1050">
        <v>7.08</v>
      </c>
      <c r="V1050">
        <v>3030.03</v>
      </c>
      <c r="W1050">
        <v>670</v>
      </c>
      <c r="X1050">
        <v>1.3332999999999999</v>
      </c>
      <c r="Y1050">
        <v>499</v>
      </c>
      <c r="Z1050">
        <v>6.07</v>
      </c>
      <c r="AJ1050">
        <v>2</v>
      </c>
      <c r="AK1050">
        <v>18</v>
      </c>
      <c r="AM1050">
        <v>0</v>
      </c>
      <c r="AO1050" t="s">
        <v>149</v>
      </c>
      <c r="AT1050">
        <v>68</v>
      </c>
      <c r="AV1050">
        <v>53.5</v>
      </c>
      <c r="AW1050">
        <v>0.4375</v>
      </c>
      <c r="AX1050">
        <v>3.75</v>
      </c>
      <c r="AY1050">
        <v>51.875</v>
      </c>
      <c r="AZ1050">
        <v>5.25</v>
      </c>
      <c r="BA1050">
        <v>274.54000000000002</v>
      </c>
      <c r="BB1050">
        <v>5.99</v>
      </c>
      <c r="BC1050">
        <v>52</v>
      </c>
      <c r="BD1050">
        <v>0.4375</v>
      </c>
      <c r="BE1050">
        <v>3.75</v>
      </c>
      <c r="BF1050">
        <v>63.375</v>
      </c>
      <c r="BG1050">
        <v>5.25</v>
      </c>
      <c r="BH1050">
        <v>224.63</v>
      </c>
      <c r="BI1050">
        <v>7.32</v>
      </c>
      <c r="BJ1050">
        <v>64</v>
      </c>
      <c r="BL1050">
        <v>499.17</v>
      </c>
      <c r="BM1050">
        <v>116</v>
      </c>
      <c r="BN1050">
        <v>256.80009999999999</v>
      </c>
      <c r="BO1050">
        <v>1574</v>
      </c>
      <c r="BP1050">
        <v>0</v>
      </c>
      <c r="BQ1050">
        <v>62</v>
      </c>
      <c r="BR1050">
        <v>62</v>
      </c>
      <c r="BS1050">
        <v>61.73</v>
      </c>
      <c r="BT1050">
        <v>0</v>
      </c>
      <c r="BV1050">
        <v>0</v>
      </c>
      <c r="BW1050" t="s">
        <v>655</v>
      </c>
      <c r="BX1050">
        <v>0.17</v>
      </c>
      <c r="BY1050">
        <v>10.4941</v>
      </c>
      <c r="BZ1050">
        <v>0</v>
      </c>
      <c r="CA1050">
        <v>1</v>
      </c>
      <c r="CB1050">
        <v>0.6</v>
      </c>
      <c r="CC1050" s="3">
        <v>7.1269159999999998E-2</v>
      </c>
      <c r="CD1050">
        <v>2.875</v>
      </c>
      <c r="CE1050">
        <v>2.5</v>
      </c>
      <c r="CF1050">
        <v>18</v>
      </c>
      <c r="CG1050">
        <v>6</v>
      </c>
      <c r="CH1050">
        <v>0</v>
      </c>
      <c r="CI1050">
        <v>61.73</v>
      </c>
      <c r="CJ1050">
        <v>648.91809999999998</v>
      </c>
    </row>
    <row r="1051" spans="1:88">
      <c r="A1051">
        <v>1050</v>
      </c>
      <c r="B1051" t="s">
        <v>0</v>
      </c>
      <c r="C1051" t="s">
        <v>1</v>
      </c>
      <c r="D1051" t="s">
        <v>375</v>
      </c>
      <c r="E1051" t="s">
        <v>150</v>
      </c>
      <c r="F1051" t="s">
        <v>140</v>
      </c>
      <c r="G1051" t="s">
        <v>106</v>
      </c>
      <c r="H1051" t="s">
        <v>342</v>
      </c>
      <c r="J1051">
        <v>2</v>
      </c>
      <c r="K1051" t="s">
        <v>146</v>
      </c>
      <c r="L1051" t="s">
        <v>96</v>
      </c>
      <c r="M1051" t="s">
        <v>159</v>
      </c>
      <c r="N1051" t="s">
        <v>130</v>
      </c>
      <c r="O1051">
        <v>111</v>
      </c>
      <c r="Q1051">
        <v>258</v>
      </c>
      <c r="R1051">
        <v>52</v>
      </c>
      <c r="S1051">
        <v>4.25</v>
      </c>
      <c r="T1051">
        <v>3.0760000000000001</v>
      </c>
      <c r="U1051">
        <v>6.14</v>
      </c>
      <c r="V1051">
        <v>1097.3</v>
      </c>
      <c r="W1051">
        <v>321</v>
      </c>
      <c r="X1051">
        <v>1.3332999999999999</v>
      </c>
      <c r="Y1051">
        <v>249</v>
      </c>
      <c r="Z1051">
        <v>4.4000000000000004</v>
      </c>
      <c r="AJ1051">
        <v>2</v>
      </c>
      <c r="AK1051">
        <v>18</v>
      </c>
      <c r="AM1051">
        <v>0</v>
      </c>
      <c r="AO1051" t="s">
        <v>345</v>
      </c>
      <c r="AT1051">
        <v>44</v>
      </c>
      <c r="AV1051">
        <v>29.9</v>
      </c>
      <c r="AW1051">
        <v>0</v>
      </c>
      <c r="AX1051">
        <v>0</v>
      </c>
      <c r="AY1051">
        <v>39</v>
      </c>
      <c r="AZ1051">
        <v>3.625</v>
      </c>
      <c r="BA1051">
        <v>0</v>
      </c>
      <c r="BB1051">
        <v>0</v>
      </c>
      <c r="BC1051">
        <v>37</v>
      </c>
      <c r="BN1051">
        <v>140.88339999999999</v>
      </c>
      <c r="BO1051">
        <v>5228</v>
      </c>
      <c r="BP1051">
        <v>0</v>
      </c>
      <c r="BQ1051">
        <v>38</v>
      </c>
      <c r="BR1051">
        <v>38</v>
      </c>
      <c r="BS1051">
        <v>37.729999999999997</v>
      </c>
      <c r="BT1051">
        <v>0</v>
      </c>
      <c r="BV1051">
        <v>0</v>
      </c>
      <c r="BW1051" t="s">
        <v>655</v>
      </c>
      <c r="BX1051">
        <v>0.17</v>
      </c>
      <c r="BY1051">
        <v>6.4141000000000004</v>
      </c>
      <c r="BZ1051">
        <v>0</v>
      </c>
      <c r="CA1051">
        <v>1</v>
      </c>
      <c r="CB1051">
        <v>0.6</v>
      </c>
      <c r="CC1051" s="3">
        <v>7.1269159999999998E-2</v>
      </c>
      <c r="CD1051">
        <v>2.875</v>
      </c>
      <c r="CE1051">
        <v>2.5</v>
      </c>
      <c r="CF1051">
        <v>18</v>
      </c>
      <c r="CG1051">
        <v>6</v>
      </c>
      <c r="CH1051">
        <v>0</v>
      </c>
      <c r="CI1051">
        <v>37.729999999999997</v>
      </c>
      <c r="CJ1051">
        <v>221.84129999999999</v>
      </c>
    </row>
    <row r="1052" spans="1:88">
      <c r="A1052">
        <v>1051</v>
      </c>
      <c r="B1052" t="s">
        <v>13</v>
      </c>
      <c r="C1052" t="s">
        <v>1</v>
      </c>
      <c r="D1052" t="s">
        <v>113</v>
      </c>
      <c r="E1052" t="s">
        <v>104</v>
      </c>
      <c r="F1052" t="s">
        <v>262</v>
      </c>
      <c r="G1052" t="s">
        <v>214</v>
      </c>
      <c r="H1052" t="s">
        <v>263</v>
      </c>
      <c r="J1052">
        <v>2</v>
      </c>
      <c r="K1052" t="s">
        <v>108</v>
      </c>
      <c r="L1052" t="s">
        <v>109</v>
      </c>
      <c r="M1052" t="s">
        <v>110</v>
      </c>
      <c r="N1052" t="s">
        <v>111</v>
      </c>
      <c r="O1052">
        <v>191</v>
      </c>
      <c r="Q1052">
        <v>877</v>
      </c>
      <c r="R1052">
        <v>109</v>
      </c>
      <c r="S1052">
        <v>4.25</v>
      </c>
      <c r="T1052">
        <v>4.9850000000000003</v>
      </c>
      <c r="U1052">
        <v>7.27</v>
      </c>
      <c r="V1052">
        <v>3725.5</v>
      </c>
      <c r="W1052">
        <v>789</v>
      </c>
      <c r="X1052">
        <v>1.3332999999999999</v>
      </c>
      <c r="Y1052">
        <v>590</v>
      </c>
      <c r="Z1052">
        <v>6.31</v>
      </c>
      <c r="AJ1052">
        <v>2</v>
      </c>
      <c r="AK1052">
        <v>18</v>
      </c>
      <c r="AM1052">
        <v>0</v>
      </c>
      <c r="AO1052" t="s">
        <v>266</v>
      </c>
      <c r="AT1052">
        <v>72</v>
      </c>
      <c r="AV1052">
        <v>62.3</v>
      </c>
      <c r="AW1052">
        <v>0.46875</v>
      </c>
      <c r="AX1052">
        <v>3.75</v>
      </c>
      <c r="AY1052">
        <v>68.625</v>
      </c>
      <c r="AZ1052">
        <v>5.875</v>
      </c>
      <c r="BA1052">
        <v>295.2</v>
      </c>
      <c r="BB1052">
        <v>6.67</v>
      </c>
      <c r="BC1052">
        <v>74</v>
      </c>
      <c r="BD1052">
        <v>0.46875</v>
      </c>
      <c r="BE1052">
        <v>3.75</v>
      </c>
      <c r="BF1052">
        <v>68.625</v>
      </c>
      <c r="BG1052">
        <v>5.875</v>
      </c>
      <c r="BH1052">
        <v>295.2</v>
      </c>
      <c r="BI1052">
        <v>6.67</v>
      </c>
      <c r="BJ1052">
        <v>74</v>
      </c>
      <c r="BL1052">
        <v>590.4</v>
      </c>
      <c r="BM1052">
        <v>147</v>
      </c>
      <c r="BN1052">
        <v>302.12</v>
      </c>
      <c r="BO1052">
        <v>1426</v>
      </c>
      <c r="BP1052">
        <v>0</v>
      </c>
      <c r="BQ1052">
        <v>66</v>
      </c>
      <c r="BR1052">
        <v>66</v>
      </c>
      <c r="BS1052">
        <v>65.56</v>
      </c>
      <c r="BT1052">
        <v>0</v>
      </c>
      <c r="BV1052">
        <v>0</v>
      </c>
      <c r="BW1052" t="s">
        <v>655</v>
      </c>
      <c r="BX1052">
        <v>0.17</v>
      </c>
      <c r="BY1052">
        <v>11.145200000000001</v>
      </c>
      <c r="BZ1052">
        <v>0</v>
      </c>
      <c r="CA1052">
        <v>1</v>
      </c>
      <c r="CB1052">
        <v>0.6</v>
      </c>
      <c r="CC1052" s="3">
        <v>7.1269159999999998E-2</v>
      </c>
      <c r="CD1052">
        <v>2.875</v>
      </c>
      <c r="CE1052">
        <v>2.5</v>
      </c>
      <c r="CF1052">
        <v>18</v>
      </c>
      <c r="CG1052">
        <v>6</v>
      </c>
      <c r="CH1052">
        <v>0</v>
      </c>
      <c r="CI1052">
        <v>65.56</v>
      </c>
      <c r="CJ1052">
        <v>803.06979999999999</v>
      </c>
    </row>
    <row r="1053" spans="1:88">
      <c r="A1053">
        <v>1052</v>
      </c>
      <c r="B1053" t="s">
        <v>13</v>
      </c>
      <c r="C1053" t="s">
        <v>1</v>
      </c>
      <c r="D1053" t="s">
        <v>169</v>
      </c>
      <c r="E1053" t="s">
        <v>399</v>
      </c>
      <c r="F1053" t="s">
        <v>404</v>
      </c>
      <c r="G1053" t="s">
        <v>106</v>
      </c>
      <c r="H1053" t="s">
        <v>190</v>
      </c>
      <c r="J1053">
        <v>2</v>
      </c>
      <c r="K1053" t="s">
        <v>146</v>
      </c>
      <c r="L1053" t="s">
        <v>172</v>
      </c>
      <c r="M1053" t="s">
        <v>463</v>
      </c>
      <c r="N1053" t="s">
        <v>229</v>
      </c>
      <c r="O1053">
        <v>117</v>
      </c>
      <c r="Q1053">
        <v>364</v>
      </c>
      <c r="R1053">
        <v>74</v>
      </c>
      <c r="S1053">
        <v>4.25</v>
      </c>
      <c r="T1053">
        <v>3.2320000000000002</v>
      </c>
      <c r="U1053">
        <v>6.26</v>
      </c>
      <c r="V1053">
        <v>1545.55</v>
      </c>
      <c r="W1053">
        <v>463</v>
      </c>
      <c r="X1053">
        <v>1.3332999999999999</v>
      </c>
      <c r="Y1053">
        <v>339</v>
      </c>
      <c r="Z1053">
        <v>4.5599999999999996</v>
      </c>
      <c r="AJ1053">
        <v>2</v>
      </c>
      <c r="AK1053">
        <v>18</v>
      </c>
      <c r="AM1053">
        <v>0</v>
      </c>
      <c r="AO1053" t="s">
        <v>406</v>
      </c>
      <c r="AT1053">
        <v>46</v>
      </c>
      <c r="AV1053">
        <v>40.4</v>
      </c>
      <c r="AW1053">
        <v>0</v>
      </c>
      <c r="AX1053">
        <v>0</v>
      </c>
      <c r="AY1053">
        <v>42</v>
      </c>
      <c r="AZ1053">
        <v>4</v>
      </c>
      <c r="BA1053">
        <v>0</v>
      </c>
      <c r="BB1053">
        <v>0</v>
      </c>
      <c r="BC1053">
        <v>42</v>
      </c>
      <c r="BN1053">
        <v>192.6</v>
      </c>
      <c r="BO1053">
        <v>2797</v>
      </c>
      <c r="BP1053">
        <v>0</v>
      </c>
      <c r="BQ1053">
        <v>40</v>
      </c>
      <c r="BR1053">
        <v>40</v>
      </c>
      <c r="BS1053">
        <v>39.82</v>
      </c>
      <c r="BT1053">
        <v>0</v>
      </c>
      <c r="BV1053">
        <v>0</v>
      </c>
      <c r="BW1053" t="s">
        <v>655</v>
      </c>
      <c r="BX1053">
        <v>0.17</v>
      </c>
      <c r="BY1053">
        <v>6.7694000000000001</v>
      </c>
      <c r="BZ1053">
        <v>0</v>
      </c>
      <c r="CA1053">
        <v>1</v>
      </c>
      <c r="CB1053">
        <v>0.6</v>
      </c>
      <c r="CC1053" s="3">
        <v>7.1269159999999998E-2</v>
      </c>
      <c r="CD1053">
        <v>2.875</v>
      </c>
      <c r="CE1053">
        <v>2.5</v>
      </c>
      <c r="CF1053">
        <v>18</v>
      </c>
      <c r="CG1053">
        <v>6</v>
      </c>
      <c r="CH1053">
        <v>0</v>
      </c>
      <c r="CI1053">
        <v>39.82</v>
      </c>
      <c r="CJ1053">
        <v>316.43</v>
      </c>
    </row>
    <row r="1054" spans="1:88">
      <c r="A1054">
        <v>1053</v>
      </c>
      <c r="B1054" t="s">
        <v>0</v>
      </c>
      <c r="C1054" t="s">
        <v>1</v>
      </c>
      <c r="D1054" t="s">
        <v>300</v>
      </c>
      <c r="E1054" t="s">
        <v>457</v>
      </c>
      <c r="F1054" t="s">
        <v>411</v>
      </c>
      <c r="G1054" t="s">
        <v>214</v>
      </c>
      <c r="H1054" t="s">
        <v>485</v>
      </c>
      <c r="J1054">
        <v>2</v>
      </c>
      <c r="K1054" t="s">
        <v>108</v>
      </c>
      <c r="L1054" t="s">
        <v>282</v>
      </c>
      <c r="M1054" t="s">
        <v>562</v>
      </c>
      <c r="N1054" t="s">
        <v>199</v>
      </c>
      <c r="O1054">
        <v>190</v>
      </c>
      <c r="Q1054">
        <v>867</v>
      </c>
      <c r="R1054">
        <v>108</v>
      </c>
      <c r="S1054">
        <v>4.25</v>
      </c>
      <c r="T1054">
        <v>4.9630000000000001</v>
      </c>
      <c r="U1054">
        <v>7.23</v>
      </c>
      <c r="V1054">
        <v>3685.77</v>
      </c>
      <c r="W1054">
        <v>781</v>
      </c>
      <c r="X1054">
        <v>1.3332999999999999</v>
      </c>
      <c r="Y1054">
        <v>586</v>
      </c>
      <c r="Z1054">
        <v>6.29</v>
      </c>
      <c r="AJ1054">
        <v>2</v>
      </c>
      <c r="AK1054">
        <v>18</v>
      </c>
      <c r="AM1054">
        <v>0</v>
      </c>
      <c r="AO1054" t="s">
        <v>486</v>
      </c>
      <c r="AT1054">
        <v>71</v>
      </c>
      <c r="AV1054">
        <v>62</v>
      </c>
      <c r="AW1054" t="s">
        <v>6</v>
      </c>
      <c r="AX1054" t="s">
        <v>6</v>
      </c>
      <c r="AY1054" t="s">
        <v>6</v>
      </c>
      <c r="AZ1054" t="s">
        <v>6</v>
      </c>
      <c r="BA1054" t="s">
        <v>6</v>
      </c>
      <c r="BB1054" t="s">
        <v>6</v>
      </c>
      <c r="BC1054" t="s">
        <v>6</v>
      </c>
      <c r="BD1054" t="s">
        <v>6</v>
      </c>
      <c r="BE1054" t="s">
        <v>6</v>
      </c>
      <c r="BF1054" t="s">
        <v>6</v>
      </c>
      <c r="BG1054" t="s">
        <v>6</v>
      </c>
      <c r="BH1054" t="s">
        <v>6</v>
      </c>
      <c r="BI1054" t="s">
        <v>6</v>
      </c>
      <c r="BJ1054" t="s">
        <v>6</v>
      </c>
      <c r="BN1054">
        <v>300.32170000000002</v>
      </c>
      <c r="BO1054">
        <v>1443</v>
      </c>
      <c r="BP1054">
        <v>0</v>
      </c>
      <c r="BQ1054">
        <v>65</v>
      </c>
      <c r="BR1054">
        <v>65</v>
      </c>
      <c r="BS1054">
        <v>65.209999999999994</v>
      </c>
      <c r="BT1054">
        <v>0</v>
      </c>
      <c r="BV1054">
        <v>0</v>
      </c>
      <c r="BW1054" t="s">
        <v>655</v>
      </c>
      <c r="BX1054">
        <v>0.17</v>
      </c>
      <c r="BY1054">
        <v>11.085699999999999</v>
      </c>
      <c r="BZ1054">
        <v>0</v>
      </c>
      <c r="CA1054">
        <v>1</v>
      </c>
      <c r="CB1054">
        <v>0.6</v>
      </c>
      <c r="CC1054" s="3">
        <v>7.1269159999999998E-2</v>
      </c>
      <c r="CD1054">
        <v>2.875</v>
      </c>
      <c r="CE1054">
        <v>2.5</v>
      </c>
      <c r="CF1054">
        <v>18</v>
      </c>
      <c r="CG1054">
        <v>6</v>
      </c>
      <c r="CH1054">
        <v>0</v>
      </c>
      <c r="CI1054">
        <v>65.209999999999994</v>
      </c>
      <c r="CJ1054">
        <v>794.13499999999999</v>
      </c>
    </row>
    <row r="1055" spans="1:88">
      <c r="A1055">
        <v>1054</v>
      </c>
      <c r="B1055" t="s">
        <v>0</v>
      </c>
      <c r="C1055" t="s">
        <v>1</v>
      </c>
      <c r="D1055" t="s">
        <v>104</v>
      </c>
      <c r="E1055" t="s">
        <v>113</v>
      </c>
      <c r="F1055" t="s">
        <v>337</v>
      </c>
      <c r="G1055" t="s">
        <v>15</v>
      </c>
      <c r="H1055" t="s">
        <v>398</v>
      </c>
      <c r="J1055">
        <v>2</v>
      </c>
      <c r="K1055" t="s">
        <v>108</v>
      </c>
      <c r="L1055" t="s">
        <v>116</v>
      </c>
      <c r="M1055" t="s">
        <v>117</v>
      </c>
      <c r="N1055" t="s">
        <v>14</v>
      </c>
      <c r="O1055">
        <v>179</v>
      </c>
      <c r="Q1055">
        <v>882</v>
      </c>
      <c r="R1055">
        <v>116</v>
      </c>
      <c r="S1055">
        <v>4.25</v>
      </c>
      <c r="T1055">
        <v>4.7190000000000003</v>
      </c>
      <c r="U1055">
        <v>7.05</v>
      </c>
      <c r="V1055">
        <v>3747.05</v>
      </c>
      <c r="W1055">
        <v>818</v>
      </c>
      <c r="X1055">
        <v>1.3332999999999999</v>
      </c>
      <c r="Y1055">
        <v>619</v>
      </c>
      <c r="Z1055">
        <v>6.05</v>
      </c>
      <c r="AJ1055">
        <v>2</v>
      </c>
      <c r="AK1055">
        <v>18</v>
      </c>
      <c r="AM1055">
        <v>0</v>
      </c>
      <c r="AO1055" t="s">
        <v>170</v>
      </c>
      <c r="AT1055">
        <v>68</v>
      </c>
      <c r="AV1055">
        <v>66.7</v>
      </c>
      <c r="AW1055" t="s">
        <v>6</v>
      </c>
      <c r="AX1055" t="s">
        <v>6</v>
      </c>
      <c r="AY1055" t="s">
        <v>6</v>
      </c>
      <c r="AZ1055" t="s">
        <v>6</v>
      </c>
      <c r="BA1055" t="s">
        <v>6</v>
      </c>
      <c r="BB1055" t="s">
        <v>6</v>
      </c>
      <c r="BC1055" t="s">
        <v>6</v>
      </c>
      <c r="BD1055" t="s">
        <v>6</v>
      </c>
      <c r="BE1055" t="s">
        <v>6</v>
      </c>
      <c r="BF1055" t="s">
        <v>6</v>
      </c>
      <c r="BG1055" t="s">
        <v>6</v>
      </c>
      <c r="BH1055" t="s">
        <v>6</v>
      </c>
      <c r="BI1055" t="s">
        <v>6</v>
      </c>
      <c r="BJ1055" t="s">
        <v>6</v>
      </c>
      <c r="BN1055">
        <v>568.27359999999999</v>
      </c>
      <c r="BO1055">
        <v>3387</v>
      </c>
      <c r="BP1055">
        <v>0</v>
      </c>
      <c r="BQ1055">
        <v>61</v>
      </c>
      <c r="BR1055">
        <v>61</v>
      </c>
      <c r="BS1055">
        <v>61.39</v>
      </c>
      <c r="BT1055">
        <v>0</v>
      </c>
      <c r="BV1055">
        <v>0</v>
      </c>
      <c r="BW1055" t="s">
        <v>655</v>
      </c>
      <c r="BX1055">
        <v>0.17</v>
      </c>
      <c r="BY1055">
        <v>10.436299999999999</v>
      </c>
      <c r="BZ1055">
        <v>0</v>
      </c>
      <c r="CA1055">
        <v>1</v>
      </c>
      <c r="CB1055">
        <v>0.6</v>
      </c>
      <c r="CC1055" s="3">
        <v>7.1269159999999998E-2</v>
      </c>
      <c r="CD1055">
        <v>2.875</v>
      </c>
      <c r="CE1055">
        <v>2.5</v>
      </c>
      <c r="CF1055">
        <v>18</v>
      </c>
      <c r="CG1055">
        <v>6</v>
      </c>
      <c r="CH1055">
        <v>0</v>
      </c>
      <c r="CI1055">
        <v>61.39</v>
      </c>
      <c r="CJ1055">
        <v>804.4923</v>
      </c>
    </row>
    <row r="1056" spans="1:88">
      <c r="A1056">
        <v>1055</v>
      </c>
      <c r="B1056" t="s">
        <v>13</v>
      </c>
      <c r="C1056" t="s">
        <v>1</v>
      </c>
      <c r="D1056" t="s">
        <v>619</v>
      </c>
      <c r="E1056" t="s">
        <v>122</v>
      </c>
      <c r="F1056" t="s">
        <v>567</v>
      </c>
      <c r="G1056" t="s">
        <v>15</v>
      </c>
      <c r="H1056" t="s">
        <v>638</v>
      </c>
      <c r="J1056">
        <v>2</v>
      </c>
      <c r="K1056" t="s">
        <v>108</v>
      </c>
      <c r="L1056" t="s">
        <v>234</v>
      </c>
      <c r="M1056" t="s">
        <v>126</v>
      </c>
      <c r="N1056" t="s">
        <v>162</v>
      </c>
      <c r="O1056">
        <v>127</v>
      </c>
      <c r="Q1056">
        <v>779</v>
      </c>
      <c r="R1056">
        <v>141</v>
      </c>
      <c r="S1056">
        <v>4.25</v>
      </c>
      <c r="T1056">
        <v>3.4860000000000002</v>
      </c>
      <c r="U1056">
        <v>6.3</v>
      </c>
      <c r="V1056">
        <v>3312.79</v>
      </c>
      <c r="W1056">
        <v>890</v>
      </c>
      <c r="X1056">
        <v>1.3332999999999999</v>
      </c>
      <c r="Y1056">
        <v>689</v>
      </c>
      <c r="Z1056">
        <v>4.8099999999999996</v>
      </c>
      <c r="AJ1056">
        <v>2</v>
      </c>
      <c r="AK1056">
        <v>18</v>
      </c>
      <c r="AM1056">
        <v>0</v>
      </c>
      <c r="AO1056" t="s">
        <v>97</v>
      </c>
      <c r="AT1056">
        <v>49</v>
      </c>
      <c r="AV1056">
        <v>81.2</v>
      </c>
      <c r="AW1056" t="s">
        <v>6</v>
      </c>
      <c r="AX1056" t="s">
        <v>6</v>
      </c>
      <c r="AY1056" t="s">
        <v>6</v>
      </c>
      <c r="AZ1056" t="s">
        <v>6</v>
      </c>
      <c r="BA1056" t="s">
        <v>6</v>
      </c>
      <c r="BB1056" t="s">
        <v>6</v>
      </c>
      <c r="BC1056" t="s">
        <v>6</v>
      </c>
      <c r="BD1056" t="s">
        <v>6</v>
      </c>
      <c r="BE1056" t="s">
        <v>6</v>
      </c>
      <c r="BF1056" t="s">
        <v>6</v>
      </c>
      <c r="BG1056" t="s">
        <v>6</v>
      </c>
      <c r="BH1056" t="s">
        <v>6</v>
      </c>
      <c r="BI1056" t="s">
        <v>6</v>
      </c>
      <c r="BJ1056" t="s">
        <v>6</v>
      </c>
      <c r="BN1056">
        <v>694.5566</v>
      </c>
      <c r="BO1056">
        <v>2267</v>
      </c>
      <c r="BP1056">
        <v>0</v>
      </c>
      <c r="BQ1056">
        <v>43</v>
      </c>
      <c r="BR1056">
        <v>43</v>
      </c>
      <c r="BS1056">
        <v>43.3</v>
      </c>
      <c r="BT1056">
        <v>0</v>
      </c>
      <c r="BV1056">
        <v>0</v>
      </c>
      <c r="BW1056" t="s">
        <v>655</v>
      </c>
      <c r="BX1056">
        <v>0.17</v>
      </c>
      <c r="BY1056">
        <v>7.3609999999999998</v>
      </c>
      <c r="BZ1056">
        <v>0</v>
      </c>
      <c r="CA1056">
        <v>1</v>
      </c>
      <c r="CB1056">
        <v>0.6</v>
      </c>
      <c r="CC1056" s="3">
        <v>7.1269159999999998E-2</v>
      </c>
      <c r="CD1056">
        <v>2.875</v>
      </c>
      <c r="CE1056">
        <v>2.5</v>
      </c>
      <c r="CF1056">
        <v>18</v>
      </c>
      <c r="CG1056">
        <v>6</v>
      </c>
      <c r="CH1056">
        <v>0</v>
      </c>
      <c r="CI1056">
        <v>43.3</v>
      </c>
      <c r="CJ1056">
        <v>690.86810000000003</v>
      </c>
    </row>
    <row r="1057" spans="1:88">
      <c r="A1057">
        <v>1056</v>
      </c>
      <c r="B1057" t="s">
        <v>0</v>
      </c>
      <c r="C1057" t="s">
        <v>1</v>
      </c>
      <c r="D1057" t="s">
        <v>120</v>
      </c>
      <c r="E1057" t="s">
        <v>302</v>
      </c>
      <c r="F1057" t="s">
        <v>112</v>
      </c>
      <c r="G1057" t="s">
        <v>106</v>
      </c>
      <c r="H1057" t="s">
        <v>590</v>
      </c>
      <c r="J1057">
        <v>2</v>
      </c>
      <c r="K1057" t="s">
        <v>108</v>
      </c>
      <c r="L1057" t="s">
        <v>303</v>
      </c>
      <c r="M1057" t="s">
        <v>304</v>
      </c>
      <c r="N1057" t="s">
        <v>305</v>
      </c>
      <c r="O1057">
        <v>205</v>
      </c>
      <c r="Q1057">
        <v>862</v>
      </c>
      <c r="R1057">
        <v>109</v>
      </c>
      <c r="S1057">
        <v>4.25</v>
      </c>
      <c r="T1057">
        <v>5.2889999999999997</v>
      </c>
      <c r="U1057">
        <v>7.35</v>
      </c>
      <c r="V1057">
        <v>3662.3</v>
      </c>
      <c r="W1057">
        <v>799</v>
      </c>
      <c r="X1057">
        <v>1.5</v>
      </c>
      <c r="Y1057">
        <v>540</v>
      </c>
      <c r="Z1057">
        <v>6.78</v>
      </c>
      <c r="AJ1057">
        <v>2</v>
      </c>
      <c r="AK1057">
        <v>18</v>
      </c>
      <c r="AM1057">
        <v>0</v>
      </c>
      <c r="AO1057" t="s">
        <v>517</v>
      </c>
      <c r="AT1057">
        <v>77</v>
      </c>
      <c r="AV1057">
        <v>57.3</v>
      </c>
      <c r="AW1057" t="s">
        <v>6</v>
      </c>
      <c r="AX1057" t="s">
        <v>6</v>
      </c>
      <c r="AY1057" t="s">
        <v>6</v>
      </c>
      <c r="AZ1057" t="s">
        <v>6</v>
      </c>
      <c r="BA1057" t="s">
        <v>6</v>
      </c>
      <c r="BB1057" t="s">
        <v>6</v>
      </c>
      <c r="BC1057" t="s">
        <v>6</v>
      </c>
      <c r="BD1057" t="s">
        <v>6</v>
      </c>
      <c r="BE1057" t="s">
        <v>6</v>
      </c>
      <c r="BF1057" t="s">
        <v>6</v>
      </c>
      <c r="BG1057" t="s">
        <v>6</v>
      </c>
      <c r="BH1057" t="s">
        <v>6</v>
      </c>
      <c r="BI1057" t="s">
        <v>6</v>
      </c>
      <c r="BJ1057" t="s">
        <v>6</v>
      </c>
      <c r="BN1057">
        <v>274.63339999999999</v>
      </c>
      <c r="BO1057">
        <v>1376</v>
      </c>
      <c r="BP1057">
        <v>0</v>
      </c>
      <c r="BQ1057">
        <v>70</v>
      </c>
      <c r="BR1057">
        <v>70</v>
      </c>
      <c r="BS1057">
        <v>70.430000000000007</v>
      </c>
      <c r="BT1057">
        <v>0</v>
      </c>
      <c r="BV1057">
        <v>0</v>
      </c>
      <c r="BW1057" t="s">
        <v>655</v>
      </c>
      <c r="BX1057">
        <v>0.17</v>
      </c>
      <c r="BY1057">
        <v>11.973100000000001</v>
      </c>
      <c r="BZ1057">
        <v>0</v>
      </c>
      <c r="CA1057">
        <v>1</v>
      </c>
      <c r="CB1057">
        <v>0.6</v>
      </c>
      <c r="CC1057" s="3">
        <v>7.1269159999999998E-2</v>
      </c>
      <c r="CD1057">
        <v>2.875</v>
      </c>
      <c r="CE1057">
        <v>2.5</v>
      </c>
      <c r="CF1057">
        <v>18</v>
      </c>
      <c r="CG1057">
        <v>6</v>
      </c>
      <c r="CH1057">
        <v>0</v>
      </c>
      <c r="CI1057">
        <v>70.430000000000007</v>
      </c>
      <c r="CJ1057">
        <v>792.45150000000001</v>
      </c>
    </row>
    <row r="1058" spans="1:88">
      <c r="A1058">
        <v>1057</v>
      </c>
      <c r="B1058" t="s">
        <v>13</v>
      </c>
      <c r="C1058" t="s">
        <v>1</v>
      </c>
      <c r="D1058" t="s">
        <v>692</v>
      </c>
      <c r="E1058" t="s">
        <v>210</v>
      </c>
      <c r="F1058" t="s">
        <v>717</v>
      </c>
      <c r="G1058" t="s">
        <v>735</v>
      </c>
      <c r="H1058" t="s">
        <v>740</v>
      </c>
      <c r="J1058">
        <v>2</v>
      </c>
      <c r="K1058" t="s">
        <v>9</v>
      </c>
      <c r="L1058" t="s">
        <v>397</v>
      </c>
      <c r="M1058" t="s">
        <v>604</v>
      </c>
      <c r="N1058" t="s">
        <v>212</v>
      </c>
      <c r="O1058">
        <v>192</v>
      </c>
      <c r="Q1058">
        <v>1495</v>
      </c>
      <c r="R1058">
        <v>184</v>
      </c>
      <c r="S1058">
        <v>4.3125</v>
      </c>
      <c r="T1058">
        <v>4.9649999999999999</v>
      </c>
      <c r="U1058">
        <v>7.33</v>
      </c>
      <c r="V1058">
        <v>6448.82</v>
      </c>
      <c r="W1058">
        <v>1350</v>
      </c>
      <c r="X1058">
        <v>1.3332999999999999</v>
      </c>
      <c r="Y1058">
        <v>1025</v>
      </c>
      <c r="Z1058">
        <v>6.29</v>
      </c>
      <c r="AJ1058">
        <v>2</v>
      </c>
      <c r="AK1058">
        <v>18</v>
      </c>
      <c r="AM1058">
        <v>0</v>
      </c>
      <c r="AO1058" t="s">
        <v>718</v>
      </c>
      <c r="AT1058">
        <v>72</v>
      </c>
      <c r="AV1058">
        <v>105.9</v>
      </c>
      <c r="AW1058" t="s">
        <v>6</v>
      </c>
      <c r="AX1058" t="s">
        <v>6</v>
      </c>
      <c r="AY1058" t="s">
        <v>6</v>
      </c>
      <c r="AZ1058" t="s">
        <v>6</v>
      </c>
      <c r="BA1058" t="s">
        <v>6</v>
      </c>
      <c r="BB1058" t="s">
        <v>6</v>
      </c>
      <c r="BC1058" t="s">
        <v>6</v>
      </c>
      <c r="BD1058" t="s">
        <v>6</v>
      </c>
      <c r="BE1058" t="s">
        <v>6</v>
      </c>
      <c r="BF1058" t="s">
        <v>6</v>
      </c>
      <c r="BG1058" t="s">
        <v>6</v>
      </c>
      <c r="BH1058" t="s">
        <v>6</v>
      </c>
      <c r="BI1058" t="s">
        <v>6</v>
      </c>
      <c r="BJ1058" t="s">
        <v>6</v>
      </c>
      <c r="BN1058">
        <v>1164.8399999999999</v>
      </c>
      <c r="BO1058">
        <v>4867</v>
      </c>
      <c r="BP1058">
        <v>0</v>
      </c>
      <c r="BQ1058">
        <v>66</v>
      </c>
      <c r="BR1058">
        <v>66</v>
      </c>
      <c r="BS1058">
        <v>65.91001</v>
      </c>
      <c r="BT1058">
        <v>0</v>
      </c>
      <c r="BV1058">
        <v>6</v>
      </c>
      <c r="BW1058" t="s">
        <v>655</v>
      </c>
      <c r="BX1058">
        <v>0.27933340000000001</v>
      </c>
      <c r="BY1058">
        <v>18.41086</v>
      </c>
      <c r="BZ1058">
        <v>0</v>
      </c>
      <c r="CA1058">
        <v>1</v>
      </c>
      <c r="CB1058">
        <v>0.6</v>
      </c>
      <c r="CC1058" s="3">
        <v>7.1269159999999998E-2</v>
      </c>
      <c r="CD1058">
        <v>2.875</v>
      </c>
      <c r="CE1058">
        <v>2.5</v>
      </c>
      <c r="CF1058">
        <v>18</v>
      </c>
      <c r="CG1058">
        <v>6</v>
      </c>
      <c r="CH1058">
        <v>0</v>
      </c>
      <c r="CI1058">
        <v>65.91001</v>
      </c>
      <c r="CJ1058">
        <v>1371.039</v>
      </c>
    </row>
    <row r="1059" spans="1:88">
      <c r="A1059">
        <v>1058</v>
      </c>
      <c r="B1059" t="s">
        <v>0</v>
      </c>
      <c r="C1059" t="s">
        <v>1</v>
      </c>
      <c r="D1059" t="s">
        <v>143</v>
      </c>
      <c r="E1059" t="s">
        <v>199</v>
      </c>
      <c r="F1059" t="s">
        <v>144</v>
      </c>
      <c r="G1059" t="s">
        <v>106</v>
      </c>
      <c r="H1059" t="s">
        <v>145</v>
      </c>
      <c r="J1059">
        <v>2</v>
      </c>
      <c r="K1059" t="s">
        <v>146</v>
      </c>
      <c r="L1059" t="s">
        <v>264</v>
      </c>
      <c r="M1059" t="s">
        <v>265</v>
      </c>
      <c r="N1059" t="s">
        <v>161</v>
      </c>
      <c r="O1059">
        <v>193</v>
      </c>
      <c r="Q1059">
        <v>761</v>
      </c>
      <c r="R1059">
        <v>95</v>
      </c>
      <c r="S1059">
        <v>4.25</v>
      </c>
      <c r="T1059">
        <v>5.0289999999999999</v>
      </c>
      <c r="U1059">
        <v>7.31</v>
      </c>
      <c r="V1059">
        <v>3235.69</v>
      </c>
      <c r="W1059">
        <v>692</v>
      </c>
      <c r="X1059">
        <v>1.3332999999999999</v>
      </c>
      <c r="Y1059">
        <v>509</v>
      </c>
      <c r="Z1059">
        <v>6.36</v>
      </c>
      <c r="AJ1059">
        <v>2</v>
      </c>
      <c r="AK1059">
        <v>18</v>
      </c>
      <c r="AM1059">
        <v>0</v>
      </c>
      <c r="AO1059" t="s">
        <v>149</v>
      </c>
      <c r="AT1059">
        <v>72</v>
      </c>
      <c r="AV1059">
        <v>53.5</v>
      </c>
      <c r="AW1059">
        <v>0.4375</v>
      </c>
      <c r="AX1059">
        <v>3.75</v>
      </c>
      <c r="AY1059">
        <v>55.875</v>
      </c>
      <c r="AZ1059">
        <v>5.5</v>
      </c>
      <c r="BA1059">
        <v>254.37</v>
      </c>
      <c r="BB1059">
        <v>6.46</v>
      </c>
      <c r="BC1059">
        <v>57</v>
      </c>
      <c r="BD1059">
        <v>0.4375</v>
      </c>
      <c r="BE1059">
        <v>3.75</v>
      </c>
      <c r="BF1059">
        <v>55.875</v>
      </c>
      <c r="BG1059">
        <v>5.5</v>
      </c>
      <c r="BH1059">
        <v>254.37</v>
      </c>
      <c r="BI1059">
        <v>6.46</v>
      </c>
      <c r="BJ1059">
        <v>57</v>
      </c>
      <c r="BL1059">
        <v>508.74</v>
      </c>
      <c r="BM1059">
        <v>113</v>
      </c>
      <c r="BN1059">
        <v>256.80009999999999</v>
      </c>
      <c r="BO1059">
        <v>1574</v>
      </c>
      <c r="BP1059">
        <v>0</v>
      </c>
      <c r="BQ1059">
        <v>66</v>
      </c>
      <c r="BR1059">
        <v>66</v>
      </c>
      <c r="BS1059">
        <v>66.260000000000005</v>
      </c>
      <c r="BT1059">
        <v>0</v>
      </c>
      <c r="BV1059">
        <v>0</v>
      </c>
      <c r="BW1059" t="s">
        <v>655</v>
      </c>
      <c r="BX1059">
        <v>0.17</v>
      </c>
      <c r="BY1059">
        <v>11.264200000000001</v>
      </c>
      <c r="BZ1059">
        <v>0</v>
      </c>
      <c r="CA1059">
        <v>1</v>
      </c>
      <c r="CB1059">
        <v>0.6</v>
      </c>
      <c r="CC1059" s="3">
        <v>7.1269159999999998E-2</v>
      </c>
      <c r="CD1059">
        <v>2.875</v>
      </c>
      <c r="CE1059">
        <v>2.5</v>
      </c>
      <c r="CF1059">
        <v>18</v>
      </c>
      <c r="CG1059">
        <v>6</v>
      </c>
      <c r="CH1059">
        <v>0</v>
      </c>
      <c r="CI1059">
        <v>66.260000000000005</v>
      </c>
      <c r="CJ1059">
        <v>696.5385</v>
      </c>
    </row>
    <row r="1060" spans="1:88">
      <c r="A1060">
        <v>1059</v>
      </c>
      <c r="B1060" t="s">
        <v>13</v>
      </c>
      <c r="C1060" t="s">
        <v>1</v>
      </c>
      <c r="D1060" t="s">
        <v>8</v>
      </c>
      <c r="E1060" t="s">
        <v>96</v>
      </c>
      <c r="F1060" t="s">
        <v>246</v>
      </c>
      <c r="G1060" t="s">
        <v>214</v>
      </c>
      <c r="H1060" t="s">
        <v>247</v>
      </c>
      <c r="J1060">
        <v>2</v>
      </c>
      <c r="K1060" t="s">
        <v>108</v>
      </c>
      <c r="L1060" t="s">
        <v>293</v>
      </c>
      <c r="M1060" t="s">
        <v>100</v>
      </c>
      <c r="N1060" t="s">
        <v>101</v>
      </c>
      <c r="O1060">
        <v>131</v>
      </c>
      <c r="Q1060">
        <v>703</v>
      </c>
      <c r="R1060">
        <v>124</v>
      </c>
      <c r="S1060">
        <v>4.25</v>
      </c>
      <c r="T1060">
        <v>3.5859999999999999</v>
      </c>
      <c r="U1060">
        <v>6.37</v>
      </c>
      <c r="V1060">
        <v>2985.88</v>
      </c>
      <c r="W1060">
        <v>787</v>
      </c>
      <c r="X1060">
        <v>1.3332999999999999</v>
      </c>
      <c r="Y1060">
        <v>608</v>
      </c>
      <c r="Z1060">
        <v>4.91</v>
      </c>
      <c r="AJ1060">
        <v>2</v>
      </c>
      <c r="AK1060">
        <v>18</v>
      </c>
      <c r="AM1060">
        <v>0</v>
      </c>
      <c r="AO1060" t="s">
        <v>250</v>
      </c>
      <c r="AT1060">
        <v>51</v>
      </c>
      <c r="AV1060">
        <v>71.099999999999994</v>
      </c>
      <c r="AW1060">
        <v>0.4375</v>
      </c>
      <c r="AX1060">
        <v>3.75</v>
      </c>
      <c r="AY1060">
        <v>42.5</v>
      </c>
      <c r="AZ1060">
        <v>4.25</v>
      </c>
      <c r="BA1060">
        <v>334.46</v>
      </c>
      <c r="BB1060">
        <v>4.92</v>
      </c>
      <c r="BC1060">
        <v>43</v>
      </c>
      <c r="BD1060">
        <v>0.40625</v>
      </c>
      <c r="BE1060">
        <v>3.75</v>
      </c>
      <c r="BF1060">
        <v>35.5</v>
      </c>
      <c r="BG1060">
        <v>4</v>
      </c>
      <c r="BH1060">
        <v>273.66000000000003</v>
      </c>
      <c r="BI1060">
        <v>4.84</v>
      </c>
      <c r="BJ1060">
        <v>34</v>
      </c>
      <c r="BL1060">
        <v>608.12</v>
      </c>
      <c r="BM1060">
        <v>76</v>
      </c>
      <c r="BN1060">
        <v>345.28</v>
      </c>
      <c r="BO1060">
        <v>1092</v>
      </c>
      <c r="BP1060">
        <v>0</v>
      </c>
      <c r="BQ1060">
        <v>45</v>
      </c>
      <c r="BR1060">
        <v>45</v>
      </c>
      <c r="BS1060">
        <v>44.69</v>
      </c>
      <c r="BT1060">
        <v>0</v>
      </c>
      <c r="BV1060">
        <v>0</v>
      </c>
      <c r="BW1060" t="s">
        <v>655</v>
      </c>
      <c r="BX1060">
        <v>0.17</v>
      </c>
      <c r="BY1060">
        <v>7.5972999999999997</v>
      </c>
      <c r="BZ1060">
        <v>0</v>
      </c>
      <c r="CA1060">
        <v>1</v>
      </c>
      <c r="CB1060">
        <v>0.6</v>
      </c>
      <c r="CC1060" s="3">
        <v>7.1269159999999998E-2</v>
      </c>
      <c r="CD1060">
        <v>2.875</v>
      </c>
      <c r="CE1060">
        <v>2.5</v>
      </c>
      <c r="CF1060">
        <v>18</v>
      </c>
      <c r="CG1060">
        <v>6</v>
      </c>
      <c r="CH1060">
        <v>0</v>
      </c>
      <c r="CI1060">
        <v>44.69</v>
      </c>
      <c r="CJ1060">
        <v>623.8655</v>
      </c>
    </row>
    <row r="1061" spans="1:88">
      <c r="A1061">
        <v>1060</v>
      </c>
      <c r="B1061" t="s">
        <v>13</v>
      </c>
      <c r="C1061" t="s">
        <v>1</v>
      </c>
      <c r="D1061" t="s">
        <v>241</v>
      </c>
      <c r="E1061" t="s">
        <v>176</v>
      </c>
      <c r="F1061" t="s">
        <v>345</v>
      </c>
      <c r="G1061" t="s">
        <v>106</v>
      </c>
      <c r="H1061" t="s">
        <v>283</v>
      </c>
      <c r="J1061">
        <v>2</v>
      </c>
      <c r="K1061" t="s">
        <v>146</v>
      </c>
      <c r="L1061" t="s">
        <v>167</v>
      </c>
      <c r="M1061" t="s">
        <v>226</v>
      </c>
      <c r="N1061" t="s">
        <v>227</v>
      </c>
      <c r="O1061">
        <v>113</v>
      </c>
      <c r="Q1061">
        <v>256</v>
      </c>
      <c r="R1061">
        <v>51</v>
      </c>
      <c r="S1061">
        <v>4.25</v>
      </c>
      <c r="T1061">
        <v>3.1280000000000001</v>
      </c>
      <c r="U1061">
        <v>6.18</v>
      </c>
      <c r="V1061">
        <v>1088.97</v>
      </c>
      <c r="W1061">
        <v>316</v>
      </c>
      <c r="X1061">
        <v>1.3332999999999999</v>
      </c>
      <c r="Y1061">
        <v>244</v>
      </c>
      <c r="Z1061">
        <v>4.46</v>
      </c>
      <c r="AJ1061">
        <v>2</v>
      </c>
      <c r="AK1061">
        <v>18</v>
      </c>
      <c r="AM1061">
        <v>0</v>
      </c>
      <c r="AO1061" t="s">
        <v>374</v>
      </c>
      <c r="AT1061">
        <v>45</v>
      </c>
      <c r="AV1061">
        <v>29.2</v>
      </c>
      <c r="AW1061">
        <v>0</v>
      </c>
      <c r="AX1061">
        <v>0</v>
      </c>
      <c r="AY1061">
        <v>26.5</v>
      </c>
      <c r="AZ1061">
        <v>3.375</v>
      </c>
      <c r="BA1061">
        <v>0</v>
      </c>
      <c r="BB1061">
        <v>0</v>
      </c>
      <c r="BC1061">
        <v>23</v>
      </c>
      <c r="BN1061">
        <v>137.3167</v>
      </c>
      <c r="BO1061">
        <v>5503</v>
      </c>
      <c r="BP1061">
        <v>0</v>
      </c>
      <c r="BQ1061">
        <v>38</v>
      </c>
      <c r="BR1061">
        <v>38</v>
      </c>
      <c r="BS1061">
        <v>38.43</v>
      </c>
      <c r="BT1061">
        <v>0</v>
      </c>
      <c r="BV1061">
        <v>0</v>
      </c>
      <c r="BW1061" t="s">
        <v>655</v>
      </c>
      <c r="BX1061">
        <v>0.17</v>
      </c>
      <c r="BY1061">
        <v>6.5331000000000001</v>
      </c>
      <c r="BZ1061">
        <v>0</v>
      </c>
      <c r="CA1061">
        <v>1</v>
      </c>
      <c r="CB1061">
        <v>0.6</v>
      </c>
      <c r="CC1061" s="3">
        <v>7.1269159999999998E-2</v>
      </c>
      <c r="CD1061">
        <v>2.875</v>
      </c>
      <c r="CE1061">
        <v>2.5</v>
      </c>
      <c r="CF1061">
        <v>18</v>
      </c>
      <c r="CG1061">
        <v>6</v>
      </c>
      <c r="CH1061">
        <v>0</v>
      </c>
      <c r="CI1061">
        <v>38.43</v>
      </c>
      <c r="CJ1061">
        <v>220.47929999999999</v>
      </c>
    </row>
    <row r="1062" spans="1:88">
      <c r="A1062">
        <v>1061</v>
      </c>
      <c r="B1062" t="s">
        <v>13</v>
      </c>
      <c r="C1062" t="s">
        <v>1</v>
      </c>
      <c r="D1062" t="s">
        <v>324</v>
      </c>
      <c r="E1062" t="s">
        <v>113</v>
      </c>
      <c r="F1062" t="s">
        <v>325</v>
      </c>
      <c r="G1062" t="s">
        <v>15</v>
      </c>
      <c r="H1062" t="s">
        <v>324</v>
      </c>
      <c r="J1062">
        <v>2</v>
      </c>
      <c r="K1062" t="s">
        <v>9</v>
      </c>
      <c r="L1062" t="s">
        <v>116</v>
      </c>
      <c r="M1062" t="s">
        <v>117</v>
      </c>
      <c r="N1062" t="s">
        <v>14</v>
      </c>
      <c r="O1062">
        <v>179</v>
      </c>
      <c r="Q1062">
        <v>1154</v>
      </c>
      <c r="R1062">
        <v>151</v>
      </c>
      <c r="S1062">
        <v>4.25</v>
      </c>
      <c r="T1062">
        <v>4.7190000000000003</v>
      </c>
      <c r="U1062">
        <v>7.05</v>
      </c>
      <c r="V1062">
        <v>4903.3100000000004</v>
      </c>
      <c r="W1062">
        <v>1067</v>
      </c>
      <c r="X1062">
        <v>1.3332999999999999</v>
      </c>
      <c r="Y1062">
        <v>810</v>
      </c>
      <c r="Z1062">
        <v>6.05</v>
      </c>
      <c r="AJ1062">
        <v>2</v>
      </c>
      <c r="AK1062">
        <v>18</v>
      </c>
      <c r="AM1062">
        <v>0</v>
      </c>
      <c r="AO1062" t="s">
        <v>326</v>
      </c>
      <c r="AT1062">
        <v>68</v>
      </c>
      <c r="AV1062">
        <v>87</v>
      </c>
      <c r="AW1062" t="s">
        <v>6</v>
      </c>
      <c r="AX1062" t="s">
        <v>6</v>
      </c>
      <c r="AY1062" t="s">
        <v>6</v>
      </c>
      <c r="AZ1062" t="s">
        <v>6</v>
      </c>
      <c r="BA1062" t="s">
        <v>6</v>
      </c>
      <c r="BB1062" t="s">
        <v>6</v>
      </c>
      <c r="BC1062" t="s">
        <v>6</v>
      </c>
      <c r="BD1062" t="s">
        <v>6</v>
      </c>
      <c r="BE1062" t="s">
        <v>6</v>
      </c>
      <c r="BF1062" t="s">
        <v>6</v>
      </c>
      <c r="BG1062" t="s">
        <v>6</v>
      </c>
      <c r="BH1062" t="s">
        <v>6</v>
      </c>
      <c r="BI1062" t="s">
        <v>6</v>
      </c>
      <c r="BJ1062" t="s">
        <v>6</v>
      </c>
      <c r="BN1062">
        <v>745.06970000000001</v>
      </c>
      <c r="BO1062">
        <v>1970</v>
      </c>
      <c r="BP1062">
        <v>0</v>
      </c>
      <c r="BQ1062">
        <v>61</v>
      </c>
      <c r="BR1062">
        <v>61</v>
      </c>
      <c r="BS1062">
        <v>61.39</v>
      </c>
      <c r="BT1062">
        <v>0</v>
      </c>
      <c r="BV1062">
        <v>6</v>
      </c>
      <c r="BW1062" t="s">
        <v>655</v>
      </c>
      <c r="BX1062">
        <v>0.27933330000000001</v>
      </c>
      <c r="BY1062">
        <v>17.14827</v>
      </c>
      <c r="BZ1062">
        <v>0</v>
      </c>
      <c r="CA1062">
        <v>1</v>
      </c>
      <c r="CB1062">
        <v>0.6</v>
      </c>
      <c r="CC1062" s="3">
        <v>7.1269159999999998E-2</v>
      </c>
      <c r="CD1062">
        <v>2.875</v>
      </c>
      <c r="CE1062">
        <v>2.5</v>
      </c>
      <c r="CF1062">
        <v>18</v>
      </c>
      <c r="CG1062">
        <v>6</v>
      </c>
      <c r="CH1062">
        <v>0</v>
      </c>
      <c r="CI1062">
        <v>61.39</v>
      </c>
      <c r="CJ1062">
        <v>1049.5039999999999</v>
      </c>
    </row>
    <row r="1063" spans="1:88">
      <c r="A1063">
        <v>1062</v>
      </c>
      <c r="B1063" t="s">
        <v>13</v>
      </c>
      <c r="C1063" t="s">
        <v>1</v>
      </c>
      <c r="D1063" t="s">
        <v>172</v>
      </c>
      <c r="E1063" t="s">
        <v>552</v>
      </c>
      <c r="F1063" t="s">
        <v>359</v>
      </c>
      <c r="G1063" t="s">
        <v>106</v>
      </c>
      <c r="H1063" t="s">
        <v>330</v>
      </c>
      <c r="J1063">
        <v>2</v>
      </c>
      <c r="K1063" t="s">
        <v>146</v>
      </c>
      <c r="L1063" t="s">
        <v>104</v>
      </c>
      <c r="M1063" t="s">
        <v>600</v>
      </c>
      <c r="N1063" t="s">
        <v>348</v>
      </c>
      <c r="O1063">
        <v>171</v>
      </c>
      <c r="Q1063">
        <v>598</v>
      </c>
      <c r="R1063">
        <v>84</v>
      </c>
      <c r="S1063">
        <v>4.25</v>
      </c>
      <c r="T1063">
        <v>4.5380000000000003</v>
      </c>
      <c r="U1063">
        <v>6.93</v>
      </c>
      <c r="V1063">
        <v>2540.64</v>
      </c>
      <c r="W1063">
        <v>584</v>
      </c>
      <c r="X1063">
        <v>1.3332999999999999</v>
      </c>
      <c r="Y1063">
        <v>433</v>
      </c>
      <c r="Z1063">
        <v>5.87</v>
      </c>
      <c r="AJ1063">
        <v>2</v>
      </c>
      <c r="AK1063">
        <v>18</v>
      </c>
      <c r="AM1063">
        <v>0</v>
      </c>
      <c r="AO1063" t="s">
        <v>360</v>
      </c>
      <c r="AT1063">
        <v>65</v>
      </c>
      <c r="AV1063">
        <v>47</v>
      </c>
      <c r="AW1063">
        <v>0.46875</v>
      </c>
      <c r="AX1063">
        <v>3.75</v>
      </c>
      <c r="AY1063">
        <v>60.375</v>
      </c>
      <c r="AZ1063">
        <v>5.5</v>
      </c>
      <c r="BA1063">
        <v>335.74</v>
      </c>
      <c r="BB1063">
        <v>5.87</v>
      </c>
      <c r="BC1063">
        <v>65</v>
      </c>
      <c r="BD1063">
        <v>0.3125</v>
      </c>
      <c r="BE1063">
        <v>2.75</v>
      </c>
      <c r="BF1063">
        <v>37</v>
      </c>
      <c r="BG1063">
        <v>3.625</v>
      </c>
      <c r="BH1063">
        <v>97.07</v>
      </c>
      <c r="BI1063">
        <v>6.58</v>
      </c>
      <c r="BJ1063">
        <v>20</v>
      </c>
      <c r="BL1063">
        <v>432.81</v>
      </c>
      <c r="BM1063">
        <v>84</v>
      </c>
      <c r="BN1063">
        <v>224.70009999999999</v>
      </c>
      <c r="BO1063">
        <v>2055</v>
      </c>
      <c r="BP1063">
        <v>0</v>
      </c>
      <c r="BQ1063">
        <v>59</v>
      </c>
      <c r="BR1063">
        <v>59</v>
      </c>
      <c r="BS1063">
        <v>58.6</v>
      </c>
      <c r="BT1063">
        <v>0</v>
      </c>
      <c r="BV1063">
        <v>0</v>
      </c>
      <c r="BW1063" t="s">
        <v>655</v>
      </c>
      <c r="BX1063">
        <v>0.17</v>
      </c>
      <c r="BY1063">
        <v>9.9619999999999997</v>
      </c>
      <c r="BZ1063">
        <v>0</v>
      </c>
      <c r="CA1063">
        <v>1</v>
      </c>
      <c r="CB1063">
        <v>0.6</v>
      </c>
      <c r="CC1063" s="3">
        <v>7.1269159999999998E-2</v>
      </c>
      <c r="CD1063">
        <v>2.875</v>
      </c>
      <c r="CE1063">
        <v>2.5</v>
      </c>
      <c r="CF1063">
        <v>18</v>
      </c>
      <c r="CG1063">
        <v>6</v>
      </c>
      <c r="CH1063">
        <v>0</v>
      </c>
      <c r="CI1063">
        <v>58.6</v>
      </c>
      <c r="CJ1063">
        <v>540.84019999999998</v>
      </c>
    </row>
    <row r="1064" spans="1:88">
      <c r="A1064">
        <v>1063</v>
      </c>
      <c r="B1064" t="s">
        <v>0</v>
      </c>
      <c r="C1064" t="s">
        <v>1</v>
      </c>
      <c r="D1064" t="s">
        <v>113</v>
      </c>
      <c r="E1064" t="s">
        <v>176</v>
      </c>
      <c r="F1064" t="s">
        <v>262</v>
      </c>
      <c r="G1064" t="s">
        <v>106</v>
      </c>
      <c r="H1064" t="s">
        <v>263</v>
      </c>
      <c r="J1064">
        <v>2</v>
      </c>
      <c r="K1064" t="s">
        <v>108</v>
      </c>
      <c r="L1064" t="s">
        <v>167</v>
      </c>
      <c r="M1064" t="s">
        <v>226</v>
      </c>
      <c r="N1064" t="s">
        <v>227</v>
      </c>
      <c r="O1064">
        <v>113</v>
      </c>
      <c r="Q1064">
        <v>540</v>
      </c>
      <c r="R1064">
        <v>109</v>
      </c>
      <c r="S1064">
        <v>4.25</v>
      </c>
      <c r="T1064">
        <v>3.1280000000000001</v>
      </c>
      <c r="U1064">
        <v>6.18</v>
      </c>
      <c r="V1064">
        <v>2293.5100000000002</v>
      </c>
      <c r="W1064">
        <v>671</v>
      </c>
      <c r="X1064">
        <v>1.3332999999999999</v>
      </c>
      <c r="Y1064">
        <v>514</v>
      </c>
      <c r="Z1064">
        <v>4.46</v>
      </c>
      <c r="AJ1064">
        <v>2</v>
      </c>
      <c r="AK1064">
        <v>18</v>
      </c>
      <c r="AM1064">
        <v>0</v>
      </c>
      <c r="AO1064" t="s">
        <v>266</v>
      </c>
      <c r="AT1064">
        <v>45</v>
      </c>
      <c r="AV1064">
        <v>62.3</v>
      </c>
      <c r="AW1064">
        <v>0.46875</v>
      </c>
      <c r="AX1064">
        <v>3.75</v>
      </c>
      <c r="AY1064">
        <v>45.875</v>
      </c>
      <c r="AZ1064">
        <v>4.125</v>
      </c>
      <c r="BA1064">
        <v>441.88</v>
      </c>
      <c r="BB1064">
        <v>4.46</v>
      </c>
      <c r="BC1064">
        <v>49</v>
      </c>
      <c r="BD1064">
        <v>0.25</v>
      </c>
      <c r="BE1064">
        <v>2.75</v>
      </c>
      <c r="BF1064">
        <v>15.875</v>
      </c>
      <c r="BG1064">
        <v>2.25</v>
      </c>
      <c r="BH1064">
        <v>72.34</v>
      </c>
      <c r="BI1064">
        <v>4.7300000000000004</v>
      </c>
      <c r="BJ1064">
        <v>7</v>
      </c>
      <c r="BL1064">
        <v>514.22</v>
      </c>
      <c r="BM1064">
        <v>56</v>
      </c>
      <c r="BN1064">
        <v>299.60000000000002</v>
      </c>
      <c r="BO1064">
        <v>1156</v>
      </c>
      <c r="BP1064">
        <v>0</v>
      </c>
      <c r="BQ1064">
        <v>38</v>
      </c>
      <c r="BR1064">
        <v>38</v>
      </c>
      <c r="BS1064">
        <v>38.43</v>
      </c>
      <c r="BT1064">
        <v>0</v>
      </c>
      <c r="BV1064">
        <v>0</v>
      </c>
      <c r="BW1064" t="s">
        <v>655</v>
      </c>
      <c r="BX1064">
        <v>0.17</v>
      </c>
      <c r="BY1064">
        <v>6.5331000000000001</v>
      </c>
      <c r="BZ1064">
        <v>0</v>
      </c>
      <c r="CA1064">
        <v>1</v>
      </c>
      <c r="CB1064">
        <v>0.6</v>
      </c>
      <c r="CC1064" s="3">
        <v>7.1269159999999998E-2</v>
      </c>
      <c r="CD1064">
        <v>2.875</v>
      </c>
      <c r="CE1064">
        <v>2.5</v>
      </c>
      <c r="CF1064">
        <v>18</v>
      </c>
      <c r="CG1064">
        <v>6</v>
      </c>
      <c r="CH1064">
        <v>0</v>
      </c>
      <c r="CI1064">
        <v>38.43</v>
      </c>
      <c r="CJ1064">
        <v>470.7439</v>
      </c>
    </row>
    <row r="1065" spans="1:88">
      <c r="A1065">
        <v>1064</v>
      </c>
      <c r="B1065" t="s">
        <v>0</v>
      </c>
      <c r="C1065" t="s">
        <v>1</v>
      </c>
      <c r="D1065" t="s">
        <v>459</v>
      </c>
      <c r="E1065" t="s">
        <v>139</v>
      </c>
      <c r="F1065" t="s">
        <v>389</v>
      </c>
      <c r="G1065" t="s">
        <v>214</v>
      </c>
      <c r="H1065" t="s">
        <v>460</v>
      </c>
      <c r="J1065">
        <v>2</v>
      </c>
      <c r="K1065" t="s">
        <v>108</v>
      </c>
      <c r="L1065" t="s">
        <v>158</v>
      </c>
      <c r="M1065" t="s">
        <v>385</v>
      </c>
      <c r="N1065" t="s">
        <v>177</v>
      </c>
      <c r="O1065">
        <v>109</v>
      </c>
      <c r="Q1065">
        <v>597</v>
      </c>
      <c r="R1065">
        <v>124</v>
      </c>
      <c r="S1065">
        <v>4.25</v>
      </c>
      <c r="T1065">
        <v>3.024</v>
      </c>
      <c r="U1065">
        <v>6.11</v>
      </c>
      <c r="V1065">
        <v>2539.1999999999998</v>
      </c>
      <c r="W1065">
        <v>759</v>
      </c>
      <c r="X1065">
        <v>1.3332999999999999</v>
      </c>
      <c r="Y1065">
        <v>584</v>
      </c>
      <c r="Z1065">
        <v>4.3499999999999996</v>
      </c>
      <c r="AJ1065">
        <v>2</v>
      </c>
      <c r="AK1065">
        <v>18</v>
      </c>
      <c r="AM1065">
        <v>0</v>
      </c>
      <c r="AO1065" t="s">
        <v>418</v>
      </c>
      <c r="AT1065">
        <v>43</v>
      </c>
      <c r="AV1065">
        <v>71.400000000000006</v>
      </c>
      <c r="AW1065">
        <v>0.46875</v>
      </c>
      <c r="AX1065">
        <v>3.75</v>
      </c>
      <c r="AY1065">
        <v>44.75</v>
      </c>
      <c r="AZ1065">
        <v>4.125</v>
      </c>
      <c r="BA1065">
        <v>453.06</v>
      </c>
      <c r="BB1065">
        <v>4.3499999999999996</v>
      </c>
      <c r="BC1065">
        <v>48</v>
      </c>
      <c r="BD1065">
        <v>0.3125</v>
      </c>
      <c r="BE1065">
        <v>2.75</v>
      </c>
      <c r="BF1065">
        <v>27.5</v>
      </c>
      <c r="BG1065">
        <v>2.75</v>
      </c>
      <c r="BH1065">
        <v>130.65</v>
      </c>
      <c r="BI1065">
        <v>4.8899999999999997</v>
      </c>
      <c r="BJ1065">
        <v>15</v>
      </c>
      <c r="BL1065">
        <v>583.71</v>
      </c>
      <c r="BM1065">
        <v>62</v>
      </c>
      <c r="BN1065">
        <v>347.07839999999999</v>
      </c>
      <c r="BO1065">
        <v>1081</v>
      </c>
      <c r="BP1065">
        <v>0</v>
      </c>
      <c r="BQ1065">
        <v>37</v>
      </c>
      <c r="BR1065">
        <v>37</v>
      </c>
      <c r="BS1065">
        <v>37.04</v>
      </c>
      <c r="BT1065">
        <v>0</v>
      </c>
      <c r="BV1065">
        <v>0</v>
      </c>
      <c r="BW1065" t="s">
        <v>655</v>
      </c>
      <c r="BX1065">
        <v>0.17</v>
      </c>
      <c r="BY1065">
        <v>6.2968000000000002</v>
      </c>
      <c r="BZ1065">
        <v>0</v>
      </c>
      <c r="CA1065">
        <v>1</v>
      </c>
      <c r="CB1065">
        <v>0.6</v>
      </c>
      <c r="CC1065" s="3">
        <v>7.1269159999999998E-2</v>
      </c>
      <c r="CD1065">
        <v>2.875</v>
      </c>
      <c r="CE1065">
        <v>2.5</v>
      </c>
      <c r="CF1065">
        <v>18</v>
      </c>
      <c r="CG1065">
        <v>6</v>
      </c>
      <c r="CH1065">
        <v>0</v>
      </c>
      <c r="CI1065">
        <v>37.04</v>
      </c>
      <c r="CJ1065">
        <v>519.71249999999998</v>
      </c>
    </row>
    <row r="1066" spans="1:88">
      <c r="A1066">
        <v>1065</v>
      </c>
      <c r="B1066" t="s">
        <v>13</v>
      </c>
      <c r="C1066" t="s">
        <v>1</v>
      </c>
      <c r="D1066" t="s">
        <v>113</v>
      </c>
      <c r="E1066" t="s">
        <v>348</v>
      </c>
      <c r="F1066" t="s">
        <v>262</v>
      </c>
      <c r="G1066" t="s">
        <v>106</v>
      </c>
      <c r="H1066" t="s">
        <v>263</v>
      </c>
      <c r="J1066">
        <v>2</v>
      </c>
      <c r="K1066" t="s">
        <v>108</v>
      </c>
      <c r="L1066" t="s">
        <v>111</v>
      </c>
      <c r="M1066" t="s">
        <v>351</v>
      </c>
      <c r="N1066" t="s">
        <v>251</v>
      </c>
      <c r="O1066">
        <v>174</v>
      </c>
      <c r="Q1066">
        <v>803</v>
      </c>
      <c r="R1066">
        <v>109</v>
      </c>
      <c r="S1066">
        <v>4.25</v>
      </c>
      <c r="T1066">
        <v>4.6059999999999999</v>
      </c>
      <c r="U1066">
        <v>6.97</v>
      </c>
      <c r="V1066">
        <v>3413.55</v>
      </c>
      <c r="W1066">
        <v>757</v>
      </c>
      <c r="X1066">
        <v>1.3332999999999999</v>
      </c>
      <c r="Y1066">
        <v>576</v>
      </c>
      <c r="Z1066">
        <v>5.93</v>
      </c>
      <c r="AJ1066">
        <v>2</v>
      </c>
      <c r="AK1066">
        <v>18</v>
      </c>
      <c r="AM1066">
        <v>0</v>
      </c>
      <c r="AO1066" t="s">
        <v>266</v>
      </c>
      <c r="AT1066">
        <v>66</v>
      </c>
      <c r="AV1066">
        <v>62.3</v>
      </c>
      <c r="AW1066">
        <v>0.46875</v>
      </c>
      <c r="AX1066">
        <v>3.75</v>
      </c>
      <c r="AY1066">
        <v>64</v>
      </c>
      <c r="AZ1066">
        <v>5.5</v>
      </c>
      <c r="BA1066">
        <v>316.60000000000002</v>
      </c>
      <c r="BB1066">
        <v>6.22</v>
      </c>
      <c r="BC1066">
        <v>69</v>
      </c>
      <c r="BD1066">
        <v>0.4375</v>
      </c>
      <c r="BE1066">
        <v>3.75</v>
      </c>
      <c r="BF1066">
        <v>54.875</v>
      </c>
      <c r="BG1066">
        <v>5.125</v>
      </c>
      <c r="BH1066">
        <v>259.04000000000002</v>
      </c>
      <c r="BI1066">
        <v>6.35</v>
      </c>
      <c r="BJ1066">
        <v>56</v>
      </c>
      <c r="BL1066">
        <v>575.64</v>
      </c>
      <c r="BM1066">
        <v>124</v>
      </c>
      <c r="BN1066">
        <v>299.60000000000002</v>
      </c>
      <c r="BO1066">
        <v>1156</v>
      </c>
      <c r="BP1066">
        <v>0</v>
      </c>
      <c r="BQ1066">
        <v>60</v>
      </c>
      <c r="BR1066">
        <v>60</v>
      </c>
      <c r="BS1066">
        <v>59.65</v>
      </c>
      <c r="BT1066">
        <v>0</v>
      </c>
      <c r="BV1066">
        <v>0</v>
      </c>
      <c r="BW1066" t="s">
        <v>655</v>
      </c>
      <c r="BX1066">
        <v>0.17</v>
      </c>
      <c r="BY1066">
        <v>10.140499999999999</v>
      </c>
      <c r="BZ1066">
        <v>0</v>
      </c>
      <c r="CA1066">
        <v>1</v>
      </c>
      <c r="CB1066">
        <v>0.6</v>
      </c>
      <c r="CC1066" s="3">
        <v>7.1269159999999998E-2</v>
      </c>
      <c r="CD1066">
        <v>2.875</v>
      </c>
      <c r="CE1066">
        <v>2.5</v>
      </c>
      <c r="CF1066">
        <v>18</v>
      </c>
      <c r="CG1066">
        <v>6</v>
      </c>
      <c r="CH1066">
        <v>0</v>
      </c>
      <c r="CI1066">
        <v>59.65</v>
      </c>
      <c r="CJ1066">
        <v>730.67579999999998</v>
      </c>
    </row>
    <row r="1067" spans="1:88">
      <c r="A1067">
        <v>1066</v>
      </c>
      <c r="B1067" t="s">
        <v>0</v>
      </c>
      <c r="C1067" t="s">
        <v>1</v>
      </c>
      <c r="D1067" t="s">
        <v>181</v>
      </c>
      <c r="E1067" t="s">
        <v>143</v>
      </c>
      <c r="F1067" t="s">
        <v>182</v>
      </c>
      <c r="G1067" t="s">
        <v>106</v>
      </c>
      <c r="H1067" t="s">
        <v>183</v>
      </c>
      <c r="J1067">
        <v>2</v>
      </c>
      <c r="K1067" t="s">
        <v>108</v>
      </c>
      <c r="L1067" t="s">
        <v>297</v>
      </c>
      <c r="M1067" t="s">
        <v>206</v>
      </c>
      <c r="N1067" t="s">
        <v>131</v>
      </c>
      <c r="O1067">
        <v>155</v>
      </c>
      <c r="Q1067">
        <v>647</v>
      </c>
      <c r="R1067">
        <v>98</v>
      </c>
      <c r="S1067">
        <v>4.25</v>
      </c>
      <c r="T1067">
        <v>4.1660000000000004</v>
      </c>
      <c r="U1067">
        <v>6.78</v>
      </c>
      <c r="V1067">
        <v>2747.75</v>
      </c>
      <c r="W1067">
        <v>666</v>
      </c>
      <c r="X1067">
        <v>1.3332999999999999</v>
      </c>
      <c r="Y1067">
        <v>501</v>
      </c>
      <c r="Z1067">
        <v>5.49</v>
      </c>
      <c r="AJ1067">
        <v>2</v>
      </c>
      <c r="AK1067">
        <v>18</v>
      </c>
      <c r="AM1067">
        <v>0</v>
      </c>
      <c r="AO1067" t="s">
        <v>186</v>
      </c>
      <c r="AT1067">
        <v>59</v>
      </c>
      <c r="AV1067">
        <v>55.8</v>
      </c>
      <c r="AW1067" t="s">
        <v>6</v>
      </c>
      <c r="AX1067" t="s">
        <v>6</v>
      </c>
      <c r="AY1067" t="s">
        <v>6</v>
      </c>
      <c r="AZ1067" t="s">
        <v>6</v>
      </c>
      <c r="BA1067" t="s">
        <v>6</v>
      </c>
      <c r="BB1067" t="s">
        <v>6</v>
      </c>
      <c r="BC1067" t="s">
        <v>6</v>
      </c>
      <c r="BD1067" t="s">
        <v>6</v>
      </c>
      <c r="BE1067" t="s">
        <v>6</v>
      </c>
      <c r="BF1067" t="s">
        <v>6</v>
      </c>
      <c r="BG1067" t="s">
        <v>6</v>
      </c>
      <c r="BH1067" t="s">
        <v>6</v>
      </c>
      <c r="BI1067" t="s">
        <v>6</v>
      </c>
      <c r="BJ1067" t="s">
        <v>6</v>
      </c>
      <c r="BN1067">
        <v>267.5</v>
      </c>
      <c r="BO1067">
        <v>1450</v>
      </c>
      <c r="BP1067">
        <v>0</v>
      </c>
      <c r="BQ1067">
        <v>53</v>
      </c>
      <c r="BR1067">
        <v>53</v>
      </c>
      <c r="BS1067">
        <v>53.04</v>
      </c>
      <c r="BT1067">
        <v>0</v>
      </c>
      <c r="BV1067">
        <v>0</v>
      </c>
      <c r="BW1067" t="s">
        <v>655</v>
      </c>
      <c r="BX1067">
        <v>0.17</v>
      </c>
      <c r="BY1067">
        <v>9.0167999999999999</v>
      </c>
      <c r="BZ1067">
        <v>0</v>
      </c>
      <c r="CA1067">
        <v>1</v>
      </c>
      <c r="CB1067">
        <v>0.6</v>
      </c>
      <c r="CC1067" s="3">
        <v>7.1269159999999998E-2</v>
      </c>
      <c r="CD1067">
        <v>2.875</v>
      </c>
      <c r="CE1067">
        <v>2.5</v>
      </c>
      <c r="CF1067">
        <v>18</v>
      </c>
      <c r="CG1067">
        <v>6</v>
      </c>
      <c r="CH1067">
        <v>0</v>
      </c>
      <c r="CI1067">
        <v>53.04</v>
      </c>
      <c r="CJ1067">
        <v>581.66539999999998</v>
      </c>
    </row>
    <row r="1068" spans="1:88">
      <c r="A1068">
        <v>1067</v>
      </c>
      <c r="B1068" t="s">
        <v>13</v>
      </c>
      <c r="C1068" t="s">
        <v>1</v>
      </c>
      <c r="D1068" t="s">
        <v>449</v>
      </c>
      <c r="E1068" t="s">
        <v>169</v>
      </c>
      <c r="F1068" t="s">
        <v>481</v>
      </c>
      <c r="G1068" t="s">
        <v>106</v>
      </c>
      <c r="H1068" t="s">
        <v>341</v>
      </c>
      <c r="J1068">
        <v>2</v>
      </c>
      <c r="K1068" t="s">
        <v>146</v>
      </c>
      <c r="L1068" t="s">
        <v>381</v>
      </c>
      <c r="M1068" t="s">
        <v>173</v>
      </c>
      <c r="N1068" t="s">
        <v>174</v>
      </c>
      <c r="O1068">
        <v>119</v>
      </c>
      <c r="Q1068">
        <v>256</v>
      </c>
      <c r="R1068">
        <v>49</v>
      </c>
      <c r="S1068">
        <v>4.25</v>
      </c>
      <c r="T1068">
        <v>3.2829999999999999</v>
      </c>
      <c r="U1068">
        <v>6.15</v>
      </c>
      <c r="V1068">
        <v>1086.1300000000001</v>
      </c>
      <c r="W1068">
        <v>301</v>
      </c>
      <c r="X1068">
        <v>1.3332999999999999</v>
      </c>
      <c r="Y1068">
        <v>236</v>
      </c>
      <c r="Z1068">
        <v>4.6100000000000003</v>
      </c>
      <c r="AJ1068">
        <v>2</v>
      </c>
      <c r="AK1068">
        <v>18</v>
      </c>
      <c r="AM1068">
        <v>0</v>
      </c>
      <c r="AO1068" t="s">
        <v>499</v>
      </c>
      <c r="AT1068">
        <v>47</v>
      </c>
      <c r="AV1068">
        <v>27.7</v>
      </c>
      <c r="AW1068">
        <v>0</v>
      </c>
      <c r="AX1068">
        <v>0</v>
      </c>
      <c r="AY1068">
        <v>27.375</v>
      </c>
      <c r="AZ1068">
        <v>3.5</v>
      </c>
      <c r="BA1068">
        <v>0</v>
      </c>
      <c r="BB1068">
        <v>0</v>
      </c>
      <c r="BC1068">
        <v>24</v>
      </c>
      <c r="BN1068">
        <v>130.18340000000001</v>
      </c>
      <c r="BO1068">
        <v>6123</v>
      </c>
      <c r="BP1068">
        <v>0</v>
      </c>
      <c r="BQ1068">
        <v>41</v>
      </c>
      <c r="BR1068">
        <v>41</v>
      </c>
      <c r="BS1068">
        <v>40.520000000000003</v>
      </c>
      <c r="BT1068">
        <v>0</v>
      </c>
      <c r="BV1068">
        <v>0</v>
      </c>
      <c r="BW1068" t="s">
        <v>655</v>
      </c>
      <c r="BX1068">
        <v>0.17</v>
      </c>
      <c r="BY1068">
        <v>6.8883999999999999</v>
      </c>
      <c r="BZ1068">
        <v>0</v>
      </c>
      <c r="CA1068">
        <v>1</v>
      </c>
      <c r="CB1068">
        <v>0.6</v>
      </c>
      <c r="CC1068" s="3">
        <v>7.1269159999999998E-2</v>
      </c>
      <c r="CD1068">
        <v>2.875</v>
      </c>
      <c r="CE1068">
        <v>2.5</v>
      </c>
      <c r="CF1068">
        <v>18</v>
      </c>
      <c r="CG1068">
        <v>6</v>
      </c>
      <c r="CH1068">
        <v>0</v>
      </c>
      <c r="CI1068">
        <v>40.520000000000003</v>
      </c>
      <c r="CJ1068">
        <v>220.9187</v>
      </c>
    </row>
    <row r="1069" spans="1:88">
      <c r="A1069">
        <v>1068</v>
      </c>
      <c r="B1069" t="s">
        <v>13</v>
      </c>
      <c r="C1069" t="s">
        <v>1</v>
      </c>
      <c r="D1069" t="s">
        <v>96</v>
      </c>
      <c r="E1069" t="s">
        <v>259</v>
      </c>
      <c r="F1069" t="s">
        <v>198</v>
      </c>
      <c r="G1069" t="s">
        <v>106</v>
      </c>
      <c r="H1069" t="s">
        <v>162</v>
      </c>
      <c r="J1069">
        <v>2</v>
      </c>
      <c r="K1069" t="s">
        <v>146</v>
      </c>
      <c r="L1069" t="s">
        <v>181</v>
      </c>
      <c r="M1069" t="s">
        <v>261</v>
      </c>
      <c r="N1069" t="s">
        <v>364</v>
      </c>
      <c r="O1069">
        <v>141</v>
      </c>
      <c r="Q1069">
        <v>477</v>
      </c>
      <c r="R1069">
        <v>81</v>
      </c>
      <c r="S1069">
        <v>4.25</v>
      </c>
      <c r="T1069">
        <v>3.831</v>
      </c>
      <c r="U1069">
        <v>6.56</v>
      </c>
      <c r="V1069">
        <v>2027.16</v>
      </c>
      <c r="W1069">
        <v>530</v>
      </c>
      <c r="X1069">
        <v>1.3332999999999999</v>
      </c>
      <c r="Y1069">
        <v>393</v>
      </c>
      <c r="Z1069">
        <v>5.16</v>
      </c>
      <c r="AJ1069">
        <v>2</v>
      </c>
      <c r="AK1069">
        <v>18</v>
      </c>
      <c r="AM1069">
        <v>0</v>
      </c>
      <c r="AO1069" t="s">
        <v>166</v>
      </c>
      <c r="AT1069">
        <v>54</v>
      </c>
      <c r="AV1069">
        <v>44.8</v>
      </c>
      <c r="AW1069">
        <v>0.46875</v>
      </c>
      <c r="AX1069">
        <v>3.75</v>
      </c>
      <c r="AY1069">
        <v>53.125</v>
      </c>
      <c r="AZ1069">
        <v>4.875</v>
      </c>
      <c r="BA1069">
        <v>381.94</v>
      </c>
      <c r="BB1069">
        <v>5.16</v>
      </c>
      <c r="BC1069">
        <v>57</v>
      </c>
      <c r="BD1069">
        <v>0.1875</v>
      </c>
      <c r="BE1069">
        <v>2.75</v>
      </c>
      <c r="BF1069">
        <v>24.375</v>
      </c>
      <c r="BG1069">
        <v>1.875</v>
      </c>
      <c r="BH1069">
        <v>10.91</v>
      </c>
      <c r="BI1069">
        <v>13.9</v>
      </c>
      <c r="BJ1069">
        <v>8</v>
      </c>
      <c r="BL1069">
        <v>392.85</v>
      </c>
      <c r="BM1069">
        <v>65</v>
      </c>
      <c r="BN1069">
        <v>214</v>
      </c>
      <c r="BO1069">
        <v>2266</v>
      </c>
      <c r="BP1069">
        <v>0</v>
      </c>
      <c r="BQ1069">
        <v>48</v>
      </c>
      <c r="BR1069">
        <v>48</v>
      </c>
      <c r="BS1069">
        <v>48.17</v>
      </c>
      <c r="BT1069">
        <v>0</v>
      </c>
      <c r="BV1069">
        <v>0</v>
      </c>
      <c r="BW1069" t="s">
        <v>655</v>
      </c>
      <c r="BX1069">
        <v>0.17</v>
      </c>
      <c r="BY1069">
        <v>8.1889000000000003</v>
      </c>
      <c r="BZ1069">
        <v>0</v>
      </c>
      <c r="CA1069">
        <v>1</v>
      </c>
      <c r="CB1069">
        <v>0.6</v>
      </c>
      <c r="CC1069" s="3">
        <v>7.1269159999999998E-2</v>
      </c>
      <c r="CD1069">
        <v>2.875</v>
      </c>
      <c r="CE1069">
        <v>2.5</v>
      </c>
      <c r="CF1069">
        <v>18</v>
      </c>
      <c r="CG1069">
        <v>6</v>
      </c>
      <c r="CH1069">
        <v>0</v>
      </c>
      <c r="CI1069">
        <v>48.17</v>
      </c>
      <c r="CJ1069">
        <v>423.97989999999999</v>
      </c>
    </row>
    <row r="1070" spans="1:88">
      <c r="A1070">
        <v>1069</v>
      </c>
      <c r="B1070" t="s">
        <v>0</v>
      </c>
      <c r="C1070" t="s">
        <v>1</v>
      </c>
      <c r="D1070" t="s">
        <v>96</v>
      </c>
      <c r="E1070" t="s">
        <v>133</v>
      </c>
      <c r="F1070" t="s">
        <v>198</v>
      </c>
      <c r="G1070" t="s">
        <v>106</v>
      </c>
      <c r="H1070" t="s">
        <v>162</v>
      </c>
      <c r="J1070">
        <v>2</v>
      </c>
      <c r="K1070" t="s">
        <v>146</v>
      </c>
      <c r="L1070" t="s">
        <v>353</v>
      </c>
      <c r="M1070" t="s">
        <v>194</v>
      </c>
      <c r="N1070" t="s">
        <v>195</v>
      </c>
      <c r="O1070">
        <v>143</v>
      </c>
      <c r="Q1070">
        <v>483</v>
      </c>
      <c r="R1070">
        <v>81</v>
      </c>
      <c r="S1070">
        <v>4.25</v>
      </c>
      <c r="T1070">
        <v>3.88</v>
      </c>
      <c r="U1070">
        <v>6.6</v>
      </c>
      <c r="V1070">
        <v>2053.4699999999998</v>
      </c>
      <c r="W1070">
        <v>534</v>
      </c>
      <c r="X1070">
        <v>1.3332999999999999</v>
      </c>
      <c r="Y1070">
        <v>394</v>
      </c>
      <c r="Z1070">
        <v>5.21</v>
      </c>
      <c r="AJ1070">
        <v>2</v>
      </c>
      <c r="AK1070">
        <v>18</v>
      </c>
      <c r="AM1070">
        <v>0</v>
      </c>
      <c r="AO1070" t="s">
        <v>166</v>
      </c>
      <c r="AT1070">
        <v>55</v>
      </c>
      <c r="AV1070">
        <v>44.8</v>
      </c>
      <c r="AW1070">
        <v>0.46875</v>
      </c>
      <c r="AX1070">
        <v>3.75</v>
      </c>
      <c r="AY1070">
        <v>53.625</v>
      </c>
      <c r="AZ1070">
        <v>4.875</v>
      </c>
      <c r="BA1070">
        <v>378.27</v>
      </c>
      <c r="BB1070">
        <v>5.21</v>
      </c>
      <c r="BC1070">
        <v>58</v>
      </c>
      <c r="BD1070">
        <v>0.1875</v>
      </c>
      <c r="BE1070">
        <v>2.75</v>
      </c>
      <c r="BF1070">
        <v>16.75</v>
      </c>
      <c r="BG1070">
        <v>2</v>
      </c>
      <c r="BH1070">
        <v>15.87</v>
      </c>
      <c r="BI1070">
        <v>9.5500000000000007</v>
      </c>
      <c r="BJ1070">
        <v>6</v>
      </c>
      <c r="BL1070">
        <v>394.14</v>
      </c>
      <c r="BM1070">
        <v>63</v>
      </c>
      <c r="BN1070">
        <v>214</v>
      </c>
      <c r="BO1070">
        <v>2266</v>
      </c>
      <c r="BP1070">
        <v>0</v>
      </c>
      <c r="BQ1070">
        <v>49</v>
      </c>
      <c r="BR1070">
        <v>49</v>
      </c>
      <c r="BS1070">
        <v>48.86</v>
      </c>
      <c r="BT1070">
        <v>0</v>
      </c>
      <c r="BV1070">
        <v>0</v>
      </c>
      <c r="BW1070" t="s">
        <v>655</v>
      </c>
      <c r="BX1070">
        <v>0.17</v>
      </c>
      <c r="BY1070">
        <v>8.3062000000000005</v>
      </c>
      <c r="BZ1070">
        <v>0</v>
      </c>
      <c r="CA1070">
        <v>1</v>
      </c>
      <c r="CB1070">
        <v>0.6</v>
      </c>
      <c r="CC1070" s="3">
        <v>7.1269159999999998E-2</v>
      </c>
      <c r="CD1070">
        <v>2.875</v>
      </c>
      <c r="CE1070">
        <v>2.5</v>
      </c>
      <c r="CF1070">
        <v>18</v>
      </c>
      <c r="CG1070">
        <v>6</v>
      </c>
      <c r="CH1070">
        <v>0</v>
      </c>
      <c r="CI1070">
        <v>48.86</v>
      </c>
      <c r="CJ1070">
        <v>430.05309999999997</v>
      </c>
    </row>
    <row r="1071" spans="1:88">
      <c r="A1071">
        <v>1070</v>
      </c>
      <c r="B1071" t="s">
        <v>0</v>
      </c>
      <c r="C1071" t="s">
        <v>1</v>
      </c>
      <c r="D1071" t="s">
        <v>235</v>
      </c>
      <c r="E1071" t="s">
        <v>169</v>
      </c>
      <c r="F1071" t="s">
        <v>327</v>
      </c>
      <c r="G1071" t="s">
        <v>106</v>
      </c>
      <c r="H1071" t="s">
        <v>96</v>
      </c>
      <c r="J1071">
        <v>2</v>
      </c>
      <c r="K1071" t="s">
        <v>146</v>
      </c>
      <c r="L1071" t="s">
        <v>381</v>
      </c>
      <c r="M1071" t="s">
        <v>173</v>
      </c>
      <c r="N1071" t="s">
        <v>174</v>
      </c>
      <c r="O1071">
        <v>119</v>
      </c>
      <c r="Q1071">
        <v>412</v>
      </c>
      <c r="R1071">
        <v>81</v>
      </c>
      <c r="S1071">
        <v>4.25</v>
      </c>
      <c r="T1071">
        <v>3.2829999999999999</v>
      </c>
      <c r="U1071">
        <v>6.15</v>
      </c>
      <c r="V1071">
        <v>1749.34</v>
      </c>
      <c r="W1071">
        <v>501</v>
      </c>
      <c r="X1071">
        <v>1.3332999999999999</v>
      </c>
      <c r="Y1071">
        <v>379</v>
      </c>
      <c r="Z1071">
        <v>4.6100000000000003</v>
      </c>
      <c r="AJ1071">
        <v>2</v>
      </c>
      <c r="AK1071">
        <v>18</v>
      </c>
      <c r="AM1071">
        <v>0</v>
      </c>
      <c r="AO1071" t="s">
        <v>100</v>
      </c>
      <c r="AT1071">
        <v>47</v>
      </c>
      <c r="AV1071">
        <v>45.1</v>
      </c>
      <c r="AW1071">
        <v>0</v>
      </c>
      <c r="AX1071">
        <v>0</v>
      </c>
      <c r="AY1071">
        <v>53.375</v>
      </c>
      <c r="AZ1071">
        <v>4.375</v>
      </c>
      <c r="BA1071">
        <v>0</v>
      </c>
      <c r="BB1071">
        <v>0</v>
      </c>
      <c r="BC1071">
        <v>57</v>
      </c>
      <c r="BN1071">
        <v>215.7834</v>
      </c>
      <c r="BO1071">
        <v>2229</v>
      </c>
      <c r="BP1071">
        <v>0</v>
      </c>
      <c r="BQ1071">
        <v>41</v>
      </c>
      <c r="BR1071">
        <v>41</v>
      </c>
      <c r="BS1071">
        <v>40.520000000000003</v>
      </c>
      <c r="BT1071">
        <v>0</v>
      </c>
      <c r="BV1071">
        <v>0</v>
      </c>
      <c r="BW1071" t="s">
        <v>655</v>
      </c>
      <c r="BX1071">
        <v>0.17</v>
      </c>
      <c r="BY1071">
        <v>6.8883999999999999</v>
      </c>
      <c r="BZ1071">
        <v>0</v>
      </c>
      <c r="CA1071">
        <v>1</v>
      </c>
      <c r="CB1071">
        <v>0.6</v>
      </c>
      <c r="CC1071" s="3">
        <v>7.1269159999999998E-2</v>
      </c>
      <c r="CD1071">
        <v>2.875</v>
      </c>
      <c r="CE1071">
        <v>2.5</v>
      </c>
      <c r="CF1071">
        <v>18</v>
      </c>
      <c r="CG1071">
        <v>6</v>
      </c>
      <c r="CH1071">
        <v>0</v>
      </c>
      <c r="CI1071">
        <v>40.520000000000003</v>
      </c>
      <c r="CJ1071">
        <v>359.53440000000001</v>
      </c>
    </row>
    <row r="1072" spans="1:88">
      <c r="A1072">
        <v>1071</v>
      </c>
      <c r="B1072" t="s">
        <v>13</v>
      </c>
      <c r="C1072" t="s">
        <v>1</v>
      </c>
      <c r="D1072" t="s">
        <v>14</v>
      </c>
      <c r="E1072" t="s">
        <v>340</v>
      </c>
      <c r="F1072" t="s">
        <v>192</v>
      </c>
      <c r="G1072" t="s">
        <v>106</v>
      </c>
      <c r="H1072" t="s">
        <v>193</v>
      </c>
      <c r="J1072">
        <v>2</v>
      </c>
      <c r="K1072" t="s">
        <v>108</v>
      </c>
      <c r="L1072" t="s">
        <v>131</v>
      </c>
      <c r="M1072" t="s">
        <v>359</v>
      </c>
      <c r="N1072" t="s">
        <v>259</v>
      </c>
      <c r="O1072">
        <v>138</v>
      </c>
      <c r="Q1072">
        <v>659</v>
      </c>
      <c r="R1072">
        <v>110</v>
      </c>
      <c r="S1072">
        <v>4.25</v>
      </c>
      <c r="T1072">
        <v>3.758</v>
      </c>
      <c r="U1072">
        <v>6.48</v>
      </c>
      <c r="V1072">
        <v>2800.19</v>
      </c>
      <c r="W1072">
        <v>715</v>
      </c>
      <c r="X1072">
        <v>1.3332999999999999</v>
      </c>
      <c r="Y1072">
        <v>550</v>
      </c>
      <c r="Z1072">
        <v>5.09</v>
      </c>
      <c r="AJ1072">
        <v>2</v>
      </c>
      <c r="AK1072">
        <v>18</v>
      </c>
      <c r="AM1072">
        <v>0</v>
      </c>
      <c r="AO1072" t="s">
        <v>196</v>
      </c>
      <c r="AT1072">
        <v>53</v>
      </c>
      <c r="AV1072">
        <v>63.4</v>
      </c>
      <c r="AW1072" t="s">
        <v>6</v>
      </c>
      <c r="AX1072" t="s">
        <v>6</v>
      </c>
      <c r="AY1072" t="s">
        <v>6</v>
      </c>
      <c r="AZ1072" t="s">
        <v>6</v>
      </c>
      <c r="BA1072" t="s">
        <v>6</v>
      </c>
      <c r="BB1072" t="s">
        <v>6</v>
      </c>
      <c r="BC1072" t="s">
        <v>6</v>
      </c>
      <c r="BD1072" t="s">
        <v>6</v>
      </c>
      <c r="BE1072" t="s">
        <v>6</v>
      </c>
      <c r="BF1072" t="s">
        <v>6</v>
      </c>
      <c r="BG1072" t="s">
        <v>6</v>
      </c>
      <c r="BH1072" t="s">
        <v>6</v>
      </c>
      <c r="BI1072" t="s">
        <v>6</v>
      </c>
      <c r="BJ1072" t="s">
        <v>6</v>
      </c>
      <c r="BN1072">
        <v>304.95010000000002</v>
      </c>
      <c r="BO1072">
        <v>1116</v>
      </c>
      <c r="BP1072">
        <v>0</v>
      </c>
      <c r="BQ1072">
        <v>47</v>
      </c>
      <c r="BR1072">
        <v>47</v>
      </c>
      <c r="BS1072">
        <v>47.13</v>
      </c>
      <c r="BT1072">
        <v>0</v>
      </c>
      <c r="BV1072">
        <v>0</v>
      </c>
      <c r="BW1072" t="s">
        <v>655</v>
      </c>
      <c r="BX1072">
        <v>0.17</v>
      </c>
      <c r="BY1072">
        <v>8.0121000000000002</v>
      </c>
      <c r="BZ1072">
        <v>0</v>
      </c>
      <c r="CA1072">
        <v>1</v>
      </c>
      <c r="CB1072">
        <v>0.6</v>
      </c>
      <c r="CC1072" s="3">
        <v>7.1269159999999998E-2</v>
      </c>
      <c r="CD1072">
        <v>2.875</v>
      </c>
      <c r="CE1072">
        <v>2.5</v>
      </c>
      <c r="CF1072">
        <v>18</v>
      </c>
      <c r="CG1072">
        <v>6</v>
      </c>
      <c r="CH1072">
        <v>0</v>
      </c>
      <c r="CI1072">
        <v>47.13</v>
      </c>
      <c r="CJ1072">
        <v>587.39030000000002</v>
      </c>
    </row>
    <row r="1073" spans="1:88">
      <c r="A1073">
        <v>1072</v>
      </c>
      <c r="B1073" t="s">
        <v>0</v>
      </c>
      <c r="C1073" t="s">
        <v>1</v>
      </c>
      <c r="D1073" t="s">
        <v>181</v>
      </c>
      <c r="E1073" t="s">
        <v>208</v>
      </c>
      <c r="F1073" t="s">
        <v>182</v>
      </c>
      <c r="G1073" t="s">
        <v>106</v>
      </c>
      <c r="H1073" t="s">
        <v>183</v>
      </c>
      <c r="J1073">
        <v>2</v>
      </c>
      <c r="K1073" t="s">
        <v>108</v>
      </c>
      <c r="L1073" t="s">
        <v>95</v>
      </c>
      <c r="M1073" t="s">
        <v>396</v>
      </c>
      <c r="N1073" t="s">
        <v>397</v>
      </c>
      <c r="O1073">
        <v>209</v>
      </c>
      <c r="Q1073">
        <v>856</v>
      </c>
      <c r="R1073">
        <v>106</v>
      </c>
      <c r="S1073">
        <v>4.25</v>
      </c>
      <c r="T1073">
        <v>5.375</v>
      </c>
      <c r="U1073">
        <v>7.42</v>
      </c>
      <c r="V1073">
        <v>3636.59</v>
      </c>
      <c r="W1073">
        <v>786</v>
      </c>
      <c r="X1073">
        <v>1.5</v>
      </c>
      <c r="Y1073">
        <v>529</v>
      </c>
      <c r="Z1073">
        <v>6.87</v>
      </c>
      <c r="AJ1073">
        <v>2</v>
      </c>
      <c r="AK1073">
        <v>18</v>
      </c>
      <c r="AM1073">
        <v>0</v>
      </c>
      <c r="AO1073" t="s">
        <v>186</v>
      </c>
      <c r="AT1073">
        <v>78</v>
      </c>
      <c r="AV1073">
        <v>55.8</v>
      </c>
      <c r="AW1073">
        <v>0.46875</v>
      </c>
      <c r="AX1073">
        <v>3.75</v>
      </c>
      <c r="AY1073">
        <v>69.625</v>
      </c>
      <c r="AZ1073">
        <v>6.5</v>
      </c>
      <c r="BA1073">
        <v>291.13</v>
      </c>
      <c r="BB1073">
        <v>6.76</v>
      </c>
      <c r="BC1073">
        <v>75</v>
      </c>
      <c r="BD1073">
        <v>0.4375</v>
      </c>
      <c r="BE1073">
        <v>3.75</v>
      </c>
      <c r="BF1073">
        <v>59.75</v>
      </c>
      <c r="BG1073">
        <v>6</v>
      </c>
      <c r="BH1073">
        <v>238.21</v>
      </c>
      <c r="BI1073">
        <v>6.9</v>
      </c>
      <c r="BJ1073">
        <v>60</v>
      </c>
      <c r="BL1073">
        <v>529.34</v>
      </c>
      <c r="BM1073">
        <v>135</v>
      </c>
      <c r="BN1073">
        <v>267.5</v>
      </c>
      <c r="BO1073">
        <v>1450</v>
      </c>
      <c r="BP1073">
        <v>0</v>
      </c>
      <c r="BQ1073">
        <v>72</v>
      </c>
      <c r="BR1073">
        <v>72</v>
      </c>
      <c r="BS1073">
        <v>71.819999999999993</v>
      </c>
      <c r="BT1073">
        <v>0</v>
      </c>
      <c r="BV1073">
        <v>0</v>
      </c>
      <c r="BW1073" t="s">
        <v>655</v>
      </c>
      <c r="BX1073">
        <v>0.17</v>
      </c>
      <c r="BY1073">
        <v>12.2094</v>
      </c>
      <c r="BZ1073">
        <v>0</v>
      </c>
      <c r="CA1073">
        <v>1</v>
      </c>
      <c r="CB1073">
        <v>0.6</v>
      </c>
      <c r="CC1073" s="3">
        <v>7.1269159999999998E-2</v>
      </c>
      <c r="CD1073">
        <v>2.875</v>
      </c>
      <c r="CE1073">
        <v>2.5</v>
      </c>
      <c r="CF1073">
        <v>18</v>
      </c>
      <c r="CG1073">
        <v>6</v>
      </c>
      <c r="CH1073">
        <v>0</v>
      </c>
      <c r="CI1073">
        <v>71.819999999999993</v>
      </c>
      <c r="CJ1073">
        <v>787.61699999999996</v>
      </c>
    </row>
    <row r="1074" spans="1:88">
      <c r="A1074">
        <v>1073</v>
      </c>
      <c r="B1074" t="s">
        <v>0</v>
      </c>
      <c r="C1074" t="s">
        <v>1</v>
      </c>
      <c r="D1074" t="s">
        <v>334</v>
      </c>
      <c r="E1074" t="s">
        <v>382</v>
      </c>
      <c r="F1074" t="s">
        <v>372</v>
      </c>
      <c r="G1074" t="s">
        <v>106</v>
      </c>
      <c r="H1074" t="s">
        <v>373</v>
      </c>
      <c r="J1074">
        <v>2</v>
      </c>
      <c r="K1074" t="s">
        <v>146</v>
      </c>
      <c r="L1074" t="s">
        <v>229</v>
      </c>
      <c r="M1074" t="s">
        <v>318</v>
      </c>
      <c r="N1074" t="s">
        <v>366</v>
      </c>
      <c r="O1074">
        <v>100</v>
      </c>
      <c r="Q1074">
        <v>196</v>
      </c>
      <c r="R1074">
        <v>44</v>
      </c>
      <c r="S1074">
        <v>4.25</v>
      </c>
      <c r="T1074">
        <v>2.7850000000000001</v>
      </c>
      <c r="U1074">
        <v>5.92</v>
      </c>
      <c r="V1074">
        <v>833.72</v>
      </c>
      <c r="W1074">
        <v>262</v>
      </c>
      <c r="X1074">
        <v>1.3332999999999999</v>
      </c>
      <c r="Y1074">
        <v>203</v>
      </c>
      <c r="Z1074">
        <v>4.1100000000000003</v>
      </c>
      <c r="AJ1074">
        <v>2</v>
      </c>
      <c r="AK1074">
        <v>18</v>
      </c>
      <c r="AM1074">
        <v>0</v>
      </c>
      <c r="AO1074" t="s">
        <v>376</v>
      </c>
      <c r="AT1074">
        <v>40</v>
      </c>
      <c r="AV1074">
        <v>24.8</v>
      </c>
      <c r="AW1074">
        <v>0</v>
      </c>
      <c r="AX1074">
        <v>0</v>
      </c>
      <c r="AY1074">
        <v>31.875</v>
      </c>
      <c r="AZ1074">
        <v>3.125</v>
      </c>
      <c r="BA1074">
        <v>0</v>
      </c>
      <c r="BB1074">
        <v>0</v>
      </c>
      <c r="BC1074">
        <v>28</v>
      </c>
      <c r="BN1074">
        <v>115.91670000000001</v>
      </c>
      <c r="BO1074">
        <v>7723</v>
      </c>
      <c r="BP1074">
        <v>0</v>
      </c>
      <c r="BQ1074">
        <v>34</v>
      </c>
      <c r="BR1074">
        <v>34</v>
      </c>
      <c r="BS1074">
        <v>33.909999999999997</v>
      </c>
      <c r="BT1074">
        <v>0</v>
      </c>
      <c r="BV1074">
        <v>0</v>
      </c>
      <c r="BW1074" t="s">
        <v>655</v>
      </c>
      <c r="BX1074">
        <v>0.17</v>
      </c>
      <c r="BY1074">
        <v>5.7647000000000004</v>
      </c>
      <c r="BZ1074">
        <v>0</v>
      </c>
      <c r="CA1074">
        <v>1</v>
      </c>
      <c r="CB1074">
        <v>0.6</v>
      </c>
      <c r="CC1074" s="3">
        <v>7.1269159999999998E-2</v>
      </c>
      <c r="CD1074">
        <v>2.875</v>
      </c>
      <c r="CE1074">
        <v>2.5</v>
      </c>
      <c r="CF1074">
        <v>18</v>
      </c>
      <c r="CG1074">
        <v>6</v>
      </c>
      <c r="CH1074">
        <v>0</v>
      </c>
      <c r="CI1074">
        <v>33.909999999999997</v>
      </c>
      <c r="CJ1074">
        <v>165.54650000000001</v>
      </c>
    </row>
    <row r="1075" spans="1:88">
      <c r="A1075">
        <v>1074</v>
      </c>
      <c r="B1075" t="s">
        <v>0</v>
      </c>
      <c r="C1075" t="s">
        <v>1</v>
      </c>
      <c r="D1075" t="s">
        <v>95</v>
      </c>
      <c r="E1075" t="s">
        <v>113</v>
      </c>
      <c r="F1075" t="s">
        <v>97</v>
      </c>
      <c r="G1075" t="s">
        <v>15</v>
      </c>
      <c r="H1075" t="s">
        <v>98</v>
      </c>
      <c r="J1075">
        <v>2</v>
      </c>
      <c r="K1075" t="s">
        <v>108</v>
      </c>
      <c r="L1075" t="s">
        <v>116</v>
      </c>
      <c r="M1075" t="s">
        <v>117</v>
      </c>
      <c r="N1075" t="s">
        <v>14</v>
      </c>
      <c r="O1075">
        <v>179</v>
      </c>
      <c r="Q1075">
        <v>1062</v>
      </c>
      <c r="R1075">
        <v>140</v>
      </c>
      <c r="S1075">
        <v>4.25</v>
      </c>
      <c r="T1075">
        <v>4.7190000000000003</v>
      </c>
      <c r="U1075">
        <v>7.05</v>
      </c>
      <c r="V1075">
        <v>4512.26</v>
      </c>
      <c r="W1075">
        <v>987</v>
      </c>
      <c r="X1075">
        <v>1.3332999999999999</v>
      </c>
      <c r="Y1075">
        <v>746</v>
      </c>
      <c r="Z1075">
        <v>6.05</v>
      </c>
      <c r="AJ1075">
        <v>2</v>
      </c>
      <c r="AK1075">
        <v>18</v>
      </c>
      <c r="AM1075">
        <v>0</v>
      </c>
      <c r="AO1075" t="s">
        <v>102</v>
      </c>
      <c r="AT1075">
        <v>68</v>
      </c>
      <c r="AV1075">
        <v>80.5</v>
      </c>
      <c r="AW1075" t="s">
        <v>6</v>
      </c>
      <c r="AX1075" t="s">
        <v>6</v>
      </c>
      <c r="AY1075" t="s">
        <v>6</v>
      </c>
      <c r="AZ1075" t="s">
        <v>6</v>
      </c>
      <c r="BA1075" t="s">
        <v>6</v>
      </c>
      <c r="BB1075" t="s">
        <v>6</v>
      </c>
      <c r="BC1075" t="s">
        <v>6</v>
      </c>
      <c r="BD1075" t="s">
        <v>6</v>
      </c>
      <c r="BE1075" t="s">
        <v>6</v>
      </c>
      <c r="BF1075" t="s">
        <v>6</v>
      </c>
      <c r="BG1075" t="s">
        <v>6</v>
      </c>
      <c r="BH1075" t="s">
        <v>6</v>
      </c>
      <c r="BI1075" t="s">
        <v>6</v>
      </c>
      <c r="BJ1075" t="s">
        <v>6</v>
      </c>
      <c r="BN1075">
        <v>688.24239999999998</v>
      </c>
      <c r="BO1075">
        <v>2309</v>
      </c>
      <c r="BP1075">
        <v>0</v>
      </c>
      <c r="BQ1075">
        <v>61</v>
      </c>
      <c r="BR1075">
        <v>61</v>
      </c>
      <c r="BS1075">
        <v>61.39</v>
      </c>
      <c r="BT1075">
        <v>0</v>
      </c>
      <c r="BV1075">
        <v>0</v>
      </c>
      <c r="BW1075" t="s">
        <v>655</v>
      </c>
      <c r="BX1075">
        <v>0.17</v>
      </c>
      <c r="BY1075">
        <v>10.436299999999999</v>
      </c>
      <c r="BZ1075">
        <v>0</v>
      </c>
      <c r="CA1075">
        <v>1</v>
      </c>
      <c r="CB1075">
        <v>0.6</v>
      </c>
      <c r="CC1075" s="3">
        <v>7.1269159999999998E-2</v>
      </c>
      <c r="CD1075">
        <v>2.875</v>
      </c>
      <c r="CE1075">
        <v>2.5</v>
      </c>
      <c r="CF1075">
        <v>18</v>
      </c>
      <c r="CG1075">
        <v>6</v>
      </c>
      <c r="CH1075">
        <v>0</v>
      </c>
      <c r="CI1075">
        <v>61.39</v>
      </c>
      <c r="CJ1075">
        <v>970.75049999999999</v>
      </c>
    </row>
    <row r="1076" spans="1:88">
      <c r="A1076">
        <v>1075</v>
      </c>
      <c r="B1076" t="s">
        <v>0</v>
      </c>
      <c r="C1076" t="s">
        <v>1</v>
      </c>
      <c r="D1076" t="s">
        <v>300</v>
      </c>
      <c r="E1076" t="s">
        <v>150</v>
      </c>
      <c r="F1076" t="s">
        <v>411</v>
      </c>
      <c r="G1076" t="s">
        <v>106</v>
      </c>
      <c r="H1076" t="s">
        <v>485</v>
      </c>
      <c r="J1076">
        <v>2</v>
      </c>
      <c r="K1076" t="s">
        <v>108</v>
      </c>
      <c r="L1076" t="s">
        <v>96</v>
      </c>
      <c r="M1076" t="s">
        <v>159</v>
      </c>
      <c r="N1076" t="s">
        <v>130</v>
      </c>
      <c r="O1076">
        <v>111</v>
      </c>
      <c r="Q1076">
        <v>528</v>
      </c>
      <c r="R1076">
        <v>108</v>
      </c>
      <c r="S1076">
        <v>4.25</v>
      </c>
      <c r="T1076">
        <v>3.0760000000000001</v>
      </c>
      <c r="U1076">
        <v>6.14</v>
      </c>
      <c r="V1076">
        <v>2243.61</v>
      </c>
      <c r="W1076">
        <v>663</v>
      </c>
      <c r="X1076">
        <v>1.3332999999999999</v>
      </c>
      <c r="Y1076">
        <v>510</v>
      </c>
      <c r="Z1076">
        <v>4.4000000000000004</v>
      </c>
      <c r="AJ1076">
        <v>2</v>
      </c>
      <c r="AK1076">
        <v>18</v>
      </c>
      <c r="AM1076">
        <v>0</v>
      </c>
      <c r="AO1076" t="s">
        <v>486</v>
      </c>
      <c r="AT1076">
        <v>44</v>
      </c>
      <c r="AV1076">
        <v>62</v>
      </c>
      <c r="AW1076">
        <v>0.46875</v>
      </c>
      <c r="AX1076">
        <v>3.75</v>
      </c>
      <c r="AY1076">
        <v>45.25</v>
      </c>
      <c r="AZ1076">
        <v>4.125</v>
      </c>
      <c r="BA1076">
        <v>447.91</v>
      </c>
      <c r="BB1076">
        <v>4.4000000000000004</v>
      </c>
      <c r="BC1076">
        <v>49</v>
      </c>
      <c r="BD1076">
        <v>0.25</v>
      </c>
      <c r="BE1076">
        <v>2.75</v>
      </c>
      <c r="BF1076">
        <v>18.5</v>
      </c>
      <c r="BG1076">
        <v>2.25</v>
      </c>
      <c r="BH1076">
        <v>62</v>
      </c>
      <c r="BI1076">
        <v>5.53</v>
      </c>
      <c r="BJ1076">
        <v>8</v>
      </c>
      <c r="BL1076">
        <v>509.91</v>
      </c>
      <c r="BM1076">
        <v>56</v>
      </c>
      <c r="BN1076">
        <v>297.81670000000003</v>
      </c>
      <c r="BO1076">
        <v>1170</v>
      </c>
      <c r="BP1076">
        <v>0</v>
      </c>
      <c r="BQ1076">
        <v>38</v>
      </c>
      <c r="BR1076">
        <v>38</v>
      </c>
      <c r="BS1076">
        <v>37.729999999999997</v>
      </c>
      <c r="BT1076">
        <v>0</v>
      </c>
      <c r="BV1076">
        <v>0</v>
      </c>
      <c r="BW1076" t="s">
        <v>655</v>
      </c>
      <c r="BX1076">
        <v>0.17</v>
      </c>
      <c r="BY1076">
        <v>6.4141000000000004</v>
      </c>
      <c r="BZ1076">
        <v>0</v>
      </c>
      <c r="CA1076">
        <v>1</v>
      </c>
      <c r="CB1076">
        <v>0.6</v>
      </c>
      <c r="CC1076" s="3">
        <v>7.1269159999999998E-2</v>
      </c>
      <c r="CD1076">
        <v>2.875</v>
      </c>
      <c r="CE1076">
        <v>2.5</v>
      </c>
      <c r="CF1076">
        <v>18</v>
      </c>
      <c r="CG1076">
        <v>6</v>
      </c>
      <c r="CH1076">
        <v>0</v>
      </c>
      <c r="CI1076">
        <v>37.729999999999997</v>
      </c>
      <c r="CJ1076">
        <v>459.48039999999997</v>
      </c>
    </row>
    <row r="1077" spans="1:88">
      <c r="A1077">
        <v>1076</v>
      </c>
      <c r="B1077" t="s">
        <v>13</v>
      </c>
      <c r="C1077" t="s">
        <v>1</v>
      </c>
      <c r="D1077" t="s">
        <v>104</v>
      </c>
      <c r="E1077" t="s">
        <v>127</v>
      </c>
      <c r="F1077" t="s">
        <v>337</v>
      </c>
      <c r="G1077" t="s">
        <v>106</v>
      </c>
      <c r="H1077" t="s">
        <v>398</v>
      </c>
      <c r="J1077">
        <v>2</v>
      </c>
      <c r="K1077" t="s">
        <v>108</v>
      </c>
      <c r="L1077" t="s">
        <v>338</v>
      </c>
      <c r="M1077" t="s">
        <v>189</v>
      </c>
      <c r="N1077" t="s">
        <v>190</v>
      </c>
      <c r="O1077">
        <v>115</v>
      </c>
      <c r="Q1077">
        <v>586</v>
      </c>
      <c r="R1077">
        <v>116</v>
      </c>
      <c r="S1077">
        <v>4.25</v>
      </c>
      <c r="T1077">
        <v>3.18</v>
      </c>
      <c r="U1077">
        <v>6.22</v>
      </c>
      <c r="V1077">
        <v>2491.2199999999998</v>
      </c>
      <c r="W1077">
        <v>722</v>
      </c>
      <c r="X1077">
        <v>1.3332999999999999</v>
      </c>
      <c r="Y1077">
        <v>552</v>
      </c>
      <c r="Z1077">
        <v>4.51</v>
      </c>
      <c r="AJ1077">
        <v>2</v>
      </c>
      <c r="AK1077">
        <v>18</v>
      </c>
      <c r="AM1077">
        <v>0</v>
      </c>
      <c r="AO1077" t="s">
        <v>170</v>
      </c>
      <c r="AT1077">
        <v>45</v>
      </c>
      <c r="AV1077">
        <v>66.7</v>
      </c>
      <c r="AW1077">
        <v>0.46875</v>
      </c>
      <c r="AX1077">
        <v>3.75</v>
      </c>
      <c r="AY1077">
        <v>46.375</v>
      </c>
      <c r="AZ1077">
        <v>4.25</v>
      </c>
      <c r="BA1077">
        <v>436.98</v>
      </c>
      <c r="BB1077">
        <v>4.51</v>
      </c>
      <c r="BC1077">
        <v>50</v>
      </c>
      <c r="BD1077">
        <v>0.3125</v>
      </c>
      <c r="BE1077">
        <v>2.75</v>
      </c>
      <c r="BF1077">
        <v>31.125</v>
      </c>
      <c r="BG1077">
        <v>2.75</v>
      </c>
      <c r="BH1077">
        <v>115.38</v>
      </c>
      <c r="BI1077">
        <v>5.53</v>
      </c>
      <c r="BJ1077">
        <v>17</v>
      </c>
      <c r="BL1077">
        <v>552.36</v>
      </c>
      <c r="BM1077">
        <v>66</v>
      </c>
      <c r="BN1077">
        <v>321.00009999999997</v>
      </c>
      <c r="BO1077">
        <v>1007</v>
      </c>
      <c r="BP1077">
        <v>0</v>
      </c>
      <c r="BQ1077">
        <v>39</v>
      </c>
      <c r="BR1077">
        <v>39</v>
      </c>
      <c r="BS1077">
        <v>39.130000000000003</v>
      </c>
      <c r="BT1077">
        <v>0</v>
      </c>
      <c r="BV1077">
        <v>0</v>
      </c>
      <c r="BW1077" t="s">
        <v>655</v>
      </c>
      <c r="BX1077">
        <v>0.17</v>
      </c>
      <c r="BY1077">
        <v>6.6520999999999999</v>
      </c>
      <c r="BZ1077">
        <v>0</v>
      </c>
      <c r="CA1077">
        <v>1</v>
      </c>
      <c r="CB1077">
        <v>0.6</v>
      </c>
      <c r="CC1077" s="3">
        <v>7.1269159999999998E-2</v>
      </c>
      <c r="CD1077">
        <v>2.875</v>
      </c>
      <c r="CE1077">
        <v>2.5</v>
      </c>
      <c r="CF1077">
        <v>18</v>
      </c>
      <c r="CG1077">
        <v>6</v>
      </c>
      <c r="CH1077">
        <v>0</v>
      </c>
      <c r="CI1077">
        <v>39.130000000000003</v>
      </c>
      <c r="CJ1077">
        <v>512.78369999999995</v>
      </c>
    </row>
    <row r="1078" spans="1:88">
      <c r="A1078">
        <v>1077</v>
      </c>
      <c r="B1078" t="s">
        <v>13</v>
      </c>
      <c r="C1078" t="s">
        <v>1</v>
      </c>
      <c r="D1078" t="s">
        <v>255</v>
      </c>
      <c r="E1078" t="s">
        <v>2</v>
      </c>
      <c r="F1078" t="s">
        <v>196</v>
      </c>
      <c r="G1078" t="s">
        <v>106</v>
      </c>
      <c r="H1078" t="s">
        <v>410</v>
      </c>
      <c r="J1078">
        <v>2</v>
      </c>
      <c r="K1078" t="s">
        <v>108</v>
      </c>
      <c r="L1078" t="s">
        <v>122</v>
      </c>
      <c r="M1078" t="s">
        <v>4</v>
      </c>
      <c r="N1078" t="s">
        <v>5</v>
      </c>
      <c r="O1078">
        <v>107</v>
      </c>
      <c r="Q1078">
        <v>517</v>
      </c>
      <c r="R1078">
        <v>109</v>
      </c>
      <c r="S1078">
        <v>4.25</v>
      </c>
      <c r="T1078">
        <v>2.9710000000000001</v>
      </c>
      <c r="U1078">
        <v>6.07</v>
      </c>
      <c r="V1078">
        <v>2195.8000000000002</v>
      </c>
      <c r="W1078">
        <v>663</v>
      </c>
      <c r="X1078">
        <v>1.3332999999999999</v>
      </c>
      <c r="Y1078">
        <v>511</v>
      </c>
      <c r="Z1078">
        <v>4.3</v>
      </c>
      <c r="AJ1078">
        <v>2</v>
      </c>
      <c r="AK1078">
        <v>18</v>
      </c>
      <c r="AM1078">
        <v>0</v>
      </c>
      <c r="AO1078" t="s">
        <v>411</v>
      </c>
      <c r="AT1078">
        <v>42</v>
      </c>
      <c r="AV1078">
        <v>62.7</v>
      </c>
      <c r="AW1078">
        <v>0.46875</v>
      </c>
      <c r="AX1078">
        <v>3.75</v>
      </c>
      <c r="AY1078">
        <v>44.25</v>
      </c>
      <c r="AZ1078">
        <v>4</v>
      </c>
      <c r="BA1078">
        <v>458.33</v>
      </c>
      <c r="BB1078">
        <v>4.3</v>
      </c>
      <c r="BC1078">
        <v>48</v>
      </c>
      <c r="BD1078">
        <v>0.25</v>
      </c>
      <c r="BE1078">
        <v>2.75</v>
      </c>
      <c r="BF1078">
        <v>22</v>
      </c>
      <c r="BG1078">
        <v>2.125</v>
      </c>
      <c r="BH1078">
        <v>52.32</v>
      </c>
      <c r="BI1078">
        <v>6.56</v>
      </c>
      <c r="BJ1078">
        <v>10</v>
      </c>
      <c r="BL1078">
        <v>510.65</v>
      </c>
      <c r="BM1078">
        <v>57</v>
      </c>
      <c r="BN1078">
        <v>301.38339999999999</v>
      </c>
      <c r="BO1078">
        <v>1142</v>
      </c>
      <c r="BP1078">
        <v>0</v>
      </c>
      <c r="BQ1078">
        <v>36</v>
      </c>
      <c r="BR1078">
        <v>36</v>
      </c>
      <c r="BS1078">
        <v>36.340000000000003</v>
      </c>
      <c r="BT1078">
        <v>0</v>
      </c>
      <c r="BV1078">
        <v>0</v>
      </c>
      <c r="BW1078" t="s">
        <v>655</v>
      </c>
      <c r="BX1078">
        <v>0.17</v>
      </c>
      <c r="BY1078">
        <v>6.1778000000000004</v>
      </c>
      <c r="BZ1078">
        <v>0</v>
      </c>
      <c r="CA1078">
        <v>1</v>
      </c>
      <c r="CB1078">
        <v>0.6</v>
      </c>
      <c r="CC1078" s="3">
        <v>7.1269159999999998E-2</v>
      </c>
      <c r="CD1078">
        <v>2.875</v>
      </c>
      <c r="CE1078">
        <v>2.5</v>
      </c>
      <c r="CF1078">
        <v>18</v>
      </c>
      <c r="CG1078">
        <v>6</v>
      </c>
      <c r="CH1078">
        <v>0</v>
      </c>
      <c r="CI1078">
        <v>36.340000000000003</v>
      </c>
      <c r="CJ1078">
        <v>447.73259999999999</v>
      </c>
    </row>
    <row r="1079" spans="1:88">
      <c r="A1079">
        <v>1078</v>
      </c>
      <c r="B1079" t="s">
        <v>0</v>
      </c>
      <c r="C1079" t="s">
        <v>1</v>
      </c>
      <c r="D1079" t="s">
        <v>96</v>
      </c>
      <c r="E1079" t="s">
        <v>158</v>
      </c>
      <c r="F1079" t="s">
        <v>198</v>
      </c>
      <c r="G1079" t="s">
        <v>106</v>
      </c>
      <c r="H1079" t="s">
        <v>162</v>
      </c>
      <c r="J1079">
        <v>2</v>
      </c>
      <c r="K1079" t="s">
        <v>146</v>
      </c>
      <c r="L1079" t="s">
        <v>99</v>
      </c>
      <c r="M1079" t="s">
        <v>121</v>
      </c>
      <c r="N1079" t="s">
        <v>235</v>
      </c>
      <c r="O1079">
        <v>129</v>
      </c>
      <c r="Q1079">
        <v>440</v>
      </c>
      <c r="R1079">
        <v>81</v>
      </c>
      <c r="S1079">
        <v>4.25</v>
      </c>
      <c r="T1079">
        <v>3.536</v>
      </c>
      <c r="U1079">
        <v>6.33</v>
      </c>
      <c r="V1079">
        <v>1868.17</v>
      </c>
      <c r="W1079">
        <v>512</v>
      </c>
      <c r="X1079">
        <v>1.3332999999999999</v>
      </c>
      <c r="Y1079">
        <v>384</v>
      </c>
      <c r="Z1079">
        <v>4.8600000000000003</v>
      </c>
      <c r="AJ1079">
        <v>2</v>
      </c>
      <c r="AK1079">
        <v>18</v>
      </c>
      <c r="AM1079">
        <v>0</v>
      </c>
      <c r="AO1079" t="s">
        <v>166</v>
      </c>
      <c r="AT1079">
        <v>50</v>
      </c>
      <c r="AV1079">
        <v>44.8</v>
      </c>
      <c r="AW1079">
        <v>0</v>
      </c>
      <c r="AX1079">
        <v>0</v>
      </c>
      <c r="AY1079">
        <v>52.75</v>
      </c>
      <c r="AZ1079">
        <v>4.5</v>
      </c>
      <c r="BA1079">
        <v>0</v>
      </c>
      <c r="BB1079">
        <v>0</v>
      </c>
      <c r="BC1079">
        <v>57</v>
      </c>
      <c r="BN1079">
        <v>214</v>
      </c>
      <c r="BO1079">
        <v>2266</v>
      </c>
      <c r="BP1079">
        <v>0</v>
      </c>
      <c r="BQ1079">
        <v>44</v>
      </c>
      <c r="BR1079">
        <v>44</v>
      </c>
      <c r="BS1079">
        <v>44</v>
      </c>
      <c r="BT1079">
        <v>0</v>
      </c>
      <c r="BV1079">
        <v>0</v>
      </c>
      <c r="BW1079" t="s">
        <v>655</v>
      </c>
      <c r="BX1079">
        <v>0.17</v>
      </c>
      <c r="BY1079">
        <v>7.48</v>
      </c>
      <c r="BZ1079">
        <v>0</v>
      </c>
      <c r="CA1079">
        <v>1</v>
      </c>
      <c r="CB1079">
        <v>0.6</v>
      </c>
      <c r="CC1079" s="3">
        <v>7.1269159999999998E-2</v>
      </c>
      <c r="CD1079">
        <v>2.875</v>
      </c>
      <c r="CE1079">
        <v>2.5</v>
      </c>
      <c r="CF1079">
        <v>18</v>
      </c>
      <c r="CG1079">
        <v>6</v>
      </c>
      <c r="CH1079">
        <v>0</v>
      </c>
      <c r="CI1079">
        <v>44</v>
      </c>
      <c r="CJ1079">
        <v>387.27659999999997</v>
      </c>
    </row>
    <row r="1080" spans="1:88">
      <c r="A1080">
        <v>1079</v>
      </c>
      <c r="B1080" t="s">
        <v>0</v>
      </c>
      <c r="C1080" t="s">
        <v>1</v>
      </c>
      <c r="D1080" t="s">
        <v>233</v>
      </c>
      <c r="E1080" t="s">
        <v>202</v>
      </c>
      <c r="F1080" t="s">
        <v>271</v>
      </c>
      <c r="G1080" t="s">
        <v>106</v>
      </c>
      <c r="H1080" t="s">
        <v>279</v>
      </c>
      <c r="J1080">
        <v>2</v>
      </c>
      <c r="K1080" t="s">
        <v>146</v>
      </c>
      <c r="L1080" t="s">
        <v>203</v>
      </c>
      <c r="M1080" t="s">
        <v>204</v>
      </c>
      <c r="N1080" t="s">
        <v>205</v>
      </c>
      <c r="O1080">
        <v>181</v>
      </c>
      <c r="Q1080">
        <v>726</v>
      </c>
      <c r="R1080">
        <v>96</v>
      </c>
      <c r="S1080">
        <v>4.25</v>
      </c>
      <c r="T1080">
        <v>4.7640000000000002</v>
      </c>
      <c r="U1080">
        <v>7.08</v>
      </c>
      <c r="V1080">
        <v>3086.56</v>
      </c>
      <c r="W1080">
        <v>678</v>
      </c>
      <c r="X1080">
        <v>1.3332999999999999</v>
      </c>
      <c r="Y1080">
        <v>507</v>
      </c>
      <c r="Z1080">
        <v>6.09</v>
      </c>
      <c r="AJ1080">
        <v>2</v>
      </c>
      <c r="AK1080">
        <v>18</v>
      </c>
      <c r="AM1080">
        <v>0</v>
      </c>
      <c r="AO1080" t="s">
        <v>144</v>
      </c>
      <c r="AT1080">
        <v>68</v>
      </c>
      <c r="AV1080">
        <v>54.2</v>
      </c>
      <c r="AW1080" t="s">
        <v>6</v>
      </c>
      <c r="AX1080" t="s">
        <v>6</v>
      </c>
      <c r="AY1080" t="s">
        <v>6</v>
      </c>
      <c r="AZ1080" t="s">
        <v>6</v>
      </c>
      <c r="BA1080" t="s">
        <v>6</v>
      </c>
      <c r="BB1080" t="s">
        <v>6</v>
      </c>
      <c r="BC1080" t="s">
        <v>6</v>
      </c>
      <c r="BD1080" t="s">
        <v>6</v>
      </c>
      <c r="BE1080" t="s">
        <v>6</v>
      </c>
      <c r="BF1080" t="s">
        <v>6</v>
      </c>
      <c r="BG1080" t="s">
        <v>6</v>
      </c>
      <c r="BH1080" t="s">
        <v>6</v>
      </c>
      <c r="BI1080" t="s">
        <v>6</v>
      </c>
      <c r="BJ1080" t="s">
        <v>6</v>
      </c>
      <c r="BN1080">
        <v>260.36669999999998</v>
      </c>
      <c r="BO1080">
        <v>1531</v>
      </c>
      <c r="BP1080">
        <v>0</v>
      </c>
      <c r="BQ1080">
        <v>62</v>
      </c>
      <c r="BR1080">
        <v>62</v>
      </c>
      <c r="BS1080">
        <v>62.08</v>
      </c>
      <c r="BT1080">
        <v>0</v>
      </c>
      <c r="BV1080">
        <v>0</v>
      </c>
      <c r="BW1080" t="s">
        <v>655</v>
      </c>
      <c r="BX1080">
        <v>0.17</v>
      </c>
      <c r="BY1080">
        <v>10.553599999999999</v>
      </c>
      <c r="BZ1080">
        <v>0</v>
      </c>
      <c r="CA1080">
        <v>1</v>
      </c>
      <c r="CB1080">
        <v>0.6</v>
      </c>
      <c r="CC1080" s="3">
        <v>7.1269159999999998E-2</v>
      </c>
      <c r="CD1080">
        <v>2.875</v>
      </c>
      <c r="CE1080">
        <v>2.5</v>
      </c>
      <c r="CF1080">
        <v>18</v>
      </c>
      <c r="CG1080">
        <v>6</v>
      </c>
      <c r="CH1080">
        <v>0</v>
      </c>
      <c r="CI1080">
        <v>62.08</v>
      </c>
      <c r="CJ1080">
        <v>661.44619999999998</v>
      </c>
    </row>
    <row r="1081" spans="1:88">
      <c r="A1081">
        <v>1080</v>
      </c>
      <c r="B1081" t="s">
        <v>13</v>
      </c>
      <c r="C1081" t="s">
        <v>1</v>
      </c>
      <c r="D1081" t="s">
        <v>19</v>
      </c>
      <c r="E1081" t="s">
        <v>96</v>
      </c>
      <c r="F1081" t="s">
        <v>114</v>
      </c>
      <c r="G1081" t="s">
        <v>106</v>
      </c>
      <c r="H1081" t="s">
        <v>115</v>
      </c>
      <c r="J1081">
        <v>2</v>
      </c>
      <c r="K1081" t="s">
        <v>108</v>
      </c>
      <c r="L1081" t="s">
        <v>293</v>
      </c>
      <c r="M1081" t="s">
        <v>100</v>
      </c>
      <c r="N1081" t="s">
        <v>101</v>
      </c>
      <c r="O1081">
        <v>131</v>
      </c>
      <c r="Q1081">
        <v>639</v>
      </c>
      <c r="R1081">
        <v>112</v>
      </c>
      <c r="S1081">
        <v>4.25</v>
      </c>
      <c r="T1081">
        <v>3.5859999999999999</v>
      </c>
      <c r="U1081">
        <v>6.37</v>
      </c>
      <c r="V1081">
        <v>2714.43</v>
      </c>
      <c r="W1081">
        <v>715</v>
      </c>
      <c r="X1081">
        <v>1.3332999999999999</v>
      </c>
      <c r="Y1081">
        <v>553</v>
      </c>
      <c r="Z1081">
        <v>4.91</v>
      </c>
      <c r="AJ1081">
        <v>2</v>
      </c>
      <c r="AK1081">
        <v>18</v>
      </c>
      <c r="AM1081">
        <v>0</v>
      </c>
      <c r="AO1081" t="s">
        <v>118</v>
      </c>
      <c r="AT1081">
        <v>51</v>
      </c>
      <c r="AV1081">
        <v>64.5</v>
      </c>
      <c r="AW1081" t="s">
        <v>6</v>
      </c>
      <c r="AX1081" t="s">
        <v>6</v>
      </c>
      <c r="AY1081" t="s">
        <v>6</v>
      </c>
      <c r="AZ1081" t="s">
        <v>6</v>
      </c>
      <c r="BA1081" t="s">
        <v>6</v>
      </c>
      <c r="BB1081" t="s">
        <v>6</v>
      </c>
      <c r="BC1081" t="s">
        <v>6</v>
      </c>
      <c r="BD1081" t="s">
        <v>6</v>
      </c>
      <c r="BE1081" t="s">
        <v>6</v>
      </c>
      <c r="BF1081" t="s">
        <v>6</v>
      </c>
      <c r="BG1081" t="s">
        <v>6</v>
      </c>
      <c r="BH1081" t="s">
        <v>6</v>
      </c>
      <c r="BI1081" t="s">
        <v>6</v>
      </c>
      <c r="BJ1081" t="s">
        <v>6</v>
      </c>
      <c r="BN1081">
        <v>310.30009999999999</v>
      </c>
      <c r="BO1081">
        <v>1078</v>
      </c>
      <c r="BP1081">
        <v>0</v>
      </c>
      <c r="BQ1081">
        <v>45</v>
      </c>
      <c r="BR1081">
        <v>45</v>
      </c>
      <c r="BS1081">
        <v>44.69</v>
      </c>
      <c r="BT1081">
        <v>0</v>
      </c>
      <c r="BV1081">
        <v>0</v>
      </c>
      <c r="BW1081" t="s">
        <v>655</v>
      </c>
      <c r="BX1081">
        <v>0.17</v>
      </c>
      <c r="BY1081">
        <v>7.5972999999999997</v>
      </c>
      <c r="BZ1081">
        <v>0</v>
      </c>
      <c r="CA1081">
        <v>1</v>
      </c>
      <c r="CB1081">
        <v>0.6</v>
      </c>
      <c r="CC1081" s="3">
        <v>7.1269159999999998E-2</v>
      </c>
      <c r="CD1081">
        <v>2.875</v>
      </c>
      <c r="CE1081">
        <v>2.5</v>
      </c>
      <c r="CF1081">
        <v>18</v>
      </c>
      <c r="CG1081">
        <v>6</v>
      </c>
      <c r="CH1081">
        <v>0</v>
      </c>
      <c r="CI1081">
        <v>44.69</v>
      </c>
      <c r="CJ1081">
        <v>566.53520000000003</v>
      </c>
    </row>
    <row r="1082" spans="1:88">
      <c r="A1082">
        <v>1081</v>
      </c>
      <c r="B1082" t="s">
        <v>13</v>
      </c>
      <c r="C1082" t="s">
        <v>1</v>
      </c>
      <c r="D1082" t="s">
        <v>205</v>
      </c>
      <c r="E1082" t="s">
        <v>8</v>
      </c>
      <c r="F1082" t="s">
        <v>573</v>
      </c>
      <c r="G1082" t="s">
        <v>214</v>
      </c>
      <c r="H1082" t="s">
        <v>574</v>
      </c>
      <c r="J1082">
        <v>2</v>
      </c>
      <c r="K1082" t="s">
        <v>108</v>
      </c>
      <c r="L1082" t="s">
        <v>10</v>
      </c>
      <c r="M1082" t="s">
        <v>11</v>
      </c>
      <c r="N1082" t="s">
        <v>12</v>
      </c>
      <c r="O1082">
        <v>203</v>
      </c>
      <c r="Q1082">
        <v>955</v>
      </c>
      <c r="R1082">
        <v>122</v>
      </c>
      <c r="S1082">
        <v>4.25</v>
      </c>
      <c r="T1082">
        <v>5.2460000000000004</v>
      </c>
      <c r="U1082">
        <v>7.35</v>
      </c>
      <c r="V1082">
        <v>4058.96</v>
      </c>
      <c r="W1082">
        <v>895</v>
      </c>
      <c r="X1082">
        <v>1.5</v>
      </c>
      <c r="Y1082">
        <v>602</v>
      </c>
      <c r="Z1082">
        <v>6.74</v>
      </c>
      <c r="AJ1082">
        <v>2</v>
      </c>
      <c r="AK1082">
        <v>18</v>
      </c>
      <c r="AM1082">
        <v>0</v>
      </c>
      <c r="AO1082" t="s">
        <v>192</v>
      </c>
      <c r="AT1082">
        <v>76</v>
      </c>
      <c r="AV1082">
        <v>64.2</v>
      </c>
      <c r="AW1082" t="s">
        <v>6</v>
      </c>
      <c r="AX1082" t="s">
        <v>6</v>
      </c>
      <c r="AY1082" t="s">
        <v>6</v>
      </c>
      <c r="AZ1082" t="s">
        <v>6</v>
      </c>
      <c r="BA1082" t="s">
        <v>6</v>
      </c>
      <c r="BB1082" t="s">
        <v>6</v>
      </c>
      <c r="BC1082" t="s">
        <v>6</v>
      </c>
      <c r="BD1082" t="s">
        <v>6</v>
      </c>
      <c r="BE1082" t="s">
        <v>6</v>
      </c>
      <c r="BF1082" t="s">
        <v>6</v>
      </c>
      <c r="BG1082" t="s">
        <v>6</v>
      </c>
      <c r="BH1082" t="s">
        <v>6</v>
      </c>
      <c r="BI1082" t="s">
        <v>6</v>
      </c>
      <c r="BJ1082" t="s">
        <v>6</v>
      </c>
      <c r="BN1082">
        <v>311.11169999999998</v>
      </c>
      <c r="BO1082">
        <v>1345</v>
      </c>
      <c r="BP1082">
        <v>0</v>
      </c>
      <c r="BQ1082">
        <v>70</v>
      </c>
      <c r="BR1082">
        <v>70</v>
      </c>
      <c r="BS1082">
        <v>69.730009999999993</v>
      </c>
      <c r="BT1082">
        <v>0</v>
      </c>
      <c r="BV1082">
        <v>0</v>
      </c>
      <c r="BW1082" t="s">
        <v>655</v>
      </c>
      <c r="BX1082">
        <v>0.17</v>
      </c>
      <c r="BY1082">
        <v>11.854100000000001</v>
      </c>
      <c r="BZ1082">
        <v>0</v>
      </c>
      <c r="CA1082">
        <v>1</v>
      </c>
      <c r="CB1082">
        <v>0.6</v>
      </c>
      <c r="CC1082" s="3">
        <v>7.1269159999999998E-2</v>
      </c>
      <c r="CD1082">
        <v>2.875</v>
      </c>
      <c r="CE1082">
        <v>2.5</v>
      </c>
      <c r="CF1082">
        <v>18</v>
      </c>
      <c r="CG1082">
        <v>6</v>
      </c>
      <c r="CH1082">
        <v>0</v>
      </c>
      <c r="CI1082">
        <v>69.730009999999993</v>
      </c>
      <c r="CJ1082">
        <v>878.99770000000001</v>
      </c>
    </row>
    <row r="1083" spans="1:88">
      <c r="A1083">
        <v>1082</v>
      </c>
      <c r="B1083" t="s">
        <v>0</v>
      </c>
      <c r="C1083" t="s">
        <v>1</v>
      </c>
      <c r="D1083" t="s">
        <v>101</v>
      </c>
      <c r="E1083" t="s">
        <v>176</v>
      </c>
      <c r="F1083" t="s">
        <v>339</v>
      </c>
      <c r="G1083" t="s">
        <v>106</v>
      </c>
      <c r="H1083" t="s">
        <v>167</v>
      </c>
      <c r="J1083">
        <v>2</v>
      </c>
      <c r="K1083" t="s">
        <v>146</v>
      </c>
      <c r="L1083" t="s">
        <v>167</v>
      </c>
      <c r="M1083" t="s">
        <v>226</v>
      </c>
      <c r="N1083" t="s">
        <v>227</v>
      </c>
      <c r="O1083">
        <v>113</v>
      </c>
      <c r="Q1083">
        <v>399</v>
      </c>
      <c r="R1083">
        <v>83</v>
      </c>
      <c r="S1083">
        <v>4.25</v>
      </c>
      <c r="T1083">
        <v>3.1280000000000001</v>
      </c>
      <c r="U1083">
        <v>6.18</v>
      </c>
      <c r="V1083">
        <v>1695.36</v>
      </c>
      <c r="W1083">
        <v>510</v>
      </c>
      <c r="X1083">
        <v>1.3332999999999999</v>
      </c>
      <c r="Y1083">
        <v>380</v>
      </c>
      <c r="Z1083">
        <v>4.46</v>
      </c>
      <c r="AJ1083">
        <v>2</v>
      </c>
      <c r="AK1083">
        <v>18</v>
      </c>
      <c r="AM1083">
        <v>0</v>
      </c>
      <c r="AO1083" t="s">
        <v>327</v>
      </c>
      <c r="AT1083">
        <v>45</v>
      </c>
      <c r="AV1083">
        <v>45.9</v>
      </c>
      <c r="AW1083">
        <v>0</v>
      </c>
      <c r="AX1083">
        <v>0</v>
      </c>
      <c r="AY1083">
        <v>53.375</v>
      </c>
      <c r="AZ1083">
        <v>4.125</v>
      </c>
      <c r="BA1083">
        <v>0</v>
      </c>
      <c r="BB1083">
        <v>0</v>
      </c>
      <c r="BC1083">
        <v>57</v>
      </c>
      <c r="BN1083">
        <v>219.35</v>
      </c>
      <c r="BO1083">
        <v>2157</v>
      </c>
      <c r="BP1083">
        <v>0</v>
      </c>
      <c r="BQ1083">
        <v>38</v>
      </c>
      <c r="BR1083">
        <v>38</v>
      </c>
      <c r="BS1083">
        <v>38.43</v>
      </c>
      <c r="BT1083">
        <v>0</v>
      </c>
      <c r="BV1083">
        <v>0</v>
      </c>
      <c r="BW1083" t="s">
        <v>655</v>
      </c>
      <c r="BX1083">
        <v>0.17</v>
      </c>
      <c r="BY1083">
        <v>6.5331000000000001</v>
      </c>
      <c r="BZ1083">
        <v>0</v>
      </c>
      <c r="CA1083">
        <v>1</v>
      </c>
      <c r="CB1083">
        <v>0.6</v>
      </c>
      <c r="CC1083" s="3">
        <v>7.1269159999999998E-2</v>
      </c>
      <c r="CD1083">
        <v>2.875</v>
      </c>
      <c r="CE1083">
        <v>2.5</v>
      </c>
      <c r="CF1083">
        <v>18</v>
      </c>
      <c r="CG1083">
        <v>6</v>
      </c>
      <c r="CH1083">
        <v>0</v>
      </c>
      <c r="CI1083">
        <v>38.43</v>
      </c>
      <c r="CJ1083">
        <v>346.46749999999997</v>
      </c>
    </row>
    <row r="1084" spans="1:88">
      <c r="A1084">
        <v>1083</v>
      </c>
      <c r="B1084" t="s">
        <v>0</v>
      </c>
      <c r="C1084" t="s">
        <v>1</v>
      </c>
      <c r="D1084" t="s">
        <v>158</v>
      </c>
      <c r="E1084" t="s">
        <v>139</v>
      </c>
      <c r="F1084" t="s">
        <v>166</v>
      </c>
      <c r="G1084" t="s">
        <v>106</v>
      </c>
      <c r="H1084" t="s">
        <v>119</v>
      </c>
      <c r="J1084">
        <v>2</v>
      </c>
      <c r="K1084" t="s">
        <v>146</v>
      </c>
      <c r="L1084" t="s">
        <v>158</v>
      </c>
      <c r="M1084" t="s">
        <v>385</v>
      </c>
      <c r="N1084" t="s">
        <v>177</v>
      </c>
      <c r="O1084">
        <v>109</v>
      </c>
      <c r="Q1084">
        <v>371</v>
      </c>
      <c r="R1084">
        <v>80</v>
      </c>
      <c r="S1084">
        <v>4.25</v>
      </c>
      <c r="T1084">
        <v>3.024</v>
      </c>
      <c r="U1084">
        <v>6.11</v>
      </c>
      <c r="V1084">
        <v>1577.3</v>
      </c>
      <c r="W1084">
        <v>487</v>
      </c>
      <c r="X1084">
        <v>1.3332999999999999</v>
      </c>
      <c r="Y1084">
        <v>363</v>
      </c>
      <c r="Z1084">
        <v>4.3499999999999996</v>
      </c>
      <c r="AJ1084">
        <v>2</v>
      </c>
      <c r="AK1084">
        <v>18</v>
      </c>
      <c r="AM1084">
        <v>0</v>
      </c>
      <c r="AO1084" t="s">
        <v>286</v>
      </c>
      <c r="AT1084">
        <v>43</v>
      </c>
      <c r="AV1084">
        <v>44.1</v>
      </c>
      <c r="AW1084">
        <v>0</v>
      </c>
      <c r="AX1084">
        <v>0</v>
      </c>
      <c r="AY1084">
        <v>39.25</v>
      </c>
      <c r="AZ1084">
        <v>3.75</v>
      </c>
      <c r="BA1084">
        <v>0</v>
      </c>
      <c r="BB1084">
        <v>0</v>
      </c>
      <c r="BC1084">
        <v>40</v>
      </c>
      <c r="BN1084">
        <v>210.43340000000001</v>
      </c>
      <c r="BO1084">
        <v>2343</v>
      </c>
      <c r="BP1084">
        <v>0</v>
      </c>
      <c r="BQ1084">
        <v>37</v>
      </c>
      <c r="BR1084">
        <v>37</v>
      </c>
      <c r="BS1084">
        <v>37.04</v>
      </c>
      <c r="BT1084">
        <v>0</v>
      </c>
      <c r="BV1084">
        <v>0</v>
      </c>
      <c r="BW1084" t="s">
        <v>655</v>
      </c>
      <c r="BX1084">
        <v>0.17</v>
      </c>
      <c r="BY1084">
        <v>6.2968000000000002</v>
      </c>
      <c r="BZ1084">
        <v>0</v>
      </c>
      <c r="CA1084">
        <v>1</v>
      </c>
      <c r="CB1084">
        <v>0.6</v>
      </c>
      <c r="CC1084" s="3">
        <v>7.1269159999999998E-2</v>
      </c>
      <c r="CD1084">
        <v>2.875</v>
      </c>
      <c r="CE1084">
        <v>2.5</v>
      </c>
      <c r="CF1084">
        <v>18</v>
      </c>
      <c r="CG1084">
        <v>6</v>
      </c>
      <c r="CH1084">
        <v>0</v>
      </c>
      <c r="CI1084">
        <v>37.04</v>
      </c>
      <c r="CJ1084">
        <v>320.73689999999999</v>
      </c>
    </row>
    <row r="1085" spans="1:88">
      <c r="A1085">
        <v>1084</v>
      </c>
      <c r="B1085" t="s">
        <v>0</v>
      </c>
      <c r="C1085" t="s">
        <v>1</v>
      </c>
      <c r="D1085" t="s">
        <v>169</v>
      </c>
      <c r="E1085" t="s">
        <v>307</v>
      </c>
      <c r="F1085" t="s">
        <v>404</v>
      </c>
      <c r="G1085" t="s">
        <v>106</v>
      </c>
      <c r="H1085" t="s">
        <v>190</v>
      </c>
      <c r="J1085">
        <v>2</v>
      </c>
      <c r="K1085" t="s">
        <v>146</v>
      </c>
      <c r="L1085" t="s">
        <v>364</v>
      </c>
      <c r="M1085" t="s">
        <v>308</v>
      </c>
      <c r="N1085" t="s">
        <v>122</v>
      </c>
      <c r="O1085">
        <v>124</v>
      </c>
      <c r="Q1085">
        <v>383</v>
      </c>
      <c r="R1085">
        <v>74</v>
      </c>
      <c r="S1085">
        <v>4.25</v>
      </c>
      <c r="T1085">
        <v>3.41</v>
      </c>
      <c r="U1085">
        <v>6.22</v>
      </c>
      <c r="V1085">
        <v>1629.74</v>
      </c>
      <c r="W1085">
        <v>460</v>
      </c>
      <c r="X1085">
        <v>1.3332999999999999</v>
      </c>
      <c r="Y1085">
        <v>344</v>
      </c>
      <c r="Z1085">
        <v>4.74</v>
      </c>
      <c r="AJ1085">
        <v>2</v>
      </c>
      <c r="AK1085">
        <v>18</v>
      </c>
      <c r="AM1085">
        <v>0</v>
      </c>
      <c r="AO1085" t="s">
        <v>406</v>
      </c>
      <c r="AT1085">
        <v>48</v>
      </c>
      <c r="AV1085">
        <v>40.4</v>
      </c>
      <c r="AW1085">
        <v>0</v>
      </c>
      <c r="AX1085">
        <v>0</v>
      </c>
      <c r="AY1085">
        <v>41.375</v>
      </c>
      <c r="AZ1085">
        <v>4.125</v>
      </c>
      <c r="BA1085">
        <v>0</v>
      </c>
      <c r="BB1085">
        <v>0</v>
      </c>
      <c r="BC1085">
        <v>42</v>
      </c>
      <c r="BN1085">
        <v>192.6</v>
      </c>
      <c r="BO1085">
        <v>2797</v>
      </c>
      <c r="BP1085">
        <v>0</v>
      </c>
      <c r="BQ1085">
        <v>42</v>
      </c>
      <c r="BR1085">
        <v>42</v>
      </c>
      <c r="BS1085">
        <v>42.26</v>
      </c>
      <c r="BT1085">
        <v>0</v>
      </c>
      <c r="BV1085">
        <v>0</v>
      </c>
      <c r="BW1085" t="s">
        <v>655</v>
      </c>
      <c r="BX1085">
        <v>0.17</v>
      </c>
      <c r="BY1085">
        <v>7.1841999999999997</v>
      </c>
      <c r="BZ1085">
        <v>0</v>
      </c>
      <c r="CA1085">
        <v>1</v>
      </c>
      <c r="CB1085">
        <v>0.6</v>
      </c>
      <c r="CC1085" s="3">
        <v>7.1269159999999998E-2</v>
      </c>
      <c r="CD1085">
        <v>2.875</v>
      </c>
      <c r="CE1085">
        <v>2.5</v>
      </c>
      <c r="CF1085">
        <v>18</v>
      </c>
      <c r="CG1085">
        <v>6</v>
      </c>
      <c r="CH1085">
        <v>0</v>
      </c>
      <c r="CI1085">
        <v>42.26</v>
      </c>
      <c r="CJ1085">
        <v>335.81950000000001</v>
      </c>
    </row>
    <row r="1086" spans="1:88">
      <c r="A1086">
        <v>1085</v>
      </c>
      <c r="B1086" t="s">
        <v>0</v>
      </c>
      <c r="C1086" t="s">
        <v>1</v>
      </c>
      <c r="D1086" t="s">
        <v>104</v>
      </c>
      <c r="E1086" t="s">
        <v>178</v>
      </c>
      <c r="F1086" t="s">
        <v>337</v>
      </c>
      <c r="G1086" t="s">
        <v>106</v>
      </c>
      <c r="H1086" t="s">
        <v>398</v>
      </c>
      <c r="J1086">
        <v>2</v>
      </c>
      <c r="K1086" t="s">
        <v>108</v>
      </c>
      <c r="L1086" t="s">
        <v>127</v>
      </c>
      <c r="M1086" t="s">
        <v>179</v>
      </c>
      <c r="N1086" t="s">
        <v>180</v>
      </c>
      <c r="O1086">
        <v>95</v>
      </c>
      <c r="Q1086">
        <v>494</v>
      </c>
      <c r="R1086">
        <v>116</v>
      </c>
      <c r="S1086">
        <v>4.25</v>
      </c>
      <c r="T1086">
        <v>2.649</v>
      </c>
      <c r="U1086">
        <v>5.81</v>
      </c>
      <c r="V1086">
        <v>2098.56</v>
      </c>
      <c r="W1086">
        <v>674</v>
      </c>
      <c r="X1086">
        <v>1.3332999999999999</v>
      </c>
      <c r="Y1086">
        <v>527</v>
      </c>
      <c r="Z1086">
        <v>3.98</v>
      </c>
      <c r="AJ1086">
        <v>2</v>
      </c>
      <c r="AK1086">
        <v>18</v>
      </c>
      <c r="AM1086">
        <v>0</v>
      </c>
      <c r="AO1086" t="s">
        <v>170</v>
      </c>
      <c r="AT1086">
        <v>38</v>
      </c>
      <c r="AV1086">
        <v>66.7</v>
      </c>
      <c r="AW1086">
        <v>0.375</v>
      </c>
      <c r="AX1086">
        <v>3.75</v>
      </c>
      <c r="AY1086">
        <v>24.5</v>
      </c>
      <c r="AZ1086">
        <v>3</v>
      </c>
      <c r="BA1086">
        <v>263.63</v>
      </c>
      <c r="BB1086">
        <v>4.08</v>
      </c>
      <c r="BC1086">
        <v>22</v>
      </c>
      <c r="BD1086">
        <v>0.375</v>
      </c>
      <c r="BE1086">
        <v>3.75</v>
      </c>
      <c r="BF1086">
        <v>24.5</v>
      </c>
      <c r="BG1086">
        <v>3</v>
      </c>
      <c r="BH1086">
        <v>263.63</v>
      </c>
      <c r="BI1086">
        <v>4.08</v>
      </c>
      <c r="BJ1086">
        <v>22</v>
      </c>
      <c r="BL1086">
        <v>527.26</v>
      </c>
      <c r="BM1086">
        <v>43</v>
      </c>
      <c r="BN1086">
        <v>321.00009999999997</v>
      </c>
      <c r="BO1086">
        <v>1007</v>
      </c>
      <c r="BP1086">
        <v>0</v>
      </c>
      <c r="BQ1086">
        <v>32</v>
      </c>
      <c r="BR1086">
        <v>32</v>
      </c>
      <c r="BS1086">
        <v>32.17</v>
      </c>
      <c r="BT1086">
        <v>0</v>
      </c>
      <c r="BV1086">
        <v>0</v>
      </c>
      <c r="BW1086" t="s">
        <v>655</v>
      </c>
      <c r="BX1086">
        <v>0.17</v>
      </c>
      <c r="BY1086">
        <v>5.4688999999999997</v>
      </c>
      <c r="BZ1086">
        <v>0</v>
      </c>
      <c r="CA1086">
        <v>1</v>
      </c>
      <c r="CB1086">
        <v>0.6</v>
      </c>
      <c r="CC1086" s="3">
        <v>7.1269159999999998E-2</v>
      </c>
      <c r="CD1086">
        <v>2.875</v>
      </c>
      <c r="CE1086">
        <v>2.5</v>
      </c>
      <c r="CF1086">
        <v>18</v>
      </c>
      <c r="CG1086">
        <v>6</v>
      </c>
      <c r="CH1086">
        <v>0</v>
      </c>
      <c r="CI1086">
        <v>32.17</v>
      </c>
      <c r="CJ1086">
        <v>421.57549999999998</v>
      </c>
    </row>
    <row r="1087" spans="1:88">
      <c r="A1087">
        <v>1086</v>
      </c>
      <c r="B1087" t="s">
        <v>0</v>
      </c>
      <c r="C1087" t="s">
        <v>1</v>
      </c>
      <c r="D1087" t="s">
        <v>167</v>
      </c>
      <c r="E1087" t="s">
        <v>268</v>
      </c>
      <c r="F1087" t="s">
        <v>403</v>
      </c>
      <c r="G1087" t="s">
        <v>106</v>
      </c>
      <c r="H1087" t="s">
        <v>235</v>
      </c>
      <c r="J1087">
        <v>2</v>
      </c>
      <c r="K1087" t="s">
        <v>146</v>
      </c>
      <c r="L1087" t="s">
        <v>133</v>
      </c>
      <c r="M1087" t="s">
        <v>270</v>
      </c>
      <c r="N1087" t="s">
        <v>153</v>
      </c>
      <c r="O1087">
        <v>123</v>
      </c>
      <c r="Q1087">
        <v>428</v>
      </c>
      <c r="R1087">
        <v>82</v>
      </c>
      <c r="S1087">
        <v>4.25</v>
      </c>
      <c r="T1087">
        <v>3.3849999999999998</v>
      </c>
      <c r="U1087">
        <v>6.22</v>
      </c>
      <c r="V1087">
        <v>1816.96</v>
      </c>
      <c r="W1087">
        <v>510</v>
      </c>
      <c r="X1087">
        <v>1.3332999999999999</v>
      </c>
      <c r="Y1087">
        <v>386</v>
      </c>
      <c r="Z1087">
        <v>4.71</v>
      </c>
      <c r="AJ1087">
        <v>2</v>
      </c>
      <c r="AK1087">
        <v>18</v>
      </c>
      <c r="AM1087">
        <v>0</v>
      </c>
      <c r="AO1087" t="s">
        <v>198</v>
      </c>
      <c r="AT1087">
        <v>48</v>
      </c>
      <c r="AV1087">
        <v>45.5</v>
      </c>
      <c r="AW1087">
        <v>0</v>
      </c>
      <c r="AX1087">
        <v>0</v>
      </c>
      <c r="AY1087">
        <v>52.5</v>
      </c>
      <c r="AZ1087">
        <v>4.375</v>
      </c>
      <c r="BA1087">
        <v>0</v>
      </c>
      <c r="BB1087">
        <v>0</v>
      </c>
      <c r="BC1087">
        <v>56</v>
      </c>
      <c r="BN1087">
        <v>217.5667</v>
      </c>
      <c r="BO1087">
        <v>2192</v>
      </c>
      <c r="BP1087">
        <v>0</v>
      </c>
      <c r="BQ1087">
        <v>42</v>
      </c>
      <c r="BR1087">
        <v>42</v>
      </c>
      <c r="BS1087">
        <v>41.91</v>
      </c>
      <c r="BT1087">
        <v>0</v>
      </c>
      <c r="BV1087">
        <v>0</v>
      </c>
      <c r="BW1087" t="s">
        <v>655</v>
      </c>
      <c r="BX1087">
        <v>0.17</v>
      </c>
      <c r="BY1087">
        <v>7.1246999999999998</v>
      </c>
      <c r="BZ1087">
        <v>0</v>
      </c>
      <c r="CA1087">
        <v>1</v>
      </c>
      <c r="CB1087">
        <v>0.6</v>
      </c>
      <c r="CC1087" s="3">
        <v>7.1269159999999998E-2</v>
      </c>
      <c r="CD1087">
        <v>2.875</v>
      </c>
      <c r="CE1087">
        <v>2.5</v>
      </c>
      <c r="CF1087">
        <v>18</v>
      </c>
      <c r="CG1087">
        <v>6</v>
      </c>
      <c r="CH1087">
        <v>0</v>
      </c>
      <c r="CI1087">
        <v>41.91</v>
      </c>
      <c r="CJ1087">
        <v>374.85469999999998</v>
      </c>
    </row>
    <row r="1088" spans="1:88">
      <c r="A1088">
        <v>1087</v>
      </c>
      <c r="B1088" t="s">
        <v>0</v>
      </c>
      <c r="C1088" t="s">
        <v>1</v>
      </c>
      <c r="D1088" t="s">
        <v>143</v>
      </c>
      <c r="E1088" t="s">
        <v>165</v>
      </c>
      <c r="F1088" t="s">
        <v>144</v>
      </c>
      <c r="G1088" t="s">
        <v>106</v>
      </c>
      <c r="H1088" t="s">
        <v>145</v>
      </c>
      <c r="J1088">
        <v>2</v>
      </c>
      <c r="K1088" t="s">
        <v>146</v>
      </c>
      <c r="L1088" t="s">
        <v>125</v>
      </c>
      <c r="M1088" t="s">
        <v>252</v>
      </c>
      <c r="N1088" t="s">
        <v>293</v>
      </c>
      <c r="O1088">
        <v>148</v>
      </c>
      <c r="Q1088">
        <v>594</v>
      </c>
      <c r="R1088">
        <v>95</v>
      </c>
      <c r="S1088">
        <v>4.25</v>
      </c>
      <c r="T1088">
        <v>4</v>
      </c>
      <c r="U1088">
        <v>6.67</v>
      </c>
      <c r="V1088">
        <v>2524.71</v>
      </c>
      <c r="W1088">
        <v>631</v>
      </c>
      <c r="X1088">
        <v>1.3332999999999999</v>
      </c>
      <c r="Y1088">
        <v>474</v>
      </c>
      <c r="Z1088">
        <v>5.33</v>
      </c>
      <c r="AJ1088">
        <v>2</v>
      </c>
      <c r="AK1088">
        <v>18</v>
      </c>
      <c r="AM1088">
        <v>0</v>
      </c>
      <c r="AO1088" t="s">
        <v>149</v>
      </c>
      <c r="AT1088">
        <v>57</v>
      </c>
      <c r="AV1088">
        <v>53.5</v>
      </c>
      <c r="AW1088">
        <v>0.46875</v>
      </c>
      <c r="AX1088">
        <v>3.75</v>
      </c>
      <c r="AY1088">
        <v>54.875</v>
      </c>
      <c r="AZ1088">
        <v>5</v>
      </c>
      <c r="BA1088">
        <v>369.76</v>
      </c>
      <c r="BB1088">
        <v>5.33</v>
      </c>
      <c r="BC1088">
        <v>59</v>
      </c>
      <c r="BD1088">
        <v>0.3125</v>
      </c>
      <c r="BE1088">
        <v>2.75</v>
      </c>
      <c r="BF1088">
        <v>34.625</v>
      </c>
      <c r="BG1088">
        <v>3.375</v>
      </c>
      <c r="BH1088">
        <v>103.91</v>
      </c>
      <c r="BI1088">
        <v>6.15</v>
      </c>
      <c r="BJ1088">
        <v>18</v>
      </c>
      <c r="BL1088">
        <v>473.67</v>
      </c>
      <c r="BM1088">
        <v>77</v>
      </c>
      <c r="BN1088">
        <v>256.80009999999999</v>
      </c>
      <c r="BO1088">
        <v>1574</v>
      </c>
      <c r="BP1088">
        <v>0</v>
      </c>
      <c r="BQ1088">
        <v>51</v>
      </c>
      <c r="BR1088">
        <v>51</v>
      </c>
      <c r="BS1088">
        <v>50.6</v>
      </c>
      <c r="BT1088">
        <v>0</v>
      </c>
      <c r="BV1088">
        <v>0</v>
      </c>
      <c r="BW1088" t="s">
        <v>655</v>
      </c>
      <c r="BX1088">
        <v>0.17</v>
      </c>
      <c r="BY1088">
        <v>8.6019989999999993</v>
      </c>
      <c r="BZ1088">
        <v>0</v>
      </c>
      <c r="CA1088">
        <v>1</v>
      </c>
      <c r="CB1088">
        <v>0.6</v>
      </c>
      <c r="CC1088" s="3">
        <v>7.1269159999999998E-2</v>
      </c>
      <c r="CD1088">
        <v>2.875</v>
      </c>
      <c r="CE1088">
        <v>2.5</v>
      </c>
      <c r="CF1088">
        <v>18</v>
      </c>
      <c r="CG1088">
        <v>6</v>
      </c>
      <c r="CH1088">
        <v>0</v>
      </c>
      <c r="CI1088">
        <v>50.6</v>
      </c>
      <c r="CJ1088">
        <v>531.91740000000004</v>
      </c>
    </row>
    <row r="1089" spans="1:88">
      <c r="A1089">
        <v>1088</v>
      </c>
      <c r="B1089" t="s">
        <v>13</v>
      </c>
      <c r="C1089" t="s">
        <v>1</v>
      </c>
      <c r="D1089" t="s">
        <v>120</v>
      </c>
      <c r="E1089" t="s">
        <v>148</v>
      </c>
      <c r="F1089" t="s">
        <v>112</v>
      </c>
      <c r="G1089" t="s">
        <v>106</v>
      </c>
      <c r="H1089" t="s">
        <v>590</v>
      </c>
      <c r="J1089">
        <v>2</v>
      </c>
      <c r="K1089" t="s">
        <v>108</v>
      </c>
      <c r="L1089" t="s">
        <v>12</v>
      </c>
      <c r="M1089" t="s">
        <v>529</v>
      </c>
      <c r="N1089" t="s">
        <v>168</v>
      </c>
      <c r="O1089">
        <v>186</v>
      </c>
      <c r="Q1089">
        <v>786</v>
      </c>
      <c r="R1089">
        <v>101</v>
      </c>
      <c r="S1089">
        <v>4.25</v>
      </c>
      <c r="T1089">
        <v>4.875</v>
      </c>
      <c r="U1089">
        <v>7.2</v>
      </c>
      <c r="V1089">
        <v>3341.43</v>
      </c>
      <c r="W1089">
        <v>724</v>
      </c>
      <c r="X1089">
        <v>1.3332999999999999</v>
      </c>
      <c r="Y1089">
        <v>539</v>
      </c>
      <c r="Z1089">
        <v>6.2</v>
      </c>
      <c r="AJ1089">
        <v>2</v>
      </c>
      <c r="AK1089">
        <v>18</v>
      </c>
      <c r="AM1089">
        <v>0</v>
      </c>
      <c r="AO1089" t="s">
        <v>517</v>
      </c>
      <c r="AT1089">
        <v>70</v>
      </c>
      <c r="AV1089">
        <v>57.3</v>
      </c>
      <c r="AW1089" t="s">
        <v>6</v>
      </c>
      <c r="AX1089" t="s">
        <v>6</v>
      </c>
      <c r="AY1089" t="s">
        <v>6</v>
      </c>
      <c r="AZ1089" t="s">
        <v>6</v>
      </c>
      <c r="BA1089" t="s">
        <v>6</v>
      </c>
      <c r="BB1089" t="s">
        <v>6</v>
      </c>
      <c r="BC1089" t="s">
        <v>6</v>
      </c>
      <c r="BD1089" t="s">
        <v>6</v>
      </c>
      <c r="BE1089" t="s">
        <v>6</v>
      </c>
      <c r="BF1089" t="s">
        <v>6</v>
      </c>
      <c r="BG1089" t="s">
        <v>6</v>
      </c>
      <c r="BH1089" t="s">
        <v>6</v>
      </c>
      <c r="BI1089" t="s">
        <v>6</v>
      </c>
      <c r="BJ1089" t="s">
        <v>6</v>
      </c>
      <c r="BN1089">
        <v>274.63339999999999</v>
      </c>
      <c r="BO1089">
        <v>1376</v>
      </c>
      <c r="BP1089">
        <v>0</v>
      </c>
      <c r="BQ1089">
        <v>64</v>
      </c>
      <c r="BR1089">
        <v>64</v>
      </c>
      <c r="BS1089">
        <v>63.82</v>
      </c>
      <c r="BT1089">
        <v>0</v>
      </c>
      <c r="BV1089">
        <v>0</v>
      </c>
      <c r="BW1089" t="s">
        <v>655</v>
      </c>
      <c r="BX1089">
        <v>0.17</v>
      </c>
      <c r="BY1089">
        <v>10.849399999999999</v>
      </c>
      <c r="BZ1089">
        <v>0</v>
      </c>
      <c r="CA1089">
        <v>1</v>
      </c>
      <c r="CB1089">
        <v>0.6</v>
      </c>
      <c r="CC1089" s="3">
        <v>7.1269159999999998E-2</v>
      </c>
      <c r="CD1089">
        <v>2.875</v>
      </c>
      <c r="CE1089">
        <v>2.5</v>
      </c>
      <c r="CF1089">
        <v>18</v>
      </c>
      <c r="CG1089">
        <v>6</v>
      </c>
      <c r="CH1089">
        <v>0</v>
      </c>
      <c r="CI1089">
        <v>63.82</v>
      </c>
      <c r="CJ1089">
        <v>718.07820000000004</v>
      </c>
    </row>
    <row r="1090" spans="1:88">
      <c r="A1090">
        <v>1089</v>
      </c>
      <c r="B1090" t="s">
        <v>0</v>
      </c>
      <c r="C1090" t="s">
        <v>1</v>
      </c>
      <c r="D1090" t="s">
        <v>369</v>
      </c>
      <c r="E1090" t="s">
        <v>162</v>
      </c>
      <c r="F1090" t="s">
        <v>312</v>
      </c>
      <c r="G1090" t="s">
        <v>106</v>
      </c>
      <c r="H1090" t="s">
        <v>229</v>
      </c>
      <c r="J1090">
        <v>2</v>
      </c>
      <c r="K1090" t="s">
        <v>146</v>
      </c>
      <c r="L1090" t="s">
        <v>295</v>
      </c>
      <c r="M1090" t="s">
        <v>166</v>
      </c>
      <c r="N1090" t="s">
        <v>167</v>
      </c>
      <c r="O1090">
        <v>130</v>
      </c>
      <c r="Q1090">
        <v>407</v>
      </c>
      <c r="R1090">
        <v>75</v>
      </c>
      <c r="S1090">
        <v>4.25</v>
      </c>
      <c r="T1090">
        <v>3.5609999999999999</v>
      </c>
      <c r="U1090">
        <v>6.33</v>
      </c>
      <c r="V1090">
        <v>1731.4</v>
      </c>
      <c r="W1090">
        <v>475</v>
      </c>
      <c r="X1090">
        <v>1.3332999999999999</v>
      </c>
      <c r="Y1090">
        <v>354</v>
      </c>
      <c r="Z1090">
        <v>4.8899999999999997</v>
      </c>
      <c r="AJ1090">
        <v>2</v>
      </c>
      <c r="AK1090">
        <v>18</v>
      </c>
      <c r="AM1090">
        <v>0</v>
      </c>
      <c r="AO1090" t="s">
        <v>404</v>
      </c>
      <c r="AT1090">
        <v>50</v>
      </c>
      <c r="AV1090">
        <v>41.1</v>
      </c>
      <c r="AW1090">
        <v>0</v>
      </c>
      <c r="AX1090">
        <v>0</v>
      </c>
      <c r="AY1090">
        <v>57.25</v>
      </c>
      <c r="AZ1090">
        <v>4.625</v>
      </c>
      <c r="BA1090">
        <v>0</v>
      </c>
      <c r="BB1090">
        <v>0</v>
      </c>
      <c r="BC1090">
        <v>61</v>
      </c>
      <c r="BN1090">
        <v>196.16669999999999</v>
      </c>
      <c r="BO1090">
        <v>2697</v>
      </c>
      <c r="BP1090">
        <v>0</v>
      </c>
      <c r="BQ1090">
        <v>44</v>
      </c>
      <c r="BR1090">
        <v>44</v>
      </c>
      <c r="BS1090">
        <v>44.34</v>
      </c>
      <c r="BT1090">
        <v>0</v>
      </c>
      <c r="BV1090">
        <v>0</v>
      </c>
      <c r="BW1090" t="s">
        <v>655</v>
      </c>
      <c r="BX1090">
        <v>0.17</v>
      </c>
      <c r="BY1090">
        <v>7.5377999999999998</v>
      </c>
      <c r="BZ1090">
        <v>0</v>
      </c>
      <c r="CA1090">
        <v>1</v>
      </c>
      <c r="CB1090">
        <v>0.6</v>
      </c>
      <c r="CC1090" s="3">
        <v>7.1269159999999998E-2</v>
      </c>
      <c r="CD1090">
        <v>2.875</v>
      </c>
      <c r="CE1090">
        <v>2.5</v>
      </c>
      <c r="CF1090">
        <v>18</v>
      </c>
      <c r="CG1090">
        <v>6</v>
      </c>
      <c r="CH1090">
        <v>0</v>
      </c>
      <c r="CI1090">
        <v>44.34</v>
      </c>
      <c r="CJ1090">
        <v>358.66840000000002</v>
      </c>
    </row>
    <row r="1091" spans="1:88">
      <c r="A1091">
        <v>1090</v>
      </c>
      <c r="B1091" t="s">
        <v>13</v>
      </c>
      <c r="C1091" t="s">
        <v>1</v>
      </c>
      <c r="D1091" t="s">
        <v>2</v>
      </c>
      <c r="E1091" t="s">
        <v>317</v>
      </c>
      <c r="F1091" t="s">
        <v>154</v>
      </c>
      <c r="G1091" t="s">
        <v>106</v>
      </c>
      <c r="H1091" t="s">
        <v>217</v>
      </c>
      <c r="J1091">
        <v>2</v>
      </c>
      <c r="K1091" t="s">
        <v>146</v>
      </c>
      <c r="L1091" t="s">
        <v>169</v>
      </c>
      <c r="M1091" t="s">
        <v>400</v>
      </c>
      <c r="N1091" t="s">
        <v>228</v>
      </c>
      <c r="O1091">
        <v>99</v>
      </c>
      <c r="Q1091">
        <v>280</v>
      </c>
      <c r="R1091">
        <v>67</v>
      </c>
      <c r="S1091">
        <v>4.25</v>
      </c>
      <c r="T1091">
        <v>2.758</v>
      </c>
      <c r="U1091">
        <v>5.88</v>
      </c>
      <c r="V1091">
        <v>1189.0999999999999</v>
      </c>
      <c r="W1091">
        <v>394</v>
      </c>
      <c r="X1091">
        <v>1.3332999999999999</v>
      </c>
      <c r="Y1091">
        <v>291</v>
      </c>
      <c r="Z1091">
        <v>4.09</v>
      </c>
      <c r="AJ1091">
        <v>2</v>
      </c>
      <c r="AK1091">
        <v>18</v>
      </c>
      <c r="AM1091">
        <v>0</v>
      </c>
      <c r="AO1091" t="s">
        <v>218</v>
      </c>
      <c r="AT1091">
        <v>40</v>
      </c>
      <c r="AV1091">
        <v>36.1</v>
      </c>
      <c r="AW1091">
        <v>0</v>
      </c>
      <c r="AX1091">
        <v>0</v>
      </c>
      <c r="AY1091">
        <v>33.5</v>
      </c>
      <c r="AZ1091">
        <v>3.375</v>
      </c>
      <c r="BA1091">
        <v>0</v>
      </c>
      <c r="BB1091">
        <v>0</v>
      </c>
      <c r="BC1091">
        <v>32</v>
      </c>
      <c r="BN1091">
        <v>171.2</v>
      </c>
      <c r="BO1091">
        <v>3540</v>
      </c>
      <c r="BP1091">
        <v>0</v>
      </c>
      <c r="BQ1091">
        <v>34</v>
      </c>
      <c r="BR1091">
        <v>34</v>
      </c>
      <c r="BS1091">
        <v>33.56</v>
      </c>
      <c r="BT1091">
        <v>0</v>
      </c>
      <c r="BV1091">
        <v>0</v>
      </c>
      <c r="BW1091" t="s">
        <v>655</v>
      </c>
      <c r="BX1091">
        <v>0.17</v>
      </c>
      <c r="BY1091">
        <v>5.7051999999999996</v>
      </c>
      <c r="BZ1091">
        <v>0</v>
      </c>
      <c r="CA1091">
        <v>1</v>
      </c>
      <c r="CB1091">
        <v>0.6</v>
      </c>
      <c r="CC1091" s="3">
        <v>7.1269159999999998E-2</v>
      </c>
      <c r="CD1091">
        <v>2.875</v>
      </c>
      <c r="CE1091">
        <v>2.5</v>
      </c>
      <c r="CF1091">
        <v>18</v>
      </c>
      <c r="CG1091">
        <v>6</v>
      </c>
      <c r="CH1091">
        <v>0</v>
      </c>
      <c r="CI1091">
        <v>33.56</v>
      </c>
      <c r="CJ1091">
        <v>237.98339999999999</v>
      </c>
    </row>
    <row r="1092" spans="1:88">
      <c r="A1092">
        <v>1091</v>
      </c>
      <c r="B1092" t="s">
        <v>13</v>
      </c>
      <c r="C1092" t="s">
        <v>1</v>
      </c>
      <c r="D1092" t="s">
        <v>143</v>
      </c>
      <c r="E1092" t="s">
        <v>133</v>
      </c>
      <c r="F1092" t="s">
        <v>144</v>
      </c>
      <c r="G1092" t="s">
        <v>106</v>
      </c>
      <c r="H1092" t="s">
        <v>145</v>
      </c>
      <c r="J1092">
        <v>2</v>
      </c>
      <c r="K1092" t="s">
        <v>146</v>
      </c>
      <c r="L1092" t="s">
        <v>353</v>
      </c>
      <c r="M1092" t="s">
        <v>194</v>
      </c>
      <c r="N1092" t="s">
        <v>195</v>
      </c>
      <c r="O1092">
        <v>143</v>
      </c>
      <c r="Q1092">
        <v>575</v>
      </c>
      <c r="R1092">
        <v>95</v>
      </c>
      <c r="S1092">
        <v>4.25</v>
      </c>
      <c r="T1092">
        <v>3.88</v>
      </c>
      <c r="U1092">
        <v>6.6</v>
      </c>
      <c r="V1092">
        <v>2445.7399999999998</v>
      </c>
      <c r="W1092">
        <v>624</v>
      </c>
      <c r="X1092">
        <v>1.3332999999999999</v>
      </c>
      <c r="Y1092">
        <v>469</v>
      </c>
      <c r="Z1092">
        <v>5.21</v>
      </c>
      <c r="AJ1092">
        <v>2</v>
      </c>
      <c r="AK1092">
        <v>18</v>
      </c>
      <c r="AM1092">
        <v>0</v>
      </c>
      <c r="AO1092" t="s">
        <v>149</v>
      </c>
      <c r="AT1092">
        <v>55</v>
      </c>
      <c r="AV1092">
        <v>53.5</v>
      </c>
      <c r="AW1092">
        <v>0.46875</v>
      </c>
      <c r="AX1092">
        <v>3.75</v>
      </c>
      <c r="AY1092">
        <v>53.625</v>
      </c>
      <c r="AZ1092">
        <v>4.875</v>
      </c>
      <c r="BA1092">
        <v>378.27</v>
      </c>
      <c r="BB1092">
        <v>5.21</v>
      </c>
      <c r="BC1092">
        <v>58</v>
      </c>
      <c r="BD1092">
        <v>0.3125</v>
      </c>
      <c r="BE1092">
        <v>2.75</v>
      </c>
      <c r="BF1092">
        <v>39.5</v>
      </c>
      <c r="BG1092">
        <v>3.25</v>
      </c>
      <c r="BH1092">
        <v>91.16001</v>
      </c>
      <c r="BI1092">
        <v>7.01</v>
      </c>
      <c r="BJ1092">
        <v>21</v>
      </c>
      <c r="BL1092">
        <v>469.43</v>
      </c>
      <c r="BM1092">
        <v>78</v>
      </c>
      <c r="BN1092">
        <v>256.80009999999999</v>
      </c>
      <c r="BO1092">
        <v>1574</v>
      </c>
      <c r="BP1092">
        <v>0</v>
      </c>
      <c r="BQ1092">
        <v>49</v>
      </c>
      <c r="BR1092">
        <v>49</v>
      </c>
      <c r="BS1092">
        <v>48.86</v>
      </c>
      <c r="BT1092">
        <v>0</v>
      </c>
      <c r="BV1092">
        <v>0</v>
      </c>
      <c r="BW1092" t="s">
        <v>655</v>
      </c>
      <c r="BX1092">
        <v>0.17</v>
      </c>
      <c r="BY1092">
        <v>8.3062000000000005</v>
      </c>
      <c r="BZ1092">
        <v>0</v>
      </c>
      <c r="CA1092">
        <v>1</v>
      </c>
      <c r="CB1092">
        <v>0.6</v>
      </c>
      <c r="CC1092" s="3">
        <v>7.1269159999999998E-2</v>
      </c>
      <c r="CD1092">
        <v>2.875</v>
      </c>
      <c r="CE1092">
        <v>2.5</v>
      </c>
      <c r="CF1092">
        <v>18</v>
      </c>
      <c r="CG1092">
        <v>6</v>
      </c>
      <c r="CH1092">
        <v>0</v>
      </c>
      <c r="CI1092">
        <v>48.86</v>
      </c>
      <c r="CJ1092">
        <v>513.62609999999995</v>
      </c>
    </row>
    <row r="1093" spans="1:88">
      <c r="A1093">
        <v>1092</v>
      </c>
      <c r="B1093" t="s">
        <v>0</v>
      </c>
      <c r="C1093" t="s">
        <v>1</v>
      </c>
      <c r="D1093" t="s">
        <v>512</v>
      </c>
      <c r="E1093" t="s">
        <v>178</v>
      </c>
      <c r="F1093" t="s">
        <v>513</v>
      </c>
      <c r="G1093" t="s">
        <v>106</v>
      </c>
      <c r="H1093" t="s">
        <v>135</v>
      </c>
      <c r="J1093">
        <v>2</v>
      </c>
      <c r="K1093" t="s">
        <v>146</v>
      </c>
      <c r="L1093" t="s">
        <v>127</v>
      </c>
      <c r="M1093" t="s">
        <v>179</v>
      </c>
      <c r="N1093" t="s">
        <v>180</v>
      </c>
      <c r="O1093">
        <v>95</v>
      </c>
      <c r="Q1093">
        <v>177</v>
      </c>
      <c r="R1093">
        <v>42</v>
      </c>
      <c r="S1093">
        <v>4.25</v>
      </c>
      <c r="T1093">
        <v>2.649</v>
      </c>
      <c r="U1093">
        <v>5.81</v>
      </c>
      <c r="V1093">
        <v>751.18</v>
      </c>
      <c r="W1093">
        <v>244</v>
      </c>
      <c r="X1093">
        <v>1.3332999999999999</v>
      </c>
      <c r="Y1093">
        <v>189</v>
      </c>
      <c r="Z1093">
        <v>3.98</v>
      </c>
      <c r="AJ1093">
        <v>2</v>
      </c>
      <c r="AK1093">
        <v>18</v>
      </c>
      <c r="AM1093">
        <v>0</v>
      </c>
      <c r="AO1093" t="s">
        <v>361</v>
      </c>
      <c r="AT1093">
        <v>38</v>
      </c>
      <c r="AV1093">
        <v>23.4</v>
      </c>
      <c r="AW1093">
        <v>0</v>
      </c>
      <c r="AX1093">
        <v>0</v>
      </c>
      <c r="AY1093">
        <v>34.25</v>
      </c>
      <c r="AZ1093">
        <v>3</v>
      </c>
      <c r="BA1093">
        <v>0</v>
      </c>
      <c r="BB1093">
        <v>0</v>
      </c>
      <c r="BC1093">
        <v>30</v>
      </c>
      <c r="BN1093">
        <v>108.7834</v>
      </c>
      <c r="BO1093">
        <v>8769</v>
      </c>
      <c r="BP1093">
        <v>0</v>
      </c>
      <c r="BQ1093">
        <v>32</v>
      </c>
      <c r="BR1093">
        <v>32</v>
      </c>
      <c r="BS1093">
        <v>32.17</v>
      </c>
      <c r="BT1093">
        <v>0</v>
      </c>
      <c r="BV1093">
        <v>0</v>
      </c>
      <c r="BW1093" t="s">
        <v>655</v>
      </c>
      <c r="BX1093">
        <v>0.17</v>
      </c>
      <c r="BY1093">
        <v>5.4688999999999997</v>
      </c>
      <c r="BZ1093">
        <v>0</v>
      </c>
      <c r="CA1093">
        <v>1</v>
      </c>
      <c r="CB1093">
        <v>0.6</v>
      </c>
      <c r="CC1093" s="3">
        <v>7.1269159999999998E-2</v>
      </c>
      <c r="CD1093">
        <v>2.875</v>
      </c>
      <c r="CE1093">
        <v>2.5</v>
      </c>
      <c r="CF1093">
        <v>18</v>
      </c>
      <c r="CG1093">
        <v>6</v>
      </c>
      <c r="CH1093">
        <v>0</v>
      </c>
      <c r="CI1093">
        <v>32.17</v>
      </c>
      <c r="CJ1093">
        <v>147.881</v>
      </c>
    </row>
    <row r="1094" spans="1:88">
      <c r="A1094">
        <v>1093</v>
      </c>
      <c r="B1094" t="s">
        <v>0</v>
      </c>
      <c r="C1094" t="s">
        <v>1</v>
      </c>
      <c r="D1094" t="s">
        <v>719</v>
      </c>
      <c r="E1094" t="s">
        <v>172</v>
      </c>
      <c r="F1094" t="s">
        <v>720</v>
      </c>
      <c r="G1094" t="s">
        <v>15</v>
      </c>
      <c r="H1094" t="s">
        <v>719</v>
      </c>
      <c r="J1094">
        <v>2</v>
      </c>
      <c r="K1094" t="s">
        <v>9</v>
      </c>
      <c r="L1094" t="s">
        <v>233</v>
      </c>
      <c r="M1094" t="s">
        <v>490</v>
      </c>
      <c r="N1094" t="s">
        <v>128</v>
      </c>
      <c r="O1094">
        <v>137</v>
      </c>
      <c r="Q1094">
        <v>937</v>
      </c>
      <c r="R1094">
        <v>158</v>
      </c>
      <c r="S1094">
        <v>4.25</v>
      </c>
      <c r="T1094">
        <v>3.734</v>
      </c>
      <c r="U1094">
        <v>6.48</v>
      </c>
      <c r="V1094">
        <v>3981.57</v>
      </c>
      <c r="W1094">
        <v>1022</v>
      </c>
      <c r="X1094">
        <v>1.3332999999999999</v>
      </c>
      <c r="Y1094">
        <v>787</v>
      </c>
      <c r="Z1094">
        <v>5.0599999999999996</v>
      </c>
      <c r="AJ1094">
        <v>2</v>
      </c>
      <c r="AK1094">
        <v>18</v>
      </c>
      <c r="AM1094">
        <v>0</v>
      </c>
      <c r="AO1094" t="s">
        <v>721</v>
      </c>
      <c r="AT1094">
        <v>53</v>
      </c>
      <c r="AV1094">
        <v>90.7</v>
      </c>
      <c r="AW1094" t="s">
        <v>6</v>
      </c>
      <c r="AX1094" t="s">
        <v>6</v>
      </c>
      <c r="AY1094" t="s">
        <v>6</v>
      </c>
      <c r="AZ1094" t="s">
        <v>6</v>
      </c>
      <c r="BA1094" t="s">
        <v>6</v>
      </c>
      <c r="BB1094" t="s">
        <v>6</v>
      </c>
      <c r="BC1094" t="s">
        <v>6</v>
      </c>
      <c r="BD1094" t="s">
        <v>6</v>
      </c>
      <c r="BE1094" t="s">
        <v>6</v>
      </c>
      <c r="BF1094" t="s">
        <v>6</v>
      </c>
      <c r="BG1094" t="s">
        <v>6</v>
      </c>
      <c r="BH1094" t="s">
        <v>6</v>
      </c>
      <c r="BI1094" t="s">
        <v>6</v>
      </c>
      <c r="BJ1094" t="s">
        <v>6</v>
      </c>
      <c r="BN1094">
        <v>776.64049999999997</v>
      </c>
      <c r="BO1094">
        <v>1814</v>
      </c>
      <c r="BP1094">
        <v>0</v>
      </c>
      <c r="BQ1094">
        <v>47</v>
      </c>
      <c r="BR1094">
        <v>47</v>
      </c>
      <c r="BS1094">
        <v>46.78</v>
      </c>
      <c r="BT1094">
        <v>0</v>
      </c>
      <c r="BV1094">
        <v>6</v>
      </c>
      <c r="BW1094" t="s">
        <v>655</v>
      </c>
      <c r="BX1094">
        <v>0.27933340000000001</v>
      </c>
      <c r="BY1094">
        <v>13.067209999999999</v>
      </c>
      <c r="BZ1094">
        <v>0</v>
      </c>
      <c r="CA1094">
        <v>1</v>
      </c>
      <c r="CB1094">
        <v>0.6</v>
      </c>
      <c r="CC1094" s="3">
        <v>7.1269159999999998E-2</v>
      </c>
      <c r="CD1094">
        <v>2.875</v>
      </c>
      <c r="CE1094">
        <v>2.5</v>
      </c>
      <c r="CF1094">
        <v>18</v>
      </c>
      <c r="CG1094">
        <v>6</v>
      </c>
      <c r="CH1094">
        <v>0</v>
      </c>
      <c r="CI1094">
        <v>46.78</v>
      </c>
      <c r="CJ1094">
        <v>833.07600000000002</v>
      </c>
    </row>
    <row r="1095" spans="1:88">
      <c r="A1095">
        <v>1094</v>
      </c>
      <c r="B1095" t="s">
        <v>13</v>
      </c>
      <c r="C1095" t="s">
        <v>1</v>
      </c>
      <c r="D1095" t="s">
        <v>95</v>
      </c>
      <c r="E1095" t="s">
        <v>199</v>
      </c>
      <c r="F1095" t="s">
        <v>97</v>
      </c>
      <c r="G1095" t="s">
        <v>15</v>
      </c>
      <c r="H1095" t="s">
        <v>98</v>
      </c>
      <c r="J1095">
        <v>2</v>
      </c>
      <c r="K1095" t="s">
        <v>108</v>
      </c>
      <c r="L1095" t="s">
        <v>264</v>
      </c>
      <c r="M1095" t="s">
        <v>265</v>
      </c>
      <c r="N1095" t="s">
        <v>161</v>
      </c>
      <c r="O1095">
        <v>193</v>
      </c>
      <c r="Q1095">
        <v>1140</v>
      </c>
      <c r="R1095">
        <v>140</v>
      </c>
      <c r="S1095">
        <v>4.25</v>
      </c>
      <c r="T1095">
        <v>5.0289999999999999</v>
      </c>
      <c r="U1095">
        <v>7.31</v>
      </c>
      <c r="V1095">
        <v>4843.08</v>
      </c>
      <c r="W1095">
        <v>1023</v>
      </c>
      <c r="X1095">
        <v>1.3332999999999999</v>
      </c>
      <c r="Y1095">
        <v>761</v>
      </c>
      <c r="Z1095">
        <v>6.36</v>
      </c>
      <c r="AJ1095">
        <v>2</v>
      </c>
      <c r="AK1095">
        <v>18</v>
      </c>
      <c r="AM1095">
        <v>0</v>
      </c>
      <c r="AO1095" t="s">
        <v>102</v>
      </c>
      <c r="AT1095">
        <v>72</v>
      </c>
      <c r="AV1095">
        <v>80.5</v>
      </c>
      <c r="AW1095" t="s">
        <v>6</v>
      </c>
      <c r="AX1095" t="s">
        <v>6</v>
      </c>
      <c r="AY1095" t="s">
        <v>6</v>
      </c>
      <c r="AZ1095" t="s">
        <v>6</v>
      </c>
      <c r="BA1095" t="s">
        <v>6</v>
      </c>
      <c r="BB1095" t="s">
        <v>6</v>
      </c>
      <c r="BC1095" t="s">
        <v>6</v>
      </c>
      <c r="BD1095" t="s">
        <v>6</v>
      </c>
      <c r="BE1095" t="s">
        <v>6</v>
      </c>
      <c r="BF1095" t="s">
        <v>6</v>
      </c>
      <c r="BG1095" t="s">
        <v>6</v>
      </c>
      <c r="BH1095" t="s">
        <v>6</v>
      </c>
      <c r="BI1095" t="s">
        <v>6</v>
      </c>
      <c r="BJ1095" t="s">
        <v>6</v>
      </c>
      <c r="BN1095">
        <v>688.24239999999998</v>
      </c>
      <c r="BO1095">
        <v>2309</v>
      </c>
      <c r="BP1095">
        <v>0</v>
      </c>
      <c r="BQ1095">
        <v>66</v>
      </c>
      <c r="BR1095">
        <v>66</v>
      </c>
      <c r="BS1095">
        <v>66.260000000000005</v>
      </c>
      <c r="BT1095">
        <v>0</v>
      </c>
      <c r="BV1095">
        <v>0</v>
      </c>
      <c r="BW1095" t="s">
        <v>655</v>
      </c>
      <c r="BX1095">
        <v>0.17</v>
      </c>
      <c r="BY1095">
        <v>11.264200000000001</v>
      </c>
      <c r="BZ1095">
        <v>0</v>
      </c>
      <c r="CA1095">
        <v>1</v>
      </c>
      <c r="CB1095">
        <v>0.6</v>
      </c>
      <c r="CC1095" s="3">
        <v>7.1269159999999998E-2</v>
      </c>
      <c r="CD1095">
        <v>2.875</v>
      </c>
      <c r="CE1095">
        <v>2.5</v>
      </c>
      <c r="CF1095">
        <v>18</v>
      </c>
      <c r="CG1095">
        <v>6</v>
      </c>
      <c r="CH1095">
        <v>0</v>
      </c>
      <c r="CI1095">
        <v>66.260000000000005</v>
      </c>
      <c r="CJ1095">
        <v>1047.759</v>
      </c>
    </row>
    <row r="1096" spans="1:88">
      <c r="A1096">
        <v>1095</v>
      </c>
      <c r="B1096" t="s">
        <v>0</v>
      </c>
      <c r="C1096" t="s">
        <v>1</v>
      </c>
      <c r="D1096" t="s">
        <v>113</v>
      </c>
      <c r="E1096" t="s">
        <v>113</v>
      </c>
      <c r="F1096" t="s">
        <v>262</v>
      </c>
      <c r="G1096" t="s">
        <v>214</v>
      </c>
      <c r="H1096" t="s">
        <v>263</v>
      </c>
      <c r="J1096">
        <v>2</v>
      </c>
      <c r="K1096" t="s">
        <v>108</v>
      </c>
      <c r="L1096" t="s">
        <v>116</v>
      </c>
      <c r="M1096" t="s">
        <v>117</v>
      </c>
      <c r="N1096" t="s">
        <v>14</v>
      </c>
      <c r="O1096">
        <v>179</v>
      </c>
      <c r="Q1096">
        <v>825</v>
      </c>
      <c r="R1096">
        <v>109</v>
      </c>
      <c r="S1096">
        <v>4.25</v>
      </c>
      <c r="T1096">
        <v>4.7190000000000003</v>
      </c>
      <c r="U1096">
        <v>7.05</v>
      </c>
      <c r="V1096">
        <v>3505.4</v>
      </c>
      <c r="W1096">
        <v>766</v>
      </c>
      <c r="X1096">
        <v>1.3332999999999999</v>
      </c>
      <c r="Y1096">
        <v>579</v>
      </c>
      <c r="Z1096">
        <v>6.05</v>
      </c>
      <c r="AJ1096">
        <v>2</v>
      </c>
      <c r="AK1096">
        <v>18</v>
      </c>
      <c r="AM1096">
        <v>0</v>
      </c>
      <c r="AO1096" t="s">
        <v>266</v>
      </c>
      <c r="AT1096">
        <v>68</v>
      </c>
      <c r="AV1096">
        <v>62.3</v>
      </c>
      <c r="AW1096">
        <v>0.46875</v>
      </c>
      <c r="AX1096">
        <v>3.75</v>
      </c>
      <c r="AY1096">
        <v>63.625</v>
      </c>
      <c r="AZ1096">
        <v>5.625</v>
      </c>
      <c r="BA1096">
        <v>318.66000000000003</v>
      </c>
      <c r="BB1096">
        <v>6.18</v>
      </c>
      <c r="BC1096">
        <v>68</v>
      </c>
      <c r="BD1096">
        <v>0.4375</v>
      </c>
      <c r="BE1096">
        <v>3.75</v>
      </c>
      <c r="BF1096">
        <v>54.625</v>
      </c>
      <c r="BG1096">
        <v>5.25</v>
      </c>
      <c r="BH1096">
        <v>260.74</v>
      </c>
      <c r="BI1096">
        <v>6.31</v>
      </c>
      <c r="BJ1096">
        <v>55</v>
      </c>
      <c r="BL1096">
        <v>579.4</v>
      </c>
      <c r="BM1096">
        <v>123</v>
      </c>
      <c r="BN1096">
        <v>302.12</v>
      </c>
      <c r="BO1096">
        <v>1426</v>
      </c>
      <c r="BP1096">
        <v>0</v>
      </c>
      <c r="BQ1096">
        <v>61</v>
      </c>
      <c r="BR1096">
        <v>61</v>
      </c>
      <c r="BS1096">
        <v>61.39</v>
      </c>
      <c r="BT1096">
        <v>0</v>
      </c>
      <c r="BV1096">
        <v>0</v>
      </c>
      <c r="BW1096" t="s">
        <v>655</v>
      </c>
      <c r="BX1096">
        <v>0.17</v>
      </c>
      <c r="BY1096">
        <v>10.436299999999999</v>
      </c>
      <c r="BZ1096">
        <v>0</v>
      </c>
      <c r="CA1096">
        <v>1</v>
      </c>
      <c r="CB1096">
        <v>0.6</v>
      </c>
      <c r="CC1096" s="3">
        <v>7.1269159999999998E-2</v>
      </c>
      <c r="CD1096">
        <v>2.875</v>
      </c>
      <c r="CE1096">
        <v>2.5</v>
      </c>
      <c r="CF1096">
        <v>18</v>
      </c>
      <c r="CG1096">
        <v>6</v>
      </c>
      <c r="CH1096">
        <v>0</v>
      </c>
      <c r="CI1096">
        <v>61.39</v>
      </c>
      <c r="CJ1096">
        <v>751.98979999999995</v>
      </c>
    </row>
    <row r="1097" spans="1:88">
      <c r="A1097">
        <v>1096</v>
      </c>
      <c r="B1097" t="s">
        <v>0</v>
      </c>
      <c r="C1097" t="s">
        <v>1</v>
      </c>
      <c r="D1097" t="s">
        <v>454</v>
      </c>
      <c r="E1097" t="s">
        <v>19</v>
      </c>
      <c r="F1097" t="s">
        <v>417</v>
      </c>
      <c r="G1097" t="s">
        <v>15</v>
      </c>
      <c r="H1097" t="s">
        <v>497</v>
      </c>
      <c r="J1097">
        <v>2</v>
      </c>
      <c r="K1097" t="s">
        <v>108</v>
      </c>
      <c r="L1097" t="s">
        <v>302</v>
      </c>
      <c r="M1097" t="s">
        <v>433</v>
      </c>
      <c r="N1097" t="s">
        <v>434</v>
      </c>
      <c r="O1097">
        <v>185</v>
      </c>
      <c r="Q1097">
        <v>943</v>
      </c>
      <c r="R1097">
        <v>120</v>
      </c>
      <c r="S1097">
        <v>4.25</v>
      </c>
      <c r="T1097">
        <v>4.8529999999999998</v>
      </c>
      <c r="U1097">
        <v>7.16</v>
      </c>
      <c r="V1097">
        <v>4009.79</v>
      </c>
      <c r="W1097">
        <v>862</v>
      </c>
      <c r="X1097">
        <v>1.3332999999999999</v>
      </c>
      <c r="Y1097">
        <v>649</v>
      </c>
      <c r="Z1097">
        <v>6.18</v>
      </c>
      <c r="AJ1097">
        <v>2</v>
      </c>
      <c r="AK1097">
        <v>18</v>
      </c>
      <c r="AM1097">
        <v>0</v>
      </c>
      <c r="AO1097" t="s">
        <v>163</v>
      </c>
      <c r="AT1097">
        <v>70</v>
      </c>
      <c r="AV1097">
        <v>69.2</v>
      </c>
      <c r="AW1097" t="s">
        <v>6</v>
      </c>
      <c r="AX1097" t="s">
        <v>6</v>
      </c>
      <c r="AY1097" t="s">
        <v>6</v>
      </c>
      <c r="AZ1097" t="s">
        <v>6</v>
      </c>
      <c r="BA1097" t="s">
        <v>6</v>
      </c>
      <c r="BB1097" t="s">
        <v>6</v>
      </c>
      <c r="BC1097" t="s">
        <v>6</v>
      </c>
      <c r="BD1097" t="s">
        <v>6</v>
      </c>
      <c r="BE1097" t="s">
        <v>6</v>
      </c>
      <c r="BF1097" t="s">
        <v>6</v>
      </c>
      <c r="BG1097" t="s">
        <v>6</v>
      </c>
      <c r="BH1097" t="s">
        <v>6</v>
      </c>
      <c r="BI1097" t="s">
        <v>6</v>
      </c>
      <c r="BJ1097" t="s">
        <v>6</v>
      </c>
      <c r="BN1097">
        <v>590.37310000000002</v>
      </c>
      <c r="BO1097">
        <v>3138</v>
      </c>
      <c r="BP1097">
        <v>0</v>
      </c>
      <c r="BQ1097">
        <v>63</v>
      </c>
      <c r="BR1097">
        <v>63</v>
      </c>
      <c r="BS1097">
        <v>63.47</v>
      </c>
      <c r="BT1097">
        <v>0</v>
      </c>
      <c r="BV1097">
        <v>0</v>
      </c>
      <c r="BW1097" t="s">
        <v>655</v>
      </c>
      <c r="BX1097">
        <v>0.17</v>
      </c>
      <c r="BY1097">
        <v>10.789899999999999</v>
      </c>
      <c r="BZ1097">
        <v>0</v>
      </c>
      <c r="CA1097">
        <v>1</v>
      </c>
      <c r="CB1097">
        <v>0.6</v>
      </c>
      <c r="CC1097" s="3">
        <v>7.1269159999999998E-2</v>
      </c>
      <c r="CD1097">
        <v>2.875</v>
      </c>
      <c r="CE1097">
        <v>2.5</v>
      </c>
      <c r="CF1097">
        <v>18</v>
      </c>
      <c r="CG1097">
        <v>6</v>
      </c>
      <c r="CH1097">
        <v>0</v>
      </c>
      <c r="CI1097">
        <v>63.47</v>
      </c>
      <c r="CJ1097">
        <v>863.41409999999996</v>
      </c>
    </row>
    <row r="1098" spans="1:88">
      <c r="A1098">
        <v>1097</v>
      </c>
      <c r="B1098" t="s">
        <v>0</v>
      </c>
      <c r="C1098" t="s">
        <v>1</v>
      </c>
      <c r="D1098" t="s">
        <v>280</v>
      </c>
      <c r="E1098" t="s">
        <v>278</v>
      </c>
      <c r="F1098" t="s">
        <v>102</v>
      </c>
      <c r="G1098" t="s">
        <v>15</v>
      </c>
      <c r="H1098" t="s">
        <v>423</v>
      </c>
      <c r="J1098">
        <v>2</v>
      </c>
      <c r="K1098" t="s">
        <v>108</v>
      </c>
      <c r="L1098" t="s">
        <v>280</v>
      </c>
      <c r="M1098" t="s">
        <v>281</v>
      </c>
      <c r="N1098" t="s">
        <v>282</v>
      </c>
      <c r="O1098">
        <v>207</v>
      </c>
      <c r="Q1098">
        <v>1207</v>
      </c>
      <c r="R1098">
        <v>151</v>
      </c>
      <c r="S1098">
        <v>4.25</v>
      </c>
      <c r="T1098">
        <v>5.3319999999999999</v>
      </c>
      <c r="U1098">
        <v>7.42</v>
      </c>
      <c r="V1098">
        <v>5127.75</v>
      </c>
      <c r="W1098">
        <v>1123</v>
      </c>
      <c r="X1098">
        <v>1.5</v>
      </c>
      <c r="Y1098">
        <v>751</v>
      </c>
      <c r="Z1098">
        <v>6.83</v>
      </c>
      <c r="AJ1098">
        <v>2</v>
      </c>
      <c r="AK1098">
        <v>18</v>
      </c>
      <c r="AM1098">
        <v>0</v>
      </c>
      <c r="AO1098" t="s">
        <v>424</v>
      </c>
      <c r="AT1098">
        <v>77</v>
      </c>
      <c r="AV1098">
        <v>79.8</v>
      </c>
      <c r="AW1098" t="s">
        <v>6</v>
      </c>
      <c r="AX1098" t="s">
        <v>6</v>
      </c>
      <c r="AY1098" t="s">
        <v>6</v>
      </c>
      <c r="AZ1098" t="s">
        <v>6</v>
      </c>
      <c r="BA1098" t="s">
        <v>6</v>
      </c>
      <c r="BB1098" t="s">
        <v>6</v>
      </c>
      <c r="BC1098" t="s">
        <v>6</v>
      </c>
      <c r="BD1098" t="s">
        <v>6</v>
      </c>
      <c r="BE1098" t="s">
        <v>6</v>
      </c>
      <c r="BF1098" t="s">
        <v>6</v>
      </c>
      <c r="BG1098" t="s">
        <v>6</v>
      </c>
      <c r="BH1098" t="s">
        <v>6</v>
      </c>
      <c r="BI1098" t="s">
        <v>6</v>
      </c>
      <c r="BJ1098" t="s">
        <v>6</v>
      </c>
      <c r="BN1098">
        <v>681.92830000000004</v>
      </c>
      <c r="BO1098">
        <v>2352</v>
      </c>
      <c r="BP1098">
        <v>0</v>
      </c>
      <c r="BQ1098">
        <v>71</v>
      </c>
      <c r="BR1098">
        <v>71</v>
      </c>
      <c r="BS1098">
        <v>71.13</v>
      </c>
      <c r="BT1098">
        <v>0</v>
      </c>
      <c r="BV1098">
        <v>0</v>
      </c>
      <c r="BW1098" t="s">
        <v>655</v>
      </c>
      <c r="BX1098">
        <v>0.17</v>
      </c>
      <c r="BY1098">
        <v>12.0921</v>
      </c>
      <c r="BZ1098">
        <v>0</v>
      </c>
      <c r="CA1098">
        <v>1</v>
      </c>
      <c r="CB1098">
        <v>0.6</v>
      </c>
      <c r="CC1098" s="3">
        <v>7.1269159999999998E-2</v>
      </c>
      <c r="CD1098">
        <v>2.875</v>
      </c>
      <c r="CE1098">
        <v>2.5</v>
      </c>
      <c r="CF1098">
        <v>18</v>
      </c>
      <c r="CG1098">
        <v>6</v>
      </c>
      <c r="CH1098">
        <v>0</v>
      </c>
      <c r="CI1098">
        <v>71.13</v>
      </c>
      <c r="CJ1098">
        <v>1114.6289999999999</v>
      </c>
    </row>
    <row r="1099" spans="1:88">
      <c r="A1099">
        <v>1098</v>
      </c>
      <c r="B1099" t="s">
        <v>0</v>
      </c>
      <c r="C1099" t="s">
        <v>1</v>
      </c>
      <c r="D1099" t="s">
        <v>267</v>
      </c>
      <c r="E1099" t="s">
        <v>120</v>
      </c>
      <c r="F1099" t="s">
        <v>269</v>
      </c>
      <c r="G1099" t="s">
        <v>106</v>
      </c>
      <c r="H1099" t="s">
        <v>131</v>
      </c>
      <c r="J1099">
        <v>2</v>
      </c>
      <c r="K1099" t="s">
        <v>146</v>
      </c>
      <c r="L1099" t="s">
        <v>19</v>
      </c>
      <c r="M1099" t="s">
        <v>124</v>
      </c>
      <c r="N1099" t="s">
        <v>125</v>
      </c>
      <c r="O1099">
        <v>165</v>
      </c>
      <c r="Q1099">
        <v>675</v>
      </c>
      <c r="R1099">
        <v>97</v>
      </c>
      <c r="S1099">
        <v>4.25</v>
      </c>
      <c r="T1099">
        <v>4.4000000000000004</v>
      </c>
      <c r="U1099">
        <v>6.82</v>
      </c>
      <c r="V1099">
        <v>2868.15</v>
      </c>
      <c r="W1099">
        <v>661</v>
      </c>
      <c r="X1099">
        <v>1.3332999999999999</v>
      </c>
      <c r="Y1099">
        <v>501</v>
      </c>
      <c r="Z1099">
        <v>5.73</v>
      </c>
      <c r="AJ1099">
        <v>2</v>
      </c>
      <c r="AK1099">
        <v>18</v>
      </c>
      <c r="AM1099">
        <v>0</v>
      </c>
      <c r="AO1099" t="s">
        <v>271</v>
      </c>
      <c r="AT1099">
        <v>63</v>
      </c>
      <c r="AV1099">
        <v>54.9</v>
      </c>
      <c r="AW1099">
        <v>0.4375</v>
      </c>
      <c r="AX1099">
        <v>3.75</v>
      </c>
      <c r="AY1099">
        <v>51.625</v>
      </c>
      <c r="AZ1099">
        <v>5</v>
      </c>
      <c r="BA1099">
        <v>275.29000000000002</v>
      </c>
      <c r="BB1099">
        <v>5.97</v>
      </c>
      <c r="BC1099">
        <v>52</v>
      </c>
      <c r="BD1099">
        <v>0.40625</v>
      </c>
      <c r="BE1099">
        <v>3.75</v>
      </c>
      <c r="BF1099">
        <v>43.125</v>
      </c>
      <c r="BG1099">
        <v>4.625</v>
      </c>
      <c r="BH1099">
        <v>225.25</v>
      </c>
      <c r="BI1099">
        <v>5.88</v>
      </c>
      <c r="BJ1099">
        <v>41</v>
      </c>
      <c r="BL1099">
        <v>500.54</v>
      </c>
      <c r="BM1099">
        <v>93</v>
      </c>
      <c r="BN1099">
        <v>263.93340000000001</v>
      </c>
      <c r="BO1099">
        <v>1490</v>
      </c>
      <c r="BP1099">
        <v>0</v>
      </c>
      <c r="BQ1099">
        <v>57</v>
      </c>
      <c r="BR1099">
        <v>57</v>
      </c>
      <c r="BS1099">
        <v>56.52</v>
      </c>
      <c r="BT1099">
        <v>0</v>
      </c>
      <c r="BV1099">
        <v>0</v>
      </c>
      <c r="BW1099" t="s">
        <v>655</v>
      </c>
      <c r="BX1099">
        <v>0.17</v>
      </c>
      <c r="BY1099">
        <v>9.6084010000000006</v>
      </c>
      <c r="BZ1099">
        <v>0</v>
      </c>
      <c r="CA1099">
        <v>1</v>
      </c>
      <c r="CB1099">
        <v>0.6</v>
      </c>
      <c r="CC1099" s="3">
        <v>7.1269159999999998E-2</v>
      </c>
      <c r="CD1099">
        <v>2.875</v>
      </c>
      <c r="CE1099">
        <v>2.5</v>
      </c>
      <c r="CF1099">
        <v>18</v>
      </c>
      <c r="CG1099">
        <v>6</v>
      </c>
      <c r="CH1099">
        <v>0</v>
      </c>
      <c r="CI1099">
        <v>56.52</v>
      </c>
      <c r="CJ1099">
        <v>610.26210000000003</v>
      </c>
    </row>
    <row r="1100" spans="1:88">
      <c r="A1100">
        <v>1099</v>
      </c>
      <c r="B1100" t="s">
        <v>13</v>
      </c>
      <c r="C1100" t="s">
        <v>1</v>
      </c>
      <c r="D1100" t="s">
        <v>103</v>
      </c>
      <c r="E1100" t="s">
        <v>316</v>
      </c>
      <c r="F1100" t="s">
        <v>105</v>
      </c>
      <c r="G1100" t="s">
        <v>106</v>
      </c>
      <c r="H1100" t="s">
        <v>107</v>
      </c>
      <c r="J1100">
        <v>2</v>
      </c>
      <c r="K1100" t="s">
        <v>108</v>
      </c>
      <c r="L1100" t="s">
        <v>457</v>
      </c>
      <c r="M1100" t="s">
        <v>591</v>
      </c>
      <c r="N1100" t="s">
        <v>197</v>
      </c>
      <c r="O1100">
        <v>170</v>
      </c>
      <c r="Q1100">
        <v>732</v>
      </c>
      <c r="R1100">
        <v>102</v>
      </c>
      <c r="S1100">
        <v>4.25</v>
      </c>
      <c r="T1100">
        <v>4.5149999999999997</v>
      </c>
      <c r="U1100">
        <v>6.9</v>
      </c>
      <c r="V1100">
        <v>3109.93</v>
      </c>
      <c r="W1100">
        <v>702</v>
      </c>
      <c r="X1100">
        <v>1.3332999999999999</v>
      </c>
      <c r="Y1100">
        <v>533</v>
      </c>
      <c r="Z1100">
        <v>5.84</v>
      </c>
      <c r="AJ1100">
        <v>2</v>
      </c>
      <c r="AK1100">
        <v>18</v>
      </c>
      <c r="AM1100">
        <v>0</v>
      </c>
      <c r="AO1100" t="s">
        <v>112</v>
      </c>
      <c r="AT1100">
        <v>64</v>
      </c>
      <c r="AV1100">
        <v>58</v>
      </c>
      <c r="AW1100">
        <v>0.4375</v>
      </c>
      <c r="AX1100">
        <v>3.75</v>
      </c>
      <c r="AY1100">
        <v>53.5</v>
      </c>
      <c r="AZ1100">
        <v>5.125</v>
      </c>
      <c r="BA1100">
        <v>266.26</v>
      </c>
      <c r="BB1100">
        <v>6.18</v>
      </c>
      <c r="BC1100">
        <v>54</v>
      </c>
      <c r="BD1100">
        <v>0.4375</v>
      </c>
      <c r="BE1100">
        <v>3.75</v>
      </c>
      <c r="BF1100">
        <v>53.5</v>
      </c>
      <c r="BG1100">
        <v>5.125</v>
      </c>
      <c r="BH1100">
        <v>266.26</v>
      </c>
      <c r="BI1100">
        <v>6.18</v>
      </c>
      <c r="BJ1100">
        <v>54</v>
      </c>
      <c r="BL1100">
        <v>532.52</v>
      </c>
      <c r="BM1100">
        <v>108</v>
      </c>
      <c r="BN1100">
        <v>278.20010000000002</v>
      </c>
      <c r="BO1100">
        <v>1341</v>
      </c>
      <c r="BP1100">
        <v>0</v>
      </c>
      <c r="BQ1100">
        <v>58</v>
      </c>
      <c r="BR1100">
        <v>58</v>
      </c>
      <c r="BS1100">
        <v>58.26</v>
      </c>
      <c r="BT1100">
        <v>0</v>
      </c>
      <c r="BV1100">
        <v>0</v>
      </c>
      <c r="BW1100" t="s">
        <v>655</v>
      </c>
      <c r="BX1100">
        <v>0.17</v>
      </c>
      <c r="BY1100">
        <v>9.9041990000000002</v>
      </c>
      <c r="BZ1100">
        <v>0</v>
      </c>
      <c r="CA1100">
        <v>1</v>
      </c>
      <c r="CB1100">
        <v>0.6</v>
      </c>
      <c r="CC1100" s="3">
        <v>7.1269159999999998E-2</v>
      </c>
      <c r="CD1100">
        <v>2.875</v>
      </c>
      <c r="CE1100">
        <v>2.5</v>
      </c>
      <c r="CF1100">
        <v>18</v>
      </c>
      <c r="CG1100">
        <v>6</v>
      </c>
      <c r="CH1100">
        <v>0</v>
      </c>
      <c r="CI1100">
        <v>58.26</v>
      </c>
      <c r="CJ1100">
        <v>663.82360000000006</v>
      </c>
    </row>
    <row r="1101" spans="1:88">
      <c r="A1101">
        <v>1100</v>
      </c>
      <c r="B1101" t="s">
        <v>0</v>
      </c>
      <c r="C1101" t="s">
        <v>1</v>
      </c>
      <c r="D1101" t="s">
        <v>295</v>
      </c>
      <c r="E1101" t="s">
        <v>5</v>
      </c>
      <c r="F1101" t="s">
        <v>465</v>
      </c>
      <c r="G1101" t="s">
        <v>106</v>
      </c>
      <c r="H1101" t="s">
        <v>99</v>
      </c>
      <c r="J1101">
        <v>2</v>
      </c>
      <c r="K1101" t="s">
        <v>146</v>
      </c>
      <c r="L1101" t="s">
        <v>162</v>
      </c>
      <c r="M1101" t="s">
        <v>155</v>
      </c>
      <c r="N1101" t="s">
        <v>176</v>
      </c>
      <c r="O1101">
        <v>110</v>
      </c>
      <c r="Q1101">
        <v>438</v>
      </c>
      <c r="R1101">
        <v>92</v>
      </c>
      <c r="S1101">
        <v>4.25</v>
      </c>
      <c r="T1101">
        <v>3.05</v>
      </c>
      <c r="U1101">
        <v>6.11</v>
      </c>
      <c r="V1101">
        <v>1860.64</v>
      </c>
      <c r="W1101">
        <v>561</v>
      </c>
      <c r="X1101">
        <v>1.3332999999999999</v>
      </c>
      <c r="Y1101">
        <v>425</v>
      </c>
      <c r="Z1101">
        <v>4.38</v>
      </c>
      <c r="AJ1101">
        <v>2</v>
      </c>
      <c r="AK1101">
        <v>18</v>
      </c>
      <c r="AM1101">
        <v>0</v>
      </c>
      <c r="AO1101" t="s">
        <v>184</v>
      </c>
      <c r="AT1101">
        <v>44</v>
      </c>
      <c r="AV1101">
        <v>51.7</v>
      </c>
      <c r="AW1101">
        <v>0</v>
      </c>
      <c r="AX1101">
        <v>0</v>
      </c>
      <c r="AY1101">
        <v>47.75</v>
      </c>
      <c r="AZ1101">
        <v>4.125</v>
      </c>
      <c r="BA1101">
        <v>0</v>
      </c>
      <c r="BB1101">
        <v>0</v>
      </c>
      <c r="BC1101">
        <v>51</v>
      </c>
      <c r="BN1101">
        <v>247.88339999999999</v>
      </c>
      <c r="BO1101">
        <v>1689</v>
      </c>
      <c r="BP1101">
        <v>0</v>
      </c>
      <c r="BQ1101">
        <v>37</v>
      </c>
      <c r="BR1101">
        <v>37</v>
      </c>
      <c r="BS1101">
        <v>37.39</v>
      </c>
      <c r="BT1101">
        <v>0</v>
      </c>
      <c r="BV1101">
        <v>0</v>
      </c>
      <c r="BW1101" t="s">
        <v>655</v>
      </c>
      <c r="BX1101">
        <v>0.17</v>
      </c>
      <c r="BY1101">
        <v>6.3563000000000001</v>
      </c>
      <c r="BZ1101">
        <v>0</v>
      </c>
      <c r="CA1101">
        <v>1</v>
      </c>
      <c r="CB1101">
        <v>0.6</v>
      </c>
      <c r="CC1101" s="3">
        <v>7.1269159999999998E-2</v>
      </c>
      <c r="CD1101">
        <v>2.875</v>
      </c>
      <c r="CE1101">
        <v>2.5</v>
      </c>
      <c r="CF1101">
        <v>18</v>
      </c>
      <c r="CG1101">
        <v>6</v>
      </c>
      <c r="CH1101">
        <v>0</v>
      </c>
      <c r="CI1101">
        <v>37.39</v>
      </c>
      <c r="CJ1101">
        <v>379.72739999999999</v>
      </c>
    </row>
    <row r="1102" spans="1:88">
      <c r="A1102">
        <v>1101</v>
      </c>
      <c r="B1102" t="s">
        <v>0</v>
      </c>
      <c r="C1102" t="s">
        <v>1</v>
      </c>
      <c r="D1102" t="s">
        <v>536</v>
      </c>
      <c r="E1102" t="s">
        <v>180</v>
      </c>
      <c r="F1102" t="s">
        <v>592</v>
      </c>
      <c r="G1102" t="s">
        <v>106</v>
      </c>
      <c r="H1102" t="s">
        <v>530</v>
      </c>
      <c r="J1102">
        <v>2</v>
      </c>
      <c r="K1102" t="s">
        <v>146</v>
      </c>
      <c r="L1102" t="s">
        <v>190</v>
      </c>
      <c r="M1102" t="s">
        <v>319</v>
      </c>
      <c r="N1102" t="s">
        <v>219</v>
      </c>
      <c r="O1102">
        <v>98</v>
      </c>
      <c r="Q1102">
        <v>119</v>
      </c>
      <c r="R1102">
        <v>29</v>
      </c>
      <c r="S1102">
        <v>4.25</v>
      </c>
      <c r="T1102">
        <v>2.7309999999999999</v>
      </c>
      <c r="U1102">
        <v>5.88</v>
      </c>
      <c r="V1102">
        <v>505.41</v>
      </c>
      <c r="W1102">
        <v>169</v>
      </c>
      <c r="X1102">
        <v>1.3332999999999999</v>
      </c>
      <c r="Y1102">
        <v>124</v>
      </c>
      <c r="Z1102">
        <v>4.0599999999999996</v>
      </c>
      <c r="AJ1102">
        <v>2</v>
      </c>
      <c r="AK1102">
        <v>18</v>
      </c>
      <c r="AM1102">
        <v>0</v>
      </c>
      <c r="AO1102" t="s">
        <v>597</v>
      </c>
      <c r="AT1102">
        <v>39</v>
      </c>
      <c r="AV1102">
        <v>15</v>
      </c>
      <c r="AW1102">
        <v>0</v>
      </c>
      <c r="AX1102">
        <v>0</v>
      </c>
      <c r="AY1102">
        <v>20.5</v>
      </c>
      <c r="AZ1102">
        <v>2.5</v>
      </c>
      <c r="BA1102">
        <v>0</v>
      </c>
      <c r="BB1102">
        <v>0</v>
      </c>
      <c r="BC1102">
        <v>15</v>
      </c>
      <c r="BN1102">
        <v>67.766679999999994</v>
      </c>
      <c r="BO1102">
        <v>22596</v>
      </c>
      <c r="BP1102">
        <v>0</v>
      </c>
      <c r="BQ1102">
        <v>33</v>
      </c>
      <c r="BR1102">
        <v>33</v>
      </c>
      <c r="BS1102">
        <v>33.21</v>
      </c>
      <c r="BT1102">
        <v>0</v>
      </c>
      <c r="BV1102">
        <v>0</v>
      </c>
      <c r="BW1102" t="s">
        <v>655</v>
      </c>
      <c r="BX1102">
        <v>0.17</v>
      </c>
      <c r="BY1102">
        <v>5.6456999999999997</v>
      </c>
      <c r="BZ1102">
        <v>0</v>
      </c>
      <c r="CA1102">
        <v>1</v>
      </c>
      <c r="CB1102">
        <v>0.6</v>
      </c>
      <c r="CC1102" s="3">
        <v>7.1269159999999998E-2</v>
      </c>
      <c r="CD1102">
        <v>2.875</v>
      </c>
      <c r="CE1102">
        <v>2.5</v>
      </c>
      <c r="CF1102">
        <v>18</v>
      </c>
      <c r="CG1102">
        <v>6</v>
      </c>
      <c r="CH1102">
        <v>0</v>
      </c>
      <c r="CI1102">
        <v>33.21</v>
      </c>
      <c r="CJ1102">
        <v>98.224209999999999</v>
      </c>
    </row>
    <row r="1103" spans="1:88">
      <c r="A1103">
        <v>1102</v>
      </c>
      <c r="B1103" t="s">
        <v>0</v>
      </c>
      <c r="C1103" t="s">
        <v>1</v>
      </c>
      <c r="D1103" t="s">
        <v>332</v>
      </c>
      <c r="E1103" t="s">
        <v>317</v>
      </c>
      <c r="F1103" t="s">
        <v>333</v>
      </c>
      <c r="G1103" t="s">
        <v>106</v>
      </c>
      <c r="H1103" t="s">
        <v>334</v>
      </c>
      <c r="J1103">
        <v>2</v>
      </c>
      <c r="K1103" t="s">
        <v>146</v>
      </c>
      <c r="L1103" t="s">
        <v>169</v>
      </c>
      <c r="M1103" t="s">
        <v>400</v>
      </c>
      <c r="N1103" t="s">
        <v>228</v>
      </c>
      <c r="O1103">
        <v>99</v>
      </c>
      <c r="Q1103">
        <v>197</v>
      </c>
      <c r="R1103">
        <v>45</v>
      </c>
      <c r="S1103">
        <v>4.25</v>
      </c>
      <c r="T1103">
        <v>2.758</v>
      </c>
      <c r="U1103">
        <v>5.88</v>
      </c>
      <c r="V1103">
        <v>837.88</v>
      </c>
      <c r="W1103">
        <v>264</v>
      </c>
      <c r="X1103">
        <v>1.3332999999999999</v>
      </c>
      <c r="Y1103">
        <v>205</v>
      </c>
      <c r="Z1103">
        <v>4.09</v>
      </c>
      <c r="AJ1103">
        <v>2</v>
      </c>
      <c r="AK1103">
        <v>18</v>
      </c>
      <c r="AM1103">
        <v>0</v>
      </c>
      <c r="AO1103" t="s">
        <v>335</v>
      </c>
      <c r="AT1103">
        <v>40</v>
      </c>
      <c r="AV1103">
        <v>25.2</v>
      </c>
      <c r="AW1103">
        <v>0</v>
      </c>
      <c r="AX1103">
        <v>0</v>
      </c>
      <c r="AY1103">
        <v>31.5</v>
      </c>
      <c r="AZ1103">
        <v>3.125</v>
      </c>
      <c r="BA1103">
        <v>0</v>
      </c>
      <c r="BB1103">
        <v>0</v>
      </c>
      <c r="BC1103">
        <v>28</v>
      </c>
      <c r="BN1103">
        <v>117.7</v>
      </c>
      <c r="BO1103">
        <v>7491</v>
      </c>
      <c r="BP1103">
        <v>0</v>
      </c>
      <c r="BQ1103">
        <v>34</v>
      </c>
      <c r="BR1103">
        <v>34</v>
      </c>
      <c r="BS1103">
        <v>33.56</v>
      </c>
      <c r="BT1103">
        <v>0</v>
      </c>
      <c r="BV1103">
        <v>0</v>
      </c>
      <c r="BW1103" t="s">
        <v>655</v>
      </c>
      <c r="BX1103">
        <v>0.17</v>
      </c>
      <c r="BY1103">
        <v>5.7051999999999996</v>
      </c>
      <c r="BZ1103">
        <v>0</v>
      </c>
      <c r="CA1103">
        <v>1</v>
      </c>
      <c r="CB1103">
        <v>0.6</v>
      </c>
      <c r="CC1103" s="3">
        <v>7.1269159999999998E-2</v>
      </c>
      <c r="CD1103">
        <v>2.875</v>
      </c>
      <c r="CE1103">
        <v>2.5</v>
      </c>
      <c r="CF1103">
        <v>18</v>
      </c>
      <c r="CG1103">
        <v>6</v>
      </c>
      <c r="CH1103">
        <v>0</v>
      </c>
      <c r="CI1103">
        <v>33.56</v>
      </c>
      <c r="CJ1103">
        <v>166.2296</v>
      </c>
    </row>
    <row r="1104" spans="1:88">
      <c r="A1104">
        <v>1103</v>
      </c>
      <c r="B1104" t="s">
        <v>13</v>
      </c>
      <c r="C1104" t="s">
        <v>1</v>
      </c>
      <c r="D1104" t="s">
        <v>596</v>
      </c>
      <c r="E1104" t="s">
        <v>3</v>
      </c>
      <c r="F1104" t="s">
        <v>644</v>
      </c>
      <c r="G1104" t="s">
        <v>15</v>
      </c>
      <c r="H1104" t="s">
        <v>596</v>
      </c>
      <c r="J1104">
        <v>2</v>
      </c>
      <c r="K1104" t="s">
        <v>9</v>
      </c>
      <c r="L1104" t="s">
        <v>363</v>
      </c>
      <c r="M1104" t="s">
        <v>383</v>
      </c>
      <c r="N1104" t="s">
        <v>119</v>
      </c>
      <c r="O1104">
        <v>125</v>
      </c>
      <c r="Q1104">
        <v>854</v>
      </c>
      <c r="R1104">
        <v>156</v>
      </c>
      <c r="S1104">
        <v>4.25</v>
      </c>
      <c r="T1104">
        <v>3.4350000000000001</v>
      </c>
      <c r="U1104">
        <v>6.26</v>
      </c>
      <c r="V1104">
        <v>3631.32</v>
      </c>
      <c r="W1104">
        <v>979</v>
      </c>
      <c r="X1104">
        <v>1.3332999999999999</v>
      </c>
      <c r="Y1104">
        <v>763</v>
      </c>
      <c r="Z1104">
        <v>4.76</v>
      </c>
      <c r="AJ1104">
        <v>2</v>
      </c>
      <c r="AK1104">
        <v>18</v>
      </c>
      <c r="AM1104">
        <v>0</v>
      </c>
      <c r="AO1104" t="s">
        <v>645</v>
      </c>
      <c r="AT1104">
        <v>49</v>
      </c>
      <c r="AV1104">
        <v>89.9</v>
      </c>
      <c r="AW1104" t="s">
        <v>6</v>
      </c>
      <c r="AX1104" t="s">
        <v>6</v>
      </c>
      <c r="AY1104" t="s">
        <v>6</v>
      </c>
      <c r="AZ1104" t="s">
        <v>6</v>
      </c>
      <c r="BA1104" t="s">
        <v>6</v>
      </c>
      <c r="BB1104" t="s">
        <v>6</v>
      </c>
      <c r="BC1104" t="s">
        <v>6</v>
      </c>
      <c r="BD1104" t="s">
        <v>6</v>
      </c>
      <c r="BE1104" t="s">
        <v>6</v>
      </c>
      <c r="BF1104" t="s">
        <v>6</v>
      </c>
      <c r="BG1104" t="s">
        <v>6</v>
      </c>
      <c r="BH1104" t="s">
        <v>6</v>
      </c>
      <c r="BI1104" t="s">
        <v>6</v>
      </c>
      <c r="BJ1104" t="s">
        <v>6</v>
      </c>
      <c r="BN1104">
        <v>770.32640000000004</v>
      </c>
      <c r="BO1104">
        <v>1843</v>
      </c>
      <c r="BP1104">
        <v>0</v>
      </c>
      <c r="BQ1104">
        <v>43</v>
      </c>
      <c r="BR1104">
        <v>43</v>
      </c>
      <c r="BS1104">
        <v>42.6</v>
      </c>
      <c r="BT1104">
        <v>0</v>
      </c>
      <c r="BV1104">
        <v>6</v>
      </c>
      <c r="BW1104" t="s">
        <v>655</v>
      </c>
      <c r="BX1104">
        <v>0.27933340000000001</v>
      </c>
      <c r="BY1104">
        <v>11.8996</v>
      </c>
      <c r="BZ1104">
        <v>0</v>
      </c>
      <c r="CA1104">
        <v>1</v>
      </c>
      <c r="CB1104">
        <v>0.6</v>
      </c>
      <c r="CC1104" s="3">
        <v>7.1269159999999998E-2</v>
      </c>
      <c r="CD1104">
        <v>2.875</v>
      </c>
      <c r="CE1104">
        <v>2.5</v>
      </c>
      <c r="CF1104">
        <v>18</v>
      </c>
      <c r="CG1104">
        <v>6</v>
      </c>
      <c r="CH1104">
        <v>0</v>
      </c>
      <c r="CI1104">
        <v>42.6</v>
      </c>
      <c r="CJ1104">
        <v>752.56479999999999</v>
      </c>
    </row>
    <row r="1105" spans="1:88">
      <c r="A1105">
        <v>1104</v>
      </c>
      <c r="B1105" t="s">
        <v>13</v>
      </c>
      <c r="C1105" t="s">
        <v>1</v>
      </c>
      <c r="D1105" t="s">
        <v>123</v>
      </c>
      <c r="E1105" t="s">
        <v>8</v>
      </c>
      <c r="F1105" t="s">
        <v>118</v>
      </c>
      <c r="G1105" t="s">
        <v>214</v>
      </c>
      <c r="H1105" t="s">
        <v>386</v>
      </c>
      <c r="J1105">
        <v>2</v>
      </c>
      <c r="K1105" t="s">
        <v>108</v>
      </c>
      <c r="L1105" t="s">
        <v>10</v>
      </c>
      <c r="M1105" t="s">
        <v>11</v>
      </c>
      <c r="N1105" t="s">
        <v>12</v>
      </c>
      <c r="O1105">
        <v>203</v>
      </c>
      <c r="Q1105">
        <v>950</v>
      </c>
      <c r="R1105">
        <v>121</v>
      </c>
      <c r="S1105">
        <v>4.25</v>
      </c>
      <c r="T1105">
        <v>5.2460000000000004</v>
      </c>
      <c r="U1105">
        <v>7.35</v>
      </c>
      <c r="V1105">
        <v>4036.3</v>
      </c>
      <c r="W1105">
        <v>890</v>
      </c>
      <c r="X1105">
        <v>1.5</v>
      </c>
      <c r="Y1105">
        <v>599</v>
      </c>
      <c r="Z1105">
        <v>6.74</v>
      </c>
      <c r="AJ1105">
        <v>2</v>
      </c>
      <c r="AK1105">
        <v>18</v>
      </c>
      <c r="AM1105">
        <v>0</v>
      </c>
      <c r="AO1105" t="s">
        <v>357</v>
      </c>
      <c r="AT1105">
        <v>76</v>
      </c>
      <c r="AV1105">
        <v>63.8</v>
      </c>
      <c r="AW1105" t="s">
        <v>6</v>
      </c>
      <c r="AX1105" t="s">
        <v>6</v>
      </c>
      <c r="AY1105" t="s">
        <v>6</v>
      </c>
      <c r="AZ1105" t="s">
        <v>6</v>
      </c>
      <c r="BA1105" t="s">
        <v>6</v>
      </c>
      <c r="BB1105" t="s">
        <v>6</v>
      </c>
      <c r="BC1105" t="s">
        <v>6</v>
      </c>
      <c r="BD1105" t="s">
        <v>6</v>
      </c>
      <c r="BE1105" t="s">
        <v>6</v>
      </c>
      <c r="BF1105" t="s">
        <v>6</v>
      </c>
      <c r="BG1105" t="s">
        <v>6</v>
      </c>
      <c r="BH1105" t="s">
        <v>6</v>
      </c>
      <c r="BI1105" t="s">
        <v>6</v>
      </c>
      <c r="BJ1105" t="s">
        <v>6</v>
      </c>
      <c r="BN1105">
        <v>309.31330000000003</v>
      </c>
      <c r="BO1105">
        <v>1361</v>
      </c>
      <c r="BP1105">
        <v>0</v>
      </c>
      <c r="BQ1105">
        <v>70</v>
      </c>
      <c r="BR1105">
        <v>70</v>
      </c>
      <c r="BS1105">
        <v>69.730009999999993</v>
      </c>
      <c r="BT1105">
        <v>0</v>
      </c>
      <c r="BV1105">
        <v>0</v>
      </c>
      <c r="BW1105" t="s">
        <v>655</v>
      </c>
      <c r="BX1105">
        <v>0.17</v>
      </c>
      <c r="BY1105">
        <v>11.854100000000001</v>
      </c>
      <c r="BZ1105">
        <v>0</v>
      </c>
      <c r="CA1105">
        <v>1</v>
      </c>
      <c r="CB1105">
        <v>0.6</v>
      </c>
      <c r="CC1105" s="3">
        <v>7.1269159999999998E-2</v>
      </c>
      <c r="CD1105">
        <v>2.875</v>
      </c>
      <c r="CE1105">
        <v>2.5</v>
      </c>
      <c r="CF1105">
        <v>18</v>
      </c>
      <c r="CG1105">
        <v>6</v>
      </c>
      <c r="CH1105">
        <v>0</v>
      </c>
      <c r="CI1105">
        <v>69.730009999999993</v>
      </c>
      <c r="CJ1105">
        <v>874.02809999999999</v>
      </c>
    </row>
    <row r="1106" spans="1:88">
      <c r="A1106">
        <v>1105</v>
      </c>
      <c r="B1106" t="s">
        <v>0</v>
      </c>
      <c r="C1106" t="s">
        <v>1</v>
      </c>
      <c r="D1106" t="s">
        <v>425</v>
      </c>
      <c r="E1106" t="s">
        <v>268</v>
      </c>
      <c r="F1106" t="s">
        <v>290</v>
      </c>
      <c r="G1106" t="s">
        <v>15</v>
      </c>
      <c r="H1106" t="s">
        <v>426</v>
      </c>
      <c r="J1106">
        <v>2</v>
      </c>
      <c r="K1106" t="s">
        <v>108</v>
      </c>
      <c r="L1106" t="s">
        <v>133</v>
      </c>
      <c r="M1106" t="s">
        <v>270</v>
      </c>
      <c r="N1106" t="s">
        <v>153</v>
      </c>
      <c r="O1106">
        <v>123</v>
      </c>
      <c r="Q1106">
        <v>703</v>
      </c>
      <c r="R1106">
        <v>131</v>
      </c>
      <c r="S1106">
        <v>4.25</v>
      </c>
      <c r="T1106">
        <v>3.3849999999999998</v>
      </c>
      <c r="U1106">
        <v>6.22</v>
      </c>
      <c r="V1106">
        <v>2989.74</v>
      </c>
      <c r="W1106">
        <v>816</v>
      </c>
      <c r="X1106">
        <v>1.3332999999999999</v>
      </c>
      <c r="Y1106">
        <v>635</v>
      </c>
      <c r="Z1106">
        <v>4.71</v>
      </c>
      <c r="AJ1106">
        <v>2</v>
      </c>
      <c r="AK1106">
        <v>18</v>
      </c>
      <c r="AM1106">
        <v>0</v>
      </c>
      <c r="AO1106" t="s">
        <v>427</v>
      </c>
      <c r="AT1106">
        <v>48</v>
      </c>
      <c r="AV1106">
        <v>75.400000000000006</v>
      </c>
      <c r="AW1106">
        <v>0.5</v>
      </c>
      <c r="AX1106">
        <v>5.625</v>
      </c>
      <c r="AY1106">
        <v>42.875</v>
      </c>
      <c r="AZ1106">
        <v>4.75</v>
      </c>
      <c r="BA1106">
        <v>418.43</v>
      </c>
      <c r="BB1106">
        <v>5.56</v>
      </c>
      <c r="BC1106">
        <v>77</v>
      </c>
      <c r="BD1106">
        <v>0.375</v>
      </c>
      <c r="BE1106">
        <v>3.75</v>
      </c>
      <c r="BF1106">
        <v>29.875</v>
      </c>
      <c r="BG1106">
        <v>3.5</v>
      </c>
      <c r="BH1106">
        <v>216.33</v>
      </c>
      <c r="BI1106">
        <v>4.96</v>
      </c>
      <c r="BJ1106">
        <v>26</v>
      </c>
      <c r="BL1106">
        <v>634.76</v>
      </c>
      <c r="BM1106">
        <v>103</v>
      </c>
      <c r="BN1106">
        <v>644.04330000000004</v>
      </c>
      <c r="BO1106">
        <v>2637</v>
      </c>
      <c r="BP1106">
        <v>0</v>
      </c>
      <c r="BQ1106">
        <v>42</v>
      </c>
      <c r="BR1106">
        <v>42</v>
      </c>
      <c r="BS1106">
        <v>41.91</v>
      </c>
      <c r="BT1106">
        <v>0</v>
      </c>
      <c r="BV1106">
        <v>0</v>
      </c>
      <c r="BW1106" t="s">
        <v>655</v>
      </c>
      <c r="BX1106">
        <v>0.17</v>
      </c>
      <c r="BY1106">
        <v>7.1246999999999998</v>
      </c>
      <c r="BZ1106">
        <v>0</v>
      </c>
      <c r="CA1106">
        <v>1</v>
      </c>
      <c r="CB1106">
        <v>0.6</v>
      </c>
      <c r="CC1106" s="3">
        <v>7.1269159999999998E-2</v>
      </c>
      <c r="CD1106">
        <v>2.875</v>
      </c>
      <c r="CE1106">
        <v>2.5</v>
      </c>
      <c r="CF1106">
        <v>18</v>
      </c>
      <c r="CG1106">
        <v>6</v>
      </c>
      <c r="CH1106">
        <v>0</v>
      </c>
      <c r="CI1106">
        <v>41.91</v>
      </c>
      <c r="CJ1106">
        <v>620.89980000000003</v>
      </c>
    </row>
    <row r="1107" spans="1:88">
      <c r="A1107">
        <v>1106</v>
      </c>
      <c r="B1107" t="s">
        <v>0</v>
      </c>
      <c r="C1107" t="s">
        <v>1</v>
      </c>
      <c r="D1107" t="s">
        <v>169</v>
      </c>
      <c r="E1107" t="s">
        <v>176</v>
      </c>
      <c r="F1107" t="s">
        <v>404</v>
      </c>
      <c r="G1107" t="s">
        <v>106</v>
      </c>
      <c r="H1107" t="s">
        <v>190</v>
      </c>
      <c r="J1107">
        <v>2</v>
      </c>
      <c r="K1107" t="s">
        <v>146</v>
      </c>
      <c r="L1107" t="s">
        <v>167</v>
      </c>
      <c r="M1107" t="s">
        <v>226</v>
      </c>
      <c r="N1107" t="s">
        <v>227</v>
      </c>
      <c r="O1107">
        <v>113</v>
      </c>
      <c r="Q1107">
        <v>352</v>
      </c>
      <c r="R1107">
        <v>74</v>
      </c>
      <c r="S1107">
        <v>4.25</v>
      </c>
      <c r="T1107">
        <v>3.1280000000000001</v>
      </c>
      <c r="U1107">
        <v>6.18</v>
      </c>
      <c r="V1107">
        <v>1497.61</v>
      </c>
      <c r="W1107">
        <v>457</v>
      </c>
      <c r="X1107">
        <v>1.3332999999999999</v>
      </c>
      <c r="Y1107">
        <v>336</v>
      </c>
      <c r="Z1107">
        <v>4.46</v>
      </c>
      <c r="AJ1107">
        <v>2</v>
      </c>
      <c r="AK1107">
        <v>18</v>
      </c>
      <c r="AM1107">
        <v>0</v>
      </c>
      <c r="AO1107" t="s">
        <v>406</v>
      </c>
      <c r="AT1107">
        <v>45</v>
      </c>
      <c r="AV1107">
        <v>40.4</v>
      </c>
      <c r="AW1107">
        <v>0</v>
      </c>
      <c r="AX1107">
        <v>0</v>
      </c>
      <c r="AY1107">
        <v>42.375</v>
      </c>
      <c r="AZ1107">
        <v>3.875</v>
      </c>
      <c r="BA1107">
        <v>0</v>
      </c>
      <c r="BB1107">
        <v>0</v>
      </c>
      <c r="BC1107">
        <v>43</v>
      </c>
      <c r="BN1107">
        <v>192.6</v>
      </c>
      <c r="BO1107">
        <v>2797</v>
      </c>
      <c r="BP1107">
        <v>0</v>
      </c>
      <c r="BQ1107">
        <v>38</v>
      </c>
      <c r="BR1107">
        <v>38</v>
      </c>
      <c r="BS1107">
        <v>38.43</v>
      </c>
      <c r="BT1107">
        <v>0</v>
      </c>
      <c r="BV1107">
        <v>0</v>
      </c>
      <c r="BW1107" t="s">
        <v>655</v>
      </c>
      <c r="BX1107">
        <v>0.17</v>
      </c>
      <c r="BY1107">
        <v>6.5331000000000001</v>
      </c>
      <c r="BZ1107">
        <v>0</v>
      </c>
      <c r="CA1107">
        <v>1</v>
      </c>
      <c r="CB1107">
        <v>0.6</v>
      </c>
      <c r="CC1107" s="3">
        <v>7.1269159999999998E-2</v>
      </c>
      <c r="CD1107">
        <v>2.875</v>
      </c>
      <c r="CE1107">
        <v>2.5</v>
      </c>
      <c r="CF1107">
        <v>18</v>
      </c>
      <c r="CG1107">
        <v>6</v>
      </c>
      <c r="CH1107">
        <v>0</v>
      </c>
      <c r="CI1107">
        <v>38.43</v>
      </c>
      <c r="CJ1107">
        <v>305.38440000000003</v>
      </c>
    </row>
    <row r="1108" spans="1:88">
      <c r="A1108">
        <v>1107</v>
      </c>
      <c r="B1108" t="s">
        <v>0</v>
      </c>
      <c r="C1108" t="s">
        <v>1</v>
      </c>
      <c r="D1108" t="s">
        <v>541</v>
      </c>
      <c r="E1108" t="s">
        <v>219</v>
      </c>
      <c r="F1108" t="s">
        <v>606</v>
      </c>
      <c r="G1108" t="s">
        <v>106</v>
      </c>
      <c r="H1108" t="s">
        <v>430</v>
      </c>
      <c r="J1108">
        <v>2</v>
      </c>
      <c r="K1108" t="s">
        <v>146</v>
      </c>
      <c r="L1108" t="s">
        <v>369</v>
      </c>
      <c r="M1108" t="s">
        <v>220</v>
      </c>
      <c r="N1108" t="s">
        <v>221</v>
      </c>
      <c r="O1108">
        <v>101</v>
      </c>
      <c r="Q1108">
        <v>170</v>
      </c>
      <c r="R1108">
        <v>39</v>
      </c>
      <c r="S1108">
        <v>4.25</v>
      </c>
      <c r="T1108">
        <v>2.8119999999999998</v>
      </c>
      <c r="U1108">
        <v>5.92</v>
      </c>
      <c r="V1108">
        <v>722.03</v>
      </c>
      <c r="W1108">
        <v>228</v>
      </c>
      <c r="X1108">
        <v>1.3332999999999999</v>
      </c>
      <c r="Y1108">
        <v>174</v>
      </c>
      <c r="Z1108">
        <v>4.1399999999999997</v>
      </c>
      <c r="AJ1108">
        <v>2</v>
      </c>
      <c r="AK1108">
        <v>18</v>
      </c>
      <c r="AM1108">
        <v>0</v>
      </c>
      <c r="AO1108" t="s">
        <v>431</v>
      </c>
      <c r="AT1108">
        <v>40</v>
      </c>
      <c r="AV1108">
        <v>21.2</v>
      </c>
      <c r="AW1108">
        <v>0</v>
      </c>
      <c r="AX1108">
        <v>0</v>
      </c>
      <c r="AY1108">
        <v>37</v>
      </c>
      <c r="AZ1108">
        <v>3.125</v>
      </c>
      <c r="BA1108">
        <v>0</v>
      </c>
      <c r="BB1108">
        <v>0</v>
      </c>
      <c r="BC1108">
        <v>33</v>
      </c>
      <c r="BN1108">
        <v>98.083349999999996</v>
      </c>
      <c r="BO1108">
        <v>10786</v>
      </c>
      <c r="BP1108">
        <v>0</v>
      </c>
      <c r="BQ1108">
        <v>34</v>
      </c>
      <c r="BR1108">
        <v>34</v>
      </c>
      <c r="BS1108">
        <v>34.26</v>
      </c>
      <c r="BT1108">
        <v>0</v>
      </c>
      <c r="BV1108">
        <v>0</v>
      </c>
      <c r="BW1108" t="s">
        <v>655</v>
      </c>
      <c r="BX1108">
        <v>0.17</v>
      </c>
      <c r="BY1108">
        <v>5.8242000000000003</v>
      </c>
      <c r="BZ1108">
        <v>0</v>
      </c>
      <c r="CA1108">
        <v>1</v>
      </c>
      <c r="CB1108">
        <v>0.6</v>
      </c>
      <c r="CC1108" s="3">
        <v>7.1269159999999998E-2</v>
      </c>
      <c r="CD1108">
        <v>2.875</v>
      </c>
      <c r="CE1108">
        <v>2.5</v>
      </c>
      <c r="CF1108">
        <v>18</v>
      </c>
      <c r="CG1108">
        <v>6</v>
      </c>
      <c r="CH1108">
        <v>0</v>
      </c>
      <c r="CI1108">
        <v>34.26</v>
      </c>
      <c r="CJ1108">
        <v>142.83840000000001</v>
      </c>
    </row>
    <row r="1109" spans="1:88">
      <c r="A1109">
        <v>1108</v>
      </c>
      <c r="B1109" t="s">
        <v>0</v>
      </c>
      <c r="C1109" t="s">
        <v>1</v>
      </c>
      <c r="D1109" t="s">
        <v>178</v>
      </c>
      <c r="E1109" t="s">
        <v>96</v>
      </c>
      <c r="F1109" t="s">
        <v>408</v>
      </c>
      <c r="G1109" t="s">
        <v>106</v>
      </c>
      <c r="H1109" t="s">
        <v>141</v>
      </c>
      <c r="J1109">
        <v>2</v>
      </c>
      <c r="K1109" t="s">
        <v>146</v>
      </c>
      <c r="L1109" t="s">
        <v>293</v>
      </c>
      <c r="M1109" t="s">
        <v>100</v>
      </c>
      <c r="N1109" t="s">
        <v>101</v>
      </c>
      <c r="O1109">
        <v>131</v>
      </c>
      <c r="Q1109">
        <v>318</v>
      </c>
      <c r="R1109">
        <v>60</v>
      </c>
      <c r="S1109">
        <v>4.25</v>
      </c>
      <c r="T1109">
        <v>3.5859999999999999</v>
      </c>
      <c r="U1109">
        <v>6.37</v>
      </c>
      <c r="V1109">
        <v>1351.67</v>
      </c>
      <c r="W1109">
        <v>383</v>
      </c>
      <c r="X1109">
        <v>1.5</v>
      </c>
      <c r="Y1109">
        <v>266</v>
      </c>
      <c r="Z1109">
        <v>5.08</v>
      </c>
      <c r="AJ1109">
        <v>2</v>
      </c>
      <c r="AK1109">
        <v>18</v>
      </c>
      <c r="AM1109">
        <v>0</v>
      </c>
      <c r="AO1109" t="s">
        <v>409</v>
      </c>
      <c r="AT1109">
        <v>51</v>
      </c>
      <c r="AV1109">
        <v>31.7</v>
      </c>
      <c r="AW1109">
        <v>0</v>
      </c>
      <c r="AX1109">
        <v>0</v>
      </c>
      <c r="AY1109">
        <v>53.5</v>
      </c>
      <c r="AZ1109">
        <v>4.5</v>
      </c>
      <c r="BA1109">
        <v>0</v>
      </c>
      <c r="BB1109">
        <v>0</v>
      </c>
      <c r="BC1109">
        <v>54</v>
      </c>
      <c r="BN1109">
        <v>149.80000000000001</v>
      </c>
      <c r="BO1109">
        <v>4624</v>
      </c>
      <c r="BP1109">
        <v>0</v>
      </c>
      <c r="BQ1109">
        <v>45</v>
      </c>
      <c r="BR1109">
        <v>45</v>
      </c>
      <c r="BS1109">
        <v>44.69</v>
      </c>
      <c r="BT1109">
        <v>0</v>
      </c>
      <c r="BV1109">
        <v>0</v>
      </c>
      <c r="BW1109" t="s">
        <v>655</v>
      </c>
      <c r="BX1109">
        <v>0.17</v>
      </c>
      <c r="BY1109">
        <v>7.5972999999999997</v>
      </c>
      <c r="BZ1109">
        <v>0</v>
      </c>
      <c r="CA1109">
        <v>1</v>
      </c>
      <c r="CB1109">
        <v>0.6</v>
      </c>
      <c r="CC1109" s="3">
        <v>7.1269159999999998E-2</v>
      </c>
      <c r="CD1109">
        <v>2.875</v>
      </c>
      <c r="CE1109">
        <v>2.5</v>
      </c>
      <c r="CF1109">
        <v>18</v>
      </c>
      <c r="CG1109">
        <v>6</v>
      </c>
      <c r="CH1109">
        <v>0</v>
      </c>
      <c r="CI1109">
        <v>44.69</v>
      </c>
      <c r="CJ1109">
        <v>278.6891</v>
      </c>
    </row>
    <row r="1110" spans="1:88">
      <c r="A1110">
        <v>1109</v>
      </c>
      <c r="B1110" t="s">
        <v>0</v>
      </c>
      <c r="C1110" t="s">
        <v>1</v>
      </c>
      <c r="D1110" t="s">
        <v>103</v>
      </c>
      <c r="E1110" t="s">
        <v>19</v>
      </c>
      <c r="F1110" t="s">
        <v>105</v>
      </c>
      <c r="G1110" t="s">
        <v>106</v>
      </c>
      <c r="H1110" t="s">
        <v>107</v>
      </c>
      <c r="J1110">
        <v>2</v>
      </c>
      <c r="K1110" t="s">
        <v>108</v>
      </c>
      <c r="L1110" t="s">
        <v>302</v>
      </c>
      <c r="M1110" t="s">
        <v>433</v>
      </c>
      <c r="N1110" t="s">
        <v>434</v>
      </c>
      <c r="O1110">
        <v>185</v>
      </c>
      <c r="Q1110">
        <v>792</v>
      </c>
      <c r="R1110">
        <v>102</v>
      </c>
      <c r="S1110">
        <v>4.25</v>
      </c>
      <c r="T1110">
        <v>4.8529999999999998</v>
      </c>
      <c r="U1110">
        <v>7.16</v>
      </c>
      <c r="V1110">
        <v>3366</v>
      </c>
      <c r="W1110">
        <v>728</v>
      </c>
      <c r="X1110">
        <v>1.3332999999999999</v>
      </c>
      <c r="Y1110">
        <v>545</v>
      </c>
      <c r="Z1110">
        <v>6.18</v>
      </c>
      <c r="AJ1110">
        <v>2</v>
      </c>
      <c r="AK1110">
        <v>18</v>
      </c>
      <c r="AM1110">
        <v>0</v>
      </c>
      <c r="AO1110" t="s">
        <v>112</v>
      </c>
      <c r="AT1110">
        <v>70</v>
      </c>
      <c r="AV1110">
        <v>58</v>
      </c>
      <c r="AW1110" t="s">
        <v>6</v>
      </c>
      <c r="AX1110" t="s">
        <v>6</v>
      </c>
      <c r="AY1110" t="s">
        <v>6</v>
      </c>
      <c r="AZ1110" t="s">
        <v>6</v>
      </c>
      <c r="BA1110" t="s">
        <v>6</v>
      </c>
      <c r="BB1110" t="s">
        <v>6</v>
      </c>
      <c r="BC1110" t="s">
        <v>6</v>
      </c>
      <c r="BD1110" t="s">
        <v>6</v>
      </c>
      <c r="BE1110" t="s">
        <v>6</v>
      </c>
      <c r="BF1110" t="s">
        <v>6</v>
      </c>
      <c r="BG1110" t="s">
        <v>6</v>
      </c>
      <c r="BH1110" t="s">
        <v>6</v>
      </c>
      <c r="BI1110" t="s">
        <v>6</v>
      </c>
      <c r="BJ1110" t="s">
        <v>6</v>
      </c>
      <c r="BN1110">
        <v>278.20010000000002</v>
      </c>
      <c r="BO1110">
        <v>1341</v>
      </c>
      <c r="BP1110">
        <v>0</v>
      </c>
      <c r="BQ1110">
        <v>63</v>
      </c>
      <c r="BR1110">
        <v>63</v>
      </c>
      <c r="BS1110">
        <v>63.47</v>
      </c>
      <c r="BT1110">
        <v>0</v>
      </c>
      <c r="BV1110">
        <v>0</v>
      </c>
      <c r="BW1110" t="s">
        <v>655</v>
      </c>
      <c r="BX1110">
        <v>0.17</v>
      </c>
      <c r="BY1110">
        <v>10.789899999999999</v>
      </c>
      <c r="BZ1110">
        <v>0</v>
      </c>
      <c r="CA1110">
        <v>1</v>
      </c>
      <c r="CB1110">
        <v>0.6</v>
      </c>
      <c r="CC1110" s="3">
        <v>7.1269159999999998E-2</v>
      </c>
      <c r="CD1110">
        <v>2.875</v>
      </c>
      <c r="CE1110">
        <v>2.5</v>
      </c>
      <c r="CF1110">
        <v>18</v>
      </c>
      <c r="CG1110">
        <v>6</v>
      </c>
      <c r="CH1110">
        <v>0</v>
      </c>
      <c r="CI1110">
        <v>63.47</v>
      </c>
      <c r="CJ1110">
        <v>723.18709999999999</v>
      </c>
    </row>
    <row r="1111" spans="1:88">
      <c r="A1111">
        <v>1110</v>
      </c>
      <c r="B1111" t="s">
        <v>13</v>
      </c>
      <c r="C1111" t="s">
        <v>1</v>
      </c>
      <c r="D1111" t="s">
        <v>3</v>
      </c>
      <c r="E1111" t="s">
        <v>3</v>
      </c>
      <c r="F1111" t="s">
        <v>306</v>
      </c>
      <c r="G1111" t="s">
        <v>106</v>
      </c>
      <c r="H1111" t="s">
        <v>307</v>
      </c>
      <c r="J1111">
        <v>2</v>
      </c>
      <c r="K1111" t="s">
        <v>146</v>
      </c>
      <c r="L1111" t="s">
        <v>363</v>
      </c>
      <c r="M1111" t="s">
        <v>383</v>
      </c>
      <c r="N1111" t="s">
        <v>119</v>
      </c>
      <c r="O1111">
        <v>125</v>
      </c>
      <c r="Q1111">
        <v>407</v>
      </c>
      <c r="R1111">
        <v>77</v>
      </c>
      <c r="S1111">
        <v>4.25</v>
      </c>
      <c r="T1111">
        <v>3.4350000000000001</v>
      </c>
      <c r="U1111">
        <v>6.26</v>
      </c>
      <c r="V1111">
        <v>1728.13</v>
      </c>
      <c r="W1111">
        <v>485</v>
      </c>
      <c r="X1111">
        <v>1.3332999999999999</v>
      </c>
      <c r="Y1111">
        <v>363</v>
      </c>
      <c r="Z1111">
        <v>4.76</v>
      </c>
      <c r="AJ1111">
        <v>2</v>
      </c>
      <c r="AK1111">
        <v>18</v>
      </c>
      <c r="AM1111">
        <v>0</v>
      </c>
      <c r="AO1111" t="s">
        <v>308</v>
      </c>
      <c r="AT1111">
        <v>49</v>
      </c>
      <c r="AV1111">
        <v>42.6</v>
      </c>
      <c r="AW1111">
        <v>0</v>
      </c>
      <c r="AX1111">
        <v>0</v>
      </c>
      <c r="AY1111">
        <v>55.875</v>
      </c>
      <c r="AZ1111">
        <v>4.5</v>
      </c>
      <c r="BA1111">
        <v>0</v>
      </c>
      <c r="BB1111">
        <v>0</v>
      </c>
      <c r="BC1111">
        <v>60</v>
      </c>
      <c r="BN1111">
        <v>203.3</v>
      </c>
      <c r="BO1111">
        <v>2511</v>
      </c>
      <c r="BP1111">
        <v>0</v>
      </c>
      <c r="BQ1111">
        <v>43</v>
      </c>
      <c r="BR1111">
        <v>43</v>
      </c>
      <c r="BS1111">
        <v>42.6</v>
      </c>
      <c r="BT1111">
        <v>0</v>
      </c>
      <c r="BV1111">
        <v>0</v>
      </c>
      <c r="BW1111" t="s">
        <v>655</v>
      </c>
      <c r="BX1111">
        <v>0.17</v>
      </c>
      <c r="BY1111">
        <v>7.242</v>
      </c>
      <c r="BZ1111">
        <v>0</v>
      </c>
      <c r="CA1111">
        <v>1</v>
      </c>
      <c r="CB1111">
        <v>0.6</v>
      </c>
      <c r="CC1111" s="3">
        <v>7.1269159999999998E-2</v>
      </c>
      <c r="CD1111">
        <v>2.875</v>
      </c>
      <c r="CE1111">
        <v>2.5</v>
      </c>
      <c r="CF1111">
        <v>18</v>
      </c>
      <c r="CG1111">
        <v>6</v>
      </c>
      <c r="CH1111">
        <v>0</v>
      </c>
      <c r="CI1111">
        <v>42.6</v>
      </c>
      <c r="CJ1111">
        <v>356.73779999999999</v>
      </c>
    </row>
    <row r="1112" spans="1:88">
      <c r="A1112">
        <v>1111</v>
      </c>
      <c r="B1112" t="s">
        <v>0</v>
      </c>
      <c r="C1112" t="s">
        <v>1</v>
      </c>
      <c r="D1112" t="s">
        <v>133</v>
      </c>
      <c r="E1112" t="s">
        <v>143</v>
      </c>
      <c r="F1112" t="s">
        <v>298</v>
      </c>
      <c r="G1112" t="s">
        <v>106</v>
      </c>
      <c r="H1112" t="s">
        <v>257</v>
      </c>
      <c r="J1112">
        <v>2</v>
      </c>
      <c r="K1112" t="s">
        <v>146</v>
      </c>
      <c r="L1112" t="s">
        <v>297</v>
      </c>
      <c r="M1112" t="s">
        <v>206</v>
      </c>
      <c r="N1112" t="s">
        <v>131</v>
      </c>
      <c r="O1112">
        <v>155</v>
      </c>
      <c r="Q1112">
        <v>570</v>
      </c>
      <c r="R1112">
        <v>88</v>
      </c>
      <c r="S1112">
        <v>4.25</v>
      </c>
      <c r="T1112">
        <v>4.1660000000000004</v>
      </c>
      <c r="U1112">
        <v>6.78</v>
      </c>
      <c r="V1112">
        <v>2424.1999999999998</v>
      </c>
      <c r="W1112">
        <v>595</v>
      </c>
      <c r="X1112">
        <v>1.3332999999999999</v>
      </c>
      <c r="Y1112">
        <v>442</v>
      </c>
      <c r="Z1112">
        <v>5.49</v>
      </c>
      <c r="AJ1112">
        <v>2</v>
      </c>
      <c r="AK1112">
        <v>18</v>
      </c>
      <c r="AM1112">
        <v>0</v>
      </c>
      <c r="AO1112" t="s">
        <v>301</v>
      </c>
      <c r="AT1112">
        <v>59</v>
      </c>
      <c r="AV1112">
        <v>49.1</v>
      </c>
      <c r="AW1112">
        <v>0.46875</v>
      </c>
      <c r="AX1112">
        <v>3.75</v>
      </c>
      <c r="AY1112">
        <v>56.5</v>
      </c>
      <c r="AZ1112">
        <v>5.125</v>
      </c>
      <c r="BA1112">
        <v>358.98</v>
      </c>
      <c r="BB1112">
        <v>5.49</v>
      </c>
      <c r="BC1112">
        <v>61</v>
      </c>
      <c r="BD1112">
        <v>0.3125</v>
      </c>
      <c r="BE1112">
        <v>2.75</v>
      </c>
      <c r="BF1112">
        <v>43.5</v>
      </c>
      <c r="BG1112">
        <v>3.375</v>
      </c>
      <c r="BH1112">
        <v>82.57</v>
      </c>
      <c r="BI1112">
        <v>7.74</v>
      </c>
      <c r="BJ1112">
        <v>23</v>
      </c>
      <c r="BL1112">
        <v>441.55</v>
      </c>
      <c r="BM1112">
        <v>83</v>
      </c>
      <c r="BN1112">
        <v>235.40010000000001</v>
      </c>
      <c r="BO1112">
        <v>1873</v>
      </c>
      <c r="BP1112">
        <v>0</v>
      </c>
      <c r="BQ1112">
        <v>53</v>
      </c>
      <c r="BR1112">
        <v>53</v>
      </c>
      <c r="BS1112">
        <v>53.04</v>
      </c>
      <c r="BT1112">
        <v>0</v>
      </c>
      <c r="BV1112">
        <v>0</v>
      </c>
      <c r="BW1112" t="s">
        <v>655</v>
      </c>
      <c r="BX1112">
        <v>0.17</v>
      </c>
      <c r="BY1112">
        <v>9.0167999999999999</v>
      </c>
      <c r="BZ1112">
        <v>0</v>
      </c>
      <c r="CA1112">
        <v>1</v>
      </c>
      <c r="CB1112">
        <v>0.6</v>
      </c>
      <c r="CC1112" s="3">
        <v>7.1269159999999998E-2</v>
      </c>
      <c r="CD1112">
        <v>2.875</v>
      </c>
      <c r="CE1112">
        <v>2.5</v>
      </c>
      <c r="CF1112">
        <v>18</v>
      </c>
      <c r="CG1112">
        <v>6</v>
      </c>
      <c r="CH1112">
        <v>0</v>
      </c>
      <c r="CI1112">
        <v>53.04</v>
      </c>
      <c r="CJ1112">
        <v>512.20569999999998</v>
      </c>
    </row>
    <row r="1113" spans="1:88">
      <c r="A1113">
        <v>1112</v>
      </c>
      <c r="B1113" t="s">
        <v>0</v>
      </c>
      <c r="C1113" t="s">
        <v>1</v>
      </c>
      <c r="D1113" t="s">
        <v>143</v>
      </c>
      <c r="E1113" t="s">
        <v>181</v>
      </c>
      <c r="F1113" t="s">
        <v>144</v>
      </c>
      <c r="G1113" t="s">
        <v>106</v>
      </c>
      <c r="H1113" t="s">
        <v>145</v>
      </c>
      <c r="J1113">
        <v>2</v>
      </c>
      <c r="K1113" t="s">
        <v>146</v>
      </c>
      <c r="L1113" t="s">
        <v>202</v>
      </c>
      <c r="M1113" t="s">
        <v>313</v>
      </c>
      <c r="N1113" t="s">
        <v>314</v>
      </c>
      <c r="O1113">
        <v>161</v>
      </c>
      <c r="Q1113">
        <v>642</v>
      </c>
      <c r="R1113">
        <v>95</v>
      </c>
      <c r="S1113">
        <v>4.25</v>
      </c>
      <c r="T1113">
        <v>4.3070000000000004</v>
      </c>
      <c r="U1113">
        <v>6.75</v>
      </c>
      <c r="V1113">
        <v>2730.37</v>
      </c>
      <c r="W1113">
        <v>639</v>
      </c>
      <c r="X1113">
        <v>1.3332999999999999</v>
      </c>
      <c r="Y1113">
        <v>484</v>
      </c>
      <c r="Z1113">
        <v>5.64</v>
      </c>
      <c r="AJ1113">
        <v>2</v>
      </c>
      <c r="AK1113">
        <v>18</v>
      </c>
      <c r="AM1113">
        <v>0</v>
      </c>
      <c r="AO1113" t="s">
        <v>149</v>
      </c>
      <c r="AT1113">
        <v>61</v>
      </c>
      <c r="AV1113">
        <v>53.5</v>
      </c>
      <c r="AW1113" t="s">
        <v>6</v>
      </c>
      <c r="AX1113" t="s">
        <v>6</v>
      </c>
      <c r="AY1113" t="s">
        <v>6</v>
      </c>
      <c r="AZ1113" t="s">
        <v>6</v>
      </c>
      <c r="BA1113" t="s">
        <v>6</v>
      </c>
      <c r="BB1113" t="s">
        <v>6</v>
      </c>
      <c r="BC1113" t="s">
        <v>6</v>
      </c>
      <c r="BD1113" t="s">
        <v>6</v>
      </c>
      <c r="BE1113" t="s">
        <v>6</v>
      </c>
      <c r="BF1113" t="s">
        <v>6</v>
      </c>
      <c r="BG1113" t="s">
        <v>6</v>
      </c>
      <c r="BH1113" t="s">
        <v>6</v>
      </c>
      <c r="BI1113" t="s">
        <v>6</v>
      </c>
      <c r="BJ1113" t="s">
        <v>6</v>
      </c>
      <c r="BN1113">
        <v>256.80009999999999</v>
      </c>
      <c r="BO1113">
        <v>1574</v>
      </c>
      <c r="BP1113">
        <v>0</v>
      </c>
      <c r="BQ1113">
        <v>55</v>
      </c>
      <c r="BR1113">
        <v>55</v>
      </c>
      <c r="BS1113">
        <v>55.13</v>
      </c>
      <c r="BT1113">
        <v>0</v>
      </c>
      <c r="BV1113">
        <v>0</v>
      </c>
      <c r="BW1113" t="s">
        <v>655</v>
      </c>
      <c r="BX1113">
        <v>0.17</v>
      </c>
      <c r="BY1113">
        <v>9.3720999999999997</v>
      </c>
      <c r="BZ1113">
        <v>0</v>
      </c>
      <c r="CA1113">
        <v>1</v>
      </c>
      <c r="CB1113">
        <v>0.6</v>
      </c>
      <c r="CC1113" s="3">
        <v>7.1269159999999998E-2</v>
      </c>
      <c r="CD1113">
        <v>2.875</v>
      </c>
      <c r="CE1113">
        <v>2.5</v>
      </c>
      <c r="CF1113">
        <v>18</v>
      </c>
      <c r="CG1113">
        <v>6</v>
      </c>
      <c r="CH1113">
        <v>0</v>
      </c>
      <c r="CI1113">
        <v>55.13</v>
      </c>
      <c r="CJ1113">
        <v>579.5376</v>
      </c>
    </row>
    <row r="1114" spans="1:88">
      <c r="A1114">
        <v>1113</v>
      </c>
      <c r="B1114" t="s">
        <v>13</v>
      </c>
      <c r="C1114" t="s">
        <v>1</v>
      </c>
      <c r="D1114" t="s">
        <v>143</v>
      </c>
      <c r="E1114" t="s">
        <v>131</v>
      </c>
      <c r="F1114" t="s">
        <v>144</v>
      </c>
      <c r="G1114" t="s">
        <v>106</v>
      </c>
      <c r="H1114" t="s">
        <v>145</v>
      </c>
      <c r="J1114">
        <v>2</v>
      </c>
      <c r="K1114" t="s">
        <v>146</v>
      </c>
      <c r="L1114" t="s">
        <v>300</v>
      </c>
      <c r="M1114" t="s">
        <v>271</v>
      </c>
      <c r="N1114" t="s">
        <v>181</v>
      </c>
      <c r="O1114">
        <v>158</v>
      </c>
      <c r="Q1114">
        <v>631</v>
      </c>
      <c r="R1114">
        <v>95</v>
      </c>
      <c r="S1114">
        <v>4.25</v>
      </c>
      <c r="T1114">
        <v>4.2370000000000001</v>
      </c>
      <c r="U1114">
        <v>6.86</v>
      </c>
      <c r="V1114">
        <v>2682.72</v>
      </c>
      <c r="W1114">
        <v>649</v>
      </c>
      <c r="X1114">
        <v>1.3332999999999999</v>
      </c>
      <c r="Y1114">
        <v>482</v>
      </c>
      <c r="Z1114">
        <v>5.57</v>
      </c>
      <c r="AJ1114">
        <v>2</v>
      </c>
      <c r="AK1114">
        <v>18</v>
      </c>
      <c r="AM1114">
        <v>0</v>
      </c>
      <c r="AO1114" t="s">
        <v>149</v>
      </c>
      <c r="AT1114">
        <v>60</v>
      </c>
      <c r="AV1114">
        <v>53.5</v>
      </c>
      <c r="AW1114">
        <v>0.40625</v>
      </c>
      <c r="AX1114">
        <v>3.75</v>
      </c>
      <c r="AY1114">
        <v>40.375</v>
      </c>
      <c r="AZ1114">
        <v>4.5</v>
      </c>
      <c r="BA1114">
        <v>240.81</v>
      </c>
      <c r="BB1114">
        <v>5.5</v>
      </c>
      <c r="BC1114">
        <v>38</v>
      </c>
      <c r="BD1114">
        <v>0.40625</v>
      </c>
      <c r="BE1114">
        <v>3.75</v>
      </c>
      <c r="BF1114">
        <v>40.375</v>
      </c>
      <c r="BG1114">
        <v>4.5</v>
      </c>
      <c r="BH1114">
        <v>240.81</v>
      </c>
      <c r="BI1114">
        <v>5.5</v>
      </c>
      <c r="BJ1114">
        <v>38</v>
      </c>
      <c r="BL1114">
        <v>481.62</v>
      </c>
      <c r="BM1114">
        <v>76</v>
      </c>
      <c r="BN1114">
        <v>256.80009999999999</v>
      </c>
      <c r="BO1114">
        <v>1574</v>
      </c>
      <c r="BP1114">
        <v>0</v>
      </c>
      <c r="BQ1114">
        <v>54</v>
      </c>
      <c r="BR1114">
        <v>54</v>
      </c>
      <c r="BS1114">
        <v>54.08</v>
      </c>
      <c r="BT1114">
        <v>0</v>
      </c>
      <c r="BV1114">
        <v>0</v>
      </c>
      <c r="BW1114" t="s">
        <v>655</v>
      </c>
      <c r="BX1114">
        <v>0.17</v>
      </c>
      <c r="BY1114">
        <v>9.1936009999999992</v>
      </c>
      <c r="BZ1114">
        <v>0</v>
      </c>
      <c r="CA1114">
        <v>1</v>
      </c>
      <c r="CB1114">
        <v>0.6</v>
      </c>
      <c r="CC1114" s="3">
        <v>7.1269159999999998E-2</v>
      </c>
      <c r="CD1114">
        <v>2.875</v>
      </c>
      <c r="CE1114">
        <v>2.5</v>
      </c>
      <c r="CF1114">
        <v>18</v>
      </c>
      <c r="CG1114">
        <v>6</v>
      </c>
      <c r="CH1114">
        <v>0</v>
      </c>
      <c r="CI1114">
        <v>54.08</v>
      </c>
      <c r="CJ1114">
        <v>568.49980000000005</v>
      </c>
    </row>
    <row r="1115" spans="1:88">
      <c r="A1115">
        <v>1114</v>
      </c>
      <c r="B1115" t="s">
        <v>13</v>
      </c>
      <c r="C1115" t="s">
        <v>1</v>
      </c>
      <c r="D1115" t="s">
        <v>366</v>
      </c>
      <c r="E1115" t="s">
        <v>2</v>
      </c>
      <c r="F1115" t="s">
        <v>379</v>
      </c>
      <c r="G1115" t="s">
        <v>106</v>
      </c>
      <c r="H1115" t="s">
        <v>228</v>
      </c>
      <c r="J1115">
        <v>2</v>
      </c>
      <c r="K1115" t="s">
        <v>146</v>
      </c>
      <c r="L1115" t="s">
        <v>122</v>
      </c>
      <c r="M1115" t="s">
        <v>4</v>
      </c>
      <c r="N1115" t="s">
        <v>5</v>
      </c>
      <c r="O1115">
        <v>107</v>
      </c>
      <c r="Q1115">
        <v>288</v>
      </c>
      <c r="R1115">
        <v>65</v>
      </c>
      <c r="S1115">
        <v>4.25</v>
      </c>
      <c r="T1115">
        <v>2.9710000000000001</v>
      </c>
      <c r="U1115">
        <v>6.07</v>
      </c>
      <c r="V1115">
        <v>1224.72</v>
      </c>
      <c r="W1115">
        <v>393</v>
      </c>
      <c r="X1115">
        <v>1.3332999999999999</v>
      </c>
      <c r="Y1115">
        <v>285</v>
      </c>
      <c r="Z1115">
        <v>4.3</v>
      </c>
      <c r="AJ1115">
        <v>2</v>
      </c>
      <c r="AK1115">
        <v>18</v>
      </c>
      <c r="AM1115">
        <v>0</v>
      </c>
      <c r="AO1115" t="s">
        <v>230</v>
      </c>
      <c r="AT1115">
        <v>42</v>
      </c>
      <c r="AV1115">
        <v>34.6</v>
      </c>
      <c r="AW1115">
        <v>0</v>
      </c>
      <c r="AX1115">
        <v>0</v>
      </c>
      <c r="AY1115">
        <v>34.125</v>
      </c>
      <c r="AZ1115">
        <v>3.5</v>
      </c>
      <c r="BA1115">
        <v>0</v>
      </c>
      <c r="BB1115">
        <v>0</v>
      </c>
      <c r="BC1115">
        <v>32</v>
      </c>
      <c r="BN1115">
        <v>164.0667</v>
      </c>
      <c r="BO1115">
        <v>3855</v>
      </c>
      <c r="BP1115">
        <v>0</v>
      </c>
      <c r="BQ1115">
        <v>36</v>
      </c>
      <c r="BR1115">
        <v>36</v>
      </c>
      <c r="BS1115">
        <v>36.340000000000003</v>
      </c>
      <c r="BT1115">
        <v>0</v>
      </c>
      <c r="BV1115">
        <v>0</v>
      </c>
      <c r="BW1115" t="s">
        <v>655</v>
      </c>
      <c r="BX1115">
        <v>0.17</v>
      </c>
      <c r="BY1115">
        <v>6.1778000000000004</v>
      </c>
      <c r="BZ1115">
        <v>0</v>
      </c>
      <c r="CA1115">
        <v>1</v>
      </c>
      <c r="CB1115">
        <v>0.6</v>
      </c>
      <c r="CC1115" s="3">
        <v>7.1269159999999998E-2</v>
      </c>
      <c r="CD1115">
        <v>2.875</v>
      </c>
      <c r="CE1115">
        <v>2.5</v>
      </c>
      <c r="CF1115">
        <v>18</v>
      </c>
      <c r="CG1115">
        <v>6</v>
      </c>
      <c r="CH1115">
        <v>0</v>
      </c>
      <c r="CI1115">
        <v>36.340000000000003</v>
      </c>
      <c r="CJ1115">
        <v>247.33750000000001</v>
      </c>
    </row>
    <row r="1116" spans="1:88">
      <c r="A1116">
        <v>1115</v>
      </c>
      <c r="B1116" t="s">
        <v>0</v>
      </c>
      <c r="C1116" t="s">
        <v>1</v>
      </c>
      <c r="D1116" t="s">
        <v>14</v>
      </c>
      <c r="E1116" t="s">
        <v>180</v>
      </c>
      <c r="F1116" t="s">
        <v>192</v>
      </c>
      <c r="G1116" t="s">
        <v>106</v>
      </c>
      <c r="H1116" t="s">
        <v>193</v>
      </c>
      <c r="J1116">
        <v>2</v>
      </c>
      <c r="K1116" t="s">
        <v>108</v>
      </c>
      <c r="L1116" t="s">
        <v>190</v>
      </c>
      <c r="M1116" t="s">
        <v>319</v>
      </c>
      <c r="N1116" t="s">
        <v>219</v>
      </c>
      <c r="O1116">
        <v>98</v>
      </c>
      <c r="Q1116">
        <v>483</v>
      </c>
      <c r="R1116">
        <v>110</v>
      </c>
      <c r="S1116">
        <v>4.25</v>
      </c>
      <c r="T1116">
        <v>2.7309999999999999</v>
      </c>
      <c r="U1116">
        <v>5.88</v>
      </c>
      <c r="V1116">
        <v>2052.79</v>
      </c>
      <c r="W1116">
        <v>649</v>
      </c>
      <c r="X1116">
        <v>1.3332999999999999</v>
      </c>
      <c r="Y1116">
        <v>506</v>
      </c>
      <c r="Z1116">
        <v>4.0599999999999996</v>
      </c>
      <c r="AJ1116">
        <v>2</v>
      </c>
      <c r="AK1116">
        <v>18</v>
      </c>
      <c r="AM1116">
        <v>0</v>
      </c>
      <c r="AO1116" t="s">
        <v>196</v>
      </c>
      <c r="AT1116">
        <v>39</v>
      </c>
      <c r="AV1116">
        <v>63.4</v>
      </c>
      <c r="AW1116">
        <v>0.46875</v>
      </c>
      <c r="AX1116">
        <v>3.75</v>
      </c>
      <c r="AY1116">
        <v>41.75</v>
      </c>
      <c r="AZ1116">
        <v>3.75</v>
      </c>
      <c r="BA1116">
        <v>485.42</v>
      </c>
      <c r="BB1116">
        <v>4.0599999999999996</v>
      </c>
      <c r="BC1116">
        <v>45</v>
      </c>
      <c r="BD1116">
        <v>0.1875</v>
      </c>
      <c r="BE1116">
        <v>2.75</v>
      </c>
      <c r="BF1116">
        <v>13.125</v>
      </c>
      <c r="BG1116">
        <v>1.5</v>
      </c>
      <c r="BH1116">
        <v>20.18</v>
      </c>
      <c r="BI1116">
        <v>7.51</v>
      </c>
      <c r="BJ1116">
        <v>4</v>
      </c>
      <c r="BL1116">
        <v>505.6</v>
      </c>
      <c r="BM1116">
        <v>49</v>
      </c>
      <c r="BN1116">
        <v>304.95010000000002</v>
      </c>
      <c r="BO1116">
        <v>1116</v>
      </c>
      <c r="BP1116">
        <v>0</v>
      </c>
      <c r="BQ1116">
        <v>33</v>
      </c>
      <c r="BR1116">
        <v>33</v>
      </c>
      <c r="BS1116">
        <v>33.21</v>
      </c>
      <c r="BT1116">
        <v>0</v>
      </c>
      <c r="BV1116">
        <v>0</v>
      </c>
      <c r="BW1116" t="s">
        <v>655</v>
      </c>
      <c r="BX1116">
        <v>0.17</v>
      </c>
      <c r="BY1116">
        <v>5.6456999999999997</v>
      </c>
      <c r="BZ1116">
        <v>0</v>
      </c>
      <c r="CA1116">
        <v>1</v>
      </c>
      <c r="CB1116">
        <v>0.6</v>
      </c>
      <c r="CC1116" s="3">
        <v>7.1269159999999998E-2</v>
      </c>
      <c r="CD1116">
        <v>2.875</v>
      </c>
      <c r="CE1116">
        <v>2.5</v>
      </c>
      <c r="CF1116">
        <v>18</v>
      </c>
      <c r="CG1116">
        <v>6</v>
      </c>
      <c r="CH1116">
        <v>0</v>
      </c>
      <c r="CI1116">
        <v>33.21</v>
      </c>
      <c r="CJ1116">
        <v>413.90269999999998</v>
      </c>
    </row>
    <row r="1117" spans="1:88">
      <c r="A1117">
        <v>1116</v>
      </c>
      <c r="B1117" t="s">
        <v>0</v>
      </c>
      <c r="C1117" t="s">
        <v>1</v>
      </c>
      <c r="D1117" t="s">
        <v>103</v>
      </c>
      <c r="E1117" t="s">
        <v>2</v>
      </c>
      <c r="F1117" t="s">
        <v>105</v>
      </c>
      <c r="G1117" t="s">
        <v>106</v>
      </c>
      <c r="H1117" t="s">
        <v>107</v>
      </c>
      <c r="J1117">
        <v>2</v>
      </c>
      <c r="K1117" t="s">
        <v>108</v>
      </c>
      <c r="L1117" t="s">
        <v>122</v>
      </c>
      <c r="M1117" t="s">
        <v>4</v>
      </c>
      <c r="N1117" t="s">
        <v>5</v>
      </c>
      <c r="O1117">
        <v>107</v>
      </c>
      <c r="Q1117">
        <v>478</v>
      </c>
      <c r="R1117">
        <v>102</v>
      </c>
      <c r="S1117">
        <v>4.25</v>
      </c>
      <c r="T1117">
        <v>2.9710000000000001</v>
      </c>
      <c r="U1117">
        <v>6.07</v>
      </c>
      <c r="V1117">
        <v>2032.64</v>
      </c>
      <c r="W1117">
        <v>617</v>
      </c>
      <c r="X1117">
        <v>1.3332999999999999</v>
      </c>
      <c r="Y1117">
        <v>473</v>
      </c>
      <c r="Z1117">
        <v>4.3</v>
      </c>
      <c r="AJ1117">
        <v>2</v>
      </c>
      <c r="AK1117">
        <v>18</v>
      </c>
      <c r="AM1117">
        <v>0</v>
      </c>
      <c r="AO1117" t="s">
        <v>112</v>
      </c>
      <c r="AT1117">
        <v>42</v>
      </c>
      <c r="AV1117">
        <v>58</v>
      </c>
      <c r="AW1117">
        <v>0.46875</v>
      </c>
      <c r="AX1117">
        <v>3.75</v>
      </c>
      <c r="AY1117">
        <v>44.25</v>
      </c>
      <c r="AZ1117">
        <v>4</v>
      </c>
      <c r="BA1117">
        <v>458.33</v>
      </c>
      <c r="BB1117">
        <v>4.3</v>
      </c>
      <c r="BC1117">
        <v>48</v>
      </c>
      <c r="BD1117">
        <v>0.1875</v>
      </c>
      <c r="BE1117">
        <v>2.75</v>
      </c>
      <c r="BF1117">
        <v>18.5</v>
      </c>
      <c r="BG1117">
        <v>1.625</v>
      </c>
      <c r="BH1117">
        <v>14.37</v>
      </c>
      <c r="BI1117">
        <v>10.55</v>
      </c>
      <c r="BJ1117">
        <v>6</v>
      </c>
      <c r="BL1117">
        <v>472.7</v>
      </c>
      <c r="BM1117">
        <v>53</v>
      </c>
      <c r="BN1117">
        <v>278.20010000000002</v>
      </c>
      <c r="BO1117">
        <v>1341</v>
      </c>
      <c r="BP1117">
        <v>0</v>
      </c>
      <c r="BQ1117">
        <v>36</v>
      </c>
      <c r="BR1117">
        <v>36</v>
      </c>
      <c r="BS1117">
        <v>36.340000000000003</v>
      </c>
      <c r="BT1117">
        <v>0</v>
      </c>
      <c r="BV1117">
        <v>0</v>
      </c>
      <c r="BW1117" t="s">
        <v>655</v>
      </c>
      <c r="BX1117">
        <v>0.17</v>
      </c>
      <c r="BY1117">
        <v>6.1778000000000004</v>
      </c>
      <c r="BZ1117">
        <v>0</v>
      </c>
      <c r="CA1117">
        <v>1</v>
      </c>
      <c r="CB1117">
        <v>0.6</v>
      </c>
      <c r="CC1117" s="3">
        <v>7.1269159999999998E-2</v>
      </c>
      <c r="CD1117">
        <v>2.875</v>
      </c>
      <c r="CE1117">
        <v>2.5</v>
      </c>
      <c r="CF1117">
        <v>18</v>
      </c>
      <c r="CG1117">
        <v>6</v>
      </c>
      <c r="CH1117">
        <v>0</v>
      </c>
      <c r="CI1117">
        <v>36.340000000000003</v>
      </c>
      <c r="CJ1117">
        <v>414.06360000000001</v>
      </c>
    </row>
    <row r="1118" spans="1:88">
      <c r="A1118">
        <v>1117</v>
      </c>
      <c r="B1118" t="s">
        <v>0</v>
      </c>
      <c r="C1118" t="s">
        <v>1</v>
      </c>
      <c r="D1118" t="s">
        <v>109</v>
      </c>
      <c r="E1118" t="s">
        <v>340</v>
      </c>
      <c r="F1118" t="s">
        <v>428</v>
      </c>
      <c r="G1118" t="s">
        <v>15</v>
      </c>
      <c r="H1118" t="s">
        <v>429</v>
      </c>
      <c r="J1118">
        <v>2</v>
      </c>
      <c r="K1118" t="s">
        <v>108</v>
      </c>
      <c r="L1118" t="s">
        <v>131</v>
      </c>
      <c r="M1118" t="s">
        <v>359</v>
      </c>
      <c r="N1118" t="s">
        <v>259</v>
      </c>
      <c r="O1118">
        <v>138</v>
      </c>
      <c r="Q1118">
        <v>767</v>
      </c>
      <c r="R1118">
        <v>129</v>
      </c>
      <c r="S1118">
        <v>4.25</v>
      </c>
      <c r="T1118">
        <v>3.758</v>
      </c>
      <c r="U1118">
        <v>6.48</v>
      </c>
      <c r="V1118">
        <v>3258.94</v>
      </c>
      <c r="W1118">
        <v>834</v>
      </c>
      <c r="X1118">
        <v>1.3332999999999999</v>
      </c>
      <c r="Y1118">
        <v>640</v>
      </c>
      <c r="Z1118">
        <v>5.09</v>
      </c>
      <c r="AJ1118">
        <v>2</v>
      </c>
      <c r="AK1118">
        <v>18</v>
      </c>
      <c r="AM1118">
        <v>0</v>
      </c>
      <c r="AO1118" t="s">
        <v>237</v>
      </c>
      <c r="AT1118">
        <v>53</v>
      </c>
      <c r="AV1118">
        <v>74</v>
      </c>
      <c r="AW1118" t="s">
        <v>6</v>
      </c>
      <c r="AX1118" t="s">
        <v>6</v>
      </c>
      <c r="AY1118" t="s">
        <v>6</v>
      </c>
      <c r="AZ1118" t="s">
        <v>6</v>
      </c>
      <c r="BA1118" t="s">
        <v>6</v>
      </c>
      <c r="BB1118" t="s">
        <v>6</v>
      </c>
      <c r="BC1118" t="s">
        <v>6</v>
      </c>
      <c r="BD1118" t="s">
        <v>6</v>
      </c>
      <c r="BE1118" t="s">
        <v>6</v>
      </c>
      <c r="BF1118" t="s">
        <v>6</v>
      </c>
      <c r="BG1118" t="s">
        <v>6</v>
      </c>
      <c r="BH1118" t="s">
        <v>6</v>
      </c>
      <c r="BI1118" t="s">
        <v>6</v>
      </c>
      <c r="BJ1118" t="s">
        <v>6</v>
      </c>
      <c r="BN1118">
        <v>631.41510000000005</v>
      </c>
      <c r="BO1118">
        <v>2744</v>
      </c>
      <c r="BP1118">
        <v>0</v>
      </c>
      <c r="BQ1118">
        <v>47</v>
      </c>
      <c r="BR1118">
        <v>47</v>
      </c>
      <c r="BS1118">
        <v>47.13</v>
      </c>
      <c r="BT1118">
        <v>0</v>
      </c>
      <c r="BV1118">
        <v>0</v>
      </c>
      <c r="BW1118" t="s">
        <v>655</v>
      </c>
      <c r="BX1118">
        <v>0.17</v>
      </c>
      <c r="BY1118">
        <v>8.0121000000000002</v>
      </c>
      <c r="BZ1118">
        <v>0</v>
      </c>
      <c r="CA1118">
        <v>1</v>
      </c>
      <c r="CB1118">
        <v>0.6</v>
      </c>
      <c r="CC1118" s="3">
        <v>7.1269159999999998E-2</v>
      </c>
      <c r="CD1118">
        <v>2.875</v>
      </c>
      <c r="CE1118">
        <v>2.5</v>
      </c>
      <c r="CF1118">
        <v>18</v>
      </c>
      <c r="CG1118">
        <v>6</v>
      </c>
      <c r="CH1118">
        <v>0</v>
      </c>
      <c r="CI1118">
        <v>47.13</v>
      </c>
      <c r="CJ1118">
        <v>684.79880000000003</v>
      </c>
    </row>
    <row r="1119" spans="1:88">
      <c r="A1119">
        <v>1118</v>
      </c>
      <c r="B1119" t="s">
        <v>13</v>
      </c>
      <c r="C1119" t="s">
        <v>1</v>
      </c>
      <c r="D1119" t="s">
        <v>268</v>
      </c>
      <c r="E1119" t="s">
        <v>268</v>
      </c>
      <c r="F1119" t="s">
        <v>308</v>
      </c>
      <c r="G1119" t="s">
        <v>106</v>
      </c>
      <c r="H1119" t="s">
        <v>174</v>
      </c>
      <c r="J1119">
        <v>2</v>
      </c>
      <c r="K1119" t="s">
        <v>146</v>
      </c>
      <c r="L1119" t="s">
        <v>133</v>
      </c>
      <c r="M1119" t="s">
        <v>270</v>
      </c>
      <c r="N1119" t="s">
        <v>153</v>
      </c>
      <c r="O1119">
        <v>123</v>
      </c>
      <c r="Q1119">
        <v>394</v>
      </c>
      <c r="R1119">
        <v>76</v>
      </c>
      <c r="S1119">
        <v>4.25</v>
      </c>
      <c r="T1119">
        <v>3.3849999999999998</v>
      </c>
      <c r="U1119">
        <v>6.22</v>
      </c>
      <c r="V1119">
        <v>1674.62</v>
      </c>
      <c r="W1119">
        <v>474</v>
      </c>
      <c r="X1119">
        <v>1.3332999999999999</v>
      </c>
      <c r="Y1119">
        <v>356</v>
      </c>
      <c r="Z1119">
        <v>4.71</v>
      </c>
      <c r="AJ1119">
        <v>2</v>
      </c>
      <c r="AK1119">
        <v>18</v>
      </c>
      <c r="AM1119">
        <v>0</v>
      </c>
      <c r="AO1119" t="s">
        <v>312</v>
      </c>
      <c r="AT1119">
        <v>48</v>
      </c>
      <c r="AV1119">
        <v>41.9</v>
      </c>
      <c r="AW1119">
        <v>0</v>
      </c>
      <c r="AX1119">
        <v>0</v>
      </c>
      <c r="AY1119">
        <v>57</v>
      </c>
      <c r="AZ1119">
        <v>4.375</v>
      </c>
      <c r="BA1119">
        <v>0</v>
      </c>
      <c r="BB1119">
        <v>0</v>
      </c>
      <c r="BC1119">
        <v>61</v>
      </c>
      <c r="BN1119">
        <v>199.73339999999999</v>
      </c>
      <c r="BO1119">
        <v>2601</v>
      </c>
      <c r="BP1119">
        <v>0</v>
      </c>
      <c r="BQ1119">
        <v>42</v>
      </c>
      <c r="BR1119">
        <v>42</v>
      </c>
      <c r="BS1119">
        <v>41.91</v>
      </c>
      <c r="BT1119">
        <v>0</v>
      </c>
      <c r="BV1119">
        <v>0</v>
      </c>
      <c r="BW1119" t="s">
        <v>655</v>
      </c>
      <c r="BX1119">
        <v>0.17</v>
      </c>
      <c r="BY1119">
        <v>7.1246999999999998</v>
      </c>
      <c r="BZ1119">
        <v>0</v>
      </c>
      <c r="CA1119">
        <v>1</v>
      </c>
      <c r="CB1119">
        <v>0.6</v>
      </c>
      <c r="CC1119" s="3">
        <v>7.1269159999999998E-2</v>
      </c>
      <c r="CD1119">
        <v>2.875</v>
      </c>
      <c r="CE1119">
        <v>2.5</v>
      </c>
      <c r="CF1119">
        <v>18</v>
      </c>
      <c r="CG1119">
        <v>6</v>
      </c>
      <c r="CH1119">
        <v>0</v>
      </c>
      <c r="CI1119">
        <v>41.91</v>
      </c>
      <c r="CJ1119">
        <v>344.98579999999998</v>
      </c>
    </row>
    <row r="1120" spans="1:88">
      <c r="A1120">
        <v>1119</v>
      </c>
      <c r="B1120" t="s">
        <v>13</v>
      </c>
      <c r="C1120" t="s">
        <v>1</v>
      </c>
      <c r="D1120" t="s">
        <v>143</v>
      </c>
      <c r="E1120" t="s">
        <v>231</v>
      </c>
      <c r="F1120" t="s">
        <v>144</v>
      </c>
      <c r="G1120" t="s">
        <v>106</v>
      </c>
      <c r="H1120" t="s">
        <v>145</v>
      </c>
      <c r="J1120">
        <v>2</v>
      </c>
      <c r="K1120" t="s">
        <v>146</v>
      </c>
      <c r="L1120" t="s">
        <v>3</v>
      </c>
      <c r="M1120" t="s">
        <v>405</v>
      </c>
      <c r="N1120" t="s">
        <v>151</v>
      </c>
      <c r="O1120">
        <v>105</v>
      </c>
      <c r="Q1120">
        <v>434</v>
      </c>
      <c r="R1120">
        <v>95</v>
      </c>
      <c r="S1120">
        <v>4.25</v>
      </c>
      <c r="T1120">
        <v>2.9180000000000001</v>
      </c>
      <c r="U1120">
        <v>6</v>
      </c>
      <c r="V1120">
        <v>1846.02</v>
      </c>
      <c r="W1120">
        <v>568</v>
      </c>
      <c r="X1120">
        <v>1.3332999999999999</v>
      </c>
      <c r="Y1120">
        <v>434</v>
      </c>
      <c r="Z1120">
        <v>4.25</v>
      </c>
      <c r="AJ1120">
        <v>2</v>
      </c>
      <c r="AK1120">
        <v>18</v>
      </c>
      <c r="AM1120">
        <v>0</v>
      </c>
      <c r="AO1120" t="s">
        <v>149</v>
      </c>
      <c r="AT1120">
        <v>42</v>
      </c>
      <c r="AV1120">
        <v>53.5</v>
      </c>
      <c r="AW1120">
        <v>0</v>
      </c>
      <c r="AX1120">
        <v>0</v>
      </c>
      <c r="AY1120">
        <v>46.625</v>
      </c>
      <c r="AZ1120">
        <v>4</v>
      </c>
      <c r="BA1120">
        <v>0</v>
      </c>
      <c r="BB1120">
        <v>0</v>
      </c>
      <c r="BC1120">
        <v>50</v>
      </c>
      <c r="BN1120">
        <v>256.80009999999999</v>
      </c>
      <c r="BO1120">
        <v>1574</v>
      </c>
      <c r="BP1120">
        <v>0</v>
      </c>
      <c r="BQ1120">
        <v>36</v>
      </c>
      <c r="BR1120">
        <v>36</v>
      </c>
      <c r="BS1120">
        <v>35.65</v>
      </c>
      <c r="BT1120">
        <v>0</v>
      </c>
      <c r="BV1120">
        <v>0</v>
      </c>
      <c r="BW1120" t="s">
        <v>655</v>
      </c>
      <c r="BX1120">
        <v>0.17</v>
      </c>
      <c r="BY1120">
        <v>6.0605000000000002</v>
      </c>
      <c r="BZ1120">
        <v>0</v>
      </c>
      <c r="CA1120">
        <v>1</v>
      </c>
      <c r="CB1120">
        <v>0.6</v>
      </c>
      <c r="CC1120" s="3">
        <v>7.1269159999999998E-2</v>
      </c>
      <c r="CD1120">
        <v>2.875</v>
      </c>
      <c r="CE1120">
        <v>2.5</v>
      </c>
      <c r="CF1120">
        <v>18</v>
      </c>
      <c r="CG1120">
        <v>6</v>
      </c>
      <c r="CH1120">
        <v>0</v>
      </c>
      <c r="CI1120">
        <v>35.65</v>
      </c>
      <c r="CJ1120">
        <v>374.76</v>
      </c>
    </row>
    <row r="1121" spans="1:88">
      <c r="A1121">
        <v>1120</v>
      </c>
      <c r="B1121" t="s">
        <v>13</v>
      </c>
      <c r="C1121" t="s">
        <v>1</v>
      </c>
      <c r="D1121" t="s">
        <v>99</v>
      </c>
      <c r="E1121" t="s">
        <v>219</v>
      </c>
      <c r="F1121" t="s">
        <v>296</v>
      </c>
      <c r="G1121" t="s">
        <v>106</v>
      </c>
      <c r="H1121" t="s">
        <v>165</v>
      </c>
      <c r="J1121">
        <v>2</v>
      </c>
      <c r="K1121" t="s">
        <v>146</v>
      </c>
      <c r="L1121" t="s">
        <v>369</v>
      </c>
      <c r="M1121" t="s">
        <v>220</v>
      </c>
      <c r="N1121" t="s">
        <v>221</v>
      </c>
      <c r="O1121">
        <v>101</v>
      </c>
      <c r="Q1121">
        <v>403</v>
      </c>
      <c r="R1121">
        <v>91</v>
      </c>
      <c r="S1121">
        <v>4.25</v>
      </c>
      <c r="T1121">
        <v>2.8119999999999998</v>
      </c>
      <c r="U1121">
        <v>5.92</v>
      </c>
      <c r="V1121">
        <v>1711.39</v>
      </c>
      <c r="W1121">
        <v>540</v>
      </c>
      <c r="X1121">
        <v>1.3332999999999999</v>
      </c>
      <c r="Y1121">
        <v>413</v>
      </c>
      <c r="Z1121">
        <v>4.1399999999999997</v>
      </c>
      <c r="AJ1121">
        <v>2</v>
      </c>
      <c r="AK1121">
        <v>18</v>
      </c>
      <c r="AM1121">
        <v>0</v>
      </c>
      <c r="AO1121" t="s">
        <v>252</v>
      </c>
      <c r="AT1121">
        <v>40</v>
      </c>
      <c r="AV1121">
        <v>51.3</v>
      </c>
      <c r="AW1121">
        <v>0</v>
      </c>
      <c r="AX1121">
        <v>0</v>
      </c>
      <c r="AY1121">
        <v>49</v>
      </c>
      <c r="AZ1121">
        <v>3.875</v>
      </c>
      <c r="BA1121">
        <v>0</v>
      </c>
      <c r="BB1121">
        <v>0</v>
      </c>
      <c r="BC1121">
        <v>53</v>
      </c>
      <c r="BN1121">
        <v>246.1</v>
      </c>
      <c r="BO1121">
        <v>1713</v>
      </c>
      <c r="BP1121">
        <v>0</v>
      </c>
      <c r="BQ1121">
        <v>34</v>
      </c>
      <c r="BR1121">
        <v>34</v>
      </c>
      <c r="BS1121">
        <v>34.26</v>
      </c>
      <c r="BT1121">
        <v>0</v>
      </c>
      <c r="BV1121">
        <v>0</v>
      </c>
      <c r="BW1121" t="s">
        <v>655</v>
      </c>
      <c r="BX1121">
        <v>0.17</v>
      </c>
      <c r="BY1121">
        <v>5.8242000000000003</v>
      </c>
      <c r="BZ1121">
        <v>0</v>
      </c>
      <c r="CA1121">
        <v>1</v>
      </c>
      <c r="CB1121">
        <v>0.6</v>
      </c>
      <c r="CC1121" s="3">
        <v>7.1269159999999998E-2</v>
      </c>
      <c r="CD1121">
        <v>2.875</v>
      </c>
      <c r="CE1121">
        <v>2.5</v>
      </c>
      <c r="CF1121">
        <v>18</v>
      </c>
      <c r="CG1121">
        <v>6</v>
      </c>
      <c r="CH1121">
        <v>0</v>
      </c>
      <c r="CI1121">
        <v>34.26</v>
      </c>
      <c r="CJ1121">
        <v>345.49790000000002</v>
      </c>
    </row>
    <row r="1122" spans="1:88">
      <c r="A1122">
        <v>1121</v>
      </c>
      <c r="B1122" t="s">
        <v>0</v>
      </c>
      <c r="C1122" t="s">
        <v>1</v>
      </c>
      <c r="D1122" t="s">
        <v>172</v>
      </c>
      <c r="E1122" t="s">
        <v>293</v>
      </c>
      <c r="F1122" t="s">
        <v>359</v>
      </c>
      <c r="G1122" t="s">
        <v>106</v>
      </c>
      <c r="H1122" t="s">
        <v>330</v>
      </c>
      <c r="J1122">
        <v>2</v>
      </c>
      <c r="K1122" t="s">
        <v>146</v>
      </c>
      <c r="L1122" t="s">
        <v>552</v>
      </c>
      <c r="M1122" t="s">
        <v>465</v>
      </c>
      <c r="N1122" t="s">
        <v>145</v>
      </c>
      <c r="O1122">
        <v>151</v>
      </c>
      <c r="Q1122">
        <v>532</v>
      </c>
      <c r="R1122">
        <v>84</v>
      </c>
      <c r="S1122">
        <v>4.25</v>
      </c>
      <c r="T1122">
        <v>4.0720000000000001</v>
      </c>
      <c r="U1122">
        <v>6.75</v>
      </c>
      <c r="V1122">
        <v>2262.9899999999998</v>
      </c>
      <c r="W1122">
        <v>569</v>
      </c>
      <c r="X1122">
        <v>1.3332999999999999</v>
      </c>
      <c r="Y1122">
        <v>419</v>
      </c>
      <c r="Z1122">
        <v>5.4</v>
      </c>
      <c r="AJ1122">
        <v>2</v>
      </c>
      <c r="AK1122">
        <v>18</v>
      </c>
      <c r="AM1122">
        <v>0</v>
      </c>
      <c r="AO1122" t="s">
        <v>360</v>
      </c>
      <c r="AT1122">
        <v>58</v>
      </c>
      <c r="AV1122">
        <v>47</v>
      </c>
      <c r="AW1122">
        <v>0.46875</v>
      </c>
      <c r="AX1122">
        <v>3.75</v>
      </c>
      <c r="AY1122">
        <v>55.5</v>
      </c>
      <c r="AZ1122">
        <v>5</v>
      </c>
      <c r="BA1122">
        <v>364.96</v>
      </c>
      <c r="BB1122">
        <v>5.4</v>
      </c>
      <c r="BC1122">
        <v>60</v>
      </c>
      <c r="BD1122">
        <v>0.25</v>
      </c>
      <c r="BE1122">
        <v>2.75</v>
      </c>
      <c r="BF1122">
        <v>21.25</v>
      </c>
      <c r="BG1122">
        <v>2.75</v>
      </c>
      <c r="BH1122">
        <v>54.11</v>
      </c>
      <c r="BI1122">
        <v>6.34</v>
      </c>
      <c r="BJ1122">
        <v>9</v>
      </c>
      <c r="BL1122">
        <v>419.07</v>
      </c>
      <c r="BM1122">
        <v>68</v>
      </c>
      <c r="BN1122">
        <v>224.70009999999999</v>
      </c>
      <c r="BO1122">
        <v>2055</v>
      </c>
      <c r="BP1122">
        <v>0</v>
      </c>
      <c r="BQ1122">
        <v>52</v>
      </c>
      <c r="BR1122">
        <v>52</v>
      </c>
      <c r="BS1122">
        <v>51.65</v>
      </c>
      <c r="BT1122">
        <v>0</v>
      </c>
      <c r="BV1122">
        <v>0</v>
      </c>
      <c r="BW1122" t="s">
        <v>655</v>
      </c>
      <c r="BX1122">
        <v>0.17</v>
      </c>
      <c r="BY1122">
        <v>8.7805009999999992</v>
      </c>
      <c r="BZ1122">
        <v>0</v>
      </c>
      <c r="CA1122">
        <v>1</v>
      </c>
      <c r="CB1122">
        <v>0.6</v>
      </c>
      <c r="CC1122" s="3">
        <v>7.1269159999999998E-2</v>
      </c>
      <c r="CD1122">
        <v>2.875</v>
      </c>
      <c r="CE1122">
        <v>2.5</v>
      </c>
      <c r="CF1122">
        <v>18</v>
      </c>
      <c r="CG1122">
        <v>6</v>
      </c>
      <c r="CH1122">
        <v>0</v>
      </c>
      <c r="CI1122">
        <v>51.65</v>
      </c>
      <c r="CJ1122">
        <v>476.69630000000001</v>
      </c>
    </row>
    <row r="1123" spans="1:88">
      <c r="A1123">
        <v>1122</v>
      </c>
      <c r="B1123" t="s">
        <v>0</v>
      </c>
      <c r="C1123" t="s">
        <v>1</v>
      </c>
      <c r="D1123" t="s">
        <v>96</v>
      </c>
      <c r="E1123" t="s">
        <v>297</v>
      </c>
      <c r="F1123" t="s">
        <v>198</v>
      </c>
      <c r="G1123" t="s">
        <v>106</v>
      </c>
      <c r="H1123" t="s">
        <v>162</v>
      </c>
      <c r="J1123">
        <v>2</v>
      </c>
      <c r="K1123" t="s">
        <v>146</v>
      </c>
      <c r="L1123" t="s">
        <v>212</v>
      </c>
      <c r="M1123" t="s">
        <v>299</v>
      </c>
      <c r="N1123" t="s">
        <v>300</v>
      </c>
      <c r="O1123">
        <v>175</v>
      </c>
      <c r="Q1123">
        <v>583</v>
      </c>
      <c r="R1123">
        <v>81</v>
      </c>
      <c r="S1123">
        <v>4.25</v>
      </c>
      <c r="T1123">
        <v>4.6280000000000001</v>
      </c>
      <c r="U1123">
        <v>7.01</v>
      </c>
      <c r="V1123">
        <v>2478.2600000000002</v>
      </c>
      <c r="W1123">
        <v>567</v>
      </c>
      <c r="X1123">
        <v>1.3332999999999999</v>
      </c>
      <c r="Y1123">
        <v>416</v>
      </c>
      <c r="Z1123">
        <v>5.96</v>
      </c>
      <c r="AJ1123">
        <v>2</v>
      </c>
      <c r="AK1123">
        <v>18</v>
      </c>
      <c r="AM1123">
        <v>0</v>
      </c>
      <c r="AO1123" t="s">
        <v>166</v>
      </c>
      <c r="AT1123">
        <v>66</v>
      </c>
      <c r="AV1123">
        <v>44.8</v>
      </c>
      <c r="AW1123">
        <v>0.46875</v>
      </c>
      <c r="AX1123">
        <v>3.75</v>
      </c>
      <c r="AY1123">
        <v>61.25</v>
      </c>
      <c r="AZ1123">
        <v>5.625</v>
      </c>
      <c r="BA1123">
        <v>330.67</v>
      </c>
      <c r="BB1123">
        <v>5.96</v>
      </c>
      <c r="BC1123">
        <v>66</v>
      </c>
      <c r="BD1123">
        <v>0.3125</v>
      </c>
      <c r="BE1123">
        <v>2.75</v>
      </c>
      <c r="BF1123">
        <v>42.25</v>
      </c>
      <c r="BG1123">
        <v>3.75</v>
      </c>
      <c r="BH1123">
        <v>85.13</v>
      </c>
      <c r="BI1123">
        <v>7.5</v>
      </c>
      <c r="BJ1123">
        <v>22</v>
      </c>
      <c r="BL1123">
        <v>415.8</v>
      </c>
      <c r="BM1123">
        <v>88</v>
      </c>
      <c r="BN1123">
        <v>214</v>
      </c>
      <c r="BO1123">
        <v>2266</v>
      </c>
      <c r="BP1123">
        <v>0</v>
      </c>
      <c r="BQ1123">
        <v>60</v>
      </c>
      <c r="BR1123">
        <v>60</v>
      </c>
      <c r="BS1123">
        <v>60</v>
      </c>
      <c r="BT1123">
        <v>0</v>
      </c>
      <c r="BV1123">
        <v>0</v>
      </c>
      <c r="BW1123" t="s">
        <v>655</v>
      </c>
      <c r="BX1123">
        <v>0.17</v>
      </c>
      <c r="BY1123">
        <v>10.199999999999999</v>
      </c>
      <c r="BZ1123">
        <v>0</v>
      </c>
      <c r="CA1123">
        <v>1</v>
      </c>
      <c r="CB1123">
        <v>0.6</v>
      </c>
      <c r="CC1123" s="3">
        <v>7.1269159999999998E-2</v>
      </c>
      <c r="CD1123">
        <v>2.875</v>
      </c>
      <c r="CE1123">
        <v>2.5</v>
      </c>
      <c r="CF1123">
        <v>18</v>
      </c>
      <c r="CG1123">
        <v>6</v>
      </c>
      <c r="CH1123">
        <v>0</v>
      </c>
      <c r="CI1123">
        <v>60</v>
      </c>
      <c r="CJ1123">
        <v>528.10450000000003</v>
      </c>
    </row>
    <row r="1124" spans="1:88">
      <c r="A1124">
        <v>1123</v>
      </c>
      <c r="B1124" t="s">
        <v>0</v>
      </c>
      <c r="C1124" t="s">
        <v>1</v>
      </c>
      <c r="D1124" t="s">
        <v>278</v>
      </c>
      <c r="E1124" t="s">
        <v>280</v>
      </c>
      <c r="F1124" t="s">
        <v>239</v>
      </c>
      <c r="G1124" t="s">
        <v>15</v>
      </c>
      <c r="H1124" t="s">
        <v>458</v>
      </c>
      <c r="J1124">
        <v>2</v>
      </c>
      <c r="K1124" t="s">
        <v>108</v>
      </c>
      <c r="L1124" t="s">
        <v>324</v>
      </c>
      <c r="M1124" t="s">
        <v>544</v>
      </c>
      <c r="N1124" t="s">
        <v>545</v>
      </c>
      <c r="O1124">
        <v>227</v>
      </c>
      <c r="Q1124">
        <v>1198</v>
      </c>
      <c r="R1124">
        <v>138</v>
      </c>
      <c r="S1124">
        <v>4.25</v>
      </c>
      <c r="T1124">
        <v>5.7519999999999998</v>
      </c>
      <c r="U1124">
        <v>7.68</v>
      </c>
      <c r="V1124">
        <v>5091.75</v>
      </c>
      <c r="W1124">
        <v>1057</v>
      </c>
      <c r="X1124">
        <v>1.5</v>
      </c>
      <c r="Y1124">
        <v>702</v>
      </c>
      <c r="Z1124">
        <v>7.25</v>
      </c>
      <c r="AJ1124">
        <v>2</v>
      </c>
      <c r="AK1124">
        <v>18</v>
      </c>
      <c r="AM1124">
        <v>0</v>
      </c>
      <c r="AO1124" t="s">
        <v>401</v>
      </c>
      <c r="AT1124">
        <v>84</v>
      </c>
      <c r="AV1124">
        <v>72.5</v>
      </c>
      <c r="AW1124" t="s">
        <v>6</v>
      </c>
      <c r="AX1124" t="s">
        <v>6</v>
      </c>
      <c r="AY1124" t="s">
        <v>6</v>
      </c>
      <c r="AZ1124" t="s">
        <v>6</v>
      </c>
      <c r="BA1124" t="s">
        <v>6</v>
      </c>
      <c r="BB1124" t="s">
        <v>6</v>
      </c>
      <c r="BC1124" t="s">
        <v>6</v>
      </c>
      <c r="BD1124" t="s">
        <v>6</v>
      </c>
      <c r="BE1124" t="s">
        <v>6</v>
      </c>
      <c r="BF1124" t="s">
        <v>6</v>
      </c>
      <c r="BG1124" t="s">
        <v>6</v>
      </c>
      <c r="BH1124" t="s">
        <v>6</v>
      </c>
      <c r="BI1124" t="s">
        <v>6</v>
      </c>
      <c r="BJ1124" t="s">
        <v>6</v>
      </c>
      <c r="BN1124">
        <v>618.78679999999997</v>
      </c>
      <c r="BO1124">
        <v>2857</v>
      </c>
      <c r="BP1124">
        <v>0</v>
      </c>
      <c r="BQ1124">
        <v>78</v>
      </c>
      <c r="BR1124">
        <v>78</v>
      </c>
      <c r="BS1124">
        <v>78.08</v>
      </c>
      <c r="BT1124">
        <v>0</v>
      </c>
      <c r="BV1124">
        <v>0</v>
      </c>
      <c r="BW1124" t="s">
        <v>655</v>
      </c>
      <c r="BX1124">
        <v>0.17</v>
      </c>
      <c r="BY1124">
        <v>13.2736</v>
      </c>
      <c r="BZ1124">
        <v>0</v>
      </c>
      <c r="CA1124">
        <v>1</v>
      </c>
      <c r="CB1124">
        <v>0.6</v>
      </c>
      <c r="CC1124" s="3">
        <v>7.1269159999999998E-2</v>
      </c>
      <c r="CD1124">
        <v>2.875</v>
      </c>
      <c r="CE1124">
        <v>2.5</v>
      </c>
      <c r="CF1124">
        <v>18</v>
      </c>
      <c r="CG1124">
        <v>6</v>
      </c>
      <c r="CH1124">
        <v>0</v>
      </c>
      <c r="CI1124">
        <v>78.08</v>
      </c>
      <c r="CJ1124">
        <v>1112.2439999999999</v>
      </c>
    </row>
    <row r="1125" spans="1:88">
      <c r="A1125">
        <v>1124</v>
      </c>
      <c r="B1125" t="s">
        <v>0</v>
      </c>
      <c r="C1125" t="s">
        <v>1</v>
      </c>
      <c r="D1125" t="s">
        <v>348</v>
      </c>
      <c r="E1125" t="s">
        <v>399</v>
      </c>
      <c r="F1125" t="s">
        <v>576</v>
      </c>
      <c r="G1125" t="s">
        <v>106</v>
      </c>
      <c r="H1125" t="s">
        <v>577</v>
      </c>
      <c r="J1125">
        <v>2</v>
      </c>
      <c r="K1125" t="s">
        <v>108</v>
      </c>
      <c r="L1125" t="s">
        <v>172</v>
      </c>
      <c r="M1125" t="s">
        <v>463</v>
      </c>
      <c r="N1125" t="s">
        <v>229</v>
      </c>
      <c r="O1125">
        <v>117</v>
      </c>
      <c r="Q1125">
        <v>541</v>
      </c>
      <c r="R1125">
        <v>106</v>
      </c>
      <c r="S1125">
        <v>4.25</v>
      </c>
      <c r="T1125">
        <v>3.2320000000000002</v>
      </c>
      <c r="U1125">
        <v>6.26</v>
      </c>
      <c r="V1125">
        <v>2298.9</v>
      </c>
      <c r="W1125">
        <v>662</v>
      </c>
      <c r="X1125">
        <v>1.3332999999999999</v>
      </c>
      <c r="Y1125">
        <v>504</v>
      </c>
      <c r="Z1125">
        <v>4.5599999999999996</v>
      </c>
      <c r="AJ1125">
        <v>2</v>
      </c>
      <c r="AK1125">
        <v>18</v>
      </c>
      <c r="AM1125">
        <v>0</v>
      </c>
      <c r="AO1125" t="s">
        <v>578</v>
      </c>
      <c r="AT1125">
        <v>46</v>
      </c>
      <c r="AV1125">
        <v>60.5</v>
      </c>
      <c r="AW1125">
        <v>0.46875</v>
      </c>
      <c r="AX1125">
        <v>3.75</v>
      </c>
      <c r="AY1125">
        <v>46.875</v>
      </c>
      <c r="AZ1125">
        <v>4.25</v>
      </c>
      <c r="BA1125">
        <v>432.19</v>
      </c>
      <c r="BB1125">
        <v>4.5599999999999996</v>
      </c>
      <c r="BC1125">
        <v>50</v>
      </c>
      <c r="BD1125">
        <v>0.25</v>
      </c>
      <c r="BE1125">
        <v>2.75</v>
      </c>
      <c r="BF1125">
        <v>16</v>
      </c>
      <c r="BG1125">
        <v>2.25</v>
      </c>
      <c r="BH1125">
        <v>71.95</v>
      </c>
      <c r="BI1125">
        <v>4.7699999999999996</v>
      </c>
      <c r="BJ1125">
        <v>7</v>
      </c>
      <c r="BL1125">
        <v>504.14</v>
      </c>
      <c r="BM1125">
        <v>57</v>
      </c>
      <c r="BN1125">
        <v>290.68340000000001</v>
      </c>
      <c r="BO1125">
        <v>1228</v>
      </c>
      <c r="BP1125">
        <v>0</v>
      </c>
      <c r="BQ1125">
        <v>40</v>
      </c>
      <c r="BR1125">
        <v>40</v>
      </c>
      <c r="BS1125">
        <v>39.82</v>
      </c>
      <c r="BT1125">
        <v>0</v>
      </c>
      <c r="BV1125">
        <v>0</v>
      </c>
      <c r="BW1125" t="s">
        <v>655</v>
      </c>
      <c r="BX1125">
        <v>0.17</v>
      </c>
      <c r="BY1125">
        <v>6.7694000000000001</v>
      </c>
      <c r="BZ1125">
        <v>0</v>
      </c>
      <c r="CA1125">
        <v>1</v>
      </c>
      <c r="CB1125">
        <v>0.6</v>
      </c>
      <c r="CC1125" s="3">
        <v>7.1269159999999998E-2</v>
      </c>
      <c r="CD1125">
        <v>2.875</v>
      </c>
      <c r="CE1125">
        <v>2.5</v>
      </c>
      <c r="CF1125">
        <v>18</v>
      </c>
      <c r="CG1125">
        <v>6</v>
      </c>
      <c r="CH1125">
        <v>0</v>
      </c>
      <c r="CI1125">
        <v>39.82</v>
      </c>
      <c r="CJ1125">
        <v>473.58089999999999</v>
      </c>
    </row>
    <row r="1126" spans="1:88">
      <c r="A1126">
        <v>1125</v>
      </c>
      <c r="B1126" t="s">
        <v>0</v>
      </c>
      <c r="C1126" t="s">
        <v>1</v>
      </c>
      <c r="D1126" t="s">
        <v>145</v>
      </c>
      <c r="E1126" t="s">
        <v>104</v>
      </c>
      <c r="F1126" t="s">
        <v>206</v>
      </c>
      <c r="G1126" t="s">
        <v>106</v>
      </c>
      <c r="H1126" t="s">
        <v>207</v>
      </c>
      <c r="J1126">
        <v>2</v>
      </c>
      <c r="K1126" t="s">
        <v>146</v>
      </c>
      <c r="L1126" t="s">
        <v>109</v>
      </c>
      <c r="M1126" t="s">
        <v>110</v>
      </c>
      <c r="N1126" t="s">
        <v>111</v>
      </c>
      <c r="O1126">
        <v>191</v>
      </c>
      <c r="Q1126">
        <v>749</v>
      </c>
      <c r="R1126">
        <v>94</v>
      </c>
      <c r="S1126">
        <v>4.25</v>
      </c>
      <c r="T1126">
        <v>4.9850000000000003</v>
      </c>
      <c r="U1126">
        <v>7.27</v>
      </c>
      <c r="V1126">
        <v>3182.48</v>
      </c>
      <c r="W1126">
        <v>684</v>
      </c>
      <c r="X1126">
        <v>1.3332999999999999</v>
      </c>
      <c r="Y1126">
        <v>504</v>
      </c>
      <c r="Z1126">
        <v>6.31</v>
      </c>
      <c r="AJ1126">
        <v>2</v>
      </c>
      <c r="AK1126">
        <v>18</v>
      </c>
      <c r="AM1126">
        <v>0</v>
      </c>
      <c r="AO1126" t="s">
        <v>211</v>
      </c>
      <c r="AT1126">
        <v>72</v>
      </c>
      <c r="AV1126">
        <v>53.1</v>
      </c>
      <c r="AW1126">
        <v>0.4375</v>
      </c>
      <c r="AX1126">
        <v>3.75</v>
      </c>
      <c r="AY1126">
        <v>56.375</v>
      </c>
      <c r="AZ1126">
        <v>5.5</v>
      </c>
      <c r="BA1126">
        <v>252.17</v>
      </c>
      <c r="BB1126">
        <v>6.52</v>
      </c>
      <c r="BC1126">
        <v>57</v>
      </c>
      <c r="BD1126">
        <v>0.4375</v>
      </c>
      <c r="BE1126">
        <v>3.75</v>
      </c>
      <c r="BF1126">
        <v>56.375</v>
      </c>
      <c r="BG1126">
        <v>5.5</v>
      </c>
      <c r="BH1126">
        <v>252.17</v>
      </c>
      <c r="BI1126">
        <v>6.52</v>
      </c>
      <c r="BJ1126">
        <v>57</v>
      </c>
      <c r="BL1126">
        <v>504.34</v>
      </c>
      <c r="BM1126">
        <v>114</v>
      </c>
      <c r="BN1126">
        <v>255.01669999999999</v>
      </c>
      <c r="BO1126">
        <v>1596</v>
      </c>
      <c r="BP1126">
        <v>0</v>
      </c>
      <c r="BQ1126">
        <v>66</v>
      </c>
      <c r="BR1126">
        <v>66</v>
      </c>
      <c r="BS1126">
        <v>65.56</v>
      </c>
      <c r="BT1126">
        <v>0</v>
      </c>
      <c r="BV1126">
        <v>0</v>
      </c>
      <c r="BW1126" t="s">
        <v>655</v>
      </c>
      <c r="BX1126">
        <v>0.17</v>
      </c>
      <c r="BY1126">
        <v>11.145200000000001</v>
      </c>
      <c r="BZ1126">
        <v>0</v>
      </c>
      <c r="CA1126">
        <v>1</v>
      </c>
      <c r="CB1126">
        <v>0.6</v>
      </c>
      <c r="CC1126" s="3">
        <v>7.1269159999999998E-2</v>
      </c>
      <c r="CD1126">
        <v>2.875</v>
      </c>
      <c r="CE1126">
        <v>2.5</v>
      </c>
      <c r="CF1126">
        <v>18</v>
      </c>
      <c r="CG1126">
        <v>6</v>
      </c>
      <c r="CH1126">
        <v>0</v>
      </c>
      <c r="CI1126">
        <v>65.56</v>
      </c>
      <c r="CJ1126">
        <v>684.50739999999996</v>
      </c>
    </row>
    <row r="1127" spans="1:88">
      <c r="A1127">
        <v>1126</v>
      </c>
      <c r="B1127" t="s">
        <v>13</v>
      </c>
      <c r="C1127" t="s">
        <v>1</v>
      </c>
      <c r="D1127" t="s">
        <v>320</v>
      </c>
      <c r="E1127" t="s">
        <v>180</v>
      </c>
      <c r="F1127" t="s">
        <v>321</v>
      </c>
      <c r="G1127" t="s">
        <v>106</v>
      </c>
      <c r="H1127" t="s">
        <v>322</v>
      </c>
      <c r="J1127">
        <v>2</v>
      </c>
      <c r="K1127" t="s">
        <v>146</v>
      </c>
      <c r="L1127" t="s">
        <v>190</v>
      </c>
      <c r="M1127" t="s">
        <v>319</v>
      </c>
      <c r="N1127" t="s">
        <v>219</v>
      </c>
      <c r="O1127">
        <v>98</v>
      </c>
      <c r="Q1127">
        <v>146</v>
      </c>
      <c r="R1127">
        <v>35</v>
      </c>
      <c r="S1127">
        <v>4.25</v>
      </c>
      <c r="T1127">
        <v>2.7309999999999999</v>
      </c>
      <c r="U1127">
        <v>5.88</v>
      </c>
      <c r="V1127">
        <v>621.42999999999995</v>
      </c>
      <c r="W1127">
        <v>203</v>
      </c>
      <c r="X1127">
        <v>1.3332999999999999</v>
      </c>
      <c r="Y1127">
        <v>153</v>
      </c>
      <c r="Z1127">
        <v>4.0599999999999996</v>
      </c>
      <c r="AJ1127">
        <v>2</v>
      </c>
      <c r="AK1127">
        <v>18</v>
      </c>
      <c r="AM1127">
        <v>0</v>
      </c>
      <c r="AO1127" t="s">
        <v>323</v>
      </c>
      <c r="AT1127">
        <v>39</v>
      </c>
      <c r="AV1127">
        <v>18.600000000000001</v>
      </c>
      <c r="AW1127">
        <v>0</v>
      </c>
      <c r="AX1127">
        <v>0</v>
      </c>
      <c r="AY1127">
        <v>16.625</v>
      </c>
      <c r="AZ1127">
        <v>2.5</v>
      </c>
      <c r="BA1127">
        <v>0</v>
      </c>
      <c r="BB1127">
        <v>0</v>
      </c>
      <c r="BC1127">
        <v>12</v>
      </c>
      <c r="BN1127">
        <v>85.600009999999997</v>
      </c>
      <c r="BO1127">
        <v>14162</v>
      </c>
      <c r="BP1127">
        <v>0</v>
      </c>
      <c r="BQ1127">
        <v>33</v>
      </c>
      <c r="BR1127">
        <v>33</v>
      </c>
      <c r="BS1127">
        <v>33.21</v>
      </c>
      <c r="BT1127">
        <v>0</v>
      </c>
      <c r="BV1127">
        <v>0</v>
      </c>
      <c r="BW1127" t="s">
        <v>655</v>
      </c>
      <c r="BX1127">
        <v>0.17</v>
      </c>
      <c r="BY1127">
        <v>5.6456999999999997</v>
      </c>
      <c r="BZ1127">
        <v>0</v>
      </c>
      <c r="CA1127">
        <v>1</v>
      </c>
      <c r="CB1127">
        <v>0.6</v>
      </c>
      <c r="CC1127" s="3">
        <v>7.1269159999999998E-2</v>
      </c>
      <c r="CD1127">
        <v>2.875</v>
      </c>
      <c r="CE1127">
        <v>2.5</v>
      </c>
      <c r="CF1127">
        <v>18</v>
      </c>
      <c r="CG1127">
        <v>6</v>
      </c>
      <c r="CH1127">
        <v>0</v>
      </c>
      <c r="CI1127">
        <v>33.21</v>
      </c>
      <c r="CJ1127">
        <v>121.8927</v>
      </c>
    </row>
    <row r="1128" spans="1:88">
      <c r="A1128">
        <v>1127</v>
      </c>
      <c r="B1128" t="s">
        <v>0</v>
      </c>
      <c r="C1128" t="s">
        <v>1</v>
      </c>
      <c r="D1128" t="s">
        <v>2</v>
      </c>
      <c r="E1128" t="s">
        <v>176</v>
      </c>
      <c r="F1128" t="s">
        <v>154</v>
      </c>
      <c r="G1128" t="s">
        <v>106</v>
      </c>
      <c r="H1128" t="s">
        <v>217</v>
      </c>
      <c r="J1128">
        <v>2</v>
      </c>
      <c r="K1128" t="s">
        <v>146</v>
      </c>
      <c r="L1128" t="s">
        <v>167</v>
      </c>
      <c r="M1128" t="s">
        <v>226</v>
      </c>
      <c r="N1128" t="s">
        <v>227</v>
      </c>
      <c r="O1128">
        <v>113</v>
      </c>
      <c r="Q1128">
        <v>315</v>
      </c>
      <c r="R1128">
        <v>67</v>
      </c>
      <c r="S1128">
        <v>4.25</v>
      </c>
      <c r="T1128">
        <v>3.1280000000000001</v>
      </c>
      <c r="U1128">
        <v>6.18</v>
      </c>
      <c r="V1128">
        <v>1339.43</v>
      </c>
      <c r="W1128">
        <v>414</v>
      </c>
      <c r="X1128">
        <v>1.3332999999999999</v>
      </c>
      <c r="Y1128">
        <v>300</v>
      </c>
      <c r="Z1128">
        <v>4.46</v>
      </c>
      <c r="AJ1128">
        <v>2</v>
      </c>
      <c r="AK1128">
        <v>18</v>
      </c>
      <c r="AM1128">
        <v>0</v>
      </c>
      <c r="AO1128" t="s">
        <v>218</v>
      </c>
      <c r="AT1128">
        <v>45</v>
      </c>
      <c r="AV1128">
        <v>36.1</v>
      </c>
      <c r="AW1128">
        <v>0</v>
      </c>
      <c r="AX1128">
        <v>0</v>
      </c>
      <c r="AY1128">
        <v>32.375</v>
      </c>
      <c r="AZ1128">
        <v>3.625</v>
      </c>
      <c r="BA1128">
        <v>0</v>
      </c>
      <c r="BB1128">
        <v>0</v>
      </c>
      <c r="BC1128">
        <v>31</v>
      </c>
      <c r="BN1128">
        <v>171.2</v>
      </c>
      <c r="BO1128">
        <v>3540</v>
      </c>
      <c r="BP1128">
        <v>0</v>
      </c>
      <c r="BQ1128">
        <v>38</v>
      </c>
      <c r="BR1128">
        <v>38</v>
      </c>
      <c r="BS1128">
        <v>38.43</v>
      </c>
      <c r="BT1128">
        <v>0</v>
      </c>
      <c r="BV1128">
        <v>0</v>
      </c>
      <c r="BW1128" t="s">
        <v>655</v>
      </c>
      <c r="BX1128">
        <v>0.17</v>
      </c>
      <c r="BY1128">
        <v>6.5331000000000001</v>
      </c>
      <c r="BZ1128">
        <v>0</v>
      </c>
      <c r="CA1128">
        <v>1</v>
      </c>
      <c r="CB1128">
        <v>0.6</v>
      </c>
      <c r="CC1128" s="3">
        <v>7.1269159999999998E-2</v>
      </c>
      <c r="CD1128">
        <v>2.875</v>
      </c>
      <c r="CE1128">
        <v>2.5</v>
      </c>
      <c r="CF1128">
        <v>18</v>
      </c>
      <c r="CG1128">
        <v>6</v>
      </c>
      <c r="CH1128">
        <v>0</v>
      </c>
      <c r="CI1128">
        <v>38.43</v>
      </c>
      <c r="CJ1128">
        <v>272.5179</v>
      </c>
    </row>
    <row r="1129" spans="1:88">
      <c r="A1129">
        <v>1128</v>
      </c>
      <c r="B1129" t="s">
        <v>0</v>
      </c>
      <c r="C1129" t="s">
        <v>1</v>
      </c>
      <c r="D1129" t="s">
        <v>381</v>
      </c>
      <c r="E1129" t="s">
        <v>293</v>
      </c>
      <c r="F1129" t="s">
        <v>132</v>
      </c>
      <c r="G1129" t="s">
        <v>106</v>
      </c>
      <c r="H1129" t="s">
        <v>340</v>
      </c>
      <c r="J1129">
        <v>2</v>
      </c>
      <c r="K1129" t="s">
        <v>146</v>
      </c>
      <c r="L1129" t="s">
        <v>552</v>
      </c>
      <c r="M1129" t="s">
        <v>465</v>
      </c>
      <c r="N1129" t="s">
        <v>145</v>
      </c>
      <c r="O1129">
        <v>151</v>
      </c>
      <c r="Q1129">
        <v>541</v>
      </c>
      <c r="R1129">
        <v>85</v>
      </c>
      <c r="S1129">
        <v>4.25</v>
      </c>
      <c r="T1129">
        <v>4.0720000000000001</v>
      </c>
      <c r="U1129">
        <v>6.75</v>
      </c>
      <c r="V1129">
        <v>2297.37</v>
      </c>
      <c r="W1129">
        <v>577</v>
      </c>
      <c r="X1129">
        <v>1.3332999999999999</v>
      </c>
      <c r="Y1129">
        <v>425</v>
      </c>
      <c r="Z1129">
        <v>5.4</v>
      </c>
      <c r="AJ1129">
        <v>2</v>
      </c>
      <c r="AK1129">
        <v>18</v>
      </c>
      <c r="AM1129">
        <v>0</v>
      </c>
      <c r="AO1129" t="s">
        <v>359</v>
      </c>
      <c r="AT1129">
        <v>58</v>
      </c>
      <c r="AV1129">
        <v>47.7</v>
      </c>
      <c r="AW1129">
        <v>0.46875</v>
      </c>
      <c r="AX1129">
        <v>3.75</v>
      </c>
      <c r="AY1129">
        <v>55.5</v>
      </c>
      <c r="AZ1129">
        <v>5</v>
      </c>
      <c r="BA1129">
        <v>364.96</v>
      </c>
      <c r="BB1129">
        <v>5.4</v>
      </c>
      <c r="BC1129">
        <v>60</v>
      </c>
      <c r="BD1129">
        <v>0.25</v>
      </c>
      <c r="BE1129">
        <v>2.75</v>
      </c>
      <c r="BF1129">
        <v>19</v>
      </c>
      <c r="BG1129">
        <v>2.75</v>
      </c>
      <c r="BH1129">
        <v>60.47</v>
      </c>
      <c r="BI1129">
        <v>5.67</v>
      </c>
      <c r="BJ1129">
        <v>8</v>
      </c>
      <c r="BL1129">
        <v>425.43</v>
      </c>
      <c r="BM1129">
        <v>67</v>
      </c>
      <c r="BN1129">
        <v>228.26669999999999</v>
      </c>
      <c r="BO1129">
        <v>1992</v>
      </c>
      <c r="BP1129">
        <v>0</v>
      </c>
      <c r="BQ1129">
        <v>52</v>
      </c>
      <c r="BR1129">
        <v>52</v>
      </c>
      <c r="BS1129">
        <v>51.65</v>
      </c>
      <c r="BT1129">
        <v>0</v>
      </c>
      <c r="BV1129">
        <v>0</v>
      </c>
      <c r="BW1129" t="s">
        <v>655</v>
      </c>
      <c r="BX1129">
        <v>0.17</v>
      </c>
      <c r="BY1129">
        <v>8.7805009999999992</v>
      </c>
      <c r="BZ1129">
        <v>0</v>
      </c>
      <c r="CA1129">
        <v>1</v>
      </c>
      <c r="CB1129">
        <v>0.6</v>
      </c>
      <c r="CC1129" s="3">
        <v>7.1269159999999998E-2</v>
      </c>
      <c r="CD1129">
        <v>2.875</v>
      </c>
      <c r="CE1129">
        <v>2.5</v>
      </c>
      <c r="CF1129">
        <v>18</v>
      </c>
      <c r="CG1129">
        <v>6</v>
      </c>
      <c r="CH1129">
        <v>0</v>
      </c>
      <c r="CI1129">
        <v>51.65</v>
      </c>
      <c r="CJ1129">
        <v>484.05829999999997</v>
      </c>
    </row>
    <row r="1130" spans="1:88">
      <c r="A1130">
        <v>1129</v>
      </c>
      <c r="B1130" t="s">
        <v>0</v>
      </c>
      <c r="C1130" t="s">
        <v>1</v>
      </c>
      <c r="D1130" t="s">
        <v>241</v>
      </c>
      <c r="E1130" t="s">
        <v>127</v>
      </c>
      <c r="F1130" t="s">
        <v>345</v>
      </c>
      <c r="G1130" t="s">
        <v>106</v>
      </c>
      <c r="H1130" t="s">
        <v>283</v>
      </c>
      <c r="J1130">
        <v>2</v>
      </c>
      <c r="K1130" t="s">
        <v>146</v>
      </c>
      <c r="L1130" t="s">
        <v>338</v>
      </c>
      <c r="M1130" t="s">
        <v>189</v>
      </c>
      <c r="N1130" t="s">
        <v>190</v>
      </c>
      <c r="O1130">
        <v>115</v>
      </c>
      <c r="Q1130">
        <v>260</v>
      </c>
      <c r="R1130">
        <v>51</v>
      </c>
      <c r="S1130">
        <v>4.25</v>
      </c>
      <c r="T1130">
        <v>3.18</v>
      </c>
      <c r="U1130">
        <v>6.22</v>
      </c>
      <c r="V1130">
        <v>1106.52</v>
      </c>
      <c r="W1130">
        <v>318</v>
      </c>
      <c r="X1130">
        <v>1.3332999999999999</v>
      </c>
      <c r="Y1130">
        <v>245</v>
      </c>
      <c r="Z1130">
        <v>4.51</v>
      </c>
      <c r="AJ1130">
        <v>2</v>
      </c>
      <c r="AK1130">
        <v>18</v>
      </c>
      <c r="AM1130">
        <v>0</v>
      </c>
      <c r="AO1130" t="s">
        <v>374</v>
      </c>
      <c r="AT1130">
        <v>45</v>
      </c>
      <c r="AV1130">
        <v>29.2</v>
      </c>
      <c r="AW1130">
        <v>0</v>
      </c>
      <c r="AX1130">
        <v>0</v>
      </c>
      <c r="AY1130">
        <v>39.625</v>
      </c>
      <c r="AZ1130">
        <v>3.625</v>
      </c>
      <c r="BA1130">
        <v>0</v>
      </c>
      <c r="BB1130">
        <v>0</v>
      </c>
      <c r="BC1130">
        <v>38</v>
      </c>
      <c r="BN1130">
        <v>137.3167</v>
      </c>
      <c r="BO1130">
        <v>5503</v>
      </c>
      <c r="BP1130">
        <v>0</v>
      </c>
      <c r="BQ1130">
        <v>39</v>
      </c>
      <c r="BR1130">
        <v>39</v>
      </c>
      <c r="BS1130">
        <v>39.130000000000003</v>
      </c>
      <c r="BT1130">
        <v>0</v>
      </c>
      <c r="BV1130">
        <v>0</v>
      </c>
      <c r="BW1130" t="s">
        <v>655</v>
      </c>
      <c r="BX1130">
        <v>0.17</v>
      </c>
      <c r="BY1130">
        <v>6.6520999999999999</v>
      </c>
      <c r="BZ1130">
        <v>0</v>
      </c>
      <c r="CA1130">
        <v>1</v>
      </c>
      <c r="CB1130">
        <v>0.6</v>
      </c>
      <c r="CC1130" s="3">
        <v>7.1269159999999998E-2</v>
      </c>
      <c r="CD1130">
        <v>2.875</v>
      </c>
      <c r="CE1130">
        <v>2.5</v>
      </c>
      <c r="CF1130">
        <v>18</v>
      </c>
      <c r="CG1130">
        <v>6</v>
      </c>
      <c r="CH1130">
        <v>0</v>
      </c>
      <c r="CI1130">
        <v>39.130000000000003</v>
      </c>
      <c r="CJ1130">
        <v>224.49539999999999</v>
      </c>
    </row>
    <row r="1131" spans="1:88">
      <c r="A1131">
        <v>1130</v>
      </c>
      <c r="B1131" t="s">
        <v>13</v>
      </c>
      <c r="C1131" t="s">
        <v>1</v>
      </c>
      <c r="D1131" t="s">
        <v>259</v>
      </c>
      <c r="E1131" t="s">
        <v>382</v>
      </c>
      <c r="F1131" t="s">
        <v>301</v>
      </c>
      <c r="G1131" t="s">
        <v>106</v>
      </c>
      <c r="H1131" t="s">
        <v>128</v>
      </c>
      <c r="J1131">
        <v>2</v>
      </c>
      <c r="K1131" t="s">
        <v>146</v>
      </c>
      <c r="L1131" t="s">
        <v>229</v>
      </c>
      <c r="M1131" t="s">
        <v>318</v>
      </c>
      <c r="N1131" t="s">
        <v>366</v>
      </c>
      <c r="O1131">
        <v>100</v>
      </c>
      <c r="Q1131">
        <v>377</v>
      </c>
      <c r="R1131">
        <v>87</v>
      </c>
      <c r="S1131">
        <v>4.25</v>
      </c>
      <c r="T1131">
        <v>2.7850000000000001</v>
      </c>
      <c r="U1131">
        <v>5.92</v>
      </c>
      <c r="V1131">
        <v>1601.57</v>
      </c>
      <c r="W1131">
        <v>512</v>
      </c>
      <c r="X1131">
        <v>1.3332999999999999</v>
      </c>
      <c r="Y1131">
        <v>390</v>
      </c>
      <c r="Z1131">
        <v>4.1100000000000003</v>
      </c>
      <c r="AJ1131">
        <v>2</v>
      </c>
      <c r="AK1131">
        <v>18</v>
      </c>
      <c r="AM1131">
        <v>0</v>
      </c>
      <c r="AO1131" t="s">
        <v>132</v>
      </c>
      <c r="AT1131">
        <v>40</v>
      </c>
      <c r="AV1131">
        <v>48.4</v>
      </c>
      <c r="AW1131">
        <v>0</v>
      </c>
      <c r="AX1131">
        <v>0</v>
      </c>
      <c r="AY1131">
        <v>36.5</v>
      </c>
      <c r="AZ1131">
        <v>3.625</v>
      </c>
      <c r="BA1131">
        <v>0</v>
      </c>
      <c r="BB1131">
        <v>0</v>
      </c>
      <c r="BC1131">
        <v>37</v>
      </c>
      <c r="BN1131">
        <v>231.83340000000001</v>
      </c>
      <c r="BO1131">
        <v>1931</v>
      </c>
      <c r="BP1131">
        <v>0</v>
      </c>
      <c r="BQ1131">
        <v>34</v>
      </c>
      <c r="BR1131">
        <v>34</v>
      </c>
      <c r="BS1131">
        <v>33.909999999999997</v>
      </c>
      <c r="BT1131">
        <v>0</v>
      </c>
      <c r="BV1131">
        <v>0</v>
      </c>
      <c r="BW1131" t="s">
        <v>655</v>
      </c>
      <c r="BX1131">
        <v>0.17</v>
      </c>
      <c r="BY1131">
        <v>5.7647000000000004</v>
      </c>
      <c r="BZ1131">
        <v>0</v>
      </c>
      <c r="CA1131">
        <v>1</v>
      </c>
      <c r="CB1131">
        <v>0.6</v>
      </c>
      <c r="CC1131" s="3">
        <v>7.1269159999999998E-2</v>
      </c>
      <c r="CD1131">
        <v>2.875</v>
      </c>
      <c r="CE1131">
        <v>2.5</v>
      </c>
      <c r="CF1131">
        <v>18</v>
      </c>
      <c r="CG1131">
        <v>6</v>
      </c>
      <c r="CH1131">
        <v>0</v>
      </c>
      <c r="CI1131">
        <v>33.909999999999997</v>
      </c>
      <c r="CJ1131">
        <v>322.63440000000003</v>
      </c>
    </row>
    <row r="1132" spans="1:88">
      <c r="A1132">
        <v>1131</v>
      </c>
      <c r="B1132" t="s">
        <v>0</v>
      </c>
      <c r="C1132" t="s">
        <v>1</v>
      </c>
      <c r="D1132" t="s">
        <v>341</v>
      </c>
      <c r="E1132" t="s">
        <v>2</v>
      </c>
      <c r="F1132" t="s">
        <v>343</v>
      </c>
      <c r="G1132" t="s">
        <v>106</v>
      </c>
      <c r="H1132" t="s">
        <v>344</v>
      </c>
      <c r="J1132">
        <v>2</v>
      </c>
      <c r="K1132" t="s">
        <v>146</v>
      </c>
      <c r="L1132" t="s">
        <v>122</v>
      </c>
      <c r="M1132" t="s">
        <v>4</v>
      </c>
      <c r="N1132" t="s">
        <v>5</v>
      </c>
      <c r="O1132">
        <v>107</v>
      </c>
      <c r="Q1132">
        <v>229</v>
      </c>
      <c r="R1132">
        <v>48</v>
      </c>
      <c r="S1132">
        <v>4.25</v>
      </c>
      <c r="T1132">
        <v>2.9710000000000001</v>
      </c>
      <c r="U1132">
        <v>6.07</v>
      </c>
      <c r="V1132">
        <v>973.71</v>
      </c>
      <c r="W1132">
        <v>293</v>
      </c>
      <c r="X1132">
        <v>1.3332999999999999</v>
      </c>
      <c r="Y1132">
        <v>226</v>
      </c>
      <c r="Z1132">
        <v>4.3</v>
      </c>
      <c r="AJ1132">
        <v>2</v>
      </c>
      <c r="AK1132">
        <v>18</v>
      </c>
      <c r="AM1132">
        <v>0</v>
      </c>
      <c r="AO1132" t="s">
        <v>347</v>
      </c>
      <c r="AT1132">
        <v>42</v>
      </c>
      <c r="AV1132">
        <v>27.4</v>
      </c>
      <c r="AW1132">
        <v>0</v>
      </c>
      <c r="AX1132">
        <v>0</v>
      </c>
      <c r="AY1132">
        <v>28.5</v>
      </c>
      <c r="AZ1132">
        <v>3.25</v>
      </c>
      <c r="BA1132">
        <v>0</v>
      </c>
      <c r="BB1132">
        <v>0</v>
      </c>
      <c r="BC1132">
        <v>25</v>
      </c>
      <c r="BN1132">
        <v>128.4</v>
      </c>
      <c r="BO1132">
        <v>6294</v>
      </c>
      <c r="BP1132">
        <v>0</v>
      </c>
      <c r="BQ1132">
        <v>36</v>
      </c>
      <c r="BR1132">
        <v>36</v>
      </c>
      <c r="BS1132">
        <v>36.340000000000003</v>
      </c>
      <c r="BT1132">
        <v>0</v>
      </c>
      <c r="BV1132">
        <v>0</v>
      </c>
      <c r="BW1132" t="s">
        <v>655</v>
      </c>
      <c r="BX1132">
        <v>0.17</v>
      </c>
      <c r="BY1132">
        <v>6.1778000000000004</v>
      </c>
      <c r="BZ1132">
        <v>0</v>
      </c>
      <c r="CA1132">
        <v>1</v>
      </c>
      <c r="CB1132">
        <v>0.6</v>
      </c>
      <c r="CC1132" s="3">
        <v>7.1269159999999998E-2</v>
      </c>
      <c r="CD1132">
        <v>2.875</v>
      </c>
      <c r="CE1132">
        <v>2.5</v>
      </c>
      <c r="CF1132">
        <v>18</v>
      </c>
      <c r="CG1132">
        <v>6</v>
      </c>
      <c r="CH1132">
        <v>0</v>
      </c>
      <c r="CI1132">
        <v>36.340000000000003</v>
      </c>
      <c r="CJ1132">
        <v>195.53899999999999</v>
      </c>
    </row>
    <row r="1133" spans="1:88">
      <c r="A1133">
        <v>1132</v>
      </c>
      <c r="B1133" t="s">
        <v>0</v>
      </c>
      <c r="C1133" t="s">
        <v>1</v>
      </c>
      <c r="D1133" t="s">
        <v>483</v>
      </c>
      <c r="E1133" t="s">
        <v>224</v>
      </c>
      <c r="F1133" t="s">
        <v>696</v>
      </c>
      <c r="G1133" t="s">
        <v>15</v>
      </c>
      <c r="H1133" t="s">
        <v>483</v>
      </c>
      <c r="J1133">
        <v>2</v>
      </c>
      <c r="K1133" t="s">
        <v>9</v>
      </c>
      <c r="L1133" t="s">
        <v>317</v>
      </c>
      <c r="M1133" t="s">
        <v>225</v>
      </c>
      <c r="N1133" t="s">
        <v>344</v>
      </c>
      <c r="O1133">
        <v>79</v>
      </c>
      <c r="Q1133">
        <v>619</v>
      </c>
      <c r="R1133">
        <v>171</v>
      </c>
      <c r="S1133">
        <v>4.25</v>
      </c>
      <c r="T1133">
        <v>2.2029999999999998</v>
      </c>
      <c r="U1133">
        <v>5.62</v>
      </c>
      <c r="V1133">
        <v>2631.85</v>
      </c>
      <c r="W1133">
        <v>961</v>
      </c>
      <c r="X1133">
        <v>1.3332999999999999</v>
      </c>
      <c r="Y1133">
        <v>746</v>
      </c>
      <c r="Z1133">
        <v>3.53</v>
      </c>
      <c r="AJ1133">
        <v>2</v>
      </c>
      <c r="AK1133">
        <v>18</v>
      </c>
      <c r="AM1133">
        <v>0</v>
      </c>
      <c r="AO1133" t="s">
        <v>697</v>
      </c>
      <c r="AT1133">
        <v>33</v>
      </c>
      <c r="AV1133">
        <v>98.3</v>
      </c>
      <c r="AW1133" t="s">
        <v>6</v>
      </c>
      <c r="AX1133" t="s">
        <v>6</v>
      </c>
      <c r="AY1133" t="s">
        <v>6</v>
      </c>
      <c r="AZ1133" t="s">
        <v>6</v>
      </c>
      <c r="BA1133" t="s">
        <v>6</v>
      </c>
      <c r="BB1133" t="s">
        <v>6</v>
      </c>
      <c r="BC1133" t="s">
        <v>6</v>
      </c>
      <c r="BD1133" t="s">
        <v>6</v>
      </c>
      <c r="BE1133" t="s">
        <v>6</v>
      </c>
      <c r="BF1133" t="s">
        <v>6</v>
      </c>
      <c r="BG1133" t="s">
        <v>6</v>
      </c>
      <c r="BH1133" t="s">
        <v>6</v>
      </c>
      <c r="BI1133" t="s">
        <v>6</v>
      </c>
      <c r="BJ1133" t="s">
        <v>6</v>
      </c>
      <c r="BN1133">
        <v>842.93910000000005</v>
      </c>
      <c r="BO1133">
        <v>1539</v>
      </c>
      <c r="BP1133">
        <v>0</v>
      </c>
      <c r="BQ1133">
        <v>27</v>
      </c>
      <c r="BR1133">
        <v>27</v>
      </c>
      <c r="BS1133">
        <v>26.6</v>
      </c>
      <c r="BT1133">
        <v>0</v>
      </c>
      <c r="BV1133">
        <v>6</v>
      </c>
      <c r="BW1133" t="s">
        <v>655</v>
      </c>
      <c r="BX1133">
        <v>0.27933340000000001</v>
      </c>
      <c r="BY1133">
        <v>7.4302679999999999</v>
      </c>
      <c r="BZ1133">
        <v>0</v>
      </c>
      <c r="CA1133">
        <v>1</v>
      </c>
      <c r="CB1133">
        <v>0.6</v>
      </c>
      <c r="CC1133" s="3">
        <v>7.1269159999999998E-2</v>
      </c>
      <c r="CD1133">
        <v>2.875</v>
      </c>
      <c r="CE1133">
        <v>2.5</v>
      </c>
      <c r="CF1133">
        <v>18</v>
      </c>
      <c r="CG1133">
        <v>6</v>
      </c>
      <c r="CH1133">
        <v>0</v>
      </c>
      <c r="CI1133">
        <v>26.6</v>
      </c>
      <c r="CJ1133">
        <v>513.51390000000004</v>
      </c>
    </row>
    <row r="1134" spans="1:88">
      <c r="A1134">
        <v>1133</v>
      </c>
      <c r="B1134" t="s">
        <v>0</v>
      </c>
      <c r="C1134" t="s">
        <v>1</v>
      </c>
      <c r="D1134" t="s">
        <v>233</v>
      </c>
      <c r="E1134" t="s">
        <v>99</v>
      </c>
      <c r="F1134" t="s">
        <v>271</v>
      </c>
      <c r="G1134" t="s">
        <v>106</v>
      </c>
      <c r="H1134" t="s">
        <v>279</v>
      </c>
      <c r="J1134">
        <v>2</v>
      </c>
      <c r="K1134" t="s">
        <v>146</v>
      </c>
      <c r="L1134" t="s">
        <v>393</v>
      </c>
      <c r="M1134" t="s">
        <v>184</v>
      </c>
      <c r="N1134" t="s">
        <v>185</v>
      </c>
      <c r="O1134">
        <v>149</v>
      </c>
      <c r="Q1134">
        <v>606</v>
      </c>
      <c r="R1134">
        <v>96</v>
      </c>
      <c r="S1134">
        <v>4.25</v>
      </c>
      <c r="T1134">
        <v>4.024</v>
      </c>
      <c r="U1134">
        <v>6.71</v>
      </c>
      <c r="V1134">
        <v>2574.56</v>
      </c>
      <c r="W1134">
        <v>643</v>
      </c>
      <c r="X1134">
        <v>1.3332999999999999</v>
      </c>
      <c r="Y1134">
        <v>481</v>
      </c>
      <c r="Z1134">
        <v>5.35</v>
      </c>
      <c r="AJ1134">
        <v>2</v>
      </c>
      <c r="AK1134">
        <v>18</v>
      </c>
      <c r="AM1134">
        <v>0</v>
      </c>
      <c r="AO1134" t="s">
        <v>144</v>
      </c>
      <c r="AT1134">
        <v>57</v>
      </c>
      <c r="AV1134">
        <v>54.2</v>
      </c>
      <c r="AW1134">
        <v>0.46875</v>
      </c>
      <c r="AX1134">
        <v>3.75</v>
      </c>
      <c r="AY1134">
        <v>55</v>
      </c>
      <c r="AZ1134">
        <v>5</v>
      </c>
      <c r="BA1134">
        <v>368.37</v>
      </c>
      <c r="BB1134">
        <v>5.35</v>
      </c>
      <c r="BC1134">
        <v>59</v>
      </c>
      <c r="BD1134">
        <v>0.3125</v>
      </c>
      <c r="BE1134">
        <v>2.75</v>
      </c>
      <c r="BF1134">
        <v>31.875</v>
      </c>
      <c r="BG1134">
        <v>3.375</v>
      </c>
      <c r="BH1134">
        <v>112.85</v>
      </c>
      <c r="BI1134">
        <v>5.66</v>
      </c>
      <c r="BJ1134">
        <v>17</v>
      </c>
      <c r="BL1134">
        <v>481.22</v>
      </c>
      <c r="BM1134">
        <v>76</v>
      </c>
      <c r="BN1134">
        <v>260.36669999999998</v>
      </c>
      <c r="BO1134">
        <v>1531</v>
      </c>
      <c r="BP1134">
        <v>0</v>
      </c>
      <c r="BQ1134">
        <v>51</v>
      </c>
      <c r="BR1134">
        <v>51</v>
      </c>
      <c r="BS1134">
        <v>50.95</v>
      </c>
      <c r="BT1134">
        <v>0</v>
      </c>
      <c r="BV1134">
        <v>0</v>
      </c>
      <c r="BW1134" t="s">
        <v>655</v>
      </c>
      <c r="BX1134">
        <v>0.17</v>
      </c>
      <c r="BY1134">
        <v>8.6615000000000002</v>
      </c>
      <c r="BZ1134">
        <v>0</v>
      </c>
      <c r="CA1134">
        <v>1</v>
      </c>
      <c r="CB1134">
        <v>0.6</v>
      </c>
      <c r="CC1134" s="3">
        <v>7.1269159999999998E-2</v>
      </c>
      <c r="CD1134">
        <v>2.875</v>
      </c>
      <c r="CE1134">
        <v>2.5</v>
      </c>
      <c r="CF1134">
        <v>18</v>
      </c>
      <c r="CG1134">
        <v>6</v>
      </c>
      <c r="CH1134">
        <v>0</v>
      </c>
      <c r="CI1134">
        <v>50.95</v>
      </c>
      <c r="CJ1134">
        <v>542.85900000000004</v>
      </c>
    </row>
    <row r="1135" spans="1:88">
      <c r="A1135">
        <v>1134</v>
      </c>
      <c r="B1135" t="s">
        <v>0</v>
      </c>
      <c r="C1135" t="s">
        <v>1</v>
      </c>
      <c r="D1135" t="s">
        <v>8</v>
      </c>
      <c r="E1135" t="s">
        <v>99</v>
      </c>
      <c r="F1135" t="s">
        <v>246</v>
      </c>
      <c r="G1135" t="s">
        <v>15</v>
      </c>
      <c r="H1135" t="s">
        <v>247</v>
      </c>
      <c r="J1135">
        <v>2</v>
      </c>
      <c r="K1135" t="s">
        <v>108</v>
      </c>
      <c r="L1135" t="s">
        <v>393</v>
      </c>
      <c r="M1135" t="s">
        <v>184</v>
      </c>
      <c r="N1135" t="s">
        <v>185</v>
      </c>
      <c r="O1135">
        <v>149</v>
      </c>
      <c r="Q1135">
        <v>791</v>
      </c>
      <c r="R1135">
        <v>124</v>
      </c>
      <c r="S1135">
        <v>4.25</v>
      </c>
      <c r="T1135">
        <v>4.024</v>
      </c>
      <c r="U1135">
        <v>6.71</v>
      </c>
      <c r="V1135">
        <v>3361.79</v>
      </c>
      <c r="W1135">
        <v>829</v>
      </c>
      <c r="X1135">
        <v>1.3332999999999999</v>
      </c>
      <c r="Y1135">
        <v>628</v>
      </c>
      <c r="Z1135">
        <v>5.35</v>
      </c>
      <c r="AJ1135">
        <v>2</v>
      </c>
      <c r="AK1135">
        <v>18</v>
      </c>
      <c r="AM1135">
        <v>0</v>
      </c>
      <c r="AO1135" t="s">
        <v>250</v>
      </c>
      <c r="AT1135">
        <v>57</v>
      </c>
      <c r="AV1135">
        <v>71.099999999999994</v>
      </c>
      <c r="AW1135" t="s">
        <v>6</v>
      </c>
      <c r="AX1135" t="s">
        <v>6</v>
      </c>
      <c r="AY1135" t="s">
        <v>6</v>
      </c>
      <c r="AZ1135" t="s">
        <v>6</v>
      </c>
      <c r="BA1135" t="s">
        <v>6</v>
      </c>
      <c r="BB1135" t="s">
        <v>6</v>
      </c>
      <c r="BC1135" t="s">
        <v>6</v>
      </c>
      <c r="BD1135" t="s">
        <v>6</v>
      </c>
      <c r="BE1135" t="s">
        <v>6</v>
      </c>
      <c r="BF1135" t="s">
        <v>6</v>
      </c>
      <c r="BG1135" t="s">
        <v>6</v>
      </c>
      <c r="BH1135" t="s">
        <v>6</v>
      </c>
      <c r="BI1135" t="s">
        <v>6</v>
      </c>
      <c r="BJ1135" t="s">
        <v>6</v>
      </c>
      <c r="BN1135">
        <v>606.1585</v>
      </c>
      <c r="BO1135">
        <v>2977</v>
      </c>
      <c r="BP1135">
        <v>0</v>
      </c>
      <c r="BQ1135">
        <v>51</v>
      </c>
      <c r="BR1135">
        <v>51</v>
      </c>
      <c r="BS1135">
        <v>50.95</v>
      </c>
      <c r="BT1135">
        <v>0</v>
      </c>
      <c r="BV1135">
        <v>0</v>
      </c>
      <c r="BW1135" t="s">
        <v>655</v>
      </c>
      <c r="BX1135">
        <v>0.17</v>
      </c>
      <c r="BY1135">
        <v>8.6615000000000002</v>
      </c>
      <c r="BZ1135">
        <v>0</v>
      </c>
      <c r="CA1135">
        <v>1</v>
      </c>
      <c r="CB1135">
        <v>0.6</v>
      </c>
      <c r="CC1135" s="3">
        <v>7.1269159999999998E-2</v>
      </c>
      <c r="CD1135">
        <v>2.875</v>
      </c>
      <c r="CE1135">
        <v>2.5</v>
      </c>
      <c r="CF1135">
        <v>18</v>
      </c>
      <c r="CG1135">
        <v>6</v>
      </c>
      <c r="CH1135">
        <v>0</v>
      </c>
      <c r="CI1135">
        <v>50.95</v>
      </c>
      <c r="CJ1135">
        <v>711.25409999999999</v>
      </c>
    </row>
    <row r="1136" spans="1:88">
      <c r="A1136">
        <v>1135</v>
      </c>
      <c r="B1136" t="s">
        <v>13</v>
      </c>
      <c r="C1136" t="s">
        <v>1</v>
      </c>
      <c r="D1136" t="s">
        <v>2</v>
      </c>
      <c r="E1136" t="s">
        <v>369</v>
      </c>
      <c r="F1136" t="s">
        <v>154</v>
      </c>
      <c r="G1136" t="s">
        <v>106</v>
      </c>
      <c r="H1136" t="s">
        <v>217</v>
      </c>
      <c r="J1136">
        <v>2</v>
      </c>
      <c r="K1136" t="s">
        <v>146</v>
      </c>
      <c r="L1136" t="s">
        <v>259</v>
      </c>
      <c r="M1136" t="s">
        <v>480</v>
      </c>
      <c r="N1136" t="s">
        <v>307</v>
      </c>
      <c r="O1136">
        <v>121</v>
      </c>
      <c r="Q1136">
        <v>335</v>
      </c>
      <c r="R1136">
        <v>67</v>
      </c>
      <c r="S1136">
        <v>4.25</v>
      </c>
      <c r="T1136">
        <v>3.3340000000000001</v>
      </c>
      <c r="U1136">
        <v>6.22</v>
      </c>
      <c r="V1136">
        <v>1425.19</v>
      </c>
      <c r="W1136">
        <v>417</v>
      </c>
      <c r="X1136">
        <v>1.3332999999999999</v>
      </c>
      <c r="Y1136">
        <v>306</v>
      </c>
      <c r="Z1136">
        <v>4.66</v>
      </c>
      <c r="AJ1136">
        <v>2</v>
      </c>
      <c r="AK1136">
        <v>18</v>
      </c>
      <c r="AM1136">
        <v>0</v>
      </c>
      <c r="AO1136" t="s">
        <v>218</v>
      </c>
      <c r="AT1136">
        <v>47</v>
      </c>
      <c r="AV1136">
        <v>36.1</v>
      </c>
      <c r="AW1136">
        <v>0</v>
      </c>
      <c r="AX1136">
        <v>0</v>
      </c>
      <c r="AY1136">
        <v>46.5</v>
      </c>
      <c r="AZ1136">
        <v>4.125</v>
      </c>
      <c r="BA1136">
        <v>0</v>
      </c>
      <c r="BB1136">
        <v>0</v>
      </c>
      <c r="BC1136">
        <v>47</v>
      </c>
      <c r="BN1136">
        <v>171.2</v>
      </c>
      <c r="BO1136">
        <v>3540</v>
      </c>
      <c r="BP1136">
        <v>0</v>
      </c>
      <c r="BQ1136">
        <v>41</v>
      </c>
      <c r="BR1136">
        <v>41</v>
      </c>
      <c r="BS1136">
        <v>41.21</v>
      </c>
      <c r="BT1136">
        <v>0</v>
      </c>
      <c r="BV1136">
        <v>0</v>
      </c>
      <c r="BW1136" t="s">
        <v>655</v>
      </c>
      <c r="BX1136">
        <v>0.17</v>
      </c>
      <c r="BY1136">
        <v>7.0057</v>
      </c>
      <c r="BZ1136">
        <v>0</v>
      </c>
      <c r="CA1136">
        <v>1</v>
      </c>
      <c r="CB1136">
        <v>0.6</v>
      </c>
      <c r="CC1136" s="3">
        <v>7.1269159999999998E-2</v>
      </c>
      <c r="CD1136">
        <v>2.875</v>
      </c>
      <c r="CE1136">
        <v>2.5</v>
      </c>
      <c r="CF1136">
        <v>18</v>
      </c>
      <c r="CG1136">
        <v>6</v>
      </c>
      <c r="CH1136">
        <v>0</v>
      </c>
      <c r="CI1136">
        <v>41.21</v>
      </c>
      <c r="CJ1136">
        <v>292.23169999999999</v>
      </c>
    </row>
    <row r="1137" spans="1:88">
      <c r="A1137">
        <v>1136</v>
      </c>
      <c r="B1137" t="s">
        <v>0</v>
      </c>
      <c r="C1137" t="s">
        <v>1</v>
      </c>
      <c r="D1137" t="s">
        <v>99</v>
      </c>
      <c r="E1137" t="s">
        <v>219</v>
      </c>
      <c r="F1137" t="s">
        <v>296</v>
      </c>
      <c r="G1137" t="s">
        <v>106</v>
      </c>
      <c r="H1137" t="s">
        <v>165</v>
      </c>
      <c r="J1137">
        <v>2</v>
      </c>
      <c r="K1137" t="s">
        <v>146</v>
      </c>
      <c r="L1137" t="s">
        <v>369</v>
      </c>
      <c r="M1137" t="s">
        <v>220</v>
      </c>
      <c r="N1137" t="s">
        <v>221</v>
      </c>
      <c r="O1137">
        <v>101</v>
      </c>
      <c r="Q1137">
        <v>403</v>
      </c>
      <c r="R1137">
        <v>91</v>
      </c>
      <c r="S1137">
        <v>4.25</v>
      </c>
      <c r="T1137">
        <v>2.8119999999999998</v>
      </c>
      <c r="U1137">
        <v>5.92</v>
      </c>
      <c r="V1137">
        <v>1711.39</v>
      </c>
      <c r="W1137">
        <v>540</v>
      </c>
      <c r="X1137">
        <v>1.3332999999999999</v>
      </c>
      <c r="Y1137">
        <v>413</v>
      </c>
      <c r="Z1137">
        <v>4.1399999999999997</v>
      </c>
      <c r="AJ1137">
        <v>2</v>
      </c>
      <c r="AK1137">
        <v>18</v>
      </c>
      <c r="AM1137">
        <v>0</v>
      </c>
      <c r="AO1137" t="s">
        <v>252</v>
      </c>
      <c r="AT1137">
        <v>40</v>
      </c>
      <c r="AV1137">
        <v>51.3</v>
      </c>
      <c r="AW1137">
        <v>0</v>
      </c>
      <c r="AX1137">
        <v>0</v>
      </c>
      <c r="AY1137">
        <v>49</v>
      </c>
      <c r="AZ1137">
        <v>3.875</v>
      </c>
      <c r="BA1137">
        <v>0</v>
      </c>
      <c r="BB1137">
        <v>0</v>
      </c>
      <c r="BC1137">
        <v>53</v>
      </c>
      <c r="BN1137">
        <v>246.1</v>
      </c>
      <c r="BO1137">
        <v>1713</v>
      </c>
      <c r="BP1137">
        <v>0</v>
      </c>
      <c r="BQ1137">
        <v>34</v>
      </c>
      <c r="BR1137">
        <v>34</v>
      </c>
      <c r="BS1137">
        <v>34.26</v>
      </c>
      <c r="BT1137">
        <v>0</v>
      </c>
      <c r="BV1137">
        <v>0</v>
      </c>
      <c r="BW1137" t="s">
        <v>655</v>
      </c>
      <c r="BX1137">
        <v>0.17</v>
      </c>
      <c r="BY1137">
        <v>5.8242000000000003</v>
      </c>
      <c r="BZ1137">
        <v>0</v>
      </c>
      <c r="CA1137">
        <v>1</v>
      </c>
      <c r="CB1137">
        <v>0.6</v>
      </c>
      <c r="CC1137" s="3">
        <v>7.1269159999999998E-2</v>
      </c>
      <c r="CD1137">
        <v>2.875</v>
      </c>
      <c r="CE1137">
        <v>2.5</v>
      </c>
      <c r="CF1137">
        <v>18</v>
      </c>
      <c r="CG1137">
        <v>6</v>
      </c>
      <c r="CH1137">
        <v>0</v>
      </c>
      <c r="CI1137">
        <v>34.26</v>
      </c>
      <c r="CJ1137">
        <v>345.49790000000002</v>
      </c>
    </row>
    <row r="1138" spans="1:88">
      <c r="A1138">
        <v>1137</v>
      </c>
      <c r="B1138" t="s">
        <v>0</v>
      </c>
      <c r="C1138" t="s">
        <v>1</v>
      </c>
      <c r="D1138" t="s">
        <v>139</v>
      </c>
      <c r="E1138" t="s">
        <v>2</v>
      </c>
      <c r="F1138" t="s">
        <v>155</v>
      </c>
      <c r="G1138" t="s">
        <v>106</v>
      </c>
      <c r="H1138" t="s">
        <v>151</v>
      </c>
      <c r="J1138">
        <v>2</v>
      </c>
      <c r="K1138" t="s">
        <v>146</v>
      </c>
      <c r="L1138" t="s">
        <v>122</v>
      </c>
      <c r="M1138" t="s">
        <v>4</v>
      </c>
      <c r="N1138" t="s">
        <v>5</v>
      </c>
      <c r="O1138">
        <v>107</v>
      </c>
      <c r="Q1138">
        <v>306</v>
      </c>
      <c r="R1138">
        <v>68</v>
      </c>
      <c r="S1138">
        <v>4.25</v>
      </c>
      <c r="T1138">
        <v>2.9710000000000001</v>
      </c>
      <c r="U1138">
        <v>6.07</v>
      </c>
      <c r="V1138">
        <v>1300.03</v>
      </c>
      <c r="W1138">
        <v>414</v>
      </c>
      <c r="X1138">
        <v>1.3332999999999999</v>
      </c>
      <c r="Y1138">
        <v>302</v>
      </c>
      <c r="Z1138">
        <v>4.3</v>
      </c>
      <c r="AJ1138">
        <v>2</v>
      </c>
      <c r="AK1138">
        <v>18</v>
      </c>
      <c r="AM1138">
        <v>0</v>
      </c>
      <c r="AO1138" t="s">
        <v>154</v>
      </c>
      <c r="AT1138">
        <v>42</v>
      </c>
      <c r="AV1138">
        <v>36.799999999999997</v>
      </c>
      <c r="AW1138">
        <v>0</v>
      </c>
      <c r="AX1138">
        <v>0</v>
      </c>
      <c r="AY1138">
        <v>32.125</v>
      </c>
      <c r="AZ1138">
        <v>3.5</v>
      </c>
      <c r="BA1138">
        <v>0</v>
      </c>
      <c r="BB1138">
        <v>0</v>
      </c>
      <c r="BC1138">
        <v>31</v>
      </c>
      <c r="BN1138">
        <v>174.76669999999999</v>
      </c>
      <c r="BO1138">
        <v>3397</v>
      </c>
      <c r="BP1138">
        <v>0</v>
      </c>
      <c r="BQ1138">
        <v>36</v>
      </c>
      <c r="BR1138">
        <v>36</v>
      </c>
      <c r="BS1138">
        <v>36.340000000000003</v>
      </c>
      <c r="BT1138">
        <v>0</v>
      </c>
      <c r="BV1138">
        <v>0</v>
      </c>
      <c r="BW1138" t="s">
        <v>655</v>
      </c>
      <c r="BX1138">
        <v>0.17</v>
      </c>
      <c r="BY1138">
        <v>6.1778000000000004</v>
      </c>
      <c r="BZ1138">
        <v>0</v>
      </c>
      <c r="CA1138">
        <v>1</v>
      </c>
      <c r="CB1138">
        <v>0.6</v>
      </c>
      <c r="CC1138" s="3">
        <v>7.1269159999999998E-2</v>
      </c>
      <c r="CD1138">
        <v>2.875</v>
      </c>
      <c r="CE1138">
        <v>2.5</v>
      </c>
      <c r="CF1138">
        <v>18</v>
      </c>
      <c r="CG1138">
        <v>6</v>
      </c>
      <c r="CH1138">
        <v>0</v>
      </c>
      <c r="CI1138">
        <v>36.340000000000003</v>
      </c>
      <c r="CJ1138">
        <v>262.87700000000001</v>
      </c>
    </row>
    <row r="1139" spans="1:88">
      <c r="A1139">
        <v>1138</v>
      </c>
      <c r="B1139" t="s">
        <v>13</v>
      </c>
      <c r="C1139" t="s">
        <v>1</v>
      </c>
      <c r="D1139" t="s">
        <v>284</v>
      </c>
      <c r="E1139" t="s">
        <v>2</v>
      </c>
      <c r="F1139" t="s">
        <v>374</v>
      </c>
      <c r="G1139" t="s">
        <v>106</v>
      </c>
      <c r="H1139" t="s">
        <v>448</v>
      </c>
      <c r="J1139">
        <v>2</v>
      </c>
      <c r="K1139" t="s">
        <v>146</v>
      </c>
      <c r="L1139" t="s">
        <v>122</v>
      </c>
      <c r="M1139" t="s">
        <v>4</v>
      </c>
      <c r="N1139" t="s">
        <v>5</v>
      </c>
      <c r="O1139">
        <v>107</v>
      </c>
      <c r="Q1139">
        <v>238</v>
      </c>
      <c r="R1139">
        <v>50</v>
      </c>
      <c r="S1139">
        <v>4.25</v>
      </c>
      <c r="T1139">
        <v>2.9710000000000001</v>
      </c>
      <c r="U1139">
        <v>6.07</v>
      </c>
      <c r="V1139">
        <v>1011.37</v>
      </c>
      <c r="W1139">
        <v>304</v>
      </c>
      <c r="X1139">
        <v>1.3332999999999999</v>
      </c>
      <c r="Y1139">
        <v>235</v>
      </c>
      <c r="Z1139">
        <v>4.3</v>
      </c>
      <c r="AJ1139">
        <v>2</v>
      </c>
      <c r="AK1139">
        <v>18</v>
      </c>
      <c r="AM1139">
        <v>0</v>
      </c>
      <c r="AO1139" t="s">
        <v>481</v>
      </c>
      <c r="AT1139">
        <v>42</v>
      </c>
      <c r="AV1139">
        <v>28.4</v>
      </c>
      <c r="AW1139">
        <v>0</v>
      </c>
      <c r="AX1139">
        <v>0</v>
      </c>
      <c r="AY1139">
        <v>27.5</v>
      </c>
      <c r="AZ1139">
        <v>3.25</v>
      </c>
      <c r="BA1139">
        <v>0</v>
      </c>
      <c r="BB1139">
        <v>0</v>
      </c>
      <c r="BC1139">
        <v>24</v>
      </c>
      <c r="BN1139">
        <v>133.75</v>
      </c>
      <c r="BO1139">
        <v>5801</v>
      </c>
      <c r="BP1139">
        <v>0</v>
      </c>
      <c r="BQ1139">
        <v>36</v>
      </c>
      <c r="BR1139">
        <v>36</v>
      </c>
      <c r="BS1139">
        <v>36.340000000000003</v>
      </c>
      <c r="BT1139">
        <v>0</v>
      </c>
      <c r="BV1139">
        <v>0</v>
      </c>
      <c r="BW1139" t="s">
        <v>655</v>
      </c>
      <c r="BX1139">
        <v>0.17</v>
      </c>
      <c r="BY1139">
        <v>6.1778000000000004</v>
      </c>
      <c r="BZ1139">
        <v>0</v>
      </c>
      <c r="CA1139">
        <v>1</v>
      </c>
      <c r="CB1139">
        <v>0.6</v>
      </c>
      <c r="CC1139" s="3">
        <v>7.1269159999999998E-2</v>
      </c>
      <c r="CD1139">
        <v>2.875</v>
      </c>
      <c r="CE1139">
        <v>2.5</v>
      </c>
      <c r="CF1139">
        <v>18</v>
      </c>
      <c r="CG1139">
        <v>6</v>
      </c>
      <c r="CH1139">
        <v>0</v>
      </c>
      <c r="CI1139">
        <v>36.340000000000003</v>
      </c>
      <c r="CJ1139">
        <v>203.30879999999999</v>
      </c>
    </row>
    <row r="1140" spans="1:88">
      <c r="A1140">
        <v>1139</v>
      </c>
      <c r="B1140" t="s">
        <v>13</v>
      </c>
      <c r="C1140" t="s">
        <v>1</v>
      </c>
      <c r="D1140" t="s">
        <v>341</v>
      </c>
      <c r="E1140" t="s">
        <v>96</v>
      </c>
      <c r="F1140" t="s">
        <v>343</v>
      </c>
      <c r="G1140" t="s">
        <v>106</v>
      </c>
      <c r="H1140" t="s">
        <v>344</v>
      </c>
      <c r="J1140">
        <v>2</v>
      </c>
      <c r="K1140" t="s">
        <v>146</v>
      </c>
      <c r="L1140" t="s">
        <v>293</v>
      </c>
      <c r="M1140" t="s">
        <v>100</v>
      </c>
      <c r="N1140" t="s">
        <v>101</v>
      </c>
      <c r="O1140">
        <v>131</v>
      </c>
      <c r="Q1140">
        <v>275</v>
      </c>
      <c r="R1140">
        <v>48</v>
      </c>
      <c r="S1140">
        <v>4.25</v>
      </c>
      <c r="T1140">
        <v>3.5859999999999999</v>
      </c>
      <c r="U1140">
        <v>6.37</v>
      </c>
      <c r="V1140">
        <v>1170.7</v>
      </c>
      <c r="W1140">
        <v>308</v>
      </c>
      <c r="X1140">
        <v>1.3332999999999999</v>
      </c>
      <c r="Y1140">
        <v>238</v>
      </c>
      <c r="Z1140">
        <v>4.91</v>
      </c>
      <c r="AJ1140">
        <v>2</v>
      </c>
      <c r="AK1140">
        <v>18</v>
      </c>
      <c r="AM1140">
        <v>0</v>
      </c>
      <c r="AO1140" t="s">
        <v>347</v>
      </c>
      <c r="AT1140">
        <v>51</v>
      </c>
      <c r="AV1140">
        <v>27.4</v>
      </c>
      <c r="AW1140">
        <v>0</v>
      </c>
      <c r="AX1140">
        <v>0</v>
      </c>
      <c r="AY1140">
        <v>40.75</v>
      </c>
      <c r="AZ1140">
        <v>4</v>
      </c>
      <c r="BA1140">
        <v>0</v>
      </c>
      <c r="BB1140">
        <v>0</v>
      </c>
      <c r="BC1140">
        <v>39</v>
      </c>
      <c r="BN1140">
        <v>128.4</v>
      </c>
      <c r="BO1140">
        <v>6294</v>
      </c>
      <c r="BP1140">
        <v>0</v>
      </c>
      <c r="BQ1140">
        <v>45</v>
      </c>
      <c r="BR1140">
        <v>45</v>
      </c>
      <c r="BS1140">
        <v>44.69</v>
      </c>
      <c r="BT1140">
        <v>0</v>
      </c>
      <c r="BV1140">
        <v>0</v>
      </c>
      <c r="BW1140" t="s">
        <v>655</v>
      </c>
      <c r="BX1140">
        <v>0.17</v>
      </c>
      <c r="BY1140">
        <v>7.5972999999999997</v>
      </c>
      <c r="BZ1140">
        <v>0</v>
      </c>
      <c r="CA1140">
        <v>1</v>
      </c>
      <c r="CB1140">
        <v>0.6</v>
      </c>
      <c r="CC1140" s="3">
        <v>7.1269159999999998E-2</v>
      </c>
      <c r="CD1140">
        <v>2.875</v>
      </c>
      <c r="CE1140">
        <v>2.5</v>
      </c>
      <c r="CF1140">
        <v>18</v>
      </c>
      <c r="CG1140">
        <v>6</v>
      </c>
      <c r="CH1140">
        <v>0</v>
      </c>
      <c r="CI1140">
        <v>44.69</v>
      </c>
      <c r="CJ1140">
        <v>240.46889999999999</v>
      </c>
    </row>
    <row r="1141" spans="1:88">
      <c r="A1141">
        <v>1140</v>
      </c>
      <c r="B1141" t="s">
        <v>0</v>
      </c>
      <c r="C1141" t="s">
        <v>1</v>
      </c>
      <c r="D1141" t="s">
        <v>338</v>
      </c>
      <c r="E1141" t="s">
        <v>2</v>
      </c>
      <c r="F1141" t="s">
        <v>360</v>
      </c>
      <c r="G1141" t="s">
        <v>106</v>
      </c>
      <c r="H1141" t="s">
        <v>101</v>
      </c>
      <c r="J1141">
        <v>2</v>
      </c>
      <c r="K1141" t="s">
        <v>146</v>
      </c>
      <c r="L1141" t="s">
        <v>122</v>
      </c>
      <c r="M1141" t="s">
        <v>4</v>
      </c>
      <c r="N1141" t="s">
        <v>5</v>
      </c>
      <c r="O1141">
        <v>107</v>
      </c>
      <c r="Q1141">
        <v>383</v>
      </c>
      <c r="R1141">
        <v>83</v>
      </c>
      <c r="S1141">
        <v>4.25</v>
      </c>
      <c r="T1141">
        <v>2.9710000000000001</v>
      </c>
      <c r="U1141">
        <v>6.07</v>
      </c>
      <c r="V1141">
        <v>1626.34</v>
      </c>
      <c r="W1141">
        <v>505</v>
      </c>
      <c r="X1141">
        <v>1.3332999999999999</v>
      </c>
      <c r="Y1141">
        <v>378</v>
      </c>
      <c r="Z1141">
        <v>4.3</v>
      </c>
      <c r="AJ1141">
        <v>2</v>
      </c>
      <c r="AK1141">
        <v>18</v>
      </c>
      <c r="AM1141">
        <v>0</v>
      </c>
      <c r="AO1141" t="s">
        <v>403</v>
      </c>
      <c r="AT1141">
        <v>42</v>
      </c>
      <c r="AV1141">
        <v>46.2</v>
      </c>
      <c r="AW1141">
        <v>0</v>
      </c>
      <c r="AX1141">
        <v>0</v>
      </c>
      <c r="AY1141">
        <v>37.625</v>
      </c>
      <c r="AZ1141">
        <v>3.75</v>
      </c>
      <c r="BA1141">
        <v>0</v>
      </c>
      <c r="BB1141">
        <v>0</v>
      </c>
      <c r="BC1141">
        <v>38</v>
      </c>
      <c r="BN1141">
        <v>221.13339999999999</v>
      </c>
      <c r="BO1141">
        <v>2122</v>
      </c>
      <c r="BP1141">
        <v>0</v>
      </c>
      <c r="BQ1141">
        <v>36</v>
      </c>
      <c r="BR1141">
        <v>36</v>
      </c>
      <c r="BS1141">
        <v>36.340000000000003</v>
      </c>
      <c r="BT1141">
        <v>0</v>
      </c>
      <c r="BV1141">
        <v>0</v>
      </c>
      <c r="BW1141" t="s">
        <v>655</v>
      </c>
      <c r="BX1141">
        <v>0.17</v>
      </c>
      <c r="BY1141">
        <v>6.1778000000000004</v>
      </c>
      <c r="BZ1141">
        <v>0</v>
      </c>
      <c r="CA1141">
        <v>1</v>
      </c>
      <c r="CB1141">
        <v>0.6</v>
      </c>
      <c r="CC1141" s="3">
        <v>7.1269159999999998E-2</v>
      </c>
      <c r="CD1141">
        <v>2.875</v>
      </c>
      <c r="CE1141">
        <v>2.5</v>
      </c>
      <c r="CF1141">
        <v>18</v>
      </c>
      <c r="CG1141">
        <v>6</v>
      </c>
      <c r="CH1141">
        <v>0</v>
      </c>
      <c r="CI1141">
        <v>36.340000000000003</v>
      </c>
      <c r="CJ1141">
        <v>330.2149</v>
      </c>
    </row>
    <row r="1142" spans="1:88">
      <c r="A1142">
        <v>1141</v>
      </c>
      <c r="B1142" t="s">
        <v>13</v>
      </c>
      <c r="C1142" t="s">
        <v>1</v>
      </c>
      <c r="D1142" t="s">
        <v>113</v>
      </c>
      <c r="E1142" t="s">
        <v>253</v>
      </c>
      <c r="F1142" t="s">
        <v>262</v>
      </c>
      <c r="G1142" t="s">
        <v>214</v>
      </c>
      <c r="H1142" t="s">
        <v>263</v>
      </c>
      <c r="J1142">
        <v>2</v>
      </c>
      <c r="K1142" t="s">
        <v>108</v>
      </c>
      <c r="L1142" t="s">
        <v>287</v>
      </c>
      <c r="M1142" t="s">
        <v>633</v>
      </c>
      <c r="N1142" t="s">
        <v>276</v>
      </c>
      <c r="O1142">
        <v>197</v>
      </c>
      <c r="Q1142">
        <v>903</v>
      </c>
      <c r="R1142">
        <v>109</v>
      </c>
      <c r="S1142">
        <v>4.25</v>
      </c>
      <c r="T1142">
        <v>5.117</v>
      </c>
      <c r="U1142">
        <v>7.35</v>
      </c>
      <c r="V1142">
        <v>3835.83</v>
      </c>
      <c r="W1142">
        <v>798</v>
      </c>
      <c r="X1142">
        <v>1.3332999999999999</v>
      </c>
      <c r="Y1142">
        <v>595</v>
      </c>
      <c r="Z1142">
        <v>6.45</v>
      </c>
      <c r="AJ1142">
        <v>2</v>
      </c>
      <c r="AK1142">
        <v>18</v>
      </c>
      <c r="AM1142">
        <v>0</v>
      </c>
      <c r="AO1142" t="s">
        <v>266</v>
      </c>
      <c r="AT1142">
        <v>74</v>
      </c>
      <c r="AV1142">
        <v>62.3</v>
      </c>
      <c r="AW1142">
        <v>0.46875</v>
      </c>
      <c r="AX1142">
        <v>3.75</v>
      </c>
      <c r="AY1142">
        <v>68.125</v>
      </c>
      <c r="AZ1142">
        <v>6</v>
      </c>
      <c r="BA1142">
        <v>297.35000000000002</v>
      </c>
      <c r="BB1142">
        <v>6.62</v>
      </c>
      <c r="BC1142">
        <v>73</v>
      </c>
      <c r="BD1142">
        <v>0.46875</v>
      </c>
      <c r="BE1142">
        <v>3.75</v>
      </c>
      <c r="BF1142">
        <v>68.125</v>
      </c>
      <c r="BG1142">
        <v>6</v>
      </c>
      <c r="BH1142">
        <v>297.35000000000002</v>
      </c>
      <c r="BI1142">
        <v>6.62</v>
      </c>
      <c r="BJ1142">
        <v>73</v>
      </c>
      <c r="BL1142">
        <v>594.70000000000005</v>
      </c>
      <c r="BM1142">
        <v>146</v>
      </c>
      <c r="BN1142">
        <v>302.12</v>
      </c>
      <c r="BO1142">
        <v>1426</v>
      </c>
      <c r="BP1142">
        <v>0</v>
      </c>
      <c r="BQ1142">
        <v>68</v>
      </c>
      <c r="BR1142">
        <v>68</v>
      </c>
      <c r="BS1142">
        <v>67.650000000000006</v>
      </c>
      <c r="BT1142">
        <v>0</v>
      </c>
      <c r="BV1142">
        <v>0</v>
      </c>
      <c r="BW1142" t="s">
        <v>655</v>
      </c>
      <c r="BX1142">
        <v>0.17</v>
      </c>
      <c r="BY1142">
        <v>11.500500000000001</v>
      </c>
      <c r="BZ1142">
        <v>0</v>
      </c>
      <c r="CA1142">
        <v>1</v>
      </c>
      <c r="CB1142">
        <v>0.6</v>
      </c>
      <c r="CC1142" s="3">
        <v>7.1269159999999998E-2</v>
      </c>
      <c r="CD1142">
        <v>2.875</v>
      </c>
      <c r="CE1142">
        <v>2.5</v>
      </c>
      <c r="CF1142">
        <v>18</v>
      </c>
      <c r="CG1142">
        <v>6</v>
      </c>
      <c r="CH1142">
        <v>0</v>
      </c>
      <c r="CI1142">
        <v>67.650000000000006</v>
      </c>
      <c r="CJ1142">
        <v>828.67100000000005</v>
      </c>
    </row>
    <row r="1143" spans="1:88">
      <c r="A1143">
        <v>1142</v>
      </c>
      <c r="B1143" t="s">
        <v>0</v>
      </c>
      <c r="C1143" t="s">
        <v>1</v>
      </c>
      <c r="D1143" t="s">
        <v>167</v>
      </c>
      <c r="E1143" t="s">
        <v>143</v>
      </c>
      <c r="F1143" t="s">
        <v>403</v>
      </c>
      <c r="G1143" t="s">
        <v>106</v>
      </c>
      <c r="H1143" t="s">
        <v>235</v>
      </c>
      <c r="J1143">
        <v>2</v>
      </c>
      <c r="K1143" t="s">
        <v>146</v>
      </c>
      <c r="L1143" t="s">
        <v>297</v>
      </c>
      <c r="M1143" t="s">
        <v>206</v>
      </c>
      <c r="N1143" t="s">
        <v>131</v>
      </c>
      <c r="O1143">
        <v>155</v>
      </c>
      <c r="Q1143">
        <v>529</v>
      </c>
      <c r="R1143">
        <v>82</v>
      </c>
      <c r="S1143">
        <v>4.25</v>
      </c>
      <c r="T1143">
        <v>4.1660000000000004</v>
      </c>
      <c r="U1143">
        <v>6.78</v>
      </c>
      <c r="V1143">
        <v>2248.12</v>
      </c>
      <c r="W1143">
        <v>556</v>
      </c>
      <c r="X1143">
        <v>1.3332999999999999</v>
      </c>
      <c r="Y1143">
        <v>409</v>
      </c>
      <c r="Z1143">
        <v>5.49</v>
      </c>
      <c r="AJ1143">
        <v>2</v>
      </c>
      <c r="AK1143">
        <v>18</v>
      </c>
      <c r="AM1143">
        <v>0</v>
      </c>
      <c r="AO1143" t="s">
        <v>198</v>
      </c>
      <c r="AT1143">
        <v>59</v>
      </c>
      <c r="AV1143">
        <v>45.5</v>
      </c>
      <c r="AW1143">
        <v>0.46875</v>
      </c>
      <c r="AX1143">
        <v>3.75</v>
      </c>
      <c r="AY1143">
        <v>56.5</v>
      </c>
      <c r="AZ1143">
        <v>5.125</v>
      </c>
      <c r="BA1143">
        <v>358.98</v>
      </c>
      <c r="BB1143">
        <v>5.49</v>
      </c>
      <c r="BC1143">
        <v>61</v>
      </c>
      <c r="BD1143">
        <v>0.25</v>
      </c>
      <c r="BE1143">
        <v>2.75</v>
      </c>
      <c r="BF1143">
        <v>22.75</v>
      </c>
      <c r="BG1143">
        <v>2.75</v>
      </c>
      <c r="BH1143">
        <v>50.5</v>
      </c>
      <c r="BI1143">
        <v>6.8</v>
      </c>
      <c r="BJ1143">
        <v>10</v>
      </c>
      <c r="BL1143">
        <v>409.48</v>
      </c>
      <c r="BM1143">
        <v>70</v>
      </c>
      <c r="BN1143">
        <v>217.5667</v>
      </c>
      <c r="BO1143">
        <v>2192</v>
      </c>
      <c r="BP1143">
        <v>0</v>
      </c>
      <c r="BQ1143">
        <v>53</v>
      </c>
      <c r="BR1143">
        <v>53</v>
      </c>
      <c r="BS1143">
        <v>53.04</v>
      </c>
      <c r="BT1143">
        <v>0</v>
      </c>
      <c r="BV1143">
        <v>0</v>
      </c>
      <c r="BW1143" t="s">
        <v>655</v>
      </c>
      <c r="BX1143">
        <v>0.17</v>
      </c>
      <c r="BY1143">
        <v>9.0167999999999999</v>
      </c>
      <c r="BZ1143">
        <v>0</v>
      </c>
      <c r="CA1143">
        <v>1</v>
      </c>
      <c r="CB1143">
        <v>0.6</v>
      </c>
      <c r="CC1143" s="3">
        <v>7.1269159999999998E-2</v>
      </c>
      <c r="CD1143">
        <v>2.875</v>
      </c>
      <c r="CE1143">
        <v>2.5</v>
      </c>
      <c r="CF1143">
        <v>18</v>
      </c>
      <c r="CG1143">
        <v>6</v>
      </c>
      <c r="CH1143">
        <v>0</v>
      </c>
      <c r="CI1143">
        <v>53.04</v>
      </c>
      <c r="CJ1143">
        <v>474.40460000000002</v>
      </c>
    </row>
    <row r="1144" spans="1:88">
      <c r="A1144">
        <v>1143</v>
      </c>
      <c r="B1144" t="s">
        <v>13</v>
      </c>
      <c r="C1144" t="s">
        <v>1</v>
      </c>
      <c r="D1144" t="s">
        <v>151</v>
      </c>
      <c r="E1144" t="s">
        <v>2</v>
      </c>
      <c r="F1144" t="s">
        <v>385</v>
      </c>
      <c r="G1144" t="s">
        <v>106</v>
      </c>
      <c r="H1144" t="s">
        <v>2</v>
      </c>
      <c r="J1144">
        <v>2</v>
      </c>
      <c r="K1144" t="s">
        <v>146</v>
      </c>
      <c r="L1144" t="s">
        <v>122</v>
      </c>
      <c r="M1144" t="s">
        <v>4</v>
      </c>
      <c r="N1144" t="s">
        <v>5</v>
      </c>
      <c r="O1144">
        <v>107</v>
      </c>
      <c r="Q1144">
        <v>303</v>
      </c>
      <c r="R1144">
        <v>68</v>
      </c>
      <c r="S1144">
        <v>4.25</v>
      </c>
      <c r="T1144">
        <v>2.9710000000000001</v>
      </c>
      <c r="U1144">
        <v>6.07</v>
      </c>
      <c r="V1144">
        <v>1287.49</v>
      </c>
      <c r="W1144">
        <v>411</v>
      </c>
      <c r="X1144">
        <v>1.3332999999999999</v>
      </c>
      <c r="Y1144">
        <v>299</v>
      </c>
      <c r="Z1144">
        <v>4.3</v>
      </c>
      <c r="AJ1144">
        <v>2</v>
      </c>
      <c r="AK1144">
        <v>18</v>
      </c>
      <c r="AM1144">
        <v>0</v>
      </c>
      <c r="AO1144" t="s">
        <v>4</v>
      </c>
      <c r="AT1144">
        <v>42</v>
      </c>
      <c r="AV1144">
        <v>36.4</v>
      </c>
      <c r="AW1144">
        <v>0</v>
      </c>
      <c r="AX1144">
        <v>0</v>
      </c>
      <c r="AY1144">
        <v>32.5</v>
      </c>
      <c r="AZ1144">
        <v>3.5</v>
      </c>
      <c r="BA1144">
        <v>0</v>
      </c>
      <c r="BB1144">
        <v>0</v>
      </c>
      <c r="BC1144">
        <v>31</v>
      </c>
      <c r="BN1144">
        <v>172.98339999999999</v>
      </c>
      <c r="BO1144">
        <v>3468</v>
      </c>
      <c r="BP1144">
        <v>0</v>
      </c>
      <c r="BQ1144">
        <v>36</v>
      </c>
      <c r="BR1144">
        <v>36</v>
      </c>
      <c r="BS1144">
        <v>36.340000000000003</v>
      </c>
      <c r="BT1144">
        <v>0</v>
      </c>
      <c r="BV1144">
        <v>0</v>
      </c>
      <c r="BW1144" t="s">
        <v>655</v>
      </c>
      <c r="BX1144">
        <v>0.17</v>
      </c>
      <c r="BY1144">
        <v>6.1778000000000004</v>
      </c>
      <c r="BZ1144">
        <v>0</v>
      </c>
      <c r="CA1144">
        <v>1</v>
      </c>
      <c r="CB1144">
        <v>0.6</v>
      </c>
      <c r="CC1144" s="3">
        <v>7.1269159999999998E-2</v>
      </c>
      <c r="CD1144">
        <v>2.875</v>
      </c>
      <c r="CE1144">
        <v>2.5</v>
      </c>
      <c r="CF1144">
        <v>18</v>
      </c>
      <c r="CG1144">
        <v>6</v>
      </c>
      <c r="CH1144">
        <v>0</v>
      </c>
      <c r="CI1144">
        <v>36.340000000000003</v>
      </c>
      <c r="CJ1144">
        <v>260.28710000000001</v>
      </c>
    </row>
    <row r="1145" spans="1:88">
      <c r="A1145">
        <v>1144</v>
      </c>
      <c r="B1145" t="s">
        <v>0</v>
      </c>
      <c r="C1145" t="s">
        <v>1</v>
      </c>
      <c r="D1145" t="s">
        <v>464</v>
      </c>
      <c r="E1145" t="s">
        <v>366</v>
      </c>
      <c r="F1145" t="s">
        <v>467</v>
      </c>
      <c r="G1145" t="s">
        <v>106</v>
      </c>
      <c r="H1145" t="s">
        <v>178</v>
      </c>
      <c r="J1145">
        <v>2</v>
      </c>
      <c r="K1145" t="s">
        <v>146</v>
      </c>
      <c r="L1145" t="s">
        <v>268</v>
      </c>
      <c r="M1145" t="s">
        <v>370</v>
      </c>
      <c r="N1145" t="s">
        <v>217</v>
      </c>
      <c r="O1145">
        <v>103</v>
      </c>
      <c r="Q1145">
        <v>259</v>
      </c>
      <c r="R1145">
        <v>61</v>
      </c>
      <c r="S1145">
        <v>4.25</v>
      </c>
      <c r="T1145">
        <v>2.8650000000000002</v>
      </c>
      <c r="U1145">
        <v>5.96</v>
      </c>
      <c r="V1145">
        <v>1098.6199999999999</v>
      </c>
      <c r="W1145">
        <v>362</v>
      </c>
      <c r="X1145">
        <v>1.3332999999999999</v>
      </c>
      <c r="Y1145">
        <v>262</v>
      </c>
      <c r="Z1145">
        <v>4.1900000000000004</v>
      </c>
      <c r="AJ1145">
        <v>2</v>
      </c>
      <c r="AK1145">
        <v>18</v>
      </c>
      <c r="AM1145">
        <v>0</v>
      </c>
      <c r="AO1145" t="s">
        <v>179</v>
      </c>
      <c r="AT1145">
        <v>41</v>
      </c>
      <c r="AV1145">
        <v>32.1</v>
      </c>
      <c r="AW1145">
        <v>0</v>
      </c>
      <c r="AX1145">
        <v>0</v>
      </c>
      <c r="AY1145">
        <v>37.125</v>
      </c>
      <c r="AZ1145">
        <v>3.375</v>
      </c>
      <c r="BA1145">
        <v>0</v>
      </c>
      <c r="BB1145">
        <v>0</v>
      </c>
      <c r="BC1145">
        <v>35</v>
      </c>
      <c r="BN1145">
        <v>151.58340000000001</v>
      </c>
      <c r="BO1145">
        <v>4516</v>
      </c>
      <c r="BP1145">
        <v>0</v>
      </c>
      <c r="BQ1145">
        <v>35</v>
      </c>
      <c r="BR1145">
        <v>35</v>
      </c>
      <c r="BS1145">
        <v>34.950000000000003</v>
      </c>
      <c r="BT1145">
        <v>0</v>
      </c>
      <c r="BV1145">
        <v>0</v>
      </c>
      <c r="BW1145" t="s">
        <v>655</v>
      </c>
      <c r="BX1145">
        <v>0.17</v>
      </c>
      <c r="BY1145">
        <v>5.9414999999999996</v>
      </c>
      <c r="BZ1145">
        <v>0</v>
      </c>
      <c r="CA1145">
        <v>1</v>
      </c>
      <c r="CB1145">
        <v>0.6</v>
      </c>
      <c r="CC1145" s="3">
        <v>7.1269159999999998E-2</v>
      </c>
      <c r="CD1145">
        <v>2.875</v>
      </c>
      <c r="CE1145">
        <v>2.5</v>
      </c>
      <c r="CF1145">
        <v>18</v>
      </c>
      <c r="CG1145">
        <v>6</v>
      </c>
      <c r="CH1145">
        <v>0</v>
      </c>
      <c r="CI1145">
        <v>34.950000000000003</v>
      </c>
      <c r="CJ1145">
        <v>220.4409</v>
      </c>
    </row>
    <row r="1146" spans="1:88">
      <c r="A1146">
        <v>1145</v>
      </c>
      <c r="B1146" t="s">
        <v>0</v>
      </c>
      <c r="C1146" t="s">
        <v>1</v>
      </c>
      <c r="D1146" t="s">
        <v>346</v>
      </c>
      <c r="E1146" t="s">
        <v>641</v>
      </c>
      <c r="F1146" t="s">
        <v>354</v>
      </c>
      <c r="G1146" t="s">
        <v>106</v>
      </c>
      <c r="H1146" t="s">
        <v>136</v>
      </c>
      <c r="J1146">
        <v>2</v>
      </c>
      <c r="K1146" t="s">
        <v>146</v>
      </c>
      <c r="L1146" t="s">
        <v>341</v>
      </c>
      <c r="M1146" t="s">
        <v>642</v>
      </c>
      <c r="N1146" t="s">
        <v>541</v>
      </c>
      <c r="O1146">
        <v>63</v>
      </c>
      <c r="Q1146">
        <v>161</v>
      </c>
      <c r="R1146">
        <v>53</v>
      </c>
      <c r="S1146">
        <v>4.25</v>
      </c>
      <c r="T1146">
        <v>1.734</v>
      </c>
      <c r="U1146">
        <v>5.28</v>
      </c>
      <c r="V1146">
        <v>684.03</v>
      </c>
      <c r="W1146">
        <v>282</v>
      </c>
      <c r="X1146">
        <v>1.1666000000000001</v>
      </c>
      <c r="Y1146">
        <v>236</v>
      </c>
      <c r="Z1146">
        <v>2.9</v>
      </c>
      <c r="AJ1146">
        <v>2</v>
      </c>
      <c r="AK1146">
        <v>18</v>
      </c>
      <c r="AM1146">
        <v>0</v>
      </c>
      <c r="AO1146" t="s">
        <v>140</v>
      </c>
      <c r="AT1146">
        <v>27</v>
      </c>
      <c r="AV1146">
        <v>30.6</v>
      </c>
      <c r="AW1146">
        <v>0</v>
      </c>
      <c r="AX1146">
        <v>0</v>
      </c>
      <c r="AY1146">
        <v>27.375</v>
      </c>
      <c r="AZ1146">
        <v>2.125</v>
      </c>
      <c r="BA1146">
        <v>0</v>
      </c>
      <c r="BB1146">
        <v>0</v>
      </c>
      <c r="BC1146">
        <v>24</v>
      </c>
      <c r="BN1146">
        <v>144.44999999999999</v>
      </c>
      <c r="BO1146">
        <v>4973</v>
      </c>
      <c r="BP1146">
        <v>0</v>
      </c>
      <c r="BQ1146">
        <v>21</v>
      </c>
      <c r="BR1146">
        <v>21</v>
      </c>
      <c r="BS1146">
        <v>21.04</v>
      </c>
      <c r="BT1146">
        <v>0</v>
      </c>
      <c r="BV1146">
        <v>0</v>
      </c>
      <c r="BW1146" t="s">
        <v>655</v>
      </c>
      <c r="BX1146">
        <v>0.17</v>
      </c>
      <c r="BY1146">
        <v>3.5768</v>
      </c>
      <c r="BZ1146">
        <v>0</v>
      </c>
      <c r="CA1146">
        <v>1</v>
      </c>
      <c r="CB1146">
        <v>0.6</v>
      </c>
      <c r="CC1146" s="3">
        <v>7.1269159999999998E-2</v>
      </c>
      <c r="CD1146">
        <v>2.875</v>
      </c>
      <c r="CE1146">
        <v>2.5</v>
      </c>
      <c r="CF1146">
        <v>18</v>
      </c>
      <c r="CG1146">
        <v>6</v>
      </c>
      <c r="CH1146">
        <v>0</v>
      </c>
      <c r="CI1146">
        <v>21.04</v>
      </c>
      <c r="CJ1146">
        <v>126.708</v>
      </c>
    </row>
    <row r="1147" spans="1:88">
      <c r="A1147">
        <v>1146</v>
      </c>
      <c r="B1147" t="s">
        <v>0</v>
      </c>
      <c r="C1147" t="s">
        <v>1</v>
      </c>
      <c r="D1147" t="s">
        <v>532</v>
      </c>
      <c r="E1147" t="s">
        <v>219</v>
      </c>
      <c r="F1147" t="s">
        <v>533</v>
      </c>
      <c r="G1147" t="s">
        <v>15</v>
      </c>
      <c r="H1147" t="s">
        <v>534</v>
      </c>
      <c r="J1147">
        <v>2</v>
      </c>
      <c r="K1147" t="s">
        <v>108</v>
      </c>
      <c r="L1147" t="s">
        <v>369</v>
      </c>
      <c r="M1147" t="s">
        <v>220</v>
      </c>
      <c r="N1147" t="s">
        <v>221</v>
      </c>
      <c r="O1147">
        <v>101</v>
      </c>
      <c r="Q1147">
        <v>603</v>
      </c>
      <c r="R1147">
        <v>134</v>
      </c>
      <c r="S1147">
        <v>4.25</v>
      </c>
      <c r="T1147">
        <v>2.8119999999999998</v>
      </c>
      <c r="U1147">
        <v>5.92</v>
      </c>
      <c r="V1147">
        <v>2562.15</v>
      </c>
      <c r="W1147">
        <v>795</v>
      </c>
      <c r="X1147">
        <v>1.3332999999999999</v>
      </c>
      <c r="Y1147">
        <v>619</v>
      </c>
      <c r="Z1147">
        <v>4.1399999999999997</v>
      </c>
      <c r="AJ1147">
        <v>2</v>
      </c>
      <c r="AK1147">
        <v>18</v>
      </c>
      <c r="AM1147">
        <v>0</v>
      </c>
      <c r="AO1147" t="s">
        <v>535</v>
      </c>
      <c r="AT1147">
        <v>40</v>
      </c>
      <c r="AV1147">
        <v>77.2</v>
      </c>
      <c r="AW1147">
        <v>0.5</v>
      </c>
      <c r="AX1147">
        <v>5.625</v>
      </c>
      <c r="AY1147">
        <v>37.625</v>
      </c>
      <c r="AZ1147">
        <v>4.125</v>
      </c>
      <c r="BA1147">
        <v>476.04</v>
      </c>
      <c r="BB1147">
        <v>4.88</v>
      </c>
      <c r="BC1147">
        <v>67</v>
      </c>
      <c r="BD1147">
        <v>0.3125</v>
      </c>
      <c r="BE1147">
        <v>3.75</v>
      </c>
      <c r="BF1147">
        <v>17.875</v>
      </c>
      <c r="BG1147">
        <v>2.625</v>
      </c>
      <c r="BH1147">
        <v>142.82</v>
      </c>
      <c r="BI1147">
        <v>4.46</v>
      </c>
      <c r="BJ1147">
        <v>13</v>
      </c>
      <c r="BL1147">
        <v>618.86</v>
      </c>
      <c r="BM1147">
        <v>80</v>
      </c>
      <c r="BN1147">
        <v>659.82870000000003</v>
      </c>
      <c r="BO1147">
        <v>2512</v>
      </c>
      <c r="BP1147">
        <v>0</v>
      </c>
      <c r="BQ1147">
        <v>34</v>
      </c>
      <c r="BR1147">
        <v>34</v>
      </c>
      <c r="BS1147">
        <v>34.26</v>
      </c>
      <c r="BT1147">
        <v>0</v>
      </c>
      <c r="BV1147">
        <v>0</v>
      </c>
      <c r="BW1147" t="s">
        <v>655</v>
      </c>
      <c r="BX1147">
        <v>0.17</v>
      </c>
      <c r="BY1147">
        <v>5.8242000000000003</v>
      </c>
      <c r="BZ1147">
        <v>0</v>
      </c>
      <c r="CA1147">
        <v>1</v>
      </c>
      <c r="CB1147">
        <v>0.6</v>
      </c>
      <c r="CC1147" s="3">
        <v>7.1269159999999998E-2</v>
      </c>
      <c r="CD1147">
        <v>2.875</v>
      </c>
      <c r="CE1147">
        <v>2.5</v>
      </c>
      <c r="CF1147">
        <v>18</v>
      </c>
      <c r="CG1147">
        <v>6</v>
      </c>
      <c r="CH1147">
        <v>0</v>
      </c>
      <c r="CI1147">
        <v>34.26</v>
      </c>
      <c r="CJ1147">
        <v>519.77290000000005</v>
      </c>
    </row>
    <row r="1148" spans="1:88">
      <c r="A1148">
        <v>1147</v>
      </c>
      <c r="B1148" t="s">
        <v>13</v>
      </c>
      <c r="C1148" t="s">
        <v>1</v>
      </c>
      <c r="D1148" t="s">
        <v>235</v>
      </c>
      <c r="E1148" t="s">
        <v>143</v>
      </c>
      <c r="F1148" t="s">
        <v>327</v>
      </c>
      <c r="G1148" t="s">
        <v>106</v>
      </c>
      <c r="H1148" t="s">
        <v>96</v>
      </c>
      <c r="J1148">
        <v>2</v>
      </c>
      <c r="K1148" t="s">
        <v>146</v>
      </c>
      <c r="L1148" t="s">
        <v>297</v>
      </c>
      <c r="M1148" t="s">
        <v>206</v>
      </c>
      <c r="N1148" t="s">
        <v>131</v>
      </c>
      <c r="O1148">
        <v>155</v>
      </c>
      <c r="Q1148">
        <v>525</v>
      </c>
      <c r="R1148">
        <v>81</v>
      </c>
      <c r="S1148">
        <v>4.25</v>
      </c>
      <c r="T1148">
        <v>4.1660000000000004</v>
      </c>
      <c r="U1148">
        <v>6.78</v>
      </c>
      <c r="V1148">
        <v>2230.52</v>
      </c>
      <c r="W1148">
        <v>552</v>
      </c>
      <c r="X1148">
        <v>1.3332999999999999</v>
      </c>
      <c r="Y1148">
        <v>406</v>
      </c>
      <c r="Z1148">
        <v>5.49</v>
      </c>
      <c r="AJ1148">
        <v>2</v>
      </c>
      <c r="AK1148">
        <v>18</v>
      </c>
      <c r="AM1148">
        <v>0</v>
      </c>
      <c r="AO1148" t="s">
        <v>100</v>
      </c>
      <c r="AT1148">
        <v>59</v>
      </c>
      <c r="AV1148">
        <v>45.1</v>
      </c>
      <c r="AW1148">
        <v>0.46875</v>
      </c>
      <c r="AX1148">
        <v>3.75</v>
      </c>
      <c r="AY1148">
        <v>56.5</v>
      </c>
      <c r="AZ1148">
        <v>5.125</v>
      </c>
      <c r="BA1148">
        <v>358.98</v>
      </c>
      <c r="BB1148">
        <v>5.49</v>
      </c>
      <c r="BC1148">
        <v>61</v>
      </c>
      <c r="BD1148">
        <v>0.25</v>
      </c>
      <c r="BE1148">
        <v>2.75</v>
      </c>
      <c r="BF1148">
        <v>24.25</v>
      </c>
      <c r="BG1148">
        <v>2.75</v>
      </c>
      <c r="BH1148">
        <v>47.29</v>
      </c>
      <c r="BI1148">
        <v>7.26</v>
      </c>
      <c r="BJ1148">
        <v>11</v>
      </c>
      <c r="BL1148">
        <v>406.27</v>
      </c>
      <c r="BM1148">
        <v>71</v>
      </c>
      <c r="BN1148">
        <v>215.7834</v>
      </c>
      <c r="BO1148">
        <v>2229</v>
      </c>
      <c r="BP1148">
        <v>0</v>
      </c>
      <c r="BQ1148">
        <v>53</v>
      </c>
      <c r="BR1148">
        <v>53</v>
      </c>
      <c r="BS1148">
        <v>53.04</v>
      </c>
      <c r="BT1148">
        <v>0</v>
      </c>
      <c r="BV1148">
        <v>0</v>
      </c>
      <c r="BW1148" t="s">
        <v>655</v>
      </c>
      <c r="BX1148">
        <v>0.17</v>
      </c>
      <c r="BY1148">
        <v>9.0167999999999999</v>
      </c>
      <c r="BZ1148">
        <v>0</v>
      </c>
      <c r="CA1148">
        <v>1</v>
      </c>
      <c r="CB1148">
        <v>0.6</v>
      </c>
      <c r="CC1148" s="3">
        <v>7.1269159999999998E-2</v>
      </c>
      <c r="CD1148">
        <v>2.875</v>
      </c>
      <c r="CE1148">
        <v>2.5</v>
      </c>
      <c r="CF1148">
        <v>18</v>
      </c>
      <c r="CG1148">
        <v>6</v>
      </c>
      <c r="CH1148">
        <v>0</v>
      </c>
      <c r="CI1148">
        <v>53.04</v>
      </c>
      <c r="CJ1148">
        <v>470.62439999999998</v>
      </c>
    </row>
    <row r="1149" spans="1:88">
      <c r="A1149">
        <v>1148</v>
      </c>
      <c r="B1149" t="s">
        <v>0</v>
      </c>
      <c r="C1149" t="s">
        <v>1</v>
      </c>
      <c r="D1149" t="s">
        <v>233</v>
      </c>
      <c r="E1149" t="s">
        <v>176</v>
      </c>
      <c r="F1149" t="s">
        <v>271</v>
      </c>
      <c r="G1149" t="s">
        <v>106</v>
      </c>
      <c r="H1149" t="s">
        <v>279</v>
      </c>
      <c r="J1149">
        <v>2</v>
      </c>
      <c r="K1149" t="s">
        <v>146</v>
      </c>
      <c r="L1149" t="s">
        <v>167</v>
      </c>
      <c r="M1149" t="s">
        <v>226</v>
      </c>
      <c r="N1149" t="s">
        <v>227</v>
      </c>
      <c r="O1149">
        <v>113</v>
      </c>
      <c r="Q1149">
        <v>470</v>
      </c>
      <c r="R1149">
        <v>96</v>
      </c>
      <c r="S1149">
        <v>4.25</v>
      </c>
      <c r="T1149">
        <v>3.1280000000000001</v>
      </c>
      <c r="U1149">
        <v>6.18</v>
      </c>
      <c r="V1149">
        <v>1998.56</v>
      </c>
      <c r="W1149">
        <v>592</v>
      </c>
      <c r="X1149">
        <v>1.3332999999999999</v>
      </c>
      <c r="Y1149">
        <v>448</v>
      </c>
      <c r="Z1149">
        <v>4.46</v>
      </c>
      <c r="AJ1149">
        <v>2</v>
      </c>
      <c r="AK1149">
        <v>18</v>
      </c>
      <c r="AM1149">
        <v>0</v>
      </c>
      <c r="AO1149" t="s">
        <v>144</v>
      </c>
      <c r="AT1149">
        <v>45</v>
      </c>
      <c r="AV1149">
        <v>54.2</v>
      </c>
      <c r="AW1149">
        <v>0</v>
      </c>
      <c r="AX1149">
        <v>0</v>
      </c>
      <c r="AY1149">
        <v>45.25</v>
      </c>
      <c r="AZ1149">
        <v>4.125</v>
      </c>
      <c r="BA1149">
        <v>0</v>
      </c>
      <c r="BB1149">
        <v>0</v>
      </c>
      <c r="BC1149">
        <v>49</v>
      </c>
      <c r="BN1149">
        <v>260.36669999999998</v>
      </c>
      <c r="BO1149">
        <v>1531</v>
      </c>
      <c r="BP1149">
        <v>0</v>
      </c>
      <c r="BQ1149">
        <v>38</v>
      </c>
      <c r="BR1149">
        <v>38</v>
      </c>
      <c r="BS1149">
        <v>38.43</v>
      </c>
      <c r="BT1149">
        <v>0</v>
      </c>
      <c r="BV1149">
        <v>0</v>
      </c>
      <c r="BW1149" t="s">
        <v>655</v>
      </c>
      <c r="BX1149">
        <v>0.17</v>
      </c>
      <c r="BY1149">
        <v>6.5331000000000001</v>
      </c>
      <c r="BZ1149">
        <v>0</v>
      </c>
      <c r="CA1149">
        <v>1</v>
      </c>
      <c r="CB1149">
        <v>0.6</v>
      </c>
      <c r="CC1149" s="3">
        <v>7.1269159999999998E-2</v>
      </c>
      <c r="CD1149">
        <v>2.875</v>
      </c>
      <c r="CE1149">
        <v>2.5</v>
      </c>
      <c r="CF1149">
        <v>18</v>
      </c>
      <c r="CG1149">
        <v>6</v>
      </c>
      <c r="CH1149">
        <v>0</v>
      </c>
      <c r="CI1149">
        <v>38.43</v>
      </c>
      <c r="CJ1149">
        <v>409.46159999999998</v>
      </c>
    </row>
    <row r="1150" spans="1:88">
      <c r="A1150">
        <v>1149</v>
      </c>
      <c r="B1150" t="s">
        <v>0</v>
      </c>
      <c r="C1150" t="s">
        <v>1</v>
      </c>
      <c r="D1150" t="s">
        <v>3</v>
      </c>
      <c r="E1150" t="s">
        <v>125</v>
      </c>
      <c r="F1150" t="s">
        <v>306</v>
      </c>
      <c r="G1150" t="s">
        <v>106</v>
      </c>
      <c r="H1150" t="s">
        <v>307</v>
      </c>
      <c r="J1150">
        <v>2</v>
      </c>
      <c r="K1150" t="s">
        <v>146</v>
      </c>
      <c r="L1150" t="s">
        <v>434</v>
      </c>
      <c r="M1150" t="s">
        <v>551</v>
      </c>
      <c r="N1150" t="s">
        <v>552</v>
      </c>
      <c r="O1150">
        <v>168</v>
      </c>
      <c r="Q1150">
        <v>534</v>
      </c>
      <c r="R1150">
        <v>77</v>
      </c>
      <c r="S1150">
        <v>4.25</v>
      </c>
      <c r="T1150">
        <v>4.4690000000000003</v>
      </c>
      <c r="U1150">
        <v>6.86</v>
      </c>
      <c r="V1150">
        <v>2271.37</v>
      </c>
      <c r="W1150">
        <v>531</v>
      </c>
      <c r="X1150">
        <v>1.3332999999999999</v>
      </c>
      <c r="Y1150">
        <v>392</v>
      </c>
      <c r="Z1150">
        <v>5.8</v>
      </c>
      <c r="AJ1150">
        <v>2</v>
      </c>
      <c r="AK1150">
        <v>18</v>
      </c>
      <c r="AM1150">
        <v>0</v>
      </c>
      <c r="AO1150" t="s">
        <v>308</v>
      </c>
      <c r="AT1150">
        <v>64</v>
      </c>
      <c r="AV1150">
        <v>42.6</v>
      </c>
      <c r="AW1150">
        <v>0.46875</v>
      </c>
      <c r="AX1150">
        <v>3.75</v>
      </c>
      <c r="AY1150">
        <v>59.625</v>
      </c>
      <c r="AZ1150">
        <v>5.375</v>
      </c>
      <c r="BA1150">
        <v>339.79</v>
      </c>
      <c r="BB1150">
        <v>5.8</v>
      </c>
      <c r="BC1150">
        <v>64</v>
      </c>
      <c r="BD1150">
        <v>0.25</v>
      </c>
      <c r="BE1150">
        <v>2.75</v>
      </c>
      <c r="BF1150">
        <v>22.125</v>
      </c>
      <c r="BG1150">
        <v>2.875</v>
      </c>
      <c r="BH1150">
        <v>51.81</v>
      </c>
      <c r="BI1150">
        <v>6.62</v>
      </c>
      <c r="BJ1150">
        <v>10</v>
      </c>
      <c r="BL1150">
        <v>391.6</v>
      </c>
      <c r="BM1150">
        <v>73</v>
      </c>
      <c r="BN1150">
        <v>203.3</v>
      </c>
      <c r="BO1150">
        <v>2511</v>
      </c>
      <c r="BP1150">
        <v>0</v>
      </c>
      <c r="BQ1150">
        <v>58</v>
      </c>
      <c r="BR1150">
        <v>58</v>
      </c>
      <c r="BS1150">
        <v>57.56</v>
      </c>
      <c r="BT1150">
        <v>0</v>
      </c>
      <c r="BV1150">
        <v>0</v>
      </c>
      <c r="BW1150" t="s">
        <v>655</v>
      </c>
      <c r="BX1150">
        <v>0.17</v>
      </c>
      <c r="BY1150">
        <v>9.7851999999999997</v>
      </c>
      <c r="BZ1150">
        <v>0</v>
      </c>
      <c r="CA1150">
        <v>1</v>
      </c>
      <c r="CB1150">
        <v>0.6</v>
      </c>
      <c r="CC1150" s="3">
        <v>7.1269159999999998E-2</v>
      </c>
      <c r="CD1150">
        <v>2.875</v>
      </c>
      <c r="CE1150">
        <v>2.5</v>
      </c>
      <c r="CF1150">
        <v>18</v>
      </c>
      <c r="CG1150">
        <v>6</v>
      </c>
      <c r="CH1150">
        <v>0</v>
      </c>
      <c r="CI1150">
        <v>57.56</v>
      </c>
      <c r="CJ1150">
        <v>482.0147</v>
      </c>
    </row>
    <row r="1151" spans="1:88">
      <c r="A1151">
        <v>1150</v>
      </c>
      <c r="B1151" t="s">
        <v>0</v>
      </c>
      <c r="C1151" t="s">
        <v>1</v>
      </c>
      <c r="D1151" t="s">
        <v>123</v>
      </c>
      <c r="E1151" t="s">
        <v>454</v>
      </c>
      <c r="F1151" t="s">
        <v>118</v>
      </c>
      <c r="G1151" t="s">
        <v>214</v>
      </c>
      <c r="H1151" t="s">
        <v>386</v>
      </c>
      <c r="J1151">
        <v>2</v>
      </c>
      <c r="K1151" t="s">
        <v>108</v>
      </c>
      <c r="L1151" t="s">
        <v>245</v>
      </c>
      <c r="M1151" t="s">
        <v>498</v>
      </c>
      <c r="N1151" t="s">
        <v>203</v>
      </c>
      <c r="O1151">
        <v>198</v>
      </c>
      <c r="Q1151">
        <v>928</v>
      </c>
      <c r="R1151">
        <v>111</v>
      </c>
      <c r="S1151">
        <v>4.25</v>
      </c>
      <c r="T1151">
        <v>5.1379999999999999</v>
      </c>
      <c r="U1151">
        <v>7.38</v>
      </c>
      <c r="V1151">
        <v>3942.89</v>
      </c>
      <c r="W1151">
        <v>819</v>
      </c>
      <c r="X1151">
        <v>1.3332999999999999</v>
      </c>
      <c r="Y1151">
        <v>609</v>
      </c>
      <c r="Z1151">
        <v>6.47</v>
      </c>
      <c r="AJ1151">
        <v>2</v>
      </c>
      <c r="AK1151">
        <v>18</v>
      </c>
      <c r="AM1151">
        <v>0</v>
      </c>
      <c r="AO1151" t="s">
        <v>357</v>
      </c>
      <c r="AT1151">
        <v>74</v>
      </c>
      <c r="AV1151">
        <v>63.8</v>
      </c>
      <c r="AW1151">
        <v>0.46875</v>
      </c>
      <c r="AX1151">
        <v>3.75</v>
      </c>
      <c r="AY1151">
        <v>66.5</v>
      </c>
      <c r="AZ1151">
        <v>6</v>
      </c>
      <c r="BA1151">
        <v>304.7</v>
      </c>
      <c r="BB1151">
        <v>6.46</v>
      </c>
      <c r="BC1151">
        <v>71</v>
      </c>
      <c r="BD1151">
        <v>0.46875</v>
      </c>
      <c r="BE1151">
        <v>3.75</v>
      </c>
      <c r="BF1151">
        <v>66.5</v>
      </c>
      <c r="BG1151">
        <v>6</v>
      </c>
      <c r="BH1151">
        <v>304.7</v>
      </c>
      <c r="BI1151">
        <v>6.46</v>
      </c>
      <c r="BJ1151">
        <v>71</v>
      </c>
      <c r="BL1151">
        <v>609.4</v>
      </c>
      <c r="BM1151">
        <v>142</v>
      </c>
      <c r="BN1151">
        <v>309.31330000000003</v>
      </c>
      <c r="BO1151">
        <v>1361</v>
      </c>
      <c r="BP1151">
        <v>0</v>
      </c>
      <c r="BQ1151">
        <v>68</v>
      </c>
      <c r="BR1151">
        <v>68</v>
      </c>
      <c r="BS1151">
        <v>68</v>
      </c>
      <c r="BT1151">
        <v>0</v>
      </c>
      <c r="BV1151">
        <v>0</v>
      </c>
      <c r="BW1151" t="s">
        <v>655</v>
      </c>
      <c r="BX1151">
        <v>0.17</v>
      </c>
      <c r="BY1151">
        <v>11.56</v>
      </c>
      <c r="BZ1151">
        <v>0</v>
      </c>
      <c r="CA1151">
        <v>1</v>
      </c>
      <c r="CB1151">
        <v>0.6</v>
      </c>
      <c r="CC1151" s="3">
        <v>7.1269159999999998E-2</v>
      </c>
      <c r="CD1151">
        <v>2.875</v>
      </c>
      <c r="CE1151">
        <v>2.5</v>
      </c>
      <c r="CF1151">
        <v>18</v>
      </c>
      <c r="CG1151">
        <v>6</v>
      </c>
      <c r="CH1151">
        <v>0</v>
      </c>
      <c r="CI1151">
        <v>68</v>
      </c>
      <c r="CJ1151">
        <v>852.34339999999997</v>
      </c>
    </row>
    <row r="1152" spans="1:88">
      <c r="A1152">
        <v>1151</v>
      </c>
      <c r="B1152" t="s">
        <v>13</v>
      </c>
      <c r="C1152" t="s">
        <v>1</v>
      </c>
      <c r="D1152" t="s">
        <v>466</v>
      </c>
      <c r="E1152" t="s">
        <v>113</v>
      </c>
      <c r="F1152" t="s">
        <v>578</v>
      </c>
      <c r="G1152" t="s">
        <v>106</v>
      </c>
      <c r="H1152" t="s">
        <v>607</v>
      </c>
      <c r="J1152">
        <v>2</v>
      </c>
      <c r="K1152" t="s">
        <v>108</v>
      </c>
      <c r="L1152" t="s">
        <v>116</v>
      </c>
      <c r="M1152" t="s">
        <v>117</v>
      </c>
      <c r="N1152" t="s">
        <v>14</v>
      </c>
      <c r="O1152">
        <v>179</v>
      </c>
      <c r="Q1152">
        <v>792</v>
      </c>
      <c r="R1152">
        <v>105</v>
      </c>
      <c r="S1152">
        <v>4.25</v>
      </c>
      <c r="T1152">
        <v>4.7190000000000003</v>
      </c>
      <c r="U1152">
        <v>7.05</v>
      </c>
      <c r="V1152">
        <v>3364.42</v>
      </c>
      <c r="W1152">
        <v>737</v>
      </c>
      <c r="X1152">
        <v>1.3332999999999999</v>
      </c>
      <c r="Y1152">
        <v>556</v>
      </c>
      <c r="Z1152">
        <v>6.05</v>
      </c>
      <c r="AJ1152">
        <v>2</v>
      </c>
      <c r="AK1152">
        <v>18</v>
      </c>
      <c r="AM1152">
        <v>0</v>
      </c>
      <c r="AO1152" t="s">
        <v>349</v>
      </c>
      <c r="AT1152">
        <v>68</v>
      </c>
      <c r="AV1152">
        <v>59.8</v>
      </c>
      <c r="AW1152" t="s">
        <v>6</v>
      </c>
      <c r="AX1152" t="s">
        <v>6</v>
      </c>
      <c r="AY1152" t="s">
        <v>6</v>
      </c>
      <c r="AZ1152" t="s">
        <v>6</v>
      </c>
      <c r="BA1152" t="s">
        <v>6</v>
      </c>
      <c r="BB1152" t="s">
        <v>6</v>
      </c>
      <c r="BC1152" t="s">
        <v>6</v>
      </c>
      <c r="BD1152" t="s">
        <v>6</v>
      </c>
      <c r="BE1152" t="s">
        <v>6</v>
      </c>
      <c r="BF1152" t="s">
        <v>6</v>
      </c>
      <c r="BG1152" t="s">
        <v>6</v>
      </c>
      <c r="BH1152" t="s">
        <v>6</v>
      </c>
      <c r="BI1152" t="s">
        <v>6</v>
      </c>
      <c r="BJ1152" t="s">
        <v>6</v>
      </c>
      <c r="BN1152">
        <v>287.11669999999998</v>
      </c>
      <c r="BO1152">
        <v>1259</v>
      </c>
      <c r="BP1152">
        <v>0</v>
      </c>
      <c r="BQ1152">
        <v>61</v>
      </c>
      <c r="BR1152">
        <v>61</v>
      </c>
      <c r="BS1152">
        <v>61.39</v>
      </c>
      <c r="BT1152">
        <v>0</v>
      </c>
      <c r="BV1152">
        <v>0</v>
      </c>
      <c r="BW1152" t="s">
        <v>655</v>
      </c>
      <c r="BX1152">
        <v>0.17</v>
      </c>
      <c r="BY1152">
        <v>10.436299999999999</v>
      </c>
      <c r="BZ1152">
        <v>0</v>
      </c>
      <c r="CA1152">
        <v>1</v>
      </c>
      <c r="CB1152">
        <v>0.6</v>
      </c>
      <c r="CC1152" s="3">
        <v>7.1269159999999998E-2</v>
      </c>
      <c r="CD1152">
        <v>2.875</v>
      </c>
      <c r="CE1152">
        <v>2.5</v>
      </c>
      <c r="CF1152">
        <v>18</v>
      </c>
      <c r="CG1152">
        <v>6</v>
      </c>
      <c r="CH1152">
        <v>0</v>
      </c>
      <c r="CI1152">
        <v>61.39</v>
      </c>
      <c r="CJ1152">
        <v>721.36329999999998</v>
      </c>
    </row>
    <row r="1153" spans="1:88">
      <c r="A1153">
        <v>1152</v>
      </c>
      <c r="B1153" t="s">
        <v>0</v>
      </c>
      <c r="C1153" t="s">
        <v>1</v>
      </c>
      <c r="D1153" t="s">
        <v>338</v>
      </c>
      <c r="E1153" t="s">
        <v>133</v>
      </c>
      <c r="F1153" t="s">
        <v>360</v>
      </c>
      <c r="G1153" t="s">
        <v>106</v>
      </c>
      <c r="H1153" t="s">
        <v>101</v>
      </c>
      <c r="J1153">
        <v>2</v>
      </c>
      <c r="K1153" t="s">
        <v>146</v>
      </c>
      <c r="L1153" t="s">
        <v>353</v>
      </c>
      <c r="M1153" t="s">
        <v>194</v>
      </c>
      <c r="N1153" t="s">
        <v>195</v>
      </c>
      <c r="O1153">
        <v>143</v>
      </c>
      <c r="Q1153">
        <v>499</v>
      </c>
      <c r="R1153">
        <v>83</v>
      </c>
      <c r="S1153">
        <v>4.25</v>
      </c>
      <c r="T1153">
        <v>3.88</v>
      </c>
      <c r="U1153">
        <v>6.6</v>
      </c>
      <c r="V1153">
        <v>2118.87</v>
      </c>
      <c r="W1153">
        <v>549</v>
      </c>
      <c r="X1153">
        <v>1.3332999999999999</v>
      </c>
      <c r="Y1153">
        <v>407</v>
      </c>
      <c r="Z1153">
        <v>5.21</v>
      </c>
      <c r="AJ1153">
        <v>2</v>
      </c>
      <c r="AK1153">
        <v>18</v>
      </c>
      <c r="AM1153">
        <v>0</v>
      </c>
      <c r="AO1153" t="s">
        <v>403</v>
      </c>
      <c r="AT1153">
        <v>55</v>
      </c>
      <c r="AV1153">
        <v>46.2</v>
      </c>
      <c r="AW1153">
        <v>0.46875</v>
      </c>
      <c r="AX1153">
        <v>3.75</v>
      </c>
      <c r="AY1153">
        <v>53.625</v>
      </c>
      <c r="AZ1153">
        <v>4.875</v>
      </c>
      <c r="BA1153">
        <v>378.27</v>
      </c>
      <c r="BB1153">
        <v>5.21</v>
      </c>
      <c r="BC1153">
        <v>58</v>
      </c>
      <c r="BD1153">
        <v>0.25</v>
      </c>
      <c r="BE1153">
        <v>2.75</v>
      </c>
      <c r="BF1153">
        <v>40.375</v>
      </c>
      <c r="BG1153">
        <v>2.625</v>
      </c>
      <c r="BH1153">
        <v>28.42</v>
      </c>
      <c r="BI1153">
        <v>12.08</v>
      </c>
      <c r="BJ1153">
        <v>18</v>
      </c>
      <c r="BL1153">
        <v>406.69</v>
      </c>
      <c r="BM1153">
        <v>75</v>
      </c>
      <c r="BN1153">
        <v>221.13339999999999</v>
      </c>
      <c r="BO1153">
        <v>2122</v>
      </c>
      <c r="BP1153">
        <v>0</v>
      </c>
      <c r="BQ1153">
        <v>49</v>
      </c>
      <c r="BR1153">
        <v>49</v>
      </c>
      <c r="BS1153">
        <v>48.86</v>
      </c>
      <c r="BT1153">
        <v>0</v>
      </c>
      <c r="BV1153">
        <v>0</v>
      </c>
      <c r="BW1153" t="s">
        <v>655</v>
      </c>
      <c r="BX1153">
        <v>0.17</v>
      </c>
      <c r="BY1153">
        <v>8.3062000000000005</v>
      </c>
      <c r="BZ1153">
        <v>0</v>
      </c>
      <c r="CA1153">
        <v>1</v>
      </c>
      <c r="CB1153">
        <v>0.6</v>
      </c>
      <c r="CC1153" s="3">
        <v>7.1269159999999998E-2</v>
      </c>
      <c r="CD1153">
        <v>2.875</v>
      </c>
      <c r="CE1153">
        <v>2.5</v>
      </c>
      <c r="CF1153">
        <v>18</v>
      </c>
      <c r="CG1153">
        <v>6</v>
      </c>
      <c r="CH1153">
        <v>0</v>
      </c>
      <c r="CI1153">
        <v>48.86</v>
      </c>
      <c r="CJ1153">
        <v>443.9819</v>
      </c>
    </row>
    <row r="1154" spans="1:88">
      <c r="A1154">
        <v>1153</v>
      </c>
      <c r="B1154" t="s">
        <v>0</v>
      </c>
      <c r="C1154" t="s">
        <v>1</v>
      </c>
      <c r="D1154" t="s">
        <v>279</v>
      </c>
      <c r="E1154" t="s">
        <v>338</v>
      </c>
      <c r="F1154" t="s">
        <v>236</v>
      </c>
      <c r="G1154" t="s">
        <v>106</v>
      </c>
      <c r="H1154" t="s">
        <v>143</v>
      </c>
      <c r="J1154">
        <v>2</v>
      </c>
      <c r="K1154" t="s">
        <v>146</v>
      </c>
      <c r="L1154" t="s">
        <v>143</v>
      </c>
      <c r="M1154" t="s">
        <v>339</v>
      </c>
      <c r="N1154" t="s">
        <v>340</v>
      </c>
      <c r="O1154">
        <v>135</v>
      </c>
      <c r="Q1154">
        <v>549</v>
      </c>
      <c r="R1154">
        <v>95</v>
      </c>
      <c r="S1154">
        <v>4.25</v>
      </c>
      <c r="T1154">
        <v>3.6850000000000001</v>
      </c>
      <c r="U1154">
        <v>6.45</v>
      </c>
      <c r="V1154">
        <v>2334.9899999999998</v>
      </c>
      <c r="W1154">
        <v>614</v>
      </c>
      <c r="X1154">
        <v>1.3332999999999999</v>
      </c>
      <c r="Y1154">
        <v>466</v>
      </c>
      <c r="Z1154">
        <v>5.01</v>
      </c>
      <c r="AJ1154">
        <v>2</v>
      </c>
      <c r="AK1154">
        <v>18</v>
      </c>
      <c r="AM1154">
        <v>0</v>
      </c>
      <c r="AO1154" t="s">
        <v>206</v>
      </c>
      <c r="AT1154">
        <v>52</v>
      </c>
      <c r="AV1154">
        <v>53.9</v>
      </c>
      <c r="AW1154">
        <v>0.40625</v>
      </c>
      <c r="AX1154">
        <v>3.75</v>
      </c>
      <c r="AY1154">
        <v>38</v>
      </c>
      <c r="AZ1154">
        <v>4.125</v>
      </c>
      <c r="BA1154">
        <v>256.33</v>
      </c>
      <c r="BB1154">
        <v>5.16</v>
      </c>
      <c r="BC1154">
        <v>36</v>
      </c>
      <c r="BD1154">
        <v>0.375</v>
      </c>
      <c r="BE1154">
        <v>3.75</v>
      </c>
      <c r="BF1154">
        <v>30.875</v>
      </c>
      <c r="BG1154">
        <v>3.75</v>
      </c>
      <c r="BH1154">
        <v>209.73</v>
      </c>
      <c r="BI1154">
        <v>5.13</v>
      </c>
      <c r="BJ1154">
        <v>27</v>
      </c>
      <c r="BL1154">
        <v>466.06</v>
      </c>
      <c r="BM1154">
        <v>63</v>
      </c>
      <c r="BN1154">
        <v>258.58339999999998</v>
      </c>
      <c r="BO1154">
        <v>1552</v>
      </c>
      <c r="BP1154">
        <v>0</v>
      </c>
      <c r="BQ1154">
        <v>46</v>
      </c>
      <c r="BR1154">
        <v>46</v>
      </c>
      <c r="BS1154">
        <v>46.08</v>
      </c>
      <c r="BT1154">
        <v>0</v>
      </c>
      <c r="BV1154">
        <v>0</v>
      </c>
      <c r="BW1154" t="s">
        <v>655</v>
      </c>
      <c r="BX1154">
        <v>0.17</v>
      </c>
      <c r="BY1154">
        <v>7.8336009999999998</v>
      </c>
      <c r="BZ1154">
        <v>0</v>
      </c>
      <c r="CA1154">
        <v>1</v>
      </c>
      <c r="CB1154">
        <v>0.6</v>
      </c>
      <c r="CC1154" s="3">
        <v>7.1269159999999998E-2</v>
      </c>
      <c r="CD1154">
        <v>2.875</v>
      </c>
      <c r="CE1154">
        <v>2.5</v>
      </c>
      <c r="CF1154">
        <v>18</v>
      </c>
      <c r="CG1154">
        <v>6</v>
      </c>
      <c r="CH1154">
        <v>0</v>
      </c>
      <c r="CI1154">
        <v>46.08</v>
      </c>
      <c r="CJ1154">
        <v>487.68630000000002</v>
      </c>
    </row>
    <row r="1155" spans="1:88">
      <c r="A1155">
        <v>1154</v>
      </c>
      <c r="B1155" t="s">
        <v>13</v>
      </c>
      <c r="C1155" t="s">
        <v>1</v>
      </c>
      <c r="D1155" t="s">
        <v>561</v>
      </c>
      <c r="E1155" t="s">
        <v>268</v>
      </c>
      <c r="F1155" t="s">
        <v>624</v>
      </c>
      <c r="G1155" t="s">
        <v>106</v>
      </c>
      <c r="H1155" t="s">
        <v>320</v>
      </c>
      <c r="J1155">
        <v>2</v>
      </c>
      <c r="K1155" t="s">
        <v>146</v>
      </c>
      <c r="L1155" t="s">
        <v>133</v>
      </c>
      <c r="M1155" t="s">
        <v>270</v>
      </c>
      <c r="N1155" t="s">
        <v>153</v>
      </c>
      <c r="O1155">
        <v>123</v>
      </c>
      <c r="Q1155">
        <v>183</v>
      </c>
      <c r="R1155">
        <v>35</v>
      </c>
      <c r="S1155">
        <v>4.25</v>
      </c>
      <c r="T1155">
        <v>3.3849999999999998</v>
      </c>
      <c r="U1155">
        <v>6.22</v>
      </c>
      <c r="V1155">
        <v>777.66</v>
      </c>
      <c r="W1155">
        <v>218</v>
      </c>
      <c r="X1155">
        <v>1.3332999999999999</v>
      </c>
      <c r="Y1155">
        <v>165</v>
      </c>
      <c r="Z1155">
        <v>4.71</v>
      </c>
      <c r="AJ1155">
        <v>2</v>
      </c>
      <c r="AK1155">
        <v>18</v>
      </c>
      <c r="AM1155">
        <v>0</v>
      </c>
      <c r="AO1155" t="s">
        <v>500</v>
      </c>
      <c r="AT1155">
        <v>48</v>
      </c>
      <c r="AV1155">
        <v>19</v>
      </c>
      <c r="AW1155">
        <v>0</v>
      </c>
      <c r="AX1155">
        <v>0</v>
      </c>
      <c r="AY1155">
        <v>39.125</v>
      </c>
      <c r="AZ1155">
        <v>3.5</v>
      </c>
      <c r="BA1155">
        <v>0</v>
      </c>
      <c r="BB1155">
        <v>0</v>
      </c>
      <c r="BC1155">
        <v>35</v>
      </c>
      <c r="BN1155">
        <v>87.383340000000004</v>
      </c>
      <c r="BO1155">
        <v>13590</v>
      </c>
      <c r="BP1155">
        <v>0</v>
      </c>
      <c r="BQ1155">
        <v>42</v>
      </c>
      <c r="BR1155">
        <v>42</v>
      </c>
      <c r="BS1155">
        <v>41.91</v>
      </c>
      <c r="BT1155">
        <v>0</v>
      </c>
      <c r="BV1155">
        <v>0</v>
      </c>
      <c r="BW1155" t="s">
        <v>655</v>
      </c>
      <c r="BX1155">
        <v>0.17</v>
      </c>
      <c r="BY1155">
        <v>7.1246999999999998</v>
      </c>
      <c r="BZ1155">
        <v>0</v>
      </c>
      <c r="CA1155">
        <v>1</v>
      </c>
      <c r="CB1155">
        <v>0.6</v>
      </c>
      <c r="CC1155" s="3">
        <v>7.1269159999999998E-2</v>
      </c>
      <c r="CD1155">
        <v>2.875</v>
      </c>
      <c r="CE1155">
        <v>2.5</v>
      </c>
      <c r="CF1155">
        <v>18</v>
      </c>
      <c r="CG1155">
        <v>6</v>
      </c>
      <c r="CH1155">
        <v>0</v>
      </c>
      <c r="CI1155">
        <v>41.91</v>
      </c>
      <c r="CJ1155">
        <v>156.8117</v>
      </c>
    </row>
    <row r="1156" spans="1:88">
      <c r="A1156">
        <v>1155</v>
      </c>
      <c r="B1156" t="s">
        <v>13</v>
      </c>
      <c r="C1156" t="s">
        <v>1</v>
      </c>
      <c r="D1156" t="s">
        <v>353</v>
      </c>
      <c r="E1156" t="s">
        <v>381</v>
      </c>
      <c r="F1156" t="s">
        <v>517</v>
      </c>
      <c r="G1156" t="s">
        <v>106</v>
      </c>
      <c r="H1156" t="s">
        <v>518</v>
      </c>
      <c r="J1156">
        <v>2</v>
      </c>
      <c r="K1156" t="s">
        <v>108</v>
      </c>
      <c r="L1156" t="s">
        <v>267</v>
      </c>
      <c r="M1156" t="s">
        <v>384</v>
      </c>
      <c r="N1156" t="s">
        <v>257</v>
      </c>
      <c r="O1156">
        <v>139</v>
      </c>
      <c r="Q1156">
        <v>592</v>
      </c>
      <c r="R1156">
        <v>99</v>
      </c>
      <c r="S1156">
        <v>4.25</v>
      </c>
      <c r="T1156">
        <v>3.7829999999999999</v>
      </c>
      <c r="U1156">
        <v>6.52</v>
      </c>
      <c r="V1156">
        <v>2515.9499999999998</v>
      </c>
      <c r="W1156">
        <v>648</v>
      </c>
      <c r="X1156">
        <v>1.3332999999999999</v>
      </c>
      <c r="Y1156">
        <v>492</v>
      </c>
      <c r="Z1156">
        <v>5.1100000000000003</v>
      </c>
      <c r="AJ1156">
        <v>2</v>
      </c>
      <c r="AK1156">
        <v>18</v>
      </c>
      <c r="AM1156">
        <v>0</v>
      </c>
      <c r="AO1156" t="s">
        <v>182</v>
      </c>
      <c r="AT1156">
        <v>54</v>
      </c>
      <c r="AV1156">
        <v>56.5</v>
      </c>
      <c r="AW1156">
        <v>0.46875</v>
      </c>
      <c r="AX1156">
        <v>3.75</v>
      </c>
      <c r="AY1156">
        <v>52.5</v>
      </c>
      <c r="AZ1156">
        <v>4.75</v>
      </c>
      <c r="BA1156">
        <v>385.67</v>
      </c>
      <c r="BB1156">
        <v>5.1100000000000003</v>
      </c>
      <c r="BC1156">
        <v>56</v>
      </c>
      <c r="BD1156">
        <v>0.3125</v>
      </c>
      <c r="BE1156">
        <v>2.75</v>
      </c>
      <c r="BF1156">
        <v>33.75</v>
      </c>
      <c r="BG1156">
        <v>3.25</v>
      </c>
      <c r="BH1156">
        <v>106.67</v>
      </c>
      <c r="BI1156">
        <v>5.99</v>
      </c>
      <c r="BJ1156">
        <v>18</v>
      </c>
      <c r="BL1156">
        <v>492.34010000000001</v>
      </c>
      <c r="BM1156">
        <v>74</v>
      </c>
      <c r="BN1156">
        <v>271.06670000000003</v>
      </c>
      <c r="BO1156">
        <v>1412</v>
      </c>
      <c r="BP1156">
        <v>0</v>
      </c>
      <c r="BQ1156">
        <v>47</v>
      </c>
      <c r="BR1156">
        <v>47</v>
      </c>
      <c r="BS1156">
        <v>47.47</v>
      </c>
      <c r="BT1156">
        <v>0</v>
      </c>
      <c r="BV1156">
        <v>0</v>
      </c>
      <c r="BW1156" t="s">
        <v>655</v>
      </c>
      <c r="BX1156">
        <v>0.17</v>
      </c>
      <c r="BY1156">
        <v>8.0699009999999998</v>
      </c>
      <c r="BZ1156">
        <v>0</v>
      </c>
      <c r="CA1156">
        <v>1</v>
      </c>
      <c r="CB1156">
        <v>0.6</v>
      </c>
      <c r="CC1156" s="3">
        <v>7.1269159999999998E-2</v>
      </c>
      <c r="CD1156">
        <v>2.875</v>
      </c>
      <c r="CE1156">
        <v>2.5</v>
      </c>
      <c r="CF1156">
        <v>18</v>
      </c>
      <c r="CG1156">
        <v>6</v>
      </c>
      <c r="CH1156">
        <v>0</v>
      </c>
      <c r="CI1156">
        <v>47.47</v>
      </c>
      <c r="CJ1156">
        <v>527.34799999999996</v>
      </c>
    </row>
    <row r="1157" spans="1:88">
      <c r="A1157">
        <v>1156</v>
      </c>
      <c r="B1157" t="s">
        <v>13</v>
      </c>
      <c r="C1157" t="s">
        <v>1</v>
      </c>
      <c r="D1157" t="s">
        <v>133</v>
      </c>
      <c r="E1157" t="s">
        <v>5</v>
      </c>
      <c r="F1157" t="s">
        <v>298</v>
      </c>
      <c r="G1157" t="s">
        <v>106</v>
      </c>
      <c r="H1157" t="s">
        <v>257</v>
      </c>
      <c r="J1157">
        <v>2</v>
      </c>
      <c r="K1157" t="s">
        <v>146</v>
      </c>
      <c r="L1157" t="s">
        <v>162</v>
      </c>
      <c r="M1157" t="s">
        <v>155</v>
      </c>
      <c r="N1157" t="s">
        <v>176</v>
      </c>
      <c r="O1157">
        <v>110</v>
      </c>
      <c r="Q1157">
        <v>417</v>
      </c>
      <c r="R1157">
        <v>88</v>
      </c>
      <c r="S1157">
        <v>4.25</v>
      </c>
      <c r="T1157">
        <v>3.05</v>
      </c>
      <c r="U1157">
        <v>6.11</v>
      </c>
      <c r="V1157">
        <v>1770.59</v>
      </c>
      <c r="W1157">
        <v>536</v>
      </c>
      <c r="X1157">
        <v>1.3332999999999999</v>
      </c>
      <c r="Y1157">
        <v>404</v>
      </c>
      <c r="Z1157">
        <v>4.38</v>
      </c>
      <c r="AJ1157">
        <v>2</v>
      </c>
      <c r="AK1157">
        <v>18</v>
      </c>
      <c r="AM1157">
        <v>0</v>
      </c>
      <c r="AO1157" t="s">
        <v>301</v>
      </c>
      <c r="AT1157">
        <v>44</v>
      </c>
      <c r="AV1157">
        <v>49.1</v>
      </c>
      <c r="AW1157">
        <v>0</v>
      </c>
      <c r="AX1157">
        <v>0</v>
      </c>
      <c r="AY1157">
        <v>50.125</v>
      </c>
      <c r="AZ1157">
        <v>4.125</v>
      </c>
      <c r="BA1157">
        <v>0</v>
      </c>
      <c r="BB1157">
        <v>0</v>
      </c>
      <c r="BC1157">
        <v>54</v>
      </c>
      <c r="BN1157">
        <v>235.40010000000001</v>
      </c>
      <c r="BO1157">
        <v>1873</v>
      </c>
      <c r="BP1157">
        <v>0</v>
      </c>
      <c r="BQ1157">
        <v>37</v>
      </c>
      <c r="BR1157">
        <v>37</v>
      </c>
      <c r="BS1157">
        <v>37.39</v>
      </c>
      <c r="BT1157">
        <v>0</v>
      </c>
      <c r="BV1157">
        <v>0</v>
      </c>
      <c r="BW1157" t="s">
        <v>655</v>
      </c>
      <c r="BX1157">
        <v>0.17</v>
      </c>
      <c r="BY1157">
        <v>6.3563000000000001</v>
      </c>
      <c r="BZ1157">
        <v>0</v>
      </c>
      <c r="CA1157">
        <v>1</v>
      </c>
      <c r="CB1157">
        <v>0.6</v>
      </c>
      <c r="CC1157" s="3">
        <v>7.1269159999999998E-2</v>
      </c>
      <c r="CD1157">
        <v>2.875</v>
      </c>
      <c r="CE1157">
        <v>2.5</v>
      </c>
      <c r="CF1157">
        <v>18</v>
      </c>
      <c r="CG1157">
        <v>6</v>
      </c>
      <c r="CH1157">
        <v>0</v>
      </c>
      <c r="CI1157">
        <v>37.39</v>
      </c>
      <c r="CJ1157">
        <v>361.07409999999999</v>
      </c>
    </row>
    <row r="1158" spans="1:88">
      <c r="A1158">
        <v>1157</v>
      </c>
      <c r="B1158" t="s">
        <v>13</v>
      </c>
      <c r="C1158" t="s">
        <v>1</v>
      </c>
      <c r="D1158" t="s">
        <v>344</v>
      </c>
      <c r="E1158" t="s">
        <v>127</v>
      </c>
      <c r="F1158" t="s">
        <v>499</v>
      </c>
      <c r="G1158" t="s">
        <v>106</v>
      </c>
      <c r="H1158" t="s">
        <v>462</v>
      </c>
      <c r="J1158">
        <v>2</v>
      </c>
      <c r="K1158" t="s">
        <v>146</v>
      </c>
      <c r="L1158" t="s">
        <v>338</v>
      </c>
      <c r="M1158" t="s">
        <v>189</v>
      </c>
      <c r="N1158" t="s">
        <v>190</v>
      </c>
      <c r="O1158">
        <v>115</v>
      </c>
      <c r="Q1158">
        <v>241</v>
      </c>
      <c r="R1158">
        <v>48</v>
      </c>
      <c r="S1158">
        <v>4.25</v>
      </c>
      <c r="T1158">
        <v>3.18</v>
      </c>
      <c r="U1158">
        <v>6.22</v>
      </c>
      <c r="V1158">
        <v>1026.1600000000001</v>
      </c>
      <c r="W1158">
        <v>297</v>
      </c>
      <c r="X1158">
        <v>1.3332999999999999</v>
      </c>
      <c r="Y1158">
        <v>228</v>
      </c>
      <c r="Z1158">
        <v>4.51</v>
      </c>
      <c r="AJ1158">
        <v>2</v>
      </c>
      <c r="AK1158">
        <v>18</v>
      </c>
      <c r="AM1158">
        <v>0</v>
      </c>
      <c r="AO1158" t="s">
        <v>223</v>
      </c>
      <c r="AT1158">
        <v>45</v>
      </c>
      <c r="AV1158">
        <v>27</v>
      </c>
      <c r="AW1158">
        <v>0</v>
      </c>
      <c r="AX1158">
        <v>0</v>
      </c>
      <c r="AY1158">
        <v>28.375</v>
      </c>
      <c r="AZ1158">
        <v>3.375</v>
      </c>
      <c r="BA1158">
        <v>0</v>
      </c>
      <c r="BB1158">
        <v>0</v>
      </c>
      <c r="BC1158">
        <v>25</v>
      </c>
      <c r="BN1158">
        <v>126.61669999999999</v>
      </c>
      <c r="BO1158">
        <v>6473</v>
      </c>
      <c r="BP1158">
        <v>0</v>
      </c>
      <c r="BQ1158">
        <v>39</v>
      </c>
      <c r="BR1158">
        <v>39</v>
      </c>
      <c r="BS1158">
        <v>39.130000000000003</v>
      </c>
      <c r="BT1158">
        <v>0</v>
      </c>
      <c r="BV1158">
        <v>0</v>
      </c>
      <c r="BW1158" t="s">
        <v>655</v>
      </c>
      <c r="BX1158">
        <v>0.17</v>
      </c>
      <c r="BY1158">
        <v>6.6520999999999999</v>
      </c>
      <c r="BZ1158">
        <v>0</v>
      </c>
      <c r="CA1158">
        <v>1</v>
      </c>
      <c r="CB1158">
        <v>0.6</v>
      </c>
      <c r="CC1158" s="3">
        <v>7.1269159999999998E-2</v>
      </c>
      <c r="CD1158">
        <v>2.875</v>
      </c>
      <c r="CE1158">
        <v>2.5</v>
      </c>
      <c r="CF1158">
        <v>18</v>
      </c>
      <c r="CG1158">
        <v>6</v>
      </c>
      <c r="CH1158">
        <v>0</v>
      </c>
      <c r="CI1158">
        <v>39.130000000000003</v>
      </c>
      <c r="CJ1158">
        <v>207.7628</v>
      </c>
    </row>
    <row r="1159" spans="1:88">
      <c r="A1159">
        <v>1158</v>
      </c>
      <c r="B1159" t="s">
        <v>0</v>
      </c>
      <c r="C1159" t="s">
        <v>1</v>
      </c>
      <c r="D1159" t="s">
        <v>101</v>
      </c>
      <c r="E1159" t="s">
        <v>143</v>
      </c>
      <c r="F1159" t="s">
        <v>339</v>
      </c>
      <c r="G1159" t="s">
        <v>106</v>
      </c>
      <c r="H1159" t="s">
        <v>167</v>
      </c>
      <c r="J1159">
        <v>2</v>
      </c>
      <c r="K1159" t="s">
        <v>146</v>
      </c>
      <c r="L1159" t="s">
        <v>297</v>
      </c>
      <c r="M1159" t="s">
        <v>206</v>
      </c>
      <c r="N1159" t="s">
        <v>131</v>
      </c>
      <c r="O1159">
        <v>155</v>
      </c>
      <c r="Q1159">
        <v>533</v>
      </c>
      <c r="R1159">
        <v>83</v>
      </c>
      <c r="S1159">
        <v>4.25</v>
      </c>
      <c r="T1159">
        <v>4.1660000000000004</v>
      </c>
      <c r="U1159">
        <v>6.78</v>
      </c>
      <c r="V1159">
        <v>2265.71</v>
      </c>
      <c r="W1159">
        <v>560</v>
      </c>
      <c r="X1159">
        <v>1.3332999999999999</v>
      </c>
      <c r="Y1159">
        <v>413</v>
      </c>
      <c r="Z1159">
        <v>5.49</v>
      </c>
      <c r="AJ1159">
        <v>2</v>
      </c>
      <c r="AK1159">
        <v>18</v>
      </c>
      <c r="AM1159">
        <v>0</v>
      </c>
      <c r="AO1159" t="s">
        <v>327</v>
      </c>
      <c r="AT1159">
        <v>59</v>
      </c>
      <c r="AV1159">
        <v>45.9</v>
      </c>
      <c r="AW1159">
        <v>0.46875</v>
      </c>
      <c r="AX1159">
        <v>3.75</v>
      </c>
      <c r="AY1159">
        <v>56.5</v>
      </c>
      <c r="AZ1159">
        <v>5.125</v>
      </c>
      <c r="BA1159">
        <v>358.98</v>
      </c>
      <c r="BB1159">
        <v>5.49</v>
      </c>
      <c r="BC1159">
        <v>61</v>
      </c>
      <c r="BD1159">
        <v>0.25</v>
      </c>
      <c r="BE1159">
        <v>2.75</v>
      </c>
      <c r="BF1159">
        <v>21.375</v>
      </c>
      <c r="BG1159">
        <v>2.75</v>
      </c>
      <c r="BH1159">
        <v>53.7</v>
      </c>
      <c r="BI1159">
        <v>6.39</v>
      </c>
      <c r="BJ1159">
        <v>9</v>
      </c>
      <c r="BL1159">
        <v>412.68</v>
      </c>
      <c r="BM1159">
        <v>69</v>
      </c>
      <c r="BN1159">
        <v>219.35</v>
      </c>
      <c r="BO1159">
        <v>2157</v>
      </c>
      <c r="BP1159">
        <v>0</v>
      </c>
      <c r="BQ1159">
        <v>53</v>
      </c>
      <c r="BR1159">
        <v>53</v>
      </c>
      <c r="BS1159">
        <v>53.04</v>
      </c>
      <c r="BT1159">
        <v>0</v>
      </c>
      <c r="BV1159">
        <v>0</v>
      </c>
      <c r="BW1159" t="s">
        <v>655</v>
      </c>
      <c r="BX1159">
        <v>0.17</v>
      </c>
      <c r="BY1159">
        <v>9.0167999999999999</v>
      </c>
      <c r="BZ1159">
        <v>0</v>
      </c>
      <c r="CA1159">
        <v>1</v>
      </c>
      <c r="CB1159">
        <v>0.6</v>
      </c>
      <c r="CC1159" s="3">
        <v>7.1269159999999998E-2</v>
      </c>
      <c r="CD1159">
        <v>2.875</v>
      </c>
      <c r="CE1159">
        <v>2.5</v>
      </c>
      <c r="CF1159">
        <v>18</v>
      </c>
      <c r="CG1159">
        <v>6</v>
      </c>
      <c r="CH1159">
        <v>0</v>
      </c>
      <c r="CI1159">
        <v>53.04</v>
      </c>
      <c r="CJ1159">
        <v>478.18470000000002</v>
      </c>
    </row>
    <row r="1160" spans="1:88">
      <c r="A1160">
        <v>1159</v>
      </c>
      <c r="B1160" t="s">
        <v>13</v>
      </c>
      <c r="C1160" t="s">
        <v>1</v>
      </c>
      <c r="D1160" t="s">
        <v>96</v>
      </c>
      <c r="E1160" t="s">
        <v>177</v>
      </c>
      <c r="F1160" t="s">
        <v>198</v>
      </c>
      <c r="G1160" t="s">
        <v>106</v>
      </c>
      <c r="H1160" t="s">
        <v>162</v>
      </c>
      <c r="J1160">
        <v>2</v>
      </c>
      <c r="K1160" t="s">
        <v>146</v>
      </c>
      <c r="L1160" t="s">
        <v>235</v>
      </c>
      <c r="M1160" t="s">
        <v>152</v>
      </c>
      <c r="N1160" t="s">
        <v>127</v>
      </c>
      <c r="O1160">
        <v>112</v>
      </c>
      <c r="Q1160">
        <v>386</v>
      </c>
      <c r="R1160">
        <v>81</v>
      </c>
      <c r="S1160">
        <v>4.25</v>
      </c>
      <c r="T1160">
        <v>3.1019999999999999</v>
      </c>
      <c r="U1160">
        <v>6.14</v>
      </c>
      <c r="V1160">
        <v>1642.45</v>
      </c>
      <c r="W1160">
        <v>496</v>
      </c>
      <c r="X1160">
        <v>1.3332999999999999</v>
      </c>
      <c r="Y1160">
        <v>371</v>
      </c>
      <c r="Z1160">
        <v>4.43</v>
      </c>
      <c r="AJ1160">
        <v>2</v>
      </c>
      <c r="AK1160">
        <v>18</v>
      </c>
      <c r="AM1160">
        <v>0</v>
      </c>
      <c r="AO1160" t="s">
        <v>166</v>
      </c>
      <c r="AT1160">
        <v>44</v>
      </c>
      <c r="AV1160">
        <v>44.8</v>
      </c>
      <c r="AW1160">
        <v>0</v>
      </c>
      <c r="AX1160">
        <v>0</v>
      </c>
      <c r="AY1160">
        <v>38.375</v>
      </c>
      <c r="AZ1160">
        <v>3.875</v>
      </c>
      <c r="BA1160">
        <v>0</v>
      </c>
      <c r="BB1160">
        <v>0</v>
      </c>
      <c r="BC1160">
        <v>39</v>
      </c>
      <c r="BN1160">
        <v>214</v>
      </c>
      <c r="BO1160">
        <v>2266</v>
      </c>
      <c r="BP1160">
        <v>0</v>
      </c>
      <c r="BQ1160">
        <v>38</v>
      </c>
      <c r="BR1160">
        <v>38</v>
      </c>
      <c r="BS1160">
        <v>38.08</v>
      </c>
      <c r="BT1160">
        <v>0</v>
      </c>
      <c r="BV1160">
        <v>0</v>
      </c>
      <c r="BW1160" t="s">
        <v>655</v>
      </c>
      <c r="BX1160">
        <v>0.17</v>
      </c>
      <c r="BY1160">
        <v>6.4736010000000004</v>
      </c>
      <c r="BZ1160">
        <v>0</v>
      </c>
      <c r="CA1160">
        <v>1</v>
      </c>
      <c r="CB1160">
        <v>0.6</v>
      </c>
      <c r="CC1160" s="3">
        <v>7.1269159999999998E-2</v>
      </c>
      <c r="CD1160">
        <v>2.875</v>
      </c>
      <c r="CE1160">
        <v>2.5</v>
      </c>
      <c r="CF1160">
        <v>18</v>
      </c>
      <c r="CG1160">
        <v>6</v>
      </c>
      <c r="CH1160">
        <v>0</v>
      </c>
      <c r="CI1160">
        <v>38.08</v>
      </c>
      <c r="CJ1160">
        <v>335.1703</v>
      </c>
    </row>
    <row r="1161" spans="1:88">
      <c r="A1161">
        <v>1160</v>
      </c>
      <c r="B1161" t="s">
        <v>0</v>
      </c>
      <c r="C1161" t="s">
        <v>1</v>
      </c>
      <c r="D1161" t="s">
        <v>459</v>
      </c>
      <c r="E1161" t="s">
        <v>178</v>
      </c>
      <c r="F1161" t="s">
        <v>389</v>
      </c>
      <c r="G1161" t="s">
        <v>214</v>
      </c>
      <c r="H1161" t="s">
        <v>460</v>
      </c>
      <c r="J1161">
        <v>2</v>
      </c>
      <c r="K1161" t="s">
        <v>108</v>
      </c>
      <c r="L1161" t="s">
        <v>127</v>
      </c>
      <c r="M1161" t="s">
        <v>179</v>
      </c>
      <c r="N1161" t="s">
        <v>180</v>
      </c>
      <c r="O1161">
        <v>95</v>
      </c>
      <c r="Q1161">
        <v>528</v>
      </c>
      <c r="R1161">
        <v>124</v>
      </c>
      <c r="S1161">
        <v>4.25</v>
      </c>
      <c r="T1161">
        <v>2.649</v>
      </c>
      <c r="U1161">
        <v>5.81</v>
      </c>
      <c r="V1161">
        <v>2245.27</v>
      </c>
      <c r="W1161">
        <v>722</v>
      </c>
      <c r="X1161">
        <v>1.3332999999999999</v>
      </c>
      <c r="Y1161">
        <v>564</v>
      </c>
      <c r="Z1161">
        <v>3.98</v>
      </c>
      <c r="AJ1161">
        <v>2</v>
      </c>
      <c r="AK1161">
        <v>18</v>
      </c>
      <c r="AM1161">
        <v>0</v>
      </c>
      <c r="AO1161" t="s">
        <v>418</v>
      </c>
      <c r="AT1161">
        <v>38</v>
      </c>
      <c r="AV1161">
        <v>71.400000000000006</v>
      </c>
      <c r="AW1161">
        <v>0.46875</v>
      </c>
      <c r="AX1161">
        <v>3.75</v>
      </c>
      <c r="AY1161">
        <v>41</v>
      </c>
      <c r="AZ1161">
        <v>3.75</v>
      </c>
      <c r="BA1161">
        <v>495.18</v>
      </c>
      <c r="BB1161">
        <v>3.98</v>
      </c>
      <c r="BC1161">
        <v>44</v>
      </c>
      <c r="BD1161">
        <v>0.25</v>
      </c>
      <c r="BE1161">
        <v>2.75</v>
      </c>
      <c r="BF1161">
        <v>16.625</v>
      </c>
      <c r="BG1161">
        <v>2</v>
      </c>
      <c r="BH1161">
        <v>68.95</v>
      </c>
      <c r="BI1161">
        <v>4.9800000000000004</v>
      </c>
      <c r="BJ1161">
        <v>7</v>
      </c>
      <c r="BL1161">
        <v>564.13</v>
      </c>
      <c r="BM1161">
        <v>51</v>
      </c>
      <c r="BN1161">
        <v>347.07839999999999</v>
      </c>
      <c r="BO1161">
        <v>1081</v>
      </c>
      <c r="BP1161">
        <v>0</v>
      </c>
      <c r="BQ1161">
        <v>32</v>
      </c>
      <c r="BR1161">
        <v>32</v>
      </c>
      <c r="BS1161">
        <v>32.17</v>
      </c>
      <c r="BT1161">
        <v>0</v>
      </c>
      <c r="BV1161">
        <v>0</v>
      </c>
      <c r="BW1161" t="s">
        <v>655</v>
      </c>
      <c r="BX1161">
        <v>0.17</v>
      </c>
      <c r="BY1161">
        <v>5.4688999999999997</v>
      </c>
      <c r="BZ1161">
        <v>0</v>
      </c>
      <c r="CA1161">
        <v>1</v>
      </c>
      <c r="CB1161">
        <v>0.6</v>
      </c>
      <c r="CC1161" s="3">
        <v>7.1269159999999998E-2</v>
      </c>
      <c r="CD1161">
        <v>2.875</v>
      </c>
      <c r="CE1161">
        <v>2.5</v>
      </c>
      <c r="CF1161">
        <v>18</v>
      </c>
      <c r="CG1161">
        <v>6</v>
      </c>
      <c r="CH1161">
        <v>0</v>
      </c>
      <c r="CI1161">
        <v>32.17</v>
      </c>
      <c r="CJ1161">
        <v>451.3809</v>
      </c>
    </row>
    <row r="1162" spans="1:88">
      <c r="A1162">
        <v>1161</v>
      </c>
      <c r="B1162" t="s">
        <v>13</v>
      </c>
      <c r="C1162" t="s">
        <v>1</v>
      </c>
      <c r="D1162" t="s">
        <v>3</v>
      </c>
      <c r="E1162" t="s">
        <v>510</v>
      </c>
      <c r="F1162" t="s">
        <v>306</v>
      </c>
      <c r="G1162" t="s">
        <v>106</v>
      </c>
      <c r="H1162" t="s">
        <v>307</v>
      </c>
      <c r="J1162">
        <v>2</v>
      </c>
      <c r="K1162" t="s">
        <v>146</v>
      </c>
      <c r="L1162" t="s">
        <v>176</v>
      </c>
      <c r="M1162" t="s">
        <v>354</v>
      </c>
      <c r="N1162" t="s">
        <v>464</v>
      </c>
      <c r="O1162">
        <v>93</v>
      </c>
      <c r="Q1162">
        <v>312</v>
      </c>
      <c r="R1162">
        <v>77</v>
      </c>
      <c r="S1162">
        <v>4.25</v>
      </c>
      <c r="T1162">
        <v>2.5950000000000002</v>
      </c>
      <c r="U1162">
        <v>5.77</v>
      </c>
      <c r="V1162">
        <v>1324</v>
      </c>
      <c r="W1162">
        <v>447</v>
      </c>
      <c r="X1162">
        <v>1.3332999999999999</v>
      </c>
      <c r="Y1162">
        <v>338</v>
      </c>
      <c r="Z1162">
        <v>3.92</v>
      </c>
      <c r="AJ1162">
        <v>2</v>
      </c>
      <c r="AK1162">
        <v>18</v>
      </c>
      <c r="AM1162">
        <v>0</v>
      </c>
      <c r="AO1162" t="s">
        <v>308</v>
      </c>
      <c r="AT1162">
        <v>38</v>
      </c>
      <c r="AV1162">
        <v>42.6</v>
      </c>
      <c r="AW1162">
        <v>0</v>
      </c>
      <c r="AX1162">
        <v>0</v>
      </c>
      <c r="AY1162">
        <v>28.75</v>
      </c>
      <c r="AZ1162">
        <v>3.125</v>
      </c>
      <c r="BA1162">
        <v>0</v>
      </c>
      <c r="BB1162">
        <v>0</v>
      </c>
      <c r="BC1162">
        <v>27</v>
      </c>
      <c r="BN1162">
        <v>203.3</v>
      </c>
      <c r="BO1162">
        <v>2511</v>
      </c>
      <c r="BP1162">
        <v>0</v>
      </c>
      <c r="BQ1162">
        <v>31</v>
      </c>
      <c r="BR1162">
        <v>31</v>
      </c>
      <c r="BS1162">
        <v>31.47</v>
      </c>
      <c r="BT1162">
        <v>0</v>
      </c>
      <c r="BV1162">
        <v>0</v>
      </c>
      <c r="BW1162" t="s">
        <v>655</v>
      </c>
      <c r="BX1162">
        <v>0.17</v>
      </c>
      <c r="BY1162">
        <v>5.3498999999999999</v>
      </c>
      <c r="BZ1162">
        <v>0</v>
      </c>
      <c r="CA1162">
        <v>1</v>
      </c>
      <c r="CB1162">
        <v>0.6</v>
      </c>
      <c r="CC1162" s="3">
        <v>7.1269159999999998E-2</v>
      </c>
      <c r="CD1162">
        <v>2.875</v>
      </c>
      <c r="CE1162">
        <v>2.5</v>
      </c>
      <c r="CF1162">
        <v>18</v>
      </c>
      <c r="CG1162">
        <v>6</v>
      </c>
      <c r="CH1162">
        <v>0</v>
      </c>
      <c r="CI1162">
        <v>31.47</v>
      </c>
      <c r="CJ1162">
        <v>263.53370000000001</v>
      </c>
    </row>
    <row r="1163" spans="1:88">
      <c r="A1163">
        <v>1162</v>
      </c>
      <c r="B1163" t="s">
        <v>0</v>
      </c>
      <c r="C1163" t="s">
        <v>1</v>
      </c>
      <c r="D1163" t="s">
        <v>113</v>
      </c>
      <c r="E1163" t="s">
        <v>178</v>
      </c>
      <c r="F1163" t="s">
        <v>262</v>
      </c>
      <c r="G1163" t="s">
        <v>106</v>
      </c>
      <c r="H1163" t="s">
        <v>263</v>
      </c>
      <c r="J1163">
        <v>2</v>
      </c>
      <c r="K1163" t="s">
        <v>108</v>
      </c>
      <c r="L1163" t="s">
        <v>127</v>
      </c>
      <c r="M1163" t="s">
        <v>179</v>
      </c>
      <c r="N1163" t="s">
        <v>180</v>
      </c>
      <c r="O1163">
        <v>95</v>
      </c>
      <c r="Q1163">
        <v>462</v>
      </c>
      <c r="R1163">
        <v>109</v>
      </c>
      <c r="S1163">
        <v>4.25</v>
      </c>
      <c r="T1163">
        <v>2.649</v>
      </c>
      <c r="U1163">
        <v>5.81</v>
      </c>
      <c r="V1163">
        <v>1963.11</v>
      </c>
      <c r="W1163">
        <v>631</v>
      </c>
      <c r="X1163">
        <v>1.3332999999999999</v>
      </c>
      <c r="Y1163">
        <v>493</v>
      </c>
      <c r="Z1163">
        <v>3.98</v>
      </c>
      <c r="AJ1163">
        <v>2</v>
      </c>
      <c r="AK1163">
        <v>18</v>
      </c>
      <c r="AM1163">
        <v>0</v>
      </c>
      <c r="AO1163" t="s">
        <v>266</v>
      </c>
      <c r="AT1163">
        <v>38</v>
      </c>
      <c r="AV1163">
        <v>62.3</v>
      </c>
      <c r="AW1163">
        <v>0</v>
      </c>
      <c r="AX1163">
        <v>0</v>
      </c>
      <c r="AY1163">
        <v>41.125</v>
      </c>
      <c r="AZ1163">
        <v>3.75</v>
      </c>
      <c r="BA1163">
        <v>0</v>
      </c>
      <c r="BB1163">
        <v>0</v>
      </c>
      <c r="BC1163">
        <v>44</v>
      </c>
      <c r="BN1163">
        <v>299.60000000000002</v>
      </c>
      <c r="BO1163">
        <v>1156</v>
      </c>
      <c r="BP1163">
        <v>0</v>
      </c>
      <c r="BQ1163">
        <v>32</v>
      </c>
      <c r="BR1163">
        <v>32</v>
      </c>
      <c r="BS1163">
        <v>32.17</v>
      </c>
      <c r="BT1163">
        <v>0</v>
      </c>
      <c r="BV1163">
        <v>0</v>
      </c>
      <c r="BW1163" t="s">
        <v>655</v>
      </c>
      <c r="BX1163">
        <v>0.17</v>
      </c>
      <c r="BY1163">
        <v>5.4688999999999997</v>
      </c>
      <c r="BZ1163">
        <v>0</v>
      </c>
      <c r="CA1163">
        <v>1</v>
      </c>
      <c r="CB1163">
        <v>0.6</v>
      </c>
      <c r="CC1163" s="3">
        <v>7.1269159999999998E-2</v>
      </c>
      <c r="CD1163">
        <v>2.875</v>
      </c>
      <c r="CE1163">
        <v>2.5</v>
      </c>
      <c r="CF1163">
        <v>18</v>
      </c>
      <c r="CG1163">
        <v>6</v>
      </c>
      <c r="CH1163">
        <v>0</v>
      </c>
      <c r="CI1163">
        <v>32.17</v>
      </c>
      <c r="CJ1163">
        <v>394.06270000000001</v>
      </c>
    </row>
    <row r="1164" spans="1:88">
      <c r="A1164">
        <v>1163</v>
      </c>
      <c r="B1164" t="s">
        <v>13</v>
      </c>
      <c r="C1164" t="s">
        <v>1</v>
      </c>
      <c r="D1164" t="s">
        <v>176</v>
      </c>
      <c r="E1164" t="s">
        <v>143</v>
      </c>
      <c r="F1164" t="s">
        <v>134</v>
      </c>
      <c r="G1164" t="s">
        <v>106</v>
      </c>
      <c r="H1164" t="s">
        <v>177</v>
      </c>
      <c r="J1164">
        <v>2</v>
      </c>
      <c r="K1164" t="s">
        <v>146</v>
      </c>
      <c r="L1164" t="s">
        <v>297</v>
      </c>
      <c r="M1164" t="s">
        <v>206</v>
      </c>
      <c r="N1164" t="s">
        <v>131</v>
      </c>
      <c r="O1164">
        <v>155</v>
      </c>
      <c r="Q1164">
        <v>446</v>
      </c>
      <c r="R1164">
        <v>71</v>
      </c>
      <c r="S1164">
        <v>4.25</v>
      </c>
      <c r="T1164">
        <v>4.1660000000000004</v>
      </c>
      <c r="U1164">
        <v>6.78</v>
      </c>
      <c r="V1164">
        <v>1895.92</v>
      </c>
      <c r="W1164">
        <v>478</v>
      </c>
      <c r="X1164">
        <v>1.3332999999999999</v>
      </c>
      <c r="Y1164">
        <v>345</v>
      </c>
      <c r="Z1164">
        <v>5.49</v>
      </c>
      <c r="AJ1164">
        <v>2</v>
      </c>
      <c r="AK1164">
        <v>18</v>
      </c>
      <c r="AM1164">
        <v>0</v>
      </c>
      <c r="AO1164" t="s">
        <v>152</v>
      </c>
      <c r="AT1164">
        <v>59</v>
      </c>
      <c r="AV1164">
        <v>38.200000000000003</v>
      </c>
      <c r="AW1164">
        <v>0</v>
      </c>
      <c r="AX1164">
        <v>0</v>
      </c>
      <c r="AY1164">
        <v>58.75</v>
      </c>
      <c r="AZ1164">
        <v>5.125</v>
      </c>
      <c r="BA1164">
        <v>0</v>
      </c>
      <c r="BB1164">
        <v>0</v>
      </c>
      <c r="BC1164">
        <v>63</v>
      </c>
      <c r="BN1164">
        <v>181.9</v>
      </c>
      <c r="BO1164">
        <v>3136</v>
      </c>
      <c r="BP1164">
        <v>0</v>
      </c>
      <c r="BQ1164">
        <v>53</v>
      </c>
      <c r="BR1164">
        <v>53</v>
      </c>
      <c r="BS1164">
        <v>53.04</v>
      </c>
      <c r="BT1164">
        <v>0</v>
      </c>
      <c r="BV1164">
        <v>0</v>
      </c>
      <c r="BW1164" t="s">
        <v>655</v>
      </c>
      <c r="BX1164">
        <v>0.17</v>
      </c>
      <c r="BY1164">
        <v>9.0167999999999999</v>
      </c>
      <c r="BZ1164">
        <v>0</v>
      </c>
      <c r="CA1164">
        <v>1</v>
      </c>
      <c r="CB1164">
        <v>0.6</v>
      </c>
      <c r="CC1164" s="3">
        <v>7.1269159999999998E-2</v>
      </c>
      <c r="CD1164">
        <v>2.875</v>
      </c>
      <c r="CE1164">
        <v>2.5</v>
      </c>
      <c r="CF1164">
        <v>18</v>
      </c>
      <c r="CG1164">
        <v>6</v>
      </c>
      <c r="CH1164">
        <v>0</v>
      </c>
      <c r="CI1164">
        <v>53.04</v>
      </c>
      <c r="CJ1164">
        <v>398.8023</v>
      </c>
    </row>
    <row r="1165" spans="1:88">
      <c r="A1165">
        <v>1164</v>
      </c>
      <c r="B1165" t="s">
        <v>0</v>
      </c>
      <c r="C1165" t="s">
        <v>1</v>
      </c>
      <c r="D1165" t="s">
        <v>153</v>
      </c>
      <c r="E1165" t="s">
        <v>268</v>
      </c>
      <c r="F1165" t="s">
        <v>126</v>
      </c>
      <c r="G1165" t="s">
        <v>106</v>
      </c>
      <c r="H1165" t="s">
        <v>3</v>
      </c>
      <c r="J1165">
        <v>2</v>
      </c>
      <c r="K1165" t="s">
        <v>146</v>
      </c>
      <c r="L1165" t="s">
        <v>133</v>
      </c>
      <c r="M1165" t="s">
        <v>270</v>
      </c>
      <c r="N1165" t="s">
        <v>153</v>
      </c>
      <c r="O1165">
        <v>123</v>
      </c>
      <c r="Q1165">
        <v>404</v>
      </c>
      <c r="R1165">
        <v>78</v>
      </c>
      <c r="S1165">
        <v>4.25</v>
      </c>
      <c r="T1165">
        <v>3.3849999999999998</v>
      </c>
      <c r="U1165">
        <v>6.22</v>
      </c>
      <c r="V1165">
        <v>1717.34</v>
      </c>
      <c r="W1165">
        <v>485</v>
      </c>
      <c r="X1165">
        <v>1.3332999999999999</v>
      </c>
      <c r="Y1165">
        <v>365</v>
      </c>
      <c r="Z1165">
        <v>4.71</v>
      </c>
      <c r="AJ1165">
        <v>2</v>
      </c>
      <c r="AK1165">
        <v>18</v>
      </c>
      <c r="AM1165">
        <v>0</v>
      </c>
      <c r="AO1165" t="s">
        <v>383</v>
      </c>
      <c r="AT1165">
        <v>48</v>
      </c>
      <c r="AV1165">
        <v>43</v>
      </c>
      <c r="AW1165">
        <v>0</v>
      </c>
      <c r="AX1165">
        <v>0</v>
      </c>
      <c r="AY1165">
        <v>55.625</v>
      </c>
      <c r="AZ1165">
        <v>4.375</v>
      </c>
      <c r="BA1165">
        <v>0</v>
      </c>
      <c r="BB1165">
        <v>0</v>
      </c>
      <c r="BC1165">
        <v>60</v>
      </c>
      <c r="BN1165">
        <v>205.08340000000001</v>
      </c>
      <c r="BO1165">
        <v>2467</v>
      </c>
      <c r="BP1165">
        <v>0</v>
      </c>
      <c r="BQ1165">
        <v>42</v>
      </c>
      <c r="BR1165">
        <v>42</v>
      </c>
      <c r="BS1165">
        <v>41.91</v>
      </c>
      <c r="BT1165">
        <v>0</v>
      </c>
      <c r="BV1165">
        <v>0</v>
      </c>
      <c r="BW1165" t="s">
        <v>655</v>
      </c>
      <c r="BX1165">
        <v>0.17</v>
      </c>
      <c r="BY1165">
        <v>7.1246999999999998</v>
      </c>
      <c r="BZ1165">
        <v>0</v>
      </c>
      <c r="CA1165">
        <v>1</v>
      </c>
      <c r="CB1165">
        <v>0.6</v>
      </c>
      <c r="CC1165" s="3">
        <v>7.1269159999999998E-2</v>
      </c>
      <c r="CD1165">
        <v>2.875</v>
      </c>
      <c r="CE1165">
        <v>2.5</v>
      </c>
      <c r="CF1165">
        <v>18</v>
      </c>
      <c r="CG1165">
        <v>6</v>
      </c>
      <c r="CH1165">
        <v>0</v>
      </c>
      <c r="CI1165">
        <v>41.91</v>
      </c>
      <c r="CJ1165">
        <v>353.94650000000001</v>
      </c>
    </row>
    <row r="1166" spans="1:88">
      <c r="A1166">
        <v>1165</v>
      </c>
      <c r="B1166" t="s">
        <v>0</v>
      </c>
      <c r="C1166" t="s">
        <v>1</v>
      </c>
      <c r="D1166" t="s">
        <v>279</v>
      </c>
      <c r="E1166" t="s">
        <v>202</v>
      </c>
      <c r="F1166" t="s">
        <v>236</v>
      </c>
      <c r="G1166" t="s">
        <v>106</v>
      </c>
      <c r="H1166" t="s">
        <v>143</v>
      </c>
      <c r="J1166">
        <v>2</v>
      </c>
      <c r="K1166" t="s">
        <v>146</v>
      </c>
      <c r="L1166" t="s">
        <v>203</v>
      </c>
      <c r="M1166" t="s">
        <v>204</v>
      </c>
      <c r="N1166" t="s">
        <v>205</v>
      </c>
      <c r="O1166">
        <v>181</v>
      </c>
      <c r="Q1166">
        <v>721</v>
      </c>
      <c r="R1166">
        <v>95</v>
      </c>
      <c r="S1166">
        <v>4.25</v>
      </c>
      <c r="T1166">
        <v>4.7640000000000002</v>
      </c>
      <c r="U1166">
        <v>7.08</v>
      </c>
      <c r="V1166">
        <v>3066.24</v>
      </c>
      <c r="W1166">
        <v>674</v>
      </c>
      <c r="X1166">
        <v>1.3332999999999999</v>
      </c>
      <c r="Y1166">
        <v>503</v>
      </c>
      <c r="Z1166">
        <v>6.09</v>
      </c>
      <c r="AJ1166">
        <v>2</v>
      </c>
      <c r="AK1166">
        <v>18</v>
      </c>
      <c r="AM1166">
        <v>0</v>
      </c>
      <c r="AO1166" t="s">
        <v>206</v>
      </c>
      <c r="AT1166">
        <v>68</v>
      </c>
      <c r="AV1166">
        <v>53.9</v>
      </c>
      <c r="AW1166" t="s">
        <v>6</v>
      </c>
      <c r="AX1166" t="s">
        <v>6</v>
      </c>
      <c r="AY1166" t="s">
        <v>6</v>
      </c>
      <c r="AZ1166" t="s">
        <v>6</v>
      </c>
      <c r="BA1166" t="s">
        <v>6</v>
      </c>
      <c r="BB1166" t="s">
        <v>6</v>
      </c>
      <c r="BC1166" t="s">
        <v>6</v>
      </c>
      <c r="BD1166" t="s">
        <v>6</v>
      </c>
      <c r="BE1166" t="s">
        <v>6</v>
      </c>
      <c r="BF1166" t="s">
        <v>6</v>
      </c>
      <c r="BG1166" t="s">
        <v>6</v>
      </c>
      <c r="BH1166" t="s">
        <v>6</v>
      </c>
      <c r="BI1166" t="s">
        <v>6</v>
      </c>
      <c r="BJ1166" t="s">
        <v>6</v>
      </c>
      <c r="BN1166">
        <v>258.58339999999998</v>
      </c>
      <c r="BO1166">
        <v>1552</v>
      </c>
      <c r="BP1166">
        <v>0</v>
      </c>
      <c r="BQ1166">
        <v>62</v>
      </c>
      <c r="BR1166">
        <v>62</v>
      </c>
      <c r="BS1166">
        <v>62.08</v>
      </c>
      <c r="BT1166">
        <v>0</v>
      </c>
      <c r="BV1166">
        <v>0</v>
      </c>
      <c r="BW1166" t="s">
        <v>655</v>
      </c>
      <c r="BX1166">
        <v>0.17</v>
      </c>
      <c r="BY1166">
        <v>10.553599999999999</v>
      </c>
      <c r="BZ1166">
        <v>0</v>
      </c>
      <c r="CA1166">
        <v>1</v>
      </c>
      <c r="CB1166">
        <v>0.6</v>
      </c>
      <c r="CC1166" s="3">
        <v>7.1269159999999998E-2</v>
      </c>
      <c r="CD1166">
        <v>2.875</v>
      </c>
      <c r="CE1166">
        <v>2.5</v>
      </c>
      <c r="CF1166">
        <v>18</v>
      </c>
      <c r="CG1166">
        <v>6</v>
      </c>
      <c r="CH1166">
        <v>0</v>
      </c>
      <c r="CI1166">
        <v>62.08</v>
      </c>
      <c r="CJ1166">
        <v>657.02179999999998</v>
      </c>
    </row>
    <row r="1167" spans="1:88">
      <c r="A1167">
        <v>1166</v>
      </c>
      <c r="B1167" t="s">
        <v>13</v>
      </c>
      <c r="C1167" t="s">
        <v>1</v>
      </c>
      <c r="D1167" t="s">
        <v>96</v>
      </c>
      <c r="E1167" t="s">
        <v>143</v>
      </c>
      <c r="F1167" t="s">
        <v>198</v>
      </c>
      <c r="G1167" t="s">
        <v>106</v>
      </c>
      <c r="H1167" t="s">
        <v>162</v>
      </c>
      <c r="J1167">
        <v>2</v>
      </c>
      <c r="K1167" t="s">
        <v>146</v>
      </c>
      <c r="L1167" t="s">
        <v>297</v>
      </c>
      <c r="M1167" t="s">
        <v>206</v>
      </c>
      <c r="N1167" t="s">
        <v>131</v>
      </c>
      <c r="O1167">
        <v>155</v>
      </c>
      <c r="Q1167">
        <v>521</v>
      </c>
      <c r="R1167">
        <v>81</v>
      </c>
      <c r="S1167">
        <v>4.25</v>
      </c>
      <c r="T1167">
        <v>4.1660000000000004</v>
      </c>
      <c r="U1167">
        <v>6.78</v>
      </c>
      <c r="V1167">
        <v>2212.88</v>
      </c>
      <c r="W1167">
        <v>548</v>
      </c>
      <c r="X1167">
        <v>1.3332999999999999</v>
      </c>
      <c r="Y1167">
        <v>403</v>
      </c>
      <c r="Z1167">
        <v>5.49</v>
      </c>
      <c r="AJ1167">
        <v>2</v>
      </c>
      <c r="AK1167">
        <v>18</v>
      </c>
      <c r="AM1167">
        <v>0</v>
      </c>
      <c r="AO1167" t="s">
        <v>166</v>
      </c>
      <c r="AT1167">
        <v>59</v>
      </c>
      <c r="AV1167">
        <v>44.8</v>
      </c>
      <c r="AW1167">
        <v>0.46875</v>
      </c>
      <c r="AX1167">
        <v>3.75</v>
      </c>
      <c r="AY1167">
        <v>56.5</v>
      </c>
      <c r="AZ1167">
        <v>5.125</v>
      </c>
      <c r="BA1167">
        <v>358.98</v>
      </c>
      <c r="BB1167">
        <v>5.49</v>
      </c>
      <c r="BC1167">
        <v>61</v>
      </c>
      <c r="BD1167">
        <v>0.25</v>
      </c>
      <c r="BE1167">
        <v>2.75</v>
      </c>
      <c r="BF1167">
        <v>26</v>
      </c>
      <c r="BG1167">
        <v>2.75</v>
      </c>
      <c r="BH1167">
        <v>44.08</v>
      </c>
      <c r="BI1167">
        <v>7.79</v>
      </c>
      <c r="BJ1167">
        <v>11</v>
      </c>
      <c r="BL1167">
        <v>403.06</v>
      </c>
      <c r="BM1167">
        <v>71</v>
      </c>
      <c r="BN1167">
        <v>214</v>
      </c>
      <c r="BO1167">
        <v>2266</v>
      </c>
      <c r="BP1167">
        <v>0</v>
      </c>
      <c r="BQ1167">
        <v>53</v>
      </c>
      <c r="BR1167">
        <v>53</v>
      </c>
      <c r="BS1167">
        <v>53.04</v>
      </c>
      <c r="BT1167">
        <v>0</v>
      </c>
      <c r="BV1167">
        <v>0</v>
      </c>
      <c r="BW1167" t="s">
        <v>655</v>
      </c>
      <c r="BX1167">
        <v>0.17</v>
      </c>
      <c r="BY1167">
        <v>9.0167999999999999</v>
      </c>
      <c r="BZ1167">
        <v>0</v>
      </c>
      <c r="CA1167">
        <v>1</v>
      </c>
      <c r="CB1167">
        <v>0.6</v>
      </c>
      <c r="CC1167" s="3">
        <v>7.1269159999999998E-2</v>
      </c>
      <c r="CD1167">
        <v>2.875</v>
      </c>
      <c r="CE1167">
        <v>2.5</v>
      </c>
      <c r="CF1167">
        <v>18</v>
      </c>
      <c r="CG1167">
        <v>6</v>
      </c>
      <c r="CH1167">
        <v>0</v>
      </c>
      <c r="CI1167">
        <v>53.04</v>
      </c>
      <c r="CJ1167">
        <v>466.84429999999998</v>
      </c>
    </row>
    <row r="1168" spans="1:88">
      <c r="A1168">
        <v>1167</v>
      </c>
      <c r="B1168" t="s">
        <v>0</v>
      </c>
      <c r="C1168" t="s">
        <v>1</v>
      </c>
      <c r="D1168" t="s">
        <v>96</v>
      </c>
      <c r="E1168" t="s">
        <v>99</v>
      </c>
      <c r="F1168" t="s">
        <v>198</v>
      </c>
      <c r="G1168" t="s">
        <v>106</v>
      </c>
      <c r="H1168" t="s">
        <v>162</v>
      </c>
      <c r="J1168">
        <v>2</v>
      </c>
      <c r="K1168" t="s">
        <v>146</v>
      </c>
      <c r="L1168" t="s">
        <v>393</v>
      </c>
      <c r="M1168" t="s">
        <v>184</v>
      </c>
      <c r="N1168" t="s">
        <v>185</v>
      </c>
      <c r="O1168">
        <v>149</v>
      </c>
      <c r="Q1168">
        <v>502</v>
      </c>
      <c r="R1168">
        <v>81</v>
      </c>
      <c r="S1168">
        <v>4.25</v>
      </c>
      <c r="T1168">
        <v>4.024</v>
      </c>
      <c r="U1168">
        <v>6.71</v>
      </c>
      <c r="V1168">
        <v>2133.1999999999998</v>
      </c>
      <c r="W1168">
        <v>542</v>
      </c>
      <c r="X1168">
        <v>1.3332999999999999</v>
      </c>
      <c r="Y1168">
        <v>399</v>
      </c>
      <c r="Z1168">
        <v>5.35</v>
      </c>
      <c r="AJ1168">
        <v>2</v>
      </c>
      <c r="AK1168">
        <v>18</v>
      </c>
      <c r="AM1168">
        <v>0</v>
      </c>
      <c r="AO1168" t="s">
        <v>166</v>
      </c>
      <c r="AT1168">
        <v>57</v>
      </c>
      <c r="AV1168">
        <v>44.8</v>
      </c>
      <c r="AW1168">
        <v>0.46875</v>
      </c>
      <c r="AX1168">
        <v>3.75</v>
      </c>
      <c r="AY1168">
        <v>55</v>
      </c>
      <c r="AZ1168">
        <v>5</v>
      </c>
      <c r="BA1168">
        <v>368.37</v>
      </c>
      <c r="BB1168">
        <v>5.35</v>
      </c>
      <c r="BC1168">
        <v>59</v>
      </c>
      <c r="BD1168">
        <v>0.25</v>
      </c>
      <c r="BE1168">
        <v>2.75</v>
      </c>
      <c r="BF1168">
        <v>37.875</v>
      </c>
      <c r="BG1168">
        <v>2.625</v>
      </c>
      <c r="BH1168">
        <v>30.35</v>
      </c>
      <c r="BI1168">
        <v>11.31</v>
      </c>
      <c r="BJ1168">
        <v>17</v>
      </c>
      <c r="BL1168">
        <v>398.72</v>
      </c>
      <c r="BM1168">
        <v>75</v>
      </c>
      <c r="BN1168">
        <v>214</v>
      </c>
      <c r="BO1168">
        <v>2266</v>
      </c>
      <c r="BP1168">
        <v>0</v>
      </c>
      <c r="BQ1168">
        <v>51</v>
      </c>
      <c r="BR1168">
        <v>51</v>
      </c>
      <c r="BS1168">
        <v>50.95</v>
      </c>
      <c r="BT1168">
        <v>0</v>
      </c>
      <c r="BV1168">
        <v>0</v>
      </c>
      <c r="BW1168" t="s">
        <v>655</v>
      </c>
      <c r="BX1168">
        <v>0.17</v>
      </c>
      <c r="BY1168">
        <v>8.6615000000000002</v>
      </c>
      <c r="BZ1168">
        <v>0</v>
      </c>
      <c r="CA1168">
        <v>1</v>
      </c>
      <c r="CB1168">
        <v>0.6</v>
      </c>
      <c r="CC1168" s="3">
        <v>7.1269159999999998E-2</v>
      </c>
      <c r="CD1168">
        <v>2.875</v>
      </c>
      <c r="CE1168">
        <v>2.5</v>
      </c>
      <c r="CF1168">
        <v>18</v>
      </c>
      <c r="CG1168">
        <v>6</v>
      </c>
      <c r="CH1168">
        <v>0</v>
      </c>
      <c r="CI1168">
        <v>50.95</v>
      </c>
      <c r="CJ1168">
        <v>448.44869999999997</v>
      </c>
    </row>
    <row r="1169" spans="1:88">
      <c r="A1169">
        <v>1168</v>
      </c>
      <c r="B1169" t="s">
        <v>0</v>
      </c>
      <c r="C1169" t="s">
        <v>1</v>
      </c>
      <c r="D1169" t="s">
        <v>197</v>
      </c>
      <c r="E1169" t="s">
        <v>143</v>
      </c>
      <c r="F1169" t="s">
        <v>390</v>
      </c>
      <c r="G1169" t="s">
        <v>106</v>
      </c>
      <c r="H1169" t="s">
        <v>391</v>
      </c>
      <c r="J1169">
        <v>2</v>
      </c>
      <c r="K1169" t="s">
        <v>108</v>
      </c>
      <c r="L1169" t="s">
        <v>297</v>
      </c>
      <c r="M1169" t="s">
        <v>206</v>
      </c>
      <c r="N1169" t="s">
        <v>131</v>
      </c>
      <c r="O1169">
        <v>155</v>
      </c>
      <c r="Q1169">
        <v>696</v>
      </c>
      <c r="R1169">
        <v>105</v>
      </c>
      <c r="S1169">
        <v>4.25</v>
      </c>
      <c r="T1169">
        <v>4.1660000000000004</v>
      </c>
      <c r="U1169">
        <v>6.78</v>
      </c>
      <c r="V1169">
        <v>2959.06</v>
      </c>
      <c r="W1169">
        <v>713</v>
      </c>
      <c r="X1169">
        <v>1.3332999999999999</v>
      </c>
      <c r="Y1169">
        <v>539</v>
      </c>
      <c r="Z1169">
        <v>5.49</v>
      </c>
      <c r="AJ1169">
        <v>2</v>
      </c>
      <c r="AK1169">
        <v>18</v>
      </c>
      <c r="AM1169">
        <v>0</v>
      </c>
      <c r="AO1169" t="s">
        <v>392</v>
      </c>
      <c r="AT1169">
        <v>59</v>
      </c>
      <c r="AV1169">
        <v>60.2</v>
      </c>
      <c r="AW1169">
        <v>0.4375</v>
      </c>
      <c r="AX1169">
        <v>3.75</v>
      </c>
      <c r="AY1169">
        <v>48</v>
      </c>
      <c r="AZ1169">
        <v>4.75</v>
      </c>
      <c r="BA1169">
        <v>296.44</v>
      </c>
      <c r="BB1169">
        <v>5.55</v>
      </c>
      <c r="BC1169">
        <v>49</v>
      </c>
      <c r="BD1169">
        <v>0.40625</v>
      </c>
      <c r="BE1169">
        <v>3.75</v>
      </c>
      <c r="BF1169">
        <v>40.125</v>
      </c>
      <c r="BG1169">
        <v>4.5</v>
      </c>
      <c r="BH1169">
        <v>242.54</v>
      </c>
      <c r="BI1169">
        <v>5.46</v>
      </c>
      <c r="BJ1169">
        <v>38</v>
      </c>
      <c r="BL1169">
        <v>538.98</v>
      </c>
      <c r="BM1169">
        <v>86</v>
      </c>
      <c r="BN1169">
        <v>288.90010000000001</v>
      </c>
      <c r="BO1169">
        <v>1243</v>
      </c>
      <c r="BP1169">
        <v>0</v>
      </c>
      <c r="BQ1169">
        <v>53</v>
      </c>
      <c r="BR1169">
        <v>53</v>
      </c>
      <c r="BS1169">
        <v>53.04</v>
      </c>
      <c r="BT1169">
        <v>0</v>
      </c>
      <c r="BV1169">
        <v>0</v>
      </c>
      <c r="BW1169" t="s">
        <v>655</v>
      </c>
      <c r="BX1169">
        <v>0.17</v>
      </c>
      <c r="BY1169">
        <v>9.0167999999999999</v>
      </c>
      <c r="BZ1169">
        <v>0</v>
      </c>
      <c r="CA1169">
        <v>1</v>
      </c>
      <c r="CB1169">
        <v>0.6</v>
      </c>
      <c r="CC1169" s="3">
        <v>7.1269159999999998E-2</v>
      </c>
      <c r="CD1169">
        <v>2.875</v>
      </c>
      <c r="CE1169">
        <v>2.5</v>
      </c>
      <c r="CF1169">
        <v>18</v>
      </c>
      <c r="CG1169">
        <v>6</v>
      </c>
      <c r="CH1169">
        <v>0</v>
      </c>
      <c r="CI1169">
        <v>53.04</v>
      </c>
      <c r="CJ1169">
        <v>627.02679999999998</v>
      </c>
    </row>
    <row r="1170" spans="1:88">
      <c r="A1170">
        <v>1169</v>
      </c>
      <c r="B1170" t="s">
        <v>13</v>
      </c>
      <c r="C1170" t="s">
        <v>1</v>
      </c>
      <c r="D1170" t="s">
        <v>143</v>
      </c>
      <c r="E1170" t="s">
        <v>172</v>
      </c>
      <c r="F1170" t="s">
        <v>144</v>
      </c>
      <c r="G1170" t="s">
        <v>106</v>
      </c>
      <c r="H1170" t="s">
        <v>145</v>
      </c>
      <c r="J1170">
        <v>2</v>
      </c>
      <c r="K1170" t="s">
        <v>146</v>
      </c>
      <c r="L1170" t="s">
        <v>233</v>
      </c>
      <c r="M1170" t="s">
        <v>490</v>
      </c>
      <c r="N1170" t="s">
        <v>128</v>
      </c>
      <c r="O1170">
        <v>137</v>
      </c>
      <c r="Q1170">
        <v>553</v>
      </c>
      <c r="R1170">
        <v>95</v>
      </c>
      <c r="S1170">
        <v>4.25</v>
      </c>
      <c r="T1170">
        <v>3.734</v>
      </c>
      <c r="U1170">
        <v>6.48</v>
      </c>
      <c r="V1170">
        <v>2351.31</v>
      </c>
      <c r="W1170">
        <v>613</v>
      </c>
      <c r="X1170">
        <v>1.3332999999999999</v>
      </c>
      <c r="Y1170">
        <v>465</v>
      </c>
      <c r="Z1170">
        <v>5.0599999999999996</v>
      </c>
      <c r="AJ1170">
        <v>2</v>
      </c>
      <c r="AK1170">
        <v>18</v>
      </c>
      <c r="AM1170">
        <v>0</v>
      </c>
      <c r="AO1170" t="s">
        <v>149</v>
      </c>
      <c r="AT1170">
        <v>53</v>
      </c>
      <c r="AV1170">
        <v>53.5</v>
      </c>
      <c r="AW1170">
        <v>0.40625</v>
      </c>
      <c r="AX1170">
        <v>3.75</v>
      </c>
      <c r="AY1170">
        <v>38.125</v>
      </c>
      <c r="AZ1170">
        <v>4.125</v>
      </c>
      <c r="BA1170">
        <v>255.57</v>
      </c>
      <c r="BB1170">
        <v>5.18</v>
      </c>
      <c r="BC1170">
        <v>36</v>
      </c>
      <c r="BD1170">
        <v>0.375</v>
      </c>
      <c r="BE1170">
        <v>3.75</v>
      </c>
      <c r="BF1170">
        <v>30.875</v>
      </c>
      <c r="BG1170">
        <v>3.75</v>
      </c>
      <c r="BH1170">
        <v>209.1</v>
      </c>
      <c r="BI1170">
        <v>5.15</v>
      </c>
      <c r="BJ1170">
        <v>27</v>
      </c>
      <c r="BL1170">
        <v>464.67</v>
      </c>
      <c r="BM1170">
        <v>63</v>
      </c>
      <c r="BN1170">
        <v>256.80009999999999</v>
      </c>
      <c r="BO1170">
        <v>1574</v>
      </c>
      <c r="BP1170">
        <v>0</v>
      </c>
      <c r="BQ1170">
        <v>47</v>
      </c>
      <c r="BR1170">
        <v>47</v>
      </c>
      <c r="BS1170">
        <v>46.78</v>
      </c>
      <c r="BT1170">
        <v>0</v>
      </c>
      <c r="BV1170">
        <v>0</v>
      </c>
      <c r="BW1170" t="s">
        <v>655</v>
      </c>
      <c r="BX1170">
        <v>0.17</v>
      </c>
      <c r="BY1170">
        <v>7.9526000000000003</v>
      </c>
      <c r="BZ1170">
        <v>0</v>
      </c>
      <c r="CA1170">
        <v>1</v>
      </c>
      <c r="CB1170">
        <v>0.6</v>
      </c>
      <c r="CC1170" s="3">
        <v>7.1269159999999998E-2</v>
      </c>
      <c r="CD1170">
        <v>2.875</v>
      </c>
      <c r="CE1170">
        <v>2.5</v>
      </c>
      <c r="CF1170">
        <v>18</v>
      </c>
      <c r="CG1170">
        <v>6</v>
      </c>
      <c r="CH1170">
        <v>0</v>
      </c>
      <c r="CI1170">
        <v>46.78</v>
      </c>
      <c r="CJ1170">
        <v>491.76069999999999</v>
      </c>
    </row>
    <row r="1171" spans="1:88">
      <c r="A1171">
        <v>1170</v>
      </c>
      <c r="B1171" t="s">
        <v>0</v>
      </c>
      <c r="C1171" t="s">
        <v>1</v>
      </c>
      <c r="D1171" t="s">
        <v>17</v>
      </c>
      <c r="E1171" t="s">
        <v>113</v>
      </c>
      <c r="F1171" t="s">
        <v>418</v>
      </c>
      <c r="G1171" t="s">
        <v>15</v>
      </c>
      <c r="H1171" t="s">
        <v>419</v>
      </c>
      <c r="J1171">
        <v>2</v>
      </c>
      <c r="K1171" t="s">
        <v>108</v>
      </c>
      <c r="L1171" t="s">
        <v>116</v>
      </c>
      <c r="M1171" t="s">
        <v>117</v>
      </c>
      <c r="N1171" t="s">
        <v>14</v>
      </c>
      <c r="O1171">
        <v>179</v>
      </c>
      <c r="Q1171">
        <v>934</v>
      </c>
      <c r="R1171">
        <v>123</v>
      </c>
      <c r="S1171">
        <v>4.25</v>
      </c>
      <c r="T1171">
        <v>4.7190000000000003</v>
      </c>
      <c r="U1171">
        <v>7.05</v>
      </c>
      <c r="V1171">
        <v>3968.56</v>
      </c>
      <c r="W1171">
        <v>867</v>
      </c>
      <c r="X1171">
        <v>1.3332999999999999</v>
      </c>
      <c r="Y1171">
        <v>656</v>
      </c>
      <c r="Z1171">
        <v>6.05</v>
      </c>
      <c r="AJ1171">
        <v>2</v>
      </c>
      <c r="AK1171">
        <v>18</v>
      </c>
      <c r="AM1171">
        <v>0</v>
      </c>
      <c r="AO1171" t="s">
        <v>415</v>
      </c>
      <c r="AT1171">
        <v>68</v>
      </c>
      <c r="AV1171">
        <v>70.7</v>
      </c>
      <c r="AW1171" t="s">
        <v>6</v>
      </c>
      <c r="AX1171" t="s">
        <v>6</v>
      </c>
      <c r="AY1171" t="s">
        <v>6</v>
      </c>
      <c r="AZ1171" t="s">
        <v>6</v>
      </c>
      <c r="BA1171" t="s">
        <v>6</v>
      </c>
      <c r="BB1171" t="s">
        <v>6</v>
      </c>
      <c r="BC1171" t="s">
        <v>6</v>
      </c>
      <c r="BD1171" t="s">
        <v>6</v>
      </c>
      <c r="BE1171" t="s">
        <v>6</v>
      </c>
      <c r="BF1171" t="s">
        <v>6</v>
      </c>
      <c r="BG1171" t="s">
        <v>6</v>
      </c>
      <c r="BH1171" t="s">
        <v>6</v>
      </c>
      <c r="BI1171" t="s">
        <v>6</v>
      </c>
      <c r="BJ1171" t="s">
        <v>6</v>
      </c>
      <c r="BN1171">
        <v>603.00139999999999</v>
      </c>
      <c r="BO1171">
        <v>3008</v>
      </c>
      <c r="BP1171">
        <v>0</v>
      </c>
      <c r="BQ1171">
        <v>61</v>
      </c>
      <c r="BR1171">
        <v>61</v>
      </c>
      <c r="BS1171">
        <v>61.39</v>
      </c>
      <c r="BT1171">
        <v>0</v>
      </c>
      <c r="BV1171">
        <v>0</v>
      </c>
      <c r="BW1171" t="s">
        <v>655</v>
      </c>
      <c r="BX1171">
        <v>0.17</v>
      </c>
      <c r="BY1171">
        <v>10.436299999999999</v>
      </c>
      <c r="BZ1171">
        <v>0</v>
      </c>
      <c r="CA1171">
        <v>1</v>
      </c>
      <c r="CB1171">
        <v>0.6</v>
      </c>
      <c r="CC1171" s="3">
        <v>7.1269159999999998E-2</v>
      </c>
      <c r="CD1171">
        <v>2.875</v>
      </c>
      <c r="CE1171">
        <v>2.5</v>
      </c>
      <c r="CF1171">
        <v>18</v>
      </c>
      <c r="CG1171">
        <v>6</v>
      </c>
      <c r="CH1171">
        <v>0</v>
      </c>
      <c r="CI1171">
        <v>61.39</v>
      </c>
      <c r="CJ1171">
        <v>852.61969999999997</v>
      </c>
    </row>
    <row r="1172" spans="1:88">
      <c r="A1172">
        <v>1171</v>
      </c>
      <c r="B1172" t="s">
        <v>0</v>
      </c>
      <c r="C1172" t="s">
        <v>1</v>
      </c>
      <c r="D1172" t="s">
        <v>212</v>
      </c>
      <c r="E1172" t="s">
        <v>143</v>
      </c>
      <c r="F1172" t="s">
        <v>213</v>
      </c>
      <c r="G1172" t="s">
        <v>214</v>
      </c>
      <c r="H1172" t="s">
        <v>215</v>
      </c>
      <c r="J1172">
        <v>2</v>
      </c>
      <c r="K1172" t="s">
        <v>108</v>
      </c>
      <c r="L1172" t="s">
        <v>297</v>
      </c>
      <c r="M1172" t="s">
        <v>206</v>
      </c>
      <c r="N1172" t="s">
        <v>131</v>
      </c>
      <c r="O1172">
        <v>155</v>
      </c>
      <c r="Q1172">
        <v>787</v>
      </c>
      <c r="R1172">
        <v>119</v>
      </c>
      <c r="S1172">
        <v>4.25</v>
      </c>
      <c r="T1172">
        <v>4.1660000000000004</v>
      </c>
      <c r="U1172">
        <v>6.78</v>
      </c>
      <c r="V1172">
        <v>3346.4</v>
      </c>
      <c r="W1172">
        <v>804</v>
      </c>
      <c r="X1172">
        <v>1.3332999999999999</v>
      </c>
      <c r="Y1172">
        <v>610</v>
      </c>
      <c r="Z1172">
        <v>5.49</v>
      </c>
      <c r="AJ1172">
        <v>2</v>
      </c>
      <c r="AK1172">
        <v>18</v>
      </c>
      <c r="AM1172">
        <v>0</v>
      </c>
      <c r="AO1172" t="s">
        <v>216</v>
      </c>
      <c r="AT1172">
        <v>59</v>
      </c>
      <c r="AV1172">
        <v>68.099999999999994</v>
      </c>
      <c r="AW1172" t="s">
        <v>6</v>
      </c>
      <c r="AX1172" t="s">
        <v>6</v>
      </c>
      <c r="AY1172" t="s">
        <v>6</v>
      </c>
      <c r="AZ1172" t="s">
        <v>6</v>
      </c>
      <c r="BA1172" t="s">
        <v>6</v>
      </c>
      <c r="BB1172" t="s">
        <v>6</v>
      </c>
      <c r="BC1172" t="s">
        <v>6</v>
      </c>
      <c r="BD1172" t="s">
        <v>6</v>
      </c>
      <c r="BE1172" t="s">
        <v>6</v>
      </c>
      <c r="BF1172" t="s">
        <v>6</v>
      </c>
      <c r="BG1172" t="s">
        <v>6</v>
      </c>
      <c r="BH1172" t="s">
        <v>6</v>
      </c>
      <c r="BI1172" t="s">
        <v>6</v>
      </c>
      <c r="BJ1172" t="s">
        <v>6</v>
      </c>
      <c r="BN1172">
        <v>330.89330000000001</v>
      </c>
      <c r="BO1172">
        <v>1189</v>
      </c>
      <c r="BP1172">
        <v>0</v>
      </c>
      <c r="BQ1172">
        <v>53</v>
      </c>
      <c r="BR1172">
        <v>53</v>
      </c>
      <c r="BS1172">
        <v>53.04</v>
      </c>
      <c r="BT1172">
        <v>0</v>
      </c>
      <c r="BV1172">
        <v>0</v>
      </c>
      <c r="BW1172" t="s">
        <v>655</v>
      </c>
      <c r="BX1172">
        <v>0.17</v>
      </c>
      <c r="BY1172">
        <v>9.0167999999999999</v>
      </c>
      <c r="BZ1172">
        <v>0</v>
      </c>
      <c r="CA1172">
        <v>1</v>
      </c>
      <c r="CB1172">
        <v>0.6</v>
      </c>
      <c r="CC1172" s="3">
        <v>7.1269159999999998E-2</v>
      </c>
      <c r="CD1172">
        <v>2.875</v>
      </c>
      <c r="CE1172">
        <v>2.5</v>
      </c>
      <c r="CF1172">
        <v>18</v>
      </c>
      <c r="CG1172">
        <v>6</v>
      </c>
      <c r="CH1172">
        <v>0</v>
      </c>
      <c r="CI1172">
        <v>53.04</v>
      </c>
      <c r="CJ1172">
        <v>710.1893</v>
      </c>
    </row>
    <row r="1173" spans="1:88">
      <c r="A1173">
        <v>1172</v>
      </c>
      <c r="B1173" t="s">
        <v>13</v>
      </c>
      <c r="C1173" t="s">
        <v>1</v>
      </c>
      <c r="D1173" t="s">
        <v>552</v>
      </c>
      <c r="E1173" t="s">
        <v>174</v>
      </c>
      <c r="F1173" t="s">
        <v>392</v>
      </c>
      <c r="G1173" t="s">
        <v>106</v>
      </c>
      <c r="H1173" t="s">
        <v>563</v>
      </c>
      <c r="J1173">
        <v>2</v>
      </c>
      <c r="K1173" t="s">
        <v>108</v>
      </c>
      <c r="L1173" t="s">
        <v>257</v>
      </c>
      <c r="M1173" t="s">
        <v>312</v>
      </c>
      <c r="N1173" t="s">
        <v>3</v>
      </c>
      <c r="O1173">
        <v>122</v>
      </c>
      <c r="Q1173">
        <v>552</v>
      </c>
      <c r="R1173">
        <v>104</v>
      </c>
      <c r="S1173">
        <v>4.25</v>
      </c>
      <c r="T1173">
        <v>3.359</v>
      </c>
      <c r="U1173">
        <v>6.22</v>
      </c>
      <c r="V1173">
        <v>2345.6999999999998</v>
      </c>
      <c r="W1173">
        <v>647</v>
      </c>
      <c r="X1173">
        <v>1.3332999999999999</v>
      </c>
      <c r="Y1173">
        <v>500</v>
      </c>
      <c r="Z1173">
        <v>4.6900000000000004</v>
      </c>
      <c r="AJ1173">
        <v>2</v>
      </c>
      <c r="AK1173">
        <v>18</v>
      </c>
      <c r="AM1173">
        <v>0</v>
      </c>
      <c r="AO1173" t="s">
        <v>394</v>
      </c>
      <c r="AT1173">
        <v>48</v>
      </c>
      <c r="AV1173">
        <v>59.4</v>
      </c>
      <c r="AW1173">
        <v>0.40625</v>
      </c>
      <c r="AX1173">
        <v>3.75</v>
      </c>
      <c r="AY1173">
        <v>35.375</v>
      </c>
      <c r="AZ1173">
        <v>3.75</v>
      </c>
      <c r="BA1173">
        <v>275.07</v>
      </c>
      <c r="BB1173">
        <v>4.8099999999999996</v>
      </c>
      <c r="BC1173">
        <v>34</v>
      </c>
      <c r="BD1173">
        <v>0.375</v>
      </c>
      <c r="BE1173">
        <v>3.75</v>
      </c>
      <c r="BF1173">
        <v>28.75</v>
      </c>
      <c r="BG1173">
        <v>3.5</v>
      </c>
      <c r="BH1173">
        <v>225.07</v>
      </c>
      <c r="BI1173">
        <v>4.78</v>
      </c>
      <c r="BJ1173">
        <v>25</v>
      </c>
      <c r="BL1173">
        <v>500.14</v>
      </c>
      <c r="BM1173">
        <v>58</v>
      </c>
      <c r="BN1173">
        <v>285.33339999999998</v>
      </c>
      <c r="BO1173">
        <v>1275</v>
      </c>
      <c r="BP1173">
        <v>0</v>
      </c>
      <c r="BQ1173">
        <v>42</v>
      </c>
      <c r="BR1173">
        <v>42</v>
      </c>
      <c r="BS1173">
        <v>41.56</v>
      </c>
      <c r="BT1173">
        <v>0</v>
      </c>
      <c r="BV1173">
        <v>0</v>
      </c>
      <c r="BW1173" t="s">
        <v>655</v>
      </c>
      <c r="BX1173">
        <v>0.17</v>
      </c>
      <c r="BY1173">
        <v>7.0652010000000001</v>
      </c>
      <c r="BZ1173">
        <v>0</v>
      </c>
      <c r="CA1173">
        <v>1</v>
      </c>
      <c r="CB1173">
        <v>0.6</v>
      </c>
      <c r="CC1173" s="3">
        <v>7.1269159999999998E-2</v>
      </c>
      <c r="CD1173">
        <v>2.875</v>
      </c>
      <c r="CE1173">
        <v>2.5</v>
      </c>
      <c r="CF1173">
        <v>18</v>
      </c>
      <c r="CG1173">
        <v>6</v>
      </c>
      <c r="CH1173">
        <v>0</v>
      </c>
      <c r="CI1173">
        <v>41.56</v>
      </c>
      <c r="CJ1173">
        <v>485.38889999999998</v>
      </c>
    </row>
    <row r="1174" spans="1:88">
      <c r="A1174">
        <v>1173</v>
      </c>
      <c r="B1174" t="s">
        <v>13</v>
      </c>
      <c r="C1174" t="s">
        <v>1</v>
      </c>
      <c r="D1174" t="s">
        <v>201</v>
      </c>
      <c r="E1174" t="s">
        <v>307</v>
      </c>
      <c r="F1174" t="s">
        <v>486</v>
      </c>
      <c r="G1174" t="s">
        <v>106</v>
      </c>
      <c r="H1174" t="s">
        <v>575</v>
      </c>
      <c r="J1174">
        <v>2</v>
      </c>
      <c r="K1174" t="s">
        <v>108</v>
      </c>
      <c r="L1174" t="s">
        <v>364</v>
      </c>
      <c r="M1174" t="s">
        <v>308</v>
      </c>
      <c r="N1174" t="s">
        <v>122</v>
      </c>
      <c r="O1174">
        <v>124</v>
      </c>
      <c r="Q1174">
        <v>577</v>
      </c>
      <c r="R1174">
        <v>107</v>
      </c>
      <c r="S1174">
        <v>4.25</v>
      </c>
      <c r="T1174">
        <v>3.41</v>
      </c>
      <c r="U1174">
        <v>6.22</v>
      </c>
      <c r="V1174">
        <v>2452.67</v>
      </c>
      <c r="W1174">
        <v>665</v>
      </c>
      <c r="X1174">
        <v>1.3332999999999999</v>
      </c>
      <c r="Y1174">
        <v>517</v>
      </c>
      <c r="Z1174">
        <v>4.74</v>
      </c>
      <c r="AJ1174">
        <v>2</v>
      </c>
      <c r="AK1174">
        <v>18</v>
      </c>
      <c r="AM1174">
        <v>0</v>
      </c>
      <c r="AO1174" t="s">
        <v>576</v>
      </c>
      <c r="AT1174">
        <v>48</v>
      </c>
      <c r="AV1174">
        <v>61.3</v>
      </c>
      <c r="AW1174">
        <v>0.46875</v>
      </c>
      <c r="AX1174">
        <v>3.75</v>
      </c>
      <c r="AY1174">
        <v>48.75</v>
      </c>
      <c r="AZ1174">
        <v>4.5</v>
      </c>
      <c r="BA1174">
        <v>415.78</v>
      </c>
      <c r="BB1174">
        <v>4.74</v>
      </c>
      <c r="BC1174">
        <v>52</v>
      </c>
      <c r="BD1174">
        <v>0.3125</v>
      </c>
      <c r="BE1174">
        <v>2.75</v>
      </c>
      <c r="BF1174">
        <v>35.375</v>
      </c>
      <c r="BG1174">
        <v>3</v>
      </c>
      <c r="BH1174">
        <v>101.66</v>
      </c>
      <c r="BI1174">
        <v>6.28</v>
      </c>
      <c r="BJ1174">
        <v>19</v>
      </c>
      <c r="BL1174">
        <v>517.44000000000005</v>
      </c>
      <c r="BM1174">
        <v>71</v>
      </c>
      <c r="BN1174">
        <v>294.25009999999997</v>
      </c>
      <c r="BO1174">
        <v>1198</v>
      </c>
      <c r="BP1174">
        <v>0</v>
      </c>
      <c r="BQ1174">
        <v>42</v>
      </c>
      <c r="BR1174">
        <v>42</v>
      </c>
      <c r="BS1174">
        <v>42.26</v>
      </c>
      <c r="BT1174">
        <v>0</v>
      </c>
      <c r="BV1174">
        <v>0</v>
      </c>
      <c r="BW1174" t="s">
        <v>655</v>
      </c>
      <c r="BX1174">
        <v>0.17</v>
      </c>
      <c r="BY1174">
        <v>7.1841999999999997</v>
      </c>
      <c r="BZ1174">
        <v>0</v>
      </c>
      <c r="CA1174">
        <v>1</v>
      </c>
      <c r="CB1174">
        <v>0.6</v>
      </c>
      <c r="CC1174" s="3">
        <v>7.1269159999999998E-2</v>
      </c>
      <c r="CD1174">
        <v>2.875</v>
      </c>
      <c r="CE1174">
        <v>2.5</v>
      </c>
      <c r="CF1174">
        <v>18</v>
      </c>
      <c r="CG1174">
        <v>6</v>
      </c>
      <c r="CH1174">
        <v>0</v>
      </c>
      <c r="CI1174">
        <v>42.26</v>
      </c>
      <c r="CJ1174">
        <v>508.62360000000001</v>
      </c>
    </row>
    <row r="1175" spans="1:88">
      <c r="A1175">
        <v>1174</v>
      </c>
      <c r="B1175" t="s">
        <v>0</v>
      </c>
      <c r="C1175" t="s">
        <v>1</v>
      </c>
      <c r="D1175" t="s">
        <v>145</v>
      </c>
      <c r="E1175" t="s">
        <v>178</v>
      </c>
      <c r="F1175" t="s">
        <v>206</v>
      </c>
      <c r="G1175" t="s">
        <v>106</v>
      </c>
      <c r="H1175" t="s">
        <v>207</v>
      </c>
      <c r="J1175">
        <v>2</v>
      </c>
      <c r="K1175" t="s">
        <v>146</v>
      </c>
      <c r="L1175" t="s">
        <v>127</v>
      </c>
      <c r="M1175" t="s">
        <v>179</v>
      </c>
      <c r="N1175" t="s">
        <v>180</v>
      </c>
      <c r="O1175">
        <v>95</v>
      </c>
      <c r="Q1175">
        <v>395</v>
      </c>
      <c r="R1175">
        <v>94</v>
      </c>
      <c r="S1175">
        <v>4.25</v>
      </c>
      <c r="T1175">
        <v>2.649</v>
      </c>
      <c r="U1175">
        <v>5.81</v>
      </c>
      <c r="V1175">
        <v>1676.71</v>
      </c>
      <c r="W1175">
        <v>546</v>
      </c>
      <c r="X1175">
        <v>1.3332999999999999</v>
      </c>
      <c r="Y1175">
        <v>421</v>
      </c>
      <c r="Z1175">
        <v>3.98</v>
      </c>
      <c r="AJ1175">
        <v>2</v>
      </c>
      <c r="AK1175">
        <v>18</v>
      </c>
      <c r="AM1175">
        <v>0</v>
      </c>
      <c r="AO1175" t="s">
        <v>211</v>
      </c>
      <c r="AT1175">
        <v>38</v>
      </c>
      <c r="AV1175">
        <v>53.1</v>
      </c>
      <c r="AW1175">
        <v>0</v>
      </c>
      <c r="AX1175">
        <v>0</v>
      </c>
      <c r="AY1175">
        <v>48.125</v>
      </c>
      <c r="AZ1175">
        <v>3.75</v>
      </c>
      <c r="BA1175">
        <v>0</v>
      </c>
      <c r="BB1175">
        <v>0</v>
      </c>
      <c r="BC1175">
        <v>52</v>
      </c>
      <c r="BN1175">
        <v>255.01669999999999</v>
      </c>
      <c r="BO1175">
        <v>1596</v>
      </c>
      <c r="BP1175">
        <v>0</v>
      </c>
      <c r="BQ1175">
        <v>32</v>
      </c>
      <c r="BR1175">
        <v>32</v>
      </c>
      <c r="BS1175">
        <v>32.17</v>
      </c>
      <c r="BT1175">
        <v>0</v>
      </c>
      <c r="BV1175">
        <v>0</v>
      </c>
      <c r="BW1175" t="s">
        <v>655</v>
      </c>
      <c r="BX1175">
        <v>0.17</v>
      </c>
      <c r="BY1175">
        <v>5.4688999999999997</v>
      </c>
      <c r="BZ1175">
        <v>0</v>
      </c>
      <c r="CA1175">
        <v>1</v>
      </c>
      <c r="CB1175">
        <v>0.6</v>
      </c>
      <c r="CC1175" s="3">
        <v>7.1269159999999998E-2</v>
      </c>
      <c r="CD1175">
        <v>2.875</v>
      </c>
      <c r="CE1175">
        <v>2.5</v>
      </c>
      <c r="CF1175">
        <v>18</v>
      </c>
      <c r="CG1175">
        <v>6</v>
      </c>
      <c r="CH1175">
        <v>0</v>
      </c>
      <c r="CI1175">
        <v>32.17</v>
      </c>
      <c r="CJ1175">
        <v>335.88470000000001</v>
      </c>
    </row>
    <row r="1176" spans="1:88">
      <c r="A1176">
        <v>1175</v>
      </c>
      <c r="B1176" t="s">
        <v>0</v>
      </c>
      <c r="C1176" t="s">
        <v>1</v>
      </c>
      <c r="D1176" t="s">
        <v>162</v>
      </c>
      <c r="E1176" t="s">
        <v>123</v>
      </c>
      <c r="F1176" t="s">
        <v>100</v>
      </c>
      <c r="G1176" t="s">
        <v>106</v>
      </c>
      <c r="H1176" t="s">
        <v>158</v>
      </c>
      <c r="J1176">
        <v>2</v>
      </c>
      <c r="K1176" t="s">
        <v>146</v>
      </c>
      <c r="L1176" t="s">
        <v>8</v>
      </c>
      <c r="M1176" t="s">
        <v>147</v>
      </c>
      <c r="N1176" t="s">
        <v>148</v>
      </c>
      <c r="O1176">
        <v>183</v>
      </c>
      <c r="Q1176">
        <v>603</v>
      </c>
      <c r="R1176">
        <v>80</v>
      </c>
      <c r="S1176">
        <v>4.25</v>
      </c>
      <c r="T1176">
        <v>4.8079999999999998</v>
      </c>
      <c r="U1176">
        <v>7.12</v>
      </c>
      <c r="V1176">
        <v>2563.7199999999998</v>
      </c>
      <c r="W1176">
        <v>572</v>
      </c>
      <c r="X1176">
        <v>1.3332999999999999</v>
      </c>
      <c r="Y1176">
        <v>418</v>
      </c>
      <c r="Z1176">
        <v>6.14</v>
      </c>
      <c r="AJ1176">
        <v>2</v>
      </c>
      <c r="AK1176">
        <v>18</v>
      </c>
      <c r="AM1176">
        <v>0</v>
      </c>
      <c r="AO1176" t="s">
        <v>121</v>
      </c>
      <c r="AT1176">
        <v>69</v>
      </c>
      <c r="AV1176">
        <v>44.4</v>
      </c>
      <c r="AW1176">
        <v>0.46875</v>
      </c>
      <c r="AX1176">
        <v>3.75</v>
      </c>
      <c r="AY1176">
        <v>63.125</v>
      </c>
      <c r="AZ1176">
        <v>5.75</v>
      </c>
      <c r="BA1176">
        <v>320.98</v>
      </c>
      <c r="BB1176">
        <v>6.14</v>
      </c>
      <c r="BC1176">
        <v>68</v>
      </c>
      <c r="BD1176">
        <v>0.3125</v>
      </c>
      <c r="BE1176">
        <v>2.75</v>
      </c>
      <c r="BF1176">
        <v>37.25</v>
      </c>
      <c r="BG1176">
        <v>3.875</v>
      </c>
      <c r="BH1176">
        <v>96.56</v>
      </c>
      <c r="BI1176">
        <v>6.61</v>
      </c>
      <c r="BJ1176">
        <v>20</v>
      </c>
      <c r="BL1176">
        <v>417.54</v>
      </c>
      <c r="BM1176">
        <v>87</v>
      </c>
      <c r="BN1176">
        <v>212.2167</v>
      </c>
      <c r="BO1176">
        <v>2304</v>
      </c>
      <c r="BP1176">
        <v>0</v>
      </c>
      <c r="BQ1176">
        <v>63</v>
      </c>
      <c r="BR1176">
        <v>63</v>
      </c>
      <c r="BS1176">
        <v>62.78</v>
      </c>
      <c r="BT1176">
        <v>0</v>
      </c>
      <c r="BV1176">
        <v>0</v>
      </c>
      <c r="BW1176" t="s">
        <v>655</v>
      </c>
      <c r="BX1176">
        <v>0.17</v>
      </c>
      <c r="BY1176">
        <v>10.672599999999999</v>
      </c>
      <c r="BZ1176">
        <v>0</v>
      </c>
      <c r="CA1176">
        <v>1</v>
      </c>
      <c r="CB1176">
        <v>0.6</v>
      </c>
      <c r="CC1176" s="3">
        <v>7.1269159999999998E-2</v>
      </c>
      <c r="CD1176">
        <v>2.875</v>
      </c>
      <c r="CE1176">
        <v>2.5</v>
      </c>
      <c r="CF1176">
        <v>18</v>
      </c>
      <c r="CG1176">
        <v>6</v>
      </c>
      <c r="CH1176">
        <v>0</v>
      </c>
      <c r="CI1176">
        <v>62.78</v>
      </c>
      <c r="CJ1176">
        <v>548.09900000000005</v>
      </c>
    </row>
    <row r="1177" spans="1:88">
      <c r="A1177">
        <v>1176</v>
      </c>
      <c r="B1177" t="s">
        <v>13</v>
      </c>
      <c r="C1177" t="s">
        <v>1</v>
      </c>
      <c r="D1177" t="s">
        <v>150</v>
      </c>
      <c r="E1177" t="s">
        <v>150</v>
      </c>
      <c r="F1177" t="s">
        <v>152</v>
      </c>
      <c r="G1177" t="s">
        <v>106</v>
      </c>
      <c r="H1177" t="s">
        <v>5</v>
      </c>
      <c r="J1177">
        <v>2</v>
      </c>
      <c r="K1177" t="s">
        <v>146</v>
      </c>
      <c r="L1177" t="s">
        <v>96</v>
      </c>
      <c r="M1177" t="s">
        <v>159</v>
      </c>
      <c r="N1177" t="s">
        <v>130</v>
      </c>
      <c r="O1177">
        <v>111</v>
      </c>
      <c r="Q1177">
        <v>322</v>
      </c>
      <c r="R1177">
        <v>69</v>
      </c>
      <c r="S1177">
        <v>4.25</v>
      </c>
      <c r="T1177">
        <v>3.0760000000000001</v>
      </c>
      <c r="U1177">
        <v>6.14</v>
      </c>
      <c r="V1177">
        <v>1369.69</v>
      </c>
      <c r="W1177">
        <v>426</v>
      </c>
      <c r="X1177">
        <v>1.3332999999999999</v>
      </c>
      <c r="Y1177">
        <v>311</v>
      </c>
      <c r="Z1177">
        <v>4.4000000000000004</v>
      </c>
      <c r="AJ1177">
        <v>2</v>
      </c>
      <c r="AK1177">
        <v>18</v>
      </c>
      <c r="AM1177">
        <v>0</v>
      </c>
      <c r="AO1177" t="s">
        <v>155</v>
      </c>
      <c r="AT1177">
        <v>44</v>
      </c>
      <c r="AV1177">
        <v>37.5</v>
      </c>
      <c r="AW1177">
        <v>0</v>
      </c>
      <c r="AX1177">
        <v>0</v>
      </c>
      <c r="AY1177">
        <v>45.75</v>
      </c>
      <c r="AZ1177">
        <v>3.875</v>
      </c>
      <c r="BA1177">
        <v>0</v>
      </c>
      <c r="BB1177">
        <v>0</v>
      </c>
      <c r="BC1177">
        <v>46</v>
      </c>
      <c r="BN1177">
        <v>178.33340000000001</v>
      </c>
      <c r="BO1177">
        <v>3263</v>
      </c>
      <c r="BP1177">
        <v>0</v>
      </c>
      <c r="BQ1177">
        <v>38</v>
      </c>
      <c r="BR1177">
        <v>38</v>
      </c>
      <c r="BS1177">
        <v>37.729999999999997</v>
      </c>
      <c r="BT1177">
        <v>0</v>
      </c>
      <c r="BV1177">
        <v>0</v>
      </c>
      <c r="BW1177" t="s">
        <v>655</v>
      </c>
      <c r="BX1177">
        <v>0.17</v>
      </c>
      <c r="BY1177">
        <v>6.4141000000000004</v>
      </c>
      <c r="BZ1177">
        <v>0</v>
      </c>
      <c r="CA1177">
        <v>1</v>
      </c>
      <c r="CB1177">
        <v>0.6</v>
      </c>
      <c r="CC1177" s="3">
        <v>7.1269159999999998E-2</v>
      </c>
      <c r="CD1177">
        <v>2.875</v>
      </c>
      <c r="CE1177">
        <v>2.5</v>
      </c>
      <c r="CF1177">
        <v>18</v>
      </c>
      <c r="CG1177">
        <v>6</v>
      </c>
      <c r="CH1177">
        <v>0</v>
      </c>
      <c r="CI1177">
        <v>37.729999999999997</v>
      </c>
      <c r="CJ1177">
        <v>278.31</v>
      </c>
    </row>
    <row r="1178" spans="1:88">
      <c r="A1178">
        <v>1177</v>
      </c>
      <c r="B1178" t="s">
        <v>13</v>
      </c>
      <c r="C1178" t="s">
        <v>1</v>
      </c>
      <c r="D1178" t="s">
        <v>602</v>
      </c>
      <c r="E1178" t="s">
        <v>382</v>
      </c>
      <c r="F1178" t="s">
        <v>508</v>
      </c>
      <c r="G1178" t="s">
        <v>106</v>
      </c>
      <c r="H1178" t="s">
        <v>365</v>
      </c>
      <c r="J1178">
        <v>2</v>
      </c>
      <c r="K1178" t="s">
        <v>146</v>
      </c>
      <c r="L1178" t="s">
        <v>229</v>
      </c>
      <c r="M1178" t="s">
        <v>318</v>
      </c>
      <c r="N1178" t="s">
        <v>366</v>
      </c>
      <c r="O1178">
        <v>100</v>
      </c>
      <c r="Q1178">
        <v>135</v>
      </c>
      <c r="R1178">
        <v>32</v>
      </c>
      <c r="S1178">
        <v>4.25</v>
      </c>
      <c r="T1178">
        <v>2.7850000000000001</v>
      </c>
      <c r="U1178">
        <v>5.92</v>
      </c>
      <c r="V1178">
        <v>573.79</v>
      </c>
      <c r="W1178">
        <v>187</v>
      </c>
      <c r="X1178">
        <v>1.3332999999999999</v>
      </c>
      <c r="Y1178">
        <v>140</v>
      </c>
      <c r="Z1178">
        <v>4.1100000000000003</v>
      </c>
      <c r="AJ1178">
        <v>2</v>
      </c>
      <c r="AK1178">
        <v>18</v>
      </c>
      <c r="AM1178">
        <v>0</v>
      </c>
      <c r="AO1178" t="s">
        <v>579</v>
      </c>
      <c r="AT1178">
        <v>40</v>
      </c>
      <c r="AV1178">
        <v>16.8</v>
      </c>
      <c r="AW1178">
        <v>0</v>
      </c>
      <c r="AX1178">
        <v>0</v>
      </c>
      <c r="AY1178">
        <v>18.25</v>
      </c>
      <c r="AZ1178">
        <v>2.625</v>
      </c>
      <c r="BA1178">
        <v>0</v>
      </c>
      <c r="BB1178">
        <v>0</v>
      </c>
      <c r="BC1178">
        <v>14</v>
      </c>
      <c r="BN1178">
        <v>76.683350000000004</v>
      </c>
      <c r="BO1178">
        <v>17647</v>
      </c>
      <c r="BP1178">
        <v>0</v>
      </c>
      <c r="BQ1178">
        <v>34</v>
      </c>
      <c r="BR1178">
        <v>34</v>
      </c>
      <c r="BS1178">
        <v>33.909999999999997</v>
      </c>
      <c r="BT1178">
        <v>0</v>
      </c>
      <c r="BV1178">
        <v>0</v>
      </c>
      <c r="BW1178" t="s">
        <v>655</v>
      </c>
      <c r="BX1178">
        <v>0.17</v>
      </c>
      <c r="BY1178">
        <v>5.7647000000000004</v>
      </c>
      <c r="BZ1178">
        <v>0</v>
      </c>
      <c r="CA1178">
        <v>1</v>
      </c>
      <c r="CB1178">
        <v>0.6</v>
      </c>
      <c r="CC1178" s="3">
        <v>7.1269159999999998E-2</v>
      </c>
      <c r="CD1178">
        <v>2.875</v>
      </c>
      <c r="CE1178">
        <v>2.5</v>
      </c>
      <c r="CF1178">
        <v>18</v>
      </c>
      <c r="CG1178">
        <v>6</v>
      </c>
      <c r="CH1178">
        <v>0</v>
      </c>
      <c r="CI1178">
        <v>33.909999999999997</v>
      </c>
      <c r="CJ1178">
        <v>112.3783</v>
      </c>
    </row>
    <row r="1179" spans="1:88">
      <c r="A1179">
        <v>1178</v>
      </c>
      <c r="B1179" t="s">
        <v>0</v>
      </c>
      <c r="C1179" t="s">
        <v>1</v>
      </c>
      <c r="D1179" t="s">
        <v>180</v>
      </c>
      <c r="E1179" t="s">
        <v>174</v>
      </c>
      <c r="F1179" t="s">
        <v>400</v>
      </c>
      <c r="G1179" t="s">
        <v>106</v>
      </c>
      <c r="H1179" t="s">
        <v>438</v>
      </c>
      <c r="J1179">
        <v>2</v>
      </c>
      <c r="K1179" t="s">
        <v>146</v>
      </c>
      <c r="L1179" t="s">
        <v>257</v>
      </c>
      <c r="M1179" t="s">
        <v>312</v>
      </c>
      <c r="N1179" t="s">
        <v>3</v>
      </c>
      <c r="O1179">
        <v>122</v>
      </c>
      <c r="Q1179">
        <v>308</v>
      </c>
      <c r="R1179">
        <v>62</v>
      </c>
      <c r="S1179">
        <v>4.25</v>
      </c>
      <c r="T1179">
        <v>3.359</v>
      </c>
      <c r="U1179">
        <v>6.22</v>
      </c>
      <c r="V1179">
        <v>1308.8699999999999</v>
      </c>
      <c r="W1179">
        <v>385</v>
      </c>
      <c r="X1179">
        <v>1.3332999999999999</v>
      </c>
      <c r="Y1179">
        <v>279</v>
      </c>
      <c r="Z1179">
        <v>4.6900000000000004</v>
      </c>
      <c r="AJ1179">
        <v>2</v>
      </c>
      <c r="AK1179">
        <v>18</v>
      </c>
      <c r="AM1179">
        <v>0</v>
      </c>
      <c r="AO1179" t="s">
        <v>467</v>
      </c>
      <c r="AT1179">
        <v>48</v>
      </c>
      <c r="AV1179">
        <v>32.799999999999997</v>
      </c>
      <c r="AW1179">
        <v>0</v>
      </c>
      <c r="AX1179">
        <v>0</v>
      </c>
      <c r="AY1179">
        <v>34.875</v>
      </c>
      <c r="AZ1179">
        <v>3.75</v>
      </c>
      <c r="BA1179">
        <v>0</v>
      </c>
      <c r="BB1179">
        <v>0</v>
      </c>
      <c r="BC1179">
        <v>33</v>
      </c>
      <c r="BN1179">
        <v>155.15</v>
      </c>
      <c r="BO1179">
        <v>4311</v>
      </c>
      <c r="BP1179">
        <v>0</v>
      </c>
      <c r="BQ1179">
        <v>42</v>
      </c>
      <c r="BR1179">
        <v>42</v>
      </c>
      <c r="BS1179">
        <v>41.56</v>
      </c>
      <c r="BT1179">
        <v>0</v>
      </c>
      <c r="BV1179">
        <v>0</v>
      </c>
      <c r="BW1179" t="s">
        <v>655</v>
      </c>
      <c r="BX1179">
        <v>0.17</v>
      </c>
      <c r="BY1179">
        <v>7.0652010000000001</v>
      </c>
      <c r="BZ1179">
        <v>0</v>
      </c>
      <c r="CA1179">
        <v>1</v>
      </c>
      <c r="CB1179">
        <v>0.6</v>
      </c>
      <c r="CC1179" s="3">
        <v>7.1269159999999998E-2</v>
      </c>
      <c r="CD1179">
        <v>2.875</v>
      </c>
      <c r="CE1179">
        <v>2.5</v>
      </c>
      <c r="CF1179">
        <v>18</v>
      </c>
      <c r="CG1179">
        <v>6</v>
      </c>
      <c r="CH1179">
        <v>0</v>
      </c>
      <c r="CI1179">
        <v>41.56</v>
      </c>
      <c r="CJ1179">
        <v>268.05610000000001</v>
      </c>
    </row>
    <row r="1180" spans="1:88">
      <c r="A1180">
        <v>1179</v>
      </c>
      <c r="B1180" t="s">
        <v>0</v>
      </c>
      <c r="C1180" t="s">
        <v>1</v>
      </c>
      <c r="D1180" t="s">
        <v>619</v>
      </c>
      <c r="E1180" t="s">
        <v>96</v>
      </c>
      <c r="F1180" t="s">
        <v>567</v>
      </c>
      <c r="G1180" t="s">
        <v>15</v>
      </c>
      <c r="H1180" t="s">
        <v>638</v>
      </c>
      <c r="J1180">
        <v>2</v>
      </c>
      <c r="K1180" t="s">
        <v>108</v>
      </c>
      <c r="L1180" t="s">
        <v>293</v>
      </c>
      <c r="M1180" t="s">
        <v>100</v>
      </c>
      <c r="N1180" t="s">
        <v>101</v>
      </c>
      <c r="O1180">
        <v>131</v>
      </c>
      <c r="Q1180">
        <v>802</v>
      </c>
      <c r="R1180">
        <v>141</v>
      </c>
      <c r="S1180">
        <v>4.25</v>
      </c>
      <c r="T1180">
        <v>3.5859999999999999</v>
      </c>
      <c r="U1180">
        <v>6.37</v>
      </c>
      <c r="V1180">
        <v>3408.07</v>
      </c>
      <c r="W1180">
        <v>900</v>
      </c>
      <c r="X1180">
        <v>1.3332999999999999</v>
      </c>
      <c r="Y1180">
        <v>694</v>
      </c>
      <c r="Z1180">
        <v>4.91</v>
      </c>
      <c r="AJ1180">
        <v>2</v>
      </c>
      <c r="AK1180">
        <v>18</v>
      </c>
      <c r="AM1180">
        <v>0</v>
      </c>
      <c r="AO1180" t="s">
        <v>97</v>
      </c>
      <c r="AT1180">
        <v>51</v>
      </c>
      <c r="AV1180">
        <v>81.2</v>
      </c>
      <c r="AW1180" t="s">
        <v>6</v>
      </c>
      <c r="AX1180" t="s">
        <v>6</v>
      </c>
      <c r="AY1180" t="s">
        <v>6</v>
      </c>
      <c r="AZ1180" t="s">
        <v>6</v>
      </c>
      <c r="BA1180" t="s">
        <v>6</v>
      </c>
      <c r="BB1180" t="s">
        <v>6</v>
      </c>
      <c r="BC1180" t="s">
        <v>6</v>
      </c>
      <c r="BD1180" t="s">
        <v>6</v>
      </c>
      <c r="BE1180" t="s">
        <v>6</v>
      </c>
      <c r="BF1180" t="s">
        <v>6</v>
      </c>
      <c r="BG1180" t="s">
        <v>6</v>
      </c>
      <c r="BH1180" t="s">
        <v>6</v>
      </c>
      <c r="BI1180" t="s">
        <v>6</v>
      </c>
      <c r="BJ1180" t="s">
        <v>6</v>
      </c>
      <c r="BN1180">
        <v>694.5566</v>
      </c>
      <c r="BO1180">
        <v>2267</v>
      </c>
      <c r="BP1180">
        <v>0</v>
      </c>
      <c r="BQ1180">
        <v>45</v>
      </c>
      <c r="BR1180">
        <v>45</v>
      </c>
      <c r="BS1180">
        <v>44.69</v>
      </c>
      <c r="BT1180">
        <v>0</v>
      </c>
      <c r="BV1180">
        <v>0</v>
      </c>
      <c r="BW1180" t="s">
        <v>655</v>
      </c>
      <c r="BX1180">
        <v>0.17</v>
      </c>
      <c r="BY1180">
        <v>7.5972999999999997</v>
      </c>
      <c r="BZ1180">
        <v>0</v>
      </c>
      <c r="CA1180">
        <v>1</v>
      </c>
      <c r="CB1180">
        <v>0.6</v>
      </c>
      <c r="CC1180" s="3">
        <v>7.1269159999999998E-2</v>
      </c>
      <c r="CD1180">
        <v>2.875</v>
      </c>
      <c r="CE1180">
        <v>2.5</v>
      </c>
      <c r="CF1180">
        <v>18</v>
      </c>
      <c r="CG1180">
        <v>6</v>
      </c>
      <c r="CH1180">
        <v>0</v>
      </c>
      <c r="CI1180">
        <v>44.69</v>
      </c>
      <c r="CJ1180">
        <v>713.04600000000005</v>
      </c>
    </row>
    <row r="1181" spans="1:88">
      <c r="A1181">
        <v>1180</v>
      </c>
      <c r="B1181" t="s">
        <v>13</v>
      </c>
      <c r="C1181" t="s">
        <v>1</v>
      </c>
      <c r="D1181" t="s">
        <v>10</v>
      </c>
      <c r="E1181" t="s">
        <v>316</v>
      </c>
      <c r="F1181" t="s">
        <v>610</v>
      </c>
      <c r="G1181" t="s">
        <v>15</v>
      </c>
      <c r="H1181" t="s">
        <v>646</v>
      </c>
      <c r="J1181">
        <v>2</v>
      </c>
      <c r="K1181" t="s">
        <v>108</v>
      </c>
      <c r="L1181" t="s">
        <v>457</v>
      </c>
      <c r="M1181" t="s">
        <v>591</v>
      </c>
      <c r="N1181" t="s">
        <v>197</v>
      </c>
      <c r="O1181">
        <v>170</v>
      </c>
      <c r="Q1181">
        <v>985</v>
      </c>
      <c r="R1181">
        <v>136</v>
      </c>
      <c r="S1181">
        <v>4.25</v>
      </c>
      <c r="T1181">
        <v>4.5149999999999997</v>
      </c>
      <c r="U1181">
        <v>6.9</v>
      </c>
      <c r="V1181">
        <v>4184.54</v>
      </c>
      <c r="W1181">
        <v>940</v>
      </c>
      <c r="X1181">
        <v>1.3332999999999999</v>
      </c>
      <c r="Y1181">
        <v>717</v>
      </c>
      <c r="Z1181">
        <v>5.84</v>
      </c>
      <c r="AJ1181">
        <v>2</v>
      </c>
      <c r="AK1181">
        <v>18</v>
      </c>
      <c r="AM1181">
        <v>0</v>
      </c>
      <c r="AO1181" t="s">
        <v>309</v>
      </c>
      <c r="AT1181">
        <v>64</v>
      </c>
      <c r="AV1181">
        <v>78.3</v>
      </c>
      <c r="AW1181" t="s">
        <v>6</v>
      </c>
      <c r="AX1181" t="s">
        <v>6</v>
      </c>
      <c r="AY1181" t="s">
        <v>6</v>
      </c>
      <c r="AZ1181" t="s">
        <v>6</v>
      </c>
      <c r="BA1181" t="s">
        <v>6</v>
      </c>
      <c r="BB1181" t="s">
        <v>6</v>
      </c>
      <c r="BC1181" t="s">
        <v>6</v>
      </c>
      <c r="BD1181" t="s">
        <v>6</v>
      </c>
      <c r="BE1181" t="s">
        <v>6</v>
      </c>
      <c r="BF1181" t="s">
        <v>6</v>
      </c>
      <c r="BG1181" t="s">
        <v>6</v>
      </c>
      <c r="BH1181" t="s">
        <v>6</v>
      </c>
      <c r="BI1181" t="s">
        <v>6</v>
      </c>
      <c r="BJ1181" t="s">
        <v>6</v>
      </c>
      <c r="BN1181">
        <v>669.3</v>
      </c>
      <c r="BO1181">
        <v>2442</v>
      </c>
      <c r="BP1181">
        <v>0</v>
      </c>
      <c r="BQ1181">
        <v>58</v>
      </c>
      <c r="BR1181">
        <v>58</v>
      </c>
      <c r="BS1181">
        <v>58.26</v>
      </c>
      <c r="BT1181">
        <v>0</v>
      </c>
      <c r="BV1181">
        <v>0</v>
      </c>
      <c r="BW1181" t="s">
        <v>655</v>
      </c>
      <c r="BX1181">
        <v>0.17</v>
      </c>
      <c r="BY1181">
        <v>9.9041990000000002</v>
      </c>
      <c r="BZ1181">
        <v>0</v>
      </c>
      <c r="CA1181">
        <v>1</v>
      </c>
      <c r="CB1181">
        <v>0.6</v>
      </c>
      <c r="CC1181" s="3">
        <v>7.1269159999999998E-2</v>
      </c>
      <c r="CD1181">
        <v>2.875</v>
      </c>
      <c r="CE1181">
        <v>2.5</v>
      </c>
      <c r="CF1181">
        <v>18</v>
      </c>
      <c r="CG1181">
        <v>6</v>
      </c>
      <c r="CH1181">
        <v>0</v>
      </c>
      <c r="CI1181">
        <v>58.26</v>
      </c>
      <c r="CJ1181">
        <v>896.34339999999997</v>
      </c>
    </row>
    <row r="1182" spans="1:88">
      <c r="A1182">
        <v>1181</v>
      </c>
      <c r="B1182" t="s">
        <v>13</v>
      </c>
      <c r="C1182" t="s">
        <v>1</v>
      </c>
      <c r="D1182" t="s">
        <v>96</v>
      </c>
      <c r="E1182" t="s">
        <v>338</v>
      </c>
      <c r="F1182" t="s">
        <v>198</v>
      </c>
      <c r="G1182" t="s">
        <v>106</v>
      </c>
      <c r="H1182" t="s">
        <v>162</v>
      </c>
      <c r="J1182">
        <v>2</v>
      </c>
      <c r="K1182" t="s">
        <v>146</v>
      </c>
      <c r="L1182" t="s">
        <v>143</v>
      </c>
      <c r="M1182" t="s">
        <v>339</v>
      </c>
      <c r="N1182" t="s">
        <v>340</v>
      </c>
      <c r="O1182">
        <v>135</v>
      </c>
      <c r="Q1182">
        <v>458</v>
      </c>
      <c r="R1182">
        <v>81</v>
      </c>
      <c r="S1182">
        <v>4.25</v>
      </c>
      <c r="T1182">
        <v>3.6850000000000001</v>
      </c>
      <c r="U1182">
        <v>6.45</v>
      </c>
      <c r="V1182">
        <v>1947.47</v>
      </c>
      <c r="W1182">
        <v>521</v>
      </c>
      <c r="X1182">
        <v>1.3332999999999999</v>
      </c>
      <c r="Y1182">
        <v>389</v>
      </c>
      <c r="Z1182">
        <v>5.01</v>
      </c>
      <c r="AJ1182">
        <v>2</v>
      </c>
      <c r="AK1182">
        <v>18</v>
      </c>
      <c r="AM1182">
        <v>0</v>
      </c>
      <c r="AO1182" t="s">
        <v>166</v>
      </c>
      <c r="AT1182">
        <v>52</v>
      </c>
      <c r="AV1182">
        <v>44.8</v>
      </c>
      <c r="AW1182">
        <v>0</v>
      </c>
      <c r="AX1182">
        <v>0</v>
      </c>
      <c r="AY1182">
        <v>52.125</v>
      </c>
      <c r="AZ1182">
        <v>4.75</v>
      </c>
      <c r="BA1182">
        <v>0</v>
      </c>
      <c r="BB1182">
        <v>0</v>
      </c>
      <c r="BC1182">
        <v>56</v>
      </c>
      <c r="BN1182">
        <v>214</v>
      </c>
      <c r="BO1182">
        <v>2266</v>
      </c>
      <c r="BP1182">
        <v>0</v>
      </c>
      <c r="BQ1182">
        <v>46</v>
      </c>
      <c r="BR1182">
        <v>46</v>
      </c>
      <c r="BS1182">
        <v>46.08</v>
      </c>
      <c r="BT1182">
        <v>0</v>
      </c>
      <c r="BV1182">
        <v>0</v>
      </c>
      <c r="BW1182" t="s">
        <v>655</v>
      </c>
      <c r="BX1182">
        <v>0.17</v>
      </c>
      <c r="BY1182">
        <v>7.8336009999999998</v>
      </c>
      <c r="BZ1182">
        <v>0</v>
      </c>
      <c r="CA1182">
        <v>1</v>
      </c>
      <c r="CB1182">
        <v>0.6</v>
      </c>
      <c r="CC1182" s="3">
        <v>7.1269159999999998E-2</v>
      </c>
      <c r="CD1182">
        <v>2.875</v>
      </c>
      <c r="CE1182">
        <v>2.5</v>
      </c>
      <c r="CF1182">
        <v>18</v>
      </c>
      <c r="CG1182">
        <v>6</v>
      </c>
      <c r="CH1182">
        <v>0</v>
      </c>
      <c r="CI1182">
        <v>46.08</v>
      </c>
      <c r="CJ1182">
        <v>405.58420000000001</v>
      </c>
    </row>
    <row r="1183" spans="1:88">
      <c r="A1183">
        <v>1182</v>
      </c>
      <c r="B1183" t="s">
        <v>0</v>
      </c>
      <c r="C1183" t="s">
        <v>1</v>
      </c>
      <c r="D1183" t="s">
        <v>5</v>
      </c>
      <c r="E1183" t="s">
        <v>255</v>
      </c>
      <c r="F1183" t="s">
        <v>159</v>
      </c>
      <c r="G1183" t="s">
        <v>106</v>
      </c>
      <c r="H1183" t="s">
        <v>139</v>
      </c>
      <c r="J1183">
        <v>2</v>
      </c>
      <c r="K1183" t="s">
        <v>146</v>
      </c>
      <c r="L1183" t="s">
        <v>276</v>
      </c>
      <c r="M1183" t="s">
        <v>277</v>
      </c>
      <c r="N1183" t="s">
        <v>123</v>
      </c>
      <c r="O1183">
        <v>180</v>
      </c>
      <c r="Q1183">
        <v>499</v>
      </c>
      <c r="R1183">
        <v>69</v>
      </c>
      <c r="S1183">
        <v>4.25</v>
      </c>
      <c r="T1183">
        <v>4.7409999999999997</v>
      </c>
      <c r="U1183">
        <v>7.08</v>
      </c>
      <c r="V1183">
        <v>2119.17</v>
      </c>
      <c r="W1183">
        <v>487</v>
      </c>
      <c r="X1183">
        <v>1.5</v>
      </c>
      <c r="Y1183">
        <v>340</v>
      </c>
      <c r="Z1183">
        <v>6.24</v>
      </c>
      <c r="AJ1183">
        <v>2</v>
      </c>
      <c r="AK1183">
        <v>18</v>
      </c>
      <c r="AM1183">
        <v>0</v>
      </c>
      <c r="AO1183" t="s">
        <v>385</v>
      </c>
      <c r="AT1183">
        <v>68</v>
      </c>
      <c r="AV1183">
        <v>37.200000000000003</v>
      </c>
      <c r="AW1183">
        <v>0.46875</v>
      </c>
      <c r="AX1183">
        <v>3.75</v>
      </c>
      <c r="AY1183">
        <v>64.125</v>
      </c>
      <c r="AZ1183">
        <v>5.875</v>
      </c>
      <c r="BA1183">
        <v>315.83</v>
      </c>
      <c r="BB1183">
        <v>6.24</v>
      </c>
      <c r="BC1183">
        <v>69</v>
      </c>
      <c r="BD1183">
        <v>0.25</v>
      </c>
      <c r="BE1183">
        <v>2.75</v>
      </c>
      <c r="BF1183">
        <v>48.25</v>
      </c>
      <c r="BG1183">
        <v>3.125</v>
      </c>
      <c r="BH1183">
        <v>23.78</v>
      </c>
      <c r="BI1183">
        <v>14.44</v>
      </c>
      <c r="BJ1183">
        <v>21</v>
      </c>
      <c r="BL1183">
        <v>339.61</v>
      </c>
      <c r="BM1183">
        <v>89</v>
      </c>
      <c r="BN1183">
        <v>176.55</v>
      </c>
      <c r="BO1183">
        <v>3329</v>
      </c>
      <c r="BP1183">
        <v>0</v>
      </c>
      <c r="BQ1183">
        <v>62</v>
      </c>
      <c r="BR1183">
        <v>62</v>
      </c>
      <c r="BS1183">
        <v>61.73</v>
      </c>
      <c r="BT1183">
        <v>0</v>
      </c>
      <c r="BV1183">
        <v>0</v>
      </c>
      <c r="BW1183" t="s">
        <v>655</v>
      </c>
      <c r="BX1183">
        <v>0.17</v>
      </c>
      <c r="BY1183">
        <v>10.4941</v>
      </c>
      <c r="BZ1183">
        <v>0</v>
      </c>
      <c r="CA1183">
        <v>1</v>
      </c>
      <c r="CB1183">
        <v>0.6</v>
      </c>
      <c r="CC1183" s="3">
        <v>7.1269159999999998E-2</v>
      </c>
      <c r="CD1183">
        <v>2.875</v>
      </c>
      <c r="CE1183">
        <v>2.5</v>
      </c>
      <c r="CF1183">
        <v>18</v>
      </c>
      <c r="CG1183">
        <v>6</v>
      </c>
      <c r="CH1183">
        <v>0</v>
      </c>
      <c r="CI1183">
        <v>61.73</v>
      </c>
      <c r="CJ1183">
        <v>450.94310000000002</v>
      </c>
    </row>
    <row r="1184" spans="1:88">
      <c r="A1184">
        <v>1183</v>
      </c>
      <c r="B1184" t="s">
        <v>0</v>
      </c>
      <c r="C1184" t="s">
        <v>1</v>
      </c>
      <c r="D1184" t="s">
        <v>150</v>
      </c>
      <c r="E1184" t="s">
        <v>268</v>
      </c>
      <c r="F1184" t="s">
        <v>152</v>
      </c>
      <c r="G1184" t="s">
        <v>106</v>
      </c>
      <c r="H1184" t="s">
        <v>5</v>
      </c>
      <c r="J1184">
        <v>2</v>
      </c>
      <c r="K1184" t="s">
        <v>146</v>
      </c>
      <c r="L1184" t="s">
        <v>133</v>
      </c>
      <c r="M1184" t="s">
        <v>270</v>
      </c>
      <c r="N1184" t="s">
        <v>153</v>
      </c>
      <c r="O1184">
        <v>123</v>
      </c>
      <c r="Q1184">
        <v>354</v>
      </c>
      <c r="R1184">
        <v>69</v>
      </c>
      <c r="S1184">
        <v>4.25</v>
      </c>
      <c r="T1184">
        <v>3.3849999999999998</v>
      </c>
      <c r="U1184">
        <v>6.22</v>
      </c>
      <c r="V1184">
        <v>1503.73</v>
      </c>
      <c r="W1184">
        <v>431</v>
      </c>
      <c r="X1184">
        <v>1.3332999999999999</v>
      </c>
      <c r="Y1184">
        <v>319</v>
      </c>
      <c r="Z1184">
        <v>4.71</v>
      </c>
      <c r="AJ1184">
        <v>2</v>
      </c>
      <c r="AK1184">
        <v>18</v>
      </c>
      <c r="AM1184">
        <v>0</v>
      </c>
      <c r="AO1184" t="s">
        <v>155</v>
      </c>
      <c r="AT1184">
        <v>48</v>
      </c>
      <c r="AV1184">
        <v>37.5</v>
      </c>
      <c r="AW1184">
        <v>0</v>
      </c>
      <c r="AX1184">
        <v>0</v>
      </c>
      <c r="AY1184">
        <v>44.625</v>
      </c>
      <c r="AZ1184">
        <v>4.125</v>
      </c>
      <c r="BA1184">
        <v>0</v>
      </c>
      <c r="BB1184">
        <v>0</v>
      </c>
      <c r="BC1184">
        <v>45</v>
      </c>
      <c r="BN1184">
        <v>178.33340000000001</v>
      </c>
      <c r="BO1184">
        <v>3263</v>
      </c>
      <c r="BP1184">
        <v>0</v>
      </c>
      <c r="BQ1184">
        <v>42</v>
      </c>
      <c r="BR1184">
        <v>42</v>
      </c>
      <c r="BS1184">
        <v>41.91</v>
      </c>
      <c r="BT1184">
        <v>0</v>
      </c>
      <c r="BV1184">
        <v>0</v>
      </c>
      <c r="BW1184" t="s">
        <v>655</v>
      </c>
      <c r="BX1184">
        <v>0.17</v>
      </c>
      <c r="BY1184">
        <v>7.1246999999999998</v>
      </c>
      <c r="BZ1184">
        <v>0</v>
      </c>
      <c r="CA1184">
        <v>1</v>
      </c>
      <c r="CB1184">
        <v>0.6</v>
      </c>
      <c r="CC1184" s="3">
        <v>7.1269159999999998E-2</v>
      </c>
      <c r="CD1184">
        <v>2.875</v>
      </c>
      <c r="CE1184">
        <v>2.5</v>
      </c>
      <c r="CF1184">
        <v>18</v>
      </c>
      <c r="CG1184">
        <v>6</v>
      </c>
      <c r="CH1184">
        <v>0</v>
      </c>
      <c r="CI1184">
        <v>41.91</v>
      </c>
      <c r="CJ1184">
        <v>309.14319999999998</v>
      </c>
    </row>
    <row r="1185" spans="1:88">
      <c r="A1185">
        <v>1184</v>
      </c>
      <c r="B1185" t="s">
        <v>13</v>
      </c>
      <c r="C1185" t="s">
        <v>1</v>
      </c>
      <c r="D1185" t="s">
        <v>346</v>
      </c>
      <c r="E1185" t="s">
        <v>136</v>
      </c>
      <c r="F1185" t="s">
        <v>354</v>
      </c>
      <c r="G1185" t="s">
        <v>106</v>
      </c>
      <c r="H1185" t="s">
        <v>136</v>
      </c>
      <c r="J1185">
        <v>2</v>
      </c>
      <c r="K1185" t="s">
        <v>146</v>
      </c>
      <c r="L1185" t="s">
        <v>150</v>
      </c>
      <c r="M1185" t="s">
        <v>140</v>
      </c>
      <c r="N1185" t="s">
        <v>141</v>
      </c>
      <c r="O1185">
        <v>91</v>
      </c>
      <c r="Q1185">
        <v>221</v>
      </c>
      <c r="R1185">
        <v>53</v>
      </c>
      <c r="S1185">
        <v>4.25</v>
      </c>
      <c r="T1185">
        <v>2.54</v>
      </c>
      <c r="U1185">
        <v>5.73</v>
      </c>
      <c r="V1185">
        <v>940.35</v>
      </c>
      <c r="W1185">
        <v>306</v>
      </c>
      <c r="X1185">
        <v>1.1666000000000001</v>
      </c>
      <c r="Y1185">
        <v>254</v>
      </c>
      <c r="Z1185">
        <v>3.7</v>
      </c>
      <c r="AJ1185">
        <v>2</v>
      </c>
      <c r="AK1185">
        <v>18</v>
      </c>
      <c r="AM1185">
        <v>0</v>
      </c>
      <c r="AO1185" t="s">
        <v>140</v>
      </c>
      <c r="AT1185">
        <v>37</v>
      </c>
      <c r="AV1185">
        <v>30.6</v>
      </c>
      <c r="AW1185">
        <v>0</v>
      </c>
      <c r="AX1185">
        <v>0</v>
      </c>
      <c r="AY1185">
        <v>25.375</v>
      </c>
      <c r="AZ1185">
        <v>2.75</v>
      </c>
      <c r="BA1185">
        <v>0</v>
      </c>
      <c r="BB1185">
        <v>0</v>
      </c>
      <c r="BC1185">
        <v>22</v>
      </c>
      <c r="BN1185">
        <v>144.44999999999999</v>
      </c>
      <c r="BO1185">
        <v>4973</v>
      </c>
      <c r="BP1185">
        <v>0</v>
      </c>
      <c r="BQ1185">
        <v>31</v>
      </c>
      <c r="BR1185">
        <v>31</v>
      </c>
      <c r="BS1185">
        <v>30.78</v>
      </c>
      <c r="BT1185">
        <v>0</v>
      </c>
      <c r="BV1185">
        <v>0</v>
      </c>
      <c r="BW1185" t="s">
        <v>655</v>
      </c>
      <c r="BX1185">
        <v>0.17</v>
      </c>
      <c r="BY1185">
        <v>5.2325999999999997</v>
      </c>
      <c r="BZ1185">
        <v>0</v>
      </c>
      <c r="CA1185">
        <v>1</v>
      </c>
      <c r="CB1185">
        <v>0.6</v>
      </c>
      <c r="CC1185" s="3">
        <v>7.1269159999999998E-2</v>
      </c>
      <c r="CD1185">
        <v>2.875</v>
      </c>
      <c r="CE1185">
        <v>2.5</v>
      </c>
      <c r="CF1185">
        <v>18</v>
      </c>
      <c r="CG1185">
        <v>6</v>
      </c>
      <c r="CH1185">
        <v>0</v>
      </c>
      <c r="CI1185">
        <v>30.78</v>
      </c>
      <c r="CJ1185">
        <v>185.3647</v>
      </c>
    </row>
    <row r="1186" spans="1:88">
      <c r="A1186">
        <v>1185</v>
      </c>
      <c r="B1186" t="s">
        <v>0</v>
      </c>
      <c r="C1186" t="s">
        <v>1</v>
      </c>
      <c r="D1186" t="s">
        <v>130</v>
      </c>
      <c r="E1186" t="s">
        <v>96</v>
      </c>
      <c r="F1186" t="s">
        <v>189</v>
      </c>
      <c r="G1186" t="s">
        <v>106</v>
      </c>
      <c r="H1186" t="s">
        <v>176</v>
      </c>
      <c r="J1186">
        <v>2</v>
      </c>
      <c r="K1186" t="s">
        <v>146</v>
      </c>
      <c r="L1186" t="s">
        <v>293</v>
      </c>
      <c r="M1186" t="s">
        <v>100</v>
      </c>
      <c r="N1186" t="s">
        <v>101</v>
      </c>
      <c r="O1186">
        <v>131</v>
      </c>
      <c r="Q1186">
        <v>385</v>
      </c>
      <c r="R1186">
        <v>71</v>
      </c>
      <c r="S1186">
        <v>4.25</v>
      </c>
      <c r="T1186">
        <v>3.5859999999999999</v>
      </c>
      <c r="U1186">
        <v>6.37</v>
      </c>
      <c r="V1186">
        <v>1638.16</v>
      </c>
      <c r="W1186">
        <v>453</v>
      </c>
      <c r="X1186">
        <v>1.3332999999999999</v>
      </c>
      <c r="Y1186">
        <v>334</v>
      </c>
      <c r="Z1186">
        <v>4.91</v>
      </c>
      <c r="AJ1186">
        <v>2</v>
      </c>
      <c r="AK1186">
        <v>18</v>
      </c>
      <c r="AM1186">
        <v>0</v>
      </c>
      <c r="AO1186" t="s">
        <v>226</v>
      </c>
      <c r="AT1186">
        <v>51</v>
      </c>
      <c r="AV1186">
        <v>38.6</v>
      </c>
      <c r="AW1186">
        <v>0</v>
      </c>
      <c r="AX1186">
        <v>0</v>
      </c>
      <c r="AY1186">
        <v>42.625</v>
      </c>
      <c r="AZ1186">
        <v>4.25</v>
      </c>
      <c r="BA1186">
        <v>0</v>
      </c>
      <c r="BB1186">
        <v>0</v>
      </c>
      <c r="BC1186">
        <v>43</v>
      </c>
      <c r="BN1186">
        <v>183.68340000000001</v>
      </c>
      <c r="BO1186">
        <v>3076</v>
      </c>
      <c r="BP1186">
        <v>0</v>
      </c>
      <c r="BQ1186">
        <v>45</v>
      </c>
      <c r="BR1186">
        <v>45</v>
      </c>
      <c r="BS1186">
        <v>44.69</v>
      </c>
      <c r="BT1186">
        <v>0</v>
      </c>
      <c r="BV1186">
        <v>0</v>
      </c>
      <c r="BW1186" t="s">
        <v>655</v>
      </c>
      <c r="BX1186">
        <v>0.17</v>
      </c>
      <c r="BY1186">
        <v>7.5972999999999997</v>
      </c>
      <c r="BZ1186">
        <v>0</v>
      </c>
      <c r="CA1186">
        <v>1</v>
      </c>
      <c r="CB1186">
        <v>0.6</v>
      </c>
      <c r="CC1186" s="3">
        <v>7.1269159999999998E-2</v>
      </c>
      <c r="CD1186">
        <v>2.875</v>
      </c>
      <c r="CE1186">
        <v>2.5</v>
      </c>
      <c r="CF1186">
        <v>18</v>
      </c>
      <c r="CG1186">
        <v>6</v>
      </c>
      <c r="CH1186">
        <v>0</v>
      </c>
      <c r="CI1186">
        <v>44.69</v>
      </c>
      <c r="CJ1186">
        <v>339.2045</v>
      </c>
    </row>
    <row r="1187" spans="1:88">
      <c r="A1187">
        <v>1186</v>
      </c>
      <c r="B1187" t="s">
        <v>0</v>
      </c>
      <c r="C1187" t="s">
        <v>1</v>
      </c>
      <c r="D1187" t="s">
        <v>512</v>
      </c>
      <c r="E1187" t="s">
        <v>176</v>
      </c>
      <c r="F1187" t="s">
        <v>513</v>
      </c>
      <c r="G1187" t="s">
        <v>106</v>
      </c>
      <c r="H1187" t="s">
        <v>135</v>
      </c>
      <c r="J1187">
        <v>2</v>
      </c>
      <c r="K1187" t="s">
        <v>146</v>
      </c>
      <c r="L1187" t="s">
        <v>167</v>
      </c>
      <c r="M1187" t="s">
        <v>226</v>
      </c>
      <c r="N1187" t="s">
        <v>227</v>
      </c>
      <c r="O1187">
        <v>113</v>
      </c>
      <c r="Q1187">
        <v>207</v>
      </c>
      <c r="R1187">
        <v>42</v>
      </c>
      <c r="S1187">
        <v>4.25</v>
      </c>
      <c r="T1187">
        <v>3.1280000000000001</v>
      </c>
      <c r="U1187">
        <v>6.18</v>
      </c>
      <c r="V1187">
        <v>878.05</v>
      </c>
      <c r="W1187">
        <v>260</v>
      </c>
      <c r="X1187">
        <v>1.3332999999999999</v>
      </c>
      <c r="Y1187">
        <v>197</v>
      </c>
      <c r="Z1187">
        <v>4.46</v>
      </c>
      <c r="AJ1187">
        <v>2</v>
      </c>
      <c r="AK1187">
        <v>18</v>
      </c>
      <c r="AM1187">
        <v>0</v>
      </c>
      <c r="AO1187" t="s">
        <v>361</v>
      </c>
      <c r="AT1187">
        <v>45</v>
      </c>
      <c r="AV1187">
        <v>23.4</v>
      </c>
      <c r="AW1187">
        <v>0</v>
      </c>
      <c r="AX1187">
        <v>0</v>
      </c>
      <c r="AY1187">
        <v>32.875</v>
      </c>
      <c r="AZ1187">
        <v>3.375</v>
      </c>
      <c r="BA1187">
        <v>0</v>
      </c>
      <c r="BB1187">
        <v>0</v>
      </c>
      <c r="BC1187">
        <v>29</v>
      </c>
      <c r="BN1187">
        <v>108.7834</v>
      </c>
      <c r="BO1187">
        <v>8769</v>
      </c>
      <c r="BP1187">
        <v>0</v>
      </c>
      <c r="BQ1187">
        <v>38</v>
      </c>
      <c r="BR1187">
        <v>38</v>
      </c>
      <c r="BS1187">
        <v>38.43</v>
      </c>
      <c r="BT1187">
        <v>0</v>
      </c>
      <c r="BV1187">
        <v>0</v>
      </c>
      <c r="BW1187" t="s">
        <v>655</v>
      </c>
      <c r="BX1187">
        <v>0.17</v>
      </c>
      <c r="BY1187">
        <v>6.5331000000000001</v>
      </c>
      <c r="BZ1187">
        <v>0</v>
      </c>
      <c r="CA1187">
        <v>1</v>
      </c>
      <c r="CB1187">
        <v>0.6</v>
      </c>
      <c r="CC1187" s="3">
        <v>7.1269159999999998E-2</v>
      </c>
      <c r="CD1187">
        <v>2.875</v>
      </c>
      <c r="CE1187">
        <v>2.5</v>
      </c>
      <c r="CF1187">
        <v>18</v>
      </c>
      <c r="CG1187">
        <v>6</v>
      </c>
      <c r="CH1187">
        <v>0</v>
      </c>
      <c r="CI1187">
        <v>38.43</v>
      </c>
      <c r="CJ1187">
        <v>176.6574</v>
      </c>
    </row>
    <row r="1188" spans="1:88">
      <c r="A1188">
        <v>1187</v>
      </c>
      <c r="B1188" t="s">
        <v>13</v>
      </c>
      <c r="C1188" t="s">
        <v>1</v>
      </c>
      <c r="D1188" t="s">
        <v>459</v>
      </c>
      <c r="E1188" t="s">
        <v>165</v>
      </c>
      <c r="F1188" t="s">
        <v>389</v>
      </c>
      <c r="G1188" t="s">
        <v>15</v>
      </c>
      <c r="H1188" t="s">
        <v>460</v>
      </c>
      <c r="J1188">
        <v>2</v>
      </c>
      <c r="K1188" t="s">
        <v>108</v>
      </c>
      <c r="L1188" t="s">
        <v>125</v>
      </c>
      <c r="M1188" t="s">
        <v>252</v>
      </c>
      <c r="N1188" t="s">
        <v>293</v>
      </c>
      <c r="O1188">
        <v>148</v>
      </c>
      <c r="Q1188">
        <v>790</v>
      </c>
      <c r="R1188">
        <v>124</v>
      </c>
      <c r="S1188">
        <v>4.25</v>
      </c>
      <c r="T1188">
        <v>4</v>
      </c>
      <c r="U1188">
        <v>6.67</v>
      </c>
      <c r="V1188">
        <v>3357.62</v>
      </c>
      <c r="W1188">
        <v>829</v>
      </c>
      <c r="X1188">
        <v>1.3332999999999999</v>
      </c>
      <c r="Y1188">
        <v>630</v>
      </c>
      <c r="Z1188">
        <v>5.33</v>
      </c>
      <c r="AJ1188">
        <v>2</v>
      </c>
      <c r="AK1188">
        <v>18</v>
      </c>
      <c r="AM1188">
        <v>0</v>
      </c>
      <c r="AO1188" t="s">
        <v>418</v>
      </c>
      <c r="AT1188">
        <v>57</v>
      </c>
      <c r="AV1188">
        <v>71.400000000000006</v>
      </c>
      <c r="AW1188" t="s">
        <v>6</v>
      </c>
      <c r="AX1188" t="s">
        <v>6</v>
      </c>
      <c r="AY1188" t="s">
        <v>6</v>
      </c>
      <c r="AZ1188" t="s">
        <v>6</v>
      </c>
      <c r="BA1188" t="s">
        <v>6</v>
      </c>
      <c r="BB1188" t="s">
        <v>6</v>
      </c>
      <c r="BC1188" t="s">
        <v>6</v>
      </c>
      <c r="BD1188" t="s">
        <v>6</v>
      </c>
      <c r="BE1188" t="s">
        <v>6</v>
      </c>
      <c r="BF1188" t="s">
        <v>6</v>
      </c>
      <c r="BG1188" t="s">
        <v>6</v>
      </c>
      <c r="BH1188" t="s">
        <v>6</v>
      </c>
      <c r="BI1188" t="s">
        <v>6</v>
      </c>
      <c r="BJ1188" t="s">
        <v>6</v>
      </c>
      <c r="BN1188">
        <v>609.31560000000002</v>
      </c>
      <c r="BO1188">
        <v>2946</v>
      </c>
      <c r="BP1188">
        <v>0</v>
      </c>
      <c r="BQ1188">
        <v>51</v>
      </c>
      <c r="BR1188">
        <v>51</v>
      </c>
      <c r="BS1188">
        <v>50.6</v>
      </c>
      <c r="BT1188">
        <v>0</v>
      </c>
      <c r="BV1188">
        <v>0</v>
      </c>
      <c r="BW1188" t="s">
        <v>655</v>
      </c>
      <c r="BX1188">
        <v>0.17</v>
      </c>
      <c r="BY1188">
        <v>8.6019989999999993</v>
      </c>
      <c r="BZ1188">
        <v>0</v>
      </c>
      <c r="CA1188">
        <v>1</v>
      </c>
      <c r="CB1188">
        <v>0.6</v>
      </c>
      <c r="CC1188" s="3">
        <v>7.1269159999999998E-2</v>
      </c>
      <c r="CD1188">
        <v>2.875</v>
      </c>
      <c r="CE1188">
        <v>2.5</v>
      </c>
      <c r="CF1188">
        <v>18</v>
      </c>
      <c r="CG1188">
        <v>6</v>
      </c>
      <c r="CH1188">
        <v>0</v>
      </c>
      <c r="CI1188">
        <v>50.6</v>
      </c>
      <c r="CJ1188">
        <v>709.97450000000003</v>
      </c>
    </row>
    <row r="1189" spans="1:88">
      <c r="A1189">
        <v>1188</v>
      </c>
      <c r="B1189" t="s">
        <v>13</v>
      </c>
      <c r="C1189" t="s">
        <v>1</v>
      </c>
      <c r="D1189" t="s">
        <v>284</v>
      </c>
      <c r="E1189" t="s">
        <v>373</v>
      </c>
      <c r="F1189" t="s">
        <v>374</v>
      </c>
      <c r="G1189" t="s">
        <v>106</v>
      </c>
      <c r="H1189" t="s">
        <v>448</v>
      </c>
      <c r="J1189">
        <v>2</v>
      </c>
      <c r="K1189" t="s">
        <v>146</v>
      </c>
      <c r="L1189" t="s">
        <v>178</v>
      </c>
      <c r="M1189" t="s">
        <v>376</v>
      </c>
      <c r="N1189" t="s">
        <v>356</v>
      </c>
      <c r="O1189">
        <v>75</v>
      </c>
      <c r="Q1189">
        <v>174</v>
      </c>
      <c r="R1189">
        <v>50</v>
      </c>
      <c r="S1189">
        <v>4.25</v>
      </c>
      <c r="T1189">
        <v>2.0880000000000001</v>
      </c>
      <c r="U1189">
        <v>5.55</v>
      </c>
      <c r="V1189">
        <v>738.69</v>
      </c>
      <c r="W1189">
        <v>278</v>
      </c>
      <c r="X1189">
        <v>1.3332999999999999</v>
      </c>
      <c r="Y1189">
        <v>216</v>
      </c>
      <c r="Z1189">
        <v>3.42</v>
      </c>
      <c r="AJ1189">
        <v>2</v>
      </c>
      <c r="AK1189">
        <v>18</v>
      </c>
      <c r="AM1189">
        <v>0</v>
      </c>
      <c r="AO1189" t="s">
        <v>481</v>
      </c>
      <c r="AT1189">
        <v>31</v>
      </c>
      <c r="AV1189">
        <v>28.4</v>
      </c>
      <c r="AW1189">
        <v>0</v>
      </c>
      <c r="AX1189">
        <v>0</v>
      </c>
      <c r="AY1189">
        <v>29.875</v>
      </c>
      <c r="AZ1189">
        <v>2.625</v>
      </c>
      <c r="BA1189">
        <v>0</v>
      </c>
      <c r="BB1189">
        <v>0</v>
      </c>
      <c r="BC1189">
        <v>26</v>
      </c>
      <c r="BN1189">
        <v>133.75</v>
      </c>
      <c r="BO1189">
        <v>5801</v>
      </c>
      <c r="BP1189">
        <v>0</v>
      </c>
      <c r="BQ1189">
        <v>25</v>
      </c>
      <c r="BR1189">
        <v>25</v>
      </c>
      <c r="BS1189">
        <v>25.21</v>
      </c>
      <c r="BT1189">
        <v>0</v>
      </c>
      <c r="BV1189">
        <v>0</v>
      </c>
      <c r="BW1189" t="s">
        <v>655</v>
      </c>
      <c r="BX1189">
        <v>0.17</v>
      </c>
      <c r="BY1189">
        <v>4.2857000000000003</v>
      </c>
      <c r="BZ1189">
        <v>0</v>
      </c>
      <c r="CA1189">
        <v>1</v>
      </c>
      <c r="CB1189">
        <v>0.6</v>
      </c>
      <c r="CC1189" s="3">
        <v>7.1269159999999998E-2</v>
      </c>
      <c r="CD1189">
        <v>2.875</v>
      </c>
      <c r="CE1189">
        <v>2.5</v>
      </c>
      <c r="CF1189">
        <v>18</v>
      </c>
      <c r="CG1189">
        <v>6</v>
      </c>
      <c r="CH1189">
        <v>0</v>
      </c>
      <c r="CI1189">
        <v>25.21</v>
      </c>
      <c r="CJ1189">
        <v>141.04060000000001</v>
      </c>
    </row>
    <row r="1190" spans="1:88">
      <c r="A1190">
        <v>1189</v>
      </c>
      <c r="B1190" t="s">
        <v>13</v>
      </c>
      <c r="C1190" t="s">
        <v>1</v>
      </c>
      <c r="D1190" t="s">
        <v>116</v>
      </c>
      <c r="E1190" t="s">
        <v>202</v>
      </c>
      <c r="F1190" t="s">
        <v>539</v>
      </c>
      <c r="G1190" t="s">
        <v>15</v>
      </c>
      <c r="H1190" t="s">
        <v>647</v>
      </c>
      <c r="J1190">
        <v>2</v>
      </c>
      <c r="K1190" t="s">
        <v>108</v>
      </c>
      <c r="L1190" t="s">
        <v>203</v>
      </c>
      <c r="M1190" t="s">
        <v>204</v>
      </c>
      <c r="N1190" t="s">
        <v>205</v>
      </c>
      <c r="O1190">
        <v>181</v>
      </c>
      <c r="Q1190">
        <v>929</v>
      </c>
      <c r="R1190">
        <v>121</v>
      </c>
      <c r="S1190">
        <v>4.25</v>
      </c>
      <c r="T1190">
        <v>4.7640000000000002</v>
      </c>
      <c r="U1190">
        <v>7.08</v>
      </c>
      <c r="V1190">
        <v>3948.76</v>
      </c>
      <c r="W1190">
        <v>857</v>
      </c>
      <c r="X1190">
        <v>1.3332999999999999</v>
      </c>
      <c r="Y1190">
        <v>648</v>
      </c>
      <c r="Z1190">
        <v>6.09</v>
      </c>
      <c r="AJ1190">
        <v>2</v>
      </c>
      <c r="AK1190">
        <v>18</v>
      </c>
      <c r="AM1190">
        <v>0</v>
      </c>
      <c r="AO1190" t="s">
        <v>636</v>
      </c>
      <c r="AT1190">
        <v>68</v>
      </c>
      <c r="AV1190">
        <v>69.599999999999994</v>
      </c>
      <c r="AW1190" t="s">
        <v>6</v>
      </c>
      <c r="AX1190" t="s">
        <v>6</v>
      </c>
      <c r="AY1190" t="s">
        <v>6</v>
      </c>
      <c r="AZ1190" t="s">
        <v>6</v>
      </c>
      <c r="BA1190" t="s">
        <v>6</v>
      </c>
      <c r="BB1190" t="s">
        <v>6</v>
      </c>
      <c r="BC1190" t="s">
        <v>6</v>
      </c>
      <c r="BD1190" t="s">
        <v>6</v>
      </c>
      <c r="BE1190" t="s">
        <v>6</v>
      </c>
      <c r="BF1190" t="s">
        <v>6</v>
      </c>
      <c r="BG1190" t="s">
        <v>6</v>
      </c>
      <c r="BH1190" t="s">
        <v>6</v>
      </c>
      <c r="BI1190" t="s">
        <v>6</v>
      </c>
      <c r="BJ1190" t="s">
        <v>6</v>
      </c>
      <c r="BN1190">
        <v>593.53009999999995</v>
      </c>
      <c r="BO1190">
        <v>3105</v>
      </c>
      <c r="BP1190">
        <v>0</v>
      </c>
      <c r="BQ1190">
        <v>62</v>
      </c>
      <c r="BR1190">
        <v>62</v>
      </c>
      <c r="BS1190">
        <v>62.08</v>
      </c>
      <c r="BT1190">
        <v>0</v>
      </c>
      <c r="BV1190">
        <v>0</v>
      </c>
      <c r="BW1190" t="s">
        <v>655</v>
      </c>
      <c r="BX1190">
        <v>0.17</v>
      </c>
      <c r="BY1190">
        <v>10.553599999999999</v>
      </c>
      <c r="BZ1190">
        <v>0</v>
      </c>
      <c r="CA1190">
        <v>1</v>
      </c>
      <c r="CB1190">
        <v>0.6</v>
      </c>
      <c r="CC1190" s="3">
        <v>7.1269159999999998E-2</v>
      </c>
      <c r="CD1190">
        <v>2.875</v>
      </c>
      <c r="CE1190">
        <v>2.5</v>
      </c>
      <c r="CF1190">
        <v>18</v>
      </c>
      <c r="CG1190">
        <v>6</v>
      </c>
      <c r="CH1190">
        <v>0</v>
      </c>
      <c r="CI1190">
        <v>62.08</v>
      </c>
      <c r="CJ1190">
        <v>848.92970000000003</v>
      </c>
    </row>
    <row r="1191" spans="1:88">
      <c r="A1191">
        <v>1190</v>
      </c>
      <c r="B1191" t="s">
        <v>0</v>
      </c>
      <c r="C1191" t="s">
        <v>1</v>
      </c>
      <c r="D1191" t="s">
        <v>104</v>
      </c>
      <c r="E1191" t="s">
        <v>267</v>
      </c>
      <c r="F1191" t="s">
        <v>337</v>
      </c>
      <c r="G1191" t="s">
        <v>214</v>
      </c>
      <c r="H1191" t="s">
        <v>398</v>
      </c>
      <c r="J1191">
        <v>2</v>
      </c>
      <c r="K1191" t="s">
        <v>108</v>
      </c>
      <c r="L1191" t="s">
        <v>113</v>
      </c>
      <c r="M1191" t="s">
        <v>232</v>
      </c>
      <c r="N1191" t="s">
        <v>258</v>
      </c>
      <c r="O1191">
        <v>159</v>
      </c>
      <c r="Q1191">
        <v>789</v>
      </c>
      <c r="R1191">
        <v>116</v>
      </c>
      <c r="S1191">
        <v>4.25</v>
      </c>
      <c r="T1191">
        <v>4.26</v>
      </c>
      <c r="U1191">
        <v>6.75</v>
      </c>
      <c r="V1191">
        <v>3354.39</v>
      </c>
      <c r="W1191">
        <v>783</v>
      </c>
      <c r="X1191">
        <v>1.3332999999999999</v>
      </c>
      <c r="Y1191">
        <v>600</v>
      </c>
      <c r="Z1191">
        <v>5.59</v>
      </c>
      <c r="AJ1191">
        <v>2</v>
      </c>
      <c r="AK1191">
        <v>18</v>
      </c>
      <c r="AM1191">
        <v>0</v>
      </c>
      <c r="AO1191" t="s">
        <v>170</v>
      </c>
      <c r="AT1191">
        <v>61</v>
      </c>
      <c r="AV1191">
        <v>66.7</v>
      </c>
      <c r="AW1191" t="s">
        <v>6</v>
      </c>
      <c r="AX1191" t="s">
        <v>6</v>
      </c>
      <c r="AY1191" t="s">
        <v>6</v>
      </c>
      <c r="AZ1191" t="s">
        <v>6</v>
      </c>
      <c r="BA1191" t="s">
        <v>6</v>
      </c>
      <c r="BB1191" t="s">
        <v>6</v>
      </c>
      <c r="BC1191" t="s">
        <v>6</v>
      </c>
      <c r="BD1191" t="s">
        <v>6</v>
      </c>
      <c r="BE1191" t="s">
        <v>6</v>
      </c>
      <c r="BF1191" t="s">
        <v>6</v>
      </c>
      <c r="BG1191" t="s">
        <v>6</v>
      </c>
      <c r="BH1191" t="s">
        <v>6</v>
      </c>
      <c r="BI1191" t="s">
        <v>6</v>
      </c>
      <c r="BJ1191" t="s">
        <v>6</v>
      </c>
      <c r="BN1191">
        <v>323.7</v>
      </c>
      <c r="BO1191">
        <v>1242</v>
      </c>
      <c r="BP1191">
        <v>0</v>
      </c>
      <c r="BQ1191">
        <v>54</v>
      </c>
      <c r="BR1191">
        <v>54</v>
      </c>
      <c r="BS1191">
        <v>54.43</v>
      </c>
      <c r="BT1191">
        <v>0</v>
      </c>
      <c r="BV1191">
        <v>0</v>
      </c>
      <c r="BW1191" t="s">
        <v>655</v>
      </c>
      <c r="BX1191">
        <v>0.17</v>
      </c>
      <c r="BY1191">
        <v>9.2531009999999991</v>
      </c>
      <c r="BZ1191">
        <v>0</v>
      </c>
      <c r="CA1191">
        <v>1</v>
      </c>
      <c r="CB1191">
        <v>0.6</v>
      </c>
      <c r="CC1191" s="3">
        <v>7.1269159999999998E-2</v>
      </c>
      <c r="CD1191">
        <v>2.875</v>
      </c>
      <c r="CE1191">
        <v>2.5</v>
      </c>
      <c r="CF1191">
        <v>18</v>
      </c>
      <c r="CG1191">
        <v>6</v>
      </c>
      <c r="CH1191">
        <v>0</v>
      </c>
      <c r="CI1191">
        <v>54.43</v>
      </c>
      <c r="CJ1191">
        <v>713.28430000000003</v>
      </c>
    </row>
    <row r="1192" spans="1:88">
      <c r="A1192">
        <v>1191</v>
      </c>
      <c r="B1192" t="s">
        <v>0</v>
      </c>
      <c r="C1192" t="s">
        <v>1</v>
      </c>
      <c r="D1192" t="s">
        <v>14</v>
      </c>
      <c r="E1192" t="s">
        <v>231</v>
      </c>
      <c r="F1192" t="s">
        <v>192</v>
      </c>
      <c r="G1192" t="s">
        <v>106</v>
      </c>
      <c r="H1192" t="s">
        <v>193</v>
      </c>
      <c r="J1192">
        <v>2</v>
      </c>
      <c r="K1192" t="s">
        <v>108</v>
      </c>
      <c r="L1192" t="s">
        <v>3</v>
      </c>
      <c r="M1192" t="s">
        <v>405</v>
      </c>
      <c r="N1192" t="s">
        <v>151</v>
      </c>
      <c r="O1192">
        <v>105</v>
      </c>
      <c r="Q1192">
        <v>514</v>
      </c>
      <c r="R1192">
        <v>110</v>
      </c>
      <c r="S1192">
        <v>4.25</v>
      </c>
      <c r="T1192">
        <v>2.9180000000000001</v>
      </c>
      <c r="U1192">
        <v>6</v>
      </c>
      <c r="V1192">
        <v>2183.8200000000002</v>
      </c>
      <c r="W1192">
        <v>662</v>
      </c>
      <c r="X1192">
        <v>1.3332999999999999</v>
      </c>
      <c r="Y1192">
        <v>514</v>
      </c>
      <c r="Z1192">
        <v>4.25</v>
      </c>
      <c r="AJ1192">
        <v>2</v>
      </c>
      <c r="AK1192">
        <v>18</v>
      </c>
      <c r="AM1192">
        <v>0</v>
      </c>
      <c r="AO1192" t="s">
        <v>196</v>
      </c>
      <c r="AT1192">
        <v>42</v>
      </c>
      <c r="AV1192">
        <v>63.4</v>
      </c>
      <c r="AW1192">
        <v>0.46875</v>
      </c>
      <c r="AX1192">
        <v>3.75</v>
      </c>
      <c r="AY1192">
        <v>43.75</v>
      </c>
      <c r="AZ1192">
        <v>4</v>
      </c>
      <c r="BA1192">
        <v>463.72</v>
      </c>
      <c r="BB1192">
        <v>4.25</v>
      </c>
      <c r="BC1192">
        <v>47</v>
      </c>
      <c r="BD1192">
        <v>0.25</v>
      </c>
      <c r="BE1192">
        <v>2.75</v>
      </c>
      <c r="BF1192">
        <v>22.875</v>
      </c>
      <c r="BG1192">
        <v>2.125</v>
      </c>
      <c r="BH1192">
        <v>50.12</v>
      </c>
      <c r="BI1192">
        <v>6.85</v>
      </c>
      <c r="BJ1192">
        <v>10</v>
      </c>
      <c r="BL1192">
        <v>513.84</v>
      </c>
      <c r="BM1192">
        <v>56</v>
      </c>
      <c r="BN1192">
        <v>304.95010000000002</v>
      </c>
      <c r="BO1192">
        <v>1116</v>
      </c>
      <c r="BP1192">
        <v>0</v>
      </c>
      <c r="BQ1192">
        <v>36</v>
      </c>
      <c r="BR1192">
        <v>36</v>
      </c>
      <c r="BS1192">
        <v>35.65</v>
      </c>
      <c r="BT1192">
        <v>0</v>
      </c>
      <c r="BV1192">
        <v>0</v>
      </c>
      <c r="BW1192" t="s">
        <v>655</v>
      </c>
      <c r="BX1192">
        <v>0.17</v>
      </c>
      <c r="BY1192">
        <v>6.0605000000000002</v>
      </c>
      <c r="BZ1192">
        <v>0</v>
      </c>
      <c r="CA1192">
        <v>1</v>
      </c>
      <c r="CB1192">
        <v>0.6</v>
      </c>
      <c r="CC1192" s="3">
        <v>7.1269159999999998E-2</v>
      </c>
      <c r="CD1192">
        <v>2.875</v>
      </c>
      <c r="CE1192">
        <v>2.5</v>
      </c>
      <c r="CF1192">
        <v>18</v>
      </c>
      <c r="CG1192">
        <v>6</v>
      </c>
      <c r="CH1192">
        <v>0</v>
      </c>
      <c r="CI1192">
        <v>35.65</v>
      </c>
      <c r="CJ1192">
        <v>444.31290000000001</v>
      </c>
    </row>
    <row r="1193" spans="1:88">
      <c r="A1193">
        <v>1192</v>
      </c>
      <c r="B1193" t="s">
        <v>0</v>
      </c>
      <c r="C1193" t="s">
        <v>1</v>
      </c>
      <c r="D1193" t="s">
        <v>267</v>
      </c>
      <c r="E1193" t="s">
        <v>113</v>
      </c>
      <c r="F1193" t="s">
        <v>269</v>
      </c>
      <c r="G1193" t="s">
        <v>106</v>
      </c>
      <c r="H1193" t="s">
        <v>131</v>
      </c>
      <c r="J1193">
        <v>2</v>
      </c>
      <c r="K1193" t="s">
        <v>146</v>
      </c>
      <c r="L1193" t="s">
        <v>116</v>
      </c>
      <c r="M1193" t="s">
        <v>117</v>
      </c>
      <c r="N1193" t="s">
        <v>14</v>
      </c>
      <c r="O1193">
        <v>179</v>
      </c>
      <c r="Q1193">
        <v>728</v>
      </c>
      <c r="R1193">
        <v>97</v>
      </c>
      <c r="S1193">
        <v>4.25</v>
      </c>
      <c r="T1193">
        <v>4.7190000000000003</v>
      </c>
      <c r="U1193">
        <v>7.05</v>
      </c>
      <c r="V1193">
        <v>3095.14</v>
      </c>
      <c r="W1193">
        <v>683</v>
      </c>
      <c r="X1193">
        <v>1.3332999999999999</v>
      </c>
      <c r="Y1193">
        <v>512</v>
      </c>
      <c r="Z1193">
        <v>6.05</v>
      </c>
      <c r="AJ1193">
        <v>2</v>
      </c>
      <c r="AK1193">
        <v>18</v>
      </c>
      <c r="AM1193">
        <v>0</v>
      </c>
      <c r="AO1193" t="s">
        <v>271</v>
      </c>
      <c r="AT1193">
        <v>68</v>
      </c>
      <c r="AV1193">
        <v>54.9</v>
      </c>
      <c r="AW1193" t="s">
        <v>6</v>
      </c>
      <c r="AX1193" t="s">
        <v>6</v>
      </c>
      <c r="AY1193" t="s">
        <v>6</v>
      </c>
      <c r="AZ1193" t="s">
        <v>6</v>
      </c>
      <c r="BA1193" t="s">
        <v>6</v>
      </c>
      <c r="BB1193" t="s">
        <v>6</v>
      </c>
      <c r="BC1193" t="s">
        <v>6</v>
      </c>
      <c r="BD1193" t="s">
        <v>6</v>
      </c>
      <c r="BE1193" t="s">
        <v>6</v>
      </c>
      <c r="BF1193" t="s">
        <v>6</v>
      </c>
      <c r="BG1193" t="s">
        <v>6</v>
      </c>
      <c r="BH1193" t="s">
        <v>6</v>
      </c>
      <c r="BI1193" t="s">
        <v>6</v>
      </c>
      <c r="BJ1193" t="s">
        <v>6</v>
      </c>
      <c r="BN1193">
        <v>263.93340000000001</v>
      </c>
      <c r="BO1193">
        <v>1490</v>
      </c>
      <c r="BP1193">
        <v>0</v>
      </c>
      <c r="BQ1193">
        <v>61</v>
      </c>
      <c r="BR1193">
        <v>61</v>
      </c>
      <c r="BS1193">
        <v>61.39</v>
      </c>
      <c r="BT1193">
        <v>0</v>
      </c>
      <c r="BV1193">
        <v>0</v>
      </c>
      <c r="BW1193" t="s">
        <v>655</v>
      </c>
      <c r="BX1193">
        <v>0.17</v>
      </c>
      <c r="BY1193">
        <v>10.436299999999999</v>
      </c>
      <c r="BZ1193">
        <v>0</v>
      </c>
      <c r="CA1193">
        <v>1</v>
      </c>
      <c r="CB1193">
        <v>0.6</v>
      </c>
      <c r="CC1193" s="3">
        <v>7.1269159999999998E-2</v>
      </c>
      <c r="CD1193">
        <v>2.875</v>
      </c>
      <c r="CE1193">
        <v>2.5</v>
      </c>
      <c r="CF1193">
        <v>18</v>
      </c>
      <c r="CG1193">
        <v>6</v>
      </c>
      <c r="CH1193">
        <v>0</v>
      </c>
      <c r="CI1193">
        <v>61.39</v>
      </c>
      <c r="CJ1193">
        <v>662.84490000000005</v>
      </c>
    </row>
    <row r="1194" spans="1:88">
      <c r="A1194">
        <v>1193</v>
      </c>
      <c r="B1194" t="s">
        <v>13</v>
      </c>
      <c r="C1194" t="s">
        <v>1</v>
      </c>
      <c r="D1194" t="s">
        <v>399</v>
      </c>
      <c r="E1194" t="s">
        <v>96</v>
      </c>
      <c r="F1194" t="s">
        <v>406</v>
      </c>
      <c r="G1194" t="s">
        <v>106</v>
      </c>
      <c r="H1194" t="s">
        <v>227</v>
      </c>
      <c r="J1194">
        <v>2</v>
      </c>
      <c r="K1194" t="s">
        <v>146</v>
      </c>
      <c r="L1194" t="s">
        <v>293</v>
      </c>
      <c r="M1194" t="s">
        <v>100</v>
      </c>
      <c r="N1194" t="s">
        <v>101</v>
      </c>
      <c r="O1194">
        <v>131</v>
      </c>
      <c r="Q1194">
        <v>396</v>
      </c>
      <c r="R1194">
        <v>73</v>
      </c>
      <c r="S1194">
        <v>4.25</v>
      </c>
      <c r="T1194">
        <v>3.5859999999999999</v>
      </c>
      <c r="U1194">
        <v>6.37</v>
      </c>
      <c r="V1194">
        <v>1683.38</v>
      </c>
      <c r="W1194">
        <v>464</v>
      </c>
      <c r="X1194">
        <v>1.3332999999999999</v>
      </c>
      <c r="Y1194">
        <v>343</v>
      </c>
      <c r="Z1194">
        <v>4.91</v>
      </c>
      <c r="AJ1194">
        <v>2</v>
      </c>
      <c r="AK1194">
        <v>18</v>
      </c>
      <c r="AM1194">
        <v>0</v>
      </c>
      <c r="AO1194" t="s">
        <v>129</v>
      </c>
      <c r="AT1194">
        <v>51</v>
      </c>
      <c r="AV1194">
        <v>39.700000000000003</v>
      </c>
      <c r="AW1194">
        <v>0</v>
      </c>
      <c r="AX1194">
        <v>0</v>
      </c>
      <c r="AY1194">
        <v>59.125</v>
      </c>
      <c r="AZ1194">
        <v>4.625</v>
      </c>
      <c r="BA1194">
        <v>0</v>
      </c>
      <c r="BB1194">
        <v>0</v>
      </c>
      <c r="BC1194">
        <v>64</v>
      </c>
      <c r="BN1194">
        <v>189.0334</v>
      </c>
      <c r="BO1194">
        <v>2904</v>
      </c>
      <c r="BP1194">
        <v>0</v>
      </c>
      <c r="BQ1194">
        <v>45</v>
      </c>
      <c r="BR1194">
        <v>45</v>
      </c>
      <c r="BS1194">
        <v>44.69</v>
      </c>
      <c r="BT1194">
        <v>0</v>
      </c>
      <c r="BV1194">
        <v>0</v>
      </c>
      <c r="BW1194" t="s">
        <v>655</v>
      </c>
      <c r="BX1194">
        <v>0.17</v>
      </c>
      <c r="BY1194">
        <v>7.5972999999999997</v>
      </c>
      <c r="BZ1194">
        <v>0</v>
      </c>
      <c r="CA1194">
        <v>1</v>
      </c>
      <c r="CB1194">
        <v>0.6</v>
      </c>
      <c r="CC1194" s="3">
        <v>7.1269159999999998E-2</v>
      </c>
      <c r="CD1194">
        <v>2.875</v>
      </c>
      <c r="CE1194">
        <v>2.5</v>
      </c>
      <c r="CF1194">
        <v>18</v>
      </c>
      <c r="CG1194">
        <v>6</v>
      </c>
      <c r="CH1194">
        <v>0</v>
      </c>
      <c r="CI1194">
        <v>44.69</v>
      </c>
      <c r="CJ1194">
        <v>348.7595</v>
      </c>
    </row>
    <row r="1195" spans="1:88">
      <c r="A1195">
        <v>1194</v>
      </c>
      <c r="B1195" t="s">
        <v>13</v>
      </c>
      <c r="C1195" t="s">
        <v>1</v>
      </c>
      <c r="D1195" t="s">
        <v>169</v>
      </c>
      <c r="E1195" t="s">
        <v>96</v>
      </c>
      <c r="F1195" t="s">
        <v>404</v>
      </c>
      <c r="G1195" t="s">
        <v>106</v>
      </c>
      <c r="H1195" t="s">
        <v>190</v>
      </c>
      <c r="J1195">
        <v>2</v>
      </c>
      <c r="K1195" t="s">
        <v>146</v>
      </c>
      <c r="L1195" t="s">
        <v>293</v>
      </c>
      <c r="M1195" t="s">
        <v>100</v>
      </c>
      <c r="N1195" t="s">
        <v>101</v>
      </c>
      <c r="O1195">
        <v>131</v>
      </c>
      <c r="Q1195">
        <v>403</v>
      </c>
      <c r="R1195">
        <v>74</v>
      </c>
      <c r="S1195">
        <v>4.25</v>
      </c>
      <c r="T1195">
        <v>3.5859999999999999</v>
      </c>
      <c r="U1195">
        <v>6.37</v>
      </c>
      <c r="V1195">
        <v>1713.55</v>
      </c>
      <c r="W1195">
        <v>471</v>
      </c>
      <c r="X1195">
        <v>1.3332999999999999</v>
      </c>
      <c r="Y1195">
        <v>349</v>
      </c>
      <c r="Z1195">
        <v>4.91</v>
      </c>
      <c r="AJ1195">
        <v>2</v>
      </c>
      <c r="AK1195">
        <v>18</v>
      </c>
      <c r="AM1195">
        <v>0</v>
      </c>
      <c r="AO1195" t="s">
        <v>406</v>
      </c>
      <c r="AT1195">
        <v>51</v>
      </c>
      <c r="AV1195">
        <v>40.4</v>
      </c>
      <c r="AW1195">
        <v>0</v>
      </c>
      <c r="AX1195">
        <v>0</v>
      </c>
      <c r="AY1195">
        <v>58.125</v>
      </c>
      <c r="AZ1195">
        <v>4.625</v>
      </c>
      <c r="BA1195">
        <v>0</v>
      </c>
      <c r="BB1195">
        <v>0</v>
      </c>
      <c r="BC1195">
        <v>62</v>
      </c>
      <c r="BN1195">
        <v>192.6</v>
      </c>
      <c r="BO1195">
        <v>2797</v>
      </c>
      <c r="BP1195">
        <v>0</v>
      </c>
      <c r="BQ1195">
        <v>45</v>
      </c>
      <c r="BR1195">
        <v>45</v>
      </c>
      <c r="BS1195">
        <v>44.69</v>
      </c>
      <c r="BT1195">
        <v>0</v>
      </c>
      <c r="BV1195">
        <v>0</v>
      </c>
      <c r="BW1195" t="s">
        <v>655</v>
      </c>
      <c r="BX1195">
        <v>0.17</v>
      </c>
      <c r="BY1195">
        <v>7.5972999999999997</v>
      </c>
      <c r="BZ1195">
        <v>0</v>
      </c>
      <c r="CA1195">
        <v>1</v>
      </c>
      <c r="CB1195">
        <v>0.6</v>
      </c>
      <c r="CC1195" s="3">
        <v>7.1269159999999998E-2</v>
      </c>
      <c r="CD1195">
        <v>2.875</v>
      </c>
      <c r="CE1195">
        <v>2.5</v>
      </c>
      <c r="CF1195">
        <v>18</v>
      </c>
      <c r="CG1195">
        <v>6</v>
      </c>
      <c r="CH1195">
        <v>0</v>
      </c>
      <c r="CI1195">
        <v>44.69</v>
      </c>
      <c r="CJ1195">
        <v>355.12950000000001</v>
      </c>
    </row>
    <row r="1196" spans="1:88">
      <c r="A1196">
        <v>1195</v>
      </c>
      <c r="B1196" t="s">
        <v>0</v>
      </c>
      <c r="C1196" t="s">
        <v>1</v>
      </c>
      <c r="D1196" t="s">
        <v>207</v>
      </c>
      <c r="E1196" t="s">
        <v>113</v>
      </c>
      <c r="F1196" t="s">
        <v>149</v>
      </c>
      <c r="G1196" t="s">
        <v>106</v>
      </c>
      <c r="H1196" t="s">
        <v>185</v>
      </c>
      <c r="J1196">
        <v>2</v>
      </c>
      <c r="K1196" t="s">
        <v>146</v>
      </c>
      <c r="L1196" t="s">
        <v>116</v>
      </c>
      <c r="M1196" t="s">
        <v>117</v>
      </c>
      <c r="N1196" t="s">
        <v>14</v>
      </c>
      <c r="O1196">
        <v>179</v>
      </c>
      <c r="Q1196">
        <v>700</v>
      </c>
      <c r="R1196">
        <v>93</v>
      </c>
      <c r="S1196">
        <v>4.25</v>
      </c>
      <c r="T1196">
        <v>4.7190000000000003</v>
      </c>
      <c r="U1196">
        <v>7.05</v>
      </c>
      <c r="V1196">
        <v>2974.27</v>
      </c>
      <c r="W1196">
        <v>659</v>
      </c>
      <c r="X1196">
        <v>1.3332999999999999</v>
      </c>
      <c r="Y1196">
        <v>492</v>
      </c>
      <c r="Z1196">
        <v>6.05</v>
      </c>
      <c r="AJ1196">
        <v>2</v>
      </c>
      <c r="AK1196">
        <v>18</v>
      </c>
      <c r="AM1196">
        <v>0</v>
      </c>
      <c r="AO1196" t="s">
        <v>294</v>
      </c>
      <c r="AT1196">
        <v>68</v>
      </c>
      <c r="AV1196">
        <v>52.8</v>
      </c>
      <c r="AW1196">
        <v>0.4375</v>
      </c>
      <c r="AX1196">
        <v>3.75</v>
      </c>
      <c r="AY1196">
        <v>52.625</v>
      </c>
      <c r="AZ1196">
        <v>5.25</v>
      </c>
      <c r="BA1196">
        <v>270.38</v>
      </c>
      <c r="BB1196">
        <v>6.08</v>
      </c>
      <c r="BC1196">
        <v>53</v>
      </c>
      <c r="BD1196">
        <v>0.40625</v>
      </c>
      <c r="BE1196">
        <v>3.75</v>
      </c>
      <c r="BF1196">
        <v>44</v>
      </c>
      <c r="BG1196">
        <v>4.875</v>
      </c>
      <c r="BH1196">
        <v>221.23</v>
      </c>
      <c r="BI1196">
        <v>5.98</v>
      </c>
      <c r="BJ1196">
        <v>42</v>
      </c>
      <c r="BL1196">
        <v>491.61</v>
      </c>
      <c r="BM1196">
        <v>94</v>
      </c>
      <c r="BN1196">
        <v>253.23339999999999</v>
      </c>
      <c r="BO1196">
        <v>1618</v>
      </c>
      <c r="BP1196">
        <v>0</v>
      </c>
      <c r="BQ1196">
        <v>61</v>
      </c>
      <c r="BR1196">
        <v>61</v>
      </c>
      <c r="BS1196">
        <v>61.39</v>
      </c>
      <c r="BT1196">
        <v>0</v>
      </c>
      <c r="BV1196">
        <v>0</v>
      </c>
      <c r="BW1196" t="s">
        <v>655</v>
      </c>
      <c r="BX1196">
        <v>0.17</v>
      </c>
      <c r="BY1196">
        <v>10.436299999999999</v>
      </c>
      <c r="BZ1196">
        <v>0</v>
      </c>
      <c r="CA1196">
        <v>1</v>
      </c>
      <c r="CB1196">
        <v>0.6</v>
      </c>
      <c r="CC1196" s="3">
        <v>7.1269159999999998E-2</v>
      </c>
      <c r="CD1196">
        <v>2.875</v>
      </c>
      <c r="CE1196">
        <v>2.5</v>
      </c>
      <c r="CF1196">
        <v>18</v>
      </c>
      <c r="CG1196">
        <v>6</v>
      </c>
      <c r="CH1196">
        <v>0</v>
      </c>
      <c r="CI1196">
        <v>61.39</v>
      </c>
      <c r="CJ1196">
        <v>636.59360000000004</v>
      </c>
    </row>
    <row r="1197" spans="1:88">
      <c r="A1197">
        <v>1196</v>
      </c>
      <c r="B1197" t="s">
        <v>0</v>
      </c>
      <c r="C1197" t="s">
        <v>1</v>
      </c>
      <c r="D1197" t="s">
        <v>135</v>
      </c>
      <c r="E1197" t="s">
        <v>169</v>
      </c>
      <c r="F1197" t="s">
        <v>137</v>
      </c>
      <c r="G1197" t="s">
        <v>106</v>
      </c>
      <c r="H1197" t="s">
        <v>138</v>
      </c>
      <c r="J1197">
        <v>2</v>
      </c>
      <c r="K1197" t="s">
        <v>146</v>
      </c>
      <c r="L1197" t="s">
        <v>381</v>
      </c>
      <c r="M1197" t="s">
        <v>173</v>
      </c>
      <c r="N1197" t="s">
        <v>174</v>
      </c>
      <c r="O1197">
        <v>119</v>
      </c>
      <c r="Q1197">
        <v>213</v>
      </c>
      <c r="R1197">
        <v>41</v>
      </c>
      <c r="S1197">
        <v>4.25</v>
      </c>
      <c r="T1197">
        <v>3.2829999999999999</v>
      </c>
      <c r="U1197">
        <v>6.15</v>
      </c>
      <c r="V1197">
        <v>906.52</v>
      </c>
      <c r="W1197">
        <v>255</v>
      </c>
      <c r="X1197">
        <v>1.3332999999999999</v>
      </c>
      <c r="Y1197">
        <v>197</v>
      </c>
      <c r="Z1197">
        <v>4.6100000000000003</v>
      </c>
      <c r="AJ1197">
        <v>2</v>
      </c>
      <c r="AK1197">
        <v>18</v>
      </c>
      <c r="AM1197">
        <v>0</v>
      </c>
      <c r="AO1197" t="s">
        <v>142</v>
      </c>
      <c r="AT1197">
        <v>47</v>
      </c>
      <c r="AV1197">
        <v>23</v>
      </c>
      <c r="AW1197">
        <v>0</v>
      </c>
      <c r="AX1197">
        <v>0</v>
      </c>
      <c r="AY1197">
        <v>32.875</v>
      </c>
      <c r="AZ1197">
        <v>3.5</v>
      </c>
      <c r="BA1197">
        <v>0</v>
      </c>
      <c r="BB1197">
        <v>0</v>
      </c>
      <c r="BC1197">
        <v>29</v>
      </c>
      <c r="BN1197">
        <v>107</v>
      </c>
      <c r="BO1197">
        <v>9064</v>
      </c>
      <c r="BP1197">
        <v>0</v>
      </c>
      <c r="BQ1197">
        <v>41</v>
      </c>
      <c r="BR1197">
        <v>41</v>
      </c>
      <c r="BS1197">
        <v>40.520000000000003</v>
      </c>
      <c r="BT1197">
        <v>0</v>
      </c>
      <c r="BV1197">
        <v>0</v>
      </c>
      <c r="BW1197" t="s">
        <v>655</v>
      </c>
      <c r="BX1197">
        <v>0.17</v>
      </c>
      <c r="BY1197">
        <v>6.8883999999999999</v>
      </c>
      <c r="BZ1197">
        <v>0</v>
      </c>
      <c r="CA1197">
        <v>1</v>
      </c>
      <c r="CB1197">
        <v>0.6</v>
      </c>
      <c r="CC1197" s="3">
        <v>7.1269159999999998E-2</v>
      </c>
      <c r="CD1197">
        <v>2.875</v>
      </c>
      <c r="CE1197">
        <v>2.5</v>
      </c>
      <c r="CF1197">
        <v>18</v>
      </c>
      <c r="CG1197">
        <v>6</v>
      </c>
      <c r="CH1197">
        <v>0</v>
      </c>
      <c r="CI1197">
        <v>40.520000000000003</v>
      </c>
      <c r="CJ1197">
        <v>183.37700000000001</v>
      </c>
    </row>
    <row r="1198" spans="1:88">
      <c r="A1198">
        <v>1197</v>
      </c>
      <c r="B1198" t="s">
        <v>13</v>
      </c>
      <c r="C1198" t="s">
        <v>1</v>
      </c>
      <c r="D1198" t="s">
        <v>131</v>
      </c>
      <c r="E1198" t="s">
        <v>133</v>
      </c>
      <c r="F1198" t="s">
        <v>232</v>
      </c>
      <c r="G1198" t="s">
        <v>106</v>
      </c>
      <c r="H1198" t="s">
        <v>233</v>
      </c>
      <c r="J1198">
        <v>2</v>
      </c>
      <c r="K1198" t="s">
        <v>146</v>
      </c>
      <c r="L1198" t="s">
        <v>353</v>
      </c>
      <c r="M1198" t="s">
        <v>194</v>
      </c>
      <c r="N1198" t="s">
        <v>195</v>
      </c>
      <c r="O1198">
        <v>143</v>
      </c>
      <c r="Q1198">
        <v>587</v>
      </c>
      <c r="R1198">
        <v>96</v>
      </c>
      <c r="S1198">
        <v>4.25</v>
      </c>
      <c r="T1198">
        <v>3.88</v>
      </c>
      <c r="U1198">
        <v>6.6</v>
      </c>
      <c r="V1198">
        <v>2494.75</v>
      </c>
      <c r="W1198">
        <v>636</v>
      </c>
      <c r="X1198">
        <v>1.3332999999999999</v>
      </c>
      <c r="Y1198">
        <v>479</v>
      </c>
      <c r="Z1198">
        <v>5.21</v>
      </c>
      <c r="AJ1198">
        <v>2</v>
      </c>
      <c r="AK1198">
        <v>18</v>
      </c>
      <c r="AM1198">
        <v>0</v>
      </c>
      <c r="AO1198" t="s">
        <v>236</v>
      </c>
      <c r="AT1198">
        <v>55</v>
      </c>
      <c r="AV1198">
        <v>54.6</v>
      </c>
      <c r="AW1198">
        <v>0.46875</v>
      </c>
      <c r="AX1198">
        <v>3.75</v>
      </c>
      <c r="AY1198">
        <v>53.625</v>
      </c>
      <c r="AZ1198">
        <v>4.875</v>
      </c>
      <c r="BA1198">
        <v>378.27</v>
      </c>
      <c r="BB1198">
        <v>5.21</v>
      </c>
      <c r="BC1198">
        <v>58</v>
      </c>
      <c r="BD1198">
        <v>0.3125</v>
      </c>
      <c r="BE1198">
        <v>2.75</v>
      </c>
      <c r="BF1198">
        <v>35.75</v>
      </c>
      <c r="BG1198">
        <v>3.25</v>
      </c>
      <c r="BH1198">
        <v>100.56</v>
      </c>
      <c r="BI1198">
        <v>6.35</v>
      </c>
      <c r="BJ1198">
        <v>19</v>
      </c>
      <c r="BL1198">
        <v>478.83</v>
      </c>
      <c r="BM1198">
        <v>76</v>
      </c>
      <c r="BN1198">
        <v>262.14999999999998</v>
      </c>
      <c r="BO1198">
        <v>1510</v>
      </c>
      <c r="BP1198">
        <v>0</v>
      </c>
      <c r="BQ1198">
        <v>49</v>
      </c>
      <c r="BR1198">
        <v>49</v>
      </c>
      <c r="BS1198">
        <v>48.86</v>
      </c>
      <c r="BT1198">
        <v>0</v>
      </c>
      <c r="BV1198">
        <v>0</v>
      </c>
      <c r="BW1198" t="s">
        <v>655</v>
      </c>
      <c r="BX1198">
        <v>0.17</v>
      </c>
      <c r="BY1198">
        <v>8.3062000000000005</v>
      </c>
      <c r="BZ1198">
        <v>0</v>
      </c>
      <c r="CA1198">
        <v>1</v>
      </c>
      <c r="CB1198">
        <v>0.6</v>
      </c>
      <c r="CC1198" s="3">
        <v>7.1269159999999998E-2</v>
      </c>
      <c r="CD1198">
        <v>2.875</v>
      </c>
      <c r="CE1198">
        <v>2.5</v>
      </c>
      <c r="CF1198">
        <v>18</v>
      </c>
      <c r="CG1198">
        <v>6</v>
      </c>
      <c r="CH1198">
        <v>0</v>
      </c>
      <c r="CI1198">
        <v>48.86</v>
      </c>
      <c r="CJ1198">
        <v>524.07280000000003</v>
      </c>
    </row>
    <row r="1199" spans="1:88">
      <c r="A1199">
        <v>1198</v>
      </c>
      <c r="B1199" t="s">
        <v>13</v>
      </c>
      <c r="C1199" t="s">
        <v>1</v>
      </c>
      <c r="D1199" t="s">
        <v>713</v>
      </c>
      <c r="E1199" t="s">
        <v>96</v>
      </c>
      <c r="F1199" t="s">
        <v>722</v>
      </c>
      <c r="G1199" t="s">
        <v>15</v>
      </c>
      <c r="H1199" t="s">
        <v>713</v>
      </c>
      <c r="J1199">
        <v>2</v>
      </c>
      <c r="K1199" t="s">
        <v>9</v>
      </c>
      <c r="L1199" t="s">
        <v>293</v>
      </c>
      <c r="M1199" t="s">
        <v>100</v>
      </c>
      <c r="N1199" t="s">
        <v>101</v>
      </c>
      <c r="O1199">
        <v>131</v>
      </c>
      <c r="Q1199">
        <v>903</v>
      </c>
      <c r="R1199">
        <v>158</v>
      </c>
      <c r="S1199">
        <v>4.25</v>
      </c>
      <c r="T1199">
        <v>3.5859999999999999</v>
      </c>
      <c r="U1199">
        <v>6.37</v>
      </c>
      <c r="V1199">
        <v>3835.96</v>
      </c>
      <c r="W1199">
        <v>1008</v>
      </c>
      <c r="X1199">
        <v>1.3332999999999999</v>
      </c>
      <c r="Y1199">
        <v>781</v>
      </c>
      <c r="Z1199">
        <v>4.91</v>
      </c>
      <c r="AJ1199">
        <v>2</v>
      </c>
      <c r="AK1199">
        <v>18</v>
      </c>
      <c r="AM1199">
        <v>0</v>
      </c>
      <c r="AO1199" t="s">
        <v>723</v>
      </c>
      <c r="AT1199">
        <v>51</v>
      </c>
      <c r="AV1199">
        <v>91</v>
      </c>
      <c r="AW1199" t="s">
        <v>6</v>
      </c>
      <c r="AX1199" t="s">
        <v>6</v>
      </c>
      <c r="AY1199" t="s">
        <v>6</v>
      </c>
      <c r="AZ1199" t="s">
        <v>6</v>
      </c>
      <c r="BA1199" t="s">
        <v>6</v>
      </c>
      <c r="BB1199" t="s">
        <v>6</v>
      </c>
      <c r="BC1199" t="s">
        <v>6</v>
      </c>
      <c r="BD1199" t="s">
        <v>6</v>
      </c>
      <c r="BE1199" t="s">
        <v>6</v>
      </c>
      <c r="BF1199" t="s">
        <v>6</v>
      </c>
      <c r="BG1199" t="s">
        <v>6</v>
      </c>
      <c r="BH1199" t="s">
        <v>6</v>
      </c>
      <c r="BI1199" t="s">
        <v>6</v>
      </c>
      <c r="BJ1199" t="s">
        <v>6</v>
      </c>
      <c r="BN1199">
        <v>779.79759999999999</v>
      </c>
      <c r="BO1199">
        <v>1799</v>
      </c>
      <c r="BP1199">
        <v>0</v>
      </c>
      <c r="BQ1199">
        <v>45</v>
      </c>
      <c r="BR1199">
        <v>45</v>
      </c>
      <c r="BS1199">
        <v>44.69</v>
      </c>
      <c r="BT1199">
        <v>0</v>
      </c>
      <c r="BV1199">
        <v>6</v>
      </c>
      <c r="BW1199" t="s">
        <v>655</v>
      </c>
      <c r="BX1199">
        <v>0.27933340000000001</v>
      </c>
      <c r="BY1199">
        <v>12.483409999999999</v>
      </c>
      <c r="BZ1199">
        <v>0</v>
      </c>
      <c r="CA1199">
        <v>1</v>
      </c>
      <c r="CB1199">
        <v>0.6</v>
      </c>
      <c r="CC1199" s="3">
        <v>7.1269159999999998E-2</v>
      </c>
      <c r="CD1199">
        <v>2.875</v>
      </c>
      <c r="CE1199">
        <v>2.5</v>
      </c>
      <c r="CF1199">
        <v>18</v>
      </c>
      <c r="CG1199">
        <v>6</v>
      </c>
      <c r="CH1199">
        <v>0</v>
      </c>
      <c r="CI1199">
        <v>44.69</v>
      </c>
      <c r="CJ1199">
        <v>799.04150000000004</v>
      </c>
    </row>
    <row r="1200" spans="1:88">
      <c r="A1200">
        <v>1199</v>
      </c>
      <c r="B1200" t="s">
        <v>0</v>
      </c>
      <c r="C1200" t="s">
        <v>1</v>
      </c>
      <c r="D1200" t="s">
        <v>459</v>
      </c>
      <c r="E1200" t="s">
        <v>280</v>
      </c>
      <c r="F1200" t="s">
        <v>389</v>
      </c>
      <c r="G1200" t="s">
        <v>15</v>
      </c>
      <c r="H1200" t="s">
        <v>460</v>
      </c>
      <c r="J1200">
        <v>2</v>
      </c>
      <c r="K1200" t="s">
        <v>108</v>
      </c>
      <c r="L1200" t="s">
        <v>324</v>
      </c>
      <c r="M1200" t="s">
        <v>544</v>
      </c>
      <c r="N1200" t="s">
        <v>545</v>
      </c>
      <c r="O1200">
        <v>227</v>
      </c>
      <c r="Q1200">
        <v>1180</v>
      </c>
      <c r="R1200">
        <v>136</v>
      </c>
      <c r="S1200">
        <v>4.25</v>
      </c>
      <c r="T1200">
        <v>5.7519999999999998</v>
      </c>
      <c r="U1200">
        <v>7.68</v>
      </c>
      <c r="V1200">
        <v>5016.1899999999996</v>
      </c>
      <c r="W1200">
        <v>1041</v>
      </c>
      <c r="X1200">
        <v>1.5</v>
      </c>
      <c r="Y1200">
        <v>692</v>
      </c>
      <c r="Z1200">
        <v>7.25</v>
      </c>
      <c r="AJ1200">
        <v>2</v>
      </c>
      <c r="AK1200">
        <v>18</v>
      </c>
      <c r="AM1200">
        <v>0</v>
      </c>
      <c r="AO1200" t="s">
        <v>418</v>
      </c>
      <c r="AT1200">
        <v>84</v>
      </c>
      <c r="AV1200">
        <v>71.400000000000006</v>
      </c>
      <c r="AW1200" t="s">
        <v>6</v>
      </c>
      <c r="AX1200" t="s">
        <v>6</v>
      </c>
      <c r="AY1200" t="s">
        <v>6</v>
      </c>
      <c r="AZ1200" t="s">
        <v>6</v>
      </c>
      <c r="BA1200" t="s">
        <v>6</v>
      </c>
      <c r="BB1200" t="s">
        <v>6</v>
      </c>
      <c r="BC1200" t="s">
        <v>6</v>
      </c>
      <c r="BD1200" t="s">
        <v>6</v>
      </c>
      <c r="BE1200" t="s">
        <v>6</v>
      </c>
      <c r="BF1200" t="s">
        <v>6</v>
      </c>
      <c r="BG1200" t="s">
        <v>6</v>
      </c>
      <c r="BH1200" t="s">
        <v>6</v>
      </c>
      <c r="BI1200" t="s">
        <v>6</v>
      </c>
      <c r="BJ1200" t="s">
        <v>6</v>
      </c>
      <c r="BN1200">
        <v>609.31560000000002</v>
      </c>
      <c r="BO1200">
        <v>2946</v>
      </c>
      <c r="BP1200">
        <v>0</v>
      </c>
      <c r="BQ1200">
        <v>78</v>
      </c>
      <c r="BR1200">
        <v>78</v>
      </c>
      <c r="BS1200">
        <v>78.08</v>
      </c>
      <c r="BT1200">
        <v>0</v>
      </c>
      <c r="BV1200">
        <v>0</v>
      </c>
      <c r="BW1200" t="s">
        <v>655</v>
      </c>
      <c r="BX1200">
        <v>0.17</v>
      </c>
      <c r="BY1200">
        <v>13.2736</v>
      </c>
      <c r="BZ1200">
        <v>0</v>
      </c>
      <c r="CA1200">
        <v>1</v>
      </c>
      <c r="CB1200">
        <v>0.6</v>
      </c>
      <c r="CC1200" s="3">
        <v>7.1269159999999998E-2</v>
      </c>
      <c r="CD1200">
        <v>2.875</v>
      </c>
      <c r="CE1200">
        <v>2.5</v>
      </c>
      <c r="CF1200">
        <v>18</v>
      </c>
      <c r="CG1200">
        <v>6</v>
      </c>
      <c r="CH1200">
        <v>0</v>
      </c>
      <c r="CI1200">
        <v>78.08</v>
      </c>
      <c r="CJ1200">
        <v>1095.55</v>
      </c>
    </row>
    <row r="1201" spans="1:88">
      <c r="A1201">
        <v>1200</v>
      </c>
      <c r="B1201" t="s">
        <v>0</v>
      </c>
      <c r="C1201" t="s">
        <v>1</v>
      </c>
      <c r="D1201" t="s">
        <v>169</v>
      </c>
      <c r="E1201" t="s">
        <v>178</v>
      </c>
      <c r="F1201" t="s">
        <v>404</v>
      </c>
      <c r="G1201" t="s">
        <v>106</v>
      </c>
      <c r="H1201" t="s">
        <v>190</v>
      </c>
      <c r="J1201">
        <v>2</v>
      </c>
      <c r="K1201" t="s">
        <v>146</v>
      </c>
      <c r="L1201" t="s">
        <v>127</v>
      </c>
      <c r="M1201" t="s">
        <v>179</v>
      </c>
      <c r="N1201" t="s">
        <v>180</v>
      </c>
      <c r="O1201">
        <v>95</v>
      </c>
      <c r="Q1201">
        <v>302</v>
      </c>
      <c r="R1201">
        <v>74</v>
      </c>
      <c r="S1201">
        <v>4.25</v>
      </c>
      <c r="T1201">
        <v>2.649</v>
      </c>
      <c r="U1201">
        <v>5.81</v>
      </c>
      <c r="V1201">
        <v>1281.67</v>
      </c>
      <c r="W1201">
        <v>430</v>
      </c>
      <c r="X1201">
        <v>1.3332999999999999</v>
      </c>
      <c r="Y1201">
        <v>322</v>
      </c>
      <c r="Z1201">
        <v>3.98</v>
      </c>
      <c r="AJ1201">
        <v>2</v>
      </c>
      <c r="AK1201">
        <v>18</v>
      </c>
      <c r="AM1201">
        <v>0</v>
      </c>
      <c r="AO1201" t="s">
        <v>406</v>
      </c>
      <c r="AT1201">
        <v>38</v>
      </c>
      <c r="AV1201">
        <v>40.4</v>
      </c>
      <c r="AW1201">
        <v>0</v>
      </c>
      <c r="AX1201">
        <v>0</v>
      </c>
      <c r="AY1201">
        <v>30.25</v>
      </c>
      <c r="AZ1201">
        <v>3.25</v>
      </c>
      <c r="BA1201">
        <v>0</v>
      </c>
      <c r="BB1201">
        <v>0</v>
      </c>
      <c r="BC1201">
        <v>29</v>
      </c>
      <c r="BN1201">
        <v>192.6</v>
      </c>
      <c r="BO1201">
        <v>2797</v>
      </c>
      <c r="BP1201">
        <v>0</v>
      </c>
      <c r="BQ1201">
        <v>32</v>
      </c>
      <c r="BR1201">
        <v>32</v>
      </c>
      <c r="BS1201">
        <v>32.17</v>
      </c>
      <c r="BT1201">
        <v>0</v>
      </c>
      <c r="BV1201">
        <v>0</v>
      </c>
      <c r="BW1201" t="s">
        <v>655</v>
      </c>
      <c r="BX1201">
        <v>0.17</v>
      </c>
      <c r="BY1201">
        <v>5.4688999999999997</v>
      </c>
      <c r="BZ1201">
        <v>0</v>
      </c>
      <c r="CA1201">
        <v>1</v>
      </c>
      <c r="CB1201">
        <v>0.6</v>
      </c>
      <c r="CC1201" s="3">
        <v>7.1269159999999998E-2</v>
      </c>
      <c r="CD1201">
        <v>2.875</v>
      </c>
      <c r="CE1201">
        <v>2.5</v>
      </c>
      <c r="CF1201">
        <v>18</v>
      </c>
      <c r="CG1201">
        <v>6</v>
      </c>
      <c r="CH1201">
        <v>0</v>
      </c>
      <c r="CI1201">
        <v>32.17</v>
      </c>
      <c r="CJ1201">
        <v>255.63919999999999</v>
      </c>
    </row>
    <row r="1202" spans="1:88">
      <c r="A1202">
        <v>1201</v>
      </c>
      <c r="B1202" t="s">
        <v>0</v>
      </c>
      <c r="C1202" t="s">
        <v>1</v>
      </c>
      <c r="D1202" t="s">
        <v>2</v>
      </c>
      <c r="E1202" t="s">
        <v>174</v>
      </c>
      <c r="F1202" t="s">
        <v>154</v>
      </c>
      <c r="G1202" t="s">
        <v>106</v>
      </c>
      <c r="H1202" t="s">
        <v>217</v>
      </c>
      <c r="J1202">
        <v>2</v>
      </c>
      <c r="K1202" t="s">
        <v>146</v>
      </c>
      <c r="L1202" t="s">
        <v>257</v>
      </c>
      <c r="M1202" t="s">
        <v>312</v>
      </c>
      <c r="N1202" t="s">
        <v>3</v>
      </c>
      <c r="O1202">
        <v>122</v>
      </c>
      <c r="Q1202">
        <v>338</v>
      </c>
      <c r="R1202">
        <v>67</v>
      </c>
      <c r="S1202">
        <v>4.25</v>
      </c>
      <c r="T1202">
        <v>3.359</v>
      </c>
      <c r="U1202">
        <v>6.22</v>
      </c>
      <c r="V1202">
        <v>1435.99</v>
      </c>
      <c r="W1202">
        <v>417</v>
      </c>
      <c r="X1202">
        <v>1.3332999999999999</v>
      </c>
      <c r="Y1202">
        <v>306</v>
      </c>
      <c r="Z1202">
        <v>4.6900000000000004</v>
      </c>
      <c r="AJ1202">
        <v>2</v>
      </c>
      <c r="AK1202">
        <v>18</v>
      </c>
      <c r="AM1202">
        <v>0</v>
      </c>
      <c r="AO1202" t="s">
        <v>218</v>
      </c>
      <c r="AT1202">
        <v>48</v>
      </c>
      <c r="AV1202">
        <v>36.1</v>
      </c>
      <c r="AW1202">
        <v>0</v>
      </c>
      <c r="AX1202">
        <v>0</v>
      </c>
      <c r="AY1202">
        <v>46.5</v>
      </c>
      <c r="AZ1202">
        <v>4.125</v>
      </c>
      <c r="BA1202">
        <v>0</v>
      </c>
      <c r="BB1202">
        <v>0</v>
      </c>
      <c r="BC1202">
        <v>47</v>
      </c>
      <c r="BN1202">
        <v>171.2</v>
      </c>
      <c r="BO1202">
        <v>3540</v>
      </c>
      <c r="BP1202">
        <v>0</v>
      </c>
      <c r="BQ1202">
        <v>42</v>
      </c>
      <c r="BR1202">
        <v>42</v>
      </c>
      <c r="BS1202">
        <v>41.56</v>
      </c>
      <c r="BT1202">
        <v>0</v>
      </c>
      <c r="BV1202">
        <v>0</v>
      </c>
      <c r="BW1202" t="s">
        <v>655</v>
      </c>
      <c r="BX1202">
        <v>0.17</v>
      </c>
      <c r="BY1202">
        <v>7.0652010000000001</v>
      </c>
      <c r="BZ1202">
        <v>0</v>
      </c>
      <c r="CA1202">
        <v>1</v>
      </c>
      <c r="CB1202">
        <v>0.6</v>
      </c>
      <c r="CC1202" s="3">
        <v>7.1269159999999998E-2</v>
      </c>
      <c r="CD1202">
        <v>2.875</v>
      </c>
      <c r="CE1202">
        <v>2.5</v>
      </c>
      <c r="CF1202">
        <v>18</v>
      </c>
      <c r="CG1202">
        <v>6</v>
      </c>
      <c r="CH1202">
        <v>0</v>
      </c>
      <c r="CI1202">
        <v>41.56</v>
      </c>
      <c r="CJ1202">
        <v>294.71370000000002</v>
      </c>
    </row>
    <row r="1203" spans="1:88">
      <c r="A1203">
        <v>1202</v>
      </c>
      <c r="B1203" t="s">
        <v>0</v>
      </c>
      <c r="C1203" t="s">
        <v>1</v>
      </c>
      <c r="D1203" t="s">
        <v>399</v>
      </c>
      <c r="E1203" t="s">
        <v>169</v>
      </c>
      <c r="F1203" t="s">
        <v>406</v>
      </c>
      <c r="G1203" t="s">
        <v>106</v>
      </c>
      <c r="H1203" t="s">
        <v>227</v>
      </c>
      <c r="J1203">
        <v>2</v>
      </c>
      <c r="K1203" t="s">
        <v>146</v>
      </c>
      <c r="L1203" t="s">
        <v>381</v>
      </c>
      <c r="M1203" t="s">
        <v>173</v>
      </c>
      <c r="N1203" t="s">
        <v>174</v>
      </c>
      <c r="O1203">
        <v>119</v>
      </c>
      <c r="Q1203">
        <v>363</v>
      </c>
      <c r="R1203">
        <v>73</v>
      </c>
      <c r="S1203">
        <v>4.25</v>
      </c>
      <c r="T1203">
        <v>3.2829999999999999</v>
      </c>
      <c r="U1203">
        <v>6.15</v>
      </c>
      <c r="V1203">
        <v>1542.07</v>
      </c>
      <c r="W1203">
        <v>448</v>
      </c>
      <c r="X1203">
        <v>1.3332999999999999</v>
      </c>
      <c r="Y1203">
        <v>335</v>
      </c>
      <c r="Z1203">
        <v>4.6100000000000003</v>
      </c>
      <c r="AJ1203">
        <v>2</v>
      </c>
      <c r="AK1203">
        <v>18</v>
      </c>
      <c r="AM1203">
        <v>0</v>
      </c>
      <c r="AO1203" t="s">
        <v>129</v>
      </c>
      <c r="AT1203">
        <v>47</v>
      </c>
      <c r="AV1203">
        <v>39.700000000000003</v>
      </c>
      <c r="AW1203">
        <v>0</v>
      </c>
      <c r="AX1203">
        <v>0</v>
      </c>
      <c r="AY1203">
        <v>42.5</v>
      </c>
      <c r="AZ1203">
        <v>4</v>
      </c>
      <c r="BA1203">
        <v>0</v>
      </c>
      <c r="BB1203">
        <v>0</v>
      </c>
      <c r="BC1203">
        <v>43</v>
      </c>
      <c r="BN1203">
        <v>189.0334</v>
      </c>
      <c r="BO1203">
        <v>2904</v>
      </c>
      <c r="BP1203">
        <v>0</v>
      </c>
      <c r="BQ1203">
        <v>41</v>
      </c>
      <c r="BR1203">
        <v>41</v>
      </c>
      <c r="BS1203">
        <v>40.520000000000003</v>
      </c>
      <c r="BT1203">
        <v>0</v>
      </c>
      <c r="BV1203">
        <v>0</v>
      </c>
      <c r="BW1203" t="s">
        <v>655</v>
      </c>
      <c r="BX1203">
        <v>0.17</v>
      </c>
      <c r="BY1203">
        <v>6.8883999999999999</v>
      </c>
      <c r="BZ1203">
        <v>0</v>
      </c>
      <c r="CA1203">
        <v>1</v>
      </c>
      <c r="CB1203">
        <v>0.6</v>
      </c>
      <c r="CC1203" s="3">
        <v>7.1269159999999998E-2</v>
      </c>
      <c r="CD1203">
        <v>2.875</v>
      </c>
      <c r="CE1203">
        <v>2.5</v>
      </c>
      <c r="CF1203">
        <v>18</v>
      </c>
      <c r="CG1203">
        <v>6</v>
      </c>
      <c r="CH1203">
        <v>0</v>
      </c>
      <c r="CI1203">
        <v>40.520000000000003</v>
      </c>
      <c r="CJ1203">
        <v>316.21699999999998</v>
      </c>
    </row>
    <row r="1204" spans="1:88">
      <c r="A1204">
        <v>1203</v>
      </c>
      <c r="B1204" t="s">
        <v>0</v>
      </c>
      <c r="C1204" t="s">
        <v>1</v>
      </c>
      <c r="D1204" t="s">
        <v>241</v>
      </c>
      <c r="E1204" t="s">
        <v>5</v>
      </c>
      <c r="F1204" t="s">
        <v>345</v>
      </c>
      <c r="G1204" t="s">
        <v>106</v>
      </c>
      <c r="H1204" t="s">
        <v>283</v>
      </c>
      <c r="J1204">
        <v>2</v>
      </c>
      <c r="K1204" t="s">
        <v>146</v>
      </c>
      <c r="L1204" t="s">
        <v>162</v>
      </c>
      <c r="M1204" t="s">
        <v>155</v>
      </c>
      <c r="N1204" t="s">
        <v>176</v>
      </c>
      <c r="O1204">
        <v>110</v>
      </c>
      <c r="Q1204">
        <v>250</v>
      </c>
      <c r="R1204">
        <v>51</v>
      </c>
      <c r="S1204">
        <v>4.25</v>
      </c>
      <c r="T1204">
        <v>3.05</v>
      </c>
      <c r="U1204">
        <v>6.11</v>
      </c>
      <c r="V1204">
        <v>1062.8399999999999</v>
      </c>
      <c r="W1204">
        <v>313</v>
      </c>
      <c r="X1204">
        <v>1.3332999999999999</v>
      </c>
      <c r="Y1204">
        <v>243</v>
      </c>
      <c r="Z1204">
        <v>4.38</v>
      </c>
      <c r="AJ1204">
        <v>2</v>
      </c>
      <c r="AK1204">
        <v>18</v>
      </c>
      <c r="AM1204">
        <v>0</v>
      </c>
      <c r="AO1204" t="s">
        <v>374</v>
      </c>
      <c r="AT1204">
        <v>44</v>
      </c>
      <c r="AV1204">
        <v>29.2</v>
      </c>
      <c r="AW1204">
        <v>0</v>
      </c>
      <c r="AX1204">
        <v>0</v>
      </c>
      <c r="AY1204">
        <v>26.625</v>
      </c>
      <c r="AZ1204">
        <v>3.25</v>
      </c>
      <c r="BA1204">
        <v>0</v>
      </c>
      <c r="BB1204">
        <v>0</v>
      </c>
      <c r="BC1204">
        <v>24</v>
      </c>
      <c r="BN1204">
        <v>137.3167</v>
      </c>
      <c r="BO1204">
        <v>5503</v>
      </c>
      <c r="BP1204">
        <v>0</v>
      </c>
      <c r="BQ1204">
        <v>37</v>
      </c>
      <c r="BR1204">
        <v>37</v>
      </c>
      <c r="BS1204">
        <v>37.39</v>
      </c>
      <c r="BT1204">
        <v>0</v>
      </c>
      <c r="BV1204">
        <v>0</v>
      </c>
      <c r="BW1204" t="s">
        <v>655</v>
      </c>
      <c r="BX1204">
        <v>0.17</v>
      </c>
      <c r="BY1204">
        <v>6.3563000000000001</v>
      </c>
      <c r="BZ1204">
        <v>0</v>
      </c>
      <c r="CA1204">
        <v>1</v>
      </c>
      <c r="CB1204">
        <v>0.6</v>
      </c>
      <c r="CC1204" s="3">
        <v>7.1269159999999998E-2</v>
      </c>
      <c r="CD1204">
        <v>2.875</v>
      </c>
      <c r="CE1204">
        <v>2.5</v>
      </c>
      <c r="CF1204">
        <v>18</v>
      </c>
      <c r="CG1204">
        <v>6</v>
      </c>
      <c r="CH1204">
        <v>0</v>
      </c>
      <c r="CI1204">
        <v>37.39</v>
      </c>
      <c r="CJ1204">
        <v>214.5127</v>
      </c>
    </row>
    <row r="1205" spans="1:88">
      <c r="A1205">
        <v>1204</v>
      </c>
      <c r="B1205" t="s">
        <v>13</v>
      </c>
      <c r="C1205" t="s">
        <v>1</v>
      </c>
      <c r="D1205" t="s">
        <v>381</v>
      </c>
      <c r="E1205" t="s">
        <v>143</v>
      </c>
      <c r="F1205" t="s">
        <v>132</v>
      </c>
      <c r="G1205" t="s">
        <v>106</v>
      </c>
      <c r="H1205" t="s">
        <v>340</v>
      </c>
      <c r="J1205">
        <v>2</v>
      </c>
      <c r="K1205" t="s">
        <v>146</v>
      </c>
      <c r="L1205" t="s">
        <v>297</v>
      </c>
      <c r="M1205" t="s">
        <v>206</v>
      </c>
      <c r="N1205" t="s">
        <v>131</v>
      </c>
      <c r="O1205">
        <v>155</v>
      </c>
      <c r="Q1205">
        <v>554</v>
      </c>
      <c r="R1205">
        <v>85</v>
      </c>
      <c r="S1205">
        <v>4.25</v>
      </c>
      <c r="T1205">
        <v>4.1660000000000004</v>
      </c>
      <c r="U1205">
        <v>6.78</v>
      </c>
      <c r="V1205">
        <v>2353.77</v>
      </c>
      <c r="W1205">
        <v>579</v>
      </c>
      <c r="X1205">
        <v>1.3332999999999999</v>
      </c>
      <c r="Y1205">
        <v>429</v>
      </c>
      <c r="Z1205">
        <v>5.49</v>
      </c>
      <c r="AJ1205">
        <v>2</v>
      </c>
      <c r="AK1205">
        <v>18</v>
      </c>
      <c r="AM1205">
        <v>0</v>
      </c>
      <c r="AO1205" t="s">
        <v>359</v>
      </c>
      <c r="AT1205">
        <v>59</v>
      </c>
      <c r="AV1205">
        <v>47.7</v>
      </c>
      <c r="AW1205">
        <v>0.40625</v>
      </c>
      <c r="AX1205">
        <v>3.75</v>
      </c>
      <c r="AY1205">
        <v>41.25</v>
      </c>
      <c r="AZ1205">
        <v>4.5</v>
      </c>
      <c r="BA1205">
        <v>235.8</v>
      </c>
      <c r="BB1205">
        <v>5.61</v>
      </c>
      <c r="BC1205">
        <v>39</v>
      </c>
      <c r="BD1205">
        <v>0.375</v>
      </c>
      <c r="BE1205">
        <v>3.75</v>
      </c>
      <c r="BF1205">
        <v>33.5</v>
      </c>
      <c r="BG1205">
        <v>4.125</v>
      </c>
      <c r="BH1205">
        <v>192.93</v>
      </c>
      <c r="BI1205">
        <v>5.58</v>
      </c>
      <c r="BJ1205">
        <v>30</v>
      </c>
      <c r="BL1205">
        <v>428.73</v>
      </c>
      <c r="BM1205">
        <v>68</v>
      </c>
      <c r="BN1205">
        <v>228.26669999999999</v>
      </c>
      <c r="BO1205">
        <v>1992</v>
      </c>
      <c r="BP1205">
        <v>0</v>
      </c>
      <c r="BQ1205">
        <v>53</v>
      </c>
      <c r="BR1205">
        <v>53</v>
      </c>
      <c r="BS1205">
        <v>53.04</v>
      </c>
      <c r="BT1205">
        <v>0</v>
      </c>
      <c r="BV1205">
        <v>0</v>
      </c>
      <c r="BW1205" t="s">
        <v>655</v>
      </c>
      <c r="BX1205">
        <v>0.17</v>
      </c>
      <c r="BY1205">
        <v>9.0167999999999999</v>
      </c>
      <c r="BZ1205">
        <v>0</v>
      </c>
      <c r="CA1205">
        <v>1</v>
      </c>
      <c r="CB1205">
        <v>0.6</v>
      </c>
      <c r="CC1205" s="3">
        <v>7.1269159999999998E-2</v>
      </c>
      <c r="CD1205">
        <v>2.875</v>
      </c>
      <c r="CE1205">
        <v>2.5</v>
      </c>
      <c r="CF1205">
        <v>18</v>
      </c>
      <c r="CG1205">
        <v>6</v>
      </c>
      <c r="CH1205">
        <v>0</v>
      </c>
      <c r="CI1205">
        <v>53.04</v>
      </c>
      <c r="CJ1205">
        <v>497.08530000000002</v>
      </c>
    </row>
    <row r="1206" spans="1:88">
      <c r="A1206">
        <v>1205</v>
      </c>
      <c r="B1206" t="s">
        <v>0</v>
      </c>
      <c r="C1206" t="s">
        <v>1</v>
      </c>
      <c r="D1206" t="s">
        <v>280</v>
      </c>
      <c r="E1206" t="s">
        <v>434</v>
      </c>
      <c r="F1206" t="s">
        <v>102</v>
      </c>
      <c r="G1206" t="s">
        <v>15</v>
      </c>
      <c r="H1206" t="s">
        <v>423</v>
      </c>
      <c r="J1206">
        <v>2</v>
      </c>
      <c r="K1206" t="s">
        <v>108</v>
      </c>
      <c r="L1206" t="s">
        <v>305</v>
      </c>
      <c r="M1206" t="s">
        <v>564</v>
      </c>
      <c r="N1206" t="s">
        <v>104</v>
      </c>
      <c r="O1206">
        <v>188</v>
      </c>
      <c r="Q1206">
        <v>1102</v>
      </c>
      <c r="R1206">
        <v>139</v>
      </c>
      <c r="S1206">
        <v>4.25</v>
      </c>
      <c r="T1206">
        <v>4.9189999999999996</v>
      </c>
      <c r="U1206">
        <v>7.2</v>
      </c>
      <c r="V1206">
        <v>4682.7299999999996</v>
      </c>
      <c r="W1206">
        <v>999</v>
      </c>
      <c r="X1206">
        <v>1.3332999999999999</v>
      </c>
      <c r="Y1206">
        <v>749</v>
      </c>
      <c r="Z1206">
        <v>6.25</v>
      </c>
      <c r="AJ1206">
        <v>2</v>
      </c>
      <c r="AK1206">
        <v>18</v>
      </c>
      <c r="AM1206">
        <v>0</v>
      </c>
      <c r="AO1206" t="s">
        <v>424</v>
      </c>
      <c r="AT1206">
        <v>71</v>
      </c>
      <c r="AV1206">
        <v>79.8</v>
      </c>
      <c r="AW1206" t="s">
        <v>6</v>
      </c>
      <c r="AX1206" t="s">
        <v>6</v>
      </c>
      <c r="AY1206" t="s">
        <v>6</v>
      </c>
      <c r="AZ1206" t="s">
        <v>6</v>
      </c>
      <c r="BA1206" t="s">
        <v>6</v>
      </c>
      <c r="BB1206" t="s">
        <v>6</v>
      </c>
      <c r="BC1206" t="s">
        <v>6</v>
      </c>
      <c r="BD1206" t="s">
        <v>6</v>
      </c>
      <c r="BE1206" t="s">
        <v>6</v>
      </c>
      <c r="BF1206" t="s">
        <v>6</v>
      </c>
      <c r="BG1206" t="s">
        <v>6</v>
      </c>
      <c r="BH1206" t="s">
        <v>6</v>
      </c>
      <c r="BI1206" t="s">
        <v>6</v>
      </c>
      <c r="BJ1206" t="s">
        <v>6</v>
      </c>
      <c r="BN1206">
        <v>681.92830000000004</v>
      </c>
      <c r="BO1206">
        <v>2352</v>
      </c>
      <c r="BP1206">
        <v>0</v>
      </c>
      <c r="BQ1206">
        <v>65</v>
      </c>
      <c r="BR1206">
        <v>65</v>
      </c>
      <c r="BS1206">
        <v>64.52</v>
      </c>
      <c r="BT1206">
        <v>0</v>
      </c>
      <c r="BV1206">
        <v>0</v>
      </c>
      <c r="BW1206" t="s">
        <v>655</v>
      </c>
      <c r="BX1206">
        <v>0.17</v>
      </c>
      <c r="BY1206">
        <v>10.968400000000001</v>
      </c>
      <c r="BZ1206">
        <v>0</v>
      </c>
      <c r="CA1206">
        <v>1</v>
      </c>
      <c r="CB1206">
        <v>0.6</v>
      </c>
      <c r="CC1206" s="3">
        <v>7.1269159999999998E-2</v>
      </c>
      <c r="CD1206">
        <v>2.875</v>
      </c>
      <c r="CE1206">
        <v>2.5</v>
      </c>
      <c r="CF1206">
        <v>18</v>
      </c>
      <c r="CG1206">
        <v>6</v>
      </c>
      <c r="CH1206">
        <v>0</v>
      </c>
      <c r="CI1206">
        <v>64.52</v>
      </c>
      <c r="CJ1206">
        <v>1011.048</v>
      </c>
    </row>
    <row r="1207" spans="1:88">
      <c r="A1207">
        <v>1206</v>
      </c>
      <c r="B1207" t="s">
        <v>0</v>
      </c>
      <c r="C1207" t="s">
        <v>1</v>
      </c>
      <c r="D1207" t="s">
        <v>279</v>
      </c>
      <c r="E1207" t="s">
        <v>103</v>
      </c>
      <c r="F1207" t="s">
        <v>236</v>
      </c>
      <c r="G1207" t="s">
        <v>106</v>
      </c>
      <c r="H1207" t="s">
        <v>143</v>
      </c>
      <c r="J1207">
        <v>2</v>
      </c>
      <c r="K1207" t="s">
        <v>146</v>
      </c>
      <c r="L1207" t="s">
        <v>455</v>
      </c>
      <c r="M1207" t="s">
        <v>315</v>
      </c>
      <c r="N1207" t="s">
        <v>316</v>
      </c>
      <c r="O1207">
        <v>167</v>
      </c>
      <c r="Q1207">
        <v>669</v>
      </c>
      <c r="R1207">
        <v>95</v>
      </c>
      <c r="S1207">
        <v>4.25</v>
      </c>
      <c r="T1207">
        <v>4.4459999999999997</v>
      </c>
      <c r="U1207">
        <v>6.86</v>
      </c>
      <c r="V1207">
        <v>2843.67</v>
      </c>
      <c r="W1207">
        <v>653</v>
      </c>
      <c r="X1207">
        <v>1.3332999999999999</v>
      </c>
      <c r="Y1207">
        <v>493</v>
      </c>
      <c r="Z1207">
        <v>5.77</v>
      </c>
      <c r="AJ1207">
        <v>2</v>
      </c>
      <c r="AK1207">
        <v>18</v>
      </c>
      <c r="AM1207">
        <v>0</v>
      </c>
      <c r="AO1207" t="s">
        <v>206</v>
      </c>
      <c r="AT1207">
        <v>63</v>
      </c>
      <c r="AV1207">
        <v>53.9</v>
      </c>
      <c r="AW1207">
        <v>0.4375</v>
      </c>
      <c r="AX1207">
        <v>3.75</v>
      </c>
      <c r="AY1207">
        <v>52.5</v>
      </c>
      <c r="AZ1207">
        <v>5</v>
      </c>
      <c r="BA1207">
        <v>271.05</v>
      </c>
      <c r="BB1207">
        <v>6.07</v>
      </c>
      <c r="BC1207">
        <v>53</v>
      </c>
      <c r="BD1207">
        <v>0.40625</v>
      </c>
      <c r="BE1207">
        <v>3.75</v>
      </c>
      <c r="BF1207">
        <v>43.875</v>
      </c>
      <c r="BG1207">
        <v>4.625</v>
      </c>
      <c r="BH1207">
        <v>221.78</v>
      </c>
      <c r="BI1207">
        <v>5.97</v>
      </c>
      <c r="BJ1207">
        <v>42</v>
      </c>
      <c r="BL1207">
        <v>492.83</v>
      </c>
      <c r="BM1207">
        <v>94</v>
      </c>
      <c r="BN1207">
        <v>258.58339999999998</v>
      </c>
      <c r="BO1207">
        <v>1552</v>
      </c>
      <c r="BP1207">
        <v>0</v>
      </c>
      <c r="BQ1207">
        <v>57</v>
      </c>
      <c r="BR1207">
        <v>57</v>
      </c>
      <c r="BS1207">
        <v>57.21</v>
      </c>
      <c r="BT1207">
        <v>0</v>
      </c>
      <c r="BV1207">
        <v>0</v>
      </c>
      <c r="BW1207" t="s">
        <v>655</v>
      </c>
      <c r="BX1207">
        <v>0.17</v>
      </c>
      <c r="BY1207">
        <v>9.7257010000000008</v>
      </c>
      <c r="BZ1207">
        <v>0</v>
      </c>
      <c r="CA1207">
        <v>1</v>
      </c>
      <c r="CB1207">
        <v>0.6</v>
      </c>
      <c r="CC1207" s="3">
        <v>7.1269159999999998E-2</v>
      </c>
      <c r="CD1207">
        <v>2.875</v>
      </c>
      <c r="CE1207">
        <v>2.5</v>
      </c>
      <c r="CF1207">
        <v>18</v>
      </c>
      <c r="CG1207">
        <v>6</v>
      </c>
      <c r="CH1207">
        <v>0</v>
      </c>
      <c r="CI1207">
        <v>57.21</v>
      </c>
      <c r="CJ1207">
        <v>605.48030000000006</v>
      </c>
    </row>
    <row r="1208" spans="1:88">
      <c r="A1208">
        <v>1207</v>
      </c>
      <c r="B1208" t="s">
        <v>0</v>
      </c>
      <c r="C1208" t="s">
        <v>1</v>
      </c>
      <c r="D1208" t="s">
        <v>131</v>
      </c>
      <c r="E1208" t="s">
        <v>104</v>
      </c>
      <c r="F1208" t="s">
        <v>232</v>
      </c>
      <c r="G1208" t="s">
        <v>106</v>
      </c>
      <c r="H1208" t="s">
        <v>233</v>
      </c>
      <c r="J1208">
        <v>2</v>
      </c>
      <c r="K1208" t="s">
        <v>146</v>
      </c>
      <c r="L1208" t="s">
        <v>109</v>
      </c>
      <c r="M1208" t="s">
        <v>110</v>
      </c>
      <c r="N1208" t="s">
        <v>111</v>
      </c>
      <c r="O1208">
        <v>191</v>
      </c>
      <c r="Q1208">
        <v>769</v>
      </c>
      <c r="R1208">
        <v>96</v>
      </c>
      <c r="S1208">
        <v>4.25</v>
      </c>
      <c r="T1208">
        <v>4.9850000000000003</v>
      </c>
      <c r="U1208">
        <v>7.27</v>
      </c>
      <c r="V1208">
        <v>3268.12</v>
      </c>
      <c r="W1208">
        <v>700</v>
      </c>
      <c r="X1208">
        <v>1.3332999999999999</v>
      </c>
      <c r="Y1208">
        <v>518</v>
      </c>
      <c r="Z1208">
        <v>6.31</v>
      </c>
      <c r="AJ1208">
        <v>2</v>
      </c>
      <c r="AK1208">
        <v>18</v>
      </c>
      <c r="AM1208">
        <v>0</v>
      </c>
      <c r="AO1208" t="s">
        <v>236</v>
      </c>
      <c r="AT1208">
        <v>72</v>
      </c>
      <c r="AV1208">
        <v>54.6</v>
      </c>
      <c r="AW1208">
        <v>0.4375</v>
      </c>
      <c r="AX1208">
        <v>3.75</v>
      </c>
      <c r="AY1208">
        <v>55</v>
      </c>
      <c r="AZ1208">
        <v>5.5</v>
      </c>
      <c r="BA1208">
        <v>258.95999999999998</v>
      </c>
      <c r="BB1208">
        <v>6.35</v>
      </c>
      <c r="BC1208">
        <v>56</v>
      </c>
      <c r="BD1208">
        <v>0.4375</v>
      </c>
      <c r="BE1208">
        <v>3.75</v>
      </c>
      <c r="BF1208">
        <v>55</v>
      </c>
      <c r="BG1208">
        <v>5.5</v>
      </c>
      <c r="BH1208">
        <v>258.95999999999998</v>
      </c>
      <c r="BI1208">
        <v>6.35</v>
      </c>
      <c r="BJ1208">
        <v>56</v>
      </c>
      <c r="BL1208">
        <v>517.91999999999996</v>
      </c>
      <c r="BM1208">
        <v>111</v>
      </c>
      <c r="BN1208">
        <v>262.14999999999998</v>
      </c>
      <c r="BO1208">
        <v>1510</v>
      </c>
      <c r="BP1208">
        <v>0</v>
      </c>
      <c r="BQ1208">
        <v>66</v>
      </c>
      <c r="BR1208">
        <v>66</v>
      </c>
      <c r="BS1208">
        <v>65.56</v>
      </c>
      <c r="BT1208">
        <v>0</v>
      </c>
      <c r="BV1208">
        <v>0</v>
      </c>
      <c r="BW1208" t="s">
        <v>655</v>
      </c>
      <c r="BX1208">
        <v>0.17</v>
      </c>
      <c r="BY1208">
        <v>11.145200000000001</v>
      </c>
      <c r="BZ1208">
        <v>0</v>
      </c>
      <c r="CA1208">
        <v>1</v>
      </c>
      <c r="CB1208">
        <v>0.6</v>
      </c>
      <c r="CC1208" s="3">
        <v>7.1269159999999998E-2</v>
      </c>
      <c r="CD1208">
        <v>2.875</v>
      </c>
      <c r="CE1208">
        <v>2.5</v>
      </c>
      <c r="CF1208">
        <v>18</v>
      </c>
      <c r="CG1208">
        <v>6</v>
      </c>
      <c r="CH1208">
        <v>0</v>
      </c>
      <c r="CI1208">
        <v>65.56</v>
      </c>
      <c r="CJ1208">
        <v>703.197</v>
      </c>
    </row>
    <row r="1209" spans="1:88">
      <c r="A1209">
        <v>1208</v>
      </c>
      <c r="B1209" t="s">
        <v>0</v>
      </c>
      <c r="C1209" t="s">
        <v>1</v>
      </c>
      <c r="D1209" t="s">
        <v>113</v>
      </c>
      <c r="E1209" t="s">
        <v>122</v>
      </c>
      <c r="F1209" t="s">
        <v>262</v>
      </c>
      <c r="G1209" t="s">
        <v>106</v>
      </c>
      <c r="H1209" t="s">
        <v>263</v>
      </c>
      <c r="J1209">
        <v>2</v>
      </c>
      <c r="K1209" t="s">
        <v>108</v>
      </c>
      <c r="L1209" t="s">
        <v>234</v>
      </c>
      <c r="M1209" t="s">
        <v>126</v>
      </c>
      <c r="N1209" t="s">
        <v>162</v>
      </c>
      <c r="O1209">
        <v>127</v>
      </c>
      <c r="Q1209">
        <v>600</v>
      </c>
      <c r="R1209">
        <v>109</v>
      </c>
      <c r="S1209">
        <v>4.25</v>
      </c>
      <c r="T1209">
        <v>3.4860000000000002</v>
      </c>
      <c r="U1209">
        <v>6.3</v>
      </c>
      <c r="V1209">
        <v>2550.5500000000002</v>
      </c>
      <c r="W1209">
        <v>684</v>
      </c>
      <c r="X1209">
        <v>1.3332999999999999</v>
      </c>
      <c r="Y1209">
        <v>530</v>
      </c>
      <c r="Z1209">
        <v>4.8099999999999996</v>
      </c>
      <c r="AJ1209">
        <v>2</v>
      </c>
      <c r="AK1209">
        <v>18</v>
      </c>
      <c r="AM1209">
        <v>0</v>
      </c>
      <c r="AO1209" t="s">
        <v>266</v>
      </c>
      <c r="AT1209">
        <v>49</v>
      </c>
      <c r="AV1209">
        <v>62.3</v>
      </c>
      <c r="AW1209">
        <v>0.46875</v>
      </c>
      <c r="AX1209">
        <v>3.75</v>
      </c>
      <c r="AY1209">
        <v>49.5</v>
      </c>
      <c r="AZ1209">
        <v>4.5</v>
      </c>
      <c r="BA1209">
        <v>409.73</v>
      </c>
      <c r="BB1209">
        <v>4.8099999999999996</v>
      </c>
      <c r="BC1209">
        <v>53</v>
      </c>
      <c r="BD1209">
        <v>0.3125</v>
      </c>
      <c r="BE1209">
        <v>2.75</v>
      </c>
      <c r="BF1209">
        <v>29.875</v>
      </c>
      <c r="BG1209">
        <v>3</v>
      </c>
      <c r="BH1209">
        <v>120.52</v>
      </c>
      <c r="BI1209">
        <v>5.3</v>
      </c>
      <c r="BJ1209">
        <v>16</v>
      </c>
      <c r="BL1209">
        <v>530.25</v>
      </c>
      <c r="BM1209">
        <v>68</v>
      </c>
      <c r="BN1209">
        <v>299.60000000000002</v>
      </c>
      <c r="BO1209">
        <v>1156</v>
      </c>
      <c r="BP1209">
        <v>0</v>
      </c>
      <c r="BQ1209">
        <v>43</v>
      </c>
      <c r="BR1209">
        <v>43</v>
      </c>
      <c r="BS1209">
        <v>43.3</v>
      </c>
      <c r="BT1209">
        <v>0</v>
      </c>
      <c r="BV1209">
        <v>0</v>
      </c>
      <c r="BW1209" t="s">
        <v>655</v>
      </c>
      <c r="BX1209">
        <v>0.17</v>
      </c>
      <c r="BY1209">
        <v>7.3609999999999998</v>
      </c>
      <c r="BZ1209">
        <v>0</v>
      </c>
      <c r="CA1209">
        <v>1</v>
      </c>
      <c r="CB1209">
        <v>0.6</v>
      </c>
      <c r="CC1209" s="3">
        <v>7.1269159999999998E-2</v>
      </c>
      <c r="CD1209">
        <v>2.875</v>
      </c>
      <c r="CE1209">
        <v>2.5</v>
      </c>
      <c r="CF1209">
        <v>18</v>
      </c>
      <c r="CG1209">
        <v>6</v>
      </c>
      <c r="CH1209">
        <v>0</v>
      </c>
      <c r="CI1209">
        <v>43.3</v>
      </c>
      <c r="CJ1209">
        <v>530.39850000000001</v>
      </c>
    </row>
    <row r="1210" spans="1:88">
      <c r="A1210">
        <v>1209</v>
      </c>
      <c r="B1210" t="s">
        <v>0</v>
      </c>
      <c r="C1210" t="s">
        <v>1</v>
      </c>
      <c r="D1210" t="s">
        <v>235</v>
      </c>
      <c r="E1210" t="s">
        <v>348</v>
      </c>
      <c r="F1210" t="s">
        <v>327</v>
      </c>
      <c r="G1210" t="s">
        <v>106</v>
      </c>
      <c r="H1210" t="s">
        <v>96</v>
      </c>
      <c r="J1210">
        <v>2</v>
      </c>
      <c r="K1210" t="s">
        <v>146</v>
      </c>
      <c r="L1210" t="s">
        <v>111</v>
      </c>
      <c r="M1210" t="s">
        <v>351</v>
      </c>
      <c r="N1210" t="s">
        <v>251</v>
      </c>
      <c r="O1210">
        <v>174</v>
      </c>
      <c r="Q1210">
        <v>585</v>
      </c>
      <c r="R1210">
        <v>81</v>
      </c>
      <c r="S1210">
        <v>4.25</v>
      </c>
      <c r="T1210">
        <v>4.6059999999999999</v>
      </c>
      <c r="U1210">
        <v>6.97</v>
      </c>
      <c r="V1210">
        <v>2484.54</v>
      </c>
      <c r="W1210">
        <v>567</v>
      </c>
      <c r="X1210">
        <v>1.3332999999999999</v>
      </c>
      <c r="Y1210">
        <v>419</v>
      </c>
      <c r="Z1210">
        <v>5.93</v>
      </c>
      <c r="AJ1210">
        <v>2</v>
      </c>
      <c r="AK1210">
        <v>18</v>
      </c>
      <c r="AM1210">
        <v>0</v>
      </c>
      <c r="AO1210" t="s">
        <v>100</v>
      </c>
      <c r="AT1210">
        <v>66</v>
      </c>
      <c r="AV1210">
        <v>45.1</v>
      </c>
      <c r="AW1210">
        <v>0.46875</v>
      </c>
      <c r="AX1210">
        <v>3.75</v>
      </c>
      <c r="AY1210">
        <v>61</v>
      </c>
      <c r="AZ1210">
        <v>5.5</v>
      </c>
      <c r="BA1210">
        <v>332.34</v>
      </c>
      <c r="BB1210">
        <v>5.93</v>
      </c>
      <c r="BC1210">
        <v>66</v>
      </c>
      <c r="BD1210">
        <v>0.3125</v>
      </c>
      <c r="BE1210">
        <v>2.75</v>
      </c>
      <c r="BF1210">
        <v>41.5</v>
      </c>
      <c r="BG1210">
        <v>3.75</v>
      </c>
      <c r="BH1210">
        <v>86.63</v>
      </c>
      <c r="BI1210">
        <v>7.37</v>
      </c>
      <c r="BJ1210">
        <v>22</v>
      </c>
      <c r="BL1210">
        <v>418.97</v>
      </c>
      <c r="BM1210">
        <v>87</v>
      </c>
      <c r="BN1210">
        <v>215.7834</v>
      </c>
      <c r="BO1210">
        <v>2229</v>
      </c>
      <c r="BP1210">
        <v>0</v>
      </c>
      <c r="BQ1210">
        <v>60</v>
      </c>
      <c r="BR1210">
        <v>60</v>
      </c>
      <c r="BS1210">
        <v>59.65</v>
      </c>
      <c r="BT1210">
        <v>0</v>
      </c>
      <c r="BV1210">
        <v>0</v>
      </c>
      <c r="BW1210" t="s">
        <v>655</v>
      </c>
      <c r="BX1210">
        <v>0.17</v>
      </c>
      <c r="BY1210">
        <v>10.140499999999999</v>
      </c>
      <c r="BZ1210">
        <v>0</v>
      </c>
      <c r="CA1210">
        <v>1</v>
      </c>
      <c r="CB1210">
        <v>0.6</v>
      </c>
      <c r="CC1210" s="3">
        <v>7.1269159999999998E-2</v>
      </c>
      <c r="CD1210">
        <v>2.875</v>
      </c>
      <c r="CE1210">
        <v>2.5</v>
      </c>
      <c r="CF1210">
        <v>18</v>
      </c>
      <c r="CG1210">
        <v>6</v>
      </c>
      <c r="CH1210">
        <v>0</v>
      </c>
      <c r="CI1210">
        <v>59.65</v>
      </c>
      <c r="CJ1210">
        <v>529.27499999999998</v>
      </c>
    </row>
    <row r="1211" spans="1:88">
      <c r="A1211">
        <v>1210</v>
      </c>
      <c r="B1211" t="s">
        <v>13</v>
      </c>
      <c r="C1211" t="s">
        <v>1</v>
      </c>
      <c r="D1211" t="s">
        <v>176</v>
      </c>
      <c r="E1211" t="s">
        <v>268</v>
      </c>
      <c r="F1211" t="s">
        <v>134</v>
      </c>
      <c r="G1211" t="s">
        <v>106</v>
      </c>
      <c r="H1211" t="s">
        <v>177</v>
      </c>
      <c r="J1211">
        <v>2</v>
      </c>
      <c r="K1211" t="s">
        <v>146</v>
      </c>
      <c r="L1211" t="s">
        <v>133</v>
      </c>
      <c r="M1211" t="s">
        <v>270</v>
      </c>
      <c r="N1211" t="s">
        <v>153</v>
      </c>
      <c r="O1211">
        <v>123</v>
      </c>
      <c r="Q1211">
        <v>361</v>
      </c>
      <c r="R1211">
        <v>71</v>
      </c>
      <c r="S1211">
        <v>4.25</v>
      </c>
      <c r="T1211">
        <v>3.3849999999999998</v>
      </c>
      <c r="U1211">
        <v>6.22</v>
      </c>
      <c r="V1211">
        <v>1532.25</v>
      </c>
      <c r="W1211">
        <v>439</v>
      </c>
      <c r="X1211">
        <v>1.3332999999999999</v>
      </c>
      <c r="Y1211">
        <v>325</v>
      </c>
      <c r="Z1211">
        <v>4.71</v>
      </c>
      <c r="AJ1211">
        <v>2</v>
      </c>
      <c r="AK1211">
        <v>18</v>
      </c>
      <c r="AM1211">
        <v>0</v>
      </c>
      <c r="AO1211" t="s">
        <v>152</v>
      </c>
      <c r="AT1211">
        <v>48</v>
      </c>
      <c r="AV1211">
        <v>38.200000000000003</v>
      </c>
      <c r="AW1211">
        <v>0</v>
      </c>
      <c r="AX1211">
        <v>0</v>
      </c>
      <c r="AY1211">
        <v>43.75</v>
      </c>
      <c r="AZ1211">
        <v>4.125</v>
      </c>
      <c r="BA1211">
        <v>0</v>
      </c>
      <c r="BB1211">
        <v>0</v>
      </c>
      <c r="BC1211">
        <v>44</v>
      </c>
      <c r="BN1211">
        <v>181.9</v>
      </c>
      <c r="BO1211">
        <v>3136</v>
      </c>
      <c r="BP1211">
        <v>0</v>
      </c>
      <c r="BQ1211">
        <v>42</v>
      </c>
      <c r="BR1211">
        <v>42</v>
      </c>
      <c r="BS1211">
        <v>41.91</v>
      </c>
      <c r="BT1211">
        <v>0</v>
      </c>
      <c r="BV1211">
        <v>0</v>
      </c>
      <c r="BW1211" t="s">
        <v>655</v>
      </c>
      <c r="BX1211">
        <v>0.17</v>
      </c>
      <c r="BY1211">
        <v>7.1246999999999998</v>
      </c>
      <c r="BZ1211">
        <v>0</v>
      </c>
      <c r="CA1211">
        <v>1</v>
      </c>
      <c r="CB1211">
        <v>0.6</v>
      </c>
      <c r="CC1211" s="3">
        <v>7.1269159999999998E-2</v>
      </c>
      <c r="CD1211">
        <v>2.875</v>
      </c>
      <c r="CE1211">
        <v>2.5</v>
      </c>
      <c r="CF1211">
        <v>18</v>
      </c>
      <c r="CG1211">
        <v>6</v>
      </c>
      <c r="CH1211">
        <v>0</v>
      </c>
      <c r="CI1211">
        <v>41.91</v>
      </c>
      <c r="CJ1211">
        <v>315.11689999999999</v>
      </c>
    </row>
    <row r="1212" spans="1:88">
      <c r="A1212">
        <v>1211</v>
      </c>
      <c r="B1212" t="s">
        <v>0</v>
      </c>
      <c r="C1212" t="s">
        <v>1</v>
      </c>
      <c r="D1212" t="s">
        <v>2</v>
      </c>
      <c r="E1212" t="s">
        <v>99</v>
      </c>
      <c r="F1212" t="s">
        <v>154</v>
      </c>
      <c r="G1212" t="s">
        <v>106</v>
      </c>
      <c r="H1212" t="s">
        <v>217</v>
      </c>
      <c r="J1212">
        <v>2</v>
      </c>
      <c r="K1212" t="s">
        <v>146</v>
      </c>
      <c r="L1212" t="s">
        <v>393</v>
      </c>
      <c r="M1212" t="s">
        <v>184</v>
      </c>
      <c r="N1212" t="s">
        <v>185</v>
      </c>
      <c r="O1212">
        <v>149</v>
      </c>
      <c r="Q1212">
        <v>406</v>
      </c>
      <c r="R1212">
        <v>67</v>
      </c>
      <c r="S1212">
        <v>4.25</v>
      </c>
      <c r="T1212">
        <v>4.024</v>
      </c>
      <c r="U1212">
        <v>6.71</v>
      </c>
      <c r="V1212">
        <v>1725.79</v>
      </c>
      <c r="W1212">
        <v>450</v>
      </c>
      <c r="X1212">
        <v>1.5</v>
      </c>
      <c r="Y1212">
        <v>313</v>
      </c>
      <c r="Z1212">
        <v>5.52</v>
      </c>
      <c r="AJ1212">
        <v>2</v>
      </c>
      <c r="AK1212">
        <v>18</v>
      </c>
      <c r="AM1212">
        <v>0</v>
      </c>
      <c r="AO1212" t="s">
        <v>218</v>
      </c>
      <c r="AT1212">
        <v>57</v>
      </c>
      <c r="AV1212">
        <v>36.1</v>
      </c>
      <c r="AW1212">
        <v>0</v>
      </c>
      <c r="AX1212">
        <v>0</v>
      </c>
      <c r="AY1212">
        <v>64.875</v>
      </c>
      <c r="AZ1212">
        <v>5.125</v>
      </c>
      <c r="BA1212">
        <v>0</v>
      </c>
      <c r="BB1212">
        <v>0</v>
      </c>
      <c r="BC1212">
        <v>70</v>
      </c>
      <c r="BN1212">
        <v>171.2</v>
      </c>
      <c r="BO1212">
        <v>3540</v>
      </c>
      <c r="BP1212">
        <v>0</v>
      </c>
      <c r="BQ1212">
        <v>51</v>
      </c>
      <c r="BR1212">
        <v>51</v>
      </c>
      <c r="BS1212">
        <v>50.95</v>
      </c>
      <c r="BT1212">
        <v>0</v>
      </c>
      <c r="BV1212">
        <v>0</v>
      </c>
      <c r="BW1212" t="s">
        <v>655</v>
      </c>
      <c r="BX1212">
        <v>0.17</v>
      </c>
      <c r="BY1212">
        <v>8.6615000000000002</v>
      </c>
      <c r="BZ1212">
        <v>0</v>
      </c>
      <c r="CA1212">
        <v>1</v>
      </c>
      <c r="CB1212">
        <v>0.6</v>
      </c>
      <c r="CC1212" s="3">
        <v>7.1269159999999998E-2</v>
      </c>
      <c r="CD1212">
        <v>2.875</v>
      </c>
      <c r="CE1212">
        <v>2.5</v>
      </c>
      <c r="CF1212">
        <v>18</v>
      </c>
      <c r="CG1212">
        <v>6</v>
      </c>
      <c r="CH1212">
        <v>0</v>
      </c>
      <c r="CI1212">
        <v>50.95</v>
      </c>
      <c r="CJ1212">
        <v>361.30079999999998</v>
      </c>
    </row>
    <row r="1213" spans="1:88">
      <c r="A1213">
        <v>1212</v>
      </c>
      <c r="B1213" t="s">
        <v>13</v>
      </c>
      <c r="C1213" t="s">
        <v>1</v>
      </c>
      <c r="D1213" t="s">
        <v>425</v>
      </c>
      <c r="E1213" t="s">
        <v>96</v>
      </c>
      <c r="F1213" t="s">
        <v>290</v>
      </c>
      <c r="G1213" t="s">
        <v>15</v>
      </c>
      <c r="H1213" t="s">
        <v>426</v>
      </c>
      <c r="J1213">
        <v>2</v>
      </c>
      <c r="K1213" t="s">
        <v>108</v>
      </c>
      <c r="L1213" t="s">
        <v>293</v>
      </c>
      <c r="M1213" t="s">
        <v>100</v>
      </c>
      <c r="N1213" t="s">
        <v>101</v>
      </c>
      <c r="O1213">
        <v>131</v>
      </c>
      <c r="Q1213">
        <v>745</v>
      </c>
      <c r="R1213">
        <v>131</v>
      </c>
      <c r="S1213">
        <v>4.25</v>
      </c>
      <c r="T1213">
        <v>3.5859999999999999</v>
      </c>
      <c r="U1213">
        <v>6.37</v>
      </c>
      <c r="V1213">
        <v>3166.8</v>
      </c>
      <c r="W1213">
        <v>836</v>
      </c>
      <c r="X1213">
        <v>1.3332999999999999</v>
      </c>
      <c r="Y1213">
        <v>645</v>
      </c>
      <c r="Z1213">
        <v>4.91</v>
      </c>
      <c r="AJ1213">
        <v>2</v>
      </c>
      <c r="AK1213">
        <v>18</v>
      </c>
      <c r="AM1213">
        <v>0</v>
      </c>
      <c r="AO1213" t="s">
        <v>427</v>
      </c>
      <c r="AT1213">
        <v>51</v>
      </c>
      <c r="AV1213">
        <v>75.400000000000006</v>
      </c>
      <c r="AW1213" t="s">
        <v>6</v>
      </c>
      <c r="AX1213" t="s">
        <v>6</v>
      </c>
      <c r="AY1213" t="s">
        <v>6</v>
      </c>
      <c r="AZ1213" t="s">
        <v>6</v>
      </c>
      <c r="BA1213" t="s">
        <v>6</v>
      </c>
      <c r="BB1213" t="s">
        <v>6</v>
      </c>
      <c r="BC1213" t="s">
        <v>6</v>
      </c>
      <c r="BD1213" t="s">
        <v>6</v>
      </c>
      <c r="BE1213" t="s">
        <v>6</v>
      </c>
      <c r="BF1213" t="s">
        <v>6</v>
      </c>
      <c r="BG1213" t="s">
        <v>6</v>
      </c>
      <c r="BH1213" t="s">
        <v>6</v>
      </c>
      <c r="BI1213" t="s">
        <v>6</v>
      </c>
      <c r="BJ1213" t="s">
        <v>6</v>
      </c>
      <c r="BN1213">
        <v>644.04330000000004</v>
      </c>
      <c r="BO1213">
        <v>2637</v>
      </c>
      <c r="BP1213">
        <v>0</v>
      </c>
      <c r="BQ1213">
        <v>45</v>
      </c>
      <c r="BR1213">
        <v>45</v>
      </c>
      <c r="BS1213">
        <v>44.69</v>
      </c>
      <c r="BT1213">
        <v>0</v>
      </c>
      <c r="BV1213">
        <v>0</v>
      </c>
      <c r="BW1213" t="s">
        <v>655</v>
      </c>
      <c r="BX1213">
        <v>0.17</v>
      </c>
      <c r="BY1213">
        <v>7.5972999999999997</v>
      </c>
      <c r="BZ1213">
        <v>0</v>
      </c>
      <c r="CA1213">
        <v>1</v>
      </c>
      <c r="CB1213">
        <v>0.6</v>
      </c>
      <c r="CC1213" s="3">
        <v>7.1269159999999998E-2</v>
      </c>
      <c r="CD1213">
        <v>2.875</v>
      </c>
      <c r="CE1213">
        <v>2.5</v>
      </c>
      <c r="CF1213">
        <v>18</v>
      </c>
      <c r="CG1213">
        <v>6</v>
      </c>
      <c r="CH1213">
        <v>0</v>
      </c>
      <c r="CI1213">
        <v>44.69</v>
      </c>
      <c r="CJ1213">
        <v>662.08569999999997</v>
      </c>
    </row>
    <row r="1214" spans="1:88">
      <c r="A1214">
        <v>1213</v>
      </c>
      <c r="B1214" t="s">
        <v>13</v>
      </c>
      <c r="C1214" t="s">
        <v>1</v>
      </c>
      <c r="D1214" t="s">
        <v>12</v>
      </c>
      <c r="E1214" t="s">
        <v>143</v>
      </c>
      <c r="F1214" t="s">
        <v>387</v>
      </c>
      <c r="G1214" t="s">
        <v>15</v>
      </c>
      <c r="H1214" t="s">
        <v>388</v>
      </c>
      <c r="J1214">
        <v>2</v>
      </c>
      <c r="K1214" t="s">
        <v>108</v>
      </c>
      <c r="L1214" t="s">
        <v>297</v>
      </c>
      <c r="M1214" t="s">
        <v>206</v>
      </c>
      <c r="N1214" t="s">
        <v>131</v>
      </c>
      <c r="O1214">
        <v>155</v>
      </c>
      <c r="Q1214">
        <v>833</v>
      </c>
      <c r="R1214">
        <v>125</v>
      </c>
      <c r="S1214">
        <v>4.25</v>
      </c>
      <c r="T1214">
        <v>4.1660000000000004</v>
      </c>
      <c r="U1214">
        <v>6.78</v>
      </c>
      <c r="V1214">
        <v>3540.08</v>
      </c>
      <c r="W1214">
        <v>851</v>
      </c>
      <c r="X1214">
        <v>1.3332999999999999</v>
      </c>
      <c r="Y1214">
        <v>645</v>
      </c>
      <c r="Z1214">
        <v>5.49</v>
      </c>
      <c r="AJ1214">
        <v>2</v>
      </c>
      <c r="AK1214">
        <v>18</v>
      </c>
      <c r="AM1214">
        <v>0</v>
      </c>
      <c r="AO1214" t="s">
        <v>389</v>
      </c>
      <c r="AT1214">
        <v>59</v>
      </c>
      <c r="AV1214">
        <v>72.099999999999994</v>
      </c>
      <c r="AW1214" t="s">
        <v>6</v>
      </c>
      <c r="AX1214" t="s">
        <v>6</v>
      </c>
      <c r="AY1214" t="s">
        <v>6</v>
      </c>
      <c r="AZ1214" t="s">
        <v>6</v>
      </c>
      <c r="BA1214" t="s">
        <v>6</v>
      </c>
      <c r="BB1214" t="s">
        <v>6</v>
      </c>
      <c r="BC1214" t="s">
        <v>6</v>
      </c>
      <c r="BD1214" t="s">
        <v>6</v>
      </c>
      <c r="BE1214" t="s">
        <v>6</v>
      </c>
      <c r="BF1214" t="s">
        <v>6</v>
      </c>
      <c r="BG1214" t="s">
        <v>6</v>
      </c>
      <c r="BH1214" t="s">
        <v>6</v>
      </c>
      <c r="BI1214" t="s">
        <v>6</v>
      </c>
      <c r="BJ1214" t="s">
        <v>6</v>
      </c>
      <c r="BN1214">
        <v>615.62959999999998</v>
      </c>
      <c r="BO1214">
        <v>2886</v>
      </c>
      <c r="BP1214">
        <v>0</v>
      </c>
      <c r="BQ1214">
        <v>53</v>
      </c>
      <c r="BR1214">
        <v>53</v>
      </c>
      <c r="BS1214">
        <v>53.04</v>
      </c>
      <c r="BT1214">
        <v>0</v>
      </c>
      <c r="BV1214">
        <v>0</v>
      </c>
      <c r="BW1214" t="s">
        <v>655</v>
      </c>
      <c r="BX1214">
        <v>0.17</v>
      </c>
      <c r="BY1214">
        <v>9.0167999999999999</v>
      </c>
      <c r="BZ1214">
        <v>0</v>
      </c>
      <c r="CA1214">
        <v>1</v>
      </c>
      <c r="CB1214">
        <v>0.6</v>
      </c>
      <c r="CC1214" s="3">
        <v>7.1269159999999998E-2</v>
      </c>
      <c r="CD1214">
        <v>2.875</v>
      </c>
      <c r="CE1214">
        <v>2.5</v>
      </c>
      <c r="CF1214">
        <v>18</v>
      </c>
      <c r="CG1214">
        <v>6</v>
      </c>
      <c r="CH1214">
        <v>0</v>
      </c>
      <c r="CI1214">
        <v>53.04</v>
      </c>
      <c r="CJ1214">
        <v>751.77059999999994</v>
      </c>
    </row>
    <row r="1215" spans="1:88">
      <c r="A1215">
        <v>1214</v>
      </c>
      <c r="B1215" t="s">
        <v>0</v>
      </c>
      <c r="C1215" t="s">
        <v>1</v>
      </c>
      <c r="D1215" t="s">
        <v>219</v>
      </c>
      <c r="E1215" t="s">
        <v>272</v>
      </c>
      <c r="F1215" t="s">
        <v>230</v>
      </c>
      <c r="G1215" t="s">
        <v>106</v>
      </c>
      <c r="H1215" t="s">
        <v>382</v>
      </c>
      <c r="J1215">
        <v>2</v>
      </c>
      <c r="K1215" t="s">
        <v>146</v>
      </c>
      <c r="L1215" t="s">
        <v>255</v>
      </c>
      <c r="M1215" t="s">
        <v>269</v>
      </c>
      <c r="N1215" t="s">
        <v>353</v>
      </c>
      <c r="O1215">
        <v>160</v>
      </c>
      <c r="Q1215">
        <v>408</v>
      </c>
      <c r="R1215">
        <v>64</v>
      </c>
      <c r="S1215">
        <v>4.25</v>
      </c>
      <c r="T1215">
        <v>4.2839999999999998</v>
      </c>
      <c r="U1215">
        <v>6.75</v>
      </c>
      <c r="V1215">
        <v>1735.14</v>
      </c>
      <c r="W1215">
        <v>430</v>
      </c>
      <c r="X1215">
        <v>1.3332999999999999</v>
      </c>
      <c r="Y1215">
        <v>309</v>
      </c>
      <c r="Z1215">
        <v>5.61</v>
      </c>
      <c r="AJ1215">
        <v>2</v>
      </c>
      <c r="AK1215">
        <v>18</v>
      </c>
      <c r="AM1215">
        <v>0</v>
      </c>
      <c r="AO1215" t="s">
        <v>318</v>
      </c>
      <c r="AT1215">
        <v>61</v>
      </c>
      <c r="AV1215">
        <v>33.9</v>
      </c>
      <c r="AW1215">
        <v>0</v>
      </c>
      <c r="AX1215">
        <v>0</v>
      </c>
      <c r="AY1215">
        <v>65.5</v>
      </c>
      <c r="AZ1215">
        <v>5.25</v>
      </c>
      <c r="BA1215">
        <v>0</v>
      </c>
      <c r="BB1215">
        <v>0</v>
      </c>
      <c r="BC1215">
        <v>70</v>
      </c>
      <c r="BN1215">
        <v>160.5</v>
      </c>
      <c r="BO1215">
        <v>4028</v>
      </c>
      <c r="BP1215">
        <v>0</v>
      </c>
      <c r="BQ1215">
        <v>55</v>
      </c>
      <c r="BR1215">
        <v>55</v>
      </c>
      <c r="BS1215">
        <v>54.78</v>
      </c>
      <c r="BT1215">
        <v>0</v>
      </c>
      <c r="BV1215">
        <v>0</v>
      </c>
      <c r="BW1215" t="s">
        <v>655</v>
      </c>
      <c r="BX1215">
        <v>0.17</v>
      </c>
      <c r="BY1215">
        <v>9.3125999999999998</v>
      </c>
      <c r="BZ1215">
        <v>0</v>
      </c>
      <c r="CA1215">
        <v>1</v>
      </c>
      <c r="CB1215">
        <v>0.6</v>
      </c>
      <c r="CC1215" s="3">
        <v>7.1269159999999998E-2</v>
      </c>
      <c r="CD1215">
        <v>2.875</v>
      </c>
      <c r="CE1215">
        <v>2.5</v>
      </c>
      <c r="CF1215">
        <v>18</v>
      </c>
      <c r="CG1215">
        <v>6</v>
      </c>
      <c r="CH1215">
        <v>0</v>
      </c>
      <c r="CI1215">
        <v>54.78</v>
      </c>
      <c r="CJ1215">
        <v>365.03559999999999</v>
      </c>
    </row>
    <row r="1216" spans="1:88">
      <c r="A1216">
        <v>1215</v>
      </c>
      <c r="B1216" t="s">
        <v>13</v>
      </c>
      <c r="C1216" t="s">
        <v>1</v>
      </c>
      <c r="D1216" t="s">
        <v>180</v>
      </c>
      <c r="E1216" t="s">
        <v>101</v>
      </c>
      <c r="F1216" t="s">
        <v>400</v>
      </c>
      <c r="G1216" t="s">
        <v>106</v>
      </c>
      <c r="H1216" t="s">
        <v>438</v>
      </c>
      <c r="J1216">
        <v>2</v>
      </c>
      <c r="K1216" t="s">
        <v>146</v>
      </c>
      <c r="L1216" t="s">
        <v>145</v>
      </c>
      <c r="M1216" t="s">
        <v>403</v>
      </c>
      <c r="N1216" t="s">
        <v>172</v>
      </c>
      <c r="O1216">
        <v>134</v>
      </c>
      <c r="Q1216">
        <v>336</v>
      </c>
      <c r="R1216">
        <v>62</v>
      </c>
      <c r="S1216">
        <v>4.25</v>
      </c>
      <c r="T1216">
        <v>3.66</v>
      </c>
      <c r="U1216">
        <v>6.41</v>
      </c>
      <c r="V1216">
        <v>1426.17</v>
      </c>
      <c r="W1216">
        <v>397</v>
      </c>
      <c r="X1216">
        <v>1.5</v>
      </c>
      <c r="Y1216">
        <v>276</v>
      </c>
      <c r="Z1216">
        <v>5.16</v>
      </c>
      <c r="AJ1216">
        <v>2</v>
      </c>
      <c r="AK1216">
        <v>18</v>
      </c>
      <c r="AM1216">
        <v>0</v>
      </c>
      <c r="AO1216" t="s">
        <v>467</v>
      </c>
      <c r="AT1216">
        <v>52</v>
      </c>
      <c r="AV1216">
        <v>32.799999999999997</v>
      </c>
      <c r="AW1216">
        <v>0</v>
      </c>
      <c r="AX1216">
        <v>0</v>
      </c>
      <c r="AY1216">
        <v>51.5</v>
      </c>
      <c r="AZ1216">
        <v>4.5</v>
      </c>
      <c r="BA1216">
        <v>0</v>
      </c>
      <c r="BB1216">
        <v>0</v>
      </c>
      <c r="BC1216">
        <v>52</v>
      </c>
      <c r="BN1216">
        <v>155.15</v>
      </c>
      <c r="BO1216">
        <v>4311</v>
      </c>
      <c r="BP1216">
        <v>0</v>
      </c>
      <c r="BQ1216">
        <v>46</v>
      </c>
      <c r="BR1216">
        <v>46</v>
      </c>
      <c r="BS1216">
        <v>45.73</v>
      </c>
      <c r="BT1216">
        <v>0</v>
      </c>
      <c r="BV1216">
        <v>0</v>
      </c>
      <c r="BW1216" t="s">
        <v>655</v>
      </c>
      <c r="BX1216">
        <v>0.17</v>
      </c>
      <c r="BY1216">
        <v>7.7740999999999998</v>
      </c>
      <c r="BZ1216">
        <v>0</v>
      </c>
      <c r="CA1216">
        <v>1</v>
      </c>
      <c r="CB1216">
        <v>0.6</v>
      </c>
      <c r="CC1216" s="3">
        <v>7.1269159999999998E-2</v>
      </c>
      <c r="CD1216">
        <v>2.875</v>
      </c>
      <c r="CE1216">
        <v>2.5</v>
      </c>
      <c r="CF1216">
        <v>18</v>
      </c>
      <c r="CG1216">
        <v>6</v>
      </c>
      <c r="CH1216">
        <v>0</v>
      </c>
      <c r="CI1216">
        <v>45.73</v>
      </c>
      <c r="CJ1216">
        <v>294.952</v>
      </c>
    </row>
    <row r="1217" spans="1:88">
      <c r="A1217">
        <v>1216</v>
      </c>
      <c r="B1217" t="s">
        <v>0</v>
      </c>
      <c r="C1217" t="s">
        <v>1</v>
      </c>
      <c r="D1217" t="s">
        <v>224</v>
      </c>
      <c r="E1217" t="s">
        <v>169</v>
      </c>
      <c r="F1217" t="s">
        <v>355</v>
      </c>
      <c r="G1217" t="s">
        <v>106</v>
      </c>
      <c r="H1217" t="s">
        <v>356</v>
      </c>
      <c r="J1217">
        <v>2</v>
      </c>
      <c r="K1217" t="s">
        <v>146</v>
      </c>
      <c r="L1217" t="s">
        <v>381</v>
      </c>
      <c r="M1217" t="s">
        <v>173</v>
      </c>
      <c r="N1217" t="s">
        <v>174</v>
      </c>
      <c r="O1217">
        <v>119</v>
      </c>
      <c r="Q1217">
        <v>239</v>
      </c>
      <c r="R1217">
        <v>46</v>
      </c>
      <c r="S1217">
        <v>4.25</v>
      </c>
      <c r="T1217">
        <v>3.2829999999999999</v>
      </c>
      <c r="U1217">
        <v>6.15</v>
      </c>
      <c r="V1217">
        <v>1017.06</v>
      </c>
      <c r="W1217">
        <v>283</v>
      </c>
      <c r="X1217">
        <v>1.3332999999999999</v>
      </c>
      <c r="Y1217">
        <v>221</v>
      </c>
      <c r="Z1217">
        <v>4.6100000000000003</v>
      </c>
      <c r="AJ1217">
        <v>2</v>
      </c>
      <c r="AK1217">
        <v>18</v>
      </c>
      <c r="AM1217">
        <v>0</v>
      </c>
      <c r="AO1217" t="s">
        <v>333</v>
      </c>
      <c r="AT1217">
        <v>47</v>
      </c>
      <c r="AV1217">
        <v>25.9</v>
      </c>
      <c r="AW1217">
        <v>0</v>
      </c>
      <c r="AX1217">
        <v>0</v>
      </c>
      <c r="AY1217">
        <v>29.25</v>
      </c>
      <c r="AZ1217">
        <v>3.5</v>
      </c>
      <c r="BA1217">
        <v>0</v>
      </c>
      <c r="BB1217">
        <v>0</v>
      </c>
      <c r="BC1217">
        <v>26</v>
      </c>
      <c r="BN1217">
        <v>121.2667</v>
      </c>
      <c r="BO1217">
        <v>7056</v>
      </c>
      <c r="BP1217">
        <v>0</v>
      </c>
      <c r="BQ1217">
        <v>41</v>
      </c>
      <c r="BR1217">
        <v>41</v>
      </c>
      <c r="BS1217">
        <v>40.520000000000003</v>
      </c>
      <c r="BT1217">
        <v>0</v>
      </c>
      <c r="BV1217">
        <v>0</v>
      </c>
      <c r="BW1217" t="s">
        <v>655</v>
      </c>
      <c r="BX1217">
        <v>0.17</v>
      </c>
      <c r="BY1217">
        <v>6.8883999999999999</v>
      </c>
      <c r="BZ1217">
        <v>0</v>
      </c>
      <c r="CA1217">
        <v>1</v>
      </c>
      <c r="CB1217">
        <v>0.6</v>
      </c>
      <c r="CC1217" s="3">
        <v>7.1269159999999998E-2</v>
      </c>
      <c r="CD1217">
        <v>2.875</v>
      </c>
      <c r="CE1217">
        <v>2.5</v>
      </c>
      <c r="CF1217">
        <v>18</v>
      </c>
      <c r="CG1217">
        <v>6</v>
      </c>
      <c r="CH1217">
        <v>0</v>
      </c>
      <c r="CI1217">
        <v>40.520000000000003</v>
      </c>
      <c r="CJ1217">
        <v>206.4796</v>
      </c>
    </row>
    <row r="1218" spans="1:88">
      <c r="A1218">
        <v>1217</v>
      </c>
      <c r="B1218" t="s">
        <v>0</v>
      </c>
      <c r="C1218" t="s">
        <v>1</v>
      </c>
      <c r="D1218" t="s">
        <v>2</v>
      </c>
      <c r="E1218" t="s">
        <v>178</v>
      </c>
      <c r="F1218" t="s">
        <v>154</v>
      </c>
      <c r="G1218" t="s">
        <v>106</v>
      </c>
      <c r="H1218" t="s">
        <v>217</v>
      </c>
      <c r="J1218">
        <v>2</v>
      </c>
      <c r="K1218" t="s">
        <v>146</v>
      </c>
      <c r="L1218" t="s">
        <v>127</v>
      </c>
      <c r="M1218" t="s">
        <v>179</v>
      </c>
      <c r="N1218" t="s">
        <v>180</v>
      </c>
      <c r="O1218">
        <v>95</v>
      </c>
      <c r="Q1218">
        <v>270</v>
      </c>
      <c r="R1218">
        <v>67</v>
      </c>
      <c r="S1218">
        <v>4.25</v>
      </c>
      <c r="T1218">
        <v>2.649</v>
      </c>
      <c r="U1218">
        <v>5.81</v>
      </c>
      <c r="V1218">
        <v>1146.22</v>
      </c>
      <c r="W1218">
        <v>390</v>
      </c>
      <c r="X1218">
        <v>1.3332999999999999</v>
      </c>
      <c r="Y1218">
        <v>288</v>
      </c>
      <c r="Z1218">
        <v>3.98</v>
      </c>
      <c r="AJ1218">
        <v>2</v>
      </c>
      <c r="AK1218">
        <v>18</v>
      </c>
      <c r="AM1218">
        <v>0</v>
      </c>
      <c r="AO1218" t="s">
        <v>218</v>
      </c>
      <c r="AT1218">
        <v>38</v>
      </c>
      <c r="AV1218">
        <v>36.1</v>
      </c>
      <c r="AW1218">
        <v>0</v>
      </c>
      <c r="AX1218">
        <v>0</v>
      </c>
      <c r="AY1218">
        <v>33.75</v>
      </c>
      <c r="AZ1218">
        <v>3.25</v>
      </c>
      <c r="BA1218">
        <v>0</v>
      </c>
      <c r="BB1218">
        <v>0</v>
      </c>
      <c r="BC1218">
        <v>32</v>
      </c>
      <c r="BN1218">
        <v>171.2</v>
      </c>
      <c r="BO1218">
        <v>3540</v>
      </c>
      <c r="BP1218">
        <v>0</v>
      </c>
      <c r="BQ1218">
        <v>32</v>
      </c>
      <c r="BR1218">
        <v>32</v>
      </c>
      <c r="BS1218">
        <v>32.17</v>
      </c>
      <c r="BT1218">
        <v>0</v>
      </c>
      <c r="BV1218">
        <v>0</v>
      </c>
      <c r="BW1218" t="s">
        <v>655</v>
      </c>
      <c r="BX1218">
        <v>0.17</v>
      </c>
      <c r="BY1218">
        <v>5.4688999999999997</v>
      </c>
      <c r="BZ1218">
        <v>0</v>
      </c>
      <c r="CA1218">
        <v>1</v>
      </c>
      <c r="CB1218">
        <v>0.6</v>
      </c>
      <c r="CC1218" s="3">
        <v>7.1269159999999998E-2</v>
      </c>
      <c r="CD1218">
        <v>2.875</v>
      </c>
      <c r="CE1218">
        <v>2.5</v>
      </c>
      <c r="CF1218">
        <v>18</v>
      </c>
      <c r="CG1218">
        <v>6</v>
      </c>
      <c r="CH1218">
        <v>0</v>
      </c>
      <c r="CI1218">
        <v>32.17</v>
      </c>
      <c r="CJ1218">
        <v>228.12649999999999</v>
      </c>
    </row>
    <row r="1219" spans="1:88">
      <c r="A1219">
        <v>1218</v>
      </c>
      <c r="B1219" t="s">
        <v>0</v>
      </c>
      <c r="C1219" t="s">
        <v>1</v>
      </c>
      <c r="D1219" t="s">
        <v>3</v>
      </c>
      <c r="E1219" t="s">
        <v>363</v>
      </c>
      <c r="F1219" t="s">
        <v>306</v>
      </c>
      <c r="G1219" t="s">
        <v>106</v>
      </c>
      <c r="H1219" t="s">
        <v>307</v>
      </c>
      <c r="J1219">
        <v>2</v>
      </c>
      <c r="K1219" t="s">
        <v>146</v>
      </c>
      <c r="L1219" t="s">
        <v>120</v>
      </c>
      <c r="M1219" t="s">
        <v>461</v>
      </c>
      <c r="N1219" t="s">
        <v>165</v>
      </c>
      <c r="O1219">
        <v>145</v>
      </c>
      <c r="Q1219">
        <v>466</v>
      </c>
      <c r="R1219">
        <v>77</v>
      </c>
      <c r="S1219">
        <v>4.25</v>
      </c>
      <c r="T1219">
        <v>3.9279999999999999</v>
      </c>
      <c r="U1219">
        <v>6.63</v>
      </c>
      <c r="V1219">
        <v>1980.88</v>
      </c>
      <c r="W1219">
        <v>513</v>
      </c>
      <c r="X1219">
        <v>1.3332999999999999</v>
      </c>
      <c r="Y1219">
        <v>377</v>
      </c>
      <c r="Z1219">
        <v>5.26</v>
      </c>
      <c r="AJ1219">
        <v>2</v>
      </c>
      <c r="AK1219">
        <v>18</v>
      </c>
      <c r="AM1219">
        <v>0</v>
      </c>
      <c r="AO1219" t="s">
        <v>308</v>
      </c>
      <c r="AT1219">
        <v>56</v>
      </c>
      <c r="AV1219">
        <v>42.6</v>
      </c>
      <c r="AW1219">
        <v>0</v>
      </c>
      <c r="AX1219">
        <v>0</v>
      </c>
      <c r="AY1219">
        <v>53.875</v>
      </c>
      <c r="AZ1219">
        <v>4.875</v>
      </c>
      <c r="BA1219">
        <v>0</v>
      </c>
      <c r="BB1219">
        <v>0</v>
      </c>
      <c r="BC1219">
        <v>58</v>
      </c>
      <c r="BN1219">
        <v>203.3</v>
      </c>
      <c r="BO1219">
        <v>2511</v>
      </c>
      <c r="BP1219">
        <v>0</v>
      </c>
      <c r="BQ1219">
        <v>50</v>
      </c>
      <c r="BR1219">
        <v>50</v>
      </c>
      <c r="BS1219">
        <v>49.56</v>
      </c>
      <c r="BT1219">
        <v>0</v>
      </c>
      <c r="BV1219">
        <v>0</v>
      </c>
      <c r="BW1219" t="s">
        <v>655</v>
      </c>
      <c r="BX1219">
        <v>0.17</v>
      </c>
      <c r="BY1219">
        <v>8.4252009999999995</v>
      </c>
      <c r="BZ1219">
        <v>0</v>
      </c>
      <c r="CA1219">
        <v>1</v>
      </c>
      <c r="CB1219">
        <v>0.6</v>
      </c>
      <c r="CC1219" s="3">
        <v>7.1269159999999998E-2</v>
      </c>
      <c r="CD1219">
        <v>2.875</v>
      </c>
      <c r="CE1219">
        <v>2.5</v>
      </c>
      <c r="CF1219">
        <v>18</v>
      </c>
      <c r="CG1219">
        <v>6</v>
      </c>
      <c r="CH1219">
        <v>0</v>
      </c>
      <c r="CI1219">
        <v>49.56</v>
      </c>
      <c r="CJ1219">
        <v>415.02170000000001</v>
      </c>
    </row>
    <row r="1220" spans="1:88">
      <c r="A1220">
        <v>1219</v>
      </c>
      <c r="B1220" t="s">
        <v>0</v>
      </c>
      <c r="C1220" t="s">
        <v>1</v>
      </c>
      <c r="D1220" t="s">
        <v>241</v>
      </c>
      <c r="E1220" t="s">
        <v>219</v>
      </c>
      <c r="F1220" t="s">
        <v>345</v>
      </c>
      <c r="G1220" t="s">
        <v>106</v>
      </c>
      <c r="H1220" t="s">
        <v>283</v>
      </c>
      <c r="J1220">
        <v>2</v>
      </c>
      <c r="K1220" t="s">
        <v>146</v>
      </c>
      <c r="L1220" t="s">
        <v>369</v>
      </c>
      <c r="M1220" t="s">
        <v>220</v>
      </c>
      <c r="N1220" t="s">
        <v>221</v>
      </c>
      <c r="O1220">
        <v>101</v>
      </c>
      <c r="Q1220">
        <v>232</v>
      </c>
      <c r="R1220">
        <v>51</v>
      </c>
      <c r="S1220">
        <v>4.25</v>
      </c>
      <c r="T1220">
        <v>2.8119999999999998</v>
      </c>
      <c r="U1220">
        <v>5.92</v>
      </c>
      <c r="V1220">
        <v>984.25</v>
      </c>
      <c r="W1220">
        <v>303</v>
      </c>
      <c r="X1220">
        <v>1.3332999999999999</v>
      </c>
      <c r="Y1220">
        <v>238</v>
      </c>
      <c r="Z1220">
        <v>4.1399999999999997</v>
      </c>
      <c r="AJ1220">
        <v>2</v>
      </c>
      <c r="AK1220">
        <v>18</v>
      </c>
      <c r="AM1220">
        <v>0</v>
      </c>
      <c r="AO1220" t="s">
        <v>374</v>
      </c>
      <c r="AT1220">
        <v>40</v>
      </c>
      <c r="AV1220">
        <v>29.2</v>
      </c>
      <c r="AW1220">
        <v>0</v>
      </c>
      <c r="AX1220">
        <v>0</v>
      </c>
      <c r="AY1220">
        <v>27.125</v>
      </c>
      <c r="AZ1220">
        <v>3.125</v>
      </c>
      <c r="BA1220">
        <v>0</v>
      </c>
      <c r="BB1220">
        <v>0</v>
      </c>
      <c r="BC1220">
        <v>24</v>
      </c>
      <c r="BN1220">
        <v>137.3167</v>
      </c>
      <c r="BO1220">
        <v>5503</v>
      </c>
      <c r="BP1220">
        <v>0</v>
      </c>
      <c r="BQ1220">
        <v>34</v>
      </c>
      <c r="BR1220">
        <v>34</v>
      </c>
      <c r="BS1220">
        <v>34.26</v>
      </c>
      <c r="BT1220">
        <v>0</v>
      </c>
      <c r="BV1220">
        <v>0</v>
      </c>
      <c r="BW1220" t="s">
        <v>655</v>
      </c>
      <c r="BX1220">
        <v>0.17</v>
      </c>
      <c r="BY1220">
        <v>5.8242000000000003</v>
      </c>
      <c r="BZ1220">
        <v>0</v>
      </c>
      <c r="CA1220">
        <v>1</v>
      </c>
      <c r="CB1220">
        <v>0.6</v>
      </c>
      <c r="CC1220" s="3">
        <v>7.1269159999999998E-2</v>
      </c>
      <c r="CD1220">
        <v>2.875</v>
      </c>
      <c r="CE1220">
        <v>2.5</v>
      </c>
      <c r="CF1220">
        <v>18</v>
      </c>
      <c r="CG1220">
        <v>6</v>
      </c>
      <c r="CH1220">
        <v>0</v>
      </c>
      <c r="CI1220">
        <v>34.26</v>
      </c>
      <c r="CJ1220">
        <v>196.55529999999999</v>
      </c>
    </row>
    <row r="1221" spans="1:88">
      <c r="A1221">
        <v>1220</v>
      </c>
      <c r="B1221" t="s">
        <v>0</v>
      </c>
      <c r="C1221" t="s">
        <v>1</v>
      </c>
      <c r="D1221" t="s">
        <v>180</v>
      </c>
      <c r="E1221" t="s">
        <v>221</v>
      </c>
      <c r="F1221" t="s">
        <v>400</v>
      </c>
      <c r="G1221" t="s">
        <v>106</v>
      </c>
      <c r="H1221" t="s">
        <v>438</v>
      </c>
      <c r="J1221">
        <v>2</v>
      </c>
      <c r="K1221" t="s">
        <v>146</v>
      </c>
      <c r="L1221" t="s">
        <v>307</v>
      </c>
      <c r="M1221" t="s">
        <v>379</v>
      </c>
      <c r="N1221" t="s">
        <v>2</v>
      </c>
      <c r="O1221">
        <v>104</v>
      </c>
      <c r="Q1221">
        <v>267</v>
      </c>
      <c r="R1221">
        <v>62</v>
      </c>
      <c r="S1221">
        <v>4.25</v>
      </c>
      <c r="T1221">
        <v>2.8919999999999999</v>
      </c>
      <c r="U1221">
        <v>6</v>
      </c>
      <c r="V1221">
        <v>1132.75</v>
      </c>
      <c r="W1221">
        <v>371</v>
      </c>
      <c r="X1221">
        <v>1.5</v>
      </c>
      <c r="Y1221">
        <v>258</v>
      </c>
      <c r="Z1221">
        <v>4.3899999999999997</v>
      </c>
      <c r="AJ1221">
        <v>2</v>
      </c>
      <c r="AK1221">
        <v>18</v>
      </c>
      <c r="AM1221">
        <v>0</v>
      </c>
      <c r="AO1221" t="s">
        <v>467</v>
      </c>
      <c r="AT1221">
        <v>41</v>
      </c>
      <c r="AV1221">
        <v>32.799999999999997</v>
      </c>
      <c r="AW1221">
        <v>0</v>
      </c>
      <c r="AX1221">
        <v>0</v>
      </c>
      <c r="AY1221">
        <v>37.75</v>
      </c>
      <c r="AZ1221">
        <v>3.625</v>
      </c>
      <c r="BA1221">
        <v>0</v>
      </c>
      <c r="BB1221">
        <v>0</v>
      </c>
      <c r="BC1221">
        <v>36</v>
      </c>
      <c r="BN1221">
        <v>155.15</v>
      </c>
      <c r="BO1221">
        <v>4311</v>
      </c>
      <c r="BP1221">
        <v>0</v>
      </c>
      <c r="BQ1221">
        <v>35</v>
      </c>
      <c r="BR1221">
        <v>35</v>
      </c>
      <c r="BS1221">
        <v>35.299999999999997</v>
      </c>
      <c r="BT1221">
        <v>0</v>
      </c>
      <c r="BV1221">
        <v>0</v>
      </c>
      <c r="BW1221" t="s">
        <v>655</v>
      </c>
      <c r="BX1221">
        <v>0.17</v>
      </c>
      <c r="BY1221">
        <v>6.0010000000000003</v>
      </c>
      <c r="BZ1221">
        <v>0</v>
      </c>
      <c r="CA1221">
        <v>1</v>
      </c>
      <c r="CB1221">
        <v>0.6</v>
      </c>
      <c r="CC1221" s="3">
        <v>7.1269159999999998E-2</v>
      </c>
      <c r="CD1221">
        <v>2.875</v>
      </c>
      <c r="CE1221">
        <v>2.5</v>
      </c>
      <c r="CF1221">
        <v>18</v>
      </c>
      <c r="CG1221">
        <v>6</v>
      </c>
      <c r="CH1221">
        <v>0</v>
      </c>
      <c r="CI1221">
        <v>35.299999999999997</v>
      </c>
      <c r="CJ1221">
        <v>227.68</v>
      </c>
    </row>
    <row r="1222" spans="1:88">
      <c r="A1222">
        <v>1221</v>
      </c>
      <c r="B1222" t="s">
        <v>0</v>
      </c>
      <c r="C1222" t="s">
        <v>1</v>
      </c>
      <c r="D1222" t="s">
        <v>434</v>
      </c>
      <c r="E1222" t="s">
        <v>113</v>
      </c>
      <c r="F1222" t="s">
        <v>494</v>
      </c>
      <c r="G1222" t="s">
        <v>214</v>
      </c>
      <c r="H1222" t="s">
        <v>495</v>
      </c>
      <c r="J1222">
        <v>2</v>
      </c>
      <c r="K1222" t="s">
        <v>108</v>
      </c>
      <c r="L1222" t="s">
        <v>116</v>
      </c>
      <c r="M1222" t="s">
        <v>117</v>
      </c>
      <c r="N1222" t="s">
        <v>14</v>
      </c>
      <c r="O1222">
        <v>179</v>
      </c>
      <c r="Q1222">
        <v>867</v>
      </c>
      <c r="R1222">
        <v>114</v>
      </c>
      <c r="S1222">
        <v>4.25</v>
      </c>
      <c r="T1222">
        <v>4.7190000000000003</v>
      </c>
      <c r="U1222">
        <v>7.05</v>
      </c>
      <c r="V1222">
        <v>3686.66</v>
      </c>
      <c r="W1222">
        <v>805</v>
      </c>
      <c r="X1222">
        <v>1.3332999999999999</v>
      </c>
      <c r="Y1222">
        <v>609</v>
      </c>
      <c r="Z1222">
        <v>6.05</v>
      </c>
      <c r="AJ1222">
        <v>2</v>
      </c>
      <c r="AK1222">
        <v>18</v>
      </c>
      <c r="AM1222">
        <v>0</v>
      </c>
      <c r="AO1222" t="s">
        <v>496</v>
      </c>
      <c r="AT1222">
        <v>68</v>
      </c>
      <c r="AV1222">
        <v>65.599999999999994</v>
      </c>
      <c r="AW1222" t="s">
        <v>6</v>
      </c>
      <c r="AX1222" t="s">
        <v>6</v>
      </c>
      <c r="AY1222" t="s">
        <v>6</v>
      </c>
      <c r="AZ1222" t="s">
        <v>6</v>
      </c>
      <c r="BA1222" t="s">
        <v>6</v>
      </c>
      <c r="BB1222" t="s">
        <v>6</v>
      </c>
      <c r="BC1222" t="s">
        <v>6</v>
      </c>
      <c r="BD1222" t="s">
        <v>6</v>
      </c>
      <c r="BE1222" t="s">
        <v>6</v>
      </c>
      <c r="BF1222" t="s">
        <v>6</v>
      </c>
      <c r="BG1222" t="s">
        <v>6</v>
      </c>
      <c r="BH1222" t="s">
        <v>6</v>
      </c>
      <c r="BI1222" t="s">
        <v>6</v>
      </c>
      <c r="BJ1222" t="s">
        <v>6</v>
      </c>
      <c r="BN1222">
        <v>318.30500000000001</v>
      </c>
      <c r="BO1222">
        <v>1285</v>
      </c>
      <c r="BP1222">
        <v>0</v>
      </c>
      <c r="BQ1222">
        <v>61</v>
      </c>
      <c r="BR1222">
        <v>61</v>
      </c>
      <c r="BS1222">
        <v>61.39</v>
      </c>
      <c r="BT1222">
        <v>0</v>
      </c>
      <c r="BV1222">
        <v>0</v>
      </c>
      <c r="BW1222" t="s">
        <v>655</v>
      </c>
      <c r="BX1222">
        <v>0.17</v>
      </c>
      <c r="BY1222">
        <v>10.436299999999999</v>
      </c>
      <c r="BZ1222">
        <v>0</v>
      </c>
      <c r="CA1222">
        <v>1</v>
      </c>
      <c r="CB1222">
        <v>0.6</v>
      </c>
      <c r="CC1222" s="3">
        <v>7.1269159999999998E-2</v>
      </c>
      <c r="CD1222">
        <v>2.875</v>
      </c>
      <c r="CE1222">
        <v>2.5</v>
      </c>
      <c r="CF1222">
        <v>18</v>
      </c>
      <c r="CG1222">
        <v>6</v>
      </c>
      <c r="CH1222">
        <v>0</v>
      </c>
      <c r="CI1222">
        <v>61.39</v>
      </c>
      <c r="CJ1222">
        <v>791.36670000000004</v>
      </c>
    </row>
    <row r="1223" spans="1:88">
      <c r="A1223">
        <v>1222</v>
      </c>
      <c r="B1223" t="s">
        <v>0</v>
      </c>
      <c r="C1223" t="s">
        <v>1</v>
      </c>
      <c r="D1223" t="s">
        <v>96</v>
      </c>
      <c r="E1223" t="s">
        <v>150</v>
      </c>
      <c r="F1223" t="s">
        <v>198</v>
      </c>
      <c r="G1223" t="s">
        <v>106</v>
      </c>
      <c r="H1223" t="s">
        <v>162</v>
      </c>
      <c r="J1223">
        <v>2</v>
      </c>
      <c r="K1223" t="s">
        <v>146</v>
      </c>
      <c r="L1223" t="s">
        <v>96</v>
      </c>
      <c r="M1223" t="s">
        <v>159</v>
      </c>
      <c r="N1223" t="s">
        <v>130</v>
      </c>
      <c r="O1223">
        <v>111</v>
      </c>
      <c r="Q1223">
        <v>383</v>
      </c>
      <c r="R1223">
        <v>81</v>
      </c>
      <c r="S1223">
        <v>4.25</v>
      </c>
      <c r="T1223">
        <v>3.0760000000000001</v>
      </c>
      <c r="U1223">
        <v>6.14</v>
      </c>
      <c r="V1223">
        <v>1629.11</v>
      </c>
      <c r="W1223">
        <v>496</v>
      </c>
      <c r="X1223">
        <v>1.3332999999999999</v>
      </c>
      <c r="Y1223">
        <v>370</v>
      </c>
      <c r="Z1223">
        <v>4.4000000000000004</v>
      </c>
      <c r="AJ1223">
        <v>2</v>
      </c>
      <c r="AK1223">
        <v>18</v>
      </c>
      <c r="AM1223">
        <v>0</v>
      </c>
      <c r="AO1223" t="s">
        <v>166</v>
      </c>
      <c r="AT1223">
        <v>44</v>
      </c>
      <c r="AV1223">
        <v>44.8</v>
      </c>
      <c r="AW1223">
        <v>0</v>
      </c>
      <c r="AX1223">
        <v>0</v>
      </c>
      <c r="AY1223">
        <v>38.375</v>
      </c>
      <c r="AZ1223">
        <v>3.875</v>
      </c>
      <c r="BA1223">
        <v>0</v>
      </c>
      <c r="BB1223">
        <v>0</v>
      </c>
      <c r="BC1223">
        <v>39</v>
      </c>
      <c r="BN1223">
        <v>214</v>
      </c>
      <c r="BO1223">
        <v>2266</v>
      </c>
      <c r="BP1223">
        <v>0</v>
      </c>
      <c r="BQ1223">
        <v>38</v>
      </c>
      <c r="BR1223">
        <v>38</v>
      </c>
      <c r="BS1223">
        <v>37.729999999999997</v>
      </c>
      <c r="BT1223">
        <v>0</v>
      </c>
      <c r="BV1223">
        <v>0</v>
      </c>
      <c r="BW1223" t="s">
        <v>655</v>
      </c>
      <c r="BX1223">
        <v>0.17</v>
      </c>
      <c r="BY1223">
        <v>6.4141000000000004</v>
      </c>
      <c r="BZ1223">
        <v>0</v>
      </c>
      <c r="CA1223">
        <v>1</v>
      </c>
      <c r="CB1223">
        <v>0.6</v>
      </c>
      <c r="CC1223" s="3">
        <v>7.1269159999999998E-2</v>
      </c>
      <c r="CD1223">
        <v>2.875</v>
      </c>
      <c r="CE1223">
        <v>2.5</v>
      </c>
      <c r="CF1223">
        <v>18</v>
      </c>
      <c r="CG1223">
        <v>6</v>
      </c>
      <c r="CH1223">
        <v>0</v>
      </c>
      <c r="CI1223">
        <v>37.729999999999997</v>
      </c>
      <c r="CJ1223">
        <v>332.08969999999999</v>
      </c>
    </row>
    <row r="1224" spans="1:88">
      <c r="A1224">
        <v>1223</v>
      </c>
      <c r="B1224" t="s">
        <v>0</v>
      </c>
      <c r="C1224" t="s">
        <v>1</v>
      </c>
      <c r="D1224" t="s">
        <v>476</v>
      </c>
      <c r="E1224" t="s">
        <v>101</v>
      </c>
      <c r="F1224" t="s">
        <v>477</v>
      </c>
      <c r="G1224" t="s">
        <v>106</v>
      </c>
      <c r="H1224" t="s">
        <v>478</v>
      </c>
      <c r="J1224">
        <v>2</v>
      </c>
      <c r="K1224" t="s">
        <v>108</v>
      </c>
      <c r="L1224" t="s">
        <v>145</v>
      </c>
      <c r="M1224" t="s">
        <v>403</v>
      </c>
      <c r="N1224" t="s">
        <v>172</v>
      </c>
      <c r="O1224">
        <v>134</v>
      </c>
      <c r="Q1224">
        <v>583</v>
      </c>
      <c r="R1224">
        <v>101</v>
      </c>
      <c r="S1224">
        <v>4.25</v>
      </c>
      <c r="T1224">
        <v>3.66</v>
      </c>
      <c r="U1224">
        <v>6.41</v>
      </c>
      <c r="V1224">
        <v>2478.7199999999998</v>
      </c>
      <c r="W1224">
        <v>648</v>
      </c>
      <c r="X1224">
        <v>1.3332999999999999</v>
      </c>
      <c r="Y1224">
        <v>497</v>
      </c>
      <c r="Z1224">
        <v>4.99</v>
      </c>
      <c r="AJ1224">
        <v>2</v>
      </c>
      <c r="AK1224">
        <v>18</v>
      </c>
      <c r="AM1224">
        <v>0</v>
      </c>
      <c r="AO1224" t="s">
        <v>479</v>
      </c>
      <c r="AT1224">
        <v>52</v>
      </c>
      <c r="AV1224">
        <v>57.6</v>
      </c>
      <c r="AW1224">
        <v>0.46875</v>
      </c>
      <c r="AX1224">
        <v>3.75</v>
      </c>
      <c r="AY1224">
        <v>51.375</v>
      </c>
      <c r="AZ1224">
        <v>4.625</v>
      </c>
      <c r="BA1224">
        <v>394.95</v>
      </c>
      <c r="BB1224">
        <v>4.99</v>
      </c>
      <c r="BC1224">
        <v>55</v>
      </c>
      <c r="BD1224">
        <v>0.3125</v>
      </c>
      <c r="BE1224">
        <v>2.75</v>
      </c>
      <c r="BF1224">
        <v>35.375</v>
      </c>
      <c r="BG1224">
        <v>3.125</v>
      </c>
      <c r="BH1224">
        <v>101.78</v>
      </c>
      <c r="BI1224">
        <v>6.28</v>
      </c>
      <c r="BJ1224">
        <v>19</v>
      </c>
      <c r="BL1224">
        <v>496.73</v>
      </c>
      <c r="BM1224">
        <v>73</v>
      </c>
      <c r="BN1224">
        <v>276.41669999999999</v>
      </c>
      <c r="BO1224">
        <v>1358</v>
      </c>
      <c r="BP1224">
        <v>0</v>
      </c>
      <c r="BQ1224">
        <v>46</v>
      </c>
      <c r="BR1224">
        <v>46</v>
      </c>
      <c r="BS1224">
        <v>45.73</v>
      </c>
      <c r="BT1224">
        <v>0</v>
      </c>
      <c r="BV1224">
        <v>0</v>
      </c>
      <c r="BW1224" t="s">
        <v>655</v>
      </c>
      <c r="BX1224">
        <v>0.17</v>
      </c>
      <c r="BY1224">
        <v>7.7740999999999998</v>
      </c>
      <c r="BZ1224">
        <v>0</v>
      </c>
      <c r="CA1224">
        <v>1</v>
      </c>
      <c r="CB1224">
        <v>0.6</v>
      </c>
      <c r="CC1224" s="3">
        <v>7.1269159999999998E-2</v>
      </c>
      <c r="CD1224">
        <v>2.875</v>
      </c>
      <c r="CE1224">
        <v>2.5</v>
      </c>
      <c r="CF1224">
        <v>18</v>
      </c>
      <c r="CG1224">
        <v>6</v>
      </c>
      <c r="CH1224">
        <v>0</v>
      </c>
      <c r="CI1224">
        <v>45.73</v>
      </c>
      <c r="CJ1224">
        <v>517.79560000000004</v>
      </c>
    </row>
    <row r="1225" spans="1:88">
      <c r="A1225">
        <v>1224</v>
      </c>
      <c r="B1225" t="s">
        <v>0</v>
      </c>
      <c r="C1225" t="s">
        <v>1</v>
      </c>
      <c r="D1225" t="s">
        <v>282</v>
      </c>
      <c r="E1225" t="s">
        <v>2</v>
      </c>
      <c r="F1225" t="s">
        <v>450</v>
      </c>
      <c r="G1225" t="s">
        <v>214</v>
      </c>
      <c r="H1225" t="s">
        <v>451</v>
      </c>
      <c r="J1225">
        <v>2</v>
      </c>
      <c r="K1225" t="s">
        <v>108</v>
      </c>
      <c r="L1225" t="s">
        <v>122</v>
      </c>
      <c r="M1225" t="s">
        <v>4</v>
      </c>
      <c r="N1225" t="s">
        <v>5</v>
      </c>
      <c r="O1225">
        <v>107</v>
      </c>
      <c r="Q1225">
        <v>605</v>
      </c>
      <c r="R1225">
        <v>128</v>
      </c>
      <c r="S1225">
        <v>4.25</v>
      </c>
      <c r="T1225">
        <v>2.9710000000000001</v>
      </c>
      <c r="U1225">
        <v>6.07</v>
      </c>
      <c r="V1225">
        <v>2572.27</v>
      </c>
      <c r="W1225">
        <v>777</v>
      </c>
      <c r="X1225">
        <v>1.3332999999999999</v>
      </c>
      <c r="Y1225">
        <v>598</v>
      </c>
      <c r="Z1225">
        <v>4.3</v>
      </c>
      <c r="AJ1225">
        <v>2</v>
      </c>
      <c r="AK1225">
        <v>18</v>
      </c>
      <c r="AM1225">
        <v>0</v>
      </c>
      <c r="AO1225" t="s">
        <v>452</v>
      </c>
      <c r="AT1225">
        <v>42</v>
      </c>
      <c r="AV1225">
        <v>73.599999999999994</v>
      </c>
      <c r="AW1225">
        <v>0.46875</v>
      </c>
      <c r="AX1225">
        <v>3.75</v>
      </c>
      <c r="AY1225">
        <v>44.25</v>
      </c>
      <c r="AZ1225">
        <v>4</v>
      </c>
      <c r="BA1225">
        <v>458.33</v>
      </c>
      <c r="BB1225">
        <v>4.3</v>
      </c>
      <c r="BC1225">
        <v>48</v>
      </c>
      <c r="BD1225">
        <v>0.3125</v>
      </c>
      <c r="BE1225">
        <v>2.75</v>
      </c>
      <c r="BF1225">
        <v>25.75</v>
      </c>
      <c r="BG1225">
        <v>2.625</v>
      </c>
      <c r="BH1225">
        <v>139.87</v>
      </c>
      <c r="BI1225">
        <v>4.5599999999999996</v>
      </c>
      <c r="BJ1225">
        <v>14</v>
      </c>
      <c r="BL1225">
        <v>598.20000000000005</v>
      </c>
      <c r="BM1225">
        <v>61</v>
      </c>
      <c r="BN1225">
        <v>357.86840000000001</v>
      </c>
      <c r="BO1225">
        <v>1017</v>
      </c>
      <c r="BP1225">
        <v>0</v>
      </c>
      <c r="BQ1225">
        <v>36</v>
      </c>
      <c r="BR1225">
        <v>36</v>
      </c>
      <c r="BS1225">
        <v>36.340000000000003</v>
      </c>
      <c r="BT1225">
        <v>0</v>
      </c>
      <c r="BV1225">
        <v>0</v>
      </c>
      <c r="BW1225" t="s">
        <v>655</v>
      </c>
      <c r="BX1225">
        <v>0.17</v>
      </c>
      <c r="BY1225">
        <v>6.1778000000000004</v>
      </c>
      <c r="BZ1225">
        <v>0</v>
      </c>
      <c r="CA1225">
        <v>1</v>
      </c>
      <c r="CB1225">
        <v>0.6</v>
      </c>
      <c r="CC1225" s="3">
        <v>7.1269159999999998E-2</v>
      </c>
      <c r="CD1225">
        <v>2.875</v>
      </c>
      <c r="CE1225">
        <v>2.5</v>
      </c>
      <c r="CF1225">
        <v>18</v>
      </c>
      <c r="CG1225">
        <v>6</v>
      </c>
      <c r="CH1225">
        <v>0</v>
      </c>
      <c r="CI1225">
        <v>36.340000000000003</v>
      </c>
      <c r="CJ1225">
        <v>525.43029999999999</v>
      </c>
    </row>
    <row r="1226" spans="1:88">
      <c r="A1226">
        <v>1225</v>
      </c>
      <c r="B1226" t="s">
        <v>13</v>
      </c>
      <c r="C1226" t="s">
        <v>1</v>
      </c>
      <c r="D1226" t="s">
        <v>109</v>
      </c>
      <c r="E1226" t="s">
        <v>104</v>
      </c>
      <c r="F1226" t="s">
        <v>428</v>
      </c>
      <c r="G1226" t="s">
        <v>15</v>
      </c>
      <c r="H1226" t="s">
        <v>429</v>
      </c>
      <c r="J1226">
        <v>2</v>
      </c>
      <c r="K1226" t="s">
        <v>108</v>
      </c>
      <c r="L1226" t="s">
        <v>109</v>
      </c>
      <c r="M1226" t="s">
        <v>110</v>
      </c>
      <c r="N1226" t="s">
        <v>111</v>
      </c>
      <c r="O1226">
        <v>191</v>
      </c>
      <c r="Q1226">
        <v>1038</v>
      </c>
      <c r="R1226">
        <v>129</v>
      </c>
      <c r="S1226">
        <v>4.25</v>
      </c>
      <c r="T1226">
        <v>4.9850000000000003</v>
      </c>
      <c r="U1226">
        <v>7.27</v>
      </c>
      <c r="V1226">
        <v>4410.3500000000004</v>
      </c>
      <c r="W1226">
        <v>935</v>
      </c>
      <c r="X1226">
        <v>1.3332999999999999</v>
      </c>
      <c r="Y1226">
        <v>699</v>
      </c>
      <c r="Z1226">
        <v>6.31</v>
      </c>
      <c r="AJ1226">
        <v>2</v>
      </c>
      <c r="AK1226">
        <v>18</v>
      </c>
      <c r="AM1226">
        <v>0</v>
      </c>
      <c r="AO1226" t="s">
        <v>237</v>
      </c>
      <c r="AT1226">
        <v>72</v>
      </c>
      <c r="AV1226">
        <v>74</v>
      </c>
      <c r="AW1226" t="s">
        <v>6</v>
      </c>
      <c r="AX1226" t="s">
        <v>6</v>
      </c>
      <c r="AY1226" t="s">
        <v>6</v>
      </c>
      <c r="AZ1226" t="s">
        <v>6</v>
      </c>
      <c r="BA1226" t="s">
        <v>6</v>
      </c>
      <c r="BB1226" t="s">
        <v>6</v>
      </c>
      <c r="BC1226" t="s">
        <v>6</v>
      </c>
      <c r="BD1226" t="s">
        <v>6</v>
      </c>
      <c r="BE1226" t="s">
        <v>6</v>
      </c>
      <c r="BF1226" t="s">
        <v>6</v>
      </c>
      <c r="BG1226" t="s">
        <v>6</v>
      </c>
      <c r="BH1226" t="s">
        <v>6</v>
      </c>
      <c r="BI1226" t="s">
        <v>6</v>
      </c>
      <c r="BJ1226" t="s">
        <v>6</v>
      </c>
      <c r="BN1226">
        <v>631.41510000000005</v>
      </c>
      <c r="BO1226">
        <v>2744</v>
      </c>
      <c r="BP1226">
        <v>0</v>
      </c>
      <c r="BQ1226">
        <v>66</v>
      </c>
      <c r="BR1226">
        <v>66</v>
      </c>
      <c r="BS1226">
        <v>65.56</v>
      </c>
      <c r="BT1226">
        <v>0</v>
      </c>
      <c r="BV1226">
        <v>0</v>
      </c>
      <c r="BW1226" t="s">
        <v>655</v>
      </c>
      <c r="BX1226">
        <v>0.17</v>
      </c>
      <c r="BY1226">
        <v>11.145200000000001</v>
      </c>
      <c r="BZ1226">
        <v>0</v>
      </c>
      <c r="CA1226">
        <v>1</v>
      </c>
      <c r="CB1226">
        <v>0.6</v>
      </c>
      <c r="CC1226" s="3">
        <v>7.1269159999999998E-2</v>
      </c>
      <c r="CD1226">
        <v>2.875</v>
      </c>
      <c r="CE1226">
        <v>2.5</v>
      </c>
      <c r="CF1226">
        <v>18</v>
      </c>
      <c r="CG1226">
        <v>6</v>
      </c>
      <c r="CH1226">
        <v>0</v>
      </c>
      <c r="CI1226">
        <v>65.56</v>
      </c>
      <c r="CJ1226">
        <v>952.58680000000004</v>
      </c>
    </row>
    <row r="1227" spans="1:88">
      <c r="A1227">
        <v>1226</v>
      </c>
      <c r="B1227" t="s">
        <v>0</v>
      </c>
      <c r="C1227" t="s">
        <v>1</v>
      </c>
      <c r="D1227" t="s">
        <v>2</v>
      </c>
      <c r="E1227" t="s">
        <v>536</v>
      </c>
      <c r="F1227" t="s">
        <v>154</v>
      </c>
      <c r="G1227" t="s">
        <v>106</v>
      </c>
      <c r="H1227" t="s">
        <v>217</v>
      </c>
      <c r="J1227">
        <v>2</v>
      </c>
      <c r="K1227" t="s">
        <v>146</v>
      </c>
      <c r="L1227" t="s">
        <v>240</v>
      </c>
      <c r="M1227" t="s">
        <v>531</v>
      </c>
      <c r="N1227" t="s">
        <v>368</v>
      </c>
      <c r="O1227">
        <v>49</v>
      </c>
      <c r="Q1227">
        <v>154</v>
      </c>
      <c r="R1227">
        <v>67</v>
      </c>
      <c r="S1227">
        <v>4.25</v>
      </c>
      <c r="T1227">
        <v>1.3029999999999999</v>
      </c>
      <c r="U1227">
        <v>4.9400000000000004</v>
      </c>
      <c r="V1227">
        <v>652.46</v>
      </c>
      <c r="W1227">
        <v>331</v>
      </c>
      <c r="X1227">
        <v>1.3332999999999999</v>
      </c>
      <c r="Y1227">
        <v>248</v>
      </c>
      <c r="Z1227">
        <v>2.63</v>
      </c>
      <c r="AJ1227">
        <v>2</v>
      </c>
      <c r="AK1227">
        <v>18</v>
      </c>
      <c r="AM1227">
        <v>0</v>
      </c>
      <c r="AO1227" t="s">
        <v>218</v>
      </c>
      <c r="AT1227">
        <v>22</v>
      </c>
      <c r="AV1227">
        <v>36.1</v>
      </c>
      <c r="AW1227">
        <v>0</v>
      </c>
      <c r="AX1227">
        <v>0</v>
      </c>
      <c r="AY1227">
        <v>26</v>
      </c>
      <c r="AZ1227">
        <v>2</v>
      </c>
      <c r="BA1227">
        <v>0</v>
      </c>
      <c r="BB1227">
        <v>0</v>
      </c>
      <c r="BC1227">
        <v>23</v>
      </c>
      <c r="BN1227">
        <v>171.2</v>
      </c>
      <c r="BO1227">
        <v>3540</v>
      </c>
      <c r="BP1227">
        <v>0</v>
      </c>
      <c r="BQ1227">
        <v>16</v>
      </c>
      <c r="BR1227">
        <v>16</v>
      </c>
      <c r="BS1227">
        <v>16.170000000000002</v>
      </c>
      <c r="BT1227">
        <v>0</v>
      </c>
      <c r="BV1227">
        <v>0</v>
      </c>
      <c r="BW1227" t="s">
        <v>655</v>
      </c>
      <c r="BX1227">
        <v>0.17</v>
      </c>
      <c r="BY1227">
        <v>2.7488999999999999</v>
      </c>
      <c r="BZ1227">
        <v>0</v>
      </c>
      <c r="CA1227">
        <v>1</v>
      </c>
      <c r="CB1227">
        <v>0.6</v>
      </c>
      <c r="CC1227" s="3">
        <v>7.1269159999999998E-2</v>
      </c>
      <c r="CD1227">
        <v>2.875</v>
      </c>
      <c r="CE1227">
        <v>2.5</v>
      </c>
      <c r="CF1227">
        <v>18</v>
      </c>
      <c r="CG1227">
        <v>6</v>
      </c>
      <c r="CH1227">
        <v>0</v>
      </c>
      <c r="CI1227">
        <v>16.170000000000002</v>
      </c>
      <c r="CJ1227">
        <v>114.666</v>
      </c>
    </row>
    <row r="1228" spans="1:88">
      <c r="A1228">
        <v>1227</v>
      </c>
      <c r="B1228" t="s">
        <v>13</v>
      </c>
      <c r="C1228" t="s">
        <v>1</v>
      </c>
      <c r="D1228" t="s">
        <v>150</v>
      </c>
      <c r="E1228" t="s">
        <v>133</v>
      </c>
      <c r="F1228" t="s">
        <v>152</v>
      </c>
      <c r="G1228" t="s">
        <v>106</v>
      </c>
      <c r="H1228" t="s">
        <v>5</v>
      </c>
      <c r="J1228">
        <v>2</v>
      </c>
      <c r="K1228" t="s">
        <v>146</v>
      </c>
      <c r="L1228" t="s">
        <v>353</v>
      </c>
      <c r="M1228" t="s">
        <v>194</v>
      </c>
      <c r="N1228" t="s">
        <v>195</v>
      </c>
      <c r="O1228">
        <v>143</v>
      </c>
      <c r="Q1228">
        <v>406</v>
      </c>
      <c r="R1228">
        <v>69</v>
      </c>
      <c r="S1228">
        <v>4.25</v>
      </c>
      <c r="T1228">
        <v>3.88</v>
      </c>
      <c r="U1228">
        <v>6.6</v>
      </c>
      <c r="V1228">
        <v>1726.64</v>
      </c>
      <c r="W1228">
        <v>458</v>
      </c>
      <c r="X1228">
        <v>1.3332999999999999</v>
      </c>
      <c r="Y1228">
        <v>331</v>
      </c>
      <c r="Z1228">
        <v>5.21</v>
      </c>
      <c r="AJ1228">
        <v>2</v>
      </c>
      <c r="AK1228">
        <v>18</v>
      </c>
      <c r="AM1228">
        <v>0</v>
      </c>
      <c r="AO1228" t="s">
        <v>155</v>
      </c>
      <c r="AT1228">
        <v>55</v>
      </c>
      <c r="AV1228">
        <v>37.5</v>
      </c>
      <c r="AW1228">
        <v>0</v>
      </c>
      <c r="AX1228">
        <v>0</v>
      </c>
      <c r="AY1228">
        <v>61.125</v>
      </c>
      <c r="AZ1228">
        <v>4.875</v>
      </c>
      <c r="BA1228">
        <v>0</v>
      </c>
      <c r="BB1228">
        <v>0</v>
      </c>
      <c r="BC1228">
        <v>66</v>
      </c>
      <c r="BN1228">
        <v>178.33340000000001</v>
      </c>
      <c r="BO1228">
        <v>3263</v>
      </c>
      <c r="BP1228">
        <v>0</v>
      </c>
      <c r="BQ1228">
        <v>49</v>
      </c>
      <c r="BR1228">
        <v>49</v>
      </c>
      <c r="BS1228">
        <v>48.86</v>
      </c>
      <c r="BT1228">
        <v>0</v>
      </c>
      <c r="BV1228">
        <v>0</v>
      </c>
      <c r="BW1228" t="s">
        <v>655</v>
      </c>
      <c r="BX1228">
        <v>0.17</v>
      </c>
      <c r="BY1228">
        <v>8.3062000000000005</v>
      </c>
      <c r="BZ1228">
        <v>0</v>
      </c>
      <c r="CA1228">
        <v>1</v>
      </c>
      <c r="CB1228">
        <v>0.6</v>
      </c>
      <c r="CC1228" s="3">
        <v>7.1269159999999998E-2</v>
      </c>
      <c r="CD1228">
        <v>2.875</v>
      </c>
      <c r="CE1228">
        <v>2.5</v>
      </c>
      <c r="CF1228">
        <v>18</v>
      </c>
      <c r="CG1228">
        <v>6</v>
      </c>
      <c r="CH1228">
        <v>0</v>
      </c>
      <c r="CI1228">
        <v>48.86</v>
      </c>
      <c r="CJ1228">
        <v>360.40879999999999</v>
      </c>
    </row>
    <row r="1229" spans="1:88">
      <c r="A1229">
        <v>1228</v>
      </c>
      <c r="B1229" t="s">
        <v>0</v>
      </c>
      <c r="C1229" t="s">
        <v>1</v>
      </c>
      <c r="D1229" t="s">
        <v>143</v>
      </c>
      <c r="E1229" t="s">
        <v>172</v>
      </c>
      <c r="F1229" t="s">
        <v>144</v>
      </c>
      <c r="G1229" t="s">
        <v>106</v>
      </c>
      <c r="H1229" t="s">
        <v>145</v>
      </c>
      <c r="J1229">
        <v>2</v>
      </c>
      <c r="K1229" t="s">
        <v>146</v>
      </c>
      <c r="L1229" t="s">
        <v>233</v>
      </c>
      <c r="M1229" t="s">
        <v>490</v>
      </c>
      <c r="N1229" t="s">
        <v>128</v>
      </c>
      <c r="O1229">
        <v>137</v>
      </c>
      <c r="Q1229">
        <v>553</v>
      </c>
      <c r="R1229">
        <v>95</v>
      </c>
      <c r="S1229">
        <v>4.25</v>
      </c>
      <c r="T1229">
        <v>3.734</v>
      </c>
      <c r="U1229">
        <v>6.48</v>
      </c>
      <c r="V1229">
        <v>2351.31</v>
      </c>
      <c r="W1229">
        <v>613</v>
      </c>
      <c r="X1229">
        <v>1.3332999999999999</v>
      </c>
      <c r="Y1229">
        <v>465</v>
      </c>
      <c r="Z1229">
        <v>5.0599999999999996</v>
      </c>
      <c r="AJ1229">
        <v>2</v>
      </c>
      <c r="AK1229">
        <v>18</v>
      </c>
      <c r="AM1229">
        <v>0</v>
      </c>
      <c r="AO1229" t="s">
        <v>149</v>
      </c>
      <c r="AT1229">
        <v>53</v>
      </c>
      <c r="AV1229">
        <v>53.5</v>
      </c>
      <c r="AW1229">
        <v>0.40625</v>
      </c>
      <c r="AX1229">
        <v>3.75</v>
      </c>
      <c r="AY1229">
        <v>38.125</v>
      </c>
      <c r="AZ1229">
        <v>4.125</v>
      </c>
      <c r="BA1229">
        <v>255.57</v>
      </c>
      <c r="BB1229">
        <v>5.18</v>
      </c>
      <c r="BC1229">
        <v>36</v>
      </c>
      <c r="BD1229">
        <v>0.375</v>
      </c>
      <c r="BE1229">
        <v>3.75</v>
      </c>
      <c r="BF1229">
        <v>30.875</v>
      </c>
      <c r="BG1229">
        <v>3.75</v>
      </c>
      <c r="BH1229">
        <v>209.1</v>
      </c>
      <c r="BI1229">
        <v>5.15</v>
      </c>
      <c r="BJ1229">
        <v>27</v>
      </c>
      <c r="BL1229">
        <v>464.67</v>
      </c>
      <c r="BM1229">
        <v>63</v>
      </c>
      <c r="BN1229">
        <v>256.80009999999999</v>
      </c>
      <c r="BO1229">
        <v>1574</v>
      </c>
      <c r="BP1229">
        <v>0</v>
      </c>
      <c r="BQ1229">
        <v>47</v>
      </c>
      <c r="BR1229">
        <v>47</v>
      </c>
      <c r="BS1229">
        <v>46.78</v>
      </c>
      <c r="BT1229">
        <v>0</v>
      </c>
      <c r="BV1229">
        <v>0</v>
      </c>
      <c r="BW1229" t="s">
        <v>655</v>
      </c>
      <c r="BX1229">
        <v>0.17</v>
      </c>
      <c r="BY1229">
        <v>7.9526000000000003</v>
      </c>
      <c r="BZ1229">
        <v>0</v>
      </c>
      <c r="CA1229">
        <v>1</v>
      </c>
      <c r="CB1229">
        <v>0.6</v>
      </c>
      <c r="CC1229" s="3">
        <v>7.1269159999999998E-2</v>
      </c>
      <c r="CD1229">
        <v>2.875</v>
      </c>
      <c r="CE1229">
        <v>2.5</v>
      </c>
      <c r="CF1229">
        <v>18</v>
      </c>
      <c r="CG1229">
        <v>6</v>
      </c>
      <c r="CH1229">
        <v>0</v>
      </c>
      <c r="CI1229">
        <v>46.78</v>
      </c>
      <c r="CJ1229">
        <v>491.76069999999999</v>
      </c>
    </row>
    <row r="1230" spans="1:88">
      <c r="A1230">
        <v>1229</v>
      </c>
      <c r="B1230" t="s">
        <v>13</v>
      </c>
      <c r="C1230" t="s">
        <v>1</v>
      </c>
      <c r="D1230" t="s">
        <v>113</v>
      </c>
      <c r="E1230" t="s">
        <v>113</v>
      </c>
      <c r="F1230" t="s">
        <v>262</v>
      </c>
      <c r="G1230" t="s">
        <v>214</v>
      </c>
      <c r="H1230" t="s">
        <v>263</v>
      </c>
      <c r="J1230">
        <v>2</v>
      </c>
      <c r="K1230" t="s">
        <v>108</v>
      </c>
      <c r="L1230" t="s">
        <v>116</v>
      </c>
      <c r="M1230" t="s">
        <v>117</v>
      </c>
      <c r="N1230" t="s">
        <v>14</v>
      </c>
      <c r="O1230">
        <v>179</v>
      </c>
      <c r="Q1230">
        <v>825</v>
      </c>
      <c r="R1230">
        <v>109</v>
      </c>
      <c r="S1230">
        <v>4.25</v>
      </c>
      <c r="T1230">
        <v>4.7190000000000003</v>
      </c>
      <c r="U1230">
        <v>7.05</v>
      </c>
      <c r="V1230">
        <v>3505.4</v>
      </c>
      <c r="W1230">
        <v>766</v>
      </c>
      <c r="X1230">
        <v>1.3332999999999999</v>
      </c>
      <c r="Y1230">
        <v>579</v>
      </c>
      <c r="Z1230">
        <v>6.05</v>
      </c>
      <c r="AJ1230">
        <v>2</v>
      </c>
      <c r="AK1230">
        <v>18</v>
      </c>
      <c r="AM1230">
        <v>0</v>
      </c>
      <c r="AO1230" t="s">
        <v>266</v>
      </c>
      <c r="AT1230">
        <v>68</v>
      </c>
      <c r="AV1230">
        <v>62.3</v>
      </c>
      <c r="AW1230">
        <v>0.46875</v>
      </c>
      <c r="AX1230">
        <v>3.75</v>
      </c>
      <c r="AY1230">
        <v>63.625</v>
      </c>
      <c r="AZ1230">
        <v>5.625</v>
      </c>
      <c r="BA1230">
        <v>318.66000000000003</v>
      </c>
      <c r="BB1230">
        <v>6.18</v>
      </c>
      <c r="BC1230">
        <v>68</v>
      </c>
      <c r="BD1230">
        <v>0.4375</v>
      </c>
      <c r="BE1230">
        <v>3.75</v>
      </c>
      <c r="BF1230">
        <v>54.625</v>
      </c>
      <c r="BG1230">
        <v>5.25</v>
      </c>
      <c r="BH1230">
        <v>260.74</v>
      </c>
      <c r="BI1230">
        <v>6.31</v>
      </c>
      <c r="BJ1230">
        <v>55</v>
      </c>
      <c r="BL1230">
        <v>579.4</v>
      </c>
      <c r="BM1230">
        <v>123</v>
      </c>
      <c r="BN1230">
        <v>302.12</v>
      </c>
      <c r="BO1230">
        <v>1426</v>
      </c>
      <c r="BP1230">
        <v>0</v>
      </c>
      <c r="BQ1230">
        <v>61</v>
      </c>
      <c r="BR1230">
        <v>61</v>
      </c>
      <c r="BS1230">
        <v>61.39</v>
      </c>
      <c r="BT1230">
        <v>0</v>
      </c>
      <c r="BV1230">
        <v>0</v>
      </c>
      <c r="BW1230" t="s">
        <v>655</v>
      </c>
      <c r="BX1230">
        <v>0.17</v>
      </c>
      <c r="BY1230">
        <v>10.436299999999999</v>
      </c>
      <c r="BZ1230">
        <v>0</v>
      </c>
      <c r="CA1230">
        <v>1</v>
      </c>
      <c r="CB1230">
        <v>0.6</v>
      </c>
      <c r="CC1230" s="3">
        <v>7.1269159999999998E-2</v>
      </c>
      <c r="CD1230">
        <v>2.875</v>
      </c>
      <c r="CE1230">
        <v>2.5</v>
      </c>
      <c r="CF1230">
        <v>18</v>
      </c>
      <c r="CG1230">
        <v>6</v>
      </c>
      <c r="CH1230">
        <v>0</v>
      </c>
      <c r="CI1230">
        <v>61.39</v>
      </c>
      <c r="CJ1230">
        <v>751.98979999999995</v>
      </c>
    </row>
    <row r="1231" spans="1:88">
      <c r="A1231">
        <v>1230</v>
      </c>
      <c r="B1231" t="s">
        <v>0</v>
      </c>
      <c r="C1231" t="s">
        <v>1</v>
      </c>
      <c r="D1231" t="s">
        <v>234</v>
      </c>
      <c r="E1231" t="s">
        <v>19</v>
      </c>
      <c r="F1231" t="s">
        <v>252</v>
      </c>
      <c r="G1231" t="s">
        <v>106</v>
      </c>
      <c r="H1231" t="s">
        <v>195</v>
      </c>
      <c r="J1231">
        <v>2</v>
      </c>
      <c r="K1231" t="s">
        <v>146</v>
      </c>
      <c r="L1231" t="s">
        <v>302</v>
      </c>
      <c r="M1231" t="s">
        <v>433</v>
      </c>
      <c r="N1231" t="s">
        <v>434</v>
      </c>
      <c r="O1231">
        <v>185</v>
      </c>
      <c r="Q1231">
        <v>692</v>
      </c>
      <c r="R1231">
        <v>90</v>
      </c>
      <c r="S1231">
        <v>4.25</v>
      </c>
      <c r="T1231">
        <v>4.8529999999999998</v>
      </c>
      <c r="U1231">
        <v>7.16</v>
      </c>
      <c r="V1231">
        <v>2942.87</v>
      </c>
      <c r="W1231">
        <v>645</v>
      </c>
      <c r="X1231">
        <v>1.3332999999999999</v>
      </c>
      <c r="Y1231">
        <v>476</v>
      </c>
      <c r="Z1231">
        <v>6.18</v>
      </c>
      <c r="AJ1231">
        <v>2</v>
      </c>
      <c r="AK1231">
        <v>18</v>
      </c>
      <c r="AM1231">
        <v>0</v>
      </c>
      <c r="AO1231" t="s">
        <v>256</v>
      </c>
      <c r="AT1231">
        <v>70</v>
      </c>
      <c r="AV1231">
        <v>50.6</v>
      </c>
      <c r="AW1231">
        <v>0.4375</v>
      </c>
      <c r="AX1231">
        <v>3.75</v>
      </c>
      <c r="AY1231">
        <v>54.375</v>
      </c>
      <c r="AZ1231">
        <v>5.375</v>
      </c>
      <c r="BA1231">
        <v>261.89999999999998</v>
      </c>
      <c r="BB1231">
        <v>6.28</v>
      </c>
      <c r="BC1231">
        <v>55</v>
      </c>
      <c r="BD1231">
        <v>0.40625</v>
      </c>
      <c r="BE1231">
        <v>3.75</v>
      </c>
      <c r="BF1231">
        <v>45.375</v>
      </c>
      <c r="BG1231">
        <v>5</v>
      </c>
      <c r="BH1231">
        <v>214.29</v>
      </c>
      <c r="BI1231">
        <v>6.18</v>
      </c>
      <c r="BJ1231">
        <v>43</v>
      </c>
      <c r="BL1231">
        <v>476.19</v>
      </c>
      <c r="BM1231">
        <v>97</v>
      </c>
      <c r="BN1231">
        <v>242.5334</v>
      </c>
      <c r="BO1231">
        <v>1764</v>
      </c>
      <c r="BP1231">
        <v>0</v>
      </c>
      <c r="BQ1231">
        <v>63</v>
      </c>
      <c r="BR1231">
        <v>63</v>
      </c>
      <c r="BS1231">
        <v>63.47</v>
      </c>
      <c r="BT1231">
        <v>0</v>
      </c>
      <c r="BV1231">
        <v>0</v>
      </c>
      <c r="BW1231" t="s">
        <v>655</v>
      </c>
      <c r="BX1231">
        <v>0.17</v>
      </c>
      <c r="BY1231">
        <v>10.789899999999999</v>
      </c>
      <c r="BZ1231">
        <v>0</v>
      </c>
      <c r="CA1231">
        <v>1</v>
      </c>
      <c r="CB1231">
        <v>0.6</v>
      </c>
      <c r="CC1231" s="3">
        <v>7.1269159999999998E-2</v>
      </c>
      <c r="CD1231">
        <v>2.875</v>
      </c>
      <c r="CE1231">
        <v>2.5</v>
      </c>
      <c r="CF1231">
        <v>18</v>
      </c>
      <c r="CG1231">
        <v>6</v>
      </c>
      <c r="CH1231">
        <v>0</v>
      </c>
      <c r="CI1231">
        <v>63.47</v>
      </c>
      <c r="CJ1231">
        <v>631.02179999999998</v>
      </c>
    </row>
    <row r="1232" spans="1:88">
      <c r="A1232">
        <v>1231</v>
      </c>
      <c r="B1232" t="s">
        <v>0</v>
      </c>
      <c r="C1232" t="s">
        <v>1</v>
      </c>
      <c r="D1232" t="s">
        <v>719</v>
      </c>
      <c r="E1232" t="s">
        <v>127</v>
      </c>
      <c r="F1232" t="s">
        <v>720</v>
      </c>
      <c r="G1232" t="s">
        <v>15</v>
      </c>
      <c r="H1232" t="s">
        <v>719</v>
      </c>
      <c r="J1232">
        <v>2</v>
      </c>
      <c r="K1232" t="s">
        <v>9</v>
      </c>
      <c r="L1232" t="s">
        <v>338</v>
      </c>
      <c r="M1232" t="s">
        <v>189</v>
      </c>
      <c r="N1232" t="s">
        <v>190</v>
      </c>
      <c r="O1232">
        <v>115</v>
      </c>
      <c r="Q1232">
        <v>798</v>
      </c>
      <c r="R1232">
        <v>158</v>
      </c>
      <c r="S1232">
        <v>4.25</v>
      </c>
      <c r="T1232">
        <v>3.18</v>
      </c>
      <c r="U1232">
        <v>6.22</v>
      </c>
      <c r="V1232">
        <v>3393.49</v>
      </c>
      <c r="W1232">
        <v>981</v>
      </c>
      <c r="X1232">
        <v>1.3332999999999999</v>
      </c>
      <c r="Y1232">
        <v>752</v>
      </c>
      <c r="Z1232">
        <v>4.51</v>
      </c>
      <c r="AJ1232">
        <v>2</v>
      </c>
      <c r="AK1232">
        <v>18</v>
      </c>
      <c r="AM1232">
        <v>0</v>
      </c>
      <c r="AO1232" t="s">
        <v>721</v>
      </c>
      <c r="AT1232">
        <v>45</v>
      </c>
      <c r="AV1232">
        <v>90.7</v>
      </c>
      <c r="AW1232" t="s">
        <v>6</v>
      </c>
      <c r="AX1232" t="s">
        <v>6</v>
      </c>
      <c r="AY1232" t="s">
        <v>6</v>
      </c>
      <c r="AZ1232" t="s">
        <v>6</v>
      </c>
      <c r="BA1232" t="s">
        <v>6</v>
      </c>
      <c r="BB1232" t="s">
        <v>6</v>
      </c>
      <c r="BC1232" t="s">
        <v>6</v>
      </c>
      <c r="BD1232" t="s">
        <v>6</v>
      </c>
      <c r="BE1232" t="s">
        <v>6</v>
      </c>
      <c r="BF1232" t="s">
        <v>6</v>
      </c>
      <c r="BG1232" t="s">
        <v>6</v>
      </c>
      <c r="BH1232" t="s">
        <v>6</v>
      </c>
      <c r="BI1232" t="s">
        <v>6</v>
      </c>
      <c r="BJ1232" t="s">
        <v>6</v>
      </c>
      <c r="BN1232">
        <v>776.64049999999997</v>
      </c>
      <c r="BO1232">
        <v>1814</v>
      </c>
      <c r="BP1232">
        <v>0</v>
      </c>
      <c r="BQ1232">
        <v>39</v>
      </c>
      <c r="BR1232">
        <v>39</v>
      </c>
      <c r="BS1232">
        <v>39.130000000000003</v>
      </c>
      <c r="BT1232">
        <v>0</v>
      </c>
      <c r="BV1232">
        <v>6</v>
      </c>
      <c r="BW1232" t="s">
        <v>655</v>
      </c>
      <c r="BX1232">
        <v>0.27933340000000001</v>
      </c>
      <c r="BY1232">
        <v>10.93031</v>
      </c>
      <c r="BZ1232">
        <v>0</v>
      </c>
      <c r="CA1232">
        <v>1</v>
      </c>
      <c r="CB1232">
        <v>0.6</v>
      </c>
      <c r="CC1232" s="3">
        <v>7.1269159999999998E-2</v>
      </c>
      <c r="CD1232">
        <v>2.875</v>
      </c>
      <c r="CE1232">
        <v>2.5</v>
      </c>
      <c r="CF1232">
        <v>18</v>
      </c>
      <c r="CG1232">
        <v>6</v>
      </c>
      <c r="CH1232">
        <v>0</v>
      </c>
      <c r="CI1232">
        <v>39.130000000000003</v>
      </c>
      <c r="CJ1232">
        <v>696.84199999999998</v>
      </c>
    </row>
    <row r="1233" spans="1:88">
      <c r="A1233">
        <v>1232</v>
      </c>
      <c r="B1233" t="s">
        <v>13</v>
      </c>
      <c r="C1233" t="s">
        <v>1</v>
      </c>
      <c r="D1233" t="s">
        <v>457</v>
      </c>
      <c r="E1233" t="s">
        <v>197</v>
      </c>
      <c r="F1233" t="s">
        <v>523</v>
      </c>
      <c r="G1233" t="s">
        <v>214</v>
      </c>
      <c r="H1233" t="s">
        <v>524</v>
      </c>
      <c r="J1233">
        <v>2</v>
      </c>
      <c r="K1233" t="s">
        <v>108</v>
      </c>
      <c r="L1233" t="s">
        <v>199</v>
      </c>
      <c r="M1233" t="s">
        <v>200</v>
      </c>
      <c r="N1233" t="s">
        <v>201</v>
      </c>
      <c r="O1233">
        <v>173</v>
      </c>
      <c r="Q1233">
        <v>849</v>
      </c>
      <c r="R1233">
        <v>115</v>
      </c>
      <c r="S1233">
        <v>4.25</v>
      </c>
      <c r="T1233">
        <v>4.5830000000000002</v>
      </c>
      <c r="U1233">
        <v>6.97</v>
      </c>
      <c r="V1233">
        <v>3609.65</v>
      </c>
      <c r="W1233">
        <v>804</v>
      </c>
      <c r="X1233">
        <v>1.3332999999999999</v>
      </c>
      <c r="Y1233">
        <v>611</v>
      </c>
      <c r="Z1233">
        <v>5.91</v>
      </c>
      <c r="AJ1233">
        <v>2</v>
      </c>
      <c r="AK1233">
        <v>18</v>
      </c>
      <c r="AM1233">
        <v>0</v>
      </c>
      <c r="AO1233" t="s">
        <v>494</v>
      </c>
      <c r="AT1233">
        <v>65</v>
      </c>
      <c r="AV1233">
        <v>66.3</v>
      </c>
      <c r="AW1233">
        <v>0.46875</v>
      </c>
      <c r="AX1233">
        <v>3.75</v>
      </c>
      <c r="AY1233">
        <v>60.375</v>
      </c>
      <c r="AZ1233">
        <v>5.5</v>
      </c>
      <c r="BA1233">
        <v>335.91</v>
      </c>
      <c r="BB1233">
        <v>5.86</v>
      </c>
      <c r="BC1233">
        <v>65</v>
      </c>
      <c r="BD1233">
        <v>0.4375</v>
      </c>
      <c r="BE1233">
        <v>3.75</v>
      </c>
      <c r="BF1233">
        <v>51.75</v>
      </c>
      <c r="BG1233">
        <v>5.125</v>
      </c>
      <c r="BH1233">
        <v>274.85000000000002</v>
      </c>
      <c r="BI1233">
        <v>5.98</v>
      </c>
      <c r="BJ1233">
        <v>52</v>
      </c>
      <c r="BL1233">
        <v>610.76</v>
      </c>
      <c r="BM1233">
        <v>117</v>
      </c>
      <c r="BN1233">
        <v>321.90170000000001</v>
      </c>
      <c r="BO1233">
        <v>1256</v>
      </c>
      <c r="BP1233">
        <v>0</v>
      </c>
      <c r="BQ1233">
        <v>59</v>
      </c>
      <c r="BR1233">
        <v>59</v>
      </c>
      <c r="BS1233">
        <v>59.3</v>
      </c>
      <c r="BT1233">
        <v>0</v>
      </c>
      <c r="BV1233">
        <v>0</v>
      </c>
      <c r="BW1233" t="s">
        <v>655</v>
      </c>
      <c r="BX1233">
        <v>0.17</v>
      </c>
      <c r="BY1233">
        <v>10.081</v>
      </c>
      <c r="BZ1233">
        <v>0</v>
      </c>
      <c r="CA1233">
        <v>1</v>
      </c>
      <c r="CB1233">
        <v>0.6</v>
      </c>
      <c r="CC1233" s="3">
        <v>7.1269159999999998E-2</v>
      </c>
      <c r="CD1233">
        <v>2.875</v>
      </c>
      <c r="CE1233">
        <v>2.5</v>
      </c>
      <c r="CF1233">
        <v>18</v>
      </c>
      <c r="CG1233">
        <v>6</v>
      </c>
      <c r="CH1233">
        <v>0</v>
      </c>
      <c r="CI1233">
        <v>59.3</v>
      </c>
      <c r="CJ1233">
        <v>772.87750000000005</v>
      </c>
    </row>
    <row r="1234" spans="1:88">
      <c r="A1234">
        <v>1233</v>
      </c>
      <c r="B1234" t="s">
        <v>0</v>
      </c>
      <c r="C1234" t="s">
        <v>1</v>
      </c>
      <c r="D1234" t="s">
        <v>12</v>
      </c>
      <c r="E1234" t="s">
        <v>251</v>
      </c>
      <c r="F1234" t="s">
        <v>387</v>
      </c>
      <c r="G1234" t="s">
        <v>15</v>
      </c>
      <c r="H1234" t="s">
        <v>388</v>
      </c>
      <c r="J1234">
        <v>2</v>
      </c>
      <c r="K1234" t="s">
        <v>108</v>
      </c>
      <c r="L1234" t="s">
        <v>253</v>
      </c>
      <c r="M1234" t="s">
        <v>254</v>
      </c>
      <c r="N1234" t="s">
        <v>255</v>
      </c>
      <c r="O1234">
        <v>177</v>
      </c>
      <c r="Q1234">
        <v>943</v>
      </c>
      <c r="R1234">
        <v>125</v>
      </c>
      <c r="S1234">
        <v>4.25</v>
      </c>
      <c r="T1234">
        <v>4.6740000000000004</v>
      </c>
      <c r="U1234">
        <v>7.05</v>
      </c>
      <c r="V1234">
        <v>4006.43</v>
      </c>
      <c r="W1234">
        <v>885</v>
      </c>
      <c r="X1234">
        <v>1.3332999999999999</v>
      </c>
      <c r="Y1234">
        <v>668</v>
      </c>
      <c r="Z1234">
        <v>6</v>
      </c>
      <c r="AJ1234">
        <v>2</v>
      </c>
      <c r="AK1234">
        <v>18</v>
      </c>
      <c r="AM1234">
        <v>0</v>
      </c>
      <c r="AO1234" t="s">
        <v>389</v>
      </c>
      <c r="AT1234">
        <v>67</v>
      </c>
      <c r="AV1234">
        <v>72.099999999999994</v>
      </c>
      <c r="AW1234" t="s">
        <v>6</v>
      </c>
      <c r="AX1234" t="s">
        <v>6</v>
      </c>
      <c r="AY1234" t="s">
        <v>6</v>
      </c>
      <c r="AZ1234" t="s">
        <v>6</v>
      </c>
      <c r="BA1234" t="s">
        <v>6</v>
      </c>
      <c r="BB1234" t="s">
        <v>6</v>
      </c>
      <c r="BC1234" t="s">
        <v>6</v>
      </c>
      <c r="BD1234" t="s">
        <v>6</v>
      </c>
      <c r="BE1234" t="s">
        <v>6</v>
      </c>
      <c r="BF1234" t="s">
        <v>6</v>
      </c>
      <c r="BG1234" t="s">
        <v>6</v>
      </c>
      <c r="BH1234" t="s">
        <v>6</v>
      </c>
      <c r="BI1234" t="s">
        <v>6</v>
      </c>
      <c r="BJ1234" t="s">
        <v>6</v>
      </c>
      <c r="BN1234">
        <v>615.62959999999998</v>
      </c>
      <c r="BO1234">
        <v>2886</v>
      </c>
      <c r="BP1234">
        <v>0</v>
      </c>
      <c r="BQ1234">
        <v>61</v>
      </c>
      <c r="BR1234">
        <v>61</v>
      </c>
      <c r="BS1234">
        <v>60.69</v>
      </c>
      <c r="BT1234">
        <v>0</v>
      </c>
      <c r="BV1234">
        <v>0</v>
      </c>
      <c r="BW1234" t="s">
        <v>655</v>
      </c>
      <c r="BX1234">
        <v>0.17</v>
      </c>
      <c r="BY1234">
        <v>10.317299999999999</v>
      </c>
      <c r="BZ1234">
        <v>0</v>
      </c>
      <c r="CA1234">
        <v>1</v>
      </c>
      <c r="CB1234">
        <v>0.6</v>
      </c>
      <c r="CC1234" s="3">
        <v>7.1269159999999998E-2</v>
      </c>
      <c r="CD1234">
        <v>2.875</v>
      </c>
      <c r="CE1234">
        <v>2.5</v>
      </c>
      <c r="CF1234">
        <v>18</v>
      </c>
      <c r="CG1234">
        <v>6</v>
      </c>
      <c r="CH1234">
        <v>0</v>
      </c>
      <c r="CI1234">
        <v>60.69</v>
      </c>
      <c r="CJ1234">
        <v>860.19899999999996</v>
      </c>
    </row>
    <row r="1235" spans="1:88">
      <c r="A1235">
        <v>1234</v>
      </c>
      <c r="B1235" t="s">
        <v>0</v>
      </c>
      <c r="C1235" t="s">
        <v>1</v>
      </c>
      <c r="D1235" t="s">
        <v>233</v>
      </c>
      <c r="E1235" t="s">
        <v>96</v>
      </c>
      <c r="F1235" t="s">
        <v>271</v>
      </c>
      <c r="G1235" t="s">
        <v>106</v>
      </c>
      <c r="H1235" t="s">
        <v>279</v>
      </c>
      <c r="J1235">
        <v>2</v>
      </c>
      <c r="K1235" t="s">
        <v>146</v>
      </c>
      <c r="L1235" t="s">
        <v>293</v>
      </c>
      <c r="M1235" t="s">
        <v>100</v>
      </c>
      <c r="N1235" t="s">
        <v>101</v>
      </c>
      <c r="O1235">
        <v>131</v>
      </c>
      <c r="Q1235">
        <v>538</v>
      </c>
      <c r="R1235">
        <v>96</v>
      </c>
      <c r="S1235">
        <v>4.25</v>
      </c>
      <c r="T1235">
        <v>3.5859999999999999</v>
      </c>
      <c r="U1235">
        <v>6.37</v>
      </c>
      <c r="V1235">
        <v>2286.54</v>
      </c>
      <c r="W1235">
        <v>610</v>
      </c>
      <c r="X1235">
        <v>1.3332999999999999</v>
      </c>
      <c r="Y1235">
        <v>466</v>
      </c>
      <c r="Z1235">
        <v>4.91</v>
      </c>
      <c r="AJ1235">
        <v>2</v>
      </c>
      <c r="AK1235">
        <v>18</v>
      </c>
      <c r="AM1235">
        <v>0</v>
      </c>
      <c r="AO1235" t="s">
        <v>144</v>
      </c>
      <c r="AT1235">
        <v>51</v>
      </c>
      <c r="AV1235">
        <v>54.2</v>
      </c>
      <c r="AW1235">
        <v>0.46875</v>
      </c>
      <c r="AX1235">
        <v>3.75</v>
      </c>
      <c r="AY1235">
        <v>50.5</v>
      </c>
      <c r="AZ1235">
        <v>4.625</v>
      </c>
      <c r="BA1235">
        <v>401.38</v>
      </c>
      <c r="BB1235">
        <v>4.91</v>
      </c>
      <c r="BC1235">
        <v>54</v>
      </c>
      <c r="BD1235">
        <v>0.25</v>
      </c>
      <c r="BE1235">
        <v>2.75</v>
      </c>
      <c r="BF1235">
        <v>17.875</v>
      </c>
      <c r="BG1235">
        <v>2.5</v>
      </c>
      <c r="BH1235">
        <v>64.31</v>
      </c>
      <c r="BI1235">
        <v>5.34</v>
      </c>
      <c r="BJ1235">
        <v>8</v>
      </c>
      <c r="BL1235">
        <v>465.69</v>
      </c>
      <c r="BM1235">
        <v>61</v>
      </c>
      <c r="BN1235">
        <v>260.36669999999998</v>
      </c>
      <c r="BO1235">
        <v>1531</v>
      </c>
      <c r="BP1235">
        <v>0</v>
      </c>
      <c r="BQ1235">
        <v>45</v>
      </c>
      <c r="BR1235">
        <v>45</v>
      </c>
      <c r="BS1235">
        <v>44.69</v>
      </c>
      <c r="BT1235">
        <v>0</v>
      </c>
      <c r="BV1235">
        <v>0</v>
      </c>
      <c r="BW1235" t="s">
        <v>655</v>
      </c>
      <c r="BX1235">
        <v>0.17</v>
      </c>
      <c r="BY1235">
        <v>7.5972999999999997</v>
      </c>
      <c r="BZ1235">
        <v>0</v>
      </c>
      <c r="CA1235">
        <v>1</v>
      </c>
      <c r="CB1235">
        <v>0.6</v>
      </c>
      <c r="CC1235" s="3">
        <v>7.1269159999999998E-2</v>
      </c>
      <c r="CD1235">
        <v>2.875</v>
      </c>
      <c r="CE1235">
        <v>2.5</v>
      </c>
      <c r="CF1235">
        <v>18</v>
      </c>
      <c r="CG1235">
        <v>6</v>
      </c>
      <c r="CH1235">
        <v>0</v>
      </c>
      <c r="CI1235">
        <v>44.69</v>
      </c>
      <c r="CJ1235">
        <v>476.16030000000001</v>
      </c>
    </row>
    <row r="1236" spans="1:88">
      <c r="A1236">
        <v>1235</v>
      </c>
      <c r="B1236" t="s">
        <v>13</v>
      </c>
      <c r="C1236" t="s">
        <v>1</v>
      </c>
      <c r="D1236" t="s">
        <v>169</v>
      </c>
      <c r="E1236" t="s">
        <v>317</v>
      </c>
      <c r="F1236" t="s">
        <v>404</v>
      </c>
      <c r="G1236" t="s">
        <v>106</v>
      </c>
      <c r="H1236" t="s">
        <v>190</v>
      </c>
      <c r="J1236">
        <v>2</v>
      </c>
      <c r="K1236" t="s">
        <v>146</v>
      </c>
      <c r="L1236" t="s">
        <v>169</v>
      </c>
      <c r="M1236" t="s">
        <v>400</v>
      </c>
      <c r="N1236" t="s">
        <v>228</v>
      </c>
      <c r="O1236">
        <v>99</v>
      </c>
      <c r="Q1236">
        <v>313</v>
      </c>
      <c r="R1236">
        <v>74</v>
      </c>
      <c r="S1236">
        <v>4.25</v>
      </c>
      <c r="T1236">
        <v>2.758</v>
      </c>
      <c r="U1236">
        <v>5.88</v>
      </c>
      <c r="V1236">
        <v>1329.65</v>
      </c>
      <c r="W1236">
        <v>435</v>
      </c>
      <c r="X1236">
        <v>1.3332999999999999</v>
      </c>
      <c r="Y1236">
        <v>325</v>
      </c>
      <c r="Z1236">
        <v>4.09</v>
      </c>
      <c r="AJ1236">
        <v>2</v>
      </c>
      <c r="AK1236">
        <v>18</v>
      </c>
      <c r="AM1236">
        <v>0</v>
      </c>
      <c r="AO1236" t="s">
        <v>406</v>
      </c>
      <c r="AT1236">
        <v>40</v>
      </c>
      <c r="AV1236">
        <v>40.4</v>
      </c>
      <c r="AW1236">
        <v>0</v>
      </c>
      <c r="AX1236">
        <v>0</v>
      </c>
      <c r="AY1236">
        <v>29.875</v>
      </c>
      <c r="AZ1236">
        <v>3.375</v>
      </c>
      <c r="BA1236">
        <v>0</v>
      </c>
      <c r="BB1236">
        <v>0</v>
      </c>
      <c r="BC1236">
        <v>28</v>
      </c>
      <c r="BN1236">
        <v>192.6</v>
      </c>
      <c r="BO1236">
        <v>2797</v>
      </c>
      <c r="BP1236">
        <v>0</v>
      </c>
      <c r="BQ1236">
        <v>34</v>
      </c>
      <c r="BR1236">
        <v>34</v>
      </c>
      <c r="BS1236">
        <v>33.56</v>
      </c>
      <c r="BT1236">
        <v>0</v>
      </c>
      <c r="BV1236">
        <v>0</v>
      </c>
      <c r="BW1236" t="s">
        <v>655</v>
      </c>
      <c r="BX1236">
        <v>0.17</v>
      </c>
      <c r="BY1236">
        <v>5.7051999999999996</v>
      </c>
      <c r="BZ1236">
        <v>0</v>
      </c>
      <c r="CA1236">
        <v>1</v>
      </c>
      <c r="CB1236">
        <v>0.6</v>
      </c>
      <c r="CC1236" s="3">
        <v>7.1269159999999998E-2</v>
      </c>
      <c r="CD1236">
        <v>2.875</v>
      </c>
      <c r="CE1236">
        <v>2.5</v>
      </c>
      <c r="CF1236">
        <v>18</v>
      </c>
      <c r="CG1236">
        <v>6</v>
      </c>
      <c r="CH1236">
        <v>0</v>
      </c>
      <c r="CI1236">
        <v>33.56</v>
      </c>
      <c r="CJ1236">
        <v>266.68490000000003</v>
      </c>
    </row>
    <row r="1237" spans="1:88">
      <c r="A1237">
        <v>1236</v>
      </c>
      <c r="B1237" t="s">
        <v>0</v>
      </c>
      <c r="C1237" t="s">
        <v>1</v>
      </c>
      <c r="D1237" t="s">
        <v>14</v>
      </c>
      <c r="E1237" t="s">
        <v>8</v>
      </c>
      <c r="F1237" t="s">
        <v>192</v>
      </c>
      <c r="G1237" t="s">
        <v>214</v>
      </c>
      <c r="H1237" t="s">
        <v>193</v>
      </c>
      <c r="J1237">
        <v>2</v>
      </c>
      <c r="K1237" t="s">
        <v>108</v>
      </c>
      <c r="L1237" t="s">
        <v>10</v>
      </c>
      <c r="M1237" t="s">
        <v>11</v>
      </c>
      <c r="N1237" t="s">
        <v>12</v>
      </c>
      <c r="O1237">
        <v>203</v>
      </c>
      <c r="Q1237">
        <v>944</v>
      </c>
      <c r="R1237">
        <v>120</v>
      </c>
      <c r="S1237">
        <v>4.25</v>
      </c>
      <c r="T1237">
        <v>5.2460000000000004</v>
      </c>
      <c r="U1237">
        <v>7.35</v>
      </c>
      <c r="V1237">
        <v>4013.61</v>
      </c>
      <c r="W1237">
        <v>885</v>
      </c>
      <c r="X1237">
        <v>1.5</v>
      </c>
      <c r="Y1237">
        <v>595</v>
      </c>
      <c r="Z1237">
        <v>6.74</v>
      </c>
      <c r="AJ1237">
        <v>2</v>
      </c>
      <c r="AK1237">
        <v>18</v>
      </c>
      <c r="AM1237">
        <v>0</v>
      </c>
      <c r="AO1237" t="s">
        <v>196</v>
      </c>
      <c r="AT1237">
        <v>76</v>
      </c>
      <c r="AV1237">
        <v>63.4</v>
      </c>
      <c r="AW1237" t="s">
        <v>6</v>
      </c>
      <c r="AX1237" t="s">
        <v>6</v>
      </c>
      <c r="AY1237" t="s">
        <v>6</v>
      </c>
      <c r="AZ1237" t="s">
        <v>6</v>
      </c>
      <c r="BA1237" t="s">
        <v>6</v>
      </c>
      <c r="BB1237" t="s">
        <v>6</v>
      </c>
      <c r="BC1237" t="s">
        <v>6</v>
      </c>
      <c r="BD1237" t="s">
        <v>6</v>
      </c>
      <c r="BE1237" t="s">
        <v>6</v>
      </c>
      <c r="BF1237" t="s">
        <v>6</v>
      </c>
      <c r="BG1237" t="s">
        <v>6</v>
      </c>
      <c r="BH1237" t="s">
        <v>6</v>
      </c>
      <c r="BI1237" t="s">
        <v>6</v>
      </c>
      <c r="BJ1237" t="s">
        <v>6</v>
      </c>
      <c r="BN1237">
        <v>307.51499999999999</v>
      </c>
      <c r="BO1237">
        <v>1377</v>
      </c>
      <c r="BP1237">
        <v>0</v>
      </c>
      <c r="BQ1237">
        <v>70</v>
      </c>
      <c r="BR1237">
        <v>70</v>
      </c>
      <c r="BS1237">
        <v>69.730009999999993</v>
      </c>
      <c r="BT1237">
        <v>0</v>
      </c>
      <c r="BV1237">
        <v>0</v>
      </c>
      <c r="BW1237" t="s">
        <v>655</v>
      </c>
      <c r="BX1237">
        <v>0.17</v>
      </c>
      <c r="BY1237">
        <v>11.854100000000001</v>
      </c>
      <c r="BZ1237">
        <v>0</v>
      </c>
      <c r="CA1237">
        <v>1</v>
      </c>
      <c r="CB1237">
        <v>0.6</v>
      </c>
      <c r="CC1237" s="3">
        <v>7.1269159999999998E-2</v>
      </c>
      <c r="CD1237">
        <v>2.875</v>
      </c>
      <c r="CE1237">
        <v>2.5</v>
      </c>
      <c r="CF1237">
        <v>18</v>
      </c>
      <c r="CG1237">
        <v>6</v>
      </c>
      <c r="CH1237">
        <v>0</v>
      </c>
      <c r="CI1237">
        <v>69.730009999999993</v>
      </c>
      <c r="CJ1237">
        <v>869.05849999999998</v>
      </c>
    </row>
    <row r="1238" spans="1:88">
      <c r="A1238">
        <v>1237</v>
      </c>
      <c r="B1238" t="s">
        <v>0</v>
      </c>
      <c r="C1238" t="s">
        <v>1</v>
      </c>
      <c r="D1238" t="s">
        <v>233</v>
      </c>
      <c r="E1238" t="s">
        <v>201</v>
      </c>
      <c r="F1238" t="s">
        <v>271</v>
      </c>
      <c r="G1238" t="s">
        <v>106</v>
      </c>
      <c r="H1238" t="s">
        <v>279</v>
      </c>
      <c r="J1238">
        <v>2</v>
      </c>
      <c r="K1238" t="s">
        <v>146</v>
      </c>
      <c r="L1238" t="s">
        <v>161</v>
      </c>
      <c r="M1238" t="s">
        <v>558</v>
      </c>
      <c r="N1238" t="s">
        <v>113</v>
      </c>
      <c r="O1238">
        <v>176</v>
      </c>
      <c r="Q1238">
        <v>707</v>
      </c>
      <c r="R1238">
        <v>96</v>
      </c>
      <c r="S1238">
        <v>4.25</v>
      </c>
      <c r="T1238">
        <v>4.6509999999999998</v>
      </c>
      <c r="U1238">
        <v>7.01</v>
      </c>
      <c r="V1238">
        <v>3006.53</v>
      </c>
      <c r="W1238">
        <v>671</v>
      </c>
      <c r="X1238">
        <v>1.3332999999999999</v>
      </c>
      <c r="Y1238">
        <v>503</v>
      </c>
      <c r="Z1238">
        <v>5.98</v>
      </c>
      <c r="AJ1238">
        <v>2</v>
      </c>
      <c r="AK1238">
        <v>18</v>
      </c>
      <c r="AM1238">
        <v>0</v>
      </c>
      <c r="AO1238" t="s">
        <v>144</v>
      </c>
      <c r="AT1238">
        <v>66</v>
      </c>
      <c r="AV1238">
        <v>54.2</v>
      </c>
      <c r="AW1238">
        <v>0.4375</v>
      </c>
      <c r="AX1238">
        <v>3.75</v>
      </c>
      <c r="AY1238">
        <v>51.5</v>
      </c>
      <c r="AZ1238">
        <v>5.25</v>
      </c>
      <c r="BA1238">
        <v>276.51</v>
      </c>
      <c r="BB1238">
        <v>5.95</v>
      </c>
      <c r="BC1238">
        <v>52</v>
      </c>
      <c r="BD1238">
        <v>0.4375</v>
      </c>
      <c r="BE1238">
        <v>3.75</v>
      </c>
      <c r="BF1238">
        <v>62.875</v>
      </c>
      <c r="BG1238">
        <v>5.25</v>
      </c>
      <c r="BH1238">
        <v>226.25</v>
      </c>
      <c r="BI1238">
        <v>7.27</v>
      </c>
      <c r="BJ1238">
        <v>64</v>
      </c>
      <c r="BL1238">
        <v>502.76</v>
      </c>
      <c r="BM1238">
        <v>115</v>
      </c>
      <c r="BN1238">
        <v>260.36669999999998</v>
      </c>
      <c r="BO1238">
        <v>1531</v>
      </c>
      <c r="BP1238">
        <v>0</v>
      </c>
      <c r="BQ1238">
        <v>60</v>
      </c>
      <c r="BR1238">
        <v>60</v>
      </c>
      <c r="BS1238">
        <v>60.34</v>
      </c>
      <c r="BT1238">
        <v>0</v>
      </c>
      <c r="BV1238">
        <v>0</v>
      </c>
      <c r="BW1238" t="s">
        <v>655</v>
      </c>
      <c r="BX1238">
        <v>0.17</v>
      </c>
      <c r="BY1238">
        <v>10.2578</v>
      </c>
      <c r="BZ1238">
        <v>0</v>
      </c>
      <c r="CA1238">
        <v>1</v>
      </c>
      <c r="CB1238">
        <v>0.6</v>
      </c>
      <c r="CC1238" s="3">
        <v>7.1269159999999998E-2</v>
      </c>
      <c r="CD1238">
        <v>2.875</v>
      </c>
      <c r="CE1238">
        <v>2.5</v>
      </c>
      <c r="CF1238">
        <v>18</v>
      </c>
      <c r="CG1238">
        <v>6</v>
      </c>
      <c r="CH1238">
        <v>0</v>
      </c>
      <c r="CI1238">
        <v>60.34</v>
      </c>
      <c r="CJ1238">
        <v>642.90700000000004</v>
      </c>
    </row>
    <row r="1239" spans="1:88">
      <c r="A1239">
        <v>1238</v>
      </c>
      <c r="B1239" t="s">
        <v>0</v>
      </c>
      <c r="C1239" t="s">
        <v>1</v>
      </c>
      <c r="D1239" t="s">
        <v>338</v>
      </c>
      <c r="E1239" t="s">
        <v>233</v>
      </c>
      <c r="F1239" t="s">
        <v>360</v>
      </c>
      <c r="G1239" t="s">
        <v>106</v>
      </c>
      <c r="H1239" t="s">
        <v>101</v>
      </c>
      <c r="J1239">
        <v>2</v>
      </c>
      <c r="K1239" t="s">
        <v>146</v>
      </c>
      <c r="L1239" t="s">
        <v>251</v>
      </c>
      <c r="M1239" t="s">
        <v>236</v>
      </c>
      <c r="N1239" t="s">
        <v>272</v>
      </c>
      <c r="O1239">
        <v>157</v>
      </c>
      <c r="Q1239">
        <v>544</v>
      </c>
      <c r="R1239">
        <v>83</v>
      </c>
      <c r="S1239">
        <v>4.25</v>
      </c>
      <c r="T1239">
        <v>4.2130000000000001</v>
      </c>
      <c r="U1239">
        <v>6.82</v>
      </c>
      <c r="V1239">
        <v>2310.4699999999998</v>
      </c>
      <c r="W1239">
        <v>567</v>
      </c>
      <c r="X1239">
        <v>1.3332999999999999</v>
      </c>
      <c r="Y1239">
        <v>417</v>
      </c>
      <c r="Z1239">
        <v>5.54</v>
      </c>
      <c r="AJ1239">
        <v>2</v>
      </c>
      <c r="AK1239">
        <v>18</v>
      </c>
      <c r="AM1239">
        <v>0</v>
      </c>
      <c r="AO1239" t="s">
        <v>403</v>
      </c>
      <c r="AT1239">
        <v>60</v>
      </c>
      <c r="AV1239">
        <v>46.2</v>
      </c>
      <c r="AW1239">
        <v>0.46875</v>
      </c>
      <c r="AX1239">
        <v>3.75</v>
      </c>
      <c r="AY1239">
        <v>57</v>
      </c>
      <c r="AZ1239">
        <v>5.25</v>
      </c>
      <c r="BA1239">
        <v>355.74</v>
      </c>
      <c r="BB1239">
        <v>5.54</v>
      </c>
      <c r="BC1239">
        <v>61</v>
      </c>
      <c r="BD1239">
        <v>0.25</v>
      </c>
      <c r="BE1239">
        <v>2.75</v>
      </c>
      <c r="BF1239">
        <v>18.75</v>
      </c>
      <c r="BG1239">
        <v>2.75</v>
      </c>
      <c r="BH1239">
        <v>61.3</v>
      </c>
      <c r="BI1239">
        <v>5.6</v>
      </c>
      <c r="BJ1239">
        <v>8</v>
      </c>
      <c r="BL1239">
        <v>417.04</v>
      </c>
      <c r="BM1239">
        <v>69</v>
      </c>
      <c r="BN1239">
        <v>221.13339999999999</v>
      </c>
      <c r="BO1239">
        <v>2122</v>
      </c>
      <c r="BP1239">
        <v>0</v>
      </c>
      <c r="BQ1239">
        <v>54</v>
      </c>
      <c r="BR1239">
        <v>54</v>
      </c>
      <c r="BS1239">
        <v>53.73</v>
      </c>
      <c r="BT1239">
        <v>0</v>
      </c>
      <c r="BV1239">
        <v>0</v>
      </c>
      <c r="BW1239" t="s">
        <v>655</v>
      </c>
      <c r="BX1239">
        <v>0.17</v>
      </c>
      <c r="BY1239">
        <v>9.1341000000000001</v>
      </c>
      <c r="BZ1239">
        <v>0</v>
      </c>
      <c r="CA1239">
        <v>1</v>
      </c>
      <c r="CB1239">
        <v>0.6</v>
      </c>
      <c r="CC1239" s="3">
        <v>7.1269159999999998E-2</v>
      </c>
      <c r="CD1239">
        <v>2.875</v>
      </c>
      <c r="CE1239">
        <v>2.5</v>
      </c>
      <c r="CF1239">
        <v>18</v>
      </c>
      <c r="CG1239">
        <v>6</v>
      </c>
      <c r="CH1239">
        <v>0</v>
      </c>
      <c r="CI1239">
        <v>53.73</v>
      </c>
      <c r="CJ1239">
        <v>488.23469999999998</v>
      </c>
    </row>
    <row r="1240" spans="1:88">
      <c r="A1240">
        <v>1239</v>
      </c>
      <c r="B1240" t="s">
        <v>0</v>
      </c>
      <c r="C1240" t="s">
        <v>1</v>
      </c>
      <c r="D1240" t="s">
        <v>8</v>
      </c>
      <c r="E1240" t="s">
        <v>466</v>
      </c>
      <c r="F1240" t="s">
        <v>246</v>
      </c>
      <c r="G1240" t="s">
        <v>15</v>
      </c>
      <c r="H1240" t="s">
        <v>247</v>
      </c>
      <c r="J1240">
        <v>2</v>
      </c>
      <c r="K1240" t="s">
        <v>108</v>
      </c>
      <c r="L1240" t="s">
        <v>210</v>
      </c>
      <c r="M1240" t="s">
        <v>593</v>
      </c>
      <c r="N1240" t="s">
        <v>297</v>
      </c>
      <c r="O1240">
        <v>172</v>
      </c>
      <c r="Q1240">
        <v>904</v>
      </c>
      <c r="R1240">
        <v>124</v>
      </c>
      <c r="S1240">
        <v>4.25</v>
      </c>
      <c r="T1240">
        <v>4.5599999999999996</v>
      </c>
      <c r="U1240">
        <v>6.93</v>
      </c>
      <c r="V1240">
        <v>3842.21</v>
      </c>
      <c r="W1240">
        <v>857</v>
      </c>
      <c r="X1240">
        <v>1.3332999999999999</v>
      </c>
      <c r="Y1240">
        <v>652</v>
      </c>
      <c r="Z1240">
        <v>5.89</v>
      </c>
      <c r="AJ1240">
        <v>2</v>
      </c>
      <c r="AK1240">
        <v>18</v>
      </c>
      <c r="AM1240">
        <v>0</v>
      </c>
      <c r="AO1240" t="s">
        <v>250</v>
      </c>
      <c r="AT1240">
        <v>65</v>
      </c>
      <c r="AV1240">
        <v>71.099999999999994</v>
      </c>
      <c r="AW1240" t="s">
        <v>6</v>
      </c>
      <c r="AX1240" t="s">
        <v>6</v>
      </c>
      <c r="AY1240" t="s">
        <v>6</v>
      </c>
      <c r="AZ1240" t="s">
        <v>6</v>
      </c>
      <c r="BA1240" t="s">
        <v>6</v>
      </c>
      <c r="BB1240" t="s">
        <v>6</v>
      </c>
      <c r="BC1240" t="s">
        <v>6</v>
      </c>
      <c r="BD1240" t="s">
        <v>6</v>
      </c>
      <c r="BE1240" t="s">
        <v>6</v>
      </c>
      <c r="BF1240" t="s">
        <v>6</v>
      </c>
      <c r="BG1240" t="s">
        <v>6</v>
      </c>
      <c r="BH1240" t="s">
        <v>6</v>
      </c>
      <c r="BI1240" t="s">
        <v>6</v>
      </c>
      <c r="BJ1240" t="s">
        <v>6</v>
      </c>
      <c r="BN1240">
        <v>606.1585</v>
      </c>
      <c r="BO1240">
        <v>2977</v>
      </c>
      <c r="BP1240">
        <v>0</v>
      </c>
      <c r="BQ1240">
        <v>59</v>
      </c>
      <c r="BR1240">
        <v>59</v>
      </c>
      <c r="BS1240">
        <v>58.95</v>
      </c>
      <c r="BT1240">
        <v>0</v>
      </c>
      <c r="BV1240">
        <v>0</v>
      </c>
      <c r="BW1240" t="s">
        <v>655</v>
      </c>
      <c r="BX1240">
        <v>0.17</v>
      </c>
      <c r="BY1240">
        <v>10.0215</v>
      </c>
      <c r="BZ1240">
        <v>0</v>
      </c>
      <c r="CA1240">
        <v>1</v>
      </c>
      <c r="CB1240">
        <v>0.6</v>
      </c>
      <c r="CC1240" s="3">
        <v>7.1269159999999998E-2</v>
      </c>
      <c r="CD1240">
        <v>2.875</v>
      </c>
      <c r="CE1240">
        <v>2.5</v>
      </c>
      <c r="CF1240">
        <v>18</v>
      </c>
      <c r="CG1240">
        <v>6</v>
      </c>
      <c r="CH1240">
        <v>0</v>
      </c>
      <c r="CI1240">
        <v>58.95</v>
      </c>
      <c r="CJ1240">
        <v>822.93290000000002</v>
      </c>
    </row>
    <row r="1241" spans="1:88">
      <c r="A1241">
        <v>1240</v>
      </c>
      <c r="B1241" t="s">
        <v>0</v>
      </c>
      <c r="C1241" t="s">
        <v>1</v>
      </c>
      <c r="D1241" t="s">
        <v>185</v>
      </c>
      <c r="E1241" t="s">
        <v>111</v>
      </c>
      <c r="F1241" t="s">
        <v>211</v>
      </c>
      <c r="G1241" t="s">
        <v>106</v>
      </c>
      <c r="H1241" t="s">
        <v>293</v>
      </c>
      <c r="J1241">
        <v>2</v>
      </c>
      <c r="K1241" t="s">
        <v>146</v>
      </c>
      <c r="L1241" t="s">
        <v>612</v>
      </c>
      <c r="M1241" t="s">
        <v>613</v>
      </c>
      <c r="N1241" t="s">
        <v>253</v>
      </c>
      <c r="O1241">
        <v>194</v>
      </c>
      <c r="Q1241">
        <v>750</v>
      </c>
      <c r="R1241">
        <v>93</v>
      </c>
      <c r="S1241">
        <v>4.25</v>
      </c>
      <c r="T1241">
        <v>5.0510000000000002</v>
      </c>
      <c r="U1241">
        <v>7.31</v>
      </c>
      <c r="V1241">
        <v>3185.97</v>
      </c>
      <c r="W1241">
        <v>679</v>
      </c>
      <c r="X1241">
        <v>1.3332999999999999</v>
      </c>
      <c r="Y1241">
        <v>499</v>
      </c>
      <c r="Z1241">
        <v>6.38</v>
      </c>
      <c r="AJ1241">
        <v>2</v>
      </c>
      <c r="AK1241">
        <v>18</v>
      </c>
      <c r="AM1241">
        <v>0</v>
      </c>
      <c r="AO1241" t="s">
        <v>465</v>
      </c>
      <c r="AT1241">
        <v>73</v>
      </c>
      <c r="AV1241">
        <v>52.4</v>
      </c>
      <c r="AW1241">
        <v>0.4375</v>
      </c>
      <c r="AX1241">
        <v>3.75</v>
      </c>
      <c r="AY1241">
        <v>57</v>
      </c>
      <c r="AZ1241">
        <v>5.625</v>
      </c>
      <c r="BA1241">
        <v>249.68</v>
      </c>
      <c r="BB1241">
        <v>6.59</v>
      </c>
      <c r="BC1241">
        <v>58</v>
      </c>
      <c r="BD1241">
        <v>0.4375</v>
      </c>
      <c r="BE1241">
        <v>3.75</v>
      </c>
      <c r="BF1241">
        <v>57</v>
      </c>
      <c r="BG1241">
        <v>5.625</v>
      </c>
      <c r="BH1241">
        <v>249.68</v>
      </c>
      <c r="BI1241">
        <v>6.59</v>
      </c>
      <c r="BJ1241">
        <v>58</v>
      </c>
      <c r="BL1241">
        <v>499.36</v>
      </c>
      <c r="BM1241">
        <v>115</v>
      </c>
      <c r="BN1241">
        <v>251.45009999999999</v>
      </c>
      <c r="BO1241">
        <v>1641</v>
      </c>
      <c r="BP1241">
        <v>0</v>
      </c>
      <c r="BQ1241">
        <v>67</v>
      </c>
      <c r="BR1241">
        <v>67</v>
      </c>
      <c r="BS1241">
        <v>66.599999999999994</v>
      </c>
      <c r="BT1241">
        <v>0</v>
      </c>
      <c r="BV1241">
        <v>0</v>
      </c>
      <c r="BW1241" t="s">
        <v>655</v>
      </c>
      <c r="BX1241">
        <v>0.17</v>
      </c>
      <c r="BY1241">
        <v>11.321999999999999</v>
      </c>
      <c r="BZ1241">
        <v>0</v>
      </c>
      <c r="CA1241">
        <v>1</v>
      </c>
      <c r="CB1241">
        <v>0.6</v>
      </c>
      <c r="CC1241" s="3">
        <v>7.1269159999999998E-2</v>
      </c>
      <c r="CD1241">
        <v>2.875</v>
      </c>
      <c r="CE1241">
        <v>2.5</v>
      </c>
      <c r="CF1241">
        <v>18</v>
      </c>
      <c r="CG1241">
        <v>6</v>
      </c>
      <c r="CH1241">
        <v>0</v>
      </c>
      <c r="CI1241">
        <v>66.599999999999994</v>
      </c>
      <c r="CJ1241">
        <v>685.87300000000005</v>
      </c>
    </row>
    <row r="1242" spans="1:88">
      <c r="A1242">
        <v>1241</v>
      </c>
      <c r="B1242" t="s">
        <v>13</v>
      </c>
      <c r="C1242" t="s">
        <v>1</v>
      </c>
      <c r="D1242" t="s">
        <v>267</v>
      </c>
      <c r="E1242" t="s">
        <v>143</v>
      </c>
      <c r="F1242" t="s">
        <v>269</v>
      </c>
      <c r="G1242" t="s">
        <v>106</v>
      </c>
      <c r="H1242" t="s">
        <v>131</v>
      </c>
      <c r="J1242">
        <v>2</v>
      </c>
      <c r="K1242" t="s">
        <v>146</v>
      </c>
      <c r="L1242" t="s">
        <v>297</v>
      </c>
      <c r="M1242" t="s">
        <v>206</v>
      </c>
      <c r="N1242" t="s">
        <v>131</v>
      </c>
      <c r="O1242">
        <v>155</v>
      </c>
      <c r="Q1242">
        <v>637</v>
      </c>
      <c r="R1242">
        <v>97</v>
      </c>
      <c r="S1242">
        <v>4.25</v>
      </c>
      <c r="T1242">
        <v>4.1660000000000004</v>
      </c>
      <c r="U1242">
        <v>6.78</v>
      </c>
      <c r="V1242">
        <v>2705.93</v>
      </c>
      <c r="W1242">
        <v>657</v>
      </c>
      <c r="X1242">
        <v>1.3332999999999999</v>
      </c>
      <c r="Y1242">
        <v>493</v>
      </c>
      <c r="Z1242">
        <v>5.49</v>
      </c>
      <c r="AJ1242">
        <v>2</v>
      </c>
      <c r="AK1242">
        <v>18</v>
      </c>
      <c r="AM1242">
        <v>0</v>
      </c>
      <c r="AO1242" t="s">
        <v>271</v>
      </c>
      <c r="AT1242">
        <v>59</v>
      </c>
      <c r="AV1242">
        <v>54.9</v>
      </c>
      <c r="AW1242" t="s">
        <v>6</v>
      </c>
      <c r="AX1242" t="s">
        <v>6</v>
      </c>
      <c r="AY1242" t="s">
        <v>6</v>
      </c>
      <c r="AZ1242" t="s">
        <v>6</v>
      </c>
      <c r="BA1242" t="s">
        <v>6</v>
      </c>
      <c r="BB1242" t="s">
        <v>6</v>
      </c>
      <c r="BC1242" t="s">
        <v>6</v>
      </c>
      <c r="BD1242" t="s">
        <v>6</v>
      </c>
      <c r="BE1242" t="s">
        <v>6</v>
      </c>
      <c r="BF1242" t="s">
        <v>6</v>
      </c>
      <c r="BG1242" t="s">
        <v>6</v>
      </c>
      <c r="BH1242" t="s">
        <v>6</v>
      </c>
      <c r="BI1242" t="s">
        <v>6</v>
      </c>
      <c r="BJ1242" t="s">
        <v>6</v>
      </c>
      <c r="BN1242">
        <v>263.93340000000001</v>
      </c>
      <c r="BO1242">
        <v>1490</v>
      </c>
      <c r="BP1242">
        <v>0</v>
      </c>
      <c r="BQ1242">
        <v>53</v>
      </c>
      <c r="BR1242">
        <v>53</v>
      </c>
      <c r="BS1242">
        <v>53.04</v>
      </c>
      <c r="BT1242">
        <v>0</v>
      </c>
      <c r="BV1242">
        <v>0</v>
      </c>
      <c r="BW1242" t="s">
        <v>655</v>
      </c>
      <c r="BX1242">
        <v>0.17</v>
      </c>
      <c r="BY1242">
        <v>9.0167999999999999</v>
      </c>
      <c r="BZ1242">
        <v>0</v>
      </c>
      <c r="CA1242">
        <v>1</v>
      </c>
      <c r="CB1242">
        <v>0.6</v>
      </c>
      <c r="CC1242" s="3">
        <v>7.1269159999999998E-2</v>
      </c>
      <c r="CD1242">
        <v>2.875</v>
      </c>
      <c r="CE1242">
        <v>2.5</v>
      </c>
      <c r="CF1242">
        <v>18</v>
      </c>
      <c r="CG1242">
        <v>6</v>
      </c>
      <c r="CH1242">
        <v>0</v>
      </c>
      <c r="CI1242">
        <v>53.04</v>
      </c>
      <c r="CJ1242">
        <v>572.68759999999997</v>
      </c>
    </row>
    <row r="1243" spans="1:88">
      <c r="A1243">
        <v>1242</v>
      </c>
      <c r="B1243" t="s">
        <v>0</v>
      </c>
      <c r="C1243" t="s">
        <v>1</v>
      </c>
      <c r="D1243" t="s">
        <v>203</v>
      </c>
      <c r="E1243" t="s">
        <v>113</v>
      </c>
      <c r="F1243" t="s">
        <v>250</v>
      </c>
      <c r="G1243" t="s">
        <v>15</v>
      </c>
      <c r="H1243" t="s">
        <v>538</v>
      </c>
      <c r="J1243">
        <v>2</v>
      </c>
      <c r="K1243" t="s">
        <v>108</v>
      </c>
      <c r="L1243" t="s">
        <v>116</v>
      </c>
      <c r="M1243" t="s">
        <v>117</v>
      </c>
      <c r="N1243" t="s">
        <v>14</v>
      </c>
      <c r="O1243">
        <v>179</v>
      </c>
      <c r="Q1243">
        <v>929</v>
      </c>
      <c r="R1243">
        <v>122</v>
      </c>
      <c r="S1243">
        <v>4.25</v>
      </c>
      <c r="T1243">
        <v>4.7190000000000003</v>
      </c>
      <c r="U1243">
        <v>7.05</v>
      </c>
      <c r="V1243">
        <v>3948.46</v>
      </c>
      <c r="W1243">
        <v>863</v>
      </c>
      <c r="X1243">
        <v>1.3332999999999999</v>
      </c>
      <c r="Y1243">
        <v>653</v>
      </c>
      <c r="Z1243">
        <v>6.05</v>
      </c>
      <c r="AJ1243">
        <v>2</v>
      </c>
      <c r="AK1243">
        <v>18</v>
      </c>
      <c r="AM1243">
        <v>0</v>
      </c>
      <c r="AO1243" t="s">
        <v>539</v>
      </c>
      <c r="AT1243">
        <v>68</v>
      </c>
      <c r="AV1243">
        <v>70.3</v>
      </c>
      <c r="AW1243" t="s">
        <v>6</v>
      </c>
      <c r="AX1243" t="s">
        <v>6</v>
      </c>
      <c r="AY1243" t="s">
        <v>6</v>
      </c>
      <c r="AZ1243" t="s">
        <v>6</v>
      </c>
      <c r="BA1243" t="s">
        <v>6</v>
      </c>
      <c r="BB1243" t="s">
        <v>6</v>
      </c>
      <c r="BC1243" t="s">
        <v>6</v>
      </c>
      <c r="BD1243" t="s">
        <v>6</v>
      </c>
      <c r="BE1243" t="s">
        <v>6</v>
      </c>
      <c r="BF1243" t="s">
        <v>6</v>
      </c>
      <c r="BG1243" t="s">
        <v>6</v>
      </c>
      <c r="BH1243" t="s">
        <v>6</v>
      </c>
      <c r="BI1243" t="s">
        <v>6</v>
      </c>
      <c r="BJ1243" t="s">
        <v>6</v>
      </c>
      <c r="BN1243">
        <v>599.84429999999998</v>
      </c>
      <c r="BO1243">
        <v>3040</v>
      </c>
      <c r="BP1243">
        <v>0</v>
      </c>
      <c r="BQ1243">
        <v>61</v>
      </c>
      <c r="BR1243">
        <v>61</v>
      </c>
      <c r="BS1243">
        <v>61.39</v>
      </c>
      <c r="BT1243">
        <v>0</v>
      </c>
      <c r="BV1243">
        <v>0</v>
      </c>
      <c r="BW1243" t="s">
        <v>655</v>
      </c>
      <c r="BX1243">
        <v>0.17</v>
      </c>
      <c r="BY1243">
        <v>10.436299999999999</v>
      </c>
      <c r="BZ1243">
        <v>0</v>
      </c>
      <c r="CA1243">
        <v>1</v>
      </c>
      <c r="CB1243">
        <v>0.6</v>
      </c>
      <c r="CC1243" s="3">
        <v>7.1269159999999998E-2</v>
      </c>
      <c r="CD1243">
        <v>2.875</v>
      </c>
      <c r="CE1243">
        <v>2.5</v>
      </c>
      <c r="CF1243">
        <v>18</v>
      </c>
      <c r="CG1243">
        <v>6</v>
      </c>
      <c r="CH1243">
        <v>0</v>
      </c>
      <c r="CI1243">
        <v>61.39</v>
      </c>
      <c r="CJ1243">
        <v>848.24450000000002</v>
      </c>
    </row>
    <row r="1244" spans="1:88">
      <c r="A1244">
        <v>1243</v>
      </c>
      <c r="B1244" t="s">
        <v>0</v>
      </c>
      <c r="C1244" t="s">
        <v>1</v>
      </c>
      <c r="D1244" t="s">
        <v>103</v>
      </c>
      <c r="E1244" t="s">
        <v>103</v>
      </c>
      <c r="F1244" t="s">
        <v>105</v>
      </c>
      <c r="G1244" t="s">
        <v>106</v>
      </c>
      <c r="H1244" t="s">
        <v>107</v>
      </c>
      <c r="J1244">
        <v>2</v>
      </c>
      <c r="K1244" t="s">
        <v>108</v>
      </c>
      <c r="L1244" t="s">
        <v>455</v>
      </c>
      <c r="M1244" t="s">
        <v>315</v>
      </c>
      <c r="N1244" t="s">
        <v>316</v>
      </c>
      <c r="O1244">
        <v>167</v>
      </c>
      <c r="Q1244">
        <v>720</v>
      </c>
      <c r="R1244">
        <v>102</v>
      </c>
      <c r="S1244">
        <v>4.25</v>
      </c>
      <c r="T1244">
        <v>4.4459999999999997</v>
      </c>
      <c r="U1244">
        <v>6.86</v>
      </c>
      <c r="V1244">
        <v>3058.34</v>
      </c>
      <c r="W1244">
        <v>698</v>
      </c>
      <c r="X1244">
        <v>1.3332999999999999</v>
      </c>
      <c r="Y1244">
        <v>530</v>
      </c>
      <c r="Z1244">
        <v>5.77</v>
      </c>
      <c r="AJ1244">
        <v>2</v>
      </c>
      <c r="AK1244">
        <v>18</v>
      </c>
      <c r="AM1244">
        <v>0</v>
      </c>
      <c r="AO1244" t="s">
        <v>112</v>
      </c>
      <c r="AT1244">
        <v>63</v>
      </c>
      <c r="AV1244">
        <v>58</v>
      </c>
      <c r="AW1244" t="s">
        <v>6</v>
      </c>
      <c r="AX1244" t="s">
        <v>6</v>
      </c>
      <c r="AY1244" t="s">
        <v>6</v>
      </c>
      <c r="AZ1244" t="s">
        <v>6</v>
      </c>
      <c r="BA1244" t="s">
        <v>6</v>
      </c>
      <c r="BB1244" t="s">
        <v>6</v>
      </c>
      <c r="BC1244" t="s">
        <v>6</v>
      </c>
      <c r="BD1244" t="s">
        <v>6</v>
      </c>
      <c r="BE1244" t="s">
        <v>6</v>
      </c>
      <c r="BF1244" t="s">
        <v>6</v>
      </c>
      <c r="BG1244" t="s">
        <v>6</v>
      </c>
      <c r="BH1244" t="s">
        <v>6</v>
      </c>
      <c r="BI1244" t="s">
        <v>6</v>
      </c>
      <c r="BJ1244" t="s">
        <v>6</v>
      </c>
      <c r="BN1244">
        <v>278.20010000000002</v>
      </c>
      <c r="BO1244">
        <v>1341</v>
      </c>
      <c r="BP1244">
        <v>0</v>
      </c>
      <c r="BQ1244">
        <v>57</v>
      </c>
      <c r="BR1244">
        <v>57</v>
      </c>
      <c r="BS1244">
        <v>57.21</v>
      </c>
      <c r="BT1244">
        <v>0</v>
      </c>
      <c r="BV1244">
        <v>0</v>
      </c>
      <c r="BW1244" t="s">
        <v>655</v>
      </c>
      <c r="BX1244">
        <v>0.17</v>
      </c>
      <c r="BY1244">
        <v>9.7257010000000008</v>
      </c>
      <c r="BZ1244">
        <v>0</v>
      </c>
      <c r="CA1244">
        <v>1</v>
      </c>
      <c r="CB1244">
        <v>0.6</v>
      </c>
      <c r="CC1244" s="3">
        <v>7.1269159999999998E-2</v>
      </c>
      <c r="CD1244">
        <v>2.875</v>
      </c>
      <c r="CE1244">
        <v>2.5</v>
      </c>
      <c r="CF1244">
        <v>18</v>
      </c>
      <c r="CG1244">
        <v>6</v>
      </c>
      <c r="CH1244">
        <v>0</v>
      </c>
      <c r="CI1244">
        <v>57.21</v>
      </c>
      <c r="CJ1244">
        <v>651.8596</v>
      </c>
    </row>
    <row r="1245" spans="1:88">
      <c r="A1245">
        <v>1244</v>
      </c>
      <c r="B1245" t="s">
        <v>0</v>
      </c>
      <c r="C1245" t="s">
        <v>1</v>
      </c>
      <c r="D1245" t="s">
        <v>101</v>
      </c>
      <c r="E1245" t="s">
        <v>19</v>
      </c>
      <c r="F1245" t="s">
        <v>339</v>
      </c>
      <c r="G1245" t="s">
        <v>106</v>
      </c>
      <c r="H1245" t="s">
        <v>167</v>
      </c>
      <c r="J1245">
        <v>2</v>
      </c>
      <c r="K1245" t="s">
        <v>146</v>
      </c>
      <c r="L1245" t="s">
        <v>302</v>
      </c>
      <c r="M1245" t="s">
        <v>433</v>
      </c>
      <c r="N1245" t="s">
        <v>434</v>
      </c>
      <c r="O1245">
        <v>185</v>
      </c>
      <c r="Q1245">
        <v>629</v>
      </c>
      <c r="R1245">
        <v>83</v>
      </c>
      <c r="S1245">
        <v>4.25</v>
      </c>
      <c r="T1245">
        <v>4.8529999999999998</v>
      </c>
      <c r="U1245">
        <v>7.16</v>
      </c>
      <c r="V1245">
        <v>2672.86</v>
      </c>
      <c r="W1245">
        <v>591</v>
      </c>
      <c r="X1245">
        <v>1.3332999999999999</v>
      </c>
      <c r="Y1245">
        <v>433</v>
      </c>
      <c r="Z1245">
        <v>6.18</v>
      </c>
      <c r="AJ1245">
        <v>2</v>
      </c>
      <c r="AK1245">
        <v>18</v>
      </c>
      <c r="AM1245">
        <v>0</v>
      </c>
      <c r="AO1245" t="s">
        <v>327</v>
      </c>
      <c r="AT1245">
        <v>70</v>
      </c>
      <c r="AV1245">
        <v>45.9</v>
      </c>
      <c r="AW1245">
        <v>0.40625</v>
      </c>
      <c r="AX1245">
        <v>3.75</v>
      </c>
      <c r="AY1245">
        <v>45</v>
      </c>
      <c r="AZ1245">
        <v>5</v>
      </c>
      <c r="BA1245">
        <v>216.25</v>
      </c>
      <c r="BB1245">
        <v>6.12</v>
      </c>
      <c r="BC1245">
        <v>43</v>
      </c>
      <c r="BD1245">
        <v>0.40625</v>
      </c>
      <c r="BE1245">
        <v>3.75</v>
      </c>
      <c r="BF1245">
        <v>45</v>
      </c>
      <c r="BG1245">
        <v>5</v>
      </c>
      <c r="BH1245">
        <v>216.25</v>
      </c>
      <c r="BI1245">
        <v>6.12</v>
      </c>
      <c r="BJ1245">
        <v>43</v>
      </c>
      <c r="BL1245">
        <v>432.5</v>
      </c>
      <c r="BM1245">
        <v>85</v>
      </c>
      <c r="BN1245">
        <v>219.35</v>
      </c>
      <c r="BO1245">
        <v>2157</v>
      </c>
      <c r="BP1245">
        <v>0</v>
      </c>
      <c r="BQ1245">
        <v>63</v>
      </c>
      <c r="BR1245">
        <v>63</v>
      </c>
      <c r="BS1245">
        <v>63.47</v>
      </c>
      <c r="BT1245">
        <v>0</v>
      </c>
      <c r="BV1245">
        <v>0</v>
      </c>
      <c r="BW1245" t="s">
        <v>655</v>
      </c>
      <c r="BX1245">
        <v>0.17</v>
      </c>
      <c r="BY1245">
        <v>10.789899999999999</v>
      </c>
      <c r="BZ1245">
        <v>0</v>
      </c>
      <c r="CA1245">
        <v>1</v>
      </c>
      <c r="CB1245">
        <v>0.6</v>
      </c>
      <c r="CC1245" s="3">
        <v>7.1269159999999998E-2</v>
      </c>
      <c r="CD1245">
        <v>2.875</v>
      </c>
      <c r="CE1245">
        <v>2.5</v>
      </c>
      <c r="CF1245">
        <v>18</v>
      </c>
      <c r="CG1245">
        <v>6</v>
      </c>
      <c r="CH1245">
        <v>0</v>
      </c>
      <c r="CI1245">
        <v>63.47</v>
      </c>
      <c r="CJ1245">
        <v>572.21690000000001</v>
      </c>
    </row>
    <row r="1246" spans="1:88">
      <c r="A1246">
        <v>1245</v>
      </c>
      <c r="B1246" t="s">
        <v>13</v>
      </c>
      <c r="C1246" t="s">
        <v>1</v>
      </c>
      <c r="D1246" t="s">
        <v>123</v>
      </c>
      <c r="E1246" t="s">
        <v>2</v>
      </c>
      <c r="F1246" t="s">
        <v>118</v>
      </c>
      <c r="G1246" t="s">
        <v>106</v>
      </c>
      <c r="H1246" t="s">
        <v>386</v>
      </c>
      <c r="J1246">
        <v>2</v>
      </c>
      <c r="K1246" t="s">
        <v>108</v>
      </c>
      <c r="L1246" t="s">
        <v>122</v>
      </c>
      <c r="M1246" t="s">
        <v>4</v>
      </c>
      <c r="N1246" t="s">
        <v>5</v>
      </c>
      <c r="O1246">
        <v>107</v>
      </c>
      <c r="Q1246">
        <v>526</v>
      </c>
      <c r="R1246">
        <v>111</v>
      </c>
      <c r="S1246">
        <v>4.25</v>
      </c>
      <c r="T1246">
        <v>2.9710000000000001</v>
      </c>
      <c r="U1246">
        <v>6.07</v>
      </c>
      <c r="V1246">
        <v>2233.46</v>
      </c>
      <c r="W1246">
        <v>674</v>
      </c>
      <c r="X1246">
        <v>1.3332999999999999</v>
      </c>
      <c r="Y1246">
        <v>519</v>
      </c>
      <c r="Z1246">
        <v>4.3</v>
      </c>
      <c r="AJ1246">
        <v>2</v>
      </c>
      <c r="AK1246">
        <v>18</v>
      </c>
      <c r="AM1246">
        <v>0</v>
      </c>
      <c r="AO1246" t="s">
        <v>357</v>
      </c>
      <c r="AT1246">
        <v>42</v>
      </c>
      <c r="AV1246">
        <v>63.8</v>
      </c>
      <c r="AW1246">
        <v>0.46875</v>
      </c>
      <c r="AX1246">
        <v>3.75</v>
      </c>
      <c r="AY1246">
        <v>44.25</v>
      </c>
      <c r="AZ1246">
        <v>4</v>
      </c>
      <c r="BA1246">
        <v>458.33</v>
      </c>
      <c r="BB1246">
        <v>4.3</v>
      </c>
      <c r="BC1246">
        <v>48</v>
      </c>
      <c r="BD1246">
        <v>0.25</v>
      </c>
      <c r="BE1246">
        <v>2.75</v>
      </c>
      <c r="BF1246">
        <v>18.75</v>
      </c>
      <c r="BG1246">
        <v>2.125</v>
      </c>
      <c r="BH1246">
        <v>61.07</v>
      </c>
      <c r="BI1246">
        <v>5.62</v>
      </c>
      <c r="BJ1246">
        <v>8</v>
      </c>
      <c r="BL1246">
        <v>519.4</v>
      </c>
      <c r="BM1246">
        <v>55</v>
      </c>
      <c r="BN1246">
        <v>306.73340000000002</v>
      </c>
      <c r="BO1246">
        <v>1103</v>
      </c>
      <c r="BP1246">
        <v>0</v>
      </c>
      <c r="BQ1246">
        <v>36</v>
      </c>
      <c r="BR1246">
        <v>36</v>
      </c>
      <c r="BS1246">
        <v>36.340000000000003</v>
      </c>
      <c r="BT1246">
        <v>0</v>
      </c>
      <c r="BV1246">
        <v>0</v>
      </c>
      <c r="BW1246" t="s">
        <v>655</v>
      </c>
      <c r="BX1246">
        <v>0.17</v>
      </c>
      <c r="BY1246">
        <v>6.1778000000000004</v>
      </c>
      <c r="BZ1246">
        <v>0</v>
      </c>
      <c r="CA1246">
        <v>1</v>
      </c>
      <c r="CB1246">
        <v>0.6</v>
      </c>
      <c r="CC1246" s="3">
        <v>7.1269159999999998E-2</v>
      </c>
      <c r="CD1246">
        <v>2.875</v>
      </c>
      <c r="CE1246">
        <v>2.5</v>
      </c>
      <c r="CF1246">
        <v>18</v>
      </c>
      <c r="CG1246">
        <v>6</v>
      </c>
      <c r="CH1246">
        <v>0</v>
      </c>
      <c r="CI1246">
        <v>36.340000000000003</v>
      </c>
      <c r="CJ1246">
        <v>455.50240000000002</v>
      </c>
    </row>
    <row r="1247" spans="1:88">
      <c r="A1247">
        <v>1246</v>
      </c>
      <c r="B1247" t="s">
        <v>0</v>
      </c>
      <c r="C1247" t="s">
        <v>1</v>
      </c>
      <c r="D1247" t="s">
        <v>302</v>
      </c>
      <c r="E1247" t="s">
        <v>231</v>
      </c>
      <c r="F1247" t="s">
        <v>401</v>
      </c>
      <c r="G1247" t="s">
        <v>214</v>
      </c>
      <c r="H1247" t="s">
        <v>402</v>
      </c>
      <c r="J1247">
        <v>2</v>
      </c>
      <c r="K1247" t="s">
        <v>108</v>
      </c>
      <c r="L1247" t="s">
        <v>3</v>
      </c>
      <c r="M1247" t="s">
        <v>405</v>
      </c>
      <c r="N1247" t="s">
        <v>151</v>
      </c>
      <c r="O1247">
        <v>105</v>
      </c>
      <c r="Q1247">
        <v>581</v>
      </c>
      <c r="R1247">
        <v>125</v>
      </c>
      <c r="S1247">
        <v>4.25</v>
      </c>
      <c r="T1247">
        <v>2.9180000000000001</v>
      </c>
      <c r="U1247">
        <v>6</v>
      </c>
      <c r="V1247">
        <v>2467.67</v>
      </c>
      <c r="W1247">
        <v>749</v>
      </c>
      <c r="X1247">
        <v>1.3332999999999999</v>
      </c>
      <c r="Y1247">
        <v>581</v>
      </c>
      <c r="Z1247">
        <v>4.25</v>
      </c>
      <c r="AJ1247">
        <v>2</v>
      </c>
      <c r="AK1247">
        <v>18</v>
      </c>
      <c r="AM1247">
        <v>0</v>
      </c>
      <c r="AO1247" t="s">
        <v>246</v>
      </c>
      <c r="AT1247">
        <v>42</v>
      </c>
      <c r="AV1247">
        <v>71.8</v>
      </c>
      <c r="AW1247">
        <v>0.46875</v>
      </c>
      <c r="AX1247">
        <v>3.75</v>
      </c>
      <c r="AY1247">
        <v>43.75</v>
      </c>
      <c r="AZ1247">
        <v>4</v>
      </c>
      <c r="BA1247">
        <v>463.72</v>
      </c>
      <c r="BB1247">
        <v>4.25</v>
      </c>
      <c r="BC1247">
        <v>47</v>
      </c>
      <c r="BD1247">
        <v>0.3125</v>
      </c>
      <c r="BE1247">
        <v>2.75</v>
      </c>
      <c r="BF1247">
        <v>30.75</v>
      </c>
      <c r="BG1247">
        <v>2.625</v>
      </c>
      <c r="BH1247">
        <v>116.89</v>
      </c>
      <c r="BI1247">
        <v>5.46</v>
      </c>
      <c r="BJ1247">
        <v>16</v>
      </c>
      <c r="BL1247">
        <v>580.61</v>
      </c>
      <c r="BM1247">
        <v>63</v>
      </c>
      <c r="BN1247">
        <v>348.87670000000003</v>
      </c>
      <c r="BO1247">
        <v>1070</v>
      </c>
      <c r="BP1247">
        <v>0</v>
      </c>
      <c r="BQ1247">
        <v>36</v>
      </c>
      <c r="BR1247">
        <v>36</v>
      </c>
      <c r="BS1247">
        <v>35.65</v>
      </c>
      <c r="BT1247">
        <v>0</v>
      </c>
      <c r="BV1247">
        <v>0</v>
      </c>
      <c r="BW1247" t="s">
        <v>655</v>
      </c>
      <c r="BX1247">
        <v>0.17</v>
      </c>
      <c r="BY1247">
        <v>6.0605000000000002</v>
      </c>
      <c r="BZ1247">
        <v>0</v>
      </c>
      <c r="CA1247">
        <v>1</v>
      </c>
      <c r="CB1247">
        <v>0.6</v>
      </c>
      <c r="CC1247" s="3">
        <v>7.1269159999999998E-2</v>
      </c>
      <c r="CD1247">
        <v>2.875</v>
      </c>
      <c r="CE1247">
        <v>2.5</v>
      </c>
      <c r="CF1247">
        <v>18</v>
      </c>
      <c r="CG1247">
        <v>6</v>
      </c>
      <c r="CH1247">
        <v>0</v>
      </c>
      <c r="CI1247">
        <v>35.65</v>
      </c>
      <c r="CJ1247">
        <v>502.75</v>
      </c>
    </row>
    <row r="1248" spans="1:88">
      <c r="A1248">
        <v>1247</v>
      </c>
      <c r="B1248" t="s">
        <v>0</v>
      </c>
      <c r="C1248" t="s">
        <v>1</v>
      </c>
      <c r="D1248" t="s">
        <v>14</v>
      </c>
      <c r="E1248" t="s">
        <v>233</v>
      </c>
      <c r="F1248" t="s">
        <v>192</v>
      </c>
      <c r="G1248" t="s">
        <v>106</v>
      </c>
      <c r="H1248" t="s">
        <v>193</v>
      </c>
      <c r="J1248">
        <v>2</v>
      </c>
      <c r="K1248" t="s">
        <v>108</v>
      </c>
      <c r="L1248" t="s">
        <v>251</v>
      </c>
      <c r="M1248" t="s">
        <v>236</v>
      </c>
      <c r="N1248" t="s">
        <v>272</v>
      </c>
      <c r="O1248">
        <v>157</v>
      </c>
      <c r="Q1248">
        <v>742</v>
      </c>
      <c r="R1248">
        <v>110</v>
      </c>
      <c r="S1248">
        <v>4.25</v>
      </c>
      <c r="T1248">
        <v>4.2130000000000001</v>
      </c>
      <c r="U1248">
        <v>6.82</v>
      </c>
      <c r="V1248">
        <v>3154.56</v>
      </c>
      <c r="W1248">
        <v>753</v>
      </c>
      <c r="X1248">
        <v>1.3332999999999999</v>
      </c>
      <c r="Y1248">
        <v>569</v>
      </c>
      <c r="Z1248">
        <v>5.54</v>
      </c>
      <c r="AJ1248">
        <v>2</v>
      </c>
      <c r="AK1248">
        <v>18</v>
      </c>
      <c r="AM1248">
        <v>0</v>
      </c>
      <c r="AO1248" t="s">
        <v>196</v>
      </c>
      <c r="AT1248">
        <v>60</v>
      </c>
      <c r="AV1248">
        <v>63.4</v>
      </c>
      <c r="AW1248">
        <v>0.4375</v>
      </c>
      <c r="AX1248">
        <v>3.75</v>
      </c>
      <c r="AY1248">
        <v>50</v>
      </c>
      <c r="AZ1248">
        <v>4.875</v>
      </c>
      <c r="BA1248">
        <v>284.7</v>
      </c>
      <c r="BB1248">
        <v>5.78</v>
      </c>
      <c r="BC1248">
        <v>51</v>
      </c>
      <c r="BD1248">
        <v>0.4375</v>
      </c>
      <c r="BE1248">
        <v>3.75</v>
      </c>
      <c r="BF1248">
        <v>50</v>
      </c>
      <c r="BG1248">
        <v>4.875</v>
      </c>
      <c r="BH1248">
        <v>284.7</v>
      </c>
      <c r="BI1248">
        <v>5.78</v>
      </c>
      <c r="BJ1248">
        <v>51</v>
      </c>
      <c r="BL1248">
        <v>569.4</v>
      </c>
      <c r="BM1248">
        <v>101</v>
      </c>
      <c r="BN1248">
        <v>304.95010000000002</v>
      </c>
      <c r="BO1248">
        <v>1116</v>
      </c>
      <c r="BP1248">
        <v>0</v>
      </c>
      <c r="BQ1248">
        <v>54</v>
      </c>
      <c r="BR1248">
        <v>54</v>
      </c>
      <c r="BS1248">
        <v>53.73</v>
      </c>
      <c r="BT1248">
        <v>0</v>
      </c>
      <c r="BV1248">
        <v>0</v>
      </c>
      <c r="BW1248" t="s">
        <v>655</v>
      </c>
      <c r="BX1248">
        <v>0.17</v>
      </c>
      <c r="BY1248">
        <v>9.1341000000000001</v>
      </c>
      <c r="BZ1248">
        <v>0</v>
      </c>
      <c r="CA1248">
        <v>1</v>
      </c>
      <c r="CB1248">
        <v>0.6</v>
      </c>
      <c r="CC1248" s="3">
        <v>7.1269159999999998E-2</v>
      </c>
      <c r="CD1248">
        <v>2.875</v>
      </c>
      <c r="CE1248">
        <v>2.5</v>
      </c>
      <c r="CF1248">
        <v>18</v>
      </c>
      <c r="CG1248">
        <v>6</v>
      </c>
      <c r="CH1248">
        <v>0</v>
      </c>
      <c r="CI1248">
        <v>53.73</v>
      </c>
      <c r="CJ1248">
        <v>669.64729999999997</v>
      </c>
    </row>
    <row r="1249" spans="1:88">
      <c r="A1249">
        <v>1248</v>
      </c>
      <c r="B1249" t="s">
        <v>0</v>
      </c>
      <c r="C1249" t="s">
        <v>1</v>
      </c>
      <c r="D1249" t="s">
        <v>167</v>
      </c>
      <c r="E1249" t="s">
        <v>101</v>
      </c>
      <c r="F1249" t="s">
        <v>403</v>
      </c>
      <c r="G1249" t="s">
        <v>106</v>
      </c>
      <c r="H1249" t="s">
        <v>235</v>
      </c>
      <c r="J1249">
        <v>2</v>
      </c>
      <c r="K1249" t="s">
        <v>146</v>
      </c>
      <c r="L1249" t="s">
        <v>145</v>
      </c>
      <c r="M1249" t="s">
        <v>403</v>
      </c>
      <c r="N1249" t="s">
        <v>172</v>
      </c>
      <c r="O1249">
        <v>134</v>
      </c>
      <c r="Q1249">
        <v>462</v>
      </c>
      <c r="R1249">
        <v>82</v>
      </c>
      <c r="S1249">
        <v>4.25</v>
      </c>
      <c r="T1249">
        <v>3.66</v>
      </c>
      <c r="U1249">
        <v>6.41</v>
      </c>
      <c r="V1249">
        <v>1964.94</v>
      </c>
      <c r="W1249">
        <v>526</v>
      </c>
      <c r="X1249">
        <v>1.3332999999999999</v>
      </c>
      <c r="Y1249">
        <v>394</v>
      </c>
      <c r="Z1249">
        <v>4.99</v>
      </c>
      <c r="AJ1249">
        <v>2</v>
      </c>
      <c r="AK1249">
        <v>18</v>
      </c>
      <c r="AM1249">
        <v>0</v>
      </c>
      <c r="AO1249" t="s">
        <v>198</v>
      </c>
      <c r="AT1249">
        <v>52</v>
      </c>
      <c r="AV1249">
        <v>45.5</v>
      </c>
      <c r="AW1249">
        <v>0</v>
      </c>
      <c r="AX1249">
        <v>0</v>
      </c>
      <c r="AY1249">
        <v>51.5</v>
      </c>
      <c r="AZ1249">
        <v>4.625</v>
      </c>
      <c r="BA1249">
        <v>0</v>
      </c>
      <c r="BB1249">
        <v>0</v>
      </c>
      <c r="BC1249">
        <v>55</v>
      </c>
      <c r="BN1249">
        <v>217.5667</v>
      </c>
      <c r="BO1249">
        <v>2192</v>
      </c>
      <c r="BP1249">
        <v>0</v>
      </c>
      <c r="BQ1249">
        <v>46</v>
      </c>
      <c r="BR1249">
        <v>46</v>
      </c>
      <c r="BS1249">
        <v>45.73</v>
      </c>
      <c r="BT1249">
        <v>0</v>
      </c>
      <c r="BV1249">
        <v>0</v>
      </c>
      <c r="BW1249" t="s">
        <v>655</v>
      </c>
      <c r="BX1249">
        <v>0.17</v>
      </c>
      <c r="BY1249">
        <v>7.7740999999999998</v>
      </c>
      <c r="BZ1249">
        <v>0</v>
      </c>
      <c r="CA1249">
        <v>1</v>
      </c>
      <c r="CB1249">
        <v>0.6</v>
      </c>
      <c r="CC1249" s="3">
        <v>7.1269159999999998E-2</v>
      </c>
      <c r="CD1249">
        <v>2.875</v>
      </c>
      <c r="CE1249">
        <v>2.5</v>
      </c>
      <c r="CF1249">
        <v>18</v>
      </c>
      <c r="CG1249">
        <v>6</v>
      </c>
      <c r="CH1249">
        <v>0</v>
      </c>
      <c r="CI1249">
        <v>45.73</v>
      </c>
      <c r="CJ1249">
        <v>409.02190000000002</v>
      </c>
    </row>
    <row r="1250" spans="1:88">
      <c r="A1250">
        <v>1249</v>
      </c>
      <c r="B1250" t="s">
        <v>13</v>
      </c>
      <c r="C1250" t="s">
        <v>1</v>
      </c>
      <c r="D1250" t="s">
        <v>227</v>
      </c>
      <c r="E1250" t="s">
        <v>133</v>
      </c>
      <c r="F1250" t="s">
        <v>463</v>
      </c>
      <c r="G1250" t="s">
        <v>106</v>
      </c>
      <c r="H1250" t="s">
        <v>127</v>
      </c>
      <c r="J1250">
        <v>2</v>
      </c>
      <c r="K1250" t="s">
        <v>146</v>
      </c>
      <c r="L1250" t="s">
        <v>353</v>
      </c>
      <c r="M1250" t="s">
        <v>194</v>
      </c>
      <c r="N1250" t="s">
        <v>195</v>
      </c>
      <c r="O1250">
        <v>143</v>
      </c>
      <c r="Q1250">
        <v>426</v>
      </c>
      <c r="R1250">
        <v>72</v>
      </c>
      <c r="S1250">
        <v>4.25</v>
      </c>
      <c r="T1250">
        <v>3.88</v>
      </c>
      <c r="U1250">
        <v>6.6</v>
      </c>
      <c r="V1250">
        <v>1808.37</v>
      </c>
      <c r="W1250">
        <v>477</v>
      </c>
      <c r="X1250">
        <v>1.3332999999999999</v>
      </c>
      <c r="Y1250">
        <v>347</v>
      </c>
      <c r="Z1250">
        <v>5.21</v>
      </c>
      <c r="AJ1250">
        <v>2</v>
      </c>
      <c r="AK1250">
        <v>18</v>
      </c>
      <c r="AM1250">
        <v>0</v>
      </c>
      <c r="AO1250" t="s">
        <v>189</v>
      </c>
      <c r="AT1250">
        <v>55</v>
      </c>
      <c r="AV1250">
        <v>39.299999999999997</v>
      </c>
      <c r="AW1250">
        <v>0</v>
      </c>
      <c r="AX1250">
        <v>0</v>
      </c>
      <c r="AY1250">
        <v>58.375</v>
      </c>
      <c r="AZ1250">
        <v>4.875</v>
      </c>
      <c r="BA1250">
        <v>0</v>
      </c>
      <c r="BB1250">
        <v>0</v>
      </c>
      <c r="BC1250">
        <v>63</v>
      </c>
      <c r="BN1250">
        <v>187.25</v>
      </c>
      <c r="BO1250">
        <v>2960</v>
      </c>
      <c r="BP1250">
        <v>0</v>
      </c>
      <c r="BQ1250">
        <v>49</v>
      </c>
      <c r="BR1250">
        <v>49</v>
      </c>
      <c r="BS1250">
        <v>48.86</v>
      </c>
      <c r="BT1250">
        <v>0</v>
      </c>
      <c r="BV1250">
        <v>0</v>
      </c>
      <c r="BW1250" t="s">
        <v>655</v>
      </c>
      <c r="BX1250">
        <v>0.17</v>
      </c>
      <c r="BY1250">
        <v>8.3062000000000005</v>
      </c>
      <c r="BZ1250">
        <v>0</v>
      </c>
      <c r="CA1250">
        <v>1</v>
      </c>
      <c r="CB1250">
        <v>0.6</v>
      </c>
      <c r="CC1250" s="3">
        <v>7.1269159999999998E-2</v>
      </c>
      <c r="CD1250">
        <v>2.875</v>
      </c>
      <c r="CE1250">
        <v>2.5</v>
      </c>
      <c r="CF1250">
        <v>18</v>
      </c>
      <c r="CG1250">
        <v>6</v>
      </c>
      <c r="CH1250">
        <v>0</v>
      </c>
      <c r="CI1250">
        <v>48.86</v>
      </c>
      <c r="CJ1250">
        <v>377.81990000000002</v>
      </c>
    </row>
    <row r="1251" spans="1:88">
      <c r="A1251">
        <v>1250</v>
      </c>
      <c r="B1251" t="s">
        <v>0</v>
      </c>
      <c r="C1251" t="s">
        <v>1</v>
      </c>
      <c r="D1251" t="s">
        <v>143</v>
      </c>
      <c r="E1251" t="s">
        <v>133</v>
      </c>
      <c r="F1251" t="s">
        <v>144</v>
      </c>
      <c r="G1251" t="s">
        <v>106</v>
      </c>
      <c r="H1251" t="s">
        <v>145</v>
      </c>
      <c r="J1251">
        <v>2</v>
      </c>
      <c r="K1251" t="s">
        <v>146</v>
      </c>
      <c r="L1251" t="s">
        <v>353</v>
      </c>
      <c r="M1251" t="s">
        <v>194</v>
      </c>
      <c r="N1251" t="s">
        <v>195</v>
      </c>
      <c r="O1251">
        <v>143</v>
      </c>
      <c r="Q1251">
        <v>575</v>
      </c>
      <c r="R1251">
        <v>95</v>
      </c>
      <c r="S1251">
        <v>4.25</v>
      </c>
      <c r="T1251">
        <v>3.88</v>
      </c>
      <c r="U1251">
        <v>6.6</v>
      </c>
      <c r="V1251">
        <v>2445.7399999999998</v>
      </c>
      <c r="W1251">
        <v>624</v>
      </c>
      <c r="X1251">
        <v>1.3332999999999999</v>
      </c>
      <c r="Y1251">
        <v>469</v>
      </c>
      <c r="Z1251">
        <v>5.21</v>
      </c>
      <c r="AJ1251">
        <v>2</v>
      </c>
      <c r="AK1251">
        <v>18</v>
      </c>
      <c r="AM1251">
        <v>0</v>
      </c>
      <c r="AO1251" t="s">
        <v>149</v>
      </c>
      <c r="AT1251">
        <v>55</v>
      </c>
      <c r="AV1251">
        <v>53.5</v>
      </c>
      <c r="AW1251">
        <v>0.46875</v>
      </c>
      <c r="AX1251">
        <v>3.75</v>
      </c>
      <c r="AY1251">
        <v>53.625</v>
      </c>
      <c r="AZ1251">
        <v>4.875</v>
      </c>
      <c r="BA1251">
        <v>378.27</v>
      </c>
      <c r="BB1251">
        <v>5.21</v>
      </c>
      <c r="BC1251">
        <v>58</v>
      </c>
      <c r="BD1251">
        <v>0.3125</v>
      </c>
      <c r="BE1251">
        <v>2.75</v>
      </c>
      <c r="BF1251">
        <v>39.5</v>
      </c>
      <c r="BG1251">
        <v>3.25</v>
      </c>
      <c r="BH1251">
        <v>91.16001</v>
      </c>
      <c r="BI1251">
        <v>7.01</v>
      </c>
      <c r="BJ1251">
        <v>21</v>
      </c>
      <c r="BL1251">
        <v>469.43</v>
      </c>
      <c r="BM1251">
        <v>78</v>
      </c>
      <c r="BN1251">
        <v>256.80009999999999</v>
      </c>
      <c r="BO1251">
        <v>1574</v>
      </c>
      <c r="BP1251">
        <v>0</v>
      </c>
      <c r="BQ1251">
        <v>49</v>
      </c>
      <c r="BR1251">
        <v>49</v>
      </c>
      <c r="BS1251">
        <v>48.86</v>
      </c>
      <c r="BT1251">
        <v>0</v>
      </c>
      <c r="BV1251">
        <v>0</v>
      </c>
      <c r="BW1251" t="s">
        <v>655</v>
      </c>
      <c r="BX1251">
        <v>0.17</v>
      </c>
      <c r="BY1251">
        <v>8.3062000000000005</v>
      </c>
      <c r="BZ1251">
        <v>0</v>
      </c>
      <c r="CA1251">
        <v>1</v>
      </c>
      <c r="CB1251">
        <v>0.6</v>
      </c>
      <c r="CC1251" s="3">
        <v>7.1269159999999998E-2</v>
      </c>
      <c r="CD1251">
        <v>2.875</v>
      </c>
      <c r="CE1251">
        <v>2.5</v>
      </c>
      <c r="CF1251">
        <v>18</v>
      </c>
      <c r="CG1251">
        <v>6</v>
      </c>
      <c r="CH1251">
        <v>0</v>
      </c>
      <c r="CI1251">
        <v>48.86</v>
      </c>
      <c r="CJ1251">
        <v>513.62609999999995</v>
      </c>
    </row>
    <row r="1252" spans="1:88">
      <c r="A1252">
        <v>1251</v>
      </c>
      <c r="B1252" t="s">
        <v>13</v>
      </c>
      <c r="C1252" t="s">
        <v>1</v>
      </c>
      <c r="D1252" t="s">
        <v>341</v>
      </c>
      <c r="E1252" t="s">
        <v>143</v>
      </c>
      <c r="F1252" t="s">
        <v>343</v>
      </c>
      <c r="G1252" t="s">
        <v>106</v>
      </c>
      <c r="H1252" t="s">
        <v>344</v>
      </c>
      <c r="J1252">
        <v>2</v>
      </c>
      <c r="K1252" t="s">
        <v>146</v>
      </c>
      <c r="L1252" t="s">
        <v>297</v>
      </c>
      <c r="M1252" t="s">
        <v>206</v>
      </c>
      <c r="N1252" t="s">
        <v>131</v>
      </c>
      <c r="O1252">
        <v>155</v>
      </c>
      <c r="Q1252">
        <v>322</v>
      </c>
      <c r="R1252">
        <v>48</v>
      </c>
      <c r="S1252">
        <v>4.25</v>
      </c>
      <c r="T1252">
        <v>4.1660000000000004</v>
      </c>
      <c r="U1252">
        <v>6.78</v>
      </c>
      <c r="V1252">
        <v>1367.69</v>
      </c>
      <c r="W1252">
        <v>327</v>
      </c>
      <c r="X1252">
        <v>1.3332999999999999</v>
      </c>
      <c r="Y1252">
        <v>249</v>
      </c>
      <c r="Z1252">
        <v>5.49</v>
      </c>
      <c r="AJ1252">
        <v>2</v>
      </c>
      <c r="AK1252">
        <v>18</v>
      </c>
      <c r="AM1252">
        <v>0</v>
      </c>
      <c r="AO1252" t="s">
        <v>347</v>
      </c>
      <c r="AT1252">
        <v>59</v>
      </c>
      <c r="AV1252">
        <v>27.4</v>
      </c>
      <c r="AW1252">
        <v>0</v>
      </c>
      <c r="AX1252">
        <v>0</v>
      </c>
      <c r="AY1252">
        <v>57.125</v>
      </c>
      <c r="AZ1252">
        <v>4.75</v>
      </c>
      <c r="BA1252">
        <v>0</v>
      </c>
      <c r="BB1252">
        <v>0</v>
      </c>
      <c r="BC1252">
        <v>58</v>
      </c>
      <c r="BN1252">
        <v>128.4</v>
      </c>
      <c r="BO1252">
        <v>6294</v>
      </c>
      <c r="BP1252">
        <v>0</v>
      </c>
      <c r="BQ1252">
        <v>53</v>
      </c>
      <c r="BR1252">
        <v>53</v>
      </c>
      <c r="BS1252">
        <v>53.04</v>
      </c>
      <c r="BT1252">
        <v>0</v>
      </c>
      <c r="BV1252">
        <v>0</v>
      </c>
      <c r="BW1252" t="s">
        <v>655</v>
      </c>
      <c r="BX1252">
        <v>0.17</v>
      </c>
      <c r="BY1252">
        <v>9.0167999999999999</v>
      </c>
      <c r="BZ1252">
        <v>0</v>
      </c>
      <c r="CA1252">
        <v>1</v>
      </c>
      <c r="CB1252">
        <v>0.6</v>
      </c>
      <c r="CC1252" s="3">
        <v>7.1269159999999998E-2</v>
      </c>
      <c r="CD1252">
        <v>2.875</v>
      </c>
      <c r="CE1252">
        <v>2.5</v>
      </c>
      <c r="CF1252">
        <v>18</v>
      </c>
      <c r="CG1252">
        <v>6</v>
      </c>
      <c r="CH1252">
        <v>0</v>
      </c>
      <c r="CI1252">
        <v>53.04</v>
      </c>
      <c r="CJ1252">
        <v>285.39879999999999</v>
      </c>
    </row>
    <row r="1253" spans="1:88">
      <c r="A1253">
        <v>1252</v>
      </c>
      <c r="B1253" t="s">
        <v>0</v>
      </c>
      <c r="C1253" t="s">
        <v>1</v>
      </c>
      <c r="D1253" t="s">
        <v>502</v>
      </c>
      <c r="E1253" t="s">
        <v>96</v>
      </c>
      <c r="F1253" t="s">
        <v>503</v>
      </c>
      <c r="G1253" t="s">
        <v>15</v>
      </c>
      <c r="H1253" t="s">
        <v>502</v>
      </c>
      <c r="J1253">
        <v>2</v>
      </c>
      <c r="K1253" t="s">
        <v>9</v>
      </c>
      <c r="L1253" t="s">
        <v>293</v>
      </c>
      <c r="M1253" t="s">
        <v>100</v>
      </c>
      <c r="N1253" t="s">
        <v>101</v>
      </c>
      <c r="O1253">
        <v>131</v>
      </c>
      <c r="Q1253">
        <v>881</v>
      </c>
      <c r="R1253">
        <v>155</v>
      </c>
      <c r="S1253">
        <v>4.25</v>
      </c>
      <c r="T1253">
        <v>3.5859999999999999</v>
      </c>
      <c r="U1253">
        <v>6.37</v>
      </c>
      <c r="V1253">
        <v>3745.48</v>
      </c>
      <c r="W1253">
        <v>984</v>
      </c>
      <c r="X1253">
        <v>1.3332999999999999</v>
      </c>
      <c r="Y1253">
        <v>763</v>
      </c>
      <c r="Z1253">
        <v>4.91</v>
      </c>
      <c r="AJ1253">
        <v>2</v>
      </c>
      <c r="AK1253">
        <v>18</v>
      </c>
      <c r="AM1253">
        <v>0</v>
      </c>
      <c r="AO1253" t="s">
        <v>504</v>
      </c>
      <c r="AT1253">
        <v>51</v>
      </c>
      <c r="AV1253">
        <v>88.8</v>
      </c>
      <c r="AW1253" t="s">
        <v>6</v>
      </c>
      <c r="AX1253" t="s">
        <v>6</v>
      </c>
      <c r="AY1253" t="s">
        <v>6</v>
      </c>
      <c r="AZ1253" t="s">
        <v>6</v>
      </c>
      <c r="BA1253" t="s">
        <v>6</v>
      </c>
      <c r="BB1253" t="s">
        <v>6</v>
      </c>
      <c r="BC1253" t="s">
        <v>6</v>
      </c>
      <c r="BD1253" t="s">
        <v>6</v>
      </c>
      <c r="BE1253" t="s">
        <v>6</v>
      </c>
      <c r="BF1253" t="s">
        <v>6</v>
      </c>
      <c r="BG1253" t="s">
        <v>6</v>
      </c>
      <c r="BH1253" t="s">
        <v>6</v>
      </c>
      <c r="BI1253" t="s">
        <v>6</v>
      </c>
      <c r="BJ1253" t="s">
        <v>6</v>
      </c>
      <c r="BN1253">
        <v>760.85519999999997</v>
      </c>
      <c r="BO1253">
        <v>1890</v>
      </c>
      <c r="BP1253">
        <v>0</v>
      </c>
      <c r="BQ1253">
        <v>45</v>
      </c>
      <c r="BR1253">
        <v>45</v>
      </c>
      <c r="BS1253">
        <v>44.69</v>
      </c>
      <c r="BT1253">
        <v>0</v>
      </c>
      <c r="BV1253">
        <v>6</v>
      </c>
      <c r="BW1253" t="s">
        <v>655</v>
      </c>
      <c r="BX1253">
        <v>0.27933340000000001</v>
      </c>
      <c r="BY1253">
        <v>12.483409999999999</v>
      </c>
      <c r="BZ1253">
        <v>0</v>
      </c>
      <c r="CA1253">
        <v>1</v>
      </c>
      <c r="CB1253">
        <v>0.6</v>
      </c>
      <c r="CC1253" s="3">
        <v>7.1269159999999998E-2</v>
      </c>
      <c r="CD1253">
        <v>2.875</v>
      </c>
      <c r="CE1253">
        <v>2.5</v>
      </c>
      <c r="CF1253">
        <v>18</v>
      </c>
      <c r="CG1253">
        <v>6</v>
      </c>
      <c r="CH1253">
        <v>0</v>
      </c>
      <c r="CI1253">
        <v>44.69</v>
      </c>
      <c r="CJ1253">
        <v>779.93129999999996</v>
      </c>
    </row>
    <row r="1254" spans="1:88">
      <c r="A1254">
        <v>1253</v>
      </c>
      <c r="B1254" t="s">
        <v>0</v>
      </c>
      <c r="C1254" t="s">
        <v>1</v>
      </c>
      <c r="D1254" t="s">
        <v>96</v>
      </c>
      <c r="E1254" t="s">
        <v>353</v>
      </c>
      <c r="F1254" t="s">
        <v>198</v>
      </c>
      <c r="G1254" t="s">
        <v>106</v>
      </c>
      <c r="H1254" t="s">
        <v>162</v>
      </c>
      <c r="J1254">
        <v>2</v>
      </c>
      <c r="K1254" t="s">
        <v>146</v>
      </c>
      <c r="L1254" t="s">
        <v>123</v>
      </c>
      <c r="M1254" t="s">
        <v>509</v>
      </c>
      <c r="N1254" t="s">
        <v>476</v>
      </c>
      <c r="O1254">
        <v>163</v>
      </c>
      <c r="Q1254">
        <v>546</v>
      </c>
      <c r="R1254">
        <v>81</v>
      </c>
      <c r="S1254">
        <v>4.25</v>
      </c>
      <c r="T1254">
        <v>4.3529999999999998</v>
      </c>
      <c r="U1254">
        <v>6.82</v>
      </c>
      <c r="V1254">
        <v>2318.88</v>
      </c>
      <c r="W1254">
        <v>551</v>
      </c>
      <c r="X1254">
        <v>1.3332999999999999</v>
      </c>
      <c r="Y1254">
        <v>408</v>
      </c>
      <c r="Z1254">
        <v>5.68</v>
      </c>
      <c r="AJ1254">
        <v>2</v>
      </c>
      <c r="AK1254">
        <v>18</v>
      </c>
      <c r="AM1254">
        <v>0</v>
      </c>
      <c r="AO1254" t="s">
        <v>166</v>
      </c>
      <c r="AT1254">
        <v>62</v>
      </c>
      <c r="AV1254">
        <v>44.8</v>
      </c>
      <c r="AW1254">
        <v>0.46875</v>
      </c>
      <c r="AX1254">
        <v>3.75</v>
      </c>
      <c r="AY1254">
        <v>58.375</v>
      </c>
      <c r="AZ1254">
        <v>5.375</v>
      </c>
      <c r="BA1254">
        <v>346.97</v>
      </c>
      <c r="BB1254">
        <v>5.68</v>
      </c>
      <c r="BC1254">
        <v>63</v>
      </c>
      <c r="BD1254">
        <v>0.25</v>
      </c>
      <c r="BE1254">
        <v>2.75</v>
      </c>
      <c r="BF1254">
        <v>18.75</v>
      </c>
      <c r="BG1254">
        <v>2.875</v>
      </c>
      <c r="BH1254">
        <v>61.28</v>
      </c>
      <c r="BI1254">
        <v>5.6</v>
      </c>
      <c r="BJ1254">
        <v>8</v>
      </c>
      <c r="BL1254">
        <v>408.25</v>
      </c>
      <c r="BM1254">
        <v>70</v>
      </c>
      <c r="BN1254">
        <v>214</v>
      </c>
      <c r="BO1254">
        <v>2266</v>
      </c>
      <c r="BP1254">
        <v>0</v>
      </c>
      <c r="BQ1254">
        <v>56</v>
      </c>
      <c r="BR1254">
        <v>56</v>
      </c>
      <c r="BS1254">
        <v>55.82</v>
      </c>
      <c r="BT1254">
        <v>0</v>
      </c>
      <c r="BV1254">
        <v>0</v>
      </c>
      <c r="BW1254" t="s">
        <v>655</v>
      </c>
      <c r="BX1254">
        <v>0.17</v>
      </c>
      <c r="BY1254">
        <v>9.4893999999999998</v>
      </c>
      <c r="BZ1254">
        <v>0</v>
      </c>
      <c r="CA1254">
        <v>1</v>
      </c>
      <c r="CB1254">
        <v>0.6</v>
      </c>
      <c r="CC1254" s="3">
        <v>7.1269159999999998E-2</v>
      </c>
      <c r="CD1254">
        <v>2.875</v>
      </c>
      <c r="CE1254">
        <v>2.5</v>
      </c>
      <c r="CF1254">
        <v>18</v>
      </c>
      <c r="CG1254">
        <v>6</v>
      </c>
      <c r="CH1254">
        <v>0</v>
      </c>
      <c r="CI1254">
        <v>55.82</v>
      </c>
      <c r="CJ1254">
        <v>491.31319999999999</v>
      </c>
    </row>
    <row r="1255" spans="1:88">
      <c r="A1255">
        <v>1254</v>
      </c>
      <c r="B1255" t="s">
        <v>13</v>
      </c>
      <c r="C1255" t="s">
        <v>1</v>
      </c>
      <c r="D1255" t="s">
        <v>235</v>
      </c>
      <c r="E1255" t="s">
        <v>101</v>
      </c>
      <c r="F1255" t="s">
        <v>327</v>
      </c>
      <c r="G1255" t="s">
        <v>106</v>
      </c>
      <c r="H1255" t="s">
        <v>96</v>
      </c>
      <c r="J1255">
        <v>2</v>
      </c>
      <c r="K1255" t="s">
        <v>146</v>
      </c>
      <c r="L1255" t="s">
        <v>145</v>
      </c>
      <c r="M1255" t="s">
        <v>403</v>
      </c>
      <c r="N1255" t="s">
        <v>172</v>
      </c>
      <c r="O1255">
        <v>134</v>
      </c>
      <c r="Q1255">
        <v>459</v>
      </c>
      <c r="R1255">
        <v>81</v>
      </c>
      <c r="S1255">
        <v>4.25</v>
      </c>
      <c r="T1255">
        <v>3.66</v>
      </c>
      <c r="U1255">
        <v>6.41</v>
      </c>
      <c r="V1255">
        <v>1949.56</v>
      </c>
      <c r="W1255">
        <v>522</v>
      </c>
      <c r="X1255">
        <v>1.3332999999999999</v>
      </c>
      <c r="Y1255">
        <v>391</v>
      </c>
      <c r="Z1255">
        <v>4.99</v>
      </c>
      <c r="AJ1255">
        <v>2</v>
      </c>
      <c r="AK1255">
        <v>18</v>
      </c>
      <c r="AM1255">
        <v>0</v>
      </c>
      <c r="AO1255" t="s">
        <v>100</v>
      </c>
      <c r="AT1255">
        <v>52</v>
      </c>
      <c r="AV1255">
        <v>45.1</v>
      </c>
      <c r="AW1255">
        <v>0</v>
      </c>
      <c r="AX1255">
        <v>0</v>
      </c>
      <c r="AY1255">
        <v>51.875</v>
      </c>
      <c r="AZ1255">
        <v>4.625</v>
      </c>
      <c r="BA1255">
        <v>0</v>
      </c>
      <c r="BB1255">
        <v>0</v>
      </c>
      <c r="BC1255">
        <v>56</v>
      </c>
      <c r="BN1255">
        <v>215.7834</v>
      </c>
      <c r="BO1255">
        <v>2229</v>
      </c>
      <c r="BP1255">
        <v>0</v>
      </c>
      <c r="BQ1255">
        <v>46</v>
      </c>
      <c r="BR1255">
        <v>46</v>
      </c>
      <c r="BS1255">
        <v>45.73</v>
      </c>
      <c r="BT1255">
        <v>0</v>
      </c>
      <c r="BV1255">
        <v>0</v>
      </c>
      <c r="BW1255" t="s">
        <v>655</v>
      </c>
      <c r="BX1255">
        <v>0.17</v>
      </c>
      <c r="BY1255">
        <v>7.7740999999999998</v>
      </c>
      <c r="BZ1255">
        <v>0</v>
      </c>
      <c r="CA1255">
        <v>1</v>
      </c>
      <c r="CB1255">
        <v>0.6</v>
      </c>
      <c r="CC1255" s="3">
        <v>7.1269159999999998E-2</v>
      </c>
      <c r="CD1255">
        <v>2.875</v>
      </c>
      <c r="CE1255">
        <v>2.5</v>
      </c>
      <c r="CF1255">
        <v>18</v>
      </c>
      <c r="CG1255">
        <v>6</v>
      </c>
      <c r="CH1255">
        <v>0</v>
      </c>
      <c r="CI1255">
        <v>45.73</v>
      </c>
      <c r="CJ1255">
        <v>405.7627</v>
      </c>
    </row>
    <row r="1256" spans="1:88">
      <c r="A1256">
        <v>1255</v>
      </c>
      <c r="B1256" t="s">
        <v>0</v>
      </c>
      <c r="C1256" t="s">
        <v>1</v>
      </c>
      <c r="D1256" t="s">
        <v>272</v>
      </c>
      <c r="E1256" t="s">
        <v>295</v>
      </c>
      <c r="F1256" t="s">
        <v>273</v>
      </c>
      <c r="G1256" t="s">
        <v>106</v>
      </c>
      <c r="H1256" t="s">
        <v>274</v>
      </c>
      <c r="J1256">
        <v>2</v>
      </c>
      <c r="K1256" t="s">
        <v>108</v>
      </c>
      <c r="L1256" t="s">
        <v>316</v>
      </c>
      <c r="M1256" t="s">
        <v>296</v>
      </c>
      <c r="N1256" t="s">
        <v>207</v>
      </c>
      <c r="O1256">
        <v>150</v>
      </c>
      <c r="Q1256">
        <v>623</v>
      </c>
      <c r="R1256">
        <v>98</v>
      </c>
      <c r="S1256">
        <v>4.25</v>
      </c>
      <c r="T1256">
        <v>4.048</v>
      </c>
      <c r="U1256">
        <v>6.71</v>
      </c>
      <c r="V1256">
        <v>2648.3</v>
      </c>
      <c r="W1256">
        <v>656</v>
      </c>
      <c r="X1256">
        <v>1.3332999999999999</v>
      </c>
      <c r="Y1256">
        <v>492</v>
      </c>
      <c r="Z1256">
        <v>5.38</v>
      </c>
      <c r="AJ1256">
        <v>2</v>
      </c>
      <c r="AK1256">
        <v>18</v>
      </c>
      <c r="AM1256">
        <v>0</v>
      </c>
      <c r="AO1256" t="s">
        <v>275</v>
      </c>
      <c r="AT1256">
        <v>57</v>
      </c>
      <c r="AV1256">
        <v>55.4</v>
      </c>
      <c r="AW1256">
        <v>0.40625</v>
      </c>
      <c r="AX1256">
        <v>3.75</v>
      </c>
      <c r="AY1256">
        <v>39.5</v>
      </c>
      <c r="AZ1256">
        <v>4.375</v>
      </c>
      <c r="BA1256">
        <v>246.12</v>
      </c>
      <c r="BB1256">
        <v>5.38</v>
      </c>
      <c r="BC1256">
        <v>37</v>
      </c>
      <c r="BD1256">
        <v>0.40625</v>
      </c>
      <c r="BE1256">
        <v>3.75</v>
      </c>
      <c r="BF1256">
        <v>39.5</v>
      </c>
      <c r="BG1256">
        <v>4.375</v>
      </c>
      <c r="BH1256">
        <v>246.12</v>
      </c>
      <c r="BI1256">
        <v>5.38</v>
      </c>
      <c r="BJ1256">
        <v>37</v>
      </c>
      <c r="BL1256">
        <v>492.24</v>
      </c>
      <c r="BM1256">
        <v>74</v>
      </c>
      <c r="BN1256">
        <v>265.7167</v>
      </c>
      <c r="BO1256">
        <v>1470</v>
      </c>
      <c r="BP1256">
        <v>0</v>
      </c>
      <c r="BQ1256">
        <v>51</v>
      </c>
      <c r="BR1256">
        <v>51</v>
      </c>
      <c r="BS1256">
        <v>51.3</v>
      </c>
      <c r="BT1256">
        <v>0</v>
      </c>
      <c r="BV1256">
        <v>0</v>
      </c>
      <c r="BW1256" t="s">
        <v>655</v>
      </c>
      <c r="BX1256">
        <v>0.17</v>
      </c>
      <c r="BY1256">
        <v>8.7210000000000001</v>
      </c>
      <c r="BZ1256">
        <v>0</v>
      </c>
      <c r="CA1256">
        <v>1</v>
      </c>
      <c r="CB1256">
        <v>0.6</v>
      </c>
      <c r="CC1256" s="3">
        <v>7.1269159999999998E-2</v>
      </c>
      <c r="CD1256">
        <v>2.875</v>
      </c>
      <c r="CE1256">
        <v>2.5</v>
      </c>
      <c r="CF1256">
        <v>18</v>
      </c>
      <c r="CG1256">
        <v>6</v>
      </c>
      <c r="CH1256">
        <v>0</v>
      </c>
      <c r="CI1256">
        <v>51.3</v>
      </c>
      <c r="CJ1256">
        <v>558.92750000000001</v>
      </c>
    </row>
    <row r="1257" spans="1:88">
      <c r="A1257">
        <v>1256</v>
      </c>
      <c r="B1257" t="s">
        <v>0</v>
      </c>
      <c r="C1257" t="s">
        <v>1</v>
      </c>
      <c r="D1257" t="s">
        <v>3</v>
      </c>
      <c r="E1257" t="s">
        <v>96</v>
      </c>
      <c r="F1257" t="s">
        <v>306</v>
      </c>
      <c r="G1257" t="s">
        <v>106</v>
      </c>
      <c r="H1257" t="s">
        <v>307</v>
      </c>
      <c r="J1257">
        <v>2</v>
      </c>
      <c r="K1257" t="s">
        <v>146</v>
      </c>
      <c r="L1257" t="s">
        <v>293</v>
      </c>
      <c r="M1257" t="s">
        <v>100</v>
      </c>
      <c r="N1257" t="s">
        <v>101</v>
      </c>
      <c r="O1257">
        <v>131</v>
      </c>
      <c r="Q1257">
        <v>424</v>
      </c>
      <c r="R1257">
        <v>77</v>
      </c>
      <c r="S1257">
        <v>4.25</v>
      </c>
      <c r="T1257">
        <v>3.5859999999999999</v>
      </c>
      <c r="U1257">
        <v>6.37</v>
      </c>
      <c r="V1257">
        <v>1804.04</v>
      </c>
      <c r="W1257">
        <v>493</v>
      </c>
      <c r="X1257">
        <v>1.3332999999999999</v>
      </c>
      <c r="Y1257">
        <v>367</v>
      </c>
      <c r="Z1257">
        <v>4.91</v>
      </c>
      <c r="AJ1257">
        <v>2</v>
      </c>
      <c r="AK1257">
        <v>18</v>
      </c>
      <c r="AM1257">
        <v>0</v>
      </c>
      <c r="AO1257" t="s">
        <v>308</v>
      </c>
      <c r="AT1257">
        <v>51</v>
      </c>
      <c r="AV1257">
        <v>42.6</v>
      </c>
      <c r="AW1257">
        <v>0</v>
      </c>
      <c r="AX1257">
        <v>0</v>
      </c>
      <c r="AY1257">
        <v>55.125</v>
      </c>
      <c r="AZ1257">
        <v>4.625</v>
      </c>
      <c r="BA1257">
        <v>0</v>
      </c>
      <c r="BB1257">
        <v>0</v>
      </c>
      <c r="BC1257">
        <v>59</v>
      </c>
      <c r="BN1257">
        <v>203.3</v>
      </c>
      <c r="BO1257">
        <v>2511</v>
      </c>
      <c r="BP1257">
        <v>0</v>
      </c>
      <c r="BQ1257">
        <v>45</v>
      </c>
      <c r="BR1257">
        <v>45</v>
      </c>
      <c r="BS1257">
        <v>44.69</v>
      </c>
      <c r="BT1257">
        <v>0</v>
      </c>
      <c r="BV1257">
        <v>0</v>
      </c>
      <c r="BW1257" t="s">
        <v>655</v>
      </c>
      <c r="BX1257">
        <v>0.17</v>
      </c>
      <c r="BY1257">
        <v>7.5972999999999997</v>
      </c>
      <c r="BZ1257">
        <v>0</v>
      </c>
      <c r="CA1257">
        <v>1</v>
      </c>
      <c r="CB1257">
        <v>0.6</v>
      </c>
      <c r="CC1257" s="3">
        <v>7.1269159999999998E-2</v>
      </c>
      <c r="CD1257">
        <v>2.875</v>
      </c>
      <c r="CE1257">
        <v>2.5</v>
      </c>
      <c r="CF1257">
        <v>18</v>
      </c>
      <c r="CG1257">
        <v>6</v>
      </c>
      <c r="CH1257">
        <v>0</v>
      </c>
      <c r="CI1257">
        <v>44.69</v>
      </c>
      <c r="CJ1257">
        <v>374.23970000000003</v>
      </c>
    </row>
    <row r="1258" spans="1:88">
      <c r="A1258">
        <v>1257</v>
      </c>
      <c r="B1258" t="s">
        <v>0</v>
      </c>
      <c r="C1258" t="s">
        <v>1</v>
      </c>
      <c r="D1258" t="s">
        <v>295</v>
      </c>
      <c r="E1258" t="s">
        <v>317</v>
      </c>
      <c r="F1258" t="s">
        <v>465</v>
      </c>
      <c r="G1258" t="s">
        <v>106</v>
      </c>
      <c r="H1258" t="s">
        <v>99</v>
      </c>
      <c r="J1258">
        <v>2</v>
      </c>
      <c r="K1258" t="s">
        <v>146</v>
      </c>
      <c r="L1258" t="s">
        <v>169</v>
      </c>
      <c r="M1258" t="s">
        <v>400</v>
      </c>
      <c r="N1258" t="s">
        <v>228</v>
      </c>
      <c r="O1258">
        <v>99</v>
      </c>
      <c r="Q1258">
        <v>398</v>
      </c>
      <c r="R1258">
        <v>92</v>
      </c>
      <c r="S1258">
        <v>4.25</v>
      </c>
      <c r="T1258">
        <v>2.758</v>
      </c>
      <c r="U1258">
        <v>5.88</v>
      </c>
      <c r="V1258">
        <v>1692.56</v>
      </c>
      <c r="W1258">
        <v>539</v>
      </c>
      <c r="X1258">
        <v>1.3332999999999999</v>
      </c>
      <c r="Y1258">
        <v>414</v>
      </c>
      <c r="Z1258">
        <v>4.09</v>
      </c>
      <c r="AJ1258">
        <v>2</v>
      </c>
      <c r="AK1258">
        <v>18</v>
      </c>
      <c r="AM1258">
        <v>0</v>
      </c>
      <c r="AO1258" t="s">
        <v>184</v>
      </c>
      <c r="AT1258">
        <v>40</v>
      </c>
      <c r="AV1258">
        <v>51.7</v>
      </c>
      <c r="AW1258">
        <v>0</v>
      </c>
      <c r="AX1258">
        <v>0</v>
      </c>
      <c r="AY1258">
        <v>49</v>
      </c>
      <c r="AZ1258">
        <v>3.875</v>
      </c>
      <c r="BA1258">
        <v>0</v>
      </c>
      <c r="BB1258">
        <v>0</v>
      </c>
      <c r="BC1258">
        <v>53</v>
      </c>
      <c r="BN1258">
        <v>247.88339999999999</v>
      </c>
      <c r="BO1258">
        <v>1689</v>
      </c>
      <c r="BP1258">
        <v>0</v>
      </c>
      <c r="BQ1258">
        <v>34</v>
      </c>
      <c r="BR1258">
        <v>34</v>
      </c>
      <c r="BS1258">
        <v>33.56</v>
      </c>
      <c r="BT1258">
        <v>0</v>
      </c>
      <c r="BV1258">
        <v>0</v>
      </c>
      <c r="BW1258" t="s">
        <v>655</v>
      </c>
      <c r="BX1258">
        <v>0.17</v>
      </c>
      <c r="BY1258">
        <v>5.7051999999999996</v>
      </c>
      <c r="BZ1258">
        <v>0</v>
      </c>
      <c r="CA1258">
        <v>1</v>
      </c>
      <c r="CB1258">
        <v>0.6</v>
      </c>
      <c r="CC1258" s="3">
        <v>7.1269159999999998E-2</v>
      </c>
      <c r="CD1258">
        <v>2.875</v>
      </c>
      <c r="CE1258">
        <v>2.5</v>
      </c>
      <c r="CF1258">
        <v>18</v>
      </c>
      <c r="CG1258">
        <v>6</v>
      </c>
      <c r="CH1258">
        <v>0</v>
      </c>
      <c r="CI1258">
        <v>33.56</v>
      </c>
      <c r="CJ1258">
        <v>340.83049999999997</v>
      </c>
    </row>
    <row r="1259" spans="1:88">
      <c r="A1259">
        <v>1258</v>
      </c>
      <c r="B1259" t="s">
        <v>0</v>
      </c>
      <c r="C1259" t="s">
        <v>1</v>
      </c>
      <c r="D1259" t="s">
        <v>190</v>
      </c>
      <c r="E1259" t="s">
        <v>307</v>
      </c>
      <c r="F1259" t="s">
        <v>173</v>
      </c>
      <c r="G1259" t="s">
        <v>106</v>
      </c>
      <c r="H1259" t="s">
        <v>399</v>
      </c>
      <c r="J1259">
        <v>2</v>
      </c>
      <c r="K1259" t="s">
        <v>146</v>
      </c>
      <c r="L1259" t="s">
        <v>364</v>
      </c>
      <c r="M1259" t="s">
        <v>308</v>
      </c>
      <c r="N1259" t="s">
        <v>122</v>
      </c>
      <c r="O1259">
        <v>124</v>
      </c>
      <c r="Q1259">
        <v>380</v>
      </c>
      <c r="R1259">
        <v>73</v>
      </c>
      <c r="S1259">
        <v>4.25</v>
      </c>
      <c r="T1259">
        <v>3.41</v>
      </c>
      <c r="U1259">
        <v>6.22</v>
      </c>
      <c r="V1259">
        <v>1615.42</v>
      </c>
      <c r="W1259">
        <v>456</v>
      </c>
      <c r="X1259">
        <v>1.3332999999999999</v>
      </c>
      <c r="Y1259">
        <v>341</v>
      </c>
      <c r="Z1259">
        <v>4.74</v>
      </c>
      <c r="AJ1259">
        <v>2</v>
      </c>
      <c r="AK1259">
        <v>18</v>
      </c>
      <c r="AM1259">
        <v>0</v>
      </c>
      <c r="AO1259" t="s">
        <v>463</v>
      </c>
      <c r="AT1259">
        <v>48</v>
      </c>
      <c r="AV1259">
        <v>40.1</v>
      </c>
      <c r="AW1259">
        <v>0</v>
      </c>
      <c r="AX1259">
        <v>0</v>
      </c>
      <c r="AY1259">
        <v>41.75</v>
      </c>
      <c r="AZ1259">
        <v>4.125</v>
      </c>
      <c r="BA1259">
        <v>0</v>
      </c>
      <c r="BB1259">
        <v>0</v>
      </c>
      <c r="BC1259">
        <v>42</v>
      </c>
      <c r="BN1259">
        <v>190.8167</v>
      </c>
      <c r="BO1259">
        <v>2850</v>
      </c>
      <c r="BP1259">
        <v>0</v>
      </c>
      <c r="BQ1259">
        <v>42</v>
      </c>
      <c r="BR1259">
        <v>42</v>
      </c>
      <c r="BS1259">
        <v>42.26</v>
      </c>
      <c r="BT1259">
        <v>0</v>
      </c>
      <c r="BV1259">
        <v>0</v>
      </c>
      <c r="BW1259" t="s">
        <v>655</v>
      </c>
      <c r="BX1259">
        <v>0.17</v>
      </c>
      <c r="BY1259">
        <v>7.1841999999999997</v>
      </c>
      <c r="BZ1259">
        <v>0</v>
      </c>
      <c r="CA1259">
        <v>1</v>
      </c>
      <c r="CB1259">
        <v>0.6</v>
      </c>
      <c r="CC1259" s="3">
        <v>7.1269159999999998E-2</v>
      </c>
      <c r="CD1259">
        <v>2.875</v>
      </c>
      <c r="CE1259">
        <v>2.5</v>
      </c>
      <c r="CF1259">
        <v>18</v>
      </c>
      <c r="CG1259">
        <v>6</v>
      </c>
      <c r="CH1259">
        <v>0</v>
      </c>
      <c r="CI1259">
        <v>42.26</v>
      </c>
      <c r="CJ1259">
        <v>332.80770000000001</v>
      </c>
    </row>
    <row r="1260" spans="1:88">
      <c r="A1260">
        <v>1259</v>
      </c>
      <c r="B1260" t="s">
        <v>13</v>
      </c>
      <c r="C1260" t="s">
        <v>1</v>
      </c>
      <c r="D1260" t="s">
        <v>317</v>
      </c>
      <c r="E1260" t="s">
        <v>2</v>
      </c>
      <c r="F1260" t="s">
        <v>318</v>
      </c>
      <c r="G1260" t="s">
        <v>106</v>
      </c>
      <c r="H1260" t="s">
        <v>180</v>
      </c>
      <c r="J1260">
        <v>2</v>
      </c>
      <c r="K1260" t="s">
        <v>146</v>
      </c>
      <c r="L1260" t="s">
        <v>122</v>
      </c>
      <c r="M1260" t="s">
        <v>4</v>
      </c>
      <c r="N1260" t="s">
        <v>5</v>
      </c>
      <c r="O1260">
        <v>107</v>
      </c>
      <c r="Q1260">
        <v>276</v>
      </c>
      <c r="R1260">
        <v>62</v>
      </c>
      <c r="S1260">
        <v>4.25</v>
      </c>
      <c r="T1260">
        <v>2.9710000000000001</v>
      </c>
      <c r="U1260">
        <v>6.07</v>
      </c>
      <c r="V1260">
        <v>1174.52</v>
      </c>
      <c r="W1260">
        <v>379</v>
      </c>
      <c r="X1260">
        <v>1.5</v>
      </c>
      <c r="Y1260">
        <v>263</v>
      </c>
      <c r="Z1260">
        <v>4.47</v>
      </c>
      <c r="AJ1260">
        <v>2</v>
      </c>
      <c r="AK1260">
        <v>18</v>
      </c>
      <c r="AM1260">
        <v>0</v>
      </c>
      <c r="AO1260" t="s">
        <v>319</v>
      </c>
      <c r="AT1260">
        <v>42</v>
      </c>
      <c r="AV1260">
        <v>33.200000000000003</v>
      </c>
      <c r="AW1260">
        <v>0</v>
      </c>
      <c r="AX1260">
        <v>0</v>
      </c>
      <c r="AY1260">
        <v>37</v>
      </c>
      <c r="AZ1260">
        <v>3.625</v>
      </c>
      <c r="BA1260">
        <v>0</v>
      </c>
      <c r="BB1260">
        <v>0</v>
      </c>
      <c r="BC1260">
        <v>35</v>
      </c>
      <c r="BN1260">
        <v>156.93340000000001</v>
      </c>
      <c r="BO1260">
        <v>4213</v>
      </c>
      <c r="BP1260">
        <v>0</v>
      </c>
      <c r="BQ1260">
        <v>36</v>
      </c>
      <c r="BR1260">
        <v>36</v>
      </c>
      <c r="BS1260">
        <v>36.340000000000003</v>
      </c>
      <c r="BT1260">
        <v>0</v>
      </c>
      <c r="BV1260">
        <v>0</v>
      </c>
      <c r="BW1260" t="s">
        <v>655</v>
      </c>
      <c r="BX1260">
        <v>0.17</v>
      </c>
      <c r="BY1260">
        <v>6.1778000000000004</v>
      </c>
      <c r="BZ1260">
        <v>0</v>
      </c>
      <c r="CA1260">
        <v>1</v>
      </c>
      <c r="CB1260">
        <v>0.6</v>
      </c>
      <c r="CC1260" s="3">
        <v>7.1269159999999998E-2</v>
      </c>
      <c r="CD1260">
        <v>2.875</v>
      </c>
      <c r="CE1260">
        <v>2.5</v>
      </c>
      <c r="CF1260">
        <v>18</v>
      </c>
      <c r="CG1260">
        <v>6</v>
      </c>
      <c r="CH1260">
        <v>0</v>
      </c>
      <c r="CI1260">
        <v>36.340000000000003</v>
      </c>
      <c r="CJ1260">
        <v>236.9778</v>
      </c>
    </row>
    <row r="1261" spans="1:88">
      <c r="A1261">
        <v>1260</v>
      </c>
      <c r="B1261" t="s">
        <v>13</v>
      </c>
      <c r="C1261" t="s">
        <v>1</v>
      </c>
      <c r="D1261" t="s">
        <v>131</v>
      </c>
      <c r="E1261" t="s">
        <v>185</v>
      </c>
      <c r="F1261" t="s">
        <v>232</v>
      </c>
      <c r="G1261" t="s">
        <v>106</v>
      </c>
      <c r="H1261" t="s">
        <v>233</v>
      </c>
      <c r="J1261">
        <v>2</v>
      </c>
      <c r="K1261" t="s">
        <v>146</v>
      </c>
      <c r="L1261" t="s">
        <v>466</v>
      </c>
      <c r="M1261" t="s">
        <v>294</v>
      </c>
      <c r="N1261" t="s">
        <v>143</v>
      </c>
      <c r="O1261">
        <v>152</v>
      </c>
      <c r="Q1261">
        <v>621</v>
      </c>
      <c r="R1261">
        <v>96</v>
      </c>
      <c r="S1261">
        <v>4.25</v>
      </c>
      <c r="T1261">
        <v>4.0949999999999998</v>
      </c>
      <c r="U1261">
        <v>6.75</v>
      </c>
      <c r="V1261">
        <v>2640.18</v>
      </c>
      <c r="W1261">
        <v>650</v>
      </c>
      <c r="X1261">
        <v>1.3332999999999999</v>
      </c>
      <c r="Y1261">
        <v>487</v>
      </c>
      <c r="Z1261">
        <v>5.42</v>
      </c>
      <c r="AJ1261">
        <v>2</v>
      </c>
      <c r="AK1261">
        <v>18</v>
      </c>
      <c r="AM1261">
        <v>0</v>
      </c>
      <c r="AO1261" t="s">
        <v>236</v>
      </c>
      <c r="AT1261">
        <v>58</v>
      </c>
      <c r="AV1261">
        <v>54.6</v>
      </c>
      <c r="AW1261">
        <v>0.40625</v>
      </c>
      <c r="AX1261">
        <v>3.75</v>
      </c>
      <c r="AY1261">
        <v>40</v>
      </c>
      <c r="AZ1261">
        <v>4.375</v>
      </c>
      <c r="BA1261">
        <v>243.55</v>
      </c>
      <c r="BB1261">
        <v>5.43</v>
      </c>
      <c r="BC1261">
        <v>38</v>
      </c>
      <c r="BD1261">
        <v>0.40625</v>
      </c>
      <c r="BE1261">
        <v>3.75</v>
      </c>
      <c r="BF1261">
        <v>40</v>
      </c>
      <c r="BG1261">
        <v>4.375</v>
      </c>
      <c r="BH1261">
        <v>243.55</v>
      </c>
      <c r="BI1261">
        <v>5.43</v>
      </c>
      <c r="BJ1261">
        <v>38</v>
      </c>
      <c r="BL1261">
        <v>487.1</v>
      </c>
      <c r="BM1261">
        <v>75</v>
      </c>
      <c r="BN1261">
        <v>262.14999999999998</v>
      </c>
      <c r="BO1261">
        <v>1510</v>
      </c>
      <c r="BP1261">
        <v>0</v>
      </c>
      <c r="BQ1261">
        <v>52</v>
      </c>
      <c r="BR1261">
        <v>52</v>
      </c>
      <c r="BS1261">
        <v>52</v>
      </c>
      <c r="BT1261">
        <v>0</v>
      </c>
      <c r="BV1261">
        <v>0</v>
      </c>
      <c r="BW1261" t="s">
        <v>655</v>
      </c>
      <c r="BX1261">
        <v>0.17</v>
      </c>
      <c r="BY1261">
        <v>8.84</v>
      </c>
      <c r="BZ1261">
        <v>0</v>
      </c>
      <c r="CA1261">
        <v>1</v>
      </c>
      <c r="CB1261">
        <v>0.6</v>
      </c>
      <c r="CC1261" s="3">
        <v>7.1269159999999998E-2</v>
      </c>
      <c r="CD1261">
        <v>2.875</v>
      </c>
      <c r="CE1261">
        <v>2.5</v>
      </c>
      <c r="CF1261">
        <v>18</v>
      </c>
      <c r="CG1261">
        <v>6</v>
      </c>
      <c r="CH1261">
        <v>0</v>
      </c>
      <c r="CI1261">
        <v>52</v>
      </c>
      <c r="CJ1261">
        <v>557.75239999999997</v>
      </c>
    </row>
    <row r="1262" spans="1:88">
      <c r="A1262">
        <v>1261</v>
      </c>
      <c r="B1262" t="s">
        <v>0</v>
      </c>
      <c r="C1262" t="s">
        <v>1</v>
      </c>
      <c r="D1262" t="s">
        <v>368</v>
      </c>
      <c r="E1262" t="s">
        <v>464</v>
      </c>
      <c r="F1262" t="s">
        <v>579</v>
      </c>
      <c r="G1262" t="s">
        <v>106</v>
      </c>
      <c r="H1262" t="s">
        <v>580</v>
      </c>
      <c r="J1262">
        <v>2</v>
      </c>
      <c r="K1262" t="s">
        <v>146</v>
      </c>
      <c r="L1262" t="s">
        <v>227</v>
      </c>
      <c r="M1262" t="s">
        <v>408</v>
      </c>
      <c r="N1262" t="s">
        <v>317</v>
      </c>
      <c r="O1262">
        <v>96</v>
      </c>
      <c r="Q1262">
        <v>125</v>
      </c>
      <c r="R1262">
        <v>31</v>
      </c>
      <c r="S1262">
        <v>4.25</v>
      </c>
      <c r="T1262">
        <v>2.677</v>
      </c>
      <c r="U1262">
        <v>5.85</v>
      </c>
      <c r="V1262">
        <v>530.44000000000005</v>
      </c>
      <c r="W1262">
        <v>179</v>
      </c>
      <c r="X1262">
        <v>1.3332999999999999</v>
      </c>
      <c r="Y1262">
        <v>132</v>
      </c>
      <c r="Z1262">
        <v>4.01</v>
      </c>
      <c r="AJ1262">
        <v>2</v>
      </c>
      <c r="AK1262">
        <v>18</v>
      </c>
      <c r="AM1262">
        <v>0</v>
      </c>
      <c r="AO1262" t="s">
        <v>581</v>
      </c>
      <c r="AT1262">
        <v>39</v>
      </c>
      <c r="AV1262">
        <v>16.100000000000001</v>
      </c>
      <c r="AW1262">
        <v>0</v>
      </c>
      <c r="AX1262">
        <v>0</v>
      </c>
      <c r="AY1262">
        <v>19.25</v>
      </c>
      <c r="AZ1262">
        <v>2.5</v>
      </c>
      <c r="BA1262">
        <v>0</v>
      </c>
      <c r="BB1262">
        <v>0</v>
      </c>
      <c r="BC1262">
        <v>14</v>
      </c>
      <c r="BN1262">
        <v>73.116680000000002</v>
      </c>
      <c r="BO1262">
        <v>19410</v>
      </c>
      <c r="BP1262">
        <v>0</v>
      </c>
      <c r="BQ1262">
        <v>33</v>
      </c>
      <c r="BR1262">
        <v>33</v>
      </c>
      <c r="BS1262">
        <v>32.520000000000003</v>
      </c>
      <c r="BT1262">
        <v>0</v>
      </c>
      <c r="BV1262">
        <v>0</v>
      </c>
      <c r="BW1262" t="s">
        <v>655</v>
      </c>
      <c r="BX1262">
        <v>0.17</v>
      </c>
      <c r="BY1262">
        <v>5.5284000000000004</v>
      </c>
      <c r="BZ1262">
        <v>0</v>
      </c>
      <c r="CA1262">
        <v>1</v>
      </c>
      <c r="CB1262">
        <v>0.6</v>
      </c>
      <c r="CC1262" s="3">
        <v>7.1269159999999998E-2</v>
      </c>
      <c r="CD1262">
        <v>2.875</v>
      </c>
      <c r="CE1262">
        <v>2.5</v>
      </c>
      <c r="CF1262">
        <v>18</v>
      </c>
      <c r="CG1262">
        <v>6</v>
      </c>
      <c r="CH1262">
        <v>0</v>
      </c>
      <c r="CI1262">
        <v>32.520000000000003</v>
      </c>
      <c r="CJ1262">
        <v>103.13639999999999</v>
      </c>
    </row>
    <row r="1263" spans="1:88">
      <c r="A1263">
        <v>1262</v>
      </c>
      <c r="B1263" t="s">
        <v>13</v>
      </c>
      <c r="C1263" t="s">
        <v>1</v>
      </c>
      <c r="D1263" t="s">
        <v>692</v>
      </c>
      <c r="E1263" t="s">
        <v>8</v>
      </c>
      <c r="F1263" t="s">
        <v>717</v>
      </c>
      <c r="G1263" t="s">
        <v>735</v>
      </c>
      <c r="H1263" t="s">
        <v>740</v>
      </c>
      <c r="J1263">
        <v>2</v>
      </c>
      <c r="K1263" t="s">
        <v>9</v>
      </c>
      <c r="L1263" t="s">
        <v>10</v>
      </c>
      <c r="M1263" t="s">
        <v>11</v>
      </c>
      <c r="N1263" t="s">
        <v>12</v>
      </c>
      <c r="O1263">
        <v>203</v>
      </c>
      <c r="Q1263">
        <v>1576</v>
      </c>
      <c r="R1263">
        <v>201</v>
      </c>
      <c r="S1263">
        <v>4.3125</v>
      </c>
      <c r="T1263">
        <v>5.202</v>
      </c>
      <c r="U1263">
        <v>7.33</v>
      </c>
      <c r="V1263">
        <v>6796.11</v>
      </c>
      <c r="W1263">
        <v>1473</v>
      </c>
      <c r="X1263">
        <v>1.5</v>
      </c>
      <c r="Y1263">
        <v>1014</v>
      </c>
      <c r="Z1263">
        <v>6.7</v>
      </c>
      <c r="AJ1263">
        <v>2</v>
      </c>
      <c r="AK1263">
        <v>18</v>
      </c>
      <c r="AM1263">
        <v>0</v>
      </c>
      <c r="AO1263" t="s">
        <v>718</v>
      </c>
      <c r="AT1263">
        <v>76</v>
      </c>
      <c r="AV1263">
        <v>105.9</v>
      </c>
      <c r="AW1263" t="s">
        <v>6</v>
      </c>
      <c r="AX1263" t="s">
        <v>6</v>
      </c>
      <c r="AY1263" t="s">
        <v>6</v>
      </c>
      <c r="AZ1263" t="s">
        <v>6</v>
      </c>
      <c r="BA1263" t="s">
        <v>6</v>
      </c>
      <c r="BB1263" t="s">
        <v>6</v>
      </c>
      <c r="BC1263" t="s">
        <v>6</v>
      </c>
      <c r="BD1263" t="s">
        <v>6</v>
      </c>
      <c r="BE1263" t="s">
        <v>6</v>
      </c>
      <c r="BF1263" t="s">
        <v>6</v>
      </c>
      <c r="BG1263" t="s">
        <v>6</v>
      </c>
      <c r="BH1263" t="s">
        <v>6</v>
      </c>
      <c r="BI1263" t="s">
        <v>6</v>
      </c>
      <c r="BJ1263" t="s">
        <v>6</v>
      </c>
      <c r="BN1263">
        <v>1164.8399999999999</v>
      </c>
      <c r="BO1263">
        <v>4867</v>
      </c>
      <c r="BP1263">
        <v>0</v>
      </c>
      <c r="BQ1263">
        <v>70</v>
      </c>
      <c r="BR1263">
        <v>70</v>
      </c>
      <c r="BS1263">
        <v>69.730009999999993</v>
      </c>
      <c r="BT1263">
        <v>0</v>
      </c>
      <c r="BV1263">
        <v>6</v>
      </c>
      <c r="BW1263" t="s">
        <v>655</v>
      </c>
      <c r="BX1263">
        <v>0.27933340000000001</v>
      </c>
      <c r="BY1263">
        <v>19.477920000000001</v>
      </c>
      <c r="BZ1263">
        <v>0</v>
      </c>
      <c r="CA1263">
        <v>1</v>
      </c>
      <c r="CB1263">
        <v>0.6</v>
      </c>
      <c r="CC1263" s="3">
        <v>7.1269159999999998E-2</v>
      </c>
      <c r="CD1263">
        <v>2.875</v>
      </c>
      <c r="CE1263">
        <v>2.5</v>
      </c>
      <c r="CF1263">
        <v>18</v>
      </c>
      <c r="CG1263">
        <v>6</v>
      </c>
      <c r="CH1263">
        <v>0</v>
      </c>
      <c r="CI1263">
        <v>69.730009999999993</v>
      </c>
      <c r="CJ1263">
        <v>1450.502</v>
      </c>
    </row>
    <row r="1264" spans="1:88">
      <c r="A1264">
        <v>1263</v>
      </c>
      <c r="B1264" t="s">
        <v>13</v>
      </c>
      <c r="C1264" t="s">
        <v>1</v>
      </c>
      <c r="D1264" t="s">
        <v>464</v>
      </c>
      <c r="E1264" t="s">
        <v>178</v>
      </c>
      <c r="F1264" t="s">
        <v>467</v>
      </c>
      <c r="G1264" t="s">
        <v>106</v>
      </c>
      <c r="H1264" t="s">
        <v>178</v>
      </c>
      <c r="J1264">
        <v>2</v>
      </c>
      <c r="K1264" t="s">
        <v>146</v>
      </c>
      <c r="L1264" t="s">
        <v>127</v>
      </c>
      <c r="M1264" t="s">
        <v>179</v>
      </c>
      <c r="N1264" t="s">
        <v>180</v>
      </c>
      <c r="O1264">
        <v>95</v>
      </c>
      <c r="Q1264">
        <v>240</v>
      </c>
      <c r="R1264">
        <v>61</v>
      </c>
      <c r="S1264">
        <v>4.25</v>
      </c>
      <c r="T1264">
        <v>2.649</v>
      </c>
      <c r="U1264">
        <v>5.81</v>
      </c>
      <c r="V1264">
        <v>1022.08</v>
      </c>
      <c r="W1264">
        <v>353</v>
      </c>
      <c r="X1264">
        <v>1.3332999999999999</v>
      </c>
      <c r="Y1264">
        <v>257</v>
      </c>
      <c r="Z1264">
        <v>3.98</v>
      </c>
      <c r="AJ1264">
        <v>2</v>
      </c>
      <c r="AK1264">
        <v>18</v>
      </c>
      <c r="AM1264">
        <v>0</v>
      </c>
      <c r="AO1264" t="s">
        <v>179</v>
      </c>
      <c r="AT1264">
        <v>38</v>
      </c>
      <c r="AV1264">
        <v>32.1</v>
      </c>
      <c r="AW1264">
        <v>0</v>
      </c>
      <c r="AX1264">
        <v>0</v>
      </c>
      <c r="AY1264">
        <v>25.125</v>
      </c>
      <c r="AZ1264">
        <v>3</v>
      </c>
      <c r="BA1264">
        <v>0</v>
      </c>
      <c r="BB1264">
        <v>0</v>
      </c>
      <c r="BC1264">
        <v>22</v>
      </c>
      <c r="BN1264">
        <v>151.58340000000001</v>
      </c>
      <c r="BO1264">
        <v>4516</v>
      </c>
      <c r="BP1264">
        <v>0</v>
      </c>
      <c r="BQ1264">
        <v>32</v>
      </c>
      <c r="BR1264">
        <v>32</v>
      </c>
      <c r="BS1264">
        <v>32.17</v>
      </c>
      <c r="BT1264">
        <v>0</v>
      </c>
      <c r="BV1264">
        <v>0</v>
      </c>
      <c r="BW1264" t="s">
        <v>655</v>
      </c>
      <c r="BX1264">
        <v>0.17</v>
      </c>
      <c r="BY1264">
        <v>5.4688999999999997</v>
      </c>
      <c r="BZ1264">
        <v>0</v>
      </c>
      <c r="CA1264">
        <v>1</v>
      </c>
      <c r="CB1264">
        <v>0.6</v>
      </c>
      <c r="CC1264" s="3">
        <v>7.1269159999999998E-2</v>
      </c>
      <c r="CD1264">
        <v>2.875</v>
      </c>
      <c r="CE1264">
        <v>2.5</v>
      </c>
      <c r="CF1264">
        <v>18</v>
      </c>
      <c r="CG1264">
        <v>6</v>
      </c>
      <c r="CH1264">
        <v>0</v>
      </c>
      <c r="CI1264">
        <v>32.17</v>
      </c>
      <c r="CJ1264">
        <v>202.90649999999999</v>
      </c>
    </row>
    <row r="1265" spans="1:88">
      <c r="A1265">
        <v>1264</v>
      </c>
      <c r="B1265" t="s">
        <v>0</v>
      </c>
      <c r="C1265" t="s">
        <v>1</v>
      </c>
      <c r="D1265" t="s">
        <v>136</v>
      </c>
      <c r="E1265" t="s">
        <v>181</v>
      </c>
      <c r="F1265" t="s">
        <v>407</v>
      </c>
      <c r="G1265" t="s">
        <v>106</v>
      </c>
      <c r="H1265" t="s">
        <v>375</v>
      </c>
      <c r="J1265">
        <v>2</v>
      </c>
      <c r="K1265" t="s">
        <v>146</v>
      </c>
      <c r="L1265" t="s">
        <v>202</v>
      </c>
      <c r="M1265" t="s">
        <v>313</v>
      </c>
      <c r="N1265" t="s">
        <v>314</v>
      </c>
      <c r="O1265">
        <v>161</v>
      </c>
      <c r="Q1265">
        <v>368</v>
      </c>
      <c r="R1265">
        <v>53</v>
      </c>
      <c r="S1265">
        <v>4.25</v>
      </c>
      <c r="T1265">
        <v>4.3070000000000004</v>
      </c>
      <c r="U1265">
        <v>6.75</v>
      </c>
      <c r="V1265">
        <v>1562.89</v>
      </c>
      <c r="W1265">
        <v>357</v>
      </c>
      <c r="X1265">
        <v>1.3332999999999999</v>
      </c>
      <c r="Y1265">
        <v>277</v>
      </c>
      <c r="Z1265">
        <v>5.64</v>
      </c>
      <c r="AJ1265">
        <v>2</v>
      </c>
      <c r="AK1265">
        <v>18</v>
      </c>
      <c r="AM1265">
        <v>0</v>
      </c>
      <c r="AO1265" t="s">
        <v>484</v>
      </c>
      <c r="AT1265">
        <v>61</v>
      </c>
      <c r="AV1265">
        <v>30.3</v>
      </c>
      <c r="AW1265">
        <v>0</v>
      </c>
      <c r="AX1265">
        <v>0</v>
      </c>
      <c r="AY1265">
        <v>51.375</v>
      </c>
      <c r="AZ1265">
        <v>4.875</v>
      </c>
      <c r="BA1265">
        <v>0</v>
      </c>
      <c r="BB1265">
        <v>0</v>
      </c>
      <c r="BC1265">
        <v>52</v>
      </c>
      <c r="BN1265">
        <v>142.66669999999999</v>
      </c>
      <c r="BO1265">
        <v>5098</v>
      </c>
      <c r="BP1265">
        <v>0</v>
      </c>
      <c r="BQ1265">
        <v>55</v>
      </c>
      <c r="BR1265">
        <v>55</v>
      </c>
      <c r="BS1265">
        <v>55.13</v>
      </c>
      <c r="BT1265">
        <v>0</v>
      </c>
      <c r="BV1265">
        <v>0</v>
      </c>
      <c r="BW1265" t="s">
        <v>655</v>
      </c>
      <c r="BX1265">
        <v>0.17</v>
      </c>
      <c r="BY1265">
        <v>9.3720999999999997</v>
      </c>
      <c r="BZ1265">
        <v>0</v>
      </c>
      <c r="CA1265">
        <v>1</v>
      </c>
      <c r="CB1265">
        <v>0.6</v>
      </c>
      <c r="CC1265" s="3">
        <v>7.1269159999999998E-2</v>
      </c>
      <c r="CD1265">
        <v>2.875</v>
      </c>
      <c r="CE1265">
        <v>2.5</v>
      </c>
      <c r="CF1265">
        <v>18</v>
      </c>
      <c r="CG1265">
        <v>6</v>
      </c>
      <c r="CH1265">
        <v>0</v>
      </c>
      <c r="CI1265">
        <v>55.13</v>
      </c>
      <c r="CJ1265">
        <v>328.0772</v>
      </c>
    </row>
    <row r="1266" spans="1:88">
      <c r="A1266">
        <v>1265</v>
      </c>
      <c r="B1266" t="s">
        <v>0</v>
      </c>
      <c r="C1266" t="s">
        <v>1</v>
      </c>
      <c r="D1266" t="s">
        <v>434</v>
      </c>
      <c r="E1266" t="s">
        <v>234</v>
      </c>
      <c r="F1266" t="s">
        <v>494</v>
      </c>
      <c r="G1266" t="s">
        <v>214</v>
      </c>
      <c r="H1266" t="s">
        <v>495</v>
      </c>
      <c r="J1266">
        <v>2</v>
      </c>
      <c r="K1266" t="s">
        <v>108</v>
      </c>
      <c r="L1266" t="s">
        <v>103</v>
      </c>
      <c r="M1266" t="s">
        <v>435</v>
      </c>
      <c r="N1266" t="s">
        <v>295</v>
      </c>
      <c r="O1266">
        <v>147</v>
      </c>
      <c r="Q1266">
        <v>722</v>
      </c>
      <c r="R1266">
        <v>114</v>
      </c>
      <c r="S1266">
        <v>4.25</v>
      </c>
      <c r="T1266">
        <v>3.976</v>
      </c>
      <c r="U1266">
        <v>6.67</v>
      </c>
      <c r="V1266">
        <v>3068.84</v>
      </c>
      <c r="W1266">
        <v>761</v>
      </c>
      <c r="X1266">
        <v>1.3332999999999999</v>
      </c>
      <c r="Y1266">
        <v>579</v>
      </c>
      <c r="Z1266">
        <v>5.3</v>
      </c>
      <c r="AJ1266">
        <v>2</v>
      </c>
      <c r="AK1266">
        <v>18</v>
      </c>
      <c r="AM1266">
        <v>0</v>
      </c>
      <c r="AO1266" t="s">
        <v>496</v>
      </c>
      <c r="AT1266">
        <v>56</v>
      </c>
      <c r="AV1266">
        <v>65.599999999999994</v>
      </c>
      <c r="AW1266" t="s">
        <v>6</v>
      </c>
      <c r="AX1266" t="s">
        <v>6</v>
      </c>
      <c r="AY1266" t="s">
        <v>6</v>
      </c>
      <c r="AZ1266" t="s">
        <v>6</v>
      </c>
      <c r="BA1266" t="s">
        <v>6</v>
      </c>
      <c r="BB1266" t="s">
        <v>6</v>
      </c>
      <c r="BC1266" t="s">
        <v>6</v>
      </c>
      <c r="BD1266" t="s">
        <v>6</v>
      </c>
      <c r="BE1266" t="s">
        <v>6</v>
      </c>
      <c r="BF1266" t="s">
        <v>6</v>
      </c>
      <c r="BG1266" t="s">
        <v>6</v>
      </c>
      <c r="BH1266" t="s">
        <v>6</v>
      </c>
      <c r="BI1266" t="s">
        <v>6</v>
      </c>
      <c r="BJ1266" t="s">
        <v>6</v>
      </c>
      <c r="BN1266">
        <v>318.30500000000001</v>
      </c>
      <c r="BO1266">
        <v>1285</v>
      </c>
      <c r="BP1266">
        <v>0</v>
      </c>
      <c r="BQ1266">
        <v>50</v>
      </c>
      <c r="BR1266">
        <v>50</v>
      </c>
      <c r="BS1266">
        <v>50.26</v>
      </c>
      <c r="BT1266">
        <v>0</v>
      </c>
      <c r="BV1266">
        <v>0</v>
      </c>
      <c r="BW1266" t="s">
        <v>655</v>
      </c>
      <c r="BX1266">
        <v>0.17</v>
      </c>
      <c r="BY1266">
        <v>8.5442</v>
      </c>
      <c r="BZ1266">
        <v>0</v>
      </c>
      <c r="CA1266">
        <v>1</v>
      </c>
      <c r="CB1266">
        <v>0.6</v>
      </c>
      <c r="CC1266" s="3">
        <v>7.1269159999999998E-2</v>
      </c>
      <c r="CD1266">
        <v>2.875</v>
      </c>
      <c r="CE1266">
        <v>2.5</v>
      </c>
      <c r="CF1266">
        <v>18</v>
      </c>
      <c r="CG1266">
        <v>6</v>
      </c>
      <c r="CH1266">
        <v>0</v>
      </c>
      <c r="CI1266">
        <v>50.26</v>
      </c>
      <c r="CJ1266">
        <v>647.89200000000005</v>
      </c>
    </row>
    <row r="1267" spans="1:88">
      <c r="A1267">
        <v>1266</v>
      </c>
      <c r="B1267" t="s">
        <v>0</v>
      </c>
      <c r="C1267" t="s">
        <v>1</v>
      </c>
      <c r="D1267" t="s">
        <v>278</v>
      </c>
      <c r="E1267" t="s">
        <v>96</v>
      </c>
      <c r="F1267" t="s">
        <v>239</v>
      </c>
      <c r="G1267" t="s">
        <v>15</v>
      </c>
      <c r="H1267" t="s">
        <v>458</v>
      </c>
      <c r="J1267">
        <v>2</v>
      </c>
      <c r="K1267" t="s">
        <v>108</v>
      </c>
      <c r="L1267" t="s">
        <v>293</v>
      </c>
      <c r="M1267" t="s">
        <v>100</v>
      </c>
      <c r="N1267" t="s">
        <v>101</v>
      </c>
      <c r="O1267">
        <v>131</v>
      </c>
      <c r="Q1267">
        <v>717</v>
      </c>
      <c r="R1267">
        <v>126</v>
      </c>
      <c r="S1267">
        <v>4.25</v>
      </c>
      <c r="T1267">
        <v>3.5859999999999999</v>
      </c>
      <c r="U1267">
        <v>6.37</v>
      </c>
      <c r="V1267">
        <v>3046.18</v>
      </c>
      <c r="W1267">
        <v>803</v>
      </c>
      <c r="X1267">
        <v>1.3332999999999999</v>
      </c>
      <c r="Y1267">
        <v>620</v>
      </c>
      <c r="Z1267">
        <v>4.91</v>
      </c>
      <c r="AJ1267">
        <v>2</v>
      </c>
      <c r="AK1267">
        <v>18</v>
      </c>
      <c r="AM1267">
        <v>0</v>
      </c>
      <c r="AO1267" t="s">
        <v>401</v>
      </c>
      <c r="AT1267">
        <v>51</v>
      </c>
      <c r="AV1267">
        <v>72.5</v>
      </c>
      <c r="AW1267">
        <v>0.5</v>
      </c>
      <c r="AX1267">
        <v>5.625</v>
      </c>
      <c r="AY1267">
        <v>44.625</v>
      </c>
      <c r="AZ1267">
        <v>4.875</v>
      </c>
      <c r="BA1267">
        <v>401.38</v>
      </c>
      <c r="BB1267">
        <v>5.79</v>
      </c>
      <c r="BC1267">
        <v>80</v>
      </c>
      <c r="BD1267">
        <v>0.375</v>
      </c>
      <c r="BE1267">
        <v>3.75</v>
      </c>
      <c r="BF1267">
        <v>29.5</v>
      </c>
      <c r="BG1267">
        <v>3.625</v>
      </c>
      <c r="BH1267">
        <v>219.02</v>
      </c>
      <c r="BI1267">
        <v>4.91</v>
      </c>
      <c r="BJ1267">
        <v>26</v>
      </c>
      <c r="BL1267">
        <v>620.4</v>
      </c>
      <c r="BM1267">
        <v>105</v>
      </c>
      <c r="BN1267">
        <v>618.78679999999997</v>
      </c>
      <c r="BO1267">
        <v>2857</v>
      </c>
      <c r="BP1267">
        <v>0</v>
      </c>
      <c r="BQ1267">
        <v>45</v>
      </c>
      <c r="BR1267">
        <v>45</v>
      </c>
      <c r="BS1267">
        <v>44.69</v>
      </c>
      <c r="BT1267">
        <v>0</v>
      </c>
      <c r="BV1267">
        <v>0</v>
      </c>
      <c r="BW1267" t="s">
        <v>655</v>
      </c>
      <c r="BX1267">
        <v>0.17</v>
      </c>
      <c r="BY1267">
        <v>7.5972999999999997</v>
      </c>
      <c r="BZ1267">
        <v>0</v>
      </c>
      <c r="CA1267">
        <v>1</v>
      </c>
      <c r="CB1267">
        <v>0.6</v>
      </c>
      <c r="CC1267" s="3">
        <v>7.1269159999999998E-2</v>
      </c>
      <c r="CD1267">
        <v>2.875</v>
      </c>
      <c r="CE1267">
        <v>2.5</v>
      </c>
      <c r="CF1267">
        <v>18</v>
      </c>
      <c r="CG1267">
        <v>6</v>
      </c>
      <c r="CH1267">
        <v>0</v>
      </c>
      <c r="CI1267">
        <v>44.69</v>
      </c>
      <c r="CJ1267">
        <v>636.60550000000001</v>
      </c>
    </row>
    <row r="1268" spans="1:88">
      <c r="A1268">
        <v>1267</v>
      </c>
      <c r="B1268" t="s">
        <v>0</v>
      </c>
      <c r="C1268" t="s">
        <v>1</v>
      </c>
      <c r="D1268" t="s">
        <v>150</v>
      </c>
      <c r="E1268" t="s">
        <v>369</v>
      </c>
      <c r="F1268" t="s">
        <v>152</v>
      </c>
      <c r="G1268" t="s">
        <v>106</v>
      </c>
      <c r="H1268" t="s">
        <v>5</v>
      </c>
      <c r="J1268">
        <v>2</v>
      </c>
      <c r="K1268" t="s">
        <v>146</v>
      </c>
      <c r="L1268" t="s">
        <v>259</v>
      </c>
      <c r="M1268" t="s">
        <v>480</v>
      </c>
      <c r="N1268" t="s">
        <v>307</v>
      </c>
      <c r="O1268">
        <v>121</v>
      </c>
      <c r="Q1268">
        <v>349</v>
      </c>
      <c r="R1268">
        <v>69</v>
      </c>
      <c r="S1268">
        <v>4.25</v>
      </c>
      <c r="T1268">
        <v>3.3340000000000001</v>
      </c>
      <c r="U1268">
        <v>6.22</v>
      </c>
      <c r="V1268">
        <v>1481.29</v>
      </c>
      <c r="W1268">
        <v>431</v>
      </c>
      <c r="X1268">
        <v>1.3332999999999999</v>
      </c>
      <c r="Y1268">
        <v>318</v>
      </c>
      <c r="Z1268">
        <v>4.66</v>
      </c>
      <c r="AJ1268">
        <v>2</v>
      </c>
      <c r="AK1268">
        <v>18</v>
      </c>
      <c r="AM1268">
        <v>0</v>
      </c>
      <c r="AO1268" t="s">
        <v>155</v>
      </c>
      <c r="AT1268">
        <v>47</v>
      </c>
      <c r="AV1268">
        <v>37.5</v>
      </c>
      <c r="AW1268">
        <v>0</v>
      </c>
      <c r="AX1268">
        <v>0</v>
      </c>
      <c r="AY1268">
        <v>44.75</v>
      </c>
      <c r="AZ1268">
        <v>4.125</v>
      </c>
      <c r="BA1268">
        <v>0</v>
      </c>
      <c r="BB1268">
        <v>0</v>
      </c>
      <c r="BC1268">
        <v>45</v>
      </c>
      <c r="BN1268">
        <v>178.33340000000001</v>
      </c>
      <c r="BO1268">
        <v>3263</v>
      </c>
      <c r="BP1268">
        <v>0</v>
      </c>
      <c r="BQ1268">
        <v>41</v>
      </c>
      <c r="BR1268">
        <v>41</v>
      </c>
      <c r="BS1268">
        <v>41.21</v>
      </c>
      <c r="BT1268">
        <v>0</v>
      </c>
      <c r="BV1268">
        <v>0</v>
      </c>
      <c r="BW1268" t="s">
        <v>655</v>
      </c>
      <c r="BX1268">
        <v>0.17</v>
      </c>
      <c r="BY1268">
        <v>7.0057</v>
      </c>
      <c r="BZ1268">
        <v>0</v>
      </c>
      <c r="CA1268">
        <v>1</v>
      </c>
      <c r="CB1268">
        <v>0.6</v>
      </c>
      <c r="CC1268" s="3">
        <v>7.1269159999999998E-2</v>
      </c>
      <c r="CD1268">
        <v>2.875</v>
      </c>
      <c r="CE1268">
        <v>2.5</v>
      </c>
      <c r="CF1268">
        <v>18</v>
      </c>
      <c r="CG1268">
        <v>6</v>
      </c>
      <c r="CH1268">
        <v>0</v>
      </c>
      <c r="CI1268">
        <v>41.21</v>
      </c>
      <c r="CJ1268">
        <v>303.97969999999998</v>
      </c>
    </row>
    <row r="1269" spans="1:88">
      <c r="A1269">
        <v>1268</v>
      </c>
      <c r="B1269" t="s">
        <v>13</v>
      </c>
      <c r="C1269" t="s">
        <v>1</v>
      </c>
      <c r="D1269" t="s">
        <v>2</v>
      </c>
      <c r="E1269" t="s">
        <v>338</v>
      </c>
      <c r="F1269" t="s">
        <v>154</v>
      </c>
      <c r="G1269" t="s">
        <v>106</v>
      </c>
      <c r="H1269" t="s">
        <v>217</v>
      </c>
      <c r="J1269">
        <v>2</v>
      </c>
      <c r="K1269" t="s">
        <v>146</v>
      </c>
      <c r="L1269" t="s">
        <v>143</v>
      </c>
      <c r="M1269" t="s">
        <v>339</v>
      </c>
      <c r="N1269" t="s">
        <v>340</v>
      </c>
      <c r="O1269">
        <v>135</v>
      </c>
      <c r="Q1269">
        <v>371</v>
      </c>
      <c r="R1269">
        <v>67</v>
      </c>
      <c r="S1269">
        <v>4.25</v>
      </c>
      <c r="T1269">
        <v>3.6850000000000001</v>
      </c>
      <c r="U1269">
        <v>6.45</v>
      </c>
      <c r="V1269">
        <v>1575.47</v>
      </c>
      <c r="W1269">
        <v>433</v>
      </c>
      <c r="X1269">
        <v>1.3332999999999999</v>
      </c>
      <c r="Y1269">
        <v>314</v>
      </c>
      <c r="Z1269">
        <v>5.01</v>
      </c>
      <c r="AJ1269">
        <v>2</v>
      </c>
      <c r="AK1269">
        <v>18</v>
      </c>
      <c r="AM1269">
        <v>0</v>
      </c>
      <c r="AO1269" t="s">
        <v>218</v>
      </c>
      <c r="AT1269">
        <v>52</v>
      </c>
      <c r="AV1269">
        <v>36.1</v>
      </c>
      <c r="AW1269">
        <v>0</v>
      </c>
      <c r="AX1269">
        <v>0</v>
      </c>
      <c r="AY1269">
        <v>45.25</v>
      </c>
      <c r="AZ1269">
        <v>4.375</v>
      </c>
      <c r="BA1269">
        <v>0</v>
      </c>
      <c r="BB1269">
        <v>0</v>
      </c>
      <c r="BC1269">
        <v>46</v>
      </c>
      <c r="BN1269">
        <v>171.2</v>
      </c>
      <c r="BO1269">
        <v>3540</v>
      </c>
      <c r="BP1269">
        <v>0</v>
      </c>
      <c r="BQ1269">
        <v>46</v>
      </c>
      <c r="BR1269">
        <v>46</v>
      </c>
      <c r="BS1269">
        <v>46.08</v>
      </c>
      <c r="BT1269">
        <v>0</v>
      </c>
      <c r="BV1269">
        <v>0</v>
      </c>
      <c r="BW1269" t="s">
        <v>655</v>
      </c>
      <c r="BX1269">
        <v>0.17</v>
      </c>
      <c r="BY1269">
        <v>7.8336009999999998</v>
      </c>
      <c r="BZ1269">
        <v>0</v>
      </c>
      <c r="CA1269">
        <v>1</v>
      </c>
      <c r="CB1269">
        <v>0.6</v>
      </c>
      <c r="CC1269" s="3">
        <v>7.1269159999999998E-2</v>
      </c>
      <c r="CD1269">
        <v>2.875</v>
      </c>
      <c r="CE1269">
        <v>2.5</v>
      </c>
      <c r="CF1269">
        <v>18</v>
      </c>
      <c r="CG1269">
        <v>6</v>
      </c>
      <c r="CH1269">
        <v>0</v>
      </c>
      <c r="CI1269">
        <v>46.08</v>
      </c>
      <c r="CJ1269">
        <v>326.76620000000003</v>
      </c>
    </row>
    <row r="1270" spans="1:88">
      <c r="A1270">
        <v>1269</v>
      </c>
      <c r="B1270" t="s">
        <v>0</v>
      </c>
      <c r="C1270" t="s">
        <v>1</v>
      </c>
      <c r="D1270" t="s">
        <v>470</v>
      </c>
      <c r="E1270" t="s">
        <v>234</v>
      </c>
      <c r="F1270" t="s">
        <v>587</v>
      </c>
      <c r="G1270" t="s">
        <v>15</v>
      </c>
      <c r="H1270" t="s">
        <v>470</v>
      </c>
      <c r="J1270">
        <v>2</v>
      </c>
      <c r="K1270" t="s">
        <v>9</v>
      </c>
      <c r="L1270" t="s">
        <v>103</v>
      </c>
      <c r="M1270" t="s">
        <v>435</v>
      </c>
      <c r="N1270" t="s">
        <v>295</v>
      </c>
      <c r="O1270">
        <v>147</v>
      </c>
      <c r="Q1270">
        <v>929</v>
      </c>
      <c r="R1270">
        <v>146</v>
      </c>
      <c r="S1270">
        <v>4.25</v>
      </c>
      <c r="T1270">
        <v>3.976</v>
      </c>
      <c r="U1270">
        <v>6.67</v>
      </c>
      <c r="V1270">
        <v>3947.27</v>
      </c>
      <c r="W1270">
        <v>976</v>
      </c>
      <c r="X1270">
        <v>1.3332999999999999</v>
      </c>
      <c r="Y1270">
        <v>745</v>
      </c>
      <c r="Z1270">
        <v>5.3</v>
      </c>
      <c r="AJ1270">
        <v>2</v>
      </c>
      <c r="AK1270">
        <v>18</v>
      </c>
      <c r="AM1270">
        <v>0</v>
      </c>
      <c r="AO1270" t="s">
        <v>588</v>
      </c>
      <c r="AT1270">
        <v>56</v>
      </c>
      <c r="AV1270">
        <v>84.1</v>
      </c>
      <c r="AW1270" t="s">
        <v>6</v>
      </c>
      <c r="AX1270" t="s">
        <v>6</v>
      </c>
      <c r="AY1270" t="s">
        <v>6</v>
      </c>
      <c r="AZ1270" t="s">
        <v>6</v>
      </c>
      <c r="BA1270" t="s">
        <v>6</v>
      </c>
      <c r="BB1270" t="s">
        <v>6</v>
      </c>
      <c r="BC1270" t="s">
        <v>6</v>
      </c>
      <c r="BD1270" t="s">
        <v>6</v>
      </c>
      <c r="BE1270" t="s">
        <v>6</v>
      </c>
      <c r="BF1270" t="s">
        <v>6</v>
      </c>
      <c r="BG1270" t="s">
        <v>6</v>
      </c>
      <c r="BH1270" t="s">
        <v>6</v>
      </c>
      <c r="BI1270" t="s">
        <v>6</v>
      </c>
      <c r="BJ1270" t="s">
        <v>6</v>
      </c>
      <c r="BN1270">
        <v>719.81320000000005</v>
      </c>
      <c r="BO1270">
        <v>2111</v>
      </c>
      <c r="BP1270">
        <v>0</v>
      </c>
      <c r="BQ1270">
        <v>50</v>
      </c>
      <c r="BR1270">
        <v>50</v>
      </c>
      <c r="BS1270">
        <v>50.26</v>
      </c>
      <c r="BT1270">
        <v>0</v>
      </c>
      <c r="BV1270">
        <v>6</v>
      </c>
      <c r="BW1270" t="s">
        <v>655</v>
      </c>
      <c r="BX1270">
        <v>0.27933330000000001</v>
      </c>
      <c r="BY1270">
        <v>14.039289999999999</v>
      </c>
      <c r="BZ1270">
        <v>0</v>
      </c>
      <c r="CA1270">
        <v>1</v>
      </c>
      <c r="CB1270">
        <v>0.6</v>
      </c>
      <c r="CC1270" s="3">
        <v>7.1269159999999998E-2</v>
      </c>
      <c r="CD1270">
        <v>2.875</v>
      </c>
      <c r="CE1270">
        <v>2.5</v>
      </c>
      <c r="CF1270">
        <v>18</v>
      </c>
      <c r="CG1270">
        <v>6</v>
      </c>
      <c r="CH1270">
        <v>0</v>
      </c>
      <c r="CI1270">
        <v>50.26</v>
      </c>
      <c r="CJ1270">
        <v>830.57339999999999</v>
      </c>
    </row>
    <row r="1271" spans="1:88">
      <c r="A1271">
        <v>1270</v>
      </c>
      <c r="B1271" t="s">
        <v>0</v>
      </c>
      <c r="C1271" t="s">
        <v>1</v>
      </c>
      <c r="D1271" t="s">
        <v>283</v>
      </c>
      <c r="E1271" t="s">
        <v>2</v>
      </c>
      <c r="F1271" t="s">
        <v>243</v>
      </c>
      <c r="G1271" t="s">
        <v>106</v>
      </c>
      <c r="H1271" t="s">
        <v>284</v>
      </c>
      <c r="J1271">
        <v>2</v>
      </c>
      <c r="K1271" t="s">
        <v>146</v>
      </c>
      <c r="L1271" t="s">
        <v>122</v>
      </c>
      <c r="M1271" t="s">
        <v>4</v>
      </c>
      <c r="N1271" t="s">
        <v>5</v>
      </c>
      <c r="O1271">
        <v>107</v>
      </c>
      <c r="Q1271">
        <v>241</v>
      </c>
      <c r="R1271">
        <v>51</v>
      </c>
      <c r="S1271">
        <v>4.25</v>
      </c>
      <c r="T1271">
        <v>2.9710000000000001</v>
      </c>
      <c r="U1271">
        <v>6.07</v>
      </c>
      <c r="V1271">
        <v>1023.91</v>
      </c>
      <c r="W1271">
        <v>307</v>
      </c>
      <c r="X1271">
        <v>1.3332999999999999</v>
      </c>
      <c r="Y1271">
        <v>238</v>
      </c>
      <c r="Z1271">
        <v>4.3</v>
      </c>
      <c r="AJ1271">
        <v>2</v>
      </c>
      <c r="AK1271">
        <v>18</v>
      </c>
      <c r="AM1271">
        <v>0</v>
      </c>
      <c r="AO1271" t="s">
        <v>285</v>
      </c>
      <c r="AT1271">
        <v>42</v>
      </c>
      <c r="AV1271">
        <v>28.8</v>
      </c>
      <c r="AW1271">
        <v>0</v>
      </c>
      <c r="AX1271">
        <v>0</v>
      </c>
      <c r="AY1271">
        <v>27.125</v>
      </c>
      <c r="AZ1271">
        <v>3.25</v>
      </c>
      <c r="BA1271">
        <v>0</v>
      </c>
      <c r="BB1271">
        <v>0</v>
      </c>
      <c r="BC1271">
        <v>24</v>
      </c>
      <c r="BN1271">
        <v>135.5334</v>
      </c>
      <c r="BO1271">
        <v>5649</v>
      </c>
      <c r="BP1271">
        <v>0</v>
      </c>
      <c r="BQ1271">
        <v>36</v>
      </c>
      <c r="BR1271">
        <v>36</v>
      </c>
      <c r="BS1271">
        <v>36.340000000000003</v>
      </c>
      <c r="BT1271">
        <v>0</v>
      </c>
      <c r="BV1271">
        <v>0</v>
      </c>
      <c r="BW1271" t="s">
        <v>655</v>
      </c>
      <c r="BX1271">
        <v>0.17</v>
      </c>
      <c r="BY1271">
        <v>6.1778000000000004</v>
      </c>
      <c r="BZ1271">
        <v>0</v>
      </c>
      <c r="CA1271">
        <v>1</v>
      </c>
      <c r="CB1271">
        <v>0.6</v>
      </c>
      <c r="CC1271" s="3">
        <v>7.1269159999999998E-2</v>
      </c>
      <c r="CD1271">
        <v>2.875</v>
      </c>
      <c r="CE1271">
        <v>2.5</v>
      </c>
      <c r="CF1271">
        <v>18</v>
      </c>
      <c r="CG1271">
        <v>6</v>
      </c>
      <c r="CH1271">
        <v>0</v>
      </c>
      <c r="CI1271">
        <v>36.340000000000003</v>
      </c>
      <c r="CJ1271">
        <v>205.89869999999999</v>
      </c>
    </row>
    <row r="1272" spans="1:88">
      <c r="A1272">
        <v>1271</v>
      </c>
      <c r="B1272" t="s">
        <v>0</v>
      </c>
      <c r="C1272" t="s">
        <v>1</v>
      </c>
      <c r="D1272" t="s">
        <v>2</v>
      </c>
      <c r="E1272" t="s">
        <v>131</v>
      </c>
      <c r="F1272" t="s">
        <v>154</v>
      </c>
      <c r="G1272" t="s">
        <v>106</v>
      </c>
      <c r="H1272" t="s">
        <v>217</v>
      </c>
      <c r="J1272">
        <v>2</v>
      </c>
      <c r="K1272" t="s">
        <v>146</v>
      </c>
      <c r="L1272" t="s">
        <v>300</v>
      </c>
      <c r="M1272" t="s">
        <v>271</v>
      </c>
      <c r="N1272" t="s">
        <v>181</v>
      </c>
      <c r="O1272">
        <v>158</v>
      </c>
      <c r="Q1272">
        <v>429</v>
      </c>
      <c r="R1272">
        <v>67</v>
      </c>
      <c r="S1272">
        <v>4.25</v>
      </c>
      <c r="T1272">
        <v>4.2370000000000001</v>
      </c>
      <c r="U1272">
        <v>6.86</v>
      </c>
      <c r="V1272">
        <v>1822.39</v>
      </c>
      <c r="W1272">
        <v>460</v>
      </c>
      <c r="X1272">
        <v>1.5</v>
      </c>
      <c r="Y1272">
        <v>318</v>
      </c>
      <c r="Z1272">
        <v>5.73</v>
      </c>
      <c r="AJ1272">
        <v>2</v>
      </c>
      <c r="AK1272">
        <v>18</v>
      </c>
      <c r="AM1272">
        <v>0</v>
      </c>
      <c r="AO1272" t="s">
        <v>218</v>
      </c>
      <c r="AT1272">
        <v>60</v>
      </c>
      <c r="AV1272">
        <v>36.1</v>
      </c>
      <c r="AW1272">
        <v>0</v>
      </c>
      <c r="AX1272">
        <v>0</v>
      </c>
      <c r="AY1272">
        <v>63.75</v>
      </c>
      <c r="AZ1272">
        <v>5.375</v>
      </c>
      <c r="BA1272">
        <v>0</v>
      </c>
      <c r="BB1272">
        <v>0</v>
      </c>
      <c r="BC1272">
        <v>68</v>
      </c>
      <c r="BN1272">
        <v>171.2</v>
      </c>
      <c r="BO1272">
        <v>3540</v>
      </c>
      <c r="BP1272">
        <v>0</v>
      </c>
      <c r="BQ1272">
        <v>54</v>
      </c>
      <c r="BR1272">
        <v>54</v>
      </c>
      <c r="BS1272">
        <v>54.08</v>
      </c>
      <c r="BT1272">
        <v>0</v>
      </c>
      <c r="BV1272">
        <v>0</v>
      </c>
      <c r="BW1272" t="s">
        <v>655</v>
      </c>
      <c r="BX1272">
        <v>0.17</v>
      </c>
      <c r="BY1272">
        <v>9.1936009999999992</v>
      </c>
      <c r="BZ1272">
        <v>0</v>
      </c>
      <c r="CA1272">
        <v>1</v>
      </c>
      <c r="CB1272">
        <v>0.6</v>
      </c>
      <c r="CC1272" s="3">
        <v>7.1269159999999998E-2</v>
      </c>
      <c r="CD1272">
        <v>2.875</v>
      </c>
      <c r="CE1272">
        <v>2.5</v>
      </c>
      <c r="CF1272">
        <v>18</v>
      </c>
      <c r="CG1272">
        <v>6</v>
      </c>
      <c r="CH1272">
        <v>0</v>
      </c>
      <c r="CI1272">
        <v>54.08</v>
      </c>
      <c r="CJ1272">
        <v>383.49650000000003</v>
      </c>
    </row>
    <row r="1273" spans="1:88">
      <c r="A1273">
        <v>1272</v>
      </c>
      <c r="B1273" t="s">
        <v>0</v>
      </c>
      <c r="C1273" t="s">
        <v>1</v>
      </c>
      <c r="D1273" t="s">
        <v>432</v>
      </c>
      <c r="E1273" t="s">
        <v>113</v>
      </c>
      <c r="F1273" t="s">
        <v>677</v>
      </c>
      <c r="G1273" t="s">
        <v>20</v>
      </c>
      <c r="H1273" t="s">
        <v>432</v>
      </c>
      <c r="J1273">
        <v>2</v>
      </c>
      <c r="K1273" t="s">
        <v>9</v>
      </c>
      <c r="L1273" t="s">
        <v>116</v>
      </c>
      <c r="M1273" t="s">
        <v>117</v>
      </c>
      <c r="N1273" t="s">
        <v>14</v>
      </c>
      <c r="O1273">
        <v>179</v>
      </c>
      <c r="Q1273">
        <v>1230</v>
      </c>
      <c r="R1273">
        <v>161</v>
      </c>
      <c r="S1273">
        <v>4.25</v>
      </c>
      <c r="T1273">
        <v>4.7190000000000003</v>
      </c>
      <c r="U1273">
        <v>7.05</v>
      </c>
      <c r="V1273">
        <v>5225.5</v>
      </c>
      <c r="W1273">
        <v>1138</v>
      </c>
      <c r="X1273">
        <v>1.3332999999999999</v>
      </c>
      <c r="Y1273">
        <v>864</v>
      </c>
      <c r="Z1273">
        <v>6.05</v>
      </c>
      <c r="AJ1273">
        <v>2</v>
      </c>
      <c r="AK1273">
        <v>18</v>
      </c>
      <c r="AM1273">
        <v>0</v>
      </c>
      <c r="AO1273" t="s">
        <v>678</v>
      </c>
      <c r="AT1273">
        <v>68</v>
      </c>
      <c r="AV1273">
        <v>92.8</v>
      </c>
      <c r="AW1273" t="s">
        <v>6</v>
      </c>
      <c r="AX1273" t="s">
        <v>6</v>
      </c>
      <c r="AY1273" t="s">
        <v>6</v>
      </c>
      <c r="AZ1273" t="s">
        <v>6</v>
      </c>
      <c r="BA1273" t="s">
        <v>6</v>
      </c>
      <c r="BB1273" t="s">
        <v>6</v>
      </c>
      <c r="BC1273" t="s">
        <v>6</v>
      </c>
      <c r="BD1273" t="s">
        <v>6</v>
      </c>
      <c r="BE1273" t="s">
        <v>6</v>
      </c>
      <c r="BF1273" t="s">
        <v>6</v>
      </c>
      <c r="BG1273" t="s">
        <v>6</v>
      </c>
      <c r="BH1273" t="s">
        <v>6</v>
      </c>
      <c r="BI1273" t="s">
        <v>6</v>
      </c>
      <c r="BJ1273" t="s">
        <v>6</v>
      </c>
      <c r="BN1273">
        <v>697.14750000000004</v>
      </c>
      <c r="BO1273">
        <v>2464</v>
      </c>
      <c r="BP1273">
        <v>0</v>
      </c>
      <c r="BQ1273">
        <v>61</v>
      </c>
      <c r="BR1273">
        <v>61</v>
      </c>
      <c r="BS1273">
        <v>61.39</v>
      </c>
      <c r="BT1273">
        <v>0</v>
      </c>
      <c r="BV1273">
        <v>6</v>
      </c>
      <c r="BW1273" t="s">
        <v>655</v>
      </c>
      <c r="BX1273">
        <v>0.27933330000000001</v>
      </c>
      <c r="BY1273">
        <v>17.14827</v>
      </c>
      <c r="BZ1273">
        <v>0</v>
      </c>
      <c r="CA1273">
        <v>1</v>
      </c>
      <c r="CB1273">
        <v>0.6</v>
      </c>
      <c r="CC1273" s="3">
        <v>7.1269159999999998E-2</v>
      </c>
      <c r="CD1273">
        <v>2.875</v>
      </c>
      <c r="CE1273">
        <v>2.5</v>
      </c>
      <c r="CF1273">
        <v>18</v>
      </c>
      <c r="CG1273">
        <v>6</v>
      </c>
      <c r="CH1273">
        <v>0</v>
      </c>
      <c r="CI1273">
        <v>61.39</v>
      </c>
      <c r="CJ1273">
        <v>1119.508</v>
      </c>
    </row>
    <row r="1274" spans="1:88">
      <c r="A1274">
        <v>1273</v>
      </c>
      <c r="B1274" t="s">
        <v>0</v>
      </c>
      <c r="C1274" t="s">
        <v>1</v>
      </c>
      <c r="D1274" t="s">
        <v>176</v>
      </c>
      <c r="E1274" t="s">
        <v>2</v>
      </c>
      <c r="F1274" t="s">
        <v>134</v>
      </c>
      <c r="G1274" t="s">
        <v>106</v>
      </c>
      <c r="H1274" t="s">
        <v>177</v>
      </c>
      <c r="J1274">
        <v>2</v>
      </c>
      <c r="K1274" t="s">
        <v>146</v>
      </c>
      <c r="L1274" t="s">
        <v>122</v>
      </c>
      <c r="M1274" t="s">
        <v>4</v>
      </c>
      <c r="N1274" t="s">
        <v>5</v>
      </c>
      <c r="O1274">
        <v>107</v>
      </c>
      <c r="Q1274">
        <v>318</v>
      </c>
      <c r="R1274">
        <v>71</v>
      </c>
      <c r="S1274">
        <v>4.25</v>
      </c>
      <c r="T1274">
        <v>2.9710000000000001</v>
      </c>
      <c r="U1274">
        <v>6.07</v>
      </c>
      <c r="V1274">
        <v>1350.22</v>
      </c>
      <c r="W1274">
        <v>428</v>
      </c>
      <c r="X1274">
        <v>1.3332999999999999</v>
      </c>
      <c r="Y1274">
        <v>314</v>
      </c>
      <c r="Z1274">
        <v>4.3</v>
      </c>
      <c r="AJ1274">
        <v>2</v>
      </c>
      <c r="AK1274">
        <v>18</v>
      </c>
      <c r="AM1274">
        <v>0</v>
      </c>
      <c r="AO1274" t="s">
        <v>152</v>
      </c>
      <c r="AT1274">
        <v>42</v>
      </c>
      <c r="AV1274">
        <v>38.200000000000003</v>
      </c>
      <c r="AW1274">
        <v>0</v>
      </c>
      <c r="AX1274">
        <v>0</v>
      </c>
      <c r="AY1274">
        <v>45.375</v>
      </c>
      <c r="AZ1274">
        <v>3.75</v>
      </c>
      <c r="BA1274">
        <v>0</v>
      </c>
      <c r="BB1274">
        <v>0</v>
      </c>
      <c r="BC1274">
        <v>46</v>
      </c>
      <c r="BN1274">
        <v>181.9</v>
      </c>
      <c r="BO1274">
        <v>3136</v>
      </c>
      <c r="BP1274">
        <v>0</v>
      </c>
      <c r="BQ1274">
        <v>36</v>
      </c>
      <c r="BR1274">
        <v>36</v>
      </c>
      <c r="BS1274">
        <v>36.340000000000003</v>
      </c>
      <c r="BT1274">
        <v>0</v>
      </c>
      <c r="BV1274">
        <v>0</v>
      </c>
      <c r="BW1274" t="s">
        <v>655</v>
      </c>
      <c r="BX1274">
        <v>0.17</v>
      </c>
      <c r="BY1274">
        <v>6.1778000000000004</v>
      </c>
      <c r="BZ1274">
        <v>0</v>
      </c>
      <c r="CA1274">
        <v>1</v>
      </c>
      <c r="CB1274">
        <v>0.6</v>
      </c>
      <c r="CC1274" s="3">
        <v>7.1269159999999998E-2</v>
      </c>
      <c r="CD1274">
        <v>2.875</v>
      </c>
      <c r="CE1274">
        <v>2.5</v>
      </c>
      <c r="CF1274">
        <v>18</v>
      </c>
      <c r="CG1274">
        <v>6</v>
      </c>
      <c r="CH1274">
        <v>0</v>
      </c>
      <c r="CI1274">
        <v>36.340000000000003</v>
      </c>
      <c r="CJ1274">
        <v>273.23669999999998</v>
      </c>
    </row>
    <row r="1275" spans="1:88">
      <c r="A1275">
        <v>1274</v>
      </c>
      <c r="B1275" t="s">
        <v>0</v>
      </c>
      <c r="C1275" t="s">
        <v>1</v>
      </c>
      <c r="D1275" t="s">
        <v>342</v>
      </c>
      <c r="E1275" t="s">
        <v>177</v>
      </c>
      <c r="F1275" t="s">
        <v>484</v>
      </c>
      <c r="G1275" t="s">
        <v>106</v>
      </c>
      <c r="H1275" t="s">
        <v>241</v>
      </c>
      <c r="J1275">
        <v>2</v>
      </c>
      <c r="K1275" t="s">
        <v>146</v>
      </c>
      <c r="L1275" t="s">
        <v>235</v>
      </c>
      <c r="M1275" t="s">
        <v>152</v>
      </c>
      <c r="N1275" t="s">
        <v>127</v>
      </c>
      <c r="O1275">
        <v>112</v>
      </c>
      <c r="Q1275">
        <v>257</v>
      </c>
      <c r="R1275">
        <v>52</v>
      </c>
      <c r="S1275">
        <v>4.25</v>
      </c>
      <c r="T1275">
        <v>3.1019999999999999</v>
      </c>
      <c r="U1275">
        <v>6.14</v>
      </c>
      <c r="V1275">
        <v>1093.22</v>
      </c>
      <c r="W1275">
        <v>318</v>
      </c>
      <c r="X1275">
        <v>1.3332999999999999</v>
      </c>
      <c r="Y1275">
        <v>247</v>
      </c>
      <c r="Z1275">
        <v>4.43</v>
      </c>
      <c r="AJ1275">
        <v>2</v>
      </c>
      <c r="AK1275">
        <v>18</v>
      </c>
      <c r="AM1275">
        <v>0</v>
      </c>
      <c r="AO1275" t="s">
        <v>243</v>
      </c>
      <c r="AT1275">
        <v>44</v>
      </c>
      <c r="AV1275">
        <v>29.5</v>
      </c>
      <c r="AW1275">
        <v>0</v>
      </c>
      <c r="AX1275">
        <v>0</v>
      </c>
      <c r="AY1275">
        <v>26.25</v>
      </c>
      <c r="AZ1275">
        <v>3.375</v>
      </c>
      <c r="BA1275">
        <v>0</v>
      </c>
      <c r="BB1275">
        <v>0</v>
      </c>
      <c r="BC1275">
        <v>23</v>
      </c>
      <c r="BN1275">
        <v>139.1</v>
      </c>
      <c r="BO1275">
        <v>5363</v>
      </c>
      <c r="BP1275">
        <v>0</v>
      </c>
      <c r="BQ1275">
        <v>38</v>
      </c>
      <c r="BR1275">
        <v>38</v>
      </c>
      <c r="BS1275">
        <v>38.08</v>
      </c>
      <c r="BT1275">
        <v>0</v>
      </c>
      <c r="BV1275">
        <v>0</v>
      </c>
      <c r="BW1275" t="s">
        <v>655</v>
      </c>
      <c r="BX1275">
        <v>0.17</v>
      </c>
      <c r="BY1275">
        <v>6.4736010000000004</v>
      </c>
      <c r="BZ1275">
        <v>0</v>
      </c>
      <c r="CA1275">
        <v>1</v>
      </c>
      <c r="CB1275">
        <v>0.6</v>
      </c>
      <c r="CC1275" s="3">
        <v>7.1269159999999998E-2</v>
      </c>
      <c r="CD1275">
        <v>2.875</v>
      </c>
      <c r="CE1275">
        <v>2.5</v>
      </c>
      <c r="CF1275">
        <v>18</v>
      </c>
      <c r="CG1275">
        <v>6</v>
      </c>
      <c r="CH1275">
        <v>0</v>
      </c>
      <c r="CI1275">
        <v>38.08</v>
      </c>
      <c r="CJ1275">
        <v>221.18530000000001</v>
      </c>
    </row>
    <row r="1276" spans="1:88">
      <c r="A1276">
        <v>1275</v>
      </c>
      <c r="B1276" t="s">
        <v>13</v>
      </c>
      <c r="C1276" t="s">
        <v>1</v>
      </c>
      <c r="D1276" t="s">
        <v>178</v>
      </c>
      <c r="E1276" t="s">
        <v>96</v>
      </c>
      <c r="F1276" t="s">
        <v>408</v>
      </c>
      <c r="G1276" t="s">
        <v>106</v>
      </c>
      <c r="H1276" t="s">
        <v>141</v>
      </c>
      <c r="J1276">
        <v>2</v>
      </c>
      <c r="K1276" t="s">
        <v>146</v>
      </c>
      <c r="L1276" t="s">
        <v>293</v>
      </c>
      <c r="M1276" t="s">
        <v>100</v>
      </c>
      <c r="N1276" t="s">
        <v>101</v>
      </c>
      <c r="O1276">
        <v>131</v>
      </c>
      <c r="Q1276">
        <v>318</v>
      </c>
      <c r="R1276">
        <v>60</v>
      </c>
      <c r="S1276">
        <v>4.25</v>
      </c>
      <c r="T1276">
        <v>3.5859999999999999</v>
      </c>
      <c r="U1276">
        <v>6.37</v>
      </c>
      <c r="V1276">
        <v>1351.67</v>
      </c>
      <c r="W1276">
        <v>383</v>
      </c>
      <c r="X1276">
        <v>1.5</v>
      </c>
      <c r="Y1276">
        <v>266</v>
      </c>
      <c r="Z1276">
        <v>5.08</v>
      </c>
      <c r="AJ1276">
        <v>2</v>
      </c>
      <c r="AK1276">
        <v>18</v>
      </c>
      <c r="AM1276">
        <v>0</v>
      </c>
      <c r="AO1276" t="s">
        <v>409</v>
      </c>
      <c r="AT1276">
        <v>51</v>
      </c>
      <c r="AV1276">
        <v>31.7</v>
      </c>
      <c r="AW1276">
        <v>0</v>
      </c>
      <c r="AX1276">
        <v>0</v>
      </c>
      <c r="AY1276">
        <v>53.5</v>
      </c>
      <c r="AZ1276">
        <v>4.5</v>
      </c>
      <c r="BA1276">
        <v>0</v>
      </c>
      <c r="BB1276">
        <v>0</v>
      </c>
      <c r="BC1276">
        <v>54</v>
      </c>
      <c r="BN1276">
        <v>149.80000000000001</v>
      </c>
      <c r="BO1276">
        <v>4624</v>
      </c>
      <c r="BP1276">
        <v>0</v>
      </c>
      <c r="BQ1276">
        <v>45</v>
      </c>
      <c r="BR1276">
        <v>45</v>
      </c>
      <c r="BS1276">
        <v>44.69</v>
      </c>
      <c r="BT1276">
        <v>0</v>
      </c>
      <c r="BV1276">
        <v>0</v>
      </c>
      <c r="BW1276" t="s">
        <v>655</v>
      </c>
      <c r="BX1276">
        <v>0.17</v>
      </c>
      <c r="BY1276">
        <v>7.5972999999999997</v>
      </c>
      <c r="BZ1276">
        <v>0</v>
      </c>
      <c r="CA1276">
        <v>1</v>
      </c>
      <c r="CB1276">
        <v>0.6</v>
      </c>
      <c r="CC1276" s="3">
        <v>7.1269159999999998E-2</v>
      </c>
      <c r="CD1276">
        <v>2.875</v>
      </c>
      <c r="CE1276">
        <v>2.5</v>
      </c>
      <c r="CF1276">
        <v>18</v>
      </c>
      <c r="CG1276">
        <v>6</v>
      </c>
      <c r="CH1276">
        <v>0</v>
      </c>
      <c r="CI1276">
        <v>44.69</v>
      </c>
      <c r="CJ1276">
        <v>278.6891</v>
      </c>
    </row>
    <row r="1277" spans="1:88">
      <c r="A1277">
        <v>1276</v>
      </c>
      <c r="B1277" t="s">
        <v>13</v>
      </c>
      <c r="C1277" t="s">
        <v>1</v>
      </c>
      <c r="D1277" t="s">
        <v>363</v>
      </c>
      <c r="E1277" t="s">
        <v>150</v>
      </c>
      <c r="F1277" t="s">
        <v>256</v>
      </c>
      <c r="G1277" t="s">
        <v>106</v>
      </c>
      <c r="H1277" t="s">
        <v>364</v>
      </c>
      <c r="J1277">
        <v>2</v>
      </c>
      <c r="K1277" t="s">
        <v>146</v>
      </c>
      <c r="L1277" t="s">
        <v>96</v>
      </c>
      <c r="M1277" t="s">
        <v>159</v>
      </c>
      <c r="N1277" t="s">
        <v>130</v>
      </c>
      <c r="O1277">
        <v>111</v>
      </c>
      <c r="Q1277">
        <v>426</v>
      </c>
      <c r="R1277">
        <v>89</v>
      </c>
      <c r="S1277">
        <v>4.25</v>
      </c>
      <c r="T1277">
        <v>3.0760000000000001</v>
      </c>
      <c r="U1277">
        <v>6.14</v>
      </c>
      <c r="V1277">
        <v>1810.71</v>
      </c>
      <c r="W1277">
        <v>546</v>
      </c>
      <c r="X1277">
        <v>1.3332999999999999</v>
      </c>
      <c r="Y1277">
        <v>412</v>
      </c>
      <c r="Z1277">
        <v>4.4000000000000004</v>
      </c>
      <c r="AJ1277">
        <v>2</v>
      </c>
      <c r="AK1277">
        <v>18</v>
      </c>
      <c r="AM1277">
        <v>0</v>
      </c>
      <c r="AO1277" t="s">
        <v>298</v>
      </c>
      <c r="AT1277">
        <v>44</v>
      </c>
      <c r="AV1277">
        <v>49.9</v>
      </c>
      <c r="AW1277">
        <v>0</v>
      </c>
      <c r="AX1277">
        <v>0</v>
      </c>
      <c r="AY1277">
        <v>49.25</v>
      </c>
      <c r="AZ1277">
        <v>4.125</v>
      </c>
      <c r="BA1277">
        <v>0</v>
      </c>
      <c r="BB1277">
        <v>0</v>
      </c>
      <c r="BC1277">
        <v>53</v>
      </c>
      <c r="BN1277">
        <v>238.9667</v>
      </c>
      <c r="BO1277">
        <v>1817</v>
      </c>
      <c r="BP1277">
        <v>0</v>
      </c>
      <c r="BQ1277">
        <v>38</v>
      </c>
      <c r="BR1277">
        <v>38</v>
      </c>
      <c r="BS1277">
        <v>37.729999999999997</v>
      </c>
      <c r="BT1277">
        <v>0</v>
      </c>
      <c r="BV1277">
        <v>0</v>
      </c>
      <c r="BW1277" t="s">
        <v>655</v>
      </c>
      <c r="BX1277">
        <v>0.17</v>
      </c>
      <c r="BY1277">
        <v>6.4141000000000004</v>
      </c>
      <c r="BZ1277">
        <v>0</v>
      </c>
      <c r="CA1277">
        <v>1</v>
      </c>
      <c r="CB1277">
        <v>0.6</v>
      </c>
      <c r="CC1277" s="3">
        <v>7.1269159999999998E-2</v>
      </c>
      <c r="CD1277">
        <v>2.875</v>
      </c>
      <c r="CE1277">
        <v>2.5</v>
      </c>
      <c r="CF1277">
        <v>18</v>
      </c>
      <c r="CG1277">
        <v>6</v>
      </c>
      <c r="CH1277">
        <v>0</v>
      </c>
      <c r="CI1277">
        <v>37.729999999999997</v>
      </c>
      <c r="CJ1277">
        <v>369.7355</v>
      </c>
    </row>
    <row r="1278" spans="1:88">
      <c r="A1278">
        <v>1277</v>
      </c>
      <c r="B1278" t="s">
        <v>0</v>
      </c>
      <c r="C1278" t="s">
        <v>1</v>
      </c>
      <c r="D1278" t="s">
        <v>425</v>
      </c>
      <c r="E1278" t="s">
        <v>169</v>
      </c>
      <c r="F1278" t="s">
        <v>290</v>
      </c>
      <c r="G1278" t="s">
        <v>15</v>
      </c>
      <c r="H1278" t="s">
        <v>426</v>
      </c>
      <c r="J1278">
        <v>2</v>
      </c>
      <c r="K1278" t="s">
        <v>108</v>
      </c>
      <c r="L1278" t="s">
        <v>381</v>
      </c>
      <c r="M1278" t="s">
        <v>173</v>
      </c>
      <c r="N1278" t="s">
        <v>174</v>
      </c>
      <c r="O1278">
        <v>119</v>
      </c>
      <c r="Q1278">
        <v>683</v>
      </c>
      <c r="R1278">
        <v>131</v>
      </c>
      <c r="S1278">
        <v>4.25</v>
      </c>
      <c r="T1278">
        <v>3.2829999999999999</v>
      </c>
      <c r="U1278">
        <v>6.15</v>
      </c>
      <c r="V1278">
        <v>2901.22</v>
      </c>
      <c r="W1278">
        <v>807</v>
      </c>
      <c r="X1278">
        <v>1.3332999999999999</v>
      </c>
      <c r="Y1278">
        <v>629</v>
      </c>
      <c r="Z1278">
        <v>4.6100000000000003</v>
      </c>
      <c r="AJ1278">
        <v>2</v>
      </c>
      <c r="AK1278">
        <v>18</v>
      </c>
      <c r="AM1278">
        <v>0</v>
      </c>
      <c r="AO1278" t="s">
        <v>427</v>
      </c>
      <c r="AT1278">
        <v>47</v>
      </c>
      <c r="AV1278">
        <v>75.400000000000006</v>
      </c>
      <c r="AW1278">
        <v>0.5</v>
      </c>
      <c r="AX1278">
        <v>5.625</v>
      </c>
      <c r="AY1278">
        <v>35.5</v>
      </c>
      <c r="AZ1278">
        <v>4.625</v>
      </c>
      <c r="BA1278">
        <v>504.81</v>
      </c>
      <c r="BB1278">
        <v>4.6100000000000003</v>
      </c>
      <c r="BC1278">
        <v>64</v>
      </c>
      <c r="BD1278">
        <v>0.3125</v>
      </c>
      <c r="BE1278">
        <v>3.75</v>
      </c>
      <c r="BF1278">
        <v>20.5</v>
      </c>
      <c r="BG1278">
        <v>2.875</v>
      </c>
      <c r="BH1278">
        <v>124.52</v>
      </c>
      <c r="BI1278">
        <v>5.13</v>
      </c>
      <c r="BJ1278">
        <v>15</v>
      </c>
      <c r="BL1278">
        <v>629.33000000000004</v>
      </c>
      <c r="BM1278">
        <v>78</v>
      </c>
      <c r="BN1278">
        <v>644.04330000000004</v>
      </c>
      <c r="BO1278">
        <v>2637</v>
      </c>
      <c r="BP1278">
        <v>0</v>
      </c>
      <c r="BQ1278">
        <v>41</v>
      </c>
      <c r="BR1278">
        <v>41</v>
      </c>
      <c r="BS1278">
        <v>40.520000000000003</v>
      </c>
      <c r="BT1278">
        <v>0</v>
      </c>
      <c r="BV1278">
        <v>0</v>
      </c>
      <c r="BW1278" t="s">
        <v>655</v>
      </c>
      <c r="BX1278">
        <v>0.17</v>
      </c>
      <c r="BY1278">
        <v>6.8883999999999999</v>
      </c>
      <c r="BZ1278">
        <v>0</v>
      </c>
      <c r="CA1278">
        <v>1</v>
      </c>
      <c r="CB1278">
        <v>0.6</v>
      </c>
      <c r="CC1278" s="3">
        <v>7.1269159999999998E-2</v>
      </c>
      <c r="CD1278">
        <v>2.875</v>
      </c>
      <c r="CE1278">
        <v>2.5</v>
      </c>
      <c r="CF1278">
        <v>18</v>
      </c>
      <c r="CG1278">
        <v>6</v>
      </c>
      <c r="CH1278">
        <v>0</v>
      </c>
      <c r="CI1278">
        <v>40.520000000000003</v>
      </c>
      <c r="CJ1278">
        <v>600.30679999999995</v>
      </c>
    </row>
    <row r="1279" spans="1:88">
      <c r="A1279">
        <v>1278</v>
      </c>
      <c r="B1279" t="s">
        <v>13</v>
      </c>
      <c r="C1279" t="s">
        <v>1</v>
      </c>
      <c r="D1279" t="s">
        <v>381</v>
      </c>
      <c r="E1279" t="s">
        <v>363</v>
      </c>
      <c r="F1279" t="s">
        <v>132</v>
      </c>
      <c r="G1279" t="s">
        <v>106</v>
      </c>
      <c r="H1279" t="s">
        <v>340</v>
      </c>
      <c r="J1279">
        <v>2</v>
      </c>
      <c r="K1279" t="s">
        <v>146</v>
      </c>
      <c r="L1279" t="s">
        <v>120</v>
      </c>
      <c r="M1279" t="s">
        <v>461</v>
      </c>
      <c r="N1279" t="s">
        <v>165</v>
      </c>
      <c r="O1279">
        <v>145</v>
      </c>
      <c r="Q1279">
        <v>521</v>
      </c>
      <c r="R1279">
        <v>85</v>
      </c>
      <c r="S1279">
        <v>4.25</v>
      </c>
      <c r="T1279">
        <v>3.9279999999999999</v>
      </c>
      <c r="U1279">
        <v>6.63</v>
      </c>
      <c r="V1279">
        <v>2212.63</v>
      </c>
      <c r="W1279">
        <v>566</v>
      </c>
      <c r="X1279">
        <v>1.3332999999999999</v>
      </c>
      <c r="Y1279">
        <v>421</v>
      </c>
      <c r="Z1279">
        <v>5.26</v>
      </c>
      <c r="AJ1279">
        <v>2</v>
      </c>
      <c r="AK1279">
        <v>18</v>
      </c>
      <c r="AM1279">
        <v>0</v>
      </c>
      <c r="AO1279" t="s">
        <v>359</v>
      </c>
      <c r="AT1279">
        <v>56</v>
      </c>
      <c r="AV1279">
        <v>47.7</v>
      </c>
      <c r="AW1279">
        <v>0.46875</v>
      </c>
      <c r="AX1279">
        <v>3.75</v>
      </c>
      <c r="AY1279">
        <v>54.125</v>
      </c>
      <c r="AZ1279">
        <v>4.875</v>
      </c>
      <c r="BA1279">
        <v>374.68</v>
      </c>
      <c r="BB1279">
        <v>5.26</v>
      </c>
      <c r="BC1279">
        <v>58</v>
      </c>
      <c r="BD1279">
        <v>0.25</v>
      </c>
      <c r="BE1279">
        <v>2.75</v>
      </c>
      <c r="BF1279">
        <v>25</v>
      </c>
      <c r="BG1279">
        <v>2.625</v>
      </c>
      <c r="BH1279">
        <v>45.97</v>
      </c>
      <c r="BI1279">
        <v>7.47</v>
      </c>
      <c r="BJ1279">
        <v>11</v>
      </c>
      <c r="BL1279">
        <v>420.65</v>
      </c>
      <c r="BM1279">
        <v>69</v>
      </c>
      <c r="BN1279">
        <v>228.26669999999999</v>
      </c>
      <c r="BO1279">
        <v>1992</v>
      </c>
      <c r="BP1279">
        <v>0</v>
      </c>
      <c r="BQ1279">
        <v>50</v>
      </c>
      <c r="BR1279">
        <v>50</v>
      </c>
      <c r="BS1279">
        <v>49.56</v>
      </c>
      <c r="BT1279">
        <v>0</v>
      </c>
      <c r="BV1279">
        <v>0</v>
      </c>
      <c r="BW1279" t="s">
        <v>655</v>
      </c>
      <c r="BX1279">
        <v>0.17</v>
      </c>
      <c r="BY1279">
        <v>8.4252009999999995</v>
      </c>
      <c r="BZ1279">
        <v>0</v>
      </c>
      <c r="CA1279">
        <v>1</v>
      </c>
      <c r="CB1279">
        <v>0.6</v>
      </c>
      <c r="CC1279" s="3">
        <v>7.1269159999999998E-2</v>
      </c>
      <c r="CD1279">
        <v>2.875</v>
      </c>
      <c r="CE1279">
        <v>2.5</v>
      </c>
      <c r="CF1279">
        <v>18</v>
      </c>
      <c r="CG1279">
        <v>6</v>
      </c>
      <c r="CH1279">
        <v>0</v>
      </c>
      <c r="CI1279">
        <v>49.56</v>
      </c>
      <c r="CJ1279">
        <v>464.47109999999998</v>
      </c>
    </row>
    <row r="1280" spans="1:88">
      <c r="A1280">
        <v>1279</v>
      </c>
      <c r="B1280" t="s">
        <v>0</v>
      </c>
      <c r="C1280" t="s">
        <v>1</v>
      </c>
      <c r="D1280" t="s">
        <v>457</v>
      </c>
      <c r="E1280" t="s">
        <v>2</v>
      </c>
      <c r="F1280" t="s">
        <v>523</v>
      </c>
      <c r="G1280" t="s">
        <v>106</v>
      </c>
      <c r="H1280" t="s">
        <v>524</v>
      </c>
      <c r="J1280">
        <v>2</v>
      </c>
      <c r="K1280" t="s">
        <v>108</v>
      </c>
      <c r="L1280" t="s">
        <v>122</v>
      </c>
      <c r="M1280" t="s">
        <v>4</v>
      </c>
      <c r="N1280" t="s">
        <v>5</v>
      </c>
      <c r="O1280">
        <v>107</v>
      </c>
      <c r="Q1280">
        <v>546</v>
      </c>
      <c r="R1280">
        <v>115</v>
      </c>
      <c r="S1280">
        <v>4.25</v>
      </c>
      <c r="T1280">
        <v>2.9710000000000001</v>
      </c>
      <c r="U1280">
        <v>6.07</v>
      </c>
      <c r="V1280">
        <v>2321.2600000000002</v>
      </c>
      <c r="W1280">
        <v>700</v>
      </c>
      <c r="X1280">
        <v>1.3332999999999999</v>
      </c>
      <c r="Y1280">
        <v>540</v>
      </c>
      <c r="Z1280">
        <v>4.3</v>
      </c>
      <c r="AJ1280">
        <v>2</v>
      </c>
      <c r="AK1280">
        <v>18</v>
      </c>
      <c r="AM1280">
        <v>0</v>
      </c>
      <c r="AO1280" t="s">
        <v>494</v>
      </c>
      <c r="AT1280">
        <v>42</v>
      </c>
      <c r="AV1280">
        <v>66.3</v>
      </c>
      <c r="AW1280">
        <v>0.40625</v>
      </c>
      <c r="AX1280">
        <v>3.75</v>
      </c>
      <c r="AY1280">
        <v>32.75</v>
      </c>
      <c r="AZ1280">
        <v>3.5</v>
      </c>
      <c r="BA1280">
        <v>296.89999999999998</v>
      </c>
      <c r="BB1280">
        <v>4.46</v>
      </c>
      <c r="BC1280">
        <v>31</v>
      </c>
      <c r="BD1280">
        <v>0.375</v>
      </c>
      <c r="BE1280">
        <v>3.75</v>
      </c>
      <c r="BF1280">
        <v>26.625</v>
      </c>
      <c r="BG1280">
        <v>3.25</v>
      </c>
      <c r="BH1280">
        <v>242.91</v>
      </c>
      <c r="BI1280">
        <v>4.42</v>
      </c>
      <c r="BJ1280">
        <v>24</v>
      </c>
      <c r="BL1280">
        <v>539.80999999999995</v>
      </c>
      <c r="BM1280">
        <v>54</v>
      </c>
      <c r="BN1280">
        <v>319.2167</v>
      </c>
      <c r="BO1280">
        <v>1018</v>
      </c>
      <c r="BP1280">
        <v>0</v>
      </c>
      <c r="BQ1280">
        <v>36</v>
      </c>
      <c r="BR1280">
        <v>36</v>
      </c>
      <c r="BS1280">
        <v>36.340000000000003</v>
      </c>
      <c r="BT1280">
        <v>0</v>
      </c>
      <c r="BV1280">
        <v>0</v>
      </c>
      <c r="BW1280" t="s">
        <v>655</v>
      </c>
      <c r="BX1280">
        <v>0.17</v>
      </c>
      <c r="BY1280">
        <v>6.1778000000000004</v>
      </c>
      <c r="BZ1280">
        <v>0</v>
      </c>
      <c r="CA1280">
        <v>1</v>
      </c>
      <c r="CB1280">
        <v>0.6</v>
      </c>
      <c r="CC1280" s="3">
        <v>7.1269159999999998E-2</v>
      </c>
      <c r="CD1280">
        <v>2.875</v>
      </c>
      <c r="CE1280">
        <v>2.5</v>
      </c>
      <c r="CF1280">
        <v>18</v>
      </c>
      <c r="CG1280">
        <v>6</v>
      </c>
      <c r="CH1280">
        <v>0</v>
      </c>
      <c r="CI1280">
        <v>36.340000000000003</v>
      </c>
      <c r="CJ1280">
        <v>473.63189999999997</v>
      </c>
    </row>
    <row r="1281" spans="1:88">
      <c r="A1281">
        <v>1280</v>
      </c>
      <c r="B1281" t="s">
        <v>13</v>
      </c>
      <c r="C1281" t="s">
        <v>1</v>
      </c>
      <c r="D1281" t="s">
        <v>397</v>
      </c>
      <c r="E1281" t="s">
        <v>338</v>
      </c>
      <c r="F1281" t="s">
        <v>625</v>
      </c>
      <c r="G1281" t="s">
        <v>15</v>
      </c>
      <c r="H1281" t="s">
        <v>626</v>
      </c>
      <c r="J1281">
        <v>2</v>
      </c>
      <c r="K1281" t="s">
        <v>108</v>
      </c>
      <c r="L1281" t="s">
        <v>143</v>
      </c>
      <c r="M1281" t="s">
        <v>339</v>
      </c>
      <c r="N1281" t="s">
        <v>340</v>
      </c>
      <c r="O1281">
        <v>135</v>
      </c>
      <c r="Q1281">
        <v>755</v>
      </c>
      <c r="R1281">
        <v>129</v>
      </c>
      <c r="S1281">
        <v>4.25</v>
      </c>
      <c r="T1281">
        <v>3.6850000000000001</v>
      </c>
      <c r="U1281">
        <v>6.45</v>
      </c>
      <c r="V1281">
        <v>3208.83</v>
      </c>
      <c r="W1281">
        <v>834</v>
      </c>
      <c r="X1281">
        <v>1.3332999999999999</v>
      </c>
      <c r="Y1281">
        <v>640</v>
      </c>
      <c r="Z1281">
        <v>5.01</v>
      </c>
      <c r="AJ1281">
        <v>2</v>
      </c>
      <c r="AK1281">
        <v>18</v>
      </c>
      <c r="AM1281">
        <v>0</v>
      </c>
      <c r="AO1281" t="s">
        <v>450</v>
      </c>
      <c r="AT1281">
        <v>52</v>
      </c>
      <c r="AV1281">
        <v>74.3</v>
      </c>
      <c r="AW1281" t="s">
        <v>6</v>
      </c>
      <c r="AX1281" t="s">
        <v>6</v>
      </c>
      <c r="AY1281" t="s">
        <v>6</v>
      </c>
      <c r="AZ1281" t="s">
        <v>6</v>
      </c>
      <c r="BA1281" t="s">
        <v>6</v>
      </c>
      <c r="BB1281" t="s">
        <v>6</v>
      </c>
      <c r="BC1281" t="s">
        <v>6</v>
      </c>
      <c r="BD1281" t="s">
        <v>6</v>
      </c>
      <c r="BE1281" t="s">
        <v>6</v>
      </c>
      <c r="BF1281" t="s">
        <v>6</v>
      </c>
      <c r="BG1281" t="s">
        <v>6</v>
      </c>
      <c r="BH1281" t="s">
        <v>6</v>
      </c>
      <c r="BI1281" t="s">
        <v>6</v>
      </c>
      <c r="BJ1281" t="s">
        <v>6</v>
      </c>
      <c r="BN1281">
        <v>634.57209999999998</v>
      </c>
      <c r="BO1281">
        <v>2716</v>
      </c>
      <c r="BP1281">
        <v>0</v>
      </c>
      <c r="BQ1281">
        <v>46</v>
      </c>
      <c r="BR1281">
        <v>46</v>
      </c>
      <c r="BS1281">
        <v>46.08</v>
      </c>
      <c r="BT1281">
        <v>0</v>
      </c>
      <c r="BV1281">
        <v>0</v>
      </c>
      <c r="BW1281" t="s">
        <v>655</v>
      </c>
      <c r="BX1281">
        <v>0.17</v>
      </c>
      <c r="BY1281">
        <v>7.8336009999999998</v>
      </c>
      <c r="BZ1281">
        <v>0</v>
      </c>
      <c r="CA1281">
        <v>1</v>
      </c>
      <c r="CB1281">
        <v>0.6</v>
      </c>
      <c r="CC1281" s="3">
        <v>7.1269159999999998E-2</v>
      </c>
      <c r="CD1281">
        <v>2.875</v>
      </c>
      <c r="CE1281">
        <v>2.5</v>
      </c>
      <c r="CF1281">
        <v>18</v>
      </c>
      <c r="CG1281">
        <v>6</v>
      </c>
      <c r="CH1281">
        <v>0</v>
      </c>
      <c r="CI1281">
        <v>46.08</v>
      </c>
      <c r="CJ1281">
        <v>672.82650000000001</v>
      </c>
    </row>
    <row r="1282" spans="1:88">
      <c r="A1282">
        <v>1281</v>
      </c>
      <c r="B1282" t="s">
        <v>0</v>
      </c>
      <c r="C1282" t="s">
        <v>1</v>
      </c>
      <c r="D1282" t="s">
        <v>143</v>
      </c>
      <c r="E1282" t="s">
        <v>253</v>
      </c>
      <c r="F1282" t="s">
        <v>144</v>
      </c>
      <c r="G1282" t="s">
        <v>106</v>
      </c>
      <c r="H1282" t="s">
        <v>145</v>
      </c>
      <c r="J1282">
        <v>2</v>
      </c>
      <c r="K1282" t="s">
        <v>146</v>
      </c>
      <c r="L1282" t="s">
        <v>287</v>
      </c>
      <c r="M1282" t="s">
        <v>633</v>
      </c>
      <c r="N1282" t="s">
        <v>276</v>
      </c>
      <c r="O1282">
        <v>197</v>
      </c>
      <c r="Q1282">
        <v>776</v>
      </c>
      <c r="R1282">
        <v>95</v>
      </c>
      <c r="S1282">
        <v>4.25</v>
      </c>
      <c r="T1282">
        <v>5.117</v>
      </c>
      <c r="U1282">
        <v>7.35</v>
      </c>
      <c r="V1282">
        <v>3298.8</v>
      </c>
      <c r="W1282">
        <v>695</v>
      </c>
      <c r="X1282">
        <v>1.3332999999999999</v>
      </c>
      <c r="Y1282">
        <v>511</v>
      </c>
      <c r="Z1282">
        <v>6.45</v>
      </c>
      <c r="AJ1282">
        <v>2</v>
      </c>
      <c r="AK1282">
        <v>18</v>
      </c>
      <c r="AM1282">
        <v>0</v>
      </c>
      <c r="AO1282" t="s">
        <v>149</v>
      </c>
      <c r="AT1282">
        <v>74</v>
      </c>
      <c r="AV1282">
        <v>53.5</v>
      </c>
      <c r="AW1282">
        <v>0.4375</v>
      </c>
      <c r="AX1282">
        <v>3.75</v>
      </c>
      <c r="AY1282">
        <v>55.625</v>
      </c>
      <c r="AZ1282">
        <v>5.625</v>
      </c>
      <c r="BA1282">
        <v>255.72</v>
      </c>
      <c r="BB1282">
        <v>6.43</v>
      </c>
      <c r="BC1282">
        <v>56</v>
      </c>
      <c r="BD1282">
        <v>0.4375</v>
      </c>
      <c r="BE1282">
        <v>3.75</v>
      </c>
      <c r="BF1282">
        <v>55.625</v>
      </c>
      <c r="BG1282">
        <v>5.625</v>
      </c>
      <c r="BH1282">
        <v>255.72</v>
      </c>
      <c r="BI1282">
        <v>6.43</v>
      </c>
      <c r="BJ1282">
        <v>56</v>
      </c>
      <c r="BL1282">
        <v>511.44</v>
      </c>
      <c r="BM1282">
        <v>112</v>
      </c>
      <c r="BN1282">
        <v>256.80009999999999</v>
      </c>
      <c r="BO1282">
        <v>1574</v>
      </c>
      <c r="BP1282">
        <v>0</v>
      </c>
      <c r="BQ1282">
        <v>68</v>
      </c>
      <c r="BR1282">
        <v>68</v>
      </c>
      <c r="BS1282">
        <v>67.650000000000006</v>
      </c>
      <c r="BT1282">
        <v>0</v>
      </c>
      <c r="BV1282">
        <v>0</v>
      </c>
      <c r="BW1282" t="s">
        <v>655</v>
      </c>
      <c r="BX1282">
        <v>0.17</v>
      </c>
      <c r="BY1282">
        <v>11.500500000000001</v>
      </c>
      <c r="BZ1282">
        <v>0</v>
      </c>
      <c r="CA1282">
        <v>1</v>
      </c>
      <c r="CB1282">
        <v>0.6</v>
      </c>
      <c r="CC1282" s="3">
        <v>7.1269159999999998E-2</v>
      </c>
      <c r="CD1282">
        <v>2.875</v>
      </c>
      <c r="CE1282">
        <v>2.5</v>
      </c>
      <c r="CF1282">
        <v>18</v>
      </c>
      <c r="CG1282">
        <v>6</v>
      </c>
      <c r="CH1282">
        <v>0</v>
      </c>
      <c r="CI1282">
        <v>67.650000000000006</v>
      </c>
      <c r="CJ1282">
        <v>711.15030000000002</v>
      </c>
    </row>
    <row r="1283" spans="1:88">
      <c r="A1283">
        <v>1282</v>
      </c>
      <c r="B1283" t="s">
        <v>0</v>
      </c>
      <c r="C1283" t="s">
        <v>1</v>
      </c>
      <c r="D1283" t="s">
        <v>448</v>
      </c>
      <c r="E1283" t="s">
        <v>127</v>
      </c>
      <c r="F1283" t="s">
        <v>285</v>
      </c>
      <c r="G1283" t="s">
        <v>106</v>
      </c>
      <c r="H1283" t="s">
        <v>449</v>
      </c>
      <c r="J1283">
        <v>2</v>
      </c>
      <c r="K1283" t="s">
        <v>146</v>
      </c>
      <c r="L1283" t="s">
        <v>338</v>
      </c>
      <c r="M1283" t="s">
        <v>189</v>
      </c>
      <c r="N1283" t="s">
        <v>190</v>
      </c>
      <c r="O1283">
        <v>115</v>
      </c>
      <c r="Q1283">
        <v>251</v>
      </c>
      <c r="R1283">
        <v>49</v>
      </c>
      <c r="S1283">
        <v>4.25</v>
      </c>
      <c r="T1283">
        <v>3.18</v>
      </c>
      <c r="U1283">
        <v>6.22</v>
      </c>
      <c r="V1283">
        <v>1066.3599999999999</v>
      </c>
      <c r="W1283">
        <v>308</v>
      </c>
      <c r="X1283">
        <v>1.3332999999999999</v>
      </c>
      <c r="Y1283">
        <v>236</v>
      </c>
      <c r="Z1283">
        <v>4.51</v>
      </c>
      <c r="AJ1283">
        <v>2</v>
      </c>
      <c r="AK1283">
        <v>18</v>
      </c>
      <c r="AM1283">
        <v>0</v>
      </c>
      <c r="AO1283" t="s">
        <v>343</v>
      </c>
      <c r="AT1283">
        <v>45</v>
      </c>
      <c r="AV1283">
        <v>28.1</v>
      </c>
      <c r="AW1283">
        <v>0</v>
      </c>
      <c r="AX1283">
        <v>0</v>
      </c>
      <c r="AY1283">
        <v>27.375</v>
      </c>
      <c r="AZ1283">
        <v>3.375</v>
      </c>
      <c r="BA1283">
        <v>0</v>
      </c>
      <c r="BB1283">
        <v>0</v>
      </c>
      <c r="BC1283">
        <v>24</v>
      </c>
      <c r="BN1283">
        <v>131.9667</v>
      </c>
      <c r="BO1283">
        <v>5959</v>
      </c>
      <c r="BP1283">
        <v>0</v>
      </c>
      <c r="BQ1283">
        <v>39</v>
      </c>
      <c r="BR1283">
        <v>39</v>
      </c>
      <c r="BS1283">
        <v>39.130000000000003</v>
      </c>
      <c r="BT1283">
        <v>0</v>
      </c>
      <c r="BV1283">
        <v>0</v>
      </c>
      <c r="BW1283" t="s">
        <v>655</v>
      </c>
      <c r="BX1283">
        <v>0.17</v>
      </c>
      <c r="BY1283">
        <v>6.6520999999999999</v>
      </c>
      <c r="BZ1283">
        <v>0</v>
      </c>
      <c r="CA1283">
        <v>1</v>
      </c>
      <c r="CB1283">
        <v>0.6</v>
      </c>
      <c r="CC1283" s="3">
        <v>7.1269159999999998E-2</v>
      </c>
      <c r="CD1283">
        <v>2.875</v>
      </c>
      <c r="CE1283">
        <v>2.5</v>
      </c>
      <c r="CF1283">
        <v>18</v>
      </c>
      <c r="CG1283">
        <v>6</v>
      </c>
      <c r="CH1283">
        <v>0</v>
      </c>
      <c r="CI1283">
        <v>39.130000000000003</v>
      </c>
      <c r="CJ1283">
        <v>216.12909999999999</v>
      </c>
    </row>
    <row r="1284" spans="1:88">
      <c r="A1284">
        <v>1283</v>
      </c>
      <c r="B1284" t="s">
        <v>0</v>
      </c>
      <c r="C1284" t="s">
        <v>1</v>
      </c>
      <c r="D1284" t="s">
        <v>222</v>
      </c>
      <c r="E1284" t="s">
        <v>2</v>
      </c>
      <c r="F1284" t="s">
        <v>223</v>
      </c>
      <c r="G1284" t="s">
        <v>106</v>
      </c>
      <c r="H1284" t="s">
        <v>224</v>
      </c>
      <c r="J1284">
        <v>2</v>
      </c>
      <c r="K1284" t="s">
        <v>146</v>
      </c>
      <c r="L1284" t="s">
        <v>122</v>
      </c>
      <c r="M1284" t="s">
        <v>4</v>
      </c>
      <c r="N1284" t="s">
        <v>5</v>
      </c>
      <c r="O1284">
        <v>107</v>
      </c>
      <c r="Q1284">
        <v>220</v>
      </c>
      <c r="R1284">
        <v>47</v>
      </c>
      <c r="S1284">
        <v>4.25</v>
      </c>
      <c r="T1284">
        <v>2.9710000000000001</v>
      </c>
      <c r="U1284">
        <v>6.07</v>
      </c>
      <c r="V1284">
        <v>936.06</v>
      </c>
      <c r="W1284">
        <v>283</v>
      </c>
      <c r="X1284">
        <v>1.3332999999999999</v>
      </c>
      <c r="Y1284">
        <v>218</v>
      </c>
      <c r="Z1284">
        <v>4.3</v>
      </c>
      <c r="AJ1284">
        <v>2</v>
      </c>
      <c r="AK1284">
        <v>18</v>
      </c>
      <c r="AM1284">
        <v>0</v>
      </c>
      <c r="AO1284" t="s">
        <v>225</v>
      </c>
      <c r="AT1284">
        <v>42</v>
      </c>
      <c r="AV1284">
        <v>26.3</v>
      </c>
      <c r="AW1284">
        <v>0</v>
      </c>
      <c r="AX1284">
        <v>0</v>
      </c>
      <c r="AY1284">
        <v>29.75</v>
      </c>
      <c r="AZ1284">
        <v>3.25</v>
      </c>
      <c r="BA1284">
        <v>0</v>
      </c>
      <c r="BB1284">
        <v>0</v>
      </c>
      <c r="BC1284">
        <v>26</v>
      </c>
      <c r="BN1284">
        <v>123.05</v>
      </c>
      <c r="BO1284">
        <v>6853</v>
      </c>
      <c r="BP1284">
        <v>0</v>
      </c>
      <c r="BQ1284">
        <v>36</v>
      </c>
      <c r="BR1284">
        <v>36</v>
      </c>
      <c r="BS1284">
        <v>36.340000000000003</v>
      </c>
      <c r="BT1284">
        <v>0</v>
      </c>
      <c r="BV1284">
        <v>0</v>
      </c>
      <c r="BW1284" t="s">
        <v>655</v>
      </c>
      <c r="BX1284">
        <v>0.17</v>
      </c>
      <c r="BY1284">
        <v>6.1778000000000004</v>
      </c>
      <c r="BZ1284">
        <v>0</v>
      </c>
      <c r="CA1284">
        <v>1</v>
      </c>
      <c r="CB1284">
        <v>0.6</v>
      </c>
      <c r="CC1284" s="3">
        <v>7.1269159999999998E-2</v>
      </c>
      <c r="CD1284">
        <v>2.875</v>
      </c>
      <c r="CE1284">
        <v>2.5</v>
      </c>
      <c r="CF1284">
        <v>18</v>
      </c>
      <c r="CG1284">
        <v>6</v>
      </c>
      <c r="CH1284">
        <v>0</v>
      </c>
      <c r="CI1284">
        <v>36.340000000000003</v>
      </c>
      <c r="CJ1284">
        <v>187.76929999999999</v>
      </c>
    </row>
    <row r="1285" spans="1:88">
      <c r="A1285">
        <v>1284</v>
      </c>
      <c r="B1285" t="s">
        <v>0</v>
      </c>
      <c r="C1285" t="s">
        <v>1</v>
      </c>
      <c r="D1285" t="s">
        <v>338</v>
      </c>
      <c r="E1285" t="s">
        <v>130</v>
      </c>
      <c r="F1285" t="s">
        <v>360</v>
      </c>
      <c r="G1285" t="s">
        <v>106</v>
      </c>
      <c r="H1285" t="s">
        <v>101</v>
      </c>
      <c r="J1285">
        <v>2</v>
      </c>
      <c r="K1285" t="s">
        <v>146</v>
      </c>
      <c r="L1285" t="s">
        <v>101</v>
      </c>
      <c r="M1285" t="s">
        <v>134</v>
      </c>
      <c r="N1285" t="s">
        <v>399</v>
      </c>
      <c r="O1285">
        <v>114</v>
      </c>
      <c r="Q1285">
        <v>405</v>
      </c>
      <c r="R1285">
        <v>83</v>
      </c>
      <c r="S1285">
        <v>4.25</v>
      </c>
      <c r="T1285">
        <v>3.1539999999999999</v>
      </c>
      <c r="U1285">
        <v>6.18</v>
      </c>
      <c r="V1285">
        <v>1722.31</v>
      </c>
      <c r="W1285">
        <v>514</v>
      </c>
      <c r="X1285">
        <v>1.3332999999999999</v>
      </c>
      <c r="Y1285">
        <v>384</v>
      </c>
      <c r="Z1285">
        <v>4.4800000000000004</v>
      </c>
      <c r="AJ1285">
        <v>2</v>
      </c>
      <c r="AK1285">
        <v>18</v>
      </c>
      <c r="AM1285">
        <v>0</v>
      </c>
      <c r="AO1285" t="s">
        <v>403</v>
      </c>
      <c r="AT1285">
        <v>45</v>
      </c>
      <c r="AV1285">
        <v>46.2</v>
      </c>
      <c r="AW1285">
        <v>0</v>
      </c>
      <c r="AX1285">
        <v>0</v>
      </c>
      <c r="AY1285">
        <v>52.75</v>
      </c>
      <c r="AZ1285">
        <v>4.25</v>
      </c>
      <c r="BA1285">
        <v>0</v>
      </c>
      <c r="BB1285">
        <v>0</v>
      </c>
      <c r="BC1285">
        <v>57</v>
      </c>
      <c r="BN1285">
        <v>221.13339999999999</v>
      </c>
      <c r="BO1285">
        <v>2122</v>
      </c>
      <c r="BP1285">
        <v>0</v>
      </c>
      <c r="BQ1285">
        <v>39</v>
      </c>
      <c r="BR1285">
        <v>39</v>
      </c>
      <c r="BS1285">
        <v>38.78</v>
      </c>
      <c r="BT1285">
        <v>0</v>
      </c>
      <c r="BV1285">
        <v>0</v>
      </c>
      <c r="BW1285" t="s">
        <v>655</v>
      </c>
      <c r="BX1285">
        <v>0.17</v>
      </c>
      <c r="BY1285">
        <v>6.5926</v>
      </c>
      <c r="BZ1285">
        <v>0</v>
      </c>
      <c r="CA1285">
        <v>1</v>
      </c>
      <c r="CB1285">
        <v>0.6</v>
      </c>
      <c r="CC1285" s="3">
        <v>7.1269159999999998E-2</v>
      </c>
      <c r="CD1285">
        <v>2.875</v>
      </c>
      <c r="CE1285">
        <v>2.5</v>
      </c>
      <c r="CF1285">
        <v>18</v>
      </c>
      <c r="CG1285">
        <v>6</v>
      </c>
      <c r="CH1285">
        <v>0</v>
      </c>
      <c r="CI1285">
        <v>38.78</v>
      </c>
      <c r="CJ1285">
        <v>352.38679999999999</v>
      </c>
    </row>
    <row r="1286" spans="1:88">
      <c r="A1286">
        <v>1285</v>
      </c>
      <c r="B1286" t="s">
        <v>13</v>
      </c>
      <c r="C1286" t="s">
        <v>1</v>
      </c>
      <c r="D1286" t="s">
        <v>457</v>
      </c>
      <c r="E1286" t="s">
        <v>176</v>
      </c>
      <c r="F1286" t="s">
        <v>523</v>
      </c>
      <c r="G1286" t="s">
        <v>106</v>
      </c>
      <c r="H1286" t="s">
        <v>524</v>
      </c>
      <c r="J1286">
        <v>2</v>
      </c>
      <c r="K1286" t="s">
        <v>108</v>
      </c>
      <c r="L1286" t="s">
        <v>167</v>
      </c>
      <c r="M1286" t="s">
        <v>226</v>
      </c>
      <c r="N1286" t="s">
        <v>227</v>
      </c>
      <c r="O1286">
        <v>113</v>
      </c>
      <c r="Q1286">
        <v>574</v>
      </c>
      <c r="R1286">
        <v>115</v>
      </c>
      <c r="S1286">
        <v>4.25</v>
      </c>
      <c r="T1286">
        <v>3.1280000000000001</v>
      </c>
      <c r="U1286">
        <v>6.18</v>
      </c>
      <c r="V1286">
        <v>2438.56</v>
      </c>
      <c r="W1286">
        <v>713</v>
      </c>
      <c r="X1286">
        <v>1.3332999999999999</v>
      </c>
      <c r="Y1286">
        <v>547</v>
      </c>
      <c r="Z1286">
        <v>4.46</v>
      </c>
      <c r="AJ1286">
        <v>2</v>
      </c>
      <c r="AK1286">
        <v>18</v>
      </c>
      <c r="AM1286">
        <v>0</v>
      </c>
      <c r="AO1286" t="s">
        <v>494</v>
      </c>
      <c r="AT1286">
        <v>45</v>
      </c>
      <c r="AV1286">
        <v>66.3</v>
      </c>
      <c r="AW1286">
        <v>0.46875</v>
      </c>
      <c r="AX1286">
        <v>3.75</v>
      </c>
      <c r="AY1286">
        <v>45.875</v>
      </c>
      <c r="AZ1286">
        <v>4.125</v>
      </c>
      <c r="BA1286">
        <v>441.88</v>
      </c>
      <c r="BB1286">
        <v>4.46</v>
      </c>
      <c r="BC1286">
        <v>49</v>
      </c>
      <c r="BD1286">
        <v>0.3125</v>
      </c>
      <c r="BE1286">
        <v>2.75</v>
      </c>
      <c r="BF1286">
        <v>34.25</v>
      </c>
      <c r="BG1286">
        <v>2.75</v>
      </c>
      <c r="BH1286">
        <v>104.88</v>
      </c>
      <c r="BI1286">
        <v>6.09</v>
      </c>
      <c r="BJ1286">
        <v>18</v>
      </c>
      <c r="BL1286">
        <v>546.76</v>
      </c>
      <c r="BM1286">
        <v>67</v>
      </c>
      <c r="BN1286">
        <v>319.2167</v>
      </c>
      <c r="BO1286">
        <v>1018</v>
      </c>
      <c r="BP1286">
        <v>0</v>
      </c>
      <c r="BQ1286">
        <v>38</v>
      </c>
      <c r="BR1286">
        <v>38</v>
      </c>
      <c r="BS1286">
        <v>38.43</v>
      </c>
      <c r="BT1286">
        <v>0</v>
      </c>
      <c r="BV1286">
        <v>0</v>
      </c>
      <c r="BW1286" t="s">
        <v>655</v>
      </c>
      <c r="BX1286">
        <v>0.17</v>
      </c>
      <c r="BY1286">
        <v>6.5331000000000001</v>
      </c>
      <c r="BZ1286">
        <v>0</v>
      </c>
      <c r="CA1286">
        <v>1</v>
      </c>
      <c r="CB1286">
        <v>0.6</v>
      </c>
      <c r="CC1286" s="3">
        <v>7.1269159999999998E-2</v>
      </c>
      <c r="CD1286">
        <v>2.875</v>
      </c>
      <c r="CE1286">
        <v>2.5</v>
      </c>
      <c r="CF1286">
        <v>18</v>
      </c>
      <c r="CG1286">
        <v>6</v>
      </c>
      <c r="CH1286">
        <v>0</v>
      </c>
      <c r="CI1286">
        <v>38.43</v>
      </c>
      <c r="CJ1286">
        <v>500.87150000000003</v>
      </c>
    </row>
    <row r="1287" spans="1:88">
      <c r="A1287">
        <v>1286</v>
      </c>
      <c r="B1287" t="s">
        <v>0</v>
      </c>
      <c r="C1287" t="s">
        <v>1</v>
      </c>
      <c r="D1287" t="s">
        <v>143</v>
      </c>
      <c r="E1287" t="s">
        <v>130</v>
      </c>
      <c r="F1287" t="s">
        <v>144</v>
      </c>
      <c r="G1287" t="s">
        <v>106</v>
      </c>
      <c r="H1287" t="s">
        <v>145</v>
      </c>
      <c r="J1287">
        <v>2</v>
      </c>
      <c r="K1287" t="s">
        <v>146</v>
      </c>
      <c r="L1287" t="s">
        <v>101</v>
      </c>
      <c r="M1287" t="s">
        <v>134</v>
      </c>
      <c r="N1287" t="s">
        <v>399</v>
      </c>
      <c r="O1287">
        <v>114</v>
      </c>
      <c r="Q1287">
        <v>468</v>
      </c>
      <c r="R1287">
        <v>95</v>
      </c>
      <c r="S1287">
        <v>4.25</v>
      </c>
      <c r="T1287">
        <v>3.1539999999999999</v>
      </c>
      <c r="U1287">
        <v>6.18</v>
      </c>
      <c r="V1287">
        <v>1988.1</v>
      </c>
      <c r="W1287">
        <v>585</v>
      </c>
      <c r="X1287">
        <v>1.3332999999999999</v>
      </c>
      <c r="Y1287">
        <v>444</v>
      </c>
      <c r="Z1287">
        <v>4.4800000000000004</v>
      </c>
      <c r="AJ1287">
        <v>2</v>
      </c>
      <c r="AK1287">
        <v>18</v>
      </c>
      <c r="AM1287">
        <v>0</v>
      </c>
      <c r="AO1287" t="s">
        <v>149</v>
      </c>
      <c r="AT1287">
        <v>45</v>
      </c>
      <c r="AV1287">
        <v>53.5</v>
      </c>
      <c r="AW1287">
        <v>0</v>
      </c>
      <c r="AX1287">
        <v>0</v>
      </c>
      <c r="AY1287">
        <v>45.625</v>
      </c>
      <c r="AZ1287">
        <v>4.25</v>
      </c>
      <c r="BA1287">
        <v>0</v>
      </c>
      <c r="BB1287">
        <v>0</v>
      </c>
      <c r="BC1287">
        <v>49</v>
      </c>
      <c r="BN1287">
        <v>256.80009999999999</v>
      </c>
      <c r="BO1287">
        <v>1574</v>
      </c>
      <c r="BP1287">
        <v>0</v>
      </c>
      <c r="BQ1287">
        <v>39</v>
      </c>
      <c r="BR1287">
        <v>39</v>
      </c>
      <c r="BS1287">
        <v>38.78</v>
      </c>
      <c r="BT1287">
        <v>0</v>
      </c>
      <c r="BV1287">
        <v>0</v>
      </c>
      <c r="BW1287" t="s">
        <v>655</v>
      </c>
      <c r="BX1287">
        <v>0.17</v>
      </c>
      <c r="BY1287">
        <v>6.5926</v>
      </c>
      <c r="BZ1287">
        <v>0</v>
      </c>
      <c r="CA1287">
        <v>1</v>
      </c>
      <c r="CB1287">
        <v>0.6</v>
      </c>
      <c r="CC1287" s="3">
        <v>7.1269159999999998E-2</v>
      </c>
      <c r="CD1287">
        <v>2.875</v>
      </c>
      <c r="CE1287">
        <v>2.5</v>
      </c>
      <c r="CF1287">
        <v>18</v>
      </c>
      <c r="CG1287">
        <v>6</v>
      </c>
      <c r="CH1287">
        <v>0</v>
      </c>
      <c r="CI1287">
        <v>38.78</v>
      </c>
      <c r="CJ1287">
        <v>407.66309999999999</v>
      </c>
    </row>
    <row r="1288" spans="1:88">
      <c r="A1288">
        <v>1287</v>
      </c>
      <c r="B1288" t="s">
        <v>13</v>
      </c>
      <c r="C1288" t="s">
        <v>1</v>
      </c>
      <c r="D1288" t="s">
        <v>176</v>
      </c>
      <c r="E1288" t="s">
        <v>139</v>
      </c>
      <c r="F1288" t="s">
        <v>134</v>
      </c>
      <c r="G1288" t="s">
        <v>106</v>
      </c>
      <c r="H1288" t="s">
        <v>177</v>
      </c>
      <c r="J1288">
        <v>2</v>
      </c>
      <c r="K1288" t="s">
        <v>146</v>
      </c>
      <c r="L1288" t="s">
        <v>158</v>
      </c>
      <c r="M1288" t="s">
        <v>385</v>
      </c>
      <c r="N1288" t="s">
        <v>177</v>
      </c>
      <c r="O1288">
        <v>109</v>
      </c>
      <c r="Q1288">
        <v>323</v>
      </c>
      <c r="R1288">
        <v>71</v>
      </c>
      <c r="S1288">
        <v>4.25</v>
      </c>
      <c r="T1288">
        <v>3.024</v>
      </c>
      <c r="U1288">
        <v>6.11</v>
      </c>
      <c r="V1288">
        <v>1373.09</v>
      </c>
      <c r="W1288">
        <v>431</v>
      </c>
      <c r="X1288">
        <v>1.3332999999999999</v>
      </c>
      <c r="Y1288">
        <v>316</v>
      </c>
      <c r="Z1288">
        <v>4.3499999999999996</v>
      </c>
      <c r="AJ1288">
        <v>2</v>
      </c>
      <c r="AK1288">
        <v>18</v>
      </c>
      <c r="AM1288">
        <v>0</v>
      </c>
      <c r="AO1288" t="s">
        <v>152</v>
      </c>
      <c r="AT1288">
        <v>43</v>
      </c>
      <c r="AV1288">
        <v>38.200000000000003</v>
      </c>
      <c r="AW1288">
        <v>0</v>
      </c>
      <c r="AX1288">
        <v>0</v>
      </c>
      <c r="AY1288">
        <v>45.125</v>
      </c>
      <c r="AZ1288">
        <v>3.75</v>
      </c>
      <c r="BA1288">
        <v>0</v>
      </c>
      <c r="BB1288">
        <v>0</v>
      </c>
      <c r="BC1288">
        <v>46</v>
      </c>
      <c r="BN1288">
        <v>181.9</v>
      </c>
      <c r="BO1288">
        <v>3136</v>
      </c>
      <c r="BP1288">
        <v>0</v>
      </c>
      <c r="BQ1288">
        <v>37</v>
      </c>
      <c r="BR1288">
        <v>37</v>
      </c>
      <c r="BS1288">
        <v>37.04</v>
      </c>
      <c r="BT1288">
        <v>0</v>
      </c>
      <c r="BV1288">
        <v>0</v>
      </c>
      <c r="BW1288" t="s">
        <v>655</v>
      </c>
      <c r="BX1288">
        <v>0.17</v>
      </c>
      <c r="BY1288">
        <v>6.2968000000000002</v>
      </c>
      <c r="BZ1288">
        <v>0</v>
      </c>
      <c r="CA1288">
        <v>1</v>
      </c>
      <c r="CB1288">
        <v>0.6</v>
      </c>
      <c r="CC1288" s="3">
        <v>7.1269159999999998E-2</v>
      </c>
      <c r="CD1288">
        <v>2.875</v>
      </c>
      <c r="CE1288">
        <v>2.5</v>
      </c>
      <c r="CF1288">
        <v>18</v>
      </c>
      <c r="CG1288">
        <v>6</v>
      </c>
      <c r="CH1288">
        <v>0</v>
      </c>
      <c r="CI1288">
        <v>37.04</v>
      </c>
      <c r="CJ1288">
        <v>278.49990000000003</v>
      </c>
    </row>
    <row r="1289" spans="1:88">
      <c r="A1289">
        <v>1288</v>
      </c>
      <c r="B1289" t="s">
        <v>0</v>
      </c>
      <c r="C1289" t="s">
        <v>1</v>
      </c>
      <c r="D1289" t="s">
        <v>181</v>
      </c>
      <c r="E1289" t="s">
        <v>103</v>
      </c>
      <c r="F1289" t="s">
        <v>182</v>
      </c>
      <c r="G1289" t="s">
        <v>106</v>
      </c>
      <c r="H1289" t="s">
        <v>183</v>
      </c>
      <c r="J1289">
        <v>2</v>
      </c>
      <c r="K1289" t="s">
        <v>108</v>
      </c>
      <c r="L1289" t="s">
        <v>455</v>
      </c>
      <c r="M1289" t="s">
        <v>315</v>
      </c>
      <c r="N1289" t="s">
        <v>316</v>
      </c>
      <c r="O1289">
        <v>167</v>
      </c>
      <c r="Q1289">
        <v>693</v>
      </c>
      <c r="R1289">
        <v>98</v>
      </c>
      <c r="S1289">
        <v>4.25</v>
      </c>
      <c r="T1289">
        <v>4.4459999999999997</v>
      </c>
      <c r="U1289">
        <v>6.86</v>
      </c>
      <c r="V1289">
        <v>2945.12</v>
      </c>
      <c r="W1289">
        <v>674</v>
      </c>
      <c r="X1289">
        <v>1.3332999999999999</v>
      </c>
      <c r="Y1289">
        <v>510</v>
      </c>
      <c r="Z1289">
        <v>5.77</v>
      </c>
      <c r="AJ1289">
        <v>2</v>
      </c>
      <c r="AK1289">
        <v>18</v>
      </c>
      <c r="AM1289">
        <v>0</v>
      </c>
      <c r="AO1289" t="s">
        <v>186</v>
      </c>
      <c r="AT1289">
        <v>63</v>
      </c>
      <c r="AV1289">
        <v>55.8</v>
      </c>
      <c r="AW1289">
        <v>0.4375</v>
      </c>
      <c r="AX1289">
        <v>3.75</v>
      </c>
      <c r="AY1289">
        <v>50.625</v>
      </c>
      <c r="AZ1289">
        <v>5</v>
      </c>
      <c r="BA1289">
        <v>280.72000000000003</v>
      </c>
      <c r="BB1289">
        <v>5.86</v>
      </c>
      <c r="BC1289">
        <v>51</v>
      </c>
      <c r="BD1289">
        <v>0.40625</v>
      </c>
      <c r="BE1289">
        <v>3.75</v>
      </c>
      <c r="BF1289">
        <v>42.375</v>
      </c>
      <c r="BG1289">
        <v>4.625</v>
      </c>
      <c r="BH1289">
        <v>229.69</v>
      </c>
      <c r="BI1289">
        <v>5.76</v>
      </c>
      <c r="BJ1289">
        <v>40</v>
      </c>
      <c r="BL1289">
        <v>510.41</v>
      </c>
      <c r="BM1289">
        <v>91</v>
      </c>
      <c r="BN1289">
        <v>267.5</v>
      </c>
      <c r="BO1289">
        <v>1450</v>
      </c>
      <c r="BP1289">
        <v>0</v>
      </c>
      <c r="BQ1289">
        <v>57</v>
      </c>
      <c r="BR1289">
        <v>57</v>
      </c>
      <c r="BS1289">
        <v>57.21</v>
      </c>
      <c r="BT1289">
        <v>0</v>
      </c>
      <c r="BV1289">
        <v>0</v>
      </c>
      <c r="BW1289" t="s">
        <v>655</v>
      </c>
      <c r="BX1289">
        <v>0.17</v>
      </c>
      <c r="BY1289">
        <v>9.7257010000000008</v>
      </c>
      <c r="BZ1289">
        <v>0</v>
      </c>
      <c r="CA1289">
        <v>1</v>
      </c>
      <c r="CB1289">
        <v>0.6</v>
      </c>
      <c r="CC1289" s="3">
        <v>7.1269159999999998E-2</v>
      </c>
      <c r="CD1289">
        <v>2.875</v>
      </c>
      <c r="CE1289">
        <v>2.5</v>
      </c>
      <c r="CF1289">
        <v>18</v>
      </c>
      <c r="CG1289">
        <v>6</v>
      </c>
      <c r="CH1289">
        <v>0</v>
      </c>
      <c r="CI1289">
        <v>57.21</v>
      </c>
      <c r="CJ1289">
        <v>627.39580000000001</v>
      </c>
    </row>
    <row r="1290" spans="1:88">
      <c r="A1290">
        <v>1289</v>
      </c>
      <c r="B1290" t="s">
        <v>0</v>
      </c>
      <c r="C1290" t="s">
        <v>1</v>
      </c>
      <c r="D1290" t="s">
        <v>596</v>
      </c>
      <c r="E1290" t="s">
        <v>8</v>
      </c>
      <c r="F1290" t="s">
        <v>644</v>
      </c>
      <c r="G1290" t="s">
        <v>20</v>
      </c>
      <c r="H1290" t="s">
        <v>596</v>
      </c>
      <c r="J1290">
        <v>2</v>
      </c>
      <c r="K1290" t="s">
        <v>9</v>
      </c>
      <c r="L1290" t="s">
        <v>10</v>
      </c>
      <c r="M1290" t="s">
        <v>11</v>
      </c>
      <c r="N1290" t="s">
        <v>12</v>
      </c>
      <c r="O1290">
        <v>203</v>
      </c>
      <c r="Q1290">
        <v>1341</v>
      </c>
      <c r="R1290">
        <v>171</v>
      </c>
      <c r="S1290">
        <v>4.25</v>
      </c>
      <c r="T1290">
        <v>5.2460000000000004</v>
      </c>
      <c r="U1290">
        <v>7.35</v>
      </c>
      <c r="V1290">
        <v>5700.44</v>
      </c>
      <c r="W1290">
        <v>1254</v>
      </c>
      <c r="X1290">
        <v>1.5</v>
      </c>
      <c r="Y1290">
        <v>846</v>
      </c>
      <c r="Z1290">
        <v>6.74</v>
      </c>
      <c r="AJ1290">
        <v>2</v>
      </c>
      <c r="AK1290">
        <v>18</v>
      </c>
      <c r="AM1290">
        <v>0</v>
      </c>
      <c r="AO1290" t="s">
        <v>645</v>
      </c>
      <c r="AT1290">
        <v>76</v>
      </c>
      <c r="AV1290">
        <v>89.9</v>
      </c>
      <c r="AW1290" t="s">
        <v>6</v>
      </c>
      <c r="AX1290" t="s">
        <v>6</v>
      </c>
      <c r="AY1290" t="s">
        <v>6</v>
      </c>
      <c r="AZ1290" t="s">
        <v>6</v>
      </c>
      <c r="BA1290" t="s">
        <v>6</v>
      </c>
      <c r="BB1290" t="s">
        <v>6</v>
      </c>
      <c r="BC1290" t="s">
        <v>6</v>
      </c>
      <c r="BD1290" t="s">
        <v>6</v>
      </c>
      <c r="BE1290" t="s">
        <v>6</v>
      </c>
      <c r="BF1290" t="s">
        <v>6</v>
      </c>
      <c r="BG1290" t="s">
        <v>6</v>
      </c>
      <c r="BH1290" t="s">
        <v>6</v>
      </c>
      <c r="BI1290" t="s">
        <v>6</v>
      </c>
      <c r="BJ1290" t="s">
        <v>6</v>
      </c>
      <c r="BN1290">
        <v>675.01580000000001</v>
      </c>
      <c r="BO1290">
        <v>2628</v>
      </c>
      <c r="BP1290">
        <v>0</v>
      </c>
      <c r="BQ1290">
        <v>70</v>
      </c>
      <c r="BR1290">
        <v>70</v>
      </c>
      <c r="BS1290">
        <v>69.730009999999993</v>
      </c>
      <c r="BT1290">
        <v>0</v>
      </c>
      <c r="BV1290">
        <v>6</v>
      </c>
      <c r="BW1290" t="s">
        <v>655</v>
      </c>
      <c r="BX1290">
        <v>0.27933340000000001</v>
      </c>
      <c r="BY1290">
        <v>19.477920000000001</v>
      </c>
      <c r="BZ1290">
        <v>0</v>
      </c>
      <c r="CA1290">
        <v>1</v>
      </c>
      <c r="CB1290">
        <v>0.6</v>
      </c>
      <c r="CC1290" s="3">
        <v>7.1269159999999998E-2</v>
      </c>
      <c r="CD1290">
        <v>2.875</v>
      </c>
      <c r="CE1290">
        <v>2.5</v>
      </c>
      <c r="CF1290">
        <v>18</v>
      </c>
      <c r="CG1290">
        <v>6</v>
      </c>
      <c r="CH1290">
        <v>0</v>
      </c>
      <c r="CI1290">
        <v>69.730009999999993</v>
      </c>
      <c r="CJ1290">
        <v>1231.8389999999999</v>
      </c>
    </row>
    <row r="1291" spans="1:88">
      <c r="A1291">
        <v>1290</v>
      </c>
      <c r="B1291" t="s">
        <v>13</v>
      </c>
      <c r="C1291" t="s">
        <v>1</v>
      </c>
      <c r="D1291" t="s">
        <v>133</v>
      </c>
      <c r="E1291" t="s">
        <v>133</v>
      </c>
      <c r="F1291" t="s">
        <v>298</v>
      </c>
      <c r="G1291" t="s">
        <v>106</v>
      </c>
      <c r="H1291" t="s">
        <v>257</v>
      </c>
      <c r="J1291">
        <v>2</v>
      </c>
      <c r="K1291" t="s">
        <v>146</v>
      </c>
      <c r="L1291" t="s">
        <v>353</v>
      </c>
      <c r="M1291" t="s">
        <v>194</v>
      </c>
      <c r="N1291" t="s">
        <v>195</v>
      </c>
      <c r="O1291">
        <v>143</v>
      </c>
      <c r="Q1291">
        <v>529</v>
      </c>
      <c r="R1291">
        <v>88</v>
      </c>
      <c r="S1291">
        <v>4.25</v>
      </c>
      <c r="T1291">
        <v>3.88</v>
      </c>
      <c r="U1291">
        <v>6.6</v>
      </c>
      <c r="V1291">
        <v>2249.61</v>
      </c>
      <c r="W1291">
        <v>579</v>
      </c>
      <c r="X1291">
        <v>1.3332999999999999</v>
      </c>
      <c r="Y1291">
        <v>432</v>
      </c>
      <c r="Z1291">
        <v>5.21</v>
      </c>
      <c r="AJ1291">
        <v>2</v>
      </c>
      <c r="AK1291">
        <v>18</v>
      </c>
      <c r="AM1291">
        <v>0</v>
      </c>
      <c r="AO1291" t="s">
        <v>301</v>
      </c>
      <c r="AT1291">
        <v>55</v>
      </c>
      <c r="AV1291">
        <v>49.1</v>
      </c>
      <c r="AW1291">
        <v>0.46875</v>
      </c>
      <c r="AX1291">
        <v>3.75</v>
      </c>
      <c r="AY1291">
        <v>53.625</v>
      </c>
      <c r="AZ1291">
        <v>4.875</v>
      </c>
      <c r="BA1291">
        <v>378.27</v>
      </c>
      <c r="BB1291">
        <v>5.21</v>
      </c>
      <c r="BC1291">
        <v>58</v>
      </c>
      <c r="BD1291">
        <v>0.25</v>
      </c>
      <c r="BE1291">
        <v>2.75</v>
      </c>
      <c r="BF1291">
        <v>21.5</v>
      </c>
      <c r="BG1291">
        <v>2.625</v>
      </c>
      <c r="BH1291">
        <v>53.51</v>
      </c>
      <c r="BI1291">
        <v>6.41</v>
      </c>
      <c r="BJ1291">
        <v>9</v>
      </c>
      <c r="BL1291">
        <v>431.78</v>
      </c>
      <c r="BM1291">
        <v>66</v>
      </c>
      <c r="BN1291">
        <v>235.40010000000001</v>
      </c>
      <c r="BO1291">
        <v>1873</v>
      </c>
      <c r="BP1291">
        <v>0</v>
      </c>
      <c r="BQ1291">
        <v>49</v>
      </c>
      <c r="BR1291">
        <v>49</v>
      </c>
      <c r="BS1291">
        <v>48.86</v>
      </c>
      <c r="BT1291">
        <v>0</v>
      </c>
      <c r="BV1291">
        <v>0</v>
      </c>
      <c r="BW1291" t="s">
        <v>655</v>
      </c>
      <c r="BX1291">
        <v>0.17</v>
      </c>
      <c r="BY1291">
        <v>8.3062000000000005</v>
      </c>
      <c r="BZ1291">
        <v>0</v>
      </c>
      <c r="CA1291">
        <v>1</v>
      </c>
      <c r="CB1291">
        <v>0.6</v>
      </c>
      <c r="CC1291" s="3">
        <v>7.1269159999999998E-2</v>
      </c>
      <c r="CD1291">
        <v>2.875</v>
      </c>
      <c r="CE1291">
        <v>2.5</v>
      </c>
      <c r="CF1291">
        <v>18</v>
      </c>
      <c r="CG1291">
        <v>6</v>
      </c>
      <c r="CH1291">
        <v>0</v>
      </c>
      <c r="CI1291">
        <v>48.86</v>
      </c>
      <c r="CJ1291">
        <v>471.83960000000002</v>
      </c>
    </row>
    <row r="1292" spans="1:88">
      <c r="A1292">
        <v>1291</v>
      </c>
      <c r="B1292" t="s">
        <v>0</v>
      </c>
      <c r="C1292" t="s">
        <v>1</v>
      </c>
      <c r="D1292" t="s">
        <v>344</v>
      </c>
      <c r="E1292" t="s">
        <v>139</v>
      </c>
      <c r="F1292" t="s">
        <v>499</v>
      </c>
      <c r="G1292" t="s">
        <v>106</v>
      </c>
      <c r="H1292" t="s">
        <v>462</v>
      </c>
      <c r="J1292">
        <v>2</v>
      </c>
      <c r="K1292" t="s">
        <v>146</v>
      </c>
      <c r="L1292" t="s">
        <v>158</v>
      </c>
      <c r="M1292" t="s">
        <v>385</v>
      </c>
      <c r="N1292" t="s">
        <v>177</v>
      </c>
      <c r="O1292">
        <v>109</v>
      </c>
      <c r="Q1292">
        <v>230</v>
      </c>
      <c r="R1292">
        <v>48</v>
      </c>
      <c r="S1292">
        <v>4.25</v>
      </c>
      <c r="T1292">
        <v>3.024</v>
      </c>
      <c r="U1292">
        <v>6.11</v>
      </c>
      <c r="V1292">
        <v>977.5</v>
      </c>
      <c r="W1292">
        <v>292</v>
      </c>
      <c r="X1292">
        <v>1.3332999999999999</v>
      </c>
      <c r="Y1292">
        <v>225</v>
      </c>
      <c r="Z1292">
        <v>4.3499999999999996</v>
      </c>
      <c r="AJ1292">
        <v>2</v>
      </c>
      <c r="AK1292">
        <v>18</v>
      </c>
      <c r="AM1292">
        <v>0</v>
      </c>
      <c r="AO1292" t="s">
        <v>223</v>
      </c>
      <c r="AT1292">
        <v>43</v>
      </c>
      <c r="AV1292">
        <v>27</v>
      </c>
      <c r="AW1292">
        <v>0</v>
      </c>
      <c r="AX1292">
        <v>0</v>
      </c>
      <c r="AY1292">
        <v>28.75</v>
      </c>
      <c r="AZ1292">
        <v>3.25</v>
      </c>
      <c r="BA1292">
        <v>0</v>
      </c>
      <c r="BB1292">
        <v>0</v>
      </c>
      <c r="BC1292">
        <v>25</v>
      </c>
      <c r="BN1292">
        <v>126.61669999999999</v>
      </c>
      <c r="BO1292">
        <v>6473</v>
      </c>
      <c r="BP1292">
        <v>0</v>
      </c>
      <c r="BQ1292">
        <v>37</v>
      </c>
      <c r="BR1292">
        <v>37</v>
      </c>
      <c r="BS1292">
        <v>37.04</v>
      </c>
      <c r="BT1292">
        <v>0</v>
      </c>
      <c r="BV1292">
        <v>0</v>
      </c>
      <c r="BW1292" t="s">
        <v>655</v>
      </c>
      <c r="BX1292">
        <v>0.17</v>
      </c>
      <c r="BY1292">
        <v>6.2968000000000002</v>
      </c>
      <c r="BZ1292">
        <v>0</v>
      </c>
      <c r="CA1292">
        <v>1</v>
      </c>
      <c r="CB1292">
        <v>0.6</v>
      </c>
      <c r="CC1292" s="3">
        <v>7.1269159999999998E-2</v>
      </c>
      <c r="CD1292">
        <v>2.875</v>
      </c>
      <c r="CE1292">
        <v>2.5</v>
      </c>
      <c r="CF1292">
        <v>18</v>
      </c>
      <c r="CG1292">
        <v>6</v>
      </c>
      <c r="CH1292">
        <v>0</v>
      </c>
      <c r="CI1292">
        <v>37.04</v>
      </c>
      <c r="CJ1292">
        <v>196.66579999999999</v>
      </c>
    </row>
    <row r="1293" spans="1:88">
      <c r="A1293">
        <v>1292</v>
      </c>
      <c r="B1293" t="s">
        <v>0</v>
      </c>
      <c r="C1293" t="s">
        <v>1</v>
      </c>
      <c r="D1293" t="s">
        <v>197</v>
      </c>
      <c r="E1293" t="s">
        <v>197</v>
      </c>
      <c r="F1293" t="s">
        <v>390</v>
      </c>
      <c r="G1293" t="s">
        <v>106</v>
      </c>
      <c r="H1293" t="s">
        <v>391</v>
      </c>
      <c r="J1293">
        <v>2</v>
      </c>
      <c r="K1293" t="s">
        <v>108</v>
      </c>
      <c r="L1293" t="s">
        <v>199</v>
      </c>
      <c r="M1293" t="s">
        <v>200</v>
      </c>
      <c r="N1293" t="s">
        <v>201</v>
      </c>
      <c r="O1293">
        <v>173</v>
      </c>
      <c r="Q1293">
        <v>771</v>
      </c>
      <c r="R1293">
        <v>105</v>
      </c>
      <c r="S1293">
        <v>4.25</v>
      </c>
      <c r="T1293">
        <v>4.5830000000000002</v>
      </c>
      <c r="U1293">
        <v>6.97</v>
      </c>
      <c r="V1293">
        <v>3278.11</v>
      </c>
      <c r="W1293">
        <v>733</v>
      </c>
      <c r="X1293">
        <v>1.3332999999999999</v>
      </c>
      <c r="Y1293">
        <v>555</v>
      </c>
      <c r="Z1293">
        <v>5.91</v>
      </c>
      <c r="AJ1293">
        <v>2</v>
      </c>
      <c r="AK1293">
        <v>18</v>
      </c>
      <c r="AM1293">
        <v>0</v>
      </c>
      <c r="AO1293" t="s">
        <v>392</v>
      </c>
      <c r="AT1293">
        <v>65</v>
      </c>
      <c r="AV1293">
        <v>60.2</v>
      </c>
      <c r="AW1293">
        <v>0.4375</v>
      </c>
      <c r="AX1293">
        <v>3.75</v>
      </c>
      <c r="AY1293">
        <v>51.25</v>
      </c>
      <c r="AZ1293">
        <v>5.125</v>
      </c>
      <c r="BA1293">
        <v>277.33</v>
      </c>
      <c r="BB1293">
        <v>5.93</v>
      </c>
      <c r="BC1293">
        <v>52</v>
      </c>
      <c r="BD1293">
        <v>0.4375</v>
      </c>
      <c r="BE1293">
        <v>3.75</v>
      </c>
      <c r="BF1293">
        <v>51.25</v>
      </c>
      <c r="BG1293">
        <v>5.125</v>
      </c>
      <c r="BH1293">
        <v>277.33</v>
      </c>
      <c r="BI1293">
        <v>5.93</v>
      </c>
      <c r="BJ1293">
        <v>52</v>
      </c>
      <c r="BL1293">
        <v>554.66</v>
      </c>
      <c r="BM1293">
        <v>103</v>
      </c>
      <c r="BN1293">
        <v>288.90010000000001</v>
      </c>
      <c r="BO1293">
        <v>1243</v>
      </c>
      <c r="BP1293">
        <v>0</v>
      </c>
      <c r="BQ1293">
        <v>59</v>
      </c>
      <c r="BR1293">
        <v>59</v>
      </c>
      <c r="BS1293">
        <v>59.3</v>
      </c>
      <c r="BT1293">
        <v>0</v>
      </c>
      <c r="BV1293">
        <v>0</v>
      </c>
      <c r="BW1293" t="s">
        <v>655</v>
      </c>
      <c r="BX1293">
        <v>0.17</v>
      </c>
      <c r="BY1293">
        <v>10.081</v>
      </c>
      <c r="BZ1293">
        <v>0</v>
      </c>
      <c r="CA1293">
        <v>1</v>
      </c>
      <c r="CB1293">
        <v>0.6</v>
      </c>
      <c r="CC1293" s="3">
        <v>7.1269159999999998E-2</v>
      </c>
      <c r="CD1293">
        <v>2.875</v>
      </c>
      <c r="CE1293">
        <v>2.5</v>
      </c>
      <c r="CF1293">
        <v>18</v>
      </c>
      <c r="CG1293">
        <v>6</v>
      </c>
      <c r="CH1293">
        <v>0</v>
      </c>
      <c r="CI1293">
        <v>59.3</v>
      </c>
      <c r="CJ1293">
        <v>701.03099999999995</v>
      </c>
    </row>
    <row r="1294" spans="1:88">
      <c r="A1294">
        <v>1293</v>
      </c>
      <c r="B1294" t="s">
        <v>0</v>
      </c>
      <c r="C1294" t="s">
        <v>1</v>
      </c>
      <c r="D1294" t="s">
        <v>145</v>
      </c>
      <c r="E1294" t="s">
        <v>113</v>
      </c>
      <c r="F1294" t="s">
        <v>206</v>
      </c>
      <c r="G1294" t="s">
        <v>106</v>
      </c>
      <c r="H1294" t="s">
        <v>207</v>
      </c>
      <c r="J1294">
        <v>2</v>
      </c>
      <c r="K1294" t="s">
        <v>146</v>
      </c>
      <c r="L1294" t="s">
        <v>116</v>
      </c>
      <c r="M1294" t="s">
        <v>117</v>
      </c>
      <c r="N1294" t="s">
        <v>14</v>
      </c>
      <c r="O1294">
        <v>179</v>
      </c>
      <c r="Q1294">
        <v>705</v>
      </c>
      <c r="R1294">
        <v>94</v>
      </c>
      <c r="S1294">
        <v>4.25</v>
      </c>
      <c r="T1294">
        <v>4.7190000000000003</v>
      </c>
      <c r="U1294">
        <v>7.05</v>
      </c>
      <c r="V1294">
        <v>2994.42</v>
      </c>
      <c r="W1294">
        <v>663</v>
      </c>
      <c r="X1294">
        <v>1.3332999999999999</v>
      </c>
      <c r="Y1294">
        <v>495</v>
      </c>
      <c r="Z1294">
        <v>6.05</v>
      </c>
      <c r="AJ1294">
        <v>2</v>
      </c>
      <c r="AK1294">
        <v>18</v>
      </c>
      <c r="AM1294">
        <v>0</v>
      </c>
      <c r="AO1294" t="s">
        <v>211</v>
      </c>
      <c r="AT1294">
        <v>68</v>
      </c>
      <c r="AV1294">
        <v>53.1</v>
      </c>
      <c r="AW1294">
        <v>0.4375</v>
      </c>
      <c r="AX1294">
        <v>3.75</v>
      </c>
      <c r="AY1294">
        <v>52.25</v>
      </c>
      <c r="AZ1294">
        <v>5.25</v>
      </c>
      <c r="BA1294">
        <v>272.20999999999998</v>
      </c>
      <c r="BB1294">
        <v>6.04</v>
      </c>
      <c r="BC1294">
        <v>53</v>
      </c>
      <c r="BD1294">
        <v>0.4375</v>
      </c>
      <c r="BE1294">
        <v>3.75</v>
      </c>
      <c r="BF1294">
        <v>63.875</v>
      </c>
      <c r="BG1294">
        <v>5.25</v>
      </c>
      <c r="BH1294">
        <v>222.73</v>
      </c>
      <c r="BI1294">
        <v>7.38</v>
      </c>
      <c r="BJ1294">
        <v>65</v>
      </c>
      <c r="BL1294">
        <v>494.94</v>
      </c>
      <c r="BM1294">
        <v>117</v>
      </c>
      <c r="BN1294">
        <v>255.01669999999999</v>
      </c>
      <c r="BO1294">
        <v>1596</v>
      </c>
      <c r="BP1294">
        <v>0</v>
      </c>
      <c r="BQ1294">
        <v>61</v>
      </c>
      <c r="BR1294">
        <v>61</v>
      </c>
      <c r="BS1294">
        <v>61.39</v>
      </c>
      <c r="BT1294">
        <v>0</v>
      </c>
      <c r="BV1294">
        <v>0</v>
      </c>
      <c r="BW1294" t="s">
        <v>655</v>
      </c>
      <c r="BX1294">
        <v>0.17</v>
      </c>
      <c r="BY1294">
        <v>10.436299999999999</v>
      </c>
      <c r="BZ1294">
        <v>0</v>
      </c>
      <c r="CA1294">
        <v>1</v>
      </c>
      <c r="CB1294">
        <v>0.6</v>
      </c>
      <c r="CC1294" s="3">
        <v>7.1269159999999998E-2</v>
      </c>
      <c r="CD1294">
        <v>2.875</v>
      </c>
      <c r="CE1294">
        <v>2.5</v>
      </c>
      <c r="CF1294">
        <v>18</v>
      </c>
      <c r="CG1294">
        <v>6</v>
      </c>
      <c r="CH1294">
        <v>0</v>
      </c>
      <c r="CI1294">
        <v>61.39</v>
      </c>
      <c r="CJ1294">
        <v>640.96879999999999</v>
      </c>
    </row>
    <row r="1295" spans="1:88">
      <c r="A1295">
        <v>1294</v>
      </c>
      <c r="B1295" t="s">
        <v>13</v>
      </c>
      <c r="C1295" t="s">
        <v>1</v>
      </c>
      <c r="D1295" t="s">
        <v>103</v>
      </c>
      <c r="E1295" t="s">
        <v>104</v>
      </c>
      <c r="F1295" t="s">
        <v>105</v>
      </c>
      <c r="G1295" t="s">
        <v>106</v>
      </c>
      <c r="H1295" t="s">
        <v>107</v>
      </c>
      <c r="J1295">
        <v>2</v>
      </c>
      <c r="K1295" t="s">
        <v>108</v>
      </c>
      <c r="L1295" t="s">
        <v>109</v>
      </c>
      <c r="M1295" t="s">
        <v>110</v>
      </c>
      <c r="N1295" t="s">
        <v>111</v>
      </c>
      <c r="O1295">
        <v>191</v>
      </c>
      <c r="Q1295">
        <v>816</v>
      </c>
      <c r="R1295">
        <v>102</v>
      </c>
      <c r="S1295">
        <v>4.25</v>
      </c>
      <c r="T1295">
        <v>4.9850000000000003</v>
      </c>
      <c r="U1295">
        <v>7.27</v>
      </c>
      <c r="V1295">
        <v>3468.72</v>
      </c>
      <c r="W1295">
        <v>739</v>
      </c>
      <c r="X1295">
        <v>1.3332999999999999</v>
      </c>
      <c r="Y1295">
        <v>550</v>
      </c>
      <c r="Z1295">
        <v>6.31</v>
      </c>
      <c r="AJ1295">
        <v>2</v>
      </c>
      <c r="AK1295">
        <v>18</v>
      </c>
      <c r="AM1295">
        <v>0</v>
      </c>
      <c r="AO1295" t="s">
        <v>112</v>
      </c>
      <c r="AT1295">
        <v>72</v>
      </c>
      <c r="AV1295">
        <v>58</v>
      </c>
      <c r="AW1295">
        <v>0.46875</v>
      </c>
      <c r="AX1295">
        <v>3.75</v>
      </c>
      <c r="AY1295">
        <v>67</v>
      </c>
      <c r="AZ1295">
        <v>5.875</v>
      </c>
      <c r="BA1295">
        <v>302.33999999999997</v>
      </c>
      <c r="BB1295">
        <v>6.51</v>
      </c>
      <c r="BC1295">
        <v>72</v>
      </c>
      <c r="BD1295">
        <v>0.4375</v>
      </c>
      <c r="BE1295">
        <v>3.75</v>
      </c>
      <c r="BF1295">
        <v>57.5</v>
      </c>
      <c r="BG1295">
        <v>5.5</v>
      </c>
      <c r="BH1295">
        <v>247.37</v>
      </c>
      <c r="BI1295">
        <v>6.65</v>
      </c>
      <c r="BJ1295">
        <v>58</v>
      </c>
      <c r="BL1295">
        <v>549.71</v>
      </c>
      <c r="BM1295">
        <v>130</v>
      </c>
      <c r="BN1295">
        <v>278.20010000000002</v>
      </c>
      <c r="BO1295">
        <v>1341</v>
      </c>
      <c r="BP1295">
        <v>0</v>
      </c>
      <c r="BQ1295">
        <v>66</v>
      </c>
      <c r="BR1295">
        <v>66</v>
      </c>
      <c r="BS1295">
        <v>65.56</v>
      </c>
      <c r="BT1295">
        <v>0</v>
      </c>
      <c r="BV1295">
        <v>0</v>
      </c>
      <c r="BW1295" t="s">
        <v>655</v>
      </c>
      <c r="BX1295">
        <v>0.17</v>
      </c>
      <c r="BY1295">
        <v>11.145200000000001</v>
      </c>
      <c r="BZ1295">
        <v>0</v>
      </c>
      <c r="CA1295">
        <v>1</v>
      </c>
      <c r="CB1295">
        <v>0.6</v>
      </c>
      <c r="CC1295" s="3">
        <v>7.1269159999999998E-2</v>
      </c>
      <c r="CD1295">
        <v>2.875</v>
      </c>
      <c r="CE1295">
        <v>2.5</v>
      </c>
      <c r="CF1295">
        <v>18</v>
      </c>
      <c r="CG1295">
        <v>6</v>
      </c>
      <c r="CH1295">
        <v>0</v>
      </c>
      <c r="CI1295">
        <v>65.56</v>
      </c>
      <c r="CJ1295">
        <v>747.00080000000003</v>
      </c>
    </row>
    <row r="1296" spans="1:88">
      <c r="A1296">
        <v>1295</v>
      </c>
      <c r="B1296" t="s">
        <v>0</v>
      </c>
      <c r="C1296" t="s">
        <v>1</v>
      </c>
      <c r="D1296" t="s">
        <v>234</v>
      </c>
      <c r="E1296" t="s">
        <v>268</v>
      </c>
      <c r="F1296" t="s">
        <v>252</v>
      </c>
      <c r="G1296" t="s">
        <v>106</v>
      </c>
      <c r="H1296" t="s">
        <v>195</v>
      </c>
      <c r="J1296">
        <v>2</v>
      </c>
      <c r="K1296" t="s">
        <v>146</v>
      </c>
      <c r="L1296" t="s">
        <v>133</v>
      </c>
      <c r="M1296" t="s">
        <v>270</v>
      </c>
      <c r="N1296" t="s">
        <v>153</v>
      </c>
      <c r="O1296">
        <v>123</v>
      </c>
      <c r="Q1296">
        <v>474</v>
      </c>
      <c r="R1296">
        <v>90</v>
      </c>
      <c r="S1296">
        <v>4.25</v>
      </c>
      <c r="T1296">
        <v>3.3849999999999998</v>
      </c>
      <c r="U1296">
        <v>6.22</v>
      </c>
      <c r="V1296">
        <v>2016.28</v>
      </c>
      <c r="W1296">
        <v>560</v>
      </c>
      <c r="X1296">
        <v>1.3332999999999999</v>
      </c>
      <c r="Y1296">
        <v>428</v>
      </c>
      <c r="Z1296">
        <v>4.71</v>
      </c>
      <c r="AJ1296">
        <v>2</v>
      </c>
      <c r="AK1296">
        <v>18</v>
      </c>
      <c r="AM1296">
        <v>0</v>
      </c>
      <c r="AO1296" t="s">
        <v>256</v>
      </c>
      <c r="AT1296">
        <v>48</v>
      </c>
      <c r="AV1296">
        <v>50.6</v>
      </c>
      <c r="AW1296">
        <v>0.46875</v>
      </c>
      <c r="AX1296">
        <v>3.75</v>
      </c>
      <c r="AY1296">
        <v>48.5</v>
      </c>
      <c r="AZ1296">
        <v>4.375</v>
      </c>
      <c r="BA1296">
        <v>418.43</v>
      </c>
      <c r="BB1296">
        <v>4.71</v>
      </c>
      <c r="BC1296">
        <v>52</v>
      </c>
      <c r="BD1296">
        <v>0.1875</v>
      </c>
      <c r="BE1296">
        <v>2.75</v>
      </c>
      <c r="BF1296">
        <v>27.5</v>
      </c>
      <c r="BG1296">
        <v>1.75</v>
      </c>
      <c r="BH1296">
        <v>9.6400009999999998</v>
      </c>
      <c r="BI1296">
        <v>15.73</v>
      </c>
      <c r="BJ1296">
        <v>9</v>
      </c>
      <c r="BL1296">
        <v>428.07</v>
      </c>
      <c r="BM1296">
        <v>61</v>
      </c>
      <c r="BN1296">
        <v>242.5334</v>
      </c>
      <c r="BO1296">
        <v>1764</v>
      </c>
      <c r="BP1296">
        <v>0</v>
      </c>
      <c r="BQ1296">
        <v>42</v>
      </c>
      <c r="BR1296">
        <v>42</v>
      </c>
      <c r="BS1296">
        <v>41.91</v>
      </c>
      <c r="BT1296">
        <v>0</v>
      </c>
      <c r="BV1296">
        <v>0</v>
      </c>
      <c r="BW1296" t="s">
        <v>655</v>
      </c>
      <c r="BX1296">
        <v>0.17</v>
      </c>
      <c r="BY1296">
        <v>7.1246999999999998</v>
      </c>
      <c r="BZ1296">
        <v>0</v>
      </c>
      <c r="CA1296">
        <v>1</v>
      </c>
      <c r="CB1296">
        <v>0.6</v>
      </c>
      <c r="CC1296" s="3">
        <v>7.1269159999999998E-2</v>
      </c>
      <c r="CD1296">
        <v>2.875</v>
      </c>
      <c r="CE1296">
        <v>2.5</v>
      </c>
      <c r="CF1296">
        <v>18</v>
      </c>
      <c r="CG1296">
        <v>6</v>
      </c>
      <c r="CH1296">
        <v>0</v>
      </c>
      <c r="CI1296">
        <v>41.91</v>
      </c>
      <c r="CJ1296">
        <v>416.6712</v>
      </c>
    </row>
    <row r="1297" spans="1:88">
      <c r="A1297">
        <v>1296</v>
      </c>
      <c r="B1297" t="s">
        <v>13</v>
      </c>
      <c r="C1297" t="s">
        <v>1</v>
      </c>
      <c r="D1297" t="s">
        <v>143</v>
      </c>
      <c r="E1297" t="s">
        <v>169</v>
      </c>
      <c r="F1297" t="s">
        <v>144</v>
      </c>
      <c r="G1297" t="s">
        <v>106</v>
      </c>
      <c r="H1297" t="s">
        <v>145</v>
      </c>
      <c r="J1297">
        <v>2</v>
      </c>
      <c r="K1297" t="s">
        <v>146</v>
      </c>
      <c r="L1297" t="s">
        <v>381</v>
      </c>
      <c r="M1297" t="s">
        <v>173</v>
      </c>
      <c r="N1297" t="s">
        <v>174</v>
      </c>
      <c r="O1297">
        <v>119</v>
      </c>
      <c r="Q1297">
        <v>486</v>
      </c>
      <c r="R1297">
        <v>95</v>
      </c>
      <c r="S1297">
        <v>4.25</v>
      </c>
      <c r="T1297">
        <v>3.2829999999999999</v>
      </c>
      <c r="U1297">
        <v>6.15</v>
      </c>
      <c r="V1297">
        <v>2067.11</v>
      </c>
      <c r="W1297">
        <v>582</v>
      </c>
      <c r="X1297">
        <v>1.3332999999999999</v>
      </c>
      <c r="Y1297">
        <v>448</v>
      </c>
      <c r="Z1297">
        <v>4.6100000000000003</v>
      </c>
      <c r="AJ1297">
        <v>2</v>
      </c>
      <c r="AK1297">
        <v>18</v>
      </c>
      <c r="AM1297">
        <v>0</v>
      </c>
      <c r="AO1297" t="s">
        <v>149</v>
      </c>
      <c r="AT1297">
        <v>47</v>
      </c>
      <c r="AV1297">
        <v>53.5</v>
      </c>
      <c r="AW1297">
        <v>0.46875</v>
      </c>
      <c r="AX1297">
        <v>3.75</v>
      </c>
      <c r="AY1297">
        <v>47.375</v>
      </c>
      <c r="AZ1297">
        <v>4.375</v>
      </c>
      <c r="BA1297">
        <v>427.51</v>
      </c>
      <c r="BB1297">
        <v>4.6100000000000003</v>
      </c>
      <c r="BC1297">
        <v>51</v>
      </c>
      <c r="BD1297">
        <v>0.1875</v>
      </c>
      <c r="BE1297">
        <v>2.75</v>
      </c>
      <c r="BF1297">
        <v>12.75</v>
      </c>
      <c r="BG1297">
        <v>1.75</v>
      </c>
      <c r="BH1297">
        <v>20.88</v>
      </c>
      <c r="BI1297">
        <v>7.26</v>
      </c>
      <c r="BJ1297">
        <v>4</v>
      </c>
      <c r="BL1297">
        <v>448.39</v>
      </c>
      <c r="BM1297">
        <v>55</v>
      </c>
      <c r="BN1297">
        <v>256.80009999999999</v>
      </c>
      <c r="BO1297">
        <v>1574</v>
      </c>
      <c r="BP1297">
        <v>0</v>
      </c>
      <c r="BQ1297">
        <v>41</v>
      </c>
      <c r="BR1297">
        <v>41</v>
      </c>
      <c r="BS1297">
        <v>40.520000000000003</v>
      </c>
      <c r="BT1297">
        <v>0</v>
      </c>
      <c r="BV1297">
        <v>0</v>
      </c>
      <c r="BW1297" t="s">
        <v>655</v>
      </c>
      <c r="BX1297">
        <v>0.17</v>
      </c>
      <c r="BY1297">
        <v>6.8883999999999999</v>
      </c>
      <c r="BZ1297">
        <v>0</v>
      </c>
      <c r="CA1297">
        <v>1</v>
      </c>
      <c r="CB1297">
        <v>0.6</v>
      </c>
      <c r="CC1297" s="3">
        <v>7.1269159999999998E-2</v>
      </c>
      <c r="CD1297">
        <v>2.875</v>
      </c>
      <c r="CE1297">
        <v>2.5</v>
      </c>
      <c r="CF1297">
        <v>18</v>
      </c>
      <c r="CG1297">
        <v>6</v>
      </c>
      <c r="CH1297">
        <v>0</v>
      </c>
      <c r="CI1297">
        <v>40.520000000000003</v>
      </c>
      <c r="CJ1297">
        <v>425.95440000000002</v>
      </c>
    </row>
    <row r="1298" spans="1:88">
      <c r="A1298">
        <v>1297</v>
      </c>
      <c r="B1298" t="s">
        <v>0</v>
      </c>
      <c r="C1298" t="s">
        <v>1</v>
      </c>
      <c r="D1298" t="s">
        <v>181</v>
      </c>
      <c r="E1298" t="s">
        <v>302</v>
      </c>
      <c r="F1298" t="s">
        <v>182</v>
      </c>
      <c r="G1298" t="s">
        <v>106</v>
      </c>
      <c r="H1298" t="s">
        <v>183</v>
      </c>
      <c r="J1298">
        <v>2</v>
      </c>
      <c r="K1298" t="s">
        <v>108</v>
      </c>
      <c r="L1298" t="s">
        <v>303</v>
      </c>
      <c r="M1298" t="s">
        <v>304</v>
      </c>
      <c r="N1298" t="s">
        <v>305</v>
      </c>
      <c r="O1298">
        <v>205</v>
      </c>
      <c r="Q1298">
        <v>840</v>
      </c>
      <c r="R1298">
        <v>106</v>
      </c>
      <c r="S1298">
        <v>4.25</v>
      </c>
      <c r="T1298">
        <v>5.2889999999999997</v>
      </c>
      <c r="U1298">
        <v>7.35</v>
      </c>
      <c r="V1298">
        <v>3570.8</v>
      </c>
      <c r="W1298">
        <v>779</v>
      </c>
      <c r="X1298">
        <v>1.5</v>
      </c>
      <c r="Y1298">
        <v>527</v>
      </c>
      <c r="Z1298">
        <v>6.78</v>
      </c>
      <c r="AJ1298">
        <v>2</v>
      </c>
      <c r="AK1298">
        <v>18</v>
      </c>
      <c r="AM1298">
        <v>0</v>
      </c>
      <c r="AO1298" t="s">
        <v>186</v>
      </c>
      <c r="AT1298">
        <v>77</v>
      </c>
      <c r="AV1298">
        <v>55.8</v>
      </c>
      <c r="AW1298">
        <v>0.46875</v>
      </c>
      <c r="AX1298">
        <v>3.75</v>
      </c>
      <c r="AY1298">
        <v>70</v>
      </c>
      <c r="AZ1298">
        <v>6.375</v>
      </c>
      <c r="BA1298">
        <v>289.66000000000003</v>
      </c>
      <c r="BB1298">
        <v>6.8</v>
      </c>
      <c r="BC1298">
        <v>75</v>
      </c>
      <c r="BD1298">
        <v>0.4375</v>
      </c>
      <c r="BE1298">
        <v>3.75</v>
      </c>
      <c r="BF1298">
        <v>60</v>
      </c>
      <c r="BG1298">
        <v>5.875</v>
      </c>
      <c r="BH1298">
        <v>236.99</v>
      </c>
      <c r="BI1298">
        <v>6.94</v>
      </c>
      <c r="BJ1298">
        <v>61</v>
      </c>
      <c r="BL1298">
        <v>526.65</v>
      </c>
      <c r="BM1298">
        <v>135</v>
      </c>
      <c r="BN1298">
        <v>267.5</v>
      </c>
      <c r="BO1298">
        <v>1450</v>
      </c>
      <c r="BP1298">
        <v>0</v>
      </c>
      <c r="BQ1298">
        <v>70</v>
      </c>
      <c r="BR1298">
        <v>70</v>
      </c>
      <c r="BS1298">
        <v>70.430000000000007</v>
      </c>
      <c r="BT1298">
        <v>0</v>
      </c>
      <c r="BV1298">
        <v>0</v>
      </c>
      <c r="BW1298" t="s">
        <v>655</v>
      </c>
      <c r="BX1298">
        <v>0.17</v>
      </c>
      <c r="BY1298">
        <v>11.973100000000001</v>
      </c>
      <c r="BZ1298">
        <v>0</v>
      </c>
      <c r="CA1298">
        <v>1</v>
      </c>
      <c r="CB1298">
        <v>0.6</v>
      </c>
      <c r="CC1298" s="3">
        <v>7.1269159999999998E-2</v>
      </c>
      <c r="CD1298">
        <v>2.875</v>
      </c>
      <c r="CE1298">
        <v>2.5</v>
      </c>
      <c r="CF1298">
        <v>18</v>
      </c>
      <c r="CG1298">
        <v>6</v>
      </c>
      <c r="CH1298">
        <v>0</v>
      </c>
      <c r="CI1298">
        <v>70.430000000000007</v>
      </c>
      <c r="CJ1298">
        <v>772.37350000000004</v>
      </c>
    </row>
    <row r="1299" spans="1:88">
      <c r="A1299">
        <v>1298</v>
      </c>
      <c r="B1299" t="s">
        <v>13</v>
      </c>
      <c r="C1299" t="s">
        <v>1</v>
      </c>
      <c r="D1299" t="s">
        <v>278</v>
      </c>
      <c r="E1299" t="s">
        <v>165</v>
      </c>
      <c r="F1299" t="s">
        <v>239</v>
      </c>
      <c r="G1299" t="s">
        <v>15</v>
      </c>
      <c r="H1299" t="s">
        <v>458</v>
      </c>
      <c r="J1299">
        <v>2</v>
      </c>
      <c r="K1299" t="s">
        <v>108</v>
      </c>
      <c r="L1299" t="s">
        <v>125</v>
      </c>
      <c r="M1299" t="s">
        <v>252</v>
      </c>
      <c r="N1299" t="s">
        <v>293</v>
      </c>
      <c r="O1299">
        <v>148</v>
      </c>
      <c r="Q1299">
        <v>802</v>
      </c>
      <c r="R1299">
        <v>126</v>
      </c>
      <c r="S1299">
        <v>4.25</v>
      </c>
      <c r="T1299">
        <v>4</v>
      </c>
      <c r="U1299">
        <v>6.67</v>
      </c>
      <c r="V1299">
        <v>3408.24</v>
      </c>
      <c r="W1299">
        <v>841</v>
      </c>
      <c r="X1299">
        <v>1.3332999999999999</v>
      </c>
      <c r="Y1299">
        <v>639</v>
      </c>
      <c r="Z1299">
        <v>5.33</v>
      </c>
      <c r="AJ1299">
        <v>2</v>
      </c>
      <c r="AK1299">
        <v>18</v>
      </c>
      <c r="AM1299">
        <v>0</v>
      </c>
      <c r="AO1299" t="s">
        <v>401</v>
      </c>
      <c r="AT1299">
        <v>57</v>
      </c>
      <c r="AV1299">
        <v>72.5</v>
      </c>
      <c r="AW1299" t="s">
        <v>6</v>
      </c>
      <c r="AX1299" t="s">
        <v>6</v>
      </c>
      <c r="AY1299" t="s">
        <v>6</v>
      </c>
      <c r="AZ1299" t="s">
        <v>6</v>
      </c>
      <c r="BA1299" t="s">
        <v>6</v>
      </c>
      <c r="BB1299" t="s">
        <v>6</v>
      </c>
      <c r="BC1299" t="s">
        <v>6</v>
      </c>
      <c r="BD1299" t="s">
        <v>6</v>
      </c>
      <c r="BE1299" t="s">
        <v>6</v>
      </c>
      <c r="BF1299" t="s">
        <v>6</v>
      </c>
      <c r="BG1299" t="s">
        <v>6</v>
      </c>
      <c r="BH1299" t="s">
        <v>6</v>
      </c>
      <c r="BI1299" t="s">
        <v>6</v>
      </c>
      <c r="BJ1299" t="s">
        <v>6</v>
      </c>
      <c r="BN1299">
        <v>618.78679999999997</v>
      </c>
      <c r="BO1299">
        <v>2857</v>
      </c>
      <c r="BP1299">
        <v>0</v>
      </c>
      <c r="BQ1299">
        <v>51</v>
      </c>
      <c r="BR1299">
        <v>51</v>
      </c>
      <c r="BS1299">
        <v>50.6</v>
      </c>
      <c r="BT1299">
        <v>0</v>
      </c>
      <c r="BV1299">
        <v>0</v>
      </c>
      <c r="BW1299" t="s">
        <v>655</v>
      </c>
      <c r="BX1299">
        <v>0.17</v>
      </c>
      <c r="BY1299">
        <v>8.6019989999999993</v>
      </c>
      <c r="BZ1299">
        <v>0</v>
      </c>
      <c r="CA1299">
        <v>1</v>
      </c>
      <c r="CB1299">
        <v>0.6</v>
      </c>
      <c r="CC1299" s="3">
        <v>7.1269159999999998E-2</v>
      </c>
      <c r="CD1299">
        <v>2.875</v>
      </c>
      <c r="CE1299">
        <v>2.5</v>
      </c>
      <c r="CF1299">
        <v>18</v>
      </c>
      <c r="CG1299">
        <v>6</v>
      </c>
      <c r="CH1299">
        <v>0</v>
      </c>
      <c r="CI1299">
        <v>50.6</v>
      </c>
      <c r="CJ1299">
        <v>720.79300000000001</v>
      </c>
    </row>
    <row r="1300" spans="1:88">
      <c r="A1300">
        <v>1299</v>
      </c>
      <c r="B1300" t="s">
        <v>13</v>
      </c>
      <c r="C1300" t="s">
        <v>1</v>
      </c>
      <c r="D1300" t="s">
        <v>448</v>
      </c>
      <c r="E1300" t="s">
        <v>438</v>
      </c>
      <c r="F1300" t="s">
        <v>285</v>
      </c>
      <c r="G1300" t="s">
        <v>106</v>
      </c>
      <c r="H1300" t="s">
        <v>449</v>
      </c>
      <c r="J1300">
        <v>2</v>
      </c>
      <c r="K1300" t="s">
        <v>146</v>
      </c>
      <c r="L1300" t="s">
        <v>399</v>
      </c>
      <c r="M1300" t="s">
        <v>467</v>
      </c>
      <c r="N1300" t="s">
        <v>382</v>
      </c>
      <c r="O1300">
        <v>97</v>
      </c>
      <c r="Q1300">
        <v>215</v>
      </c>
      <c r="R1300">
        <v>49</v>
      </c>
      <c r="S1300">
        <v>4.25</v>
      </c>
      <c r="T1300">
        <v>2.7040000000000002</v>
      </c>
      <c r="U1300">
        <v>5.85</v>
      </c>
      <c r="V1300">
        <v>914.64</v>
      </c>
      <c r="W1300">
        <v>289</v>
      </c>
      <c r="X1300">
        <v>1.3332999999999999</v>
      </c>
      <c r="Y1300">
        <v>227</v>
      </c>
      <c r="Z1300">
        <v>4.03</v>
      </c>
      <c r="AJ1300">
        <v>2</v>
      </c>
      <c r="AK1300">
        <v>18</v>
      </c>
      <c r="AM1300">
        <v>0</v>
      </c>
      <c r="AO1300" t="s">
        <v>343</v>
      </c>
      <c r="AT1300">
        <v>39</v>
      </c>
      <c r="AV1300">
        <v>28.1</v>
      </c>
      <c r="AW1300">
        <v>0</v>
      </c>
      <c r="AX1300">
        <v>0</v>
      </c>
      <c r="AY1300">
        <v>28.5</v>
      </c>
      <c r="AZ1300">
        <v>3</v>
      </c>
      <c r="BA1300">
        <v>0</v>
      </c>
      <c r="BB1300">
        <v>0</v>
      </c>
      <c r="BC1300">
        <v>25</v>
      </c>
      <c r="BN1300">
        <v>131.9667</v>
      </c>
      <c r="BO1300">
        <v>5959</v>
      </c>
      <c r="BP1300">
        <v>0</v>
      </c>
      <c r="BQ1300">
        <v>33</v>
      </c>
      <c r="BR1300">
        <v>33</v>
      </c>
      <c r="BS1300">
        <v>32.86</v>
      </c>
      <c r="BT1300">
        <v>0</v>
      </c>
      <c r="BV1300">
        <v>0</v>
      </c>
      <c r="BW1300" t="s">
        <v>655</v>
      </c>
      <c r="BX1300">
        <v>0.17</v>
      </c>
      <c r="BY1300">
        <v>5.5861999999999998</v>
      </c>
      <c r="BZ1300">
        <v>0</v>
      </c>
      <c r="CA1300">
        <v>1</v>
      </c>
      <c r="CB1300">
        <v>0.6</v>
      </c>
      <c r="CC1300" s="3">
        <v>7.1269159999999998E-2</v>
      </c>
      <c r="CD1300">
        <v>2.875</v>
      </c>
      <c r="CE1300">
        <v>2.5</v>
      </c>
      <c r="CF1300">
        <v>18</v>
      </c>
      <c r="CG1300">
        <v>6</v>
      </c>
      <c r="CH1300">
        <v>0</v>
      </c>
      <c r="CI1300">
        <v>32.86</v>
      </c>
      <c r="CJ1300">
        <v>181.49760000000001</v>
      </c>
    </row>
    <row r="1301" spans="1:88">
      <c r="A1301">
        <v>1300</v>
      </c>
      <c r="B1301" t="s">
        <v>0</v>
      </c>
      <c r="C1301" t="s">
        <v>1</v>
      </c>
      <c r="D1301" t="s">
        <v>178</v>
      </c>
      <c r="E1301" t="s">
        <v>505</v>
      </c>
      <c r="F1301" t="s">
        <v>408</v>
      </c>
      <c r="G1301" t="s">
        <v>106</v>
      </c>
      <c r="H1301" t="s">
        <v>141</v>
      </c>
      <c r="J1301">
        <v>2</v>
      </c>
      <c r="K1301" t="s">
        <v>146</v>
      </c>
      <c r="L1301" t="s">
        <v>334</v>
      </c>
      <c r="M1301" t="s">
        <v>584</v>
      </c>
      <c r="N1301" t="s">
        <v>320</v>
      </c>
      <c r="O1301">
        <v>56</v>
      </c>
      <c r="Q1301">
        <v>151</v>
      </c>
      <c r="R1301">
        <v>60</v>
      </c>
      <c r="S1301">
        <v>4.25</v>
      </c>
      <c r="T1301">
        <v>1.5209999999999999</v>
      </c>
      <c r="U1301">
        <v>5.13</v>
      </c>
      <c r="V1301">
        <v>641.36</v>
      </c>
      <c r="W1301">
        <v>309</v>
      </c>
      <c r="X1301">
        <v>1.5</v>
      </c>
      <c r="Y1301">
        <v>212</v>
      </c>
      <c r="Z1301">
        <v>3.02</v>
      </c>
      <c r="AJ1301">
        <v>2</v>
      </c>
      <c r="AK1301">
        <v>18</v>
      </c>
      <c r="AM1301">
        <v>0</v>
      </c>
      <c r="AO1301" t="s">
        <v>409</v>
      </c>
      <c r="AT1301">
        <v>25</v>
      </c>
      <c r="AV1301">
        <v>31.7</v>
      </c>
      <c r="AW1301">
        <v>0</v>
      </c>
      <c r="AX1301">
        <v>0</v>
      </c>
      <c r="AY1301">
        <v>12</v>
      </c>
      <c r="AZ1301">
        <v>1.875</v>
      </c>
      <c r="BA1301">
        <v>0</v>
      </c>
      <c r="BB1301">
        <v>0</v>
      </c>
      <c r="BC1301">
        <v>9</v>
      </c>
      <c r="BN1301">
        <v>149.80000000000001</v>
      </c>
      <c r="BO1301">
        <v>4624</v>
      </c>
      <c r="BP1301">
        <v>0</v>
      </c>
      <c r="BQ1301">
        <v>19</v>
      </c>
      <c r="BR1301">
        <v>19</v>
      </c>
      <c r="BS1301">
        <v>18.600000000000001</v>
      </c>
      <c r="BT1301">
        <v>0</v>
      </c>
      <c r="BV1301">
        <v>0</v>
      </c>
      <c r="BW1301" t="s">
        <v>655</v>
      </c>
      <c r="BX1301">
        <v>0.17</v>
      </c>
      <c r="BY1301">
        <v>3.1619999999999999</v>
      </c>
      <c r="BZ1301">
        <v>0</v>
      </c>
      <c r="CA1301">
        <v>1</v>
      </c>
      <c r="CB1301">
        <v>0.6</v>
      </c>
      <c r="CC1301" s="3">
        <v>7.1269159999999998E-2</v>
      </c>
      <c r="CD1301">
        <v>2.875</v>
      </c>
      <c r="CE1301">
        <v>2.5</v>
      </c>
      <c r="CF1301">
        <v>18</v>
      </c>
      <c r="CG1301">
        <v>6</v>
      </c>
      <c r="CH1301">
        <v>0</v>
      </c>
      <c r="CI1301">
        <v>18.600000000000001</v>
      </c>
      <c r="CJ1301">
        <v>115.9906</v>
      </c>
    </row>
    <row r="1302" spans="1:88">
      <c r="A1302">
        <v>1301</v>
      </c>
      <c r="B1302" t="s">
        <v>13</v>
      </c>
      <c r="C1302" t="s">
        <v>1</v>
      </c>
      <c r="D1302" t="s">
        <v>283</v>
      </c>
      <c r="E1302" t="s">
        <v>139</v>
      </c>
      <c r="F1302" t="s">
        <v>243</v>
      </c>
      <c r="G1302" t="s">
        <v>106</v>
      </c>
      <c r="H1302" t="s">
        <v>284</v>
      </c>
      <c r="J1302">
        <v>2</v>
      </c>
      <c r="K1302" t="s">
        <v>146</v>
      </c>
      <c r="L1302" t="s">
        <v>158</v>
      </c>
      <c r="M1302" t="s">
        <v>385</v>
      </c>
      <c r="N1302" t="s">
        <v>177</v>
      </c>
      <c r="O1302">
        <v>109</v>
      </c>
      <c r="Q1302">
        <v>245</v>
      </c>
      <c r="R1302">
        <v>51</v>
      </c>
      <c r="S1302">
        <v>4.25</v>
      </c>
      <c r="T1302">
        <v>3.024</v>
      </c>
      <c r="U1302">
        <v>6.11</v>
      </c>
      <c r="V1302">
        <v>1041.29</v>
      </c>
      <c r="W1302">
        <v>309</v>
      </c>
      <c r="X1302">
        <v>1.3332999999999999</v>
      </c>
      <c r="Y1302">
        <v>239</v>
      </c>
      <c r="Z1302">
        <v>4.3499999999999996</v>
      </c>
      <c r="AJ1302">
        <v>2</v>
      </c>
      <c r="AK1302">
        <v>18</v>
      </c>
      <c r="AM1302">
        <v>0</v>
      </c>
      <c r="AO1302" t="s">
        <v>285</v>
      </c>
      <c r="AT1302">
        <v>43</v>
      </c>
      <c r="AV1302">
        <v>28.8</v>
      </c>
      <c r="AW1302">
        <v>0</v>
      </c>
      <c r="AX1302">
        <v>0</v>
      </c>
      <c r="AY1302">
        <v>27</v>
      </c>
      <c r="AZ1302">
        <v>3.25</v>
      </c>
      <c r="BA1302">
        <v>0</v>
      </c>
      <c r="BB1302">
        <v>0</v>
      </c>
      <c r="BC1302">
        <v>24</v>
      </c>
      <c r="BN1302">
        <v>135.5334</v>
      </c>
      <c r="BO1302">
        <v>5649</v>
      </c>
      <c r="BP1302">
        <v>0</v>
      </c>
      <c r="BQ1302">
        <v>37</v>
      </c>
      <c r="BR1302">
        <v>37</v>
      </c>
      <c r="BS1302">
        <v>37.04</v>
      </c>
      <c r="BT1302">
        <v>0</v>
      </c>
      <c r="BV1302">
        <v>0</v>
      </c>
      <c r="BW1302" t="s">
        <v>655</v>
      </c>
      <c r="BX1302">
        <v>0.17</v>
      </c>
      <c r="BY1302">
        <v>6.2968000000000002</v>
      </c>
      <c r="BZ1302">
        <v>0</v>
      </c>
      <c r="CA1302">
        <v>1</v>
      </c>
      <c r="CB1302">
        <v>0.6</v>
      </c>
      <c r="CC1302" s="3">
        <v>7.1269159999999998E-2</v>
      </c>
      <c r="CD1302">
        <v>2.875</v>
      </c>
      <c r="CE1302">
        <v>2.5</v>
      </c>
      <c r="CF1302">
        <v>18</v>
      </c>
      <c r="CG1302">
        <v>6</v>
      </c>
      <c r="CH1302">
        <v>0</v>
      </c>
      <c r="CI1302">
        <v>37.04</v>
      </c>
      <c r="CJ1302">
        <v>209.86490000000001</v>
      </c>
    </row>
    <row r="1303" spans="1:88">
      <c r="A1303">
        <v>1302</v>
      </c>
      <c r="B1303" t="s">
        <v>0</v>
      </c>
      <c r="C1303" t="s">
        <v>1</v>
      </c>
      <c r="D1303" t="s">
        <v>95</v>
      </c>
      <c r="E1303" t="s">
        <v>123</v>
      </c>
      <c r="F1303" t="s">
        <v>97</v>
      </c>
      <c r="G1303" t="s">
        <v>15</v>
      </c>
      <c r="H1303" t="s">
        <v>98</v>
      </c>
      <c r="J1303">
        <v>2</v>
      </c>
      <c r="K1303" t="s">
        <v>108</v>
      </c>
      <c r="L1303" t="s">
        <v>8</v>
      </c>
      <c r="M1303" t="s">
        <v>147</v>
      </c>
      <c r="N1303" t="s">
        <v>148</v>
      </c>
      <c r="O1303">
        <v>183</v>
      </c>
      <c r="Q1303">
        <v>1084</v>
      </c>
      <c r="R1303">
        <v>140</v>
      </c>
      <c r="S1303">
        <v>4.25</v>
      </c>
      <c r="T1303">
        <v>4.8079999999999998</v>
      </c>
      <c r="U1303">
        <v>7.12</v>
      </c>
      <c r="V1303">
        <v>4606.7</v>
      </c>
      <c r="W1303">
        <v>997</v>
      </c>
      <c r="X1303">
        <v>1.3332999999999999</v>
      </c>
      <c r="Y1303">
        <v>750</v>
      </c>
      <c r="Z1303">
        <v>6.14</v>
      </c>
      <c r="AJ1303">
        <v>2</v>
      </c>
      <c r="AK1303">
        <v>18</v>
      </c>
      <c r="AM1303">
        <v>0</v>
      </c>
      <c r="AO1303" t="s">
        <v>102</v>
      </c>
      <c r="AT1303">
        <v>69</v>
      </c>
      <c r="AV1303">
        <v>80.5</v>
      </c>
      <c r="AW1303" t="s">
        <v>6</v>
      </c>
      <c r="AX1303" t="s">
        <v>6</v>
      </c>
      <c r="AY1303" t="s">
        <v>6</v>
      </c>
      <c r="AZ1303" t="s">
        <v>6</v>
      </c>
      <c r="BA1303" t="s">
        <v>6</v>
      </c>
      <c r="BB1303" t="s">
        <v>6</v>
      </c>
      <c r="BC1303" t="s">
        <v>6</v>
      </c>
      <c r="BD1303" t="s">
        <v>6</v>
      </c>
      <c r="BE1303" t="s">
        <v>6</v>
      </c>
      <c r="BF1303" t="s">
        <v>6</v>
      </c>
      <c r="BG1303" t="s">
        <v>6</v>
      </c>
      <c r="BH1303" t="s">
        <v>6</v>
      </c>
      <c r="BI1303" t="s">
        <v>6</v>
      </c>
      <c r="BJ1303" t="s">
        <v>6</v>
      </c>
      <c r="BN1303">
        <v>688.24239999999998</v>
      </c>
      <c r="BO1303">
        <v>2309</v>
      </c>
      <c r="BP1303">
        <v>0</v>
      </c>
      <c r="BQ1303">
        <v>63</v>
      </c>
      <c r="BR1303">
        <v>63</v>
      </c>
      <c r="BS1303">
        <v>62.78</v>
      </c>
      <c r="BT1303">
        <v>0</v>
      </c>
      <c r="BV1303">
        <v>0</v>
      </c>
      <c r="BW1303" t="s">
        <v>655</v>
      </c>
      <c r="BX1303">
        <v>0.17</v>
      </c>
      <c r="BY1303">
        <v>10.672599999999999</v>
      </c>
      <c r="BZ1303">
        <v>0</v>
      </c>
      <c r="CA1303">
        <v>1</v>
      </c>
      <c r="CB1303">
        <v>0.6</v>
      </c>
      <c r="CC1303" s="3">
        <v>7.1269159999999998E-2</v>
      </c>
      <c r="CD1303">
        <v>2.875</v>
      </c>
      <c r="CE1303">
        <v>2.5</v>
      </c>
      <c r="CF1303">
        <v>18</v>
      </c>
      <c r="CG1303">
        <v>6</v>
      </c>
      <c r="CH1303">
        <v>0</v>
      </c>
      <c r="CI1303">
        <v>62.78</v>
      </c>
      <c r="CJ1303">
        <v>992.73040000000003</v>
      </c>
    </row>
    <row r="1304" spans="1:88">
      <c r="A1304">
        <v>1303</v>
      </c>
      <c r="B1304" t="s">
        <v>0</v>
      </c>
      <c r="C1304" t="s">
        <v>1</v>
      </c>
      <c r="D1304" t="s">
        <v>7</v>
      </c>
      <c r="E1304" t="s">
        <v>113</v>
      </c>
      <c r="F1304" t="s">
        <v>670</v>
      </c>
      <c r="G1304" t="s">
        <v>20</v>
      </c>
      <c r="H1304" t="s">
        <v>7</v>
      </c>
      <c r="J1304">
        <v>2</v>
      </c>
      <c r="K1304" t="s">
        <v>9</v>
      </c>
      <c r="L1304" t="s">
        <v>116</v>
      </c>
      <c r="M1304" t="s">
        <v>117</v>
      </c>
      <c r="N1304" t="s">
        <v>14</v>
      </c>
      <c r="O1304">
        <v>179</v>
      </c>
      <c r="Q1304">
        <v>1286</v>
      </c>
      <c r="R1304">
        <v>169</v>
      </c>
      <c r="S1304">
        <v>4.25</v>
      </c>
      <c r="T1304">
        <v>4.7190000000000003</v>
      </c>
      <c r="U1304">
        <v>7.05</v>
      </c>
      <c r="V1304">
        <v>5467.11</v>
      </c>
      <c r="W1304">
        <v>1192</v>
      </c>
      <c r="X1304">
        <v>1.3332999999999999</v>
      </c>
      <c r="Y1304">
        <v>904</v>
      </c>
      <c r="Z1304">
        <v>6.05</v>
      </c>
      <c r="AJ1304">
        <v>2</v>
      </c>
      <c r="AK1304">
        <v>18</v>
      </c>
      <c r="AM1304">
        <v>0</v>
      </c>
      <c r="AO1304" t="s">
        <v>671</v>
      </c>
      <c r="AT1304">
        <v>68</v>
      </c>
      <c r="AV1304">
        <v>97.2</v>
      </c>
      <c r="AW1304" t="s">
        <v>6</v>
      </c>
      <c r="AX1304" t="s">
        <v>6</v>
      </c>
      <c r="AY1304" t="s">
        <v>6</v>
      </c>
      <c r="AZ1304" t="s">
        <v>6</v>
      </c>
      <c r="BA1304" t="s">
        <v>6</v>
      </c>
      <c r="BB1304" t="s">
        <v>6</v>
      </c>
      <c r="BC1304" t="s">
        <v>6</v>
      </c>
      <c r="BD1304" t="s">
        <v>6</v>
      </c>
      <c r="BE1304" t="s">
        <v>6</v>
      </c>
      <c r="BF1304" t="s">
        <v>6</v>
      </c>
      <c r="BG1304" t="s">
        <v>6</v>
      </c>
      <c r="BH1304" t="s">
        <v>6</v>
      </c>
      <c r="BI1304" t="s">
        <v>6</v>
      </c>
      <c r="BJ1304" t="s">
        <v>6</v>
      </c>
      <c r="BN1304">
        <v>730.34500000000003</v>
      </c>
      <c r="BO1304">
        <v>2245</v>
      </c>
      <c r="BP1304">
        <v>0</v>
      </c>
      <c r="BQ1304">
        <v>61</v>
      </c>
      <c r="BR1304">
        <v>61</v>
      </c>
      <c r="BS1304">
        <v>61.39</v>
      </c>
      <c r="BT1304">
        <v>0</v>
      </c>
      <c r="BV1304">
        <v>6</v>
      </c>
      <c r="BW1304" t="s">
        <v>655</v>
      </c>
      <c r="BX1304">
        <v>0.27933330000000001</v>
      </c>
      <c r="BY1304">
        <v>17.14827</v>
      </c>
      <c r="BZ1304">
        <v>0</v>
      </c>
      <c r="CA1304">
        <v>1</v>
      </c>
      <c r="CB1304">
        <v>0.6</v>
      </c>
      <c r="CC1304" s="3">
        <v>7.1269159999999998E-2</v>
      </c>
      <c r="CD1304">
        <v>2.875</v>
      </c>
      <c r="CE1304">
        <v>2.5</v>
      </c>
      <c r="CF1304">
        <v>18</v>
      </c>
      <c r="CG1304">
        <v>6</v>
      </c>
      <c r="CH1304">
        <v>0</v>
      </c>
      <c r="CI1304">
        <v>61.39</v>
      </c>
      <c r="CJ1304">
        <v>1172.01</v>
      </c>
    </row>
    <row r="1305" spans="1:88">
      <c r="A1305">
        <v>1304</v>
      </c>
      <c r="B1305" t="s">
        <v>0</v>
      </c>
      <c r="C1305" t="s">
        <v>1</v>
      </c>
      <c r="D1305" t="s">
        <v>96</v>
      </c>
      <c r="E1305" t="s">
        <v>399</v>
      </c>
      <c r="F1305" t="s">
        <v>198</v>
      </c>
      <c r="G1305" t="s">
        <v>106</v>
      </c>
      <c r="H1305" t="s">
        <v>162</v>
      </c>
      <c r="J1305">
        <v>2</v>
      </c>
      <c r="K1305" t="s">
        <v>146</v>
      </c>
      <c r="L1305" t="s">
        <v>172</v>
      </c>
      <c r="M1305" t="s">
        <v>463</v>
      </c>
      <c r="N1305" t="s">
        <v>229</v>
      </c>
      <c r="O1305">
        <v>117</v>
      </c>
      <c r="Q1305">
        <v>402</v>
      </c>
      <c r="R1305">
        <v>81</v>
      </c>
      <c r="S1305">
        <v>4.25</v>
      </c>
      <c r="T1305">
        <v>3.2320000000000002</v>
      </c>
      <c r="U1305">
        <v>6.26</v>
      </c>
      <c r="V1305">
        <v>1708.79</v>
      </c>
      <c r="W1305">
        <v>506</v>
      </c>
      <c r="X1305">
        <v>1.3332999999999999</v>
      </c>
      <c r="Y1305">
        <v>375</v>
      </c>
      <c r="Z1305">
        <v>4.5599999999999996</v>
      </c>
      <c r="AJ1305">
        <v>2</v>
      </c>
      <c r="AK1305">
        <v>18</v>
      </c>
      <c r="AM1305">
        <v>0</v>
      </c>
      <c r="AO1305" t="s">
        <v>166</v>
      </c>
      <c r="AT1305">
        <v>46</v>
      </c>
      <c r="AV1305">
        <v>44.8</v>
      </c>
      <c r="AW1305">
        <v>0</v>
      </c>
      <c r="AX1305">
        <v>0</v>
      </c>
      <c r="AY1305">
        <v>54.125</v>
      </c>
      <c r="AZ1305">
        <v>4.25</v>
      </c>
      <c r="BA1305">
        <v>0</v>
      </c>
      <c r="BB1305">
        <v>0</v>
      </c>
      <c r="BC1305">
        <v>58</v>
      </c>
      <c r="BN1305">
        <v>214</v>
      </c>
      <c r="BO1305">
        <v>2266</v>
      </c>
      <c r="BP1305">
        <v>0</v>
      </c>
      <c r="BQ1305">
        <v>40</v>
      </c>
      <c r="BR1305">
        <v>40</v>
      </c>
      <c r="BS1305">
        <v>39.82</v>
      </c>
      <c r="BT1305">
        <v>0</v>
      </c>
      <c r="BV1305">
        <v>0</v>
      </c>
      <c r="BW1305" t="s">
        <v>655</v>
      </c>
      <c r="BX1305">
        <v>0.17</v>
      </c>
      <c r="BY1305">
        <v>6.7694000000000001</v>
      </c>
      <c r="BZ1305">
        <v>0</v>
      </c>
      <c r="CA1305">
        <v>1</v>
      </c>
      <c r="CB1305">
        <v>0.6</v>
      </c>
      <c r="CC1305" s="3">
        <v>7.1269159999999998E-2</v>
      </c>
      <c r="CD1305">
        <v>2.875</v>
      </c>
      <c r="CE1305">
        <v>2.5</v>
      </c>
      <c r="CF1305">
        <v>18</v>
      </c>
      <c r="CG1305">
        <v>6</v>
      </c>
      <c r="CH1305">
        <v>0</v>
      </c>
      <c r="CI1305">
        <v>39.82</v>
      </c>
      <c r="CJ1305">
        <v>350.4853</v>
      </c>
    </row>
    <row r="1306" spans="1:88">
      <c r="A1306">
        <v>1305</v>
      </c>
      <c r="B1306" t="s">
        <v>0</v>
      </c>
      <c r="C1306" t="s">
        <v>1</v>
      </c>
      <c r="D1306" t="s">
        <v>233</v>
      </c>
      <c r="E1306" t="s">
        <v>19</v>
      </c>
      <c r="F1306" t="s">
        <v>271</v>
      </c>
      <c r="G1306" t="s">
        <v>106</v>
      </c>
      <c r="H1306" t="s">
        <v>279</v>
      </c>
      <c r="J1306">
        <v>2</v>
      </c>
      <c r="K1306" t="s">
        <v>146</v>
      </c>
      <c r="L1306" t="s">
        <v>302</v>
      </c>
      <c r="M1306" t="s">
        <v>433</v>
      </c>
      <c r="N1306" t="s">
        <v>434</v>
      </c>
      <c r="O1306">
        <v>185</v>
      </c>
      <c r="Q1306">
        <v>741</v>
      </c>
      <c r="R1306">
        <v>96</v>
      </c>
      <c r="S1306">
        <v>4.25</v>
      </c>
      <c r="T1306">
        <v>4.8529999999999998</v>
      </c>
      <c r="U1306">
        <v>7.16</v>
      </c>
      <c r="V1306">
        <v>3150.52</v>
      </c>
      <c r="W1306">
        <v>686</v>
      </c>
      <c r="X1306">
        <v>1.3332999999999999</v>
      </c>
      <c r="Y1306">
        <v>510</v>
      </c>
      <c r="Z1306">
        <v>6.18</v>
      </c>
      <c r="AJ1306">
        <v>2</v>
      </c>
      <c r="AK1306">
        <v>18</v>
      </c>
      <c r="AM1306">
        <v>0</v>
      </c>
      <c r="AO1306" t="s">
        <v>144</v>
      </c>
      <c r="AT1306">
        <v>70</v>
      </c>
      <c r="AV1306">
        <v>54.2</v>
      </c>
      <c r="AW1306">
        <v>0.4375</v>
      </c>
      <c r="AX1306">
        <v>3.75</v>
      </c>
      <c r="AY1306">
        <v>55.875</v>
      </c>
      <c r="AZ1306">
        <v>5.375</v>
      </c>
      <c r="BA1306">
        <v>254.89</v>
      </c>
      <c r="BB1306">
        <v>6.45</v>
      </c>
      <c r="BC1306">
        <v>56</v>
      </c>
      <c r="BD1306">
        <v>0.4375</v>
      </c>
      <c r="BE1306">
        <v>3.75</v>
      </c>
      <c r="BF1306">
        <v>55.875</v>
      </c>
      <c r="BG1306">
        <v>5.375</v>
      </c>
      <c r="BH1306">
        <v>254.89</v>
      </c>
      <c r="BI1306">
        <v>6.45</v>
      </c>
      <c r="BJ1306">
        <v>56</v>
      </c>
      <c r="BL1306">
        <v>509.78</v>
      </c>
      <c r="BM1306">
        <v>112</v>
      </c>
      <c r="BN1306">
        <v>260.36669999999998</v>
      </c>
      <c r="BO1306">
        <v>1531</v>
      </c>
      <c r="BP1306">
        <v>0</v>
      </c>
      <c r="BQ1306">
        <v>63</v>
      </c>
      <c r="BR1306">
        <v>63</v>
      </c>
      <c r="BS1306">
        <v>63.47</v>
      </c>
      <c r="BT1306">
        <v>0</v>
      </c>
      <c r="BV1306">
        <v>0</v>
      </c>
      <c r="BW1306" t="s">
        <v>655</v>
      </c>
      <c r="BX1306">
        <v>0.17</v>
      </c>
      <c r="BY1306">
        <v>10.789899999999999</v>
      </c>
      <c r="BZ1306">
        <v>0</v>
      </c>
      <c r="CA1306">
        <v>1</v>
      </c>
      <c r="CB1306">
        <v>0.6</v>
      </c>
      <c r="CC1306" s="3">
        <v>7.1269159999999998E-2</v>
      </c>
      <c r="CD1306">
        <v>2.875</v>
      </c>
      <c r="CE1306">
        <v>2.5</v>
      </c>
      <c r="CF1306">
        <v>18</v>
      </c>
      <c r="CG1306">
        <v>6</v>
      </c>
      <c r="CH1306">
        <v>0</v>
      </c>
      <c r="CI1306">
        <v>63.47</v>
      </c>
      <c r="CJ1306">
        <v>676.25630000000001</v>
      </c>
    </row>
    <row r="1307" spans="1:88">
      <c r="A1307">
        <v>1306</v>
      </c>
      <c r="B1307" t="s">
        <v>0</v>
      </c>
      <c r="C1307" t="s">
        <v>1</v>
      </c>
      <c r="D1307" t="s">
        <v>8</v>
      </c>
      <c r="E1307" t="s">
        <v>19</v>
      </c>
      <c r="F1307" t="s">
        <v>246</v>
      </c>
      <c r="G1307" t="s">
        <v>15</v>
      </c>
      <c r="H1307" t="s">
        <v>247</v>
      </c>
      <c r="J1307">
        <v>2</v>
      </c>
      <c r="K1307" t="s">
        <v>108</v>
      </c>
      <c r="L1307" t="s">
        <v>302</v>
      </c>
      <c r="M1307" t="s">
        <v>433</v>
      </c>
      <c r="N1307" t="s">
        <v>434</v>
      </c>
      <c r="O1307">
        <v>185</v>
      </c>
      <c r="Q1307">
        <v>968</v>
      </c>
      <c r="R1307">
        <v>124</v>
      </c>
      <c r="S1307">
        <v>4.25</v>
      </c>
      <c r="T1307">
        <v>4.8529999999999998</v>
      </c>
      <c r="U1307">
        <v>7.16</v>
      </c>
      <c r="V1307">
        <v>4113.66</v>
      </c>
      <c r="W1307">
        <v>885</v>
      </c>
      <c r="X1307">
        <v>1.3332999999999999</v>
      </c>
      <c r="Y1307">
        <v>666</v>
      </c>
      <c r="Z1307">
        <v>6.18</v>
      </c>
      <c r="AJ1307">
        <v>2</v>
      </c>
      <c r="AK1307">
        <v>18</v>
      </c>
      <c r="AM1307">
        <v>0</v>
      </c>
      <c r="AO1307" t="s">
        <v>250</v>
      </c>
      <c r="AT1307">
        <v>70</v>
      </c>
      <c r="AV1307">
        <v>71.099999999999994</v>
      </c>
      <c r="AW1307" t="s">
        <v>6</v>
      </c>
      <c r="AX1307" t="s">
        <v>6</v>
      </c>
      <c r="AY1307" t="s">
        <v>6</v>
      </c>
      <c r="AZ1307" t="s">
        <v>6</v>
      </c>
      <c r="BA1307" t="s">
        <v>6</v>
      </c>
      <c r="BB1307" t="s">
        <v>6</v>
      </c>
      <c r="BC1307" t="s">
        <v>6</v>
      </c>
      <c r="BD1307" t="s">
        <v>6</v>
      </c>
      <c r="BE1307" t="s">
        <v>6</v>
      </c>
      <c r="BF1307" t="s">
        <v>6</v>
      </c>
      <c r="BG1307" t="s">
        <v>6</v>
      </c>
      <c r="BH1307" t="s">
        <v>6</v>
      </c>
      <c r="BI1307" t="s">
        <v>6</v>
      </c>
      <c r="BJ1307" t="s">
        <v>6</v>
      </c>
      <c r="BN1307">
        <v>606.1585</v>
      </c>
      <c r="BO1307">
        <v>2977</v>
      </c>
      <c r="BP1307">
        <v>0</v>
      </c>
      <c r="BQ1307">
        <v>63</v>
      </c>
      <c r="BR1307">
        <v>63</v>
      </c>
      <c r="BS1307">
        <v>63.47</v>
      </c>
      <c r="BT1307">
        <v>0</v>
      </c>
      <c r="BV1307">
        <v>0</v>
      </c>
      <c r="BW1307" t="s">
        <v>655</v>
      </c>
      <c r="BX1307">
        <v>0.17</v>
      </c>
      <c r="BY1307">
        <v>10.789899999999999</v>
      </c>
      <c r="BZ1307">
        <v>0</v>
      </c>
      <c r="CA1307">
        <v>1</v>
      </c>
      <c r="CB1307">
        <v>0.6</v>
      </c>
      <c r="CC1307" s="3">
        <v>7.1269159999999998E-2</v>
      </c>
      <c r="CD1307">
        <v>2.875</v>
      </c>
      <c r="CE1307">
        <v>2.5</v>
      </c>
      <c r="CF1307">
        <v>18</v>
      </c>
      <c r="CG1307">
        <v>6</v>
      </c>
      <c r="CH1307">
        <v>0</v>
      </c>
      <c r="CI1307">
        <v>63.47</v>
      </c>
      <c r="CJ1307">
        <v>886.03139999999996</v>
      </c>
    </row>
    <row r="1308" spans="1:88">
      <c r="A1308">
        <v>1307</v>
      </c>
      <c r="B1308" t="s">
        <v>0</v>
      </c>
      <c r="C1308" t="s">
        <v>1</v>
      </c>
      <c r="D1308" t="s">
        <v>314</v>
      </c>
      <c r="E1308" t="s">
        <v>113</v>
      </c>
      <c r="F1308" t="s">
        <v>479</v>
      </c>
      <c r="G1308" t="s">
        <v>106</v>
      </c>
      <c r="H1308" t="s">
        <v>594</v>
      </c>
      <c r="J1308">
        <v>2</v>
      </c>
      <c r="K1308" t="s">
        <v>108</v>
      </c>
      <c r="L1308" t="s">
        <v>116</v>
      </c>
      <c r="M1308" t="s">
        <v>117</v>
      </c>
      <c r="N1308" t="s">
        <v>14</v>
      </c>
      <c r="O1308">
        <v>179</v>
      </c>
      <c r="Q1308">
        <v>754</v>
      </c>
      <c r="R1308">
        <v>100</v>
      </c>
      <c r="S1308">
        <v>4.25</v>
      </c>
      <c r="T1308">
        <v>4.7190000000000003</v>
      </c>
      <c r="U1308">
        <v>7.05</v>
      </c>
      <c r="V1308">
        <v>3203.35</v>
      </c>
      <c r="W1308">
        <v>705</v>
      </c>
      <c r="X1308">
        <v>1.3332999999999999</v>
      </c>
      <c r="Y1308">
        <v>529</v>
      </c>
      <c r="Z1308">
        <v>6.05</v>
      </c>
      <c r="AJ1308">
        <v>2</v>
      </c>
      <c r="AK1308">
        <v>18</v>
      </c>
      <c r="AM1308">
        <v>0</v>
      </c>
      <c r="AO1308" t="s">
        <v>571</v>
      </c>
      <c r="AT1308">
        <v>68</v>
      </c>
      <c r="AV1308">
        <v>56.9</v>
      </c>
      <c r="AW1308">
        <v>0.4375</v>
      </c>
      <c r="AX1308">
        <v>3.75</v>
      </c>
      <c r="AY1308">
        <v>53.75</v>
      </c>
      <c r="AZ1308">
        <v>5.25</v>
      </c>
      <c r="BA1308">
        <v>264.73</v>
      </c>
      <c r="BB1308">
        <v>6.21</v>
      </c>
      <c r="BC1308">
        <v>54</v>
      </c>
      <c r="BD1308">
        <v>0.4375</v>
      </c>
      <c r="BE1308">
        <v>3.75</v>
      </c>
      <c r="BF1308">
        <v>53.75</v>
      </c>
      <c r="BG1308">
        <v>5.25</v>
      </c>
      <c r="BH1308">
        <v>264.73</v>
      </c>
      <c r="BI1308">
        <v>6.21</v>
      </c>
      <c r="BJ1308">
        <v>54</v>
      </c>
      <c r="BL1308">
        <v>529.46</v>
      </c>
      <c r="BM1308">
        <v>108</v>
      </c>
      <c r="BN1308">
        <v>272.85000000000002</v>
      </c>
      <c r="BO1308">
        <v>1394</v>
      </c>
      <c r="BP1308">
        <v>0</v>
      </c>
      <c r="BQ1308">
        <v>61</v>
      </c>
      <c r="BR1308">
        <v>61</v>
      </c>
      <c r="BS1308">
        <v>61.39</v>
      </c>
      <c r="BT1308">
        <v>0</v>
      </c>
      <c r="BV1308">
        <v>0</v>
      </c>
      <c r="BW1308" t="s">
        <v>655</v>
      </c>
      <c r="BX1308">
        <v>0.17</v>
      </c>
      <c r="BY1308">
        <v>10.436299999999999</v>
      </c>
      <c r="BZ1308">
        <v>0</v>
      </c>
      <c r="CA1308">
        <v>1</v>
      </c>
      <c r="CB1308">
        <v>0.6</v>
      </c>
      <c r="CC1308" s="3">
        <v>7.1269159999999998E-2</v>
      </c>
      <c r="CD1308">
        <v>2.875</v>
      </c>
      <c r="CE1308">
        <v>2.5</v>
      </c>
      <c r="CF1308">
        <v>18</v>
      </c>
      <c r="CG1308">
        <v>6</v>
      </c>
      <c r="CH1308">
        <v>0</v>
      </c>
      <c r="CI1308">
        <v>61.39</v>
      </c>
      <c r="CJ1308">
        <v>686.36159999999995</v>
      </c>
    </row>
    <row r="1309" spans="1:88">
      <c r="A1309">
        <v>1308</v>
      </c>
      <c r="B1309" t="s">
        <v>0</v>
      </c>
      <c r="C1309" t="s">
        <v>1</v>
      </c>
      <c r="D1309" t="s">
        <v>195</v>
      </c>
      <c r="E1309" t="s">
        <v>14</v>
      </c>
      <c r="F1309" t="s">
        <v>435</v>
      </c>
      <c r="G1309" t="s">
        <v>106</v>
      </c>
      <c r="H1309" t="s">
        <v>363</v>
      </c>
      <c r="J1309">
        <v>2</v>
      </c>
      <c r="K1309" t="s">
        <v>146</v>
      </c>
      <c r="L1309" t="s">
        <v>17</v>
      </c>
      <c r="M1309" t="s">
        <v>18</v>
      </c>
      <c r="N1309" t="s">
        <v>19</v>
      </c>
      <c r="O1309">
        <v>182</v>
      </c>
      <c r="Q1309">
        <v>677</v>
      </c>
      <c r="R1309">
        <v>89</v>
      </c>
      <c r="S1309">
        <v>4.25</v>
      </c>
      <c r="T1309">
        <v>4.7859999999999996</v>
      </c>
      <c r="U1309">
        <v>7.12</v>
      </c>
      <c r="V1309">
        <v>2877.71</v>
      </c>
      <c r="W1309">
        <v>637</v>
      </c>
      <c r="X1309">
        <v>1.3332999999999999</v>
      </c>
      <c r="Y1309">
        <v>471</v>
      </c>
      <c r="Z1309">
        <v>6.11</v>
      </c>
      <c r="AJ1309">
        <v>2</v>
      </c>
      <c r="AK1309">
        <v>18</v>
      </c>
      <c r="AM1309">
        <v>0</v>
      </c>
      <c r="AO1309" t="s">
        <v>461</v>
      </c>
      <c r="AT1309">
        <v>69</v>
      </c>
      <c r="AV1309">
        <v>50.2</v>
      </c>
      <c r="AW1309">
        <v>0.4375</v>
      </c>
      <c r="AX1309">
        <v>3.75</v>
      </c>
      <c r="AY1309">
        <v>54.875</v>
      </c>
      <c r="AZ1309">
        <v>5.375</v>
      </c>
      <c r="BA1309">
        <v>259.02999999999997</v>
      </c>
      <c r="BB1309">
        <v>6.35</v>
      </c>
      <c r="BC1309">
        <v>56</v>
      </c>
      <c r="BD1309">
        <v>0.40625</v>
      </c>
      <c r="BE1309">
        <v>3.75</v>
      </c>
      <c r="BF1309">
        <v>45.875</v>
      </c>
      <c r="BG1309">
        <v>5</v>
      </c>
      <c r="BH1309">
        <v>211.95</v>
      </c>
      <c r="BI1309">
        <v>6.24</v>
      </c>
      <c r="BJ1309">
        <v>44</v>
      </c>
      <c r="BL1309">
        <v>470.98</v>
      </c>
      <c r="BM1309">
        <v>99</v>
      </c>
      <c r="BN1309">
        <v>240.75</v>
      </c>
      <c r="BO1309">
        <v>1790</v>
      </c>
      <c r="BP1309">
        <v>0</v>
      </c>
      <c r="BQ1309">
        <v>62</v>
      </c>
      <c r="BR1309">
        <v>62</v>
      </c>
      <c r="BS1309">
        <v>62.43</v>
      </c>
      <c r="BT1309">
        <v>0</v>
      </c>
      <c r="BV1309">
        <v>0</v>
      </c>
      <c r="BW1309" t="s">
        <v>655</v>
      </c>
      <c r="BX1309">
        <v>0.17</v>
      </c>
      <c r="BY1309">
        <v>10.613099999999999</v>
      </c>
      <c r="BZ1309">
        <v>0</v>
      </c>
      <c r="CA1309">
        <v>1</v>
      </c>
      <c r="CB1309">
        <v>0.6</v>
      </c>
      <c r="CC1309" s="3">
        <v>7.1269159999999998E-2</v>
      </c>
      <c r="CD1309">
        <v>2.875</v>
      </c>
      <c r="CE1309">
        <v>2.5</v>
      </c>
      <c r="CF1309">
        <v>18</v>
      </c>
      <c r="CG1309">
        <v>6</v>
      </c>
      <c r="CH1309">
        <v>0</v>
      </c>
      <c r="CI1309">
        <v>62.43</v>
      </c>
      <c r="CJ1309">
        <v>616.23270000000002</v>
      </c>
    </row>
    <row r="1310" spans="1:88">
      <c r="A1310">
        <v>1309</v>
      </c>
      <c r="B1310" t="s">
        <v>13</v>
      </c>
      <c r="C1310" t="s">
        <v>1</v>
      </c>
      <c r="D1310" t="s">
        <v>8</v>
      </c>
      <c r="E1310" t="s">
        <v>190</v>
      </c>
      <c r="F1310" t="s">
        <v>246</v>
      </c>
      <c r="G1310" t="s">
        <v>214</v>
      </c>
      <c r="H1310" t="s">
        <v>247</v>
      </c>
      <c r="J1310">
        <v>2</v>
      </c>
      <c r="K1310" t="s">
        <v>108</v>
      </c>
      <c r="L1310" t="s">
        <v>340</v>
      </c>
      <c r="M1310" t="s">
        <v>406</v>
      </c>
      <c r="N1310" t="s">
        <v>369</v>
      </c>
      <c r="O1310">
        <v>118</v>
      </c>
      <c r="Q1310">
        <v>639</v>
      </c>
      <c r="R1310">
        <v>124</v>
      </c>
      <c r="S1310">
        <v>4.25</v>
      </c>
      <c r="T1310">
        <v>3.2570000000000001</v>
      </c>
      <c r="U1310">
        <v>6.15</v>
      </c>
      <c r="V1310">
        <v>2714.43</v>
      </c>
      <c r="W1310">
        <v>760</v>
      </c>
      <c r="X1310">
        <v>1.3332999999999999</v>
      </c>
      <c r="Y1310">
        <v>591</v>
      </c>
      <c r="Z1310">
        <v>4.59</v>
      </c>
      <c r="AJ1310">
        <v>2</v>
      </c>
      <c r="AK1310">
        <v>18</v>
      </c>
      <c r="AM1310">
        <v>0</v>
      </c>
      <c r="AO1310" t="s">
        <v>250</v>
      </c>
      <c r="AT1310">
        <v>46</v>
      </c>
      <c r="AV1310">
        <v>71.099999999999994</v>
      </c>
      <c r="AW1310" t="s">
        <v>6</v>
      </c>
      <c r="AX1310" t="s">
        <v>6</v>
      </c>
      <c r="AY1310" t="s">
        <v>6</v>
      </c>
      <c r="AZ1310" t="s">
        <v>6</v>
      </c>
      <c r="BA1310" t="s">
        <v>6</v>
      </c>
      <c r="BB1310" t="s">
        <v>6</v>
      </c>
      <c r="BC1310" t="s">
        <v>6</v>
      </c>
      <c r="BD1310" t="s">
        <v>6</v>
      </c>
      <c r="BE1310" t="s">
        <v>6</v>
      </c>
      <c r="BF1310" t="s">
        <v>6</v>
      </c>
      <c r="BG1310" t="s">
        <v>6</v>
      </c>
      <c r="BH1310" t="s">
        <v>6</v>
      </c>
      <c r="BI1310" t="s">
        <v>6</v>
      </c>
      <c r="BJ1310" t="s">
        <v>6</v>
      </c>
      <c r="BN1310">
        <v>345.28</v>
      </c>
      <c r="BO1310">
        <v>1092</v>
      </c>
      <c r="BP1310">
        <v>0</v>
      </c>
      <c r="BQ1310">
        <v>40</v>
      </c>
      <c r="BR1310">
        <v>40</v>
      </c>
      <c r="BS1310">
        <v>40.17</v>
      </c>
      <c r="BT1310">
        <v>0</v>
      </c>
      <c r="BV1310">
        <v>0</v>
      </c>
      <c r="BW1310" t="s">
        <v>655</v>
      </c>
      <c r="BX1310">
        <v>0.17</v>
      </c>
      <c r="BY1310">
        <v>6.8289</v>
      </c>
      <c r="BZ1310">
        <v>0</v>
      </c>
      <c r="CA1310">
        <v>1</v>
      </c>
      <c r="CB1310">
        <v>0.6</v>
      </c>
      <c r="CC1310" s="3">
        <v>7.1269159999999998E-2</v>
      </c>
      <c r="CD1310">
        <v>2.875</v>
      </c>
      <c r="CE1310">
        <v>2.5</v>
      </c>
      <c r="CF1310">
        <v>18</v>
      </c>
      <c r="CG1310">
        <v>6</v>
      </c>
      <c r="CH1310">
        <v>0</v>
      </c>
      <c r="CI1310">
        <v>40.17</v>
      </c>
      <c r="CJ1310">
        <v>560.76700000000005</v>
      </c>
    </row>
    <row r="1311" spans="1:88">
      <c r="A1311">
        <v>1310</v>
      </c>
      <c r="B1311" t="s">
        <v>0</v>
      </c>
      <c r="C1311" t="s">
        <v>1</v>
      </c>
      <c r="D1311" t="s">
        <v>341</v>
      </c>
      <c r="E1311" t="s">
        <v>438</v>
      </c>
      <c r="F1311" t="s">
        <v>343</v>
      </c>
      <c r="G1311" t="s">
        <v>106</v>
      </c>
      <c r="H1311" t="s">
        <v>344</v>
      </c>
      <c r="J1311">
        <v>2</v>
      </c>
      <c r="K1311" t="s">
        <v>146</v>
      </c>
      <c r="L1311" t="s">
        <v>399</v>
      </c>
      <c r="M1311" t="s">
        <v>467</v>
      </c>
      <c r="N1311" t="s">
        <v>382</v>
      </c>
      <c r="O1311">
        <v>97</v>
      </c>
      <c r="Q1311">
        <v>210</v>
      </c>
      <c r="R1311">
        <v>48</v>
      </c>
      <c r="S1311">
        <v>4.25</v>
      </c>
      <c r="T1311">
        <v>2.7040000000000002</v>
      </c>
      <c r="U1311">
        <v>5.85</v>
      </c>
      <c r="V1311">
        <v>891.6</v>
      </c>
      <c r="W1311">
        <v>283</v>
      </c>
      <c r="X1311">
        <v>1.3332999999999999</v>
      </c>
      <c r="Y1311">
        <v>221</v>
      </c>
      <c r="Z1311">
        <v>4.03</v>
      </c>
      <c r="AJ1311">
        <v>2</v>
      </c>
      <c r="AK1311">
        <v>18</v>
      </c>
      <c r="AM1311">
        <v>0</v>
      </c>
      <c r="AO1311" t="s">
        <v>347</v>
      </c>
      <c r="AT1311">
        <v>39</v>
      </c>
      <c r="AV1311">
        <v>27.4</v>
      </c>
      <c r="AW1311">
        <v>0</v>
      </c>
      <c r="AX1311">
        <v>0</v>
      </c>
      <c r="AY1311">
        <v>29.25</v>
      </c>
      <c r="AZ1311">
        <v>3</v>
      </c>
      <c r="BA1311">
        <v>0</v>
      </c>
      <c r="BB1311">
        <v>0</v>
      </c>
      <c r="BC1311">
        <v>26</v>
      </c>
      <c r="BN1311">
        <v>128.4</v>
      </c>
      <c r="BO1311">
        <v>6294</v>
      </c>
      <c r="BP1311">
        <v>0</v>
      </c>
      <c r="BQ1311">
        <v>33</v>
      </c>
      <c r="BR1311">
        <v>33</v>
      </c>
      <c r="BS1311">
        <v>32.86</v>
      </c>
      <c r="BT1311">
        <v>0</v>
      </c>
      <c r="BV1311">
        <v>0</v>
      </c>
      <c r="BW1311" t="s">
        <v>655</v>
      </c>
      <c r="BX1311">
        <v>0.17</v>
      </c>
      <c r="BY1311">
        <v>5.5861999999999998</v>
      </c>
      <c r="BZ1311">
        <v>0</v>
      </c>
      <c r="CA1311">
        <v>1</v>
      </c>
      <c r="CB1311">
        <v>0.6</v>
      </c>
      <c r="CC1311" s="3">
        <v>7.1269159999999998E-2</v>
      </c>
      <c r="CD1311">
        <v>2.875</v>
      </c>
      <c r="CE1311">
        <v>2.5</v>
      </c>
      <c r="CF1311">
        <v>18</v>
      </c>
      <c r="CG1311">
        <v>6</v>
      </c>
      <c r="CH1311">
        <v>0</v>
      </c>
      <c r="CI1311">
        <v>32.86</v>
      </c>
      <c r="CJ1311">
        <v>176.81379999999999</v>
      </c>
    </row>
    <row r="1312" spans="1:88">
      <c r="A1312">
        <v>1311</v>
      </c>
      <c r="B1312" t="s">
        <v>13</v>
      </c>
      <c r="C1312" t="s">
        <v>1</v>
      </c>
      <c r="D1312" t="s">
        <v>330</v>
      </c>
      <c r="E1312" t="s">
        <v>176</v>
      </c>
      <c r="F1312" t="s">
        <v>490</v>
      </c>
      <c r="G1312" t="s">
        <v>106</v>
      </c>
      <c r="H1312" t="s">
        <v>338</v>
      </c>
      <c r="J1312">
        <v>2</v>
      </c>
      <c r="K1312" t="s">
        <v>146</v>
      </c>
      <c r="L1312" t="s">
        <v>167</v>
      </c>
      <c r="M1312" t="s">
        <v>226</v>
      </c>
      <c r="N1312" t="s">
        <v>227</v>
      </c>
      <c r="O1312">
        <v>113</v>
      </c>
      <c r="Q1312">
        <v>405</v>
      </c>
      <c r="R1312">
        <v>84</v>
      </c>
      <c r="S1312">
        <v>4.25</v>
      </c>
      <c r="T1312">
        <v>3.1280000000000001</v>
      </c>
      <c r="U1312">
        <v>6.18</v>
      </c>
      <c r="V1312">
        <v>1721.71</v>
      </c>
      <c r="W1312">
        <v>517</v>
      </c>
      <c r="X1312">
        <v>1.3332999999999999</v>
      </c>
      <c r="Y1312">
        <v>386</v>
      </c>
      <c r="Z1312">
        <v>4.46</v>
      </c>
      <c r="AJ1312">
        <v>2</v>
      </c>
      <c r="AK1312">
        <v>18</v>
      </c>
      <c r="AM1312">
        <v>0</v>
      </c>
      <c r="AO1312" t="s">
        <v>339</v>
      </c>
      <c r="AT1312">
        <v>45</v>
      </c>
      <c r="AV1312">
        <v>46.6</v>
      </c>
      <c r="AW1312">
        <v>0</v>
      </c>
      <c r="AX1312">
        <v>0</v>
      </c>
      <c r="AY1312">
        <v>52.5</v>
      </c>
      <c r="AZ1312">
        <v>4.125</v>
      </c>
      <c r="BA1312">
        <v>0</v>
      </c>
      <c r="BB1312">
        <v>0</v>
      </c>
      <c r="BC1312">
        <v>56</v>
      </c>
      <c r="BN1312">
        <v>222.91669999999999</v>
      </c>
      <c r="BO1312">
        <v>2088</v>
      </c>
      <c r="BP1312">
        <v>0</v>
      </c>
      <c r="BQ1312">
        <v>38</v>
      </c>
      <c r="BR1312">
        <v>38</v>
      </c>
      <c r="BS1312">
        <v>38.43</v>
      </c>
      <c r="BT1312">
        <v>0</v>
      </c>
      <c r="BV1312">
        <v>0</v>
      </c>
      <c r="BW1312" t="s">
        <v>655</v>
      </c>
      <c r="BX1312">
        <v>0.17</v>
      </c>
      <c r="BY1312">
        <v>6.5331000000000001</v>
      </c>
      <c r="BZ1312">
        <v>0</v>
      </c>
      <c r="CA1312">
        <v>1</v>
      </c>
      <c r="CB1312">
        <v>0.6</v>
      </c>
      <c r="CC1312" s="3">
        <v>7.1269159999999998E-2</v>
      </c>
      <c r="CD1312">
        <v>2.875</v>
      </c>
      <c r="CE1312">
        <v>2.5</v>
      </c>
      <c r="CF1312">
        <v>18</v>
      </c>
      <c r="CG1312">
        <v>6</v>
      </c>
      <c r="CH1312">
        <v>0</v>
      </c>
      <c r="CI1312">
        <v>38.43</v>
      </c>
      <c r="CJ1312">
        <v>351.94529999999997</v>
      </c>
    </row>
    <row r="1313" spans="1:88">
      <c r="A1313">
        <v>1312</v>
      </c>
      <c r="B1313" t="s">
        <v>0</v>
      </c>
      <c r="C1313" t="s">
        <v>1</v>
      </c>
      <c r="D1313" t="s">
        <v>123</v>
      </c>
      <c r="E1313" t="s">
        <v>328</v>
      </c>
      <c r="F1313" t="s">
        <v>118</v>
      </c>
      <c r="G1313" t="s">
        <v>15</v>
      </c>
      <c r="H1313" t="s">
        <v>386</v>
      </c>
      <c r="J1313">
        <v>2</v>
      </c>
      <c r="K1313" t="s">
        <v>440</v>
      </c>
      <c r="L1313" t="s">
        <v>547</v>
      </c>
      <c r="M1313" t="s">
        <v>614</v>
      </c>
      <c r="N1313" t="s">
        <v>615</v>
      </c>
      <c r="O1313">
        <v>251</v>
      </c>
      <c r="Q1313">
        <v>1162</v>
      </c>
      <c r="R1313">
        <v>121</v>
      </c>
      <c r="S1313">
        <v>4.25</v>
      </c>
      <c r="T1313">
        <v>6.2389999999999999</v>
      </c>
      <c r="U1313">
        <v>8.0600009999999997</v>
      </c>
      <c r="V1313">
        <v>4937.99</v>
      </c>
      <c r="W1313">
        <v>976</v>
      </c>
      <c r="X1313">
        <v>1.5</v>
      </c>
      <c r="Y1313">
        <v>639</v>
      </c>
      <c r="Z1313">
        <v>7.73</v>
      </c>
      <c r="AJ1313">
        <v>2</v>
      </c>
      <c r="AK1313">
        <v>18</v>
      </c>
      <c r="AM1313">
        <v>0</v>
      </c>
      <c r="AO1313" t="s">
        <v>357</v>
      </c>
      <c r="AT1313">
        <v>93</v>
      </c>
      <c r="AV1313">
        <v>63.8</v>
      </c>
      <c r="AW1313" t="s">
        <v>6</v>
      </c>
      <c r="AX1313" t="s">
        <v>6</v>
      </c>
      <c r="AY1313" t="s">
        <v>6</v>
      </c>
      <c r="AZ1313" t="s">
        <v>6</v>
      </c>
      <c r="BA1313" t="s">
        <v>6</v>
      </c>
      <c r="BB1313" t="s">
        <v>6</v>
      </c>
      <c r="BC1313" t="s">
        <v>6</v>
      </c>
      <c r="BD1313" t="s">
        <v>6</v>
      </c>
      <c r="BE1313" t="s">
        <v>6</v>
      </c>
      <c r="BF1313" t="s">
        <v>6</v>
      </c>
      <c r="BG1313" t="s">
        <v>6</v>
      </c>
      <c r="BH1313" t="s">
        <v>6</v>
      </c>
      <c r="BI1313" t="s">
        <v>6</v>
      </c>
      <c r="BJ1313" t="s">
        <v>6</v>
      </c>
      <c r="BN1313">
        <v>543.01700000000005</v>
      </c>
      <c r="BO1313">
        <v>3710</v>
      </c>
      <c r="BP1313">
        <v>0</v>
      </c>
      <c r="BQ1313">
        <v>86</v>
      </c>
      <c r="BR1313">
        <v>86</v>
      </c>
      <c r="BS1313">
        <v>86.43</v>
      </c>
      <c r="BT1313">
        <v>0</v>
      </c>
      <c r="BU1313" t="s">
        <v>444</v>
      </c>
      <c r="BV1313">
        <v>0</v>
      </c>
      <c r="BW1313" t="s">
        <v>655</v>
      </c>
      <c r="BX1313">
        <v>0.17</v>
      </c>
      <c r="BY1313">
        <v>14.693099999999999</v>
      </c>
      <c r="BZ1313">
        <v>0</v>
      </c>
      <c r="CA1313">
        <v>1</v>
      </c>
      <c r="CB1313">
        <v>0.6</v>
      </c>
      <c r="CC1313" s="3">
        <v>7.1269159999999998E-2</v>
      </c>
      <c r="CD1313">
        <v>2.875</v>
      </c>
      <c r="CE1313">
        <v>2.5</v>
      </c>
      <c r="CF1313">
        <v>18</v>
      </c>
      <c r="CG1313">
        <v>6</v>
      </c>
      <c r="CH1313">
        <v>0</v>
      </c>
      <c r="CI1313">
        <v>86.43</v>
      </c>
      <c r="CJ1313">
        <v>1083.354</v>
      </c>
    </row>
    <row r="1314" spans="1:88">
      <c r="A1314">
        <v>1313</v>
      </c>
      <c r="B1314" t="s">
        <v>0</v>
      </c>
      <c r="C1314" t="s">
        <v>1</v>
      </c>
      <c r="D1314" t="s">
        <v>143</v>
      </c>
      <c r="E1314" t="s">
        <v>185</v>
      </c>
      <c r="F1314" t="s">
        <v>144</v>
      </c>
      <c r="G1314" t="s">
        <v>106</v>
      </c>
      <c r="H1314" t="s">
        <v>145</v>
      </c>
      <c r="J1314">
        <v>2</v>
      </c>
      <c r="K1314" t="s">
        <v>146</v>
      </c>
      <c r="L1314" t="s">
        <v>466</v>
      </c>
      <c r="M1314" t="s">
        <v>294</v>
      </c>
      <c r="N1314" t="s">
        <v>143</v>
      </c>
      <c r="O1314">
        <v>152</v>
      </c>
      <c r="Q1314">
        <v>609</v>
      </c>
      <c r="R1314">
        <v>95</v>
      </c>
      <c r="S1314">
        <v>4.25</v>
      </c>
      <c r="T1314">
        <v>4.0949999999999998</v>
      </c>
      <c r="U1314">
        <v>6.75</v>
      </c>
      <c r="V1314">
        <v>2588.29</v>
      </c>
      <c r="W1314">
        <v>639</v>
      </c>
      <c r="X1314">
        <v>1.3332999999999999</v>
      </c>
      <c r="Y1314">
        <v>478</v>
      </c>
      <c r="Z1314">
        <v>5.42</v>
      </c>
      <c r="AJ1314">
        <v>2</v>
      </c>
      <c r="AK1314">
        <v>18</v>
      </c>
      <c r="AM1314">
        <v>0</v>
      </c>
      <c r="AO1314" t="s">
        <v>149</v>
      </c>
      <c r="AT1314">
        <v>58</v>
      </c>
      <c r="AV1314">
        <v>53.5</v>
      </c>
      <c r="AW1314">
        <v>0.46875</v>
      </c>
      <c r="AX1314">
        <v>3.75</v>
      </c>
      <c r="AY1314">
        <v>55.75</v>
      </c>
      <c r="AZ1314">
        <v>5.125</v>
      </c>
      <c r="BA1314">
        <v>363.62</v>
      </c>
      <c r="BB1314">
        <v>5.42</v>
      </c>
      <c r="BC1314">
        <v>60</v>
      </c>
      <c r="BD1314">
        <v>0.3125</v>
      </c>
      <c r="BE1314">
        <v>2.75</v>
      </c>
      <c r="BF1314">
        <v>31.625</v>
      </c>
      <c r="BG1314">
        <v>3.375</v>
      </c>
      <c r="BH1314">
        <v>113.92</v>
      </c>
      <c r="BI1314">
        <v>5.61</v>
      </c>
      <c r="BJ1314">
        <v>17</v>
      </c>
      <c r="BL1314">
        <v>477.54</v>
      </c>
      <c r="BM1314">
        <v>76</v>
      </c>
      <c r="BN1314">
        <v>256.80009999999999</v>
      </c>
      <c r="BO1314">
        <v>1574</v>
      </c>
      <c r="BP1314">
        <v>0</v>
      </c>
      <c r="BQ1314">
        <v>52</v>
      </c>
      <c r="BR1314">
        <v>52</v>
      </c>
      <c r="BS1314">
        <v>52</v>
      </c>
      <c r="BT1314">
        <v>0</v>
      </c>
      <c r="BV1314">
        <v>0</v>
      </c>
      <c r="BW1314" t="s">
        <v>655</v>
      </c>
      <c r="BX1314">
        <v>0.17</v>
      </c>
      <c r="BY1314">
        <v>8.84</v>
      </c>
      <c r="BZ1314">
        <v>0</v>
      </c>
      <c r="CA1314">
        <v>1</v>
      </c>
      <c r="CB1314">
        <v>0.6</v>
      </c>
      <c r="CC1314" s="3">
        <v>7.1269159999999998E-2</v>
      </c>
      <c r="CD1314">
        <v>2.875</v>
      </c>
      <c r="CE1314">
        <v>2.5</v>
      </c>
      <c r="CF1314">
        <v>18</v>
      </c>
      <c r="CG1314">
        <v>6</v>
      </c>
      <c r="CH1314">
        <v>0</v>
      </c>
      <c r="CI1314">
        <v>52</v>
      </c>
      <c r="CJ1314">
        <v>546.63440000000003</v>
      </c>
    </row>
    <row r="1315" spans="1:88">
      <c r="A1315">
        <v>1314</v>
      </c>
      <c r="B1315" t="s">
        <v>0</v>
      </c>
      <c r="C1315" t="s">
        <v>1</v>
      </c>
      <c r="D1315" t="s">
        <v>438</v>
      </c>
      <c r="E1315" t="s">
        <v>136</v>
      </c>
      <c r="F1315" t="s">
        <v>319</v>
      </c>
      <c r="G1315" t="s">
        <v>106</v>
      </c>
      <c r="H1315" t="s">
        <v>464</v>
      </c>
      <c r="J1315">
        <v>2</v>
      </c>
      <c r="K1315" t="s">
        <v>146</v>
      </c>
      <c r="L1315" t="s">
        <v>150</v>
      </c>
      <c r="M1315" t="s">
        <v>140</v>
      </c>
      <c r="N1315" t="s">
        <v>141</v>
      </c>
      <c r="O1315">
        <v>91</v>
      </c>
      <c r="Q1315">
        <v>234</v>
      </c>
      <c r="R1315">
        <v>61</v>
      </c>
      <c r="S1315">
        <v>4.25</v>
      </c>
      <c r="T1315">
        <v>2.54</v>
      </c>
      <c r="U1315">
        <v>5.73</v>
      </c>
      <c r="V1315">
        <v>994.67</v>
      </c>
      <c r="W1315">
        <v>351</v>
      </c>
      <c r="X1315">
        <v>1.3332999999999999</v>
      </c>
      <c r="Y1315">
        <v>257</v>
      </c>
      <c r="Z1315">
        <v>3.87</v>
      </c>
      <c r="AJ1315">
        <v>2</v>
      </c>
      <c r="AK1315">
        <v>18</v>
      </c>
      <c r="AM1315">
        <v>0</v>
      </c>
      <c r="AO1315" t="s">
        <v>408</v>
      </c>
      <c r="AT1315">
        <v>37</v>
      </c>
      <c r="AV1315">
        <v>32.4</v>
      </c>
      <c r="AW1315">
        <v>0</v>
      </c>
      <c r="AX1315">
        <v>0</v>
      </c>
      <c r="AY1315">
        <v>25.125</v>
      </c>
      <c r="AZ1315">
        <v>2.875</v>
      </c>
      <c r="BA1315">
        <v>0</v>
      </c>
      <c r="BB1315">
        <v>0</v>
      </c>
      <c r="BC1315">
        <v>22</v>
      </c>
      <c r="BN1315">
        <v>153.36670000000001</v>
      </c>
      <c r="BO1315">
        <v>4412</v>
      </c>
      <c r="BP1315">
        <v>0</v>
      </c>
      <c r="BQ1315">
        <v>31</v>
      </c>
      <c r="BR1315">
        <v>31</v>
      </c>
      <c r="BS1315">
        <v>30.78</v>
      </c>
      <c r="BT1315">
        <v>0</v>
      </c>
      <c r="BV1315">
        <v>0</v>
      </c>
      <c r="BW1315" t="s">
        <v>655</v>
      </c>
      <c r="BX1315">
        <v>0.17</v>
      </c>
      <c r="BY1315">
        <v>5.2325999999999997</v>
      </c>
      <c r="BZ1315">
        <v>0</v>
      </c>
      <c r="CA1315">
        <v>1</v>
      </c>
      <c r="CB1315">
        <v>0.6</v>
      </c>
      <c r="CC1315" s="3">
        <v>7.1269159999999998E-2</v>
      </c>
      <c r="CD1315">
        <v>2.875</v>
      </c>
      <c r="CE1315">
        <v>2.5</v>
      </c>
      <c r="CF1315">
        <v>18</v>
      </c>
      <c r="CG1315">
        <v>6</v>
      </c>
      <c r="CH1315">
        <v>0</v>
      </c>
      <c r="CI1315">
        <v>30.78</v>
      </c>
      <c r="CJ1315">
        <v>196.333</v>
      </c>
    </row>
    <row r="1316" spans="1:88">
      <c r="A1316">
        <v>1315</v>
      </c>
      <c r="B1316" t="s">
        <v>0</v>
      </c>
      <c r="C1316" t="s">
        <v>1</v>
      </c>
      <c r="D1316" t="s">
        <v>470</v>
      </c>
      <c r="E1316" t="s">
        <v>113</v>
      </c>
      <c r="F1316" t="s">
        <v>587</v>
      </c>
      <c r="G1316" t="s">
        <v>15</v>
      </c>
      <c r="H1316" t="s">
        <v>470</v>
      </c>
      <c r="J1316">
        <v>2</v>
      </c>
      <c r="K1316" t="s">
        <v>9</v>
      </c>
      <c r="L1316" t="s">
        <v>116</v>
      </c>
      <c r="M1316" t="s">
        <v>117</v>
      </c>
      <c r="N1316" t="s">
        <v>14</v>
      </c>
      <c r="O1316">
        <v>179</v>
      </c>
      <c r="Q1316">
        <v>1116</v>
      </c>
      <c r="R1316">
        <v>146</v>
      </c>
      <c r="S1316">
        <v>4.25</v>
      </c>
      <c r="T1316">
        <v>4.7190000000000003</v>
      </c>
      <c r="U1316">
        <v>7.05</v>
      </c>
      <c r="V1316">
        <v>4742.1899999999996</v>
      </c>
      <c r="W1316">
        <v>1031</v>
      </c>
      <c r="X1316">
        <v>1.3332999999999999</v>
      </c>
      <c r="Y1316">
        <v>784</v>
      </c>
      <c r="Z1316">
        <v>6.05</v>
      </c>
      <c r="AJ1316">
        <v>2</v>
      </c>
      <c r="AK1316">
        <v>18</v>
      </c>
      <c r="AM1316">
        <v>0</v>
      </c>
      <c r="AO1316" t="s">
        <v>588</v>
      </c>
      <c r="AT1316">
        <v>68</v>
      </c>
      <c r="AV1316">
        <v>84.1</v>
      </c>
      <c r="AW1316" t="s">
        <v>6</v>
      </c>
      <c r="AX1316" t="s">
        <v>6</v>
      </c>
      <c r="AY1316" t="s">
        <v>6</v>
      </c>
      <c r="AZ1316" t="s">
        <v>6</v>
      </c>
      <c r="BA1316" t="s">
        <v>6</v>
      </c>
      <c r="BB1316" t="s">
        <v>6</v>
      </c>
      <c r="BC1316" t="s">
        <v>6</v>
      </c>
      <c r="BD1316" t="s">
        <v>6</v>
      </c>
      <c r="BE1316" t="s">
        <v>6</v>
      </c>
      <c r="BF1316" t="s">
        <v>6</v>
      </c>
      <c r="BG1316" t="s">
        <v>6</v>
      </c>
      <c r="BH1316" t="s">
        <v>6</v>
      </c>
      <c r="BI1316" t="s">
        <v>6</v>
      </c>
      <c r="BJ1316" t="s">
        <v>6</v>
      </c>
      <c r="BN1316">
        <v>719.81320000000005</v>
      </c>
      <c r="BO1316">
        <v>2111</v>
      </c>
      <c r="BP1316">
        <v>0</v>
      </c>
      <c r="BQ1316">
        <v>61</v>
      </c>
      <c r="BR1316">
        <v>61</v>
      </c>
      <c r="BS1316">
        <v>61.39</v>
      </c>
      <c r="BT1316">
        <v>0</v>
      </c>
      <c r="BV1316">
        <v>6</v>
      </c>
      <c r="BW1316" t="s">
        <v>655</v>
      </c>
      <c r="BX1316">
        <v>0.27933330000000001</v>
      </c>
      <c r="BY1316">
        <v>17.14827</v>
      </c>
      <c r="BZ1316">
        <v>0</v>
      </c>
      <c r="CA1316">
        <v>1</v>
      </c>
      <c r="CB1316">
        <v>0.6</v>
      </c>
      <c r="CC1316" s="3">
        <v>7.1269159999999998E-2</v>
      </c>
      <c r="CD1316">
        <v>2.875</v>
      </c>
      <c r="CE1316">
        <v>2.5</v>
      </c>
      <c r="CF1316">
        <v>18</v>
      </c>
      <c r="CG1316">
        <v>6</v>
      </c>
      <c r="CH1316">
        <v>0</v>
      </c>
      <c r="CI1316">
        <v>61.39</v>
      </c>
      <c r="CJ1316">
        <v>1014.503</v>
      </c>
    </row>
    <row r="1317" spans="1:88">
      <c r="A1317">
        <v>1316</v>
      </c>
      <c r="B1317" t="s">
        <v>0</v>
      </c>
      <c r="C1317" t="s">
        <v>1</v>
      </c>
      <c r="D1317" t="s">
        <v>113</v>
      </c>
      <c r="E1317" t="s">
        <v>123</v>
      </c>
      <c r="F1317" t="s">
        <v>262</v>
      </c>
      <c r="G1317" t="s">
        <v>214</v>
      </c>
      <c r="H1317" t="s">
        <v>263</v>
      </c>
      <c r="J1317">
        <v>2</v>
      </c>
      <c r="K1317" t="s">
        <v>108</v>
      </c>
      <c r="L1317" t="s">
        <v>8</v>
      </c>
      <c r="M1317" t="s">
        <v>147</v>
      </c>
      <c r="N1317" t="s">
        <v>148</v>
      </c>
      <c r="O1317">
        <v>183</v>
      </c>
      <c r="Q1317">
        <v>842</v>
      </c>
      <c r="R1317">
        <v>109</v>
      </c>
      <c r="S1317">
        <v>4.25</v>
      </c>
      <c r="T1317">
        <v>4.8079999999999998</v>
      </c>
      <c r="U1317">
        <v>7.12</v>
      </c>
      <c r="V1317">
        <v>3578.75</v>
      </c>
      <c r="W1317">
        <v>773</v>
      </c>
      <c r="X1317">
        <v>1.3332999999999999</v>
      </c>
      <c r="Y1317">
        <v>583</v>
      </c>
      <c r="Z1317">
        <v>6.14</v>
      </c>
      <c r="AJ1317">
        <v>2</v>
      </c>
      <c r="AK1317">
        <v>18</v>
      </c>
      <c r="AM1317">
        <v>0</v>
      </c>
      <c r="AO1317" t="s">
        <v>266</v>
      </c>
      <c r="AT1317">
        <v>69</v>
      </c>
      <c r="AV1317">
        <v>62.3</v>
      </c>
      <c r="AW1317">
        <v>0.46875</v>
      </c>
      <c r="AX1317">
        <v>3.75</v>
      </c>
      <c r="AY1317">
        <v>63.25</v>
      </c>
      <c r="AZ1317">
        <v>5.75</v>
      </c>
      <c r="BA1317">
        <v>320.56</v>
      </c>
      <c r="BB1317">
        <v>6.14</v>
      </c>
      <c r="BC1317">
        <v>68</v>
      </c>
      <c r="BD1317">
        <v>0.4375</v>
      </c>
      <c r="BE1317">
        <v>3.75</v>
      </c>
      <c r="BF1317">
        <v>54.25</v>
      </c>
      <c r="BG1317">
        <v>5.375</v>
      </c>
      <c r="BH1317">
        <v>262.27999999999997</v>
      </c>
      <c r="BI1317">
        <v>6.27</v>
      </c>
      <c r="BJ1317">
        <v>55</v>
      </c>
      <c r="BL1317">
        <v>582.84</v>
      </c>
      <c r="BM1317">
        <v>122</v>
      </c>
      <c r="BN1317">
        <v>302.12</v>
      </c>
      <c r="BO1317">
        <v>1426</v>
      </c>
      <c r="BP1317">
        <v>0</v>
      </c>
      <c r="BQ1317">
        <v>63</v>
      </c>
      <c r="BR1317">
        <v>63</v>
      </c>
      <c r="BS1317">
        <v>62.78</v>
      </c>
      <c r="BT1317">
        <v>0</v>
      </c>
      <c r="BV1317">
        <v>0</v>
      </c>
      <c r="BW1317" t="s">
        <v>655</v>
      </c>
      <c r="BX1317">
        <v>0.17</v>
      </c>
      <c r="BY1317">
        <v>10.672599999999999</v>
      </c>
      <c r="BZ1317">
        <v>0</v>
      </c>
      <c r="CA1317">
        <v>1</v>
      </c>
      <c r="CB1317">
        <v>0.6</v>
      </c>
      <c r="CC1317" s="3">
        <v>7.1269159999999998E-2</v>
      </c>
      <c r="CD1317">
        <v>2.875</v>
      </c>
      <c r="CE1317">
        <v>2.5</v>
      </c>
      <c r="CF1317">
        <v>18</v>
      </c>
      <c r="CG1317">
        <v>6</v>
      </c>
      <c r="CH1317">
        <v>0</v>
      </c>
      <c r="CI1317">
        <v>62.78</v>
      </c>
      <c r="CJ1317">
        <v>769.01649999999995</v>
      </c>
    </row>
    <row r="1318" spans="1:88">
      <c r="A1318">
        <v>1317</v>
      </c>
      <c r="B1318" t="s">
        <v>0</v>
      </c>
      <c r="C1318" t="s">
        <v>1</v>
      </c>
      <c r="D1318" t="s">
        <v>235</v>
      </c>
      <c r="E1318" t="s">
        <v>101</v>
      </c>
      <c r="F1318" t="s">
        <v>327</v>
      </c>
      <c r="G1318" t="s">
        <v>106</v>
      </c>
      <c r="H1318" t="s">
        <v>96</v>
      </c>
      <c r="J1318">
        <v>2</v>
      </c>
      <c r="K1318" t="s">
        <v>146</v>
      </c>
      <c r="L1318" t="s">
        <v>145</v>
      </c>
      <c r="M1318" t="s">
        <v>403</v>
      </c>
      <c r="N1318" t="s">
        <v>172</v>
      </c>
      <c r="O1318">
        <v>134</v>
      </c>
      <c r="Q1318">
        <v>459</v>
      </c>
      <c r="R1318">
        <v>81</v>
      </c>
      <c r="S1318">
        <v>4.25</v>
      </c>
      <c r="T1318">
        <v>3.66</v>
      </c>
      <c r="U1318">
        <v>6.41</v>
      </c>
      <c r="V1318">
        <v>1949.56</v>
      </c>
      <c r="W1318">
        <v>522</v>
      </c>
      <c r="X1318">
        <v>1.3332999999999999</v>
      </c>
      <c r="Y1318">
        <v>391</v>
      </c>
      <c r="Z1318">
        <v>4.99</v>
      </c>
      <c r="AJ1318">
        <v>2</v>
      </c>
      <c r="AK1318">
        <v>18</v>
      </c>
      <c r="AM1318">
        <v>0</v>
      </c>
      <c r="AO1318" t="s">
        <v>100</v>
      </c>
      <c r="AT1318">
        <v>52</v>
      </c>
      <c r="AV1318">
        <v>45.1</v>
      </c>
      <c r="AW1318">
        <v>0</v>
      </c>
      <c r="AX1318">
        <v>0</v>
      </c>
      <c r="AY1318">
        <v>51.875</v>
      </c>
      <c r="AZ1318">
        <v>4.625</v>
      </c>
      <c r="BA1318">
        <v>0</v>
      </c>
      <c r="BB1318">
        <v>0</v>
      </c>
      <c r="BC1318">
        <v>56</v>
      </c>
      <c r="BN1318">
        <v>215.7834</v>
      </c>
      <c r="BO1318">
        <v>2229</v>
      </c>
      <c r="BP1318">
        <v>0</v>
      </c>
      <c r="BQ1318">
        <v>46</v>
      </c>
      <c r="BR1318">
        <v>46</v>
      </c>
      <c r="BS1318">
        <v>45.73</v>
      </c>
      <c r="BT1318">
        <v>0</v>
      </c>
      <c r="BV1318">
        <v>0</v>
      </c>
      <c r="BW1318" t="s">
        <v>655</v>
      </c>
      <c r="BX1318">
        <v>0.17</v>
      </c>
      <c r="BY1318">
        <v>7.7740999999999998</v>
      </c>
      <c r="BZ1318">
        <v>0</v>
      </c>
      <c r="CA1318">
        <v>1</v>
      </c>
      <c r="CB1318">
        <v>0.6</v>
      </c>
      <c r="CC1318" s="3">
        <v>7.1269159999999998E-2</v>
      </c>
      <c r="CD1318">
        <v>2.875</v>
      </c>
      <c r="CE1318">
        <v>2.5</v>
      </c>
      <c r="CF1318">
        <v>18</v>
      </c>
      <c r="CG1318">
        <v>6</v>
      </c>
      <c r="CH1318">
        <v>0</v>
      </c>
      <c r="CI1318">
        <v>45.73</v>
      </c>
      <c r="CJ1318">
        <v>405.7627</v>
      </c>
    </row>
    <row r="1319" spans="1:88">
      <c r="A1319">
        <v>1318</v>
      </c>
      <c r="B1319" t="s">
        <v>13</v>
      </c>
      <c r="C1319" t="s">
        <v>1</v>
      </c>
      <c r="D1319" t="s">
        <v>235</v>
      </c>
      <c r="E1319" t="s">
        <v>169</v>
      </c>
      <c r="F1319" t="s">
        <v>327</v>
      </c>
      <c r="G1319" t="s">
        <v>106</v>
      </c>
      <c r="H1319" t="s">
        <v>96</v>
      </c>
      <c r="J1319">
        <v>2</v>
      </c>
      <c r="K1319" t="s">
        <v>146</v>
      </c>
      <c r="L1319" t="s">
        <v>381</v>
      </c>
      <c r="M1319" t="s">
        <v>173</v>
      </c>
      <c r="N1319" t="s">
        <v>174</v>
      </c>
      <c r="O1319">
        <v>119</v>
      </c>
      <c r="Q1319">
        <v>412</v>
      </c>
      <c r="R1319">
        <v>81</v>
      </c>
      <c r="S1319">
        <v>4.25</v>
      </c>
      <c r="T1319">
        <v>3.2829999999999999</v>
      </c>
      <c r="U1319">
        <v>6.15</v>
      </c>
      <c r="V1319">
        <v>1749.34</v>
      </c>
      <c r="W1319">
        <v>501</v>
      </c>
      <c r="X1319">
        <v>1.3332999999999999</v>
      </c>
      <c r="Y1319">
        <v>379</v>
      </c>
      <c r="Z1319">
        <v>4.6100000000000003</v>
      </c>
      <c r="AJ1319">
        <v>2</v>
      </c>
      <c r="AK1319">
        <v>18</v>
      </c>
      <c r="AM1319">
        <v>0</v>
      </c>
      <c r="AO1319" t="s">
        <v>100</v>
      </c>
      <c r="AT1319">
        <v>47</v>
      </c>
      <c r="AV1319">
        <v>45.1</v>
      </c>
      <c r="AW1319">
        <v>0</v>
      </c>
      <c r="AX1319">
        <v>0</v>
      </c>
      <c r="AY1319">
        <v>53.375</v>
      </c>
      <c r="AZ1319">
        <v>4.375</v>
      </c>
      <c r="BA1319">
        <v>0</v>
      </c>
      <c r="BB1319">
        <v>0</v>
      </c>
      <c r="BC1319">
        <v>57</v>
      </c>
      <c r="BN1319">
        <v>215.7834</v>
      </c>
      <c r="BO1319">
        <v>2229</v>
      </c>
      <c r="BP1319">
        <v>0</v>
      </c>
      <c r="BQ1319">
        <v>41</v>
      </c>
      <c r="BR1319">
        <v>41</v>
      </c>
      <c r="BS1319">
        <v>40.520000000000003</v>
      </c>
      <c r="BT1319">
        <v>0</v>
      </c>
      <c r="BV1319">
        <v>0</v>
      </c>
      <c r="BW1319" t="s">
        <v>655</v>
      </c>
      <c r="BX1319">
        <v>0.17</v>
      </c>
      <c r="BY1319">
        <v>6.8883999999999999</v>
      </c>
      <c r="BZ1319">
        <v>0</v>
      </c>
      <c r="CA1319">
        <v>1</v>
      </c>
      <c r="CB1319">
        <v>0.6</v>
      </c>
      <c r="CC1319" s="3">
        <v>7.1269159999999998E-2</v>
      </c>
      <c r="CD1319">
        <v>2.875</v>
      </c>
      <c r="CE1319">
        <v>2.5</v>
      </c>
      <c r="CF1319">
        <v>18</v>
      </c>
      <c r="CG1319">
        <v>6</v>
      </c>
      <c r="CH1319">
        <v>0</v>
      </c>
      <c r="CI1319">
        <v>40.520000000000003</v>
      </c>
      <c r="CJ1319">
        <v>359.53440000000001</v>
      </c>
    </row>
    <row r="1320" spans="1:88">
      <c r="A1320">
        <v>1319</v>
      </c>
      <c r="B1320" t="s">
        <v>0</v>
      </c>
      <c r="C1320" t="s">
        <v>1</v>
      </c>
      <c r="D1320" t="s">
        <v>153</v>
      </c>
      <c r="E1320" t="s">
        <v>234</v>
      </c>
      <c r="F1320" t="s">
        <v>126</v>
      </c>
      <c r="G1320" t="s">
        <v>106</v>
      </c>
      <c r="H1320" t="s">
        <v>3</v>
      </c>
      <c r="J1320">
        <v>2</v>
      </c>
      <c r="K1320" t="s">
        <v>146</v>
      </c>
      <c r="L1320" t="s">
        <v>103</v>
      </c>
      <c r="M1320" t="s">
        <v>435</v>
      </c>
      <c r="N1320" t="s">
        <v>295</v>
      </c>
      <c r="O1320">
        <v>147</v>
      </c>
      <c r="Q1320">
        <v>476</v>
      </c>
      <c r="R1320">
        <v>78</v>
      </c>
      <c r="S1320">
        <v>4.25</v>
      </c>
      <c r="T1320">
        <v>3.976</v>
      </c>
      <c r="U1320">
        <v>6.67</v>
      </c>
      <c r="V1320">
        <v>2023.04</v>
      </c>
      <c r="W1320">
        <v>520</v>
      </c>
      <c r="X1320">
        <v>1.3332999999999999</v>
      </c>
      <c r="Y1320">
        <v>382</v>
      </c>
      <c r="Z1320">
        <v>5.3</v>
      </c>
      <c r="AJ1320">
        <v>2</v>
      </c>
      <c r="AK1320">
        <v>18</v>
      </c>
      <c r="AM1320">
        <v>0</v>
      </c>
      <c r="AO1320" t="s">
        <v>383</v>
      </c>
      <c r="AT1320">
        <v>56</v>
      </c>
      <c r="AV1320">
        <v>43</v>
      </c>
      <c r="AW1320">
        <v>0.46875</v>
      </c>
      <c r="AX1320">
        <v>3.75</v>
      </c>
      <c r="AY1320">
        <v>54.5</v>
      </c>
      <c r="AZ1320">
        <v>5</v>
      </c>
      <c r="BA1320">
        <v>371.85</v>
      </c>
      <c r="BB1320">
        <v>5.3</v>
      </c>
      <c r="BC1320">
        <v>59</v>
      </c>
      <c r="BD1320">
        <v>0.1875</v>
      </c>
      <c r="BE1320">
        <v>2.75</v>
      </c>
      <c r="BF1320">
        <v>27</v>
      </c>
      <c r="BG1320">
        <v>2</v>
      </c>
      <c r="BH1320">
        <v>9.8500010000000007</v>
      </c>
      <c r="BI1320">
        <v>15.4</v>
      </c>
      <c r="BJ1320">
        <v>9</v>
      </c>
      <c r="BL1320">
        <v>381.7</v>
      </c>
      <c r="BM1320">
        <v>67</v>
      </c>
      <c r="BN1320">
        <v>205.08340000000001</v>
      </c>
      <c r="BO1320">
        <v>2467</v>
      </c>
      <c r="BP1320">
        <v>0</v>
      </c>
      <c r="BQ1320">
        <v>50</v>
      </c>
      <c r="BR1320">
        <v>50</v>
      </c>
      <c r="BS1320">
        <v>50.26</v>
      </c>
      <c r="BT1320">
        <v>0</v>
      </c>
      <c r="BV1320">
        <v>0</v>
      </c>
      <c r="BW1320" t="s">
        <v>655</v>
      </c>
      <c r="BX1320">
        <v>0.17</v>
      </c>
      <c r="BY1320">
        <v>8.5442</v>
      </c>
      <c r="BZ1320">
        <v>0</v>
      </c>
      <c r="CA1320">
        <v>1</v>
      </c>
      <c r="CB1320">
        <v>0.6</v>
      </c>
      <c r="CC1320" s="3">
        <v>7.1269159999999998E-2</v>
      </c>
      <c r="CD1320">
        <v>2.875</v>
      </c>
      <c r="CE1320">
        <v>2.5</v>
      </c>
      <c r="CF1320">
        <v>18</v>
      </c>
      <c r="CG1320">
        <v>6</v>
      </c>
      <c r="CH1320">
        <v>0</v>
      </c>
      <c r="CI1320">
        <v>50.26</v>
      </c>
      <c r="CJ1320">
        <v>424.46550000000002</v>
      </c>
    </row>
    <row r="1321" spans="1:88">
      <c r="A1321">
        <v>1320</v>
      </c>
      <c r="B1321" t="s">
        <v>0</v>
      </c>
      <c r="C1321" t="s">
        <v>1</v>
      </c>
      <c r="D1321" t="s">
        <v>229</v>
      </c>
      <c r="E1321" t="s">
        <v>96</v>
      </c>
      <c r="F1321" t="s">
        <v>480</v>
      </c>
      <c r="G1321" t="s">
        <v>106</v>
      </c>
      <c r="H1321" t="s">
        <v>169</v>
      </c>
      <c r="J1321">
        <v>2</v>
      </c>
      <c r="K1321" t="s">
        <v>146</v>
      </c>
      <c r="L1321" t="s">
        <v>293</v>
      </c>
      <c r="M1321" t="s">
        <v>100</v>
      </c>
      <c r="N1321" t="s">
        <v>101</v>
      </c>
      <c r="O1321">
        <v>131</v>
      </c>
      <c r="Q1321">
        <v>407</v>
      </c>
      <c r="R1321">
        <v>75</v>
      </c>
      <c r="S1321">
        <v>4.25</v>
      </c>
      <c r="T1321">
        <v>3.5859999999999999</v>
      </c>
      <c r="U1321">
        <v>6.37</v>
      </c>
      <c r="V1321">
        <v>1728.64</v>
      </c>
      <c r="W1321">
        <v>475</v>
      </c>
      <c r="X1321">
        <v>1.3332999999999999</v>
      </c>
      <c r="Y1321">
        <v>352</v>
      </c>
      <c r="Z1321">
        <v>4.91</v>
      </c>
      <c r="AJ1321">
        <v>2</v>
      </c>
      <c r="AK1321">
        <v>18</v>
      </c>
      <c r="AM1321">
        <v>0</v>
      </c>
      <c r="AO1321" t="s">
        <v>173</v>
      </c>
      <c r="AT1321">
        <v>51</v>
      </c>
      <c r="AV1321">
        <v>40.799999999999997</v>
      </c>
      <c r="AW1321">
        <v>0</v>
      </c>
      <c r="AX1321">
        <v>0</v>
      </c>
      <c r="AY1321">
        <v>57.625</v>
      </c>
      <c r="AZ1321">
        <v>4.625</v>
      </c>
      <c r="BA1321">
        <v>0</v>
      </c>
      <c r="BB1321">
        <v>0</v>
      </c>
      <c r="BC1321">
        <v>62</v>
      </c>
      <c r="BN1321">
        <v>194.38339999999999</v>
      </c>
      <c r="BO1321">
        <v>2746</v>
      </c>
      <c r="BP1321">
        <v>0</v>
      </c>
      <c r="BQ1321">
        <v>45</v>
      </c>
      <c r="BR1321">
        <v>45</v>
      </c>
      <c r="BS1321">
        <v>44.69</v>
      </c>
      <c r="BT1321">
        <v>0</v>
      </c>
      <c r="BV1321">
        <v>0</v>
      </c>
      <c r="BW1321" t="s">
        <v>655</v>
      </c>
      <c r="BX1321">
        <v>0.17</v>
      </c>
      <c r="BY1321">
        <v>7.5972999999999997</v>
      </c>
      <c r="BZ1321">
        <v>0</v>
      </c>
      <c r="CA1321">
        <v>1</v>
      </c>
      <c r="CB1321">
        <v>0.6</v>
      </c>
      <c r="CC1321" s="3">
        <v>7.1269159999999998E-2</v>
      </c>
      <c r="CD1321">
        <v>2.875</v>
      </c>
      <c r="CE1321">
        <v>2.5</v>
      </c>
      <c r="CF1321">
        <v>18</v>
      </c>
      <c r="CG1321">
        <v>6</v>
      </c>
      <c r="CH1321">
        <v>0</v>
      </c>
      <c r="CI1321">
        <v>44.69</v>
      </c>
      <c r="CJ1321">
        <v>358.31459999999998</v>
      </c>
    </row>
    <row r="1322" spans="1:88">
      <c r="A1322">
        <v>1321</v>
      </c>
      <c r="B1322" t="s">
        <v>13</v>
      </c>
      <c r="C1322" t="s">
        <v>1</v>
      </c>
      <c r="D1322" t="s">
        <v>143</v>
      </c>
      <c r="E1322" t="s">
        <v>101</v>
      </c>
      <c r="F1322" t="s">
        <v>144</v>
      </c>
      <c r="G1322" t="s">
        <v>106</v>
      </c>
      <c r="H1322" t="s">
        <v>145</v>
      </c>
      <c r="J1322">
        <v>2</v>
      </c>
      <c r="K1322" t="s">
        <v>146</v>
      </c>
      <c r="L1322" t="s">
        <v>145</v>
      </c>
      <c r="M1322" t="s">
        <v>403</v>
      </c>
      <c r="N1322" t="s">
        <v>172</v>
      </c>
      <c r="O1322">
        <v>134</v>
      </c>
      <c r="Q1322">
        <v>542</v>
      </c>
      <c r="R1322">
        <v>95</v>
      </c>
      <c r="S1322">
        <v>4.25</v>
      </c>
      <c r="T1322">
        <v>3.66</v>
      </c>
      <c r="U1322">
        <v>6.41</v>
      </c>
      <c r="V1322">
        <v>2303.62</v>
      </c>
      <c r="W1322">
        <v>606</v>
      </c>
      <c r="X1322">
        <v>1.3332999999999999</v>
      </c>
      <c r="Y1322">
        <v>462</v>
      </c>
      <c r="Z1322">
        <v>4.99</v>
      </c>
      <c r="AJ1322">
        <v>2</v>
      </c>
      <c r="AK1322">
        <v>18</v>
      </c>
      <c r="AM1322">
        <v>0</v>
      </c>
      <c r="AO1322" t="s">
        <v>149</v>
      </c>
      <c r="AT1322">
        <v>52</v>
      </c>
      <c r="AV1322">
        <v>53.5</v>
      </c>
      <c r="AW1322">
        <v>0.46875</v>
      </c>
      <c r="AX1322">
        <v>3.75</v>
      </c>
      <c r="AY1322">
        <v>51.375</v>
      </c>
      <c r="AZ1322">
        <v>4.625</v>
      </c>
      <c r="BA1322">
        <v>394.95</v>
      </c>
      <c r="BB1322">
        <v>4.99</v>
      </c>
      <c r="BC1322">
        <v>55</v>
      </c>
      <c r="BD1322">
        <v>0.25</v>
      </c>
      <c r="BE1322">
        <v>2.75</v>
      </c>
      <c r="BF1322">
        <v>17.25</v>
      </c>
      <c r="BG1322">
        <v>2.5</v>
      </c>
      <c r="BH1322">
        <v>66.69</v>
      </c>
      <c r="BI1322">
        <v>5.14</v>
      </c>
      <c r="BJ1322">
        <v>8</v>
      </c>
      <c r="BL1322">
        <v>461.64</v>
      </c>
      <c r="BM1322">
        <v>62</v>
      </c>
      <c r="BN1322">
        <v>256.80009999999999</v>
      </c>
      <c r="BO1322">
        <v>1574</v>
      </c>
      <c r="BP1322">
        <v>0</v>
      </c>
      <c r="BQ1322">
        <v>46</v>
      </c>
      <c r="BR1322">
        <v>46</v>
      </c>
      <c r="BS1322">
        <v>45.73</v>
      </c>
      <c r="BT1322">
        <v>0</v>
      </c>
      <c r="BV1322">
        <v>0</v>
      </c>
      <c r="BW1322" t="s">
        <v>655</v>
      </c>
      <c r="BX1322">
        <v>0.17</v>
      </c>
      <c r="BY1322">
        <v>7.7740999999999998</v>
      </c>
      <c r="BZ1322">
        <v>0</v>
      </c>
      <c r="CA1322">
        <v>1</v>
      </c>
      <c r="CB1322">
        <v>0.6</v>
      </c>
      <c r="CC1322" s="3">
        <v>7.1269159999999998E-2</v>
      </c>
      <c r="CD1322">
        <v>2.875</v>
      </c>
      <c r="CE1322">
        <v>2.5</v>
      </c>
      <c r="CF1322">
        <v>18</v>
      </c>
      <c r="CG1322">
        <v>6</v>
      </c>
      <c r="CH1322">
        <v>0</v>
      </c>
      <c r="CI1322">
        <v>45.73</v>
      </c>
      <c r="CJ1322">
        <v>480.72289999999998</v>
      </c>
    </row>
    <row r="1323" spans="1:88">
      <c r="A1323">
        <v>1322</v>
      </c>
      <c r="B1323" t="s">
        <v>13</v>
      </c>
      <c r="C1323" t="s">
        <v>1</v>
      </c>
      <c r="D1323" t="s">
        <v>233</v>
      </c>
      <c r="E1323" t="s">
        <v>19</v>
      </c>
      <c r="F1323" t="s">
        <v>271</v>
      </c>
      <c r="G1323" t="s">
        <v>106</v>
      </c>
      <c r="H1323" t="s">
        <v>279</v>
      </c>
      <c r="J1323">
        <v>2</v>
      </c>
      <c r="K1323" t="s">
        <v>146</v>
      </c>
      <c r="L1323" t="s">
        <v>302</v>
      </c>
      <c r="M1323" t="s">
        <v>433</v>
      </c>
      <c r="N1323" t="s">
        <v>434</v>
      </c>
      <c r="O1323">
        <v>185</v>
      </c>
      <c r="Q1323">
        <v>741</v>
      </c>
      <c r="R1323">
        <v>96</v>
      </c>
      <c r="S1323">
        <v>4.25</v>
      </c>
      <c r="T1323">
        <v>4.8529999999999998</v>
      </c>
      <c r="U1323">
        <v>7.16</v>
      </c>
      <c r="V1323">
        <v>3150.52</v>
      </c>
      <c r="W1323">
        <v>686</v>
      </c>
      <c r="X1323">
        <v>1.3332999999999999</v>
      </c>
      <c r="Y1323">
        <v>510</v>
      </c>
      <c r="Z1323">
        <v>6.18</v>
      </c>
      <c r="AJ1323">
        <v>2</v>
      </c>
      <c r="AK1323">
        <v>18</v>
      </c>
      <c r="AM1323">
        <v>0</v>
      </c>
      <c r="AO1323" t="s">
        <v>144</v>
      </c>
      <c r="AT1323">
        <v>70</v>
      </c>
      <c r="AV1323">
        <v>54.2</v>
      </c>
      <c r="AW1323">
        <v>0.4375</v>
      </c>
      <c r="AX1323">
        <v>3.75</v>
      </c>
      <c r="AY1323">
        <v>55.875</v>
      </c>
      <c r="AZ1323">
        <v>5.375</v>
      </c>
      <c r="BA1323">
        <v>254.89</v>
      </c>
      <c r="BB1323">
        <v>6.45</v>
      </c>
      <c r="BC1323">
        <v>56</v>
      </c>
      <c r="BD1323">
        <v>0.4375</v>
      </c>
      <c r="BE1323">
        <v>3.75</v>
      </c>
      <c r="BF1323">
        <v>55.875</v>
      </c>
      <c r="BG1323">
        <v>5.375</v>
      </c>
      <c r="BH1323">
        <v>254.89</v>
      </c>
      <c r="BI1323">
        <v>6.45</v>
      </c>
      <c r="BJ1323">
        <v>56</v>
      </c>
      <c r="BL1323">
        <v>509.78</v>
      </c>
      <c r="BM1323">
        <v>112</v>
      </c>
      <c r="BN1323">
        <v>260.36669999999998</v>
      </c>
      <c r="BO1323">
        <v>1531</v>
      </c>
      <c r="BP1323">
        <v>0</v>
      </c>
      <c r="BQ1323">
        <v>63</v>
      </c>
      <c r="BR1323">
        <v>63</v>
      </c>
      <c r="BS1323">
        <v>63.47</v>
      </c>
      <c r="BT1323">
        <v>0</v>
      </c>
      <c r="BV1323">
        <v>0</v>
      </c>
      <c r="BW1323" t="s">
        <v>655</v>
      </c>
      <c r="BX1323">
        <v>0.17</v>
      </c>
      <c r="BY1323">
        <v>10.789899999999999</v>
      </c>
      <c r="BZ1323">
        <v>0</v>
      </c>
      <c r="CA1323">
        <v>1</v>
      </c>
      <c r="CB1323">
        <v>0.6</v>
      </c>
      <c r="CC1323" s="3">
        <v>7.1269159999999998E-2</v>
      </c>
      <c r="CD1323">
        <v>2.875</v>
      </c>
      <c r="CE1323">
        <v>2.5</v>
      </c>
      <c r="CF1323">
        <v>18</v>
      </c>
      <c r="CG1323">
        <v>6</v>
      </c>
      <c r="CH1323">
        <v>0</v>
      </c>
      <c r="CI1323">
        <v>63.47</v>
      </c>
      <c r="CJ1323">
        <v>676.25630000000001</v>
      </c>
    </row>
    <row r="1324" spans="1:88">
      <c r="A1324">
        <v>1323</v>
      </c>
      <c r="B1324" t="s">
        <v>0</v>
      </c>
      <c r="C1324" t="s">
        <v>1</v>
      </c>
      <c r="D1324" t="s">
        <v>724</v>
      </c>
      <c r="E1324" t="s">
        <v>96</v>
      </c>
      <c r="F1324" t="s">
        <v>611</v>
      </c>
      <c r="G1324" t="s">
        <v>15</v>
      </c>
      <c r="H1324" t="s">
        <v>724</v>
      </c>
      <c r="J1324">
        <v>2</v>
      </c>
      <c r="K1324" t="s">
        <v>9</v>
      </c>
      <c r="L1324" t="s">
        <v>293</v>
      </c>
      <c r="M1324" t="s">
        <v>100</v>
      </c>
      <c r="N1324" t="s">
        <v>101</v>
      </c>
      <c r="O1324">
        <v>131</v>
      </c>
      <c r="Q1324">
        <v>913</v>
      </c>
      <c r="R1324">
        <v>160</v>
      </c>
      <c r="S1324">
        <v>4.25</v>
      </c>
      <c r="T1324">
        <v>3.5859999999999999</v>
      </c>
      <c r="U1324">
        <v>6.37</v>
      </c>
      <c r="V1324">
        <v>3881.22</v>
      </c>
      <c r="W1324">
        <v>1020</v>
      </c>
      <c r="X1324">
        <v>1.3332999999999999</v>
      </c>
      <c r="Y1324">
        <v>790</v>
      </c>
      <c r="Z1324">
        <v>4.91</v>
      </c>
      <c r="AJ1324">
        <v>2</v>
      </c>
      <c r="AK1324">
        <v>18</v>
      </c>
      <c r="AM1324">
        <v>0</v>
      </c>
      <c r="AO1324" t="s">
        <v>725</v>
      </c>
      <c r="AT1324">
        <v>51</v>
      </c>
      <c r="AV1324">
        <v>92.1</v>
      </c>
      <c r="AW1324" t="s">
        <v>6</v>
      </c>
      <c r="AX1324" t="s">
        <v>6</v>
      </c>
      <c r="AY1324" t="s">
        <v>6</v>
      </c>
      <c r="AZ1324" t="s">
        <v>6</v>
      </c>
      <c r="BA1324" t="s">
        <v>6</v>
      </c>
      <c r="BB1324" t="s">
        <v>6</v>
      </c>
      <c r="BC1324" t="s">
        <v>6</v>
      </c>
      <c r="BD1324" t="s">
        <v>6</v>
      </c>
      <c r="BE1324" t="s">
        <v>6</v>
      </c>
      <c r="BF1324" t="s">
        <v>6</v>
      </c>
      <c r="BG1324" t="s">
        <v>6</v>
      </c>
      <c r="BH1324" t="s">
        <v>6</v>
      </c>
      <c r="BI1324" t="s">
        <v>6</v>
      </c>
      <c r="BJ1324" t="s">
        <v>6</v>
      </c>
      <c r="BN1324">
        <v>789.26880000000006</v>
      </c>
      <c r="BO1324">
        <v>1756</v>
      </c>
      <c r="BP1324">
        <v>0</v>
      </c>
      <c r="BQ1324">
        <v>45</v>
      </c>
      <c r="BR1324">
        <v>45</v>
      </c>
      <c r="BS1324">
        <v>44.69</v>
      </c>
      <c r="BT1324">
        <v>0</v>
      </c>
      <c r="BV1324">
        <v>6</v>
      </c>
      <c r="BW1324" t="s">
        <v>655</v>
      </c>
      <c r="BX1324">
        <v>0.27933340000000001</v>
      </c>
      <c r="BY1324">
        <v>12.483409999999999</v>
      </c>
      <c r="BZ1324">
        <v>0</v>
      </c>
      <c r="CA1324">
        <v>1</v>
      </c>
      <c r="CB1324">
        <v>0.6</v>
      </c>
      <c r="CC1324" s="3">
        <v>7.1269159999999998E-2</v>
      </c>
      <c r="CD1324">
        <v>2.875</v>
      </c>
      <c r="CE1324">
        <v>2.5</v>
      </c>
      <c r="CF1324">
        <v>18</v>
      </c>
      <c r="CG1324">
        <v>6</v>
      </c>
      <c r="CH1324">
        <v>0</v>
      </c>
      <c r="CI1324">
        <v>44.69</v>
      </c>
      <c r="CJ1324">
        <v>808.59659999999997</v>
      </c>
    </row>
    <row r="1325" spans="1:88">
      <c r="A1325">
        <v>1324</v>
      </c>
      <c r="B1325" t="s">
        <v>0</v>
      </c>
      <c r="C1325" t="s">
        <v>1</v>
      </c>
      <c r="D1325" t="s">
        <v>470</v>
      </c>
      <c r="E1325" t="s">
        <v>167</v>
      </c>
      <c r="F1325" t="s">
        <v>587</v>
      </c>
      <c r="G1325" t="s">
        <v>15</v>
      </c>
      <c r="H1325" t="s">
        <v>470</v>
      </c>
      <c r="J1325">
        <v>2</v>
      </c>
      <c r="K1325" t="s">
        <v>9</v>
      </c>
      <c r="L1325" t="s">
        <v>207</v>
      </c>
      <c r="M1325" t="s">
        <v>327</v>
      </c>
      <c r="N1325" t="s">
        <v>330</v>
      </c>
      <c r="O1325">
        <v>133</v>
      </c>
      <c r="Q1325">
        <v>847</v>
      </c>
      <c r="R1325">
        <v>146</v>
      </c>
      <c r="S1325">
        <v>4.25</v>
      </c>
      <c r="T1325">
        <v>3.6349999999999998</v>
      </c>
      <c r="U1325">
        <v>6.41</v>
      </c>
      <c r="V1325">
        <v>3599.45</v>
      </c>
      <c r="W1325">
        <v>938</v>
      </c>
      <c r="X1325">
        <v>1.3332999999999999</v>
      </c>
      <c r="Y1325">
        <v>726</v>
      </c>
      <c r="Z1325">
        <v>4.96</v>
      </c>
      <c r="AJ1325">
        <v>2</v>
      </c>
      <c r="AK1325">
        <v>18</v>
      </c>
      <c r="AM1325">
        <v>0</v>
      </c>
      <c r="AO1325" t="s">
        <v>588</v>
      </c>
      <c r="AT1325">
        <v>52</v>
      </c>
      <c r="AV1325">
        <v>84.1</v>
      </c>
      <c r="AW1325" t="s">
        <v>6</v>
      </c>
      <c r="AX1325" t="s">
        <v>6</v>
      </c>
      <c r="AY1325" t="s">
        <v>6</v>
      </c>
      <c r="AZ1325" t="s">
        <v>6</v>
      </c>
      <c r="BA1325" t="s">
        <v>6</v>
      </c>
      <c r="BB1325" t="s">
        <v>6</v>
      </c>
      <c r="BC1325" t="s">
        <v>6</v>
      </c>
      <c r="BD1325" t="s">
        <v>6</v>
      </c>
      <c r="BE1325" t="s">
        <v>6</v>
      </c>
      <c r="BF1325" t="s">
        <v>6</v>
      </c>
      <c r="BG1325" t="s">
        <v>6</v>
      </c>
      <c r="BH1325" t="s">
        <v>6</v>
      </c>
      <c r="BI1325" t="s">
        <v>6</v>
      </c>
      <c r="BJ1325" t="s">
        <v>6</v>
      </c>
      <c r="BN1325">
        <v>719.81320000000005</v>
      </c>
      <c r="BO1325">
        <v>2111</v>
      </c>
      <c r="BP1325">
        <v>0</v>
      </c>
      <c r="BQ1325">
        <v>45</v>
      </c>
      <c r="BR1325">
        <v>45</v>
      </c>
      <c r="BS1325">
        <v>45.39</v>
      </c>
      <c r="BT1325">
        <v>0</v>
      </c>
      <c r="BV1325">
        <v>6</v>
      </c>
      <c r="BW1325" t="s">
        <v>655</v>
      </c>
      <c r="BX1325">
        <v>0.27933340000000001</v>
      </c>
      <c r="BY1325">
        <v>12.678940000000001</v>
      </c>
      <c r="BZ1325">
        <v>0</v>
      </c>
      <c r="CA1325">
        <v>1</v>
      </c>
      <c r="CB1325">
        <v>0.6</v>
      </c>
      <c r="CC1325" s="3">
        <v>7.1269159999999998E-2</v>
      </c>
      <c r="CD1325">
        <v>2.875</v>
      </c>
      <c r="CE1325">
        <v>2.5</v>
      </c>
      <c r="CF1325">
        <v>18</v>
      </c>
      <c r="CG1325">
        <v>6</v>
      </c>
      <c r="CH1325">
        <v>0</v>
      </c>
      <c r="CI1325">
        <v>45.39</v>
      </c>
      <c r="CJ1325">
        <v>750.09400000000005</v>
      </c>
    </row>
    <row r="1326" spans="1:88">
      <c r="A1326">
        <v>1325</v>
      </c>
      <c r="B1326" t="s">
        <v>0</v>
      </c>
      <c r="C1326" t="s">
        <v>1</v>
      </c>
      <c r="D1326" t="s">
        <v>7</v>
      </c>
      <c r="E1326" t="s">
        <v>459</v>
      </c>
      <c r="F1326" t="s">
        <v>670</v>
      </c>
      <c r="G1326" t="s">
        <v>735</v>
      </c>
      <c r="H1326" t="s">
        <v>737</v>
      </c>
      <c r="J1326">
        <v>2</v>
      </c>
      <c r="K1326" t="s">
        <v>9</v>
      </c>
      <c r="L1326" t="s">
        <v>686</v>
      </c>
      <c r="M1326" t="s">
        <v>687</v>
      </c>
      <c r="N1326" t="s">
        <v>278</v>
      </c>
      <c r="O1326">
        <v>204</v>
      </c>
      <c r="Q1326">
        <v>1455</v>
      </c>
      <c r="R1326">
        <v>184</v>
      </c>
      <c r="S1326">
        <v>4.3125</v>
      </c>
      <c r="T1326">
        <v>5.2240000000000002</v>
      </c>
      <c r="U1326">
        <v>7.33</v>
      </c>
      <c r="V1326">
        <v>6273.43</v>
      </c>
      <c r="W1326">
        <v>1352</v>
      </c>
      <c r="X1326">
        <v>1.5</v>
      </c>
      <c r="Y1326">
        <v>934</v>
      </c>
      <c r="Z1326">
        <v>6.72</v>
      </c>
      <c r="AJ1326">
        <v>2</v>
      </c>
      <c r="AK1326">
        <v>18</v>
      </c>
      <c r="AM1326">
        <v>0</v>
      </c>
      <c r="AO1326" t="s">
        <v>671</v>
      </c>
      <c r="AT1326">
        <v>76</v>
      </c>
      <c r="AV1326">
        <v>97.2</v>
      </c>
      <c r="AW1326" t="s">
        <v>6</v>
      </c>
      <c r="AX1326" t="s">
        <v>6</v>
      </c>
      <c r="AY1326" t="s">
        <v>6</v>
      </c>
      <c r="AZ1326" t="s">
        <v>6</v>
      </c>
      <c r="BA1326" t="s">
        <v>6</v>
      </c>
      <c r="BB1326" t="s">
        <v>6</v>
      </c>
      <c r="BC1326" t="s">
        <v>6</v>
      </c>
      <c r="BD1326" t="s">
        <v>6</v>
      </c>
      <c r="BE1326" t="s">
        <v>6</v>
      </c>
      <c r="BF1326" t="s">
        <v>6</v>
      </c>
      <c r="BG1326" t="s">
        <v>6</v>
      </c>
      <c r="BH1326" t="s">
        <v>6</v>
      </c>
      <c r="BI1326" t="s">
        <v>6</v>
      </c>
      <c r="BJ1326" t="s">
        <v>6</v>
      </c>
      <c r="BN1326">
        <v>1067.77</v>
      </c>
      <c r="BO1326">
        <v>5792</v>
      </c>
      <c r="BP1326">
        <v>0</v>
      </c>
      <c r="BQ1326">
        <v>70</v>
      </c>
      <c r="BR1326">
        <v>70</v>
      </c>
      <c r="BS1326">
        <v>70.08</v>
      </c>
      <c r="BT1326">
        <v>0</v>
      </c>
      <c r="BV1326">
        <v>6</v>
      </c>
      <c r="BW1326" t="s">
        <v>655</v>
      </c>
      <c r="BX1326">
        <v>0.27933330000000001</v>
      </c>
      <c r="BY1326">
        <v>19.575679999999998</v>
      </c>
      <c r="BZ1326">
        <v>0</v>
      </c>
      <c r="CA1326">
        <v>1</v>
      </c>
      <c r="CB1326">
        <v>0.6</v>
      </c>
      <c r="CC1326" s="3">
        <v>7.1269159999999998E-2</v>
      </c>
      <c r="CD1326">
        <v>2.875</v>
      </c>
      <c r="CE1326">
        <v>2.5</v>
      </c>
      <c r="CF1326">
        <v>18</v>
      </c>
      <c r="CG1326">
        <v>6</v>
      </c>
      <c r="CH1326">
        <v>0</v>
      </c>
      <c r="CI1326">
        <v>70.08</v>
      </c>
      <c r="CJ1326">
        <v>1337.913</v>
      </c>
    </row>
    <row r="1327" spans="1:88">
      <c r="A1327">
        <v>1326</v>
      </c>
      <c r="B1327" t="s">
        <v>13</v>
      </c>
      <c r="C1327" t="s">
        <v>1</v>
      </c>
      <c r="D1327" t="s">
        <v>185</v>
      </c>
      <c r="E1327" t="s">
        <v>167</v>
      </c>
      <c r="F1327" t="s">
        <v>211</v>
      </c>
      <c r="G1327" t="s">
        <v>106</v>
      </c>
      <c r="H1327" t="s">
        <v>293</v>
      </c>
      <c r="J1327">
        <v>2</v>
      </c>
      <c r="K1327" t="s">
        <v>146</v>
      </c>
      <c r="L1327" t="s">
        <v>207</v>
      </c>
      <c r="M1327" t="s">
        <v>327</v>
      </c>
      <c r="N1327" t="s">
        <v>330</v>
      </c>
      <c r="O1327">
        <v>133</v>
      </c>
      <c r="Q1327">
        <v>528</v>
      </c>
      <c r="R1327">
        <v>93</v>
      </c>
      <c r="S1327">
        <v>4.25</v>
      </c>
      <c r="T1327">
        <v>3.6349999999999998</v>
      </c>
      <c r="U1327">
        <v>6.41</v>
      </c>
      <c r="V1327">
        <v>2242.34</v>
      </c>
      <c r="W1327">
        <v>595</v>
      </c>
      <c r="X1327">
        <v>1.3332999999999999</v>
      </c>
      <c r="Y1327">
        <v>452</v>
      </c>
      <c r="Z1327">
        <v>4.96</v>
      </c>
      <c r="AJ1327">
        <v>2</v>
      </c>
      <c r="AK1327">
        <v>18</v>
      </c>
      <c r="AM1327">
        <v>0</v>
      </c>
      <c r="AO1327" t="s">
        <v>465</v>
      </c>
      <c r="AT1327">
        <v>52</v>
      </c>
      <c r="AV1327">
        <v>52.4</v>
      </c>
      <c r="AW1327">
        <v>0.46875</v>
      </c>
      <c r="AX1327">
        <v>3.75</v>
      </c>
      <c r="AY1327">
        <v>51</v>
      </c>
      <c r="AZ1327">
        <v>4.625</v>
      </c>
      <c r="BA1327">
        <v>397.34</v>
      </c>
      <c r="BB1327">
        <v>4.96</v>
      </c>
      <c r="BC1327">
        <v>55</v>
      </c>
      <c r="BD1327">
        <v>0.25</v>
      </c>
      <c r="BE1327">
        <v>2.75</v>
      </c>
      <c r="BF1327">
        <v>21</v>
      </c>
      <c r="BG1327">
        <v>2.5</v>
      </c>
      <c r="BH1327">
        <v>54.73</v>
      </c>
      <c r="BI1327">
        <v>6.27</v>
      </c>
      <c r="BJ1327">
        <v>9</v>
      </c>
      <c r="BL1327">
        <v>452.07</v>
      </c>
      <c r="BM1327">
        <v>63</v>
      </c>
      <c r="BN1327">
        <v>251.45009999999999</v>
      </c>
      <c r="BO1327">
        <v>1641</v>
      </c>
      <c r="BP1327">
        <v>0</v>
      </c>
      <c r="BQ1327">
        <v>45</v>
      </c>
      <c r="BR1327">
        <v>45</v>
      </c>
      <c r="BS1327">
        <v>45.39</v>
      </c>
      <c r="BT1327">
        <v>0</v>
      </c>
      <c r="BV1327">
        <v>0</v>
      </c>
      <c r="BW1327" t="s">
        <v>655</v>
      </c>
      <c r="BX1327">
        <v>0.17</v>
      </c>
      <c r="BY1327">
        <v>7.7163000000000004</v>
      </c>
      <c r="BZ1327">
        <v>0</v>
      </c>
      <c r="CA1327">
        <v>1</v>
      </c>
      <c r="CB1327">
        <v>0.6</v>
      </c>
      <c r="CC1327" s="3">
        <v>7.1269159999999998E-2</v>
      </c>
      <c r="CD1327">
        <v>2.875</v>
      </c>
      <c r="CE1327">
        <v>2.5</v>
      </c>
      <c r="CF1327">
        <v>18</v>
      </c>
      <c r="CG1327">
        <v>6</v>
      </c>
      <c r="CH1327">
        <v>0</v>
      </c>
      <c r="CI1327">
        <v>45.39</v>
      </c>
      <c r="CJ1327">
        <v>467.44409999999999</v>
      </c>
    </row>
    <row r="1328" spans="1:88">
      <c r="A1328">
        <v>1327</v>
      </c>
      <c r="B1328" t="s">
        <v>13</v>
      </c>
      <c r="C1328" t="s">
        <v>1</v>
      </c>
      <c r="D1328" t="s">
        <v>341</v>
      </c>
      <c r="E1328" t="s">
        <v>284</v>
      </c>
      <c r="F1328" t="s">
        <v>343</v>
      </c>
      <c r="G1328" t="s">
        <v>106</v>
      </c>
      <c r="H1328" t="s">
        <v>344</v>
      </c>
      <c r="J1328">
        <v>2</v>
      </c>
      <c r="K1328" t="s">
        <v>146</v>
      </c>
      <c r="L1328" t="s">
        <v>217</v>
      </c>
      <c r="M1328" t="s">
        <v>285</v>
      </c>
      <c r="N1328" t="s">
        <v>342</v>
      </c>
      <c r="O1328">
        <v>86</v>
      </c>
      <c r="Q1328">
        <v>189</v>
      </c>
      <c r="R1328">
        <v>48</v>
      </c>
      <c r="S1328">
        <v>4.25</v>
      </c>
      <c r="T1328">
        <v>2.4009999999999998</v>
      </c>
      <c r="U1328">
        <v>5.62</v>
      </c>
      <c r="V1328">
        <v>801.5</v>
      </c>
      <c r="W1328">
        <v>271</v>
      </c>
      <c r="X1328">
        <v>1.1666000000000001</v>
      </c>
      <c r="Y1328">
        <v>225</v>
      </c>
      <c r="Z1328">
        <v>3.56</v>
      </c>
      <c r="AJ1328">
        <v>2</v>
      </c>
      <c r="AK1328">
        <v>18</v>
      </c>
      <c r="AM1328">
        <v>0</v>
      </c>
      <c r="AO1328" t="s">
        <v>347</v>
      </c>
      <c r="AT1328">
        <v>35</v>
      </c>
      <c r="AV1328">
        <v>27.4</v>
      </c>
      <c r="AW1328">
        <v>0</v>
      </c>
      <c r="AX1328">
        <v>0</v>
      </c>
      <c r="AY1328">
        <v>28.75</v>
      </c>
      <c r="AZ1328">
        <v>2.625</v>
      </c>
      <c r="BA1328">
        <v>0</v>
      </c>
      <c r="BB1328">
        <v>0</v>
      </c>
      <c r="BC1328">
        <v>25</v>
      </c>
      <c r="BN1328">
        <v>128.4</v>
      </c>
      <c r="BO1328">
        <v>6294</v>
      </c>
      <c r="BP1328">
        <v>0</v>
      </c>
      <c r="BQ1328">
        <v>29</v>
      </c>
      <c r="BR1328">
        <v>29</v>
      </c>
      <c r="BS1328">
        <v>29.04</v>
      </c>
      <c r="BT1328">
        <v>0</v>
      </c>
      <c r="BV1328">
        <v>0</v>
      </c>
      <c r="BW1328" t="s">
        <v>655</v>
      </c>
      <c r="BX1328">
        <v>0.17</v>
      </c>
      <c r="BY1328">
        <v>4.9367999999999999</v>
      </c>
      <c r="BZ1328">
        <v>0</v>
      </c>
      <c r="CA1328">
        <v>1</v>
      </c>
      <c r="CB1328">
        <v>0.6</v>
      </c>
      <c r="CC1328" s="3">
        <v>7.1269159999999998E-2</v>
      </c>
      <c r="CD1328">
        <v>2.875</v>
      </c>
      <c r="CE1328">
        <v>2.5</v>
      </c>
      <c r="CF1328">
        <v>18</v>
      </c>
      <c r="CG1328">
        <v>6</v>
      </c>
      <c r="CH1328">
        <v>0</v>
      </c>
      <c r="CI1328">
        <v>29.04</v>
      </c>
      <c r="CJ1328">
        <v>156.25909999999999</v>
      </c>
    </row>
    <row r="1329" spans="1:88">
      <c r="A1329">
        <v>1328</v>
      </c>
      <c r="B1329" t="s">
        <v>0</v>
      </c>
      <c r="C1329" t="s">
        <v>1</v>
      </c>
      <c r="D1329" t="s">
        <v>507</v>
      </c>
      <c r="E1329" t="s">
        <v>342</v>
      </c>
      <c r="F1329" t="s">
        <v>584</v>
      </c>
      <c r="G1329" t="s">
        <v>106</v>
      </c>
      <c r="H1329" t="s">
        <v>602</v>
      </c>
      <c r="J1329">
        <v>2</v>
      </c>
      <c r="K1329" t="s">
        <v>146</v>
      </c>
      <c r="L1329" t="s">
        <v>139</v>
      </c>
      <c r="M1329" t="s">
        <v>345</v>
      </c>
      <c r="N1329" t="s">
        <v>346</v>
      </c>
      <c r="O1329">
        <v>89</v>
      </c>
      <c r="Q1329">
        <v>124</v>
      </c>
      <c r="R1329">
        <v>32</v>
      </c>
      <c r="S1329">
        <v>4.25</v>
      </c>
      <c r="T1329">
        <v>2.4849999999999999</v>
      </c>
      <c r="U1329">
        <v>5.7</v>
      </c>
      <c r="V1329">
        <v>527.76</v>
      </c>
      <c r="W1329">
        <v>184</v>
      </c>
      <c r="X1329">
        <v>1.3332999999999999</v>
      </c>
      <c r="Y1329">
        <v>139</v>
      </c>
      <c r="Z1329">
        <v>3.81</v>
      </c>
      <c r="AJ1329">
        <v>2</v>
      </c>
      <c r="AK1329">
        <v>18</v>
      </c>
      <c r="AM1329">
        <v>0</v>
      </c>
      <c r="AO1329" t="s">
        <v>367</v>
      </c>
      <c r="AT1329">
        <v>36</v>
      </c>
      <c r="AV1329">
        <v>17.2</v>
      </c>
      <c r="AW1329">
        <v>0</v>
      </c>
      <c r="AX1329">
        <v>0</v>
      </c>
      <c r="AY1329">
        <v>18.375</v>
      </c>
      <c r="AZ1329">
        <v>2.375</v>
      </c>
      <c r="BA1329">
        <v>0</v>
      </c>
      <c r="BB1329">
        <v>0</v>
      </c>
      <c r="BC1329">
        <v>14</v>
      </c>
      <c r="BN1329">
        <v>78.466679999999997</v>
      </c>
      <c r="BO1329">
        <v>16854</v>
      </c>
      <c r="BP1329">
        <v>0</v>
      </c>
      <c r="BQ1329">
        <v>30</v>
      </c>
      <c r="BR1329">
        <v>30</v>
      </c>
      <c r="BS1329">
        <v>30.08</v>
      </c>
      <c r="BT1329">
        <v>0</v>
      </c>
      <c r="BV1329">
        <v>0</v>
      </c>
      <c r="BW1329" t="s">
        <v>655</v>
      </c>
      <c r="BX1329">
        <v>0.17</v>
      </c>
      <c r="BY1329">
        <v>5.1135999999999999</v>
      </c>
      <c r="BZ1329">
        <v>0</v>
      </c>
      <c r="CA1329">
        <v>1</v>
      </c>
      <c r="CB1329">
        <v>0.6</v>
      </c>
      <c r="CC1329" s="3">
        <v>7.1269159999999998E-2</v>
      </c>
      <c r="CD1329">
        <v>2.875</v>
      </c>
      <c r="CE1329">
        <v>2.5</v>
      </c>
      <c r="CF1329">
        <v>18</v>
      </c>
      <c r="CG1329">
        <v>6</v>
      </c>
      <c r="CH1329">
        <v>0</v>
      </c>
      <c r="CI1329">
        <v>30.08</v>
      </c>
      <c r="CJ1329">
        <v>101.82940000000001</v>
      </c>
    </row>
    <row r="1330" spans="1:88">
      <c r="A1330">
        <v>1329</v>
      </c>
      <c r="B1330" t="s">
        <v>0</v>
      </c>
      <c r="C1330" t="s">
        <v>1</v>
      </c>
      <c r="D1330" t="s">
        <v>280</v>
      </c>
      <c r="E1330" t="s">
        <v>300</v>
      </c>
      <c r="F1330" t="s">
        <v>102</v>
      </c>
      <c r="G1330" t="s">
        <v>15</v>
      </c>
      <c r="H1330" t="s">
        <v>423</v>
      </c>
      <c r="J1330">
        <v>2</v>
      </c>
      <c r="K1330" t="s">
        <v>108</v>
      </c>
      <c r="L1330" t="s">
        <v>454</v>
      </c>
      <c r="M1330" t="s">
        <v>589</v>
      </c>
      <c r="N1330" t="s">
        <v>202</v>
      </c>
      <c r="O1330">
        <v>178</v>
      </c>
      <c r="Q1330">
        <v>1047</v>
      </c>
      <c r="R1330">
        <v>139</v>
      </c>
      <c r="S1330">
        <v>4.25</v>
      </c>
      <c r="T1330">
        <v>4.6959999999999997</v>
      </c>
      <c r="U1330">
        <v>7.05</v>
      </c>
      <c r="V1330">
        <v>4448.47</v>
      </c>
      <c r="W1330">
        <v>978</v>
      </c>
      <c r="X1330">
        <v>1.3332999999999999</v>
      </c>
      <c r="Y1330">
        <v>739</v>
      </c>
      <c r="Z1330">
        <v>6.02</v>
      </c>
      <c r="AJ1330">
        <v>2</v>
      </c>
      <c r="AK1330">
        <v>18</v>
      </c>
      <c r="AM1330">
        <v>0</v>
      </c>
      <c r="AO1330" t="s">
        <v>424</v>
      </c>
      <c r="AT1330">
        <v>67</v>
      </c>
      <c r="AV1330">
        <v>79.8</v>
      </c>
      <c r="AW1330" t="s">
        <v>6</v>
      </c>
      <c r="AX1330" t="s">
        <v>6</v>
      </c>
      <c r="AY1330" t="s">
        <v>6</v>
      </c>
      <c r="AZ1330" t="s">
        <v>6</v>
      </c>
      <c r="BA1330" t="s">
        <v>6</v>
      </c>
      <c r="BB1330" t="s">
        <v>6</v>
      </c>
      <c r="BC1330" t="s">
        <v>6</v>
      </c>
      <c r="BD1330" t="s">
        <v>6</v>
      </c>
      <c r="BE1330" t="s">
        <v>6</v>
      </c>
      <c r="BF1330" t="s">
        <v>6</v>
      </c>
      <c r="BG1330" t="s">
        <v>6</v>
      </c>
      <c r="BH1330" t="s">
        <v>6</v>
      </c>
      <c r="BI1330" t="s">
        <v>6</v>
      </c>
      <c r="BJ1330" t="s">
        <v>6</v>
      </c>
      <c r="BN1330">
        <v>681.92830000000004</v>
      </c>
      <c r="BO1330">
        <v>2352</v>
      </c>
      <c r="BP1330">
        <v>0</v>
      </c>
      <c r="BQ1330">
        <v>61</v>
      </c>
      <c r="BR1330">
        <v>61</v>
      </c>
      <c r="BS1330">
        <v>61.04</v>
      </c>
      <c r="BT1330">
        <v>0</v>
      </c>
      <c r="BV1330">
        <v>0</v>
      </c>
      <c r="BW1330" t="s">
        <v>655</v>
      </c>
      <c r="BX1330">
        <v>0.17</v>
      </c>
      <c r="BY1330">
        <v>10.376799999999999</v>
      </c>
      <c r="BZ1330">
        <v>0</v>
      </c>
      <c r="CA1330">
        <v>1</v>
      </c>
      <c r="CB1330">
        <v>0.6</v>
      </c>
      <c r="CC1330" s="3">
        <v>7.1269159999999998E-2</v>
      </c>
      <c r="CD1330">
        <v>2.875</v>
      </c>
      <c r="CE1330">
        <v>2.5</v>
      </c>
      <c r="CF1330">
        <v>18</v>
      </c>
      <c r="CG1330">
        <v>6</v>
      </c>
      <c r="CH1330">
        <v>0</v>
      </c>
      <c r="CI1330">
        <v>61.04</v>
      </c>
      <c r="CJ1330">
        <v>956.5154</v>
      </c>
    </row>
    <row r="1331" spans="1:88">
      <c r="A1331">
        <v>1330</v>
      </c>
      <c r="B1331" t="s">
        <v>0</v>
      </c>
      <c r="C1331" t="s">
        <v>1</v>
      </c>
      <c r="D1331" t="s">
        <v>103</v>
      </c>
      <c r="E1331" t="s">
        <v>202</v>
      </c>
      <c r="F1331" t="s">
        <v>105</v>
      </c>
      <c r="G1331" t="s">
        <v>106</v>
      </c>
      <c r="H1331" t="s">
        <v>107</v>
      </c>
      <c r="J1331">
        <v>2</v>
      </c>
      <c r="K1331" t="s">
        <v>108</v>
      </c>
      <c r="L1331" t="s">
        <v>203</v>
      </c>
      <c r="M1331" t="s">
        <v>204</v>
      </c>
      <c r="N1331" t="s">
        <v>205</v>
      </c>
      <c r="O1331">
        <v>181</v>
      </c>
      <c r="Q1331">
        <v>776</v>
      </c>
      <c r="R1331">
        <v>102</v>
      </c>
      <c r="S1331">
        <v>4.25</v>
      </c>
      <c r="T1331">
        <v>4.7640000000000002</v>
      </c>
      <c r="U1331">
        <v>7.08</v>
      </c>
      <c r="V1331">
        <v>3297.7</v>
      </c>
      <c r="W1331">
        <v>720</v>
      </c>
      <c r="X1331">
        <v>1.3332999999999999</v>
      </c>
      <c r="Y1331">
        <v>541</v>
      </c>
      <c r="Z1331">
        <v>6.09</v>
      </c>
      <c r="AJ1331">
        <v>2</v>
      </c>
      <c r="AK1331">
        <v>18</v>
      </c>
      <c r="AM1331">
        <v>0</v>
      </c>
      <c r="AO1331" t="s">
        <v>112</v>
      </c>
      <c r="AT1331">
        <v>68</v>
      </c>
      <c r="AV1331">
        <v>58</v>
      </c>
      <c r="AW1331">
        <v>0.4375</v>
      </c>
      <c r="AX1331">
        <v>3.75</v>
      </c>
      <c r="AY1331">
        <v>52.5</v>
      </c>
      <c r="AZ1331">
        <v>5.375</v>
      </c>
      <c r="BA1331">
        <v>270.74</v>
      </c>
      <c r="BB1331">
        <v>6.07</v>
      </c>
      <c r="BC1331">
        <v>53</v>
      </c>
      <c r="BD1331">
        <v>0.4375</v>
      </c>
      <c r="BE1331">
        <v>3.75</v>
      </c>
      <c r="BF1331">
        <v>52.5</v>
      </c>
      <c r="BG1331">
        <v>5.375</v>
      </c>
      <c r="BH1331">
        <v>270.74</v>
      </c>
      <c r="BI1331">
        <v>6.07</v>
      </c>
      <c r="BJ1331">
        <v>53</v>
      </c>
      <c r="BL1331">
        <v>541.48</v>
      </c>
      <c r="BM1331">
        <v>106</v>
      </c>
      <c r="BN1331">
        <v>278.20010000000002</v>
      </c>
      <c r="BO1331">
        <v>1341</v>
      </c>
      <c r="BP1331">
        <v>0</v>
      </c>
      <c r="BQ1331">
        <v>62</v>
      </c>
      <c r="BR1331">
        <v>62</v>
      </c>
      <c r="BS1331">
        <v>62.08</v>
      </c>
      <c r="BT1331">
        <v>0</v>
      </c>
      <c r="BV1331">
        <v>0</v>
      </c>
      <c r="BW1331" t="s">
        <v>655</v>
      </c>
      <c r="BX1331">
        <v>0.17</v>
      </c>
      <c r="BY1331">
        <v>10.553599999999999</v>
      </c>
      <c r="BZ1331">
        <v>0</v>
      </c>
      <c r="CA1331">
        <v>1</v>
      </c>
      <c r="CB1331">
        <v>0.6</v>
      </c>
      <c r="CC1331" s="3">
        <v>7.1269159999999998E-2</v>
      </c>
      <c r="CD1331">
        <v>2.875</v>
      </c>
      <c r="CE1331">
        <v>2.5</v>
      </c>
      <c r="CF1331">
        <v>18</v>
      </c>
      <c r="CG1331">
        <v>6</v>
      </c>
      <c r="CH1331">
        <v>0</v>
      </c>
      <c r="CI1331">
        <v>62.08</v>
      </c>
      <c r="CJ1331">
        <v>707.3492</v>
      </c>
    </row>
    <row r="1332" spans="1:88">
      <c r="A1332">
        <v>1331</v>
      </c>
      <c r="B1332" t="s">
        <v>0</v>
      </c>
      <c r="C1332" t="s">
        <v>1</v>
      </c>
      <c r="D1332" t="s">
        <v>133</v>
      </c>
      <c r="E1332" t="s">
        <v>103</v>
      </c>
      <c r="F1332" t="s">
        <v>298</v>
      </c>
      <c r="G1332" t="s">
        <v>106</v>
      </c>
      <c r="H1332" t="s">
        <v>257</v>
      </c>
      <c r="J1332">
        <v>2</v>
      </c>
      <c r="K1332" t="s">
        <v>146</v>
      </c>
      <c r="L1332" t="s">
        <v>455</v>
      </c>
      <c r="M1332" t="s">
        <v>315</v>
      </c>
      <c r="N1332" t="s">
        <v>316</v>
      </c>
      <c r="O1332">
        <v>167</v>
      </c>
      <c r="Q1332">
        <v>611</v>
      </c>
      <c r="R1332">
        <v>88</v>
      </c>
      <c r="S1332">
        <v>4.25</v>
      </c>
      <c r="T1332">
        <v>4.4459999999999997</v>
      </c>
      <c r="U1332">
        <v>6.86</v>
      </c>
      <c r="V1332">
        <v>2598.36</v>
      </c>
      <c r="W1332">
        <v>602</v>
      </c>
      <c r="X1332">
        <v>1.3332999999999999</v>
      </c>
      <c r="Y1332">
        <v>450</v>
      </c>
      <c r="Z1332">
        <v>5.77</v>
      </c>
      <c r="AJ1332">
        <v>2</v>
      </c>
      <c r="AK1332">
        <v>18</v>
      </c>
      <c r="AM1332">
        <v>0</v>
      </c>
      <c r="AO1332" t="s">
        <v>301</v>
      </c>
      <c r="AT1332">
        <v>63</v>
      </c>
      <c r="AV1332">
        <v>49.1</v>
      </c>
      <c r="AW1332">
        <v>0.46875</v>
      </c>
      <c r="AX1332">
        <v>3.75</v>
      </c>
      <c r="AY1332">
        <v>59.375</v>
      </c>
      <c r="AZ1332">
        <v>5.375</v>
      </c>
      <c r="BA1332">
        <v>341.56</v>
      </c>
      <c r="BB1332">
        <v>5.77</v>
      </c>
      <c r="BC1332">
        <v>64</v>
      </c>
      <c r="BD1332">
        <v>0.3125</v>
      </c>
      <c r="BE1332">
        <v>2.75</v>
      </c>
      <c r="BF1332">
        <v>33.125</v>
      </c>
      <c r="BG1332">
        <v>3.625</v>
      </c>
      <c r="BH1332">
        <v>108.76</v>
      </c>
      <c r="BI1332">
        <v>5.87</v>
      </c>
      <c r="BJ1332">
        <v>18</v>
      </c>
      <c r="BL1332">
        <v>450.32</v>
      </c>
      <c r="BM1332">
        <v>81</v>
      </c>
      <c r="BN1332">
        <v>235.40010000000001</v>
      </c>
      <c r="BO1332">
        <v>1873</v>
      </c>
      <c r="BP1332">
        <v>0</v>
      </c>
      <c r="BQ1332">
        <v>57</v>
      </c>
      <c r="BR1332">
        <v>57</v>
      </c>
      <c r="BS1332">
        <v>57.21</v>
      </c>
      <c r="BT1332">
        <v>0</v>
      </c>
      <c r="BV1332">
        <v>0</v>
      </c>
      <c r="BW1332" t="s">
        <v>655</v>
      </c>
      <c r="BX1332">
        <v>0.17</v>
      </c>
      <c r="BY1332">
        <v>9.7257010000000008</v>
      </c>
      <c r="BZ1332">
        <v>0</v>
      </c>
      <c r="CA1332">
        <v>1</v>
      </c>
      <c r="CB1332">
        <v>0.6</v>
      </c>
      <c r="CC1332" s="3">
        <v>7.1269159999999998E-2</v>
      </c>
      <c r="CD1332">
        <v>2.875</v>
      </c>
      <c r="CE1332">
        <v>2.5</v>
      </c>
      <c r="CF1332">
        <v>18</v>
      </c>
      <c r="CG1332">
        <v>6</v>
      </c>
      <c r="CH1332">
        <v>0</v>
      </c>
      <c r="CI1332">
        <v>57.21</v>
      </c>
      <c r="CJ1332">
        <v>552.47529999999995</v>
      </c>
    </row>
    <row r="1333" spans="1:88">
      <c r="A1333">
        <v>1332</v>
      </c>
      <c r="B1333" t="s">
        <v>0</v>
      </c>
      <c r="C1333" t="s">
        <v>1</v>
      </c>
      <c r="D1333" t="s">
        <v>181</v>
      </c>
      <c r="E1333" t="s">
        <v>342</v>
      </c>
      <c r="F1333" t="s">
        <v>182</v>
      </c>
      <c r="G1333" t="s">
        <v>106</v>
      </c>
      <c r="H1333" t="s">
        <v>183</v>
      </c>
      <c r="J1333">
        <v>2</v>
      </c>
      <c r="K1333" t="s">
        <v>108</v>
      </c>
      <c r="L1333" t="s">
        <v>139</v>
      </c>
      <c r="M1333" t="s">
        <v>345</v>
      </c>
      <c r="N1333" t="s">
        <v>346</v>
      </c>
      <c r="O1333">
        <v>89</v>
      </c>
      <c r="Q1333">
        <v>391</v>
      </c>
      <c r="R1333">
        <v>98</v>
      </c>
      <c r="S1333">
        <v>4.25</v>
      </c>
      <c r="T1333">
        <v>2.4849999999999999</v>
      </c>
      <c r="U1333">
        <v>5.7</v>
      </c>
      <c r="V1333">
        <v>1661.02</v>
      </c>
      <c r="W1333">
        <v>560</v>
      </c>
      <c r="X1333">
        <v>1.3332999999999999</v>
      </c>
      <c r="Y1333">
        <v>436</v>
      </c>
      <c r="Z1333">
        <v>3.81</v>
      </c>
      <c r="AJ1333">
        <v>2</v>
      </c>
      <c r="AK1333">
        <v>18</v>
      </c>
      <c r="AM1333">
        <v>0</v>
      </c>
      <c r="AO1333" t="s">
        <v>186</v>
      </c>
      <c r="AT1333">
        <v>36</v>
      </c>
      <c r="AV1333">
        <v>55.8</v>
      </c>
      <c r="AW1333">
        <v>0</v>
      </c>
      <c r="AX1333">
        <v>0</v>
      </c>
      <c r="AY1333">
        <v>32.625</v>
      </c>
      <c r="AZ1333">
        <v>3.375</v>
      </c>
      <c r="BA1333">
        <v>0</v>
      </c>
      <c r="BB1333">
        <v>0</v>
      </c>
      <c r="BC1333">
        <v>33</v>
      </c>
      <c r="BN1333">
        <v>267.5</v>
      </c>
      <c r="BO1333">
        <v>1450</v>
      </c>
      <c r="BP1333">
        <v>0</v>
      </c>
      <c r="BQ1333">
        <v>30</v>
      </c>
      <c r="BR1333">
        <v>30</v>
      </c>
      <c r="BS1333">
        <v>30.08</v>
      </c>
      <c r="BT1333">
        <v>0</v>
      </c>
      <c r="BV1333">
        <v>0</v>
      </c>
      <c r="BW1333" t="s">
        <v>655</v>
      </c>
      <c r="BX1333">
        <v>0.17</v>
      </c>
      <c r="BY1333">
        <v>5.1135999999999999</v>
      </c>
      <c r="BZ1333">
        <v>0</v>
      </c>
      <c r="CA1333">
        <v>1</v>
      </c>
      <c r="CB1333">
        <v>0.6</v>
      </c>
      <c r="CC1333" s="3">
        <v>7.1269159999999998E-2</v>
      </c>
      <c r="CD1333">
        <v>2.875</v>
      </c>
      <c r="CE1333">
        <v>2.5</v>
      </c>
      <c r="CF1333">
        <v>18</v>
      </c>
      <c r="CG1333">
        <v>6</v>
      </c>
      <c r="CH1333">
        <v>0</v>
      </c>
      <c r="CI1333">
        <v>30.08</v>
      </c>
      <c r="CJ1333">
        <v>329.87360000000001</v>
      </c>
    </row>
    <row r="1334" spans="1:88">
      <c r="A1334">
        <v>1333</v>
      </c>
      <c r="B1334" t="s">
        <v>13</v>
      </c>
      <c r="C1334" t="s">
        <v>1</v>
      </c>
      <c r="D1334" t="s">
        <v>8</v>
      </c>
      <c r="E1334" t="s">
        <v>103</v>
      </c>
      <c r="F1334" t="s">
        <v>246</v>
      </c>
      <c r="G1334" t="s">
        <v>15</v>
      </c>
      <c r="H1334" t="s">
        <v>247</v>
      </c>
      <c r="J1334">
        <v>2</v>
      </c>
      <c r="K1334" t="s">
        <v>108</v>
      </c>
      <c r="L1334" t="s">
        <v>455</v>
      </c>
      <c r="M1334" t="s">
        <v>315</v>
      </c>
      <c r="N1334" t="s">
        <v>316</v>
      </c>
      <c r="O1334">
        <v>167</v>
      </c>
      <c r="Q1334">
        <v>879</v>
      </c>
      <c r="R1334">
        <v>124</v>
      </c>
      <c r="S1334">
        <v>4.25</v>
      </c>
      <c r="T1334">
        <v>4.4459999999999997</v>
      </c>
      <c r="U1334">
        <v>6.86</v>
      </c>
      <c r="V1334">
        <v>3737.7</v>
      </c>
      <c r="W1334">
        <v>848</v>
      </c>
      <c r="X1334">
        <v>1.3332999999999999</v>
      </c>
      <c r="Y1334">
        <v>648</v>
      </c>
      <c r="Z1334">
        <v>5.77</v>
      </c>
      <c r="AJ1334">
        <v>2</v>
      </c>
      <c r="AK1334">
        <v>18</v>
      </c>
      <c r="AM1334">
        <v>0</v>
      </c>
      <c r="AO1334" t="s">
        <v>250</v>
      </c>
      <c r="AT1334">
        <v>63</v>
      </c>
      <c r="AV1334">
        <v>71.099999999999994</v>
      </c>
      <c r="AW1334" t="s">
        <v>6</v>
      </c>
      <c r="AX1334" t="s">
        <v>6</v>
      </c>
      <c r="AY1334" t="s">
        <v>6</v>
      </c>
      <c r="AZ1334" t="s">
        <v>6</v>
      </c>
      <c r="BA1334" t="s">
        <v>6</v>
      </c>
      <c r="BB1334" t="s">
        <v>6</v>
      </c>
      <c r="BC1334" t="s">
        <v>6</v>
      </c>
      <c r="BD1334" t="s">
        <v>6</v>
      </c>
      <c r="BE1334" t="s">
        <v>6</v>
      </c>
      <c r="BF1334" t="s">
        <v>6</v>
      </c>
      <c r="BG1334" t="s">
        <v>6</v>
      </c>
      <c r="BH1334" t="s">
        <v>6</v>
      </c>
      <c r="BI1334" t="s">
        <v>6</v>
      </c>
      <c r="BJ1334" t="s">
        <v>6</v>
      </c>
      <c r="BN1334">
        <v>606.1585</v>
      </c>
      <c r="BO1334">
        <v>2977</v>
      </c>
      <c r="BP1334">
        <v>0</v>
      </c>
      <c r="BQ1334">
        <v>57</v>
      </c>
      <c r="BR1334">
        <v>57</v>
      </c>
      <c r="BS1334">
        <v>57.21</v>
      </c>
      <c r="BT1334">
        <v>0</v>
      </c>
      <c r="BV1334">
        <v>0</v>
      </c>
      <c r="BW1334" t="s">
        <v>655</v>
      </c>
      <c r="BX1334">
        <v>0.17</v>
      </c>
      <c r="BY1334">
        <v>9.7257010000000008</v>
      </c>
      <c r="BZ1334">
        <v>0</v>
      </c>
      <c r="CA1334">
        <v>1</v>
      </c>
      <c r="CB1334">
        <v>0.6</v>
      </c>
      <c r="CC1334" s="3">
        <v>7.1269159999999998E-2</v>
      </c>
      <c r="CD1334">
        <v>2.875</v>
      </c>
      <c r="CE1334">
        <v>2.5</v>
      </c>
      <c r="CF1334">
        <v>18</v>
      </c>
      <c r="CG1334">
        <v>6</v>
      </c>
      <c r="CH1334">
        <v>0</v>
      </c>
      <c r="CI1334">
        <v>57.21</v>
      </c>
      <c r="CJ1334">
        <v>798.64279999999997</v>
      </c>
    </row>
    <row r="1335" spans="1:88">
      <c r="A1335">
        <v>1334</v>
      </c>
      <c r="B1335" t="s">
        <v>0</v>
      </c>
      <c r="C1335" t="s">
        <v>1</v>
      </c>
      <c r="D1335" t="s">
        <v>130</v>
      </c>
      <c r="E1335" t="s">
        <v>119</v>
      </c>
      <c r="F1335" t="s">
        <v>189</v>
      </c>
      <c r="G1335" t="s">
        <v>106</v>
      </c>
      <c r="H1335" t="s">
        <v>176</v>
      </c>
      <c r="J1335">
        <v>2</v>
      </c>
      <c r="K1335" t="s">
        <v>146</v>
      </c>
      <c r="L1335" t="s">
        <v>165</v>
      </c>
      <c r="M1335" t="s">
        <v>286</v>
      </c>
      <c r="N1335" t="s">
        <v>96</v>
      </c>
      <c r="O1335">
        <v>128</v>
      </c>
      <c r="Q1335">
        <v>377</v>
      </c>
      <c r="R1335">
        <v>71</v>
      </c>
      <c r="S1335">
        <v>4.25</v>
      </c>
      <c r="T1335">
        <v>3.5110000000000001</v>
      </c>
      <c r="U1335">
        <v>6.3</v>
      </c>
      <c r="V1335">
        <v>1603.86</v>
      </c>
      <c r="W1335">
        <v>448</v>
      </c>
      <c r="X1335">
        <v>1.3332999999999999</v>
      </c>
      <c r="Y1335">
        <v>331</v>
      </c>
      <c r="Z1335">
        <v>4.84</v>
      </c>
      <c r="AJ1335">
        <v>2</v>
      </c>
      <c r="AK1335">
        <v>18</v>
      </c>
      <c r="AM1335">
        <v>0</v>
      </c>
      <c r="AO1335" t="s">
        <v>226</v>
      </c>
      <c r="AT1335">
        <v>50</v>
      </c>
      <c r="AV1335">
        <v>38.6</v>
      </c>
      <c r="AW1335">
        <v>0</v>
      </c>
      <c r="AX1335">
        <v>0</v>
      </c>
      <c r="AY1335">
        <v>43</v>
      </c>
      <c r="AZ1335">
        <v>4.25</v>
      </c>
      <c r="BA1335">
        <v>0</v>
      </c>
      <c r="BB1335">
        <v>0</v>
      </c>
      <c r="BC1335">
        <v>43</v>
      </c>
      <c r="BN1335">
        <v>183.68340000000001</v>
      </c>
      <c r="BO1335">
        <v>3076</v>
      </c>
      <c r="BP1335">
        <v>0</v>
      </c>
      <c r="BQ1335">
        <v>44</v>
      </c>
      <c r="BR1335">
        <v>44</v>
      </c>
      <c r="BS1335">
        <v>43.65</v>
      </c>
      <c r="BT1335">
        <v>0</v>
      </c>
      <c r="BV1335">
        <v>0</v>
      </c>
      <c r="BW1335" t="s">
        <v>655</v>
      </c>
      <c r="BX1335">
        <v>0.17</v>
      </c>
      <c r="BY1335">
        <v>7.4205009999999998</v>
      </c>
      <c r="BZ1335">
        <v>0</v>
      </c>
      <c r="CA1335">
        <v>1</v>
      </c>
      <c r="CB1335">
        <v>0.6</v>
      </c>
      <c r="CC1335" s="3">
        <v>7.1269159999999998E-2</v>
      </c>
      <c r="CD1335">
        <v>2.875</v>
      </c>
      <c r="CE1335">
        <v>2.5</v>
      </c>
      <c r="CF1335">
        <v>18</v>
      </c>
      <c r="CG1335">
        <v>6</v>
      </c>
      <c r="CH1335">
        <v>0</v>
      </c>
      <c r="CI1335">
        <v>43.65</v>
      </c>
      <c r="CJ1335">
        <v>331.3107</v>
      </c>
    </row>
    <row r="1336" spans="1:88">
      <c r="A1336">
        <v>1335</v>
      </c>
      <c r="B1336" t="s">
        <v>0</v>
      </c>
      <c r="C1336" t="s">
        <v>1</v>
      </c>
      <c r="D1336" t="s">
        <v>139</v>
      </c>
      <c r="E1336" t="s">
        <v>101</v>
      </c>
      <c r="F1336" t="s">
        <v>155</v>
      </c>
      <c r="G1336" t="s">
        <v>106</v>
      </c>
      <c r="H1336" t="s">
        <v>151</v>
      </c>
      <c r="J1336">
        <v>2</v>
      </c>
      <c r="K1336" t="s">
        <v>146</v>
      </c>
      <c r="L1336" t="s">
        <v>145</v>
      </c>
      <c r="M1336" t="s">
        <v>403</v>
      </c>
      <c r="N1336" t="s">
        <v>172</v>
      </c>
      <c r="O1336">
        <v>134</v>
      </c>
      <c r="Q1336">
        <v>375</v>
      </c>
      <c r="R1336">
        <v>68</v>
      </c>
      <c r="S1336">
        <v>4.25</v>
      </c>
      <c r="T1336">
        <v>3.66</v>
      </c>
      <c r="U1336">
        <v>6.41</v>
      </c>
      <c r="V1336">
        <v>1595.49</v>
      </c>
      <c r="W1336">
        <v>437</v>
      </c>
      <c r="X1336">
        <v>1.3332999999999999</v>
      </c>
      <c r="Y1336">
        <v>320</v>
      </c>
      <c r="Z1336">
        <v>4.99</v>
      </c>
      <c r="AJ1336">
        <v>2</v>
      </c>
      <c r="AK1336">
        <v>18</v>
      </c>
      <c r="AM1336">
        <v>0</v>
      </c>
      <c r="AO1336" t="s">
        <v>154</v>
      </c>
      <c r="AT1336">
        <v>52</v>
      </c>
      <c r="AV1336">
        <v>36.799999999999997</v>
      </c>
      <c r="AW1336">
        <v>0</v>
      </c>
      <c r="AX1336">
        <v>0</v>
      </c>
      <c r="AY1336">
        <v>44.5</v>
      </c>
      <c r="AZ1336">
        <v>4.375</v>
      </c>
      <c r="BA1336">
        <v>0</v>
      </c>
      <c r="BB1336">
        <v>0</v>
      </c>
      <c r="BC1336">
        <v>45</v>
      </c>
      <c r="BN1336">
        <v>174.76669999999999</v>
      </c>
      <c r="BO1336">
        <v>3397</v>
      </c>
      <c r="BP1336">
        <v>0</v>
      </c>
      <c r="BQ1336">
        <v>46</v>
      </c>
      <c r="BR1336">
        <v>46</v>
      </c>
      <c r="BS1336">
        <v>45.73</v>
      </c>
      <c r="BT1336">
        <v>0</v>
      </c>
      <c r="BV1336">
        <v>0</v>
      </c>
      <c r="BW1336" t="s">
        <v>655</v>
      </c>
      <c r="BX1336">
        <v>0.17</v>
      </c>
      <c r="BY1336">
        <v>7.7740999999999998</v>
      </c>
      <c r="BZ1336">
        <v>0</v>
      </c>
      <c r="CA1336">
        <v>1</v>
      </c>
      <c r="CB1336">
        <v>0.6</v>
      </c>
      <c r="CC1336" s="3">
        <v>7.1269159999999998E-2</v>
      </c>
      <c r="CD1336">
        <v>2.875</v>
      </c>
      <c r="CE1336">
        <v>2.5</v>
      </c>
      <c r="CF1336">
        <v>18</v>
      </c>
      <c r="CG1336">
        <v>6</v>
      </c>
      <c r="CH1336">
        <v>0</v>
      </c>
      <c r="CI1336">
        <v>45.73</v>
      </c>
      <c r="CJ1336">
        <v>330.80250000000001</v>
      </c>
    </row>
    <row r="1337" spans="1:88">
      <c r="A1337">
        <v>1336</v>
      </c>
      <c r="B1337" t="s">
        <v>13</v>
      </c>
      <c r="C1337" t="s">
        <v>1</v>
      </c>
      <c r="D1337" t="s">
        <v>344</v>
      </c>
      <c r="E1337" t="s">
        <v>231</v>
      </c>
      <c r="F1337" t="s">
        <v>499</v>
      </c>
      <c r="G1337" t="s">
        <v>106</v>
      </c>
      <c r="H1337" t="s">
        <v>462</v>
      </c>
      <c r="J1337">
        <v>2</v>
      </c>
      <c r="K1337" t="s">
        <v>146</v>
      </c>
      <c r="L1337" t="s">
        <v>3</v>
      </c>
      <c r="M1337" t="s">
        <v>405</v>
      </c>
      <c r="N1337" t="s">
        <v>151</v>
      </c>
      <c r="O1337">
        <v>105</v>
      </c>
      <c r="Q1337">
        <v>222</v>
      </c>
      <c r="R1337">
        <v>48</v>
      </c>
      <c r="S1337">
        <v>4.25</v>
      </c>
      <c r="T1337">
        <v>2.9180000000000001</v>
      </c>
      <c r="U1337">
        <v>6</v>
      </c>
      <c r="V1337">
        <v>945.11</v>
      </c>
      <c r="W1337">
        <v>286</v>
      </c>
      <c r="X1337">
        <v>1.3332999999999999</v>
      </c>
      <c r="Y1337">
        <v>222</v>
      </c>
      <c r="Z1337">
        <v>4.25</v>
      </c>
      <c r="AJ1337">
        <v>2</v>
      </c>
      <c r="AK1337">
        <v>18</v>
      </c>
      <c r="AM1337">
        <v>0</v>
      </c>
      <c r="AO1337" t="s">
        <v>223</v>
      </c>
      <c r="AT1337">
        <v>42</v>
      </c>
      <c r="AV1337">
        <v>27</v>
      </c>
      <c r="AW1337">
        <v>0</v>
      </c>
      <c r="AX1337">
        <v>0</v>
      </c>
      <c r="AY1337">
        <v>29</v>
      </c>
      <c r="AZ1337">
        <v>3.25</v>
      </c>
      <c r="BA1337">
        <v>0</v>
      </c>
      <c r="BB1337">
        <v>0</v>
      </c>
      <c r="BC1337">
        <v>26</v>
      </c>
      <c r="BN1337">
        <v>126.61669999999999</v>
      </c>
      <c r="BO1337">
        <v>6473</v>
      </c>
      <c r="BP1337">
        <v>0</v>
      </c>
      <c r="BQ1337">
        <v>36</v>
      </c>
      <c r="BR1337">
        <v>36</v>
      </c>
      <c r="BS1337">
        <v>35.65</v>
      </c>
      <c r="BT1337">
        <v>0</v>
      </c>
      <c r="BV1337">
        <v>0</v>
      </c>
      <c r="BW1337" t="s">
        <v>655</v>
      </c>
      <c r="BX1337">
        <v>0.17</v>
      </c>
      <c r="BY1337">
        <v>6.0605000000000002</v>
      </c>
      <c r="BZ1337">
        <v>0</v>
      </c>
      <c r="CA1337">
        <v>1</v>
      </c>
      <c r="CB1337">
        <v>0.6</v>
      </c>
      <c r="CC1337" s="3">
        <v>7.1269159999999998E-2</v>
      </c>
      <c r="CD1337">
        <v>2.875</v>
      </c>
      <c r="CE1337">
        <v>2.5</v>
      </c>
      <c r="CF1337">
        <v>18</v>
      </c>
      <c r="CG1337">
        <v>6</v>
      </c>
      <c r="CH1337">
        <v>0</v>
      </c>
      <c r="CI1337">
        <v>35.65</v>
      </c>
      <c r="CJ1337">
        <v>189.28550000000001</v>
      </c>
    </row>
    <row r="1338" spans="1:88">
      <c r="A1338">
        <v>1337</v>
      </c>
      <c r="B1338" t="s">
        <v>0</v>
      </c>
      <c r="C1338" t="s">
        <v>1</v>
      </c>
      <c r="D1338" t="s">
        <v>439</v>
      </c>
      <c r="E1338" t="s">
        <v>104</v>
      </c>
      <c r="F1338" t="s">
        <v>482</v>
      </c>
      <c r="G1338" t="s">
        <v>20</v>
      </c>
      <c r="H1338" t="s">
        <v>439</v>
      </c>
      <c r="J1338">
        <v>2</v>
      </c>
      <c r="K1338" t="s">
        <v>9</v>
      </c>
      <c r="L1338" t="s">
        <v>109</v>
      </c>
      <c r="M1338" t="s">
        <v>110</v>
      </c>
      <c r="N1338" t="s">
        <v>111</v>
      </c>
      <c r="O1338">
        <v>191</v>
      </c>
      <c r="Q1338">
        <v>1357</v>
      </c>
      <c r="R1338">
        <v>168</v>
      </c>
      <c r="S1338">
        <v>4.25</v>
      </c>
      <c r="T1338">
        <v>4.9850000000000003</v>
      </c>
      <c r="U1338">
        <v>7.27</v>
      </c>
      <c r="V1338">
        <v>5767.63</v>
      </c>
      <c r="W1338">
        <v>1220</v>
      </c>
      <c r="X1338">
        <v>1.3332999999999999</v>
      </c>
      <c r="Y1338">
        <v>914</v>
      </c>
      <c r="Z1338">
        <v>6.31</v>
      </c>
      <c r="AJ1338">
        <v>2</v>
      </c>
      <c r="AK1338">
        <v>18</v>
      </c>
      <c r="AM1338">
        <v>0</v>
      </c>
      <c r="AO1338" t="s">
        <v>726</v>
      </c>
      <c r="AT1338">
        <v>72</v>
      </c>
      <c r="AV1338">
        <v>96.5</v>
      </c>
      <c r="AW1338" t="s">
        <v>6</v>
      </c>
      <c r="AX1338" t="s">
        <v>6</v>
      </c>
      <c r="AY1338" t="s">
        <v>6</v>
      </c>
      <c r="AZ1338" t="s">
        <v>6</v>
      </c>
      <c r="BA1338" t="s">
        <v>6</v>
      </c>
      <c r="BB1338" t="s">
        <v>6</v>
      </c>
      <c r="BC1338" t="s">
        <v>6</v>
      </c>
      <c r="BD1338" t="s">
        <v>6</v>
      </c>
      <c r="BE1338" t="s">
        <v>6</v>
      </c>
      <c r="BF1338" t="s">
        <v>6</v>
      </c>
      <c r="BG1338" t="s">
        <v>6</v>
      </c>
      <c r="BH1338" t="s">
        <v>6</v>
      </c>
      <c r="BI1338" t="s">
        <v>6</v>
      </c>
      <c r="BJ1338" t="s">
        <v>6</v>
      </c>
      <c r="BN1338">
        <v>724.81209999999999</v>
      </c>
      <c r="BO1338">
        <v>2279</v>
      </c>
      <c r="BP1338">
        <v>0</v>
      </c>
      <c r="BQ1338">
        <v>66</v>
      </c>
      <c r="BR1338">
        <v>66</v>
      </c>
      <c r="BS1338">
        <v>65.56</v>
      </c>
      <c r="BT1338">
        <v>0</v>
      </c>
      <c r="BV1338">
        <v>6</v>
      </c>
      <c r="BW1338" t="s">
        <v>655</v>
      </c>
      <c r="BX1338">
        <v>0.27933340000000001</v>
      </c>
      <c r="BY1338">
        <v>18.313089999999999</v>
      </c>
      <c r="BZ1338">
        <v>0</v>
      </c>
      <c r="CA1338">
        <v>1</v>
      </c>
      <c r="CB1338">
        <v>0.6</v>
      </c>
      <c r="CC1338" s="3">
        <v>7.1269159999999998E-2</v>
      </c>
      <c r="CD1338">
        <v>2.875</v>
      </c>
      <c r="CE1338">
        <v>2.5</v>
      </c>
      <c r="CF1338">
        <v>18</v>
      </c>
      <c r="CG1338">
        <v>6</v>
      </c>
      <c r="CH1338">
        <v>0</v>
      </c>
      <c r="CI1338">
        <v>65.56</v>
      </c>
      <c r="CJ1338">
        <v>1242.2760000000001</v>
      </c>
    </row>
    <row r="1339" spans="1:88">
      <c r="A1339">
        <v>1338</v>
      </c>
      <c r="B1339" t="s">
        <v>13</v>
      </c>
      <c r="C1339" t="s">
        <v>1</v>
      </c>
      <c r="D1339" t="s">
        <v>169</v>
      </c>
      <c r="E1339" t="s">
        <v>330</v>
      </c>
      <c r="F1339" t="s">
        <v>404</v>
      </c>
      <c r="G1339" t="s">
        <v>106</v>
      </c>
      <c r="H1339" t="s">
        <v>190</v>
      </c>
      <c r="J1339">
        <v>2</v>
      </c>
      <c r="K1339" t="s">
        <v>146</v>
      </c>
      <c r="L1339" t="s">
        <v>279</v>
      </c>
      <c r="M1339" t="s">
        <v>360</v>
      </c>
      <c r="N1339" t="s">
        <v>381</v>
      </c>
      <c r="O1339">
        <v>136</v>
      </c>
      <c r="Q1339">
        <v>417</v>
      </c>
      <c r="R1339">
        <v>74</v>
      </c>
      <c r="S1339">
        <v>4.25</v>
      </c>
      <c r="T1339">
        <v>3.7090000000000001</v>
      </c>
      <c r="U1339">
        <v>6.45</v>
      </c>
      <c r="V1339">
        <v>1773.56</v>
      </c>
      <c r="W1339">
        <v>477</v>
      </c>
      <c r="X1339">
        <v>1.3332999999999999</v>
      </c>
      <c r="Y1339">
        <v>352</v>
      </c>
      <c r="Z1339">
        <v>5.04</v>
      </c>
      <c r="AJ1339">
        <v>2</v>
      </c>
      <c r="AK1339">
        <v>18</v>
      </c>
      <c r="AM1339">
        <v>0</v>
      </c>
      <c r="AO1339" t="s">
        <v>406</v>
      </c>
      <c r="AT1339">
        <v>53</v>
      </c>
      <c r="AV1339">
        <v>40.4</v>
      </c>
      <c r="AW1339">
        <v>0</v>
      </c>
      <c r="AX1339">
        <v>0</v>
      </c>
      <c r="AY1339">
        <v>57.625</v>
      </c>
      <c r="AZ1339">
        <v>4.75</v>
      </c>
      <c r="BA1339">
        <v>0</v>
      </c>
      <c r="BB1339">
        <v>0</v>
      </c>
      <c r="BC1339">
        <v>62</v>
      </c>
      <c r="BN1339">
        <v>192.6</v>
      </c>
      <c r="BO1339">
        <v>2797</v>
      </c>
      <c r="BP1339">
        <v>0</v>
      </c>
      <c r="BQ1339">
        <v>46</v>
      </c>
      <c r="BR1339">
        <v>46</v>
      </c>
      <c r="BS1339">
        <v>46.43</v>
      </c>
      <c r="BT1339">
        <v>0</v>
      </c>
      <c r="BV1339">
        <v>0</v>
      </c>
      <c r="BW1339" t="s">
        <v>655</v>
      </c>
      <c r="BX1339">
        <v>0.17</v>
      </c>
      <c r="BY1339">
        <v>7.8931009999999997</v>
      </c>
      <c r="BZ1339">
        <v>0</v>
      </c>
      <c r="CA1339">
        <v>1</v>
      </c>
      <c r="CB1339">
        <v>0.6</v>
      </c>
      <c r="CC1339" s="3">
        <v>7.1269159999999998E-2</v>
      </c>
      <c r="CD1339">
        <v>2.875</v>
      </c>
      <c r="CE1339">
        <v>2.5</v>
      </c>
      <c r="CF1339">
        <v>18</v>
      </c>
      <c r="CG1339">
        <v>6</v>
      </c>
      <c r="CH1339">
        <v>0</v>
      </c>
      <c r="CI1339">
        <v>46.43</v>
      </c>
      <c r="CJ1339">
        <v>368.95650000000001</v>
      </c>
    </row>
    <row r="1340" spans="1:88">
      <c r="A1340">
        <v>1339</v>
      </c>
      <c r="B1340" t="s">
        <v>0</v>
      </c>
      <c r="C1340" t="s">
        <v>1</v>
      </c>
      <c r="D1340" t="s">
        <v>353</v>
      </c>
      <c r="E1340" t="s">
        <v>199</v>
      </c>
      <c r="F1340" t="s">
        <v>517</v>
      </c>
      <c r="G1340" t="s">
        <v>106</v>
      </c>
      <c r="H1340" t="s">
        <v>518</v>
      </c>
      <c r="J1340">
        <v>2</v>
      </c>
      <c r="K1340" t="s">
        <v>108</v>
      </c>
      <c r="L1340" t="s">
        <v>264</v>
      </c>
      <c r="M1340" t="s">
        <v>265</v>
      </c>
      <c r="N1340" t="s">
        <v>161</v>
      </c>
      <c r="O1340">
        <v>193</v>
      </c>
      <c r="Q1340">
        <v>804</v>
      </c>
      <c r="R1340">
        <v>99</v>
      </c>
      <c r="S1340">
        <v>4.25</v>
      </c>
      <c r="T1340">
        <v>5.0289999999999999</v>
      </c>
      <c r="U1340">
        <v>7.31</v>
      </c>
      <c r="V1340">
        <v>3416.7</v>
      </c>
      <c r="W1340">
        <v>727</v>
      </c>
      <c r="X1340">
        <v>1.3332999999999999</v>
      </c>
      <c r="Y1340">
        <v>537</v>
      </c>
      <c r="Z1340">
        <v>6.36</v>
      </c>
      <c r="AJ1340">
        <v>2</v>
      </c>
      <c r="AK1340">
        <v>18</v>
      </c>
      <c r="AM1340">
        <v>0</v>
      </c>
      <c r="AO1340" t="s">
        <v>182</v>
      </c>
      <c r="AT1340">
        <v>72</v>
      </c>
      <c r="AV1340">
        <v>56.5</v>
      </c>
      <c r="AW1340">
        <v>0.46875</v>
      </c>
      <c r="AX1340">
        <v>3.75</v>
      </c>
      <c r="AY1340">
        <v>68.625</v>
      </c>
      <c r="AZ1340">
        <v>6</v>
      </c>
      <c r="BA1340">
        <v>295.45999999999998</v>
      </c>
      <c r="BB1340">
        <v>6.67</v>
      </c>
      <c r="BC1340">
        <v>74</v>
      </c>
      <c r="BD1340">
        <v>0.4375</v>
      </c>
      <c r="BE1340">
        <v>3.75</v>
      </c>
      <c r="BF1340">
        <v>58.875</v>
      </c>
      <c r="BG1340">
        <v>5.5</v>
      </c>
      <c r="BH1340">
        <v>241.75</v>
      </c>
      <c r="BI1340">
        <v>6.8</v>
      </c>
      <c r="BJ1340">
        <v>60</v>
      </c>
      <c r="BL1340">
        <v>537.21</v>
      </c>
      <c r="BM1340">
        <v>133</v>
      </c>
      <c r="BN1340">
        <v>271.06670000000003</v>
      </c>
      <c r="BO1340">
        <v>1412</v>
      </c>
      <c r="BP1340">
        <v>0</v>
      </c>
      <c r="BQ1340">
        <v>66</v>
      </c>
      <c r="BR1340">
        <v>66</v>
      </c>
      <c r="BS1340">
        <v>66.260000000000005</v>
      </c>
      <c r="BT1340">
        <v>0</v>
      </c>
      <c r="BV1340">
        <v>0</v>
      </c>
      <c r="BW1340" t="s">
        <v>655</v>
      </c>
      <c r="BX1340">
        <v>0.17</v>
      </c>
      <c r="BY1340">
        <v>11.264200000000001</v>
      </c>
      <c r="BZ1340">
        <v>0</v>
      </c>
      <c r="CA1340">
        <v>1</v>
      </c>
      <c r="CB1340">
        <v>0.6</v>
      </c>
      <c r="CC1340" s="3">
        <v>7.1269159999999998E-2</v>
      </c>
      <c r="CD1340">
        <v>2.875</v>
      </c>
      <c r="CE1340">
        <v>2.5</v>
      </c>
      <c r="CF1340">
        <v>18</v>
      </c>
      <c r="CG1340">
        <v>6</v>
      </c>
      <c r="CH1340">
        <v>0</v>
      </c>
      <c r="CI1340">
        <v>66.260000000000005</v>
      </c>
      <c r="CJ1340">
        <v>736.08759999999995</v>
      </c>
    </row>
    <row r="1341" spans="1:88">
      <c r="A1341">
        <v>1340</v>
      </c>
      <c r="B1341" t="s">
        <v>13</v>
      </c>
      <c r="C1341" t="s">
        <v>1</v>
      </c>
      <c r="D1341" t="s">
        <v>507</v>
      </c>
      <c r="E1341" t="s">
        <v>366</v>
      </c>
      <c r="F1341" t="s">
        <v>584</v>
      </c>
      <c r="G1341" t="s">
        <v>106</v>
      </c>
      <c r="H1341" t="s">
        <v>602</v>
      </c>
      <c r="J1341">
        <v>2</v>
      </c>
      <c r="K1341" t="s">
        <v>146</v>
      </c>
      <c r="L1341" t="s">
        <v>268</v>
      </c>
      <c r="M1341" t="s">
        <v>370</v>
      </c>
      <c r="N1341" t="s">
        <v>217</v>
      </c>
      <c r="O1341">
        <v>103</v>
      </c>
      <c r="Q1341">
        <v>141</v>
      </c>
      <c r="R1341">
        <v>32</v>
      </c>
      <c r="S1341">
        <v>4.25</v>
      </c>
      <c r="T1341">
        <v>2.8650000000000002</v>
      </c>
      <c r="U1341">
        <v>5.96</v>
      </c>
      <c r="V1341">
        <v>601.33000000000004</v>
      </c>
      <c r="W1341">
        <v>192</v>
      </c>
      <c r="X1341">
        <v>1.3332999999999999</v>
      </c>
      <c r="Y1341">
        <v>144</v>
      </c>
      <c r="Z1341">
        <v>4.1900000000000004</v>
      </c>
      <c r="AJ1341">
        <v>2</v>
      </c>
      <c r="AK1341">
        <v>18</v>
      </c>
      <c r="AM1341">
        <v>0</v>
      </c>
      <c r="AO1341" t="s">
        <v>367</v>
      </c>
      <c r="AT1341">
        <v>41</v>
      </c>
      <c r="AV1341">
        <v>17.2</v>
      </c>
      <c r="AW1341">
        <v>0</v>
      </c>
      <c r="AX1341">
        <v>0</v>
      </c>
      <c r="AY1341">
        <v>17.75</v>
      </c>
      <c r="AZ1341">
        <v>2.625</v>
      </c>
      <c r="BA1341">
        <v>0</v>
      </c>
      <c r="BB1341">
        <v>0</v>
      </c>
      <c r="BC1341">
        <v>13</v>
      </c>
      <c r="BN1341">
        <v>78.466679999999997</v>
      </c>
      <c r="BO1341">
        <v>16854</v>
      </c>
      <c r="BP1341">
        <v>0</v>
      </c>
      <c r="BQ1341">
        <v>35</v>
      </c>
      <c r="BR1341">
        <v>35</v>
      </c>
      <c r="BS1341">
        <v>34.950000000000003</v>
      </c>
      <c r="BT1341">
        <v>0</v>
      </c>
      <c r="BV1341">
        <v>0</v>
      </c>
      <c r="BW1341" t="s">
        <v>655</v>
      </c>
      <c r="BX1341">
        <v>0.17</v>
      </c>
      <c r="BY1341">
        <v>5.9414999999999996</v>
      </c>
      <c r="BZ1341">
        <v>0</v>
      </c>
      <c r="CA1341">
        <v>1</v>
      </c>
      <c r="CB1341">
        <v>0.6</v>
      </c>
      <c r="CC1341" s="3">
        <v>7.1269159999999998E-2</v>
      </c>
      <c r="CD1341">
        <v>2.875</v>
      </c>
      <c r="CE1341">
        <v>2.5</v>
      </c>
      <c r="CF1341">
        <v>18</v>
      </c>
      <c r="CG1341">
        <v>6</v>
      </c>
      <c r="CH1341">
        <v>0</v>
      </c>
      <c r="CI1341">
        <v>34.950000000000003</v>
      </c>
      <c r="CJ1341">
        <v>118.31570000000001</v>
      </c>
    </row>
    <row r="1342" spans="1:88">
      <c r="A1342">
        <v>1341</v>
      </c>
      <c r="B1342" t="s">
        <v>0</v>
      </c>
      <c r="C1342" t="s">
        <v>1</v>
      </c>
      <c r="D1342" t="s">
        <v>464</v>
      </c>
      <c r="E1342" t="s">
        <v>493</v>
      </c>
      <c r="F1342" t="s">
        <v>467</v>
      </c>
      <c r="G1342" t="s">
        <v>106</v>
      </c>
      <c r="H1342" t="s">
        <v>178</v>
      </c>
      <c r="J1342">
        <v>2</v>
      </c>
      <c r="K1342" t="s">
        <v>146</v>
      </c>
      <c r="L1342" t="s">
        <v>138</v>
      </c>
      <c r="M1342" t="s">
        <v>592</v>
      </c>
      <c r="N1342" t="s">
        <v>365</v>
      </c>
      <c r="O1342">
        <v>50</v>
      </c>
      <c r="Q1342">
        <v>139</v>
      </c>
      <c r="R1342">
        <v>61</v>
      </c>
      <c r="S1342">
        <v>4.25</v>
      </c>
      <c r="T1342">
        <v>1.3340000000000001</v>
      </c>
      <c r="U1342">
        <v>5.0199999999999996</v>
      </c>
      <c r="V1342">
        <v>591.26</v>
      </c>
      <c r="W1342">
        <v>305</v>
      </c>
      <c r="X1342">
        <v>1.5</v>
      </c>
      <c r="Y1342">
        <v>209</v>
      </c>
      <c r="Z1342">
        <v>2.83</v>
      </c>
      <c r="AJ1342">
        <v>2</v>
      </c>
      <c r="AK1342">
        <v>18</v>
      </c>
      <c r="AM1342">
        <v>0</v>
      </c>
      <c r="AO1342" t="s">
        <v>179</v>
      </c>
      <c r="AT1342">
        <v>23</v>
      </c>
      <c r="AV1342">
        <v>32.1</v>
      </c>
      <c r="AW1342">
        <v>0</v>
      </c>
      <c r="AX1342">
        <v>0</v>
      </c>
      <c r="AY1342">
        <v>12.25</v>
      </c>
      <c r="AZ1342">
        <v>1.75</v>
      </c>
      <c r="BA1342">
        <v>0</v>
      </c>
      <c r="BB1342">
        <v>0</v>
      </c>
      <c r="BC1342">
        <v>9</v>
      </c>
      <c r="BN1342">
        <v>151.58340000000001</v>
      </c>
      <c r="BO1342">
        <v>4516</v>
      </c>
      <c r="BP1342">
        <v>0</v>
      </c>
      <c r="BQ1342">
        <v>17</v>
      </c>
      <c r="BR1342">
        <v>17</v>
      </c>
      <c r="BS1342">
        <v>16.52</v>
      </c>
      <c r="BT1342">
        <v>0</v>
      </c>
      <c r="BV1342">
        <v>0</v>
      </c>
      <c r="BW1342" t="s">
        <v>655</v>
      </c>
      <c r="BX1342">
        <v>0.17</v>
      </c>
      <c r="BY1342">
        <v>2.8083999999999998</v>
      </c>
      <c r="BZ1342">
        <v>0</v>
      </c>
      <c r="CA1342">
        <v>1</v>
      </c>
      <c r="CB1342">
        <v>0.6</v>
      </c>
      <c r="CC1342" s="3">
        <v>7.1269159999999998E-2</v>
      </c>
      <c r="CD1342">
        <v>2.875</v>
      </c>
      <c r="CE1342">
        <v>2.5</v>
      </c>
      <c r="CF1342">
        <v>18</v>
      </c>
      <c r="CG1342">
        <v>6</v>
      </c>
      <c r="CH1342">
        <v>0</v>
      </c>
      <c r="CI1342">
        <v>16.52</v>
      </c>
      <c r="CJ1342">
        <v>104.1969</v>
      </c>
    </row>
    <row r="1343" spans="1:88">
      <c r="A1343">
        <v>1342</v>
      </c>
      <c r="B1343" t="s">
        <v>13</v>
      </c>
      <c r="C1343" t="s">
        <v>1</v>
      </c>
      <c r="D1343" t="s">
        <v>101</v>
      </c>
      <c r="E1343" t="s">
        <v>317</v>
      </c>
      <c r="F1343" t="s">
        <v>339</v>
      </c>
      <c r="G1343" t="s">
        <v>106</v>
      </c>
      <c r="H1343" t="s">
        <v>167</v>
      </c>
      <c r="J1343">
        <v>2</v>
      </c>
      <c r="K1343" t="s">
        <v>146</v>
      </c>
      <c r="L1343" t="s">
        <v>169</v>
      </c>
      <c r="M1343" t="s">
        <v>400</v>
      </c>
      <c r="N1343" t="s">
        <v>228</v>
      </c>
      <c r="O1343">
        <v>99</v>
      </c>
      <c r="Q1343">
        <v>354</v>
      </c>
      <c r="R1343">
        <v>83</v>
      </c>
      <c r="S1343">
        <v>4.25</v>
      </c>
      <c r="T1343">
        <v>2.758</v>
      </c>
      <c r="U1343">
        <v>5.88</v>
      </c>
      <c r="V1343">
        <v>1505.22</v>
      </c>
      <c r="W1343">
        <v>485</v>
      </c>
      <c r="X1343">
        <v>1.3332999999999999</v>
      </c>
      <c r="Y1343">
        <v>368</v>
      </c>
      <c r="Z1343">
        <v>4.09</v>
      </c>
      <c r="AJ1343">
        <v>2</v>
      </c>
      <c r="AK1343">
        <v>18</v>
      </c>
      <c r="AM1343">
        <v>0</v>
      </c>
      <c r="AO1343" t="s">
        <v>327</v>
      </c>
      <c r="AT1343">
        <v>40</v>
      </c>
      <c r="AV1343">
        <v>45.9</v>
      </c>
      <c r="AW1343">
        <v>0</v>
      </c>
      <c r="AX1343">
        <v>0</v>
      </c>
      <c r="AY1343">
        <v>38.625</v>
      </c>
      <c r="AZ1343">
        <v>3.625</v>
      </c>
      <c r="BA1343">
        <v>0</v>
      </c>
      <c r="BB1343">
        <v>0</v>
      </c>
      <c r="BC1343">
        <v>39</v>
      </c>
      <c r="BN1343">
        <v>219.35</v>
      </c>
      <c r="BO1343">
        <v>2157</v>
      </c>
      <c r="BP1343">
        <v>0</v>
      </c>
      <c r="BQ1343">
        <v>34</v>
      </c>
      <c r="BR1343">
        <v>34</v>
      </c>
      <c r="BS1343">
        <v>33.56</v>
      </c>
      <c r="BT1343">
        <v>0</v>
      </c>
      <c r="BV1343">
        <v>0</v>
      </c>
      <c r="BW1343" t="s">
        <v>655</v>
      </c>
      <c r="BX1343">
        <v>0.17</v>
      </c>
      <c r="BY1343">
        <v>5.7051999999999996</v>
      </c>
      <c r="BZ1343">
        <v>0</v>
      </c>
      <c r="CA1343">
        <v>1</v>
      </c>
      <c r="CB1343">
        <v>0.6</v>
      </c>
      <c r="CC1343" s="3">
        <v>7.1269159999999998E-2</v>
      </c>
      <c r="CD1343">
        <v>2.875</v>
      </c>
      <c r="CE1343">
        <v>2.5</v>
      </c>
      <c r="CF1343">
        <v>18</v>
      </c>
      <c r="CG1343">
        <v>6</v>
      </c>
      <c r="CH1343">
        <v>0</v>
      </c>
      <c r="CI1343">
        <v>33.56</v>
      </c>
      <c r="CJ1343">
        <v>302.56180000000001</v>
      </c>
    </row>
    <row r="1344" spans="1:88">
      <c r="A1344">
        <v>1343</v>
      </c>
      <c r="B1344" t="s">
        <v>0</v>
      </c>
      <c r="C1344" t="s">
        <v>1</v>
      </c>
      <c r="D1344" t="s">
        <v>233</v>
      </c>
      <c r="E1344" t="s">
        <v>207</v>
      </c>
      <c r="F1344" t="s">
        <v>271</v>
      </c>
      <c r="G1344" t="s">
        <v>106</v>
      </c>
      <c r="H1344" t="s">
        <v>279</v>
      </c>
      <c r="J1344">
        <v>2</v>
      </c>
      <c r="K1344" t="s">
        <v>146</v>
      </c>
      <c r="L1344" t="s">
        <v>197</v>
      </c>
      <c r="M1344" t="s">
        <v>211</v>
      </c>
      <c r="N1344" t="s">
        <v>279</v>
      </c>
      <c r="O1344">
        <v>153</v>
      </c>
      <c r="Q1344">
        <v>621</v>
      </c>
      <c r="R1344">
        <v>96</v>
      </c>
      <c r="S1344">
        <v>4.25</v>
      </c>
      <c r="T1344">
        <v>4.1189999999999998</v>
      </c>
      <c r="U1344">
        <v>6.75</v>
      </c>
      <c r="V1344">
        <v>2638.48</v>
      </c>
      <c r="W1344">
        <v>646</v>
      </c>
      <c r="X1344">
        <v>1.3332999999999999</v>
      </c>
      <c r="Y1344">
        <v>484</v>
      </c>
      <c r="Z1344">
        <v>5.45</v>
      </c>
      <c r="AJ1344">
        <v>2</v>
      </c>
      <c r="AK1344">
        <v>18</v>
      </c>
      <c r="AM1344">
        <v>0</v>
      </c>
      <c r="AO1344" t="s">
        <v>144</v>
      </c>
      <c r="AT1344">
        <v>58</v>
      </c>
      <c r="AV1344">
        <v>54.2</v>
      </c>
      <c r="AW1344">
        <v>0.40625</v>
      </c>
      <c r="AX1344">
        <v>3.75</v>
      </c>
      <c r="AY1344">
        <v>40.25</v>
      </c>
      <c r="AZ1344">
        <v>4.375</v>
      </c>
      <c r="BA1344">
        <v>242.06</v>
      </c>
      <c r="BB1344">
        <v>5.47</v>
      </c>
      <c r="BC1344">
        <v>38</v>
      </c>
      <c r="BD1344">
        <v>0.40625</v>
      </c>
      <c r="BE1344">
        <v>3.75</v>
      </c>
      <c r="BF1344">
        <v>40.25</v>
      </c>
      <c r="BG1344">
        <v>4.375</v>
      </c>
      <c r="BH1344">
        <v>242.06</v>
      </c>
      <c r="BI1344">
        <v>5.47</v>
      </c>
      <c r="BJ1344">
        <v>38</v>
      </c>
      <c r="BL1344">
        <v>484.12</v>
      </c>
      <c r="BM1344">
        <v>76</v>
      </c>
      <c r="BN1344">
        <v>260.36669999999998</v>
      </c>
      <c r="BO1344">
        <v>1531</v>
      </c>
      <c r="BP1344">
        <v>0</v>
      </c>
      <c r="BQ1344">
        <v>52</v>
      </c>
      <c r="BR1344">
        <v>52</v>
      </c>
      <c r="BS1344">
        <v>52.34</v>
      </c>
      <c r="BT1344">
        <v>0</v>
      </c>
      <c r="BV1344">
        <v>0</v>
      </c>
      <c r="BW1344" t="s">
        <v>655</v>
      </c>
      <c r="BX1344">
        <v>0.17</v>
      </c>
      <c r="BY1344">
        <v>8.8978009999999994</v>
      </c>
      <c r="BZ1344">
        <v>0</v>
      </c>
      <c r="CA1344">
        <v>1</v>
      </c>
      <c r="CB1344">
        <v>0.6</v>
      </c>
      <c r="CC1344" s="3">
        <v>7.1269159999999998E-2</v>
      </c>
      <c r="CD1344">
        <v>2.875</v>
      </c>
      <c r="CE1344">
        <v>2.5</v>
      </c>
      <c r="CF1344">
        <v>18</v>
      </c>
      <c r="CG1344">
        <v>6</v>
      </c>
      <c r="CH1344">
        <v>0</v>
      </c>
      <c r="CI1344">
        <v>52.34</v>
      </c>
      <c r="CJ1344">
        <v>557.66899999999998</v>
      </c>
    </row>
    <row r="1345" spans="1:88">
      <c r="A1345">
        <v>1344</v>
      </c>
      <c r="B1345" t="s">
        <v>13</v>
      </c>
      <c r="C1345" t="s">
        <v>1</v>
      </c>
      <c r="D1345" t="s">
        <v>227</v>
      </c>
      <c r="E1345" t="s">
        <v>174</v>
      </c>
      <c r="F1345" t="s">
        <v>463</v>
      </c>
      <c r="G1345" t="s">
        <v>106</v>
      </c>
      <c r="H1345" t="s">
        <v>127</v>
      </c>
      <c r="J1345">
        <v>2</v>
      </c>
      <c r="K1345" t="s">
        <v>146</v>
      </c>
      <c r="L1345" t="s">
        <v>257</v>
      </c>
      <c r="M1345" t="s">
        <v>312</v>
      </c>
      <c r="N1345" t="s">
        <v>3</v>
      </c>
      <c r="O1345">
        <v>122</v>
      </c>
      <c r="Q1345">
        <v>368</v>
      </c>
      <c r="R1345">
        <v>72</v>
      </c>
      <c r="S1345">
        <v>4.25</v>
      </c>
      <c r="T1345">
        <v>3.359</v>
      </c>
      <c r="U1345">
        <v>6.22</v>
      </c>
      <c r="V1345">
        <v>1563.19</v>
      </c>
      <c r="W1345">
        <v>449</v>
      </c>
      <c r="X1345">
        <v>1.3332999999999999</v>
      </c>
      <c r="Y1345">
        <v>333</v>
      </c>
      <c r="Z1345">
        <v>4.6900000000000004</v>
      </c>
      <c r="AJ1345">
        <v>2</v>
      </c>
      <c r="AK1345">
        <v>18</v>
      </c>
      <c r="AM1345">
        <v>0</v>
      </c>
      <c r="AO1345" t="s">
        <v>189</v>
      </c>
      <c r="AT1345">
        <v>48</v>
      </c>
      <c r="AV1345">
        <v>39.299999999999997</v>
      </c>
      <c r="AW1345">
        <v>0</v>
      </c>
      <c r="AX1345">
        <v>0</v>
      </c>
      <c r="AY1345">
        <v>42.75</v>
      </c>
      <c r="AZ1345">
        <v>4.125</v>
      </c>
      <c r="BA1345">
        <v>0</v>
      </c>
      <c r="BB1345">
        <v>0</v>
      </c>
      <c r="BC1345">
        <v>43</v>
      </c>
      <c r="BN1345">
        <v>187.25</v>
      </c>
      <c r="BO1345">
        <v>2960</v>
      </c>
      <c r="BP1345">
        <v>0</v>
      </c>
      <c r="BQ1345">
        <v>42</v>
      </c>
      <c r="BR1345">
        <v>42</v>
      </c>
      <c r="BS1345">
        <v>41.56</v>
      </c>
      <c r="BT1345">
        <v>0</v>
      </c>
      <c r="BV1345">
        <v>0</v>
      </c>
      <c r="BW1345" t="s">
        <v>655</v>
      </c>
      <c r="BX1345">
        <v>0.17</v>
      </c>
      <c r="BY1345">
        <v>7.0652010000000001</v>
      </c>
      <c r="BZ1345">
        <v>0</v>
      </c>
      <c r="CA1345">
        <v>1</v>
      </c>
      <c r="CB1345">
        <v>0.6</v>
      </c>
      <c r="CC1345" s="3">
        <v>7.1269159999999998E-2</v>
      </c>
      <c r="CD1345">
        <v>2.875</v>
      </c>
      <c r="CE1345">
        <v>2.5</v>
      </c>
      <c r="CF1345">
        <v>18</v>
      </c>
      <c r="CG1345">
        <v>6</v>
      </c>
      <c r="CH1345">
        <v>0</v>
      </c>
      <c r="CI1345">
        <v>41.56</v>
      </c>
      <c r="CJ1345">
        <v>321.37119999999999</v>
      </c>
    </row>
    <row r="1346" spans="1:88">
      <c r="A1346">
        <v>1345</v>
      </c>
      <c r="B1346" t="s">
        <v>0</v>
      </c>
      <c r="C1346" t="s">
        <v>1</v>
      </c>
      <c r="D1346" t="s">
        <v>99</v>
      </c>
      <c r="E1346" t="s">
        <v>231</v>
      </c>
      <c r="F1346" t="s">
        <v>296</v>
      </c>
      <c r="G1346" t="s">
        <v>106</v>
      </c>
      <c r="H1346" t="s">
        <v>165</v>
      </c>
      <c r="J1346">
        <v>2</v>
      </c>
      <c r="K1346" t="s">
        <v>146</v>
      </c>
      <c r="L1346" t="s">
        <v>3</v>
      </c>
      <c r="M1346" t="s">
        <v>405</v>
      </c>
      <c r="N1346" t="s">
        <v>151</v>
      </c>
      <c r="O1346">
        <v>105</v>
      </c>
      <c r="Q1346">
        <v>417</v>
      </c>
      <c r="R1346">
        <v>91</v>
      </c>
      <c r="S1346">
        <v>4.25</v>
      </c>
      <c r="T1346">
        <v>2.9180000000000001</v>
      </c>
      <c r="U1346">
        <v>6</v>
      </c>
      <c r="V1346">
        <v>1771.95</v>
      </c>
      <c r="W1346">
        <v>547</v>
      </c>
      <c r="X1346">
        <v>1.3332999999999999</v>
      </c>
      <c r="Y1346">
        <v>417</v>
      </c>
      <c r="Z1346">
        <v>4.25</v>
      </c>
      <c r="AJ1346">
        <v>2</v>
      </c>
      <c r="AK1346">
        <v>18</v>
      </c>
      <c r="AM1346">
        <v>0</v>
      </c>
      <c r="AO1346" t="s">
        <v>252</v>
      </c>
      <c r="AT1346">
        <v>42</v>
      </c>
      <c r="AV1346">
        <v>51.3</v>
      </c>
      <c r="AW1346">
        <v>0</v>
      </c>
      <c r="AX1346">
        <v>0</v>
      </c>
      <c r="AY1346">
        <v>48.625</v>
      </c>
      <c r="AZ1346">
        <v>4</v>
      </c>
      <c r="BA1346">
        <v>0</v>
      </c>
      <c r="BB1346">
        <v>0</v>
      </c>
      <c r="BC1346">
        <v>52</v>
      </c>
      <c r="BN1346">
        <v>246.1</v>
      </c>
      <c r="BO1346">
        <v>1713</v>
      </c>
      <c r="BP1346">
        <v>0</v>
      </c>
      <c r="BQ1346">
        <v>36</v>
      </c>
      <c r="BR1346">
        <v>36</v>
      </c>
      <c r="BS1346">
        <v>35.65</v>
      </c>
      <c r="BT1346">
        <v>0</v>
      </c>
      <c r="BV1346">
        <v>0</v>
      </c>
      <c r="BW1346" t="s">
        <v>655</v>
      </c>
      <c r="BX1346">
        <v>0.17</v>
      </c>
      <c r="BY1346">
        <v>6.0605000000000002</v>
      </c>
      <c r="BZ1346">
        <v>0</v>
      </c>
      <c r="CA1346">
        <v>1</v>
      </c>
      <c r="CB1346">
        <v>0.6</v>
      </c>
      <c r="CC1346" s="3">
        <v>7.1269159999999998E-2</v>
      </c>
      <c r="CD1346">
        <v>2.875</v>
      </c>
      <c r="CE1346">
        <v>2.5</v>
      </c>
      <c r="CF1346">
        <v>18</v>
      </c>
      <c r="CG1346">
        <v>6</v>
      </c>
      <c r="CH1346">
        <v>0</v>
      </c>
      <c r="CI1346">
        <v>35.65</v>
      </c>
      <c r="CJ1346">
        <v>359.51549999999997</v>
      </c>
    </row>
    <row r="1347" spans="1:88">
      <c r="A1347">
        <v>1346</v>
      </c>
      <c r="B1347" t="s">
        <v>0</v>
      </c>
      <c r="C1347" t="s">
        <v>1</v>
      </c>
      <c r="D1347" t="s">
        <v>719</v>
      </c>
      <c r="E1347" t="s">
        <v>178</v>
      </c>
      <c r="F1347" t="s">
        <v>720</v>
      </c>
      <c r="G1347" t="s">
        <v>15</v>
      </c>
      <c r="H1347" t="s">
        <v>719</v>
      </c>
      <c r="J1347">
        <v>2</v>
      </c>
      <c r="K1347" t="s">
        <v>9</v>
      </c>
      <c r="L1347" t="s">
        <v>127</v>
      </c>
      <c r="M1347" t="s">
        <v>179</v>
      </c>
      <c r="N1347" t="s">
        <v>180</v>
      </c>
      <c r="O1347">
        <v>95</v>
      </c>
      <c r="Q1347">
        <v>673</v>
      </c>
      <c r="R1347">
        <v>158</v>
      </c>
      <c r="S1347">
        <v>4.25</v>
      </c>
      <c r="T1347">
        <v>2.649</v>
      </c>
      <c r="U1347">
        <v>5.81</v>
      </c>
      <c r="V1347">
        <v>2858.46</v>
      </c>
      <c r="W1347">
        <v>916</v>
      </c>
      <c r="X1347">
        <v>1.3332999999999999</v>
      </c>
      <c r="Y1347">
        <v>718</v>
      </c>
      <c r="Z1347">
        <v>3.98</v>
      </c>
      <c r="AJ1347">
        <v>2</v>
      </c>
      <c r="AK1347">
        <v>18</v>
      </c>
      <c r="AM1347">
        <v>0</v>
      </c>
      <c r="AO1347" t="s">
        <v>721</v>
      </c>
      <c r="AT1347">
        <v>38</v>
      </c>
      <c r="AV1347">
        <v>90.7</v>
      </c>
      <c r="AW1347">
        <v>0.5</v>
      </c>
      <c r="AX1347">
        <v>5.625</v>
      </c>
      <c r="AY1347">
        <v>30.625</v>
      </c>
      <c r="AZ1347">
        <v>4</v>
      </c>
      <c r="BA1347">
        <v>584.72</v>
      </c>
      <c r="BB1347">
        <v>3.98</v>
      </c>
      <c r="BC1347">
        <v>55</v>
      </c>
      <c r="BD1347">
        <v>0.3125</v>
      </c>
      <c r="BE1347">
        <v>3.75</v>
      </c>
      <c r="BF1347">
        <v>19.125</v>
      </c>
      <c r="BG1347">
        <v>2.5</v>
      </c>
      <c r="BH1347">
        <v>133.47999999999999</v>
      </c>
      <c r="BI1347">
        <v>4.78</v>
      </c>
      <c r="BJ1347">
        <v>14</v>
      </c>
      <c r="BL1347">
        <v>718.2</v>
      </c>
      <c r="BM1347">
        <v>69</v>
      </c>
      <c r="BN1347">
        <v>776.64049999999997</v>
      </c>
      <c r="BO1347">
        <v>1814</v>
      </c>
      <c r="BP1347">
        <v>0</v>
      </c>
      <c r="BQ1347">
        <v>32</v>
      </c>
      <c r="BR1347">
        <v>32</v>
      </c>
      <c r="BS1347">
        <v>32.17</v>
      </c>
      <c r="BT1347">
        <v>0</v>
      </c>
      <c r="BV1347">
        <v>6</v>
      </c>
      <c r="BW1347" t="s">
        <v>655</v>
      </c>
      <c r="BX1347">
        <v>0.27933340000000001</v>
      </c>
      <c r="BY1347">
        <v>8.9861540000000009</v>
      </c>
      <c r="BZ1347">
        <v>0</v>
      </c>
      <c r="CA1347">
        <v>1</v>
      </c>
      <c r="CB1347">
        <v>0.6</v>
      </c>
      <c r="CC1347" s="3">
        <v>7.1269159999999998E-2</v>
      </c>
      <c r="CD1347">
        <v>2.875</v>
      </c>
      <c r="CE1347">
        <v>2.5</v>
      </c>
      <c r="CF1347">
        <v>18</v>
      </c>
      <c r="CG1347">
        <v>6</v>
      </c>
      <c r="CH1347">
        <v>0</v>
      </c>
      <c r="CI1347">
        <v>32.17</v>
      </c>
      <c r="CJ1347">
        <v>572.89559999999994</v>
      </c>
    </row>
    <row r="1348" spans="1:88">
      <c r="A1348">
        <v>1347</v>
      </c>
      <c r="B1348" t="s">
        <v>0</v>
      </c>
      <c r="C1348" t="s">
        <v>1</v>
      </c>
      <c r="D1348" t="s">
        <v>202</v>
      </c>
      <c r="E1348" t="s">
        <v>19</v>
      </c>
      <c r="F1348" t="s">
        <v>357</v>
      </c>
      <c r="G1348" t="s">
        <v>214</v>
      </c>
      <c r="H1348" t="s">
        <v>358</v>
      </c>
      <c r="J1348">
        <v>2</v>
      </c>
      <c r="K1348" t="s">
        <v>108</v>
      </c>
      <c r="L1348" t="s">
        <v>302</v>
      </c>
      <c r="M1348" t="s">
        <v>433</v>
      </c>
      <c r="N1348" t="s">
        <v>434</v>
      </c>
      <c r="O1348">
        <v>185</v>
      </c>
      <c r="Q1348">
        <v>860</v>
      </c>
      <c r="R1348">
        <v>110</v>
      </c>
      <c r="S1348">
        <v>4.25</v>
      </c>
      <c r="T1348">
        <v>4.8529999999999998</v>
      </c>
      <c r="U1348">
        <v>7.16</v>
      </c>
      <c r="V1348">
        <v>3656.74</v>
      </c>
      <c r="W1348">
        <v>786</v>
      </c>
      <c r="X1348">
        <v>1.3332999999999999</v>
      </c>
      <c r="Y1348">
        <v>592</v>
      </c>
      <c r="Z1348">
        <v>6.18</v>
      </c>
      <c r="AJ1348">
        <v>2</v>
      </c>
      <c r="AK1348">
        <v>18</v>
      </c>
      <c r="AM1348">
        <v>0</v>
      </c>
      <c r="AO1348" t="s">
        <v>262</v>
      </c>
      <c r="AT1348">
        <v>70</v>
      </c>
      <c r="AV1348">
        <v>63.1</v>
      </c>
      <c r="AW1348" t="s">
        <v>6</v>
      </c>
      <c r="AX1348" t="s">
        <v>6</v>
      </c>
      <c r="AY1348" t="s">
        <v>6</v>
      </c>
      <c r="AZ1348" t="s">
        <v>6</v>
      </c>
      <c r="BA1348" t="s">
        <v>6</v>
      </c>
      <c r="BB1348" t="s">
        <v>6</v>
      </c>
      <c r="BC1348" t="s">
        <v>6</v>
      </c>
      <c r="BD1348" t="s">
        <v>6</v>
      </c>
      <c r="BE1348" t="s">
        <v>6</v>
      </c>
      <c r="BF1348" t="s">
        <v>6</v>
      </c>
      <c r="BG1348" t="s">
        <v>6</v>
      </c>
      <c r="BH1348" t="s">
        <v>6</v>
      </c>
      <c r="BI1348" t="s">
        <v>6</v>
      </c>
      <c r="BJ1348" t="s">
        <v>6</v>
      </c>
      <c r="BN1348">
        <v>305.7167</v>
      </c>
      <c r="BO1348">
        <v>1393</v>
      </c>
      <c r="BP1348">
        <v>0</v>
      </c>
      <c r="BQ1348">
        <v>63</v>
      </c>
      <c r="BR1348">
        <v>63</v>
      </c>
      <c r="BS1348">
        <v>63.47</v>
      </c>
      <c r="BT1348">
        <v>0</v>
      </c>
      <c r="BV1348">
        <v>0</v>
      </c>
      <c r="BW1348" t="s">
        <v>655</v>
      </c>
      <c r="BX1348">
        <v>0.17</v>
      </c>
      <c r="BY1348">
        <v>10.789899999999999</v>
      </c>
      <c r="BZ1348">
        <v>0</v>
      </c>
      <c r="CA1348">
        <v>1</v>
      </c>
      <c r="CB1348">
        <v>0.6</v>
      </c>
      <c r="CC1348" s="3">
        <v>7.1269159999999998E-2</v>
      </c>
      <c r="CD1348">
        <v>2.875</v>
      </c>
      <c r="CE1348">
        <v>2.5</v>
      </c>
      <c r="CF1348">
        <v>18</v>
      </c>
      <c r="CG1348">
        <v>6</v>
      </c>
      <c r="CH1348">
        <v>0</v>
      </c>
      <c r="CI1348">
        <v>63.47</v>
      </c>
      <c r="CJ1348">
        <v>786.51549999999997</v>
      </c>
    </row>
    <row r="1349" spans="1:88">
      <c r="A1349">
        <v>1348</v>
      </c>
      <c r="B1349" t="s">
        <v>0</v>
      </c>
      <c r="C1349" t="s">
        <v>1</v>
      </c>
      <c r="D1349" t="s">
        <v>267</v>
      </c>
      <c r="E1349" t="s">
        <v>104</v>
      </c>
      <c r="F1349" t="s">
        <v>269</v>
      </c>
      <c r="G1349" t="s">
        <v>106</v>
      </c>
      <c r="H1349" t="s">
        <v>131</v>
      </c>
      <c r="J1349">
        <v>2</v>
      </c>
      <c r="K1349" t="s">
        <v>146</v>
      </c>
      <c r="L1349" t="s">
        <v>109</v>
      </c>
      <c r="M1349" t="s">
        <v>110</v>
      </c>
      <c r="N1349" t="s">
        <v>111</v>
      </c>
      <c r="O1349">
        <v>191</v>
      </c>
      <c r="Q1349">
        <v>774</v>
      </c>
      <c r="R1349">
        <v>97</v>
      </c>
      <c r="S1349">
        <v>4.25</v>
      </c>
      <c r="T1349">
        <v>4.9850000000000003</v>
      </c>
      <c r="U1349">
        <v>7.27</v>
      </c>
      <c r="V1349">
        <v>3289.5</v>
      </c>
      <c r="W1349">
        <v>705</v>
      </c>
      <c r="X1349">
        <v>1.3332999999999999</v>
      </c>
      <c r="Y1349">
        <v>521</v>
      </c>
      <c r="Z1349">
        <v>6.31</v>
      </c>
      <c r="AJ1349">
        <v>2</v>
      </c>
      <c r="AK1349">
        <v>18</v>
      </c>
      <c r="AM1349">
        <v>0</v>
      </c>
      <c r="AO1349" t="s">
        <v>271</v>
      </c>
      <c r="AT1349">
        <v>72</v>
      </c>
      <c r="AV1349">
        <v>54.9</v>
      </c>
      <c r="AW1349">
        <v>0.4375</v>
      </c>
      <c r="AX1349">
        <v>3.75</v>
      </c>
      <c r="AY1349">
        <v>54.625</v>
      </c>
      <c r="AZ1349">
        <v>5.5</v>
      </c>
      <c r="BA1349">
        <v>260.64999999999998</v>
      </c>
      <c r="BB1349">
        <v>6.31</v>
      </c>
      <c r="BC1349">
        <v>55</v>
      </c>
      <c r="BD1349">
        <v>0.4375</v>
      </c>
      <c r="BE1349">
        <v>3.75</v>
      </c>
      <c r="BF1349">
        <v>54.625</v>
      </c>
      <c r="BG1349">
        <v>5.5</v>
      </c>
      <c r="BH1349">
        <v>260.64999999999998</v>
      </c>
      <c r="BI1349">
        <v>6.31</v>
      </c>
      <c r="BJ1349">
        <v>55</v>
      </c>
      <c r="BL1349">
        <v>521.29999999999995</v>
      </c>
      <c r="BM1349">
        <v>110</v>
      </c>
      <c r="BN1349">
        <v>263.93340000000001</v>
      </c>
      <c r="BO1349">
        <v>1490</v>
      </c>
      <c r="BP1349">
        <v>0</v>
      </c>
      <c r="BQ1349">
        <v>66</v>
      </c>
      <c r="BR1349">
        <v>66</v>
      </c>
      <c r="BS1349">
        <v>65.56</v>
      </c>
      <c r="BT1349">
        <v>0</v>
      </c>
      <c r="BV1349">
        <v>0</v>
      </c>
      <c r="BW1349" t="s">
        <v>655</v>
      </c>
      <c r="BX1349">
        <v>0.17</v>
      </c>
      <c r="BY1349">
        <v>11.145200000000001</v>
      </c>
      <c r="BZ1349">
        <v>0</v>
      </c>
      <c r="CA1349">
        <v>1</v>
      </c>
      <c r="CB1349">
        <v>0.6</v>
      </c>
      <c r="CC1349" s="3">
        <v>7.1269159999999998E-2</v>
      </c>
      <c r="CD1349">
        <v>2.875</v>
      </c>
      <c r="CE1349">
        <v>2.5</v>
      </c>
      <c r="CF1349">
        <v>18</v>
      </c>
      <c r="CG1349">
        <v>6</v>
      </c>
      <c r="CH1349">
        <v>0</v>
      </c>
      <c r="CI1349">
        <v>65.56</v>
      </c>
      <c r="CJ1349">
        <v>707.86950000000002</v>
      </c>
    </row>
    <row r="1350" spans="1:88">
      <c r="A1350">
        <v>1349</v>
      </c>
      <c r="B1350" t="s">
        <v>0</v>
      </c>
      <c r="C1350" t="s">
        <v>1</v>
      </c>
      <c r="D1350" t="s">
        <v>143</v>
      </c>
      <c r="E1350" t="s">
        <v>169</v>
      </c>
      <c r="F1350" t="s">
        <v>144</v>
      </c>
      <c r="G1350" t="s">
        <v>106</v>
      </c>
      <c r="H1350" t="s">
        <v>145</v>
      </c>
      <c r="J1350">
        <v>2</v>
      </c>
      <c r="K1350" t="s">
        <v>146</v>
      </c>
      <c r="L1350" t="s">
        <v>381</v>
      </c>
      <c r="M1350" t="s">
        <v>173</v>
      </c>
      <c r="N1350" t="s">
        <v>174</v>
      </c>
      <c r="O1350">
        <v>119</v>
      </c>
      <c r="Q1350">
        <v>486</v>
      </c>
      <c r="R1350">
        <v>95</v>
      </c>
      <c r="S1350">
        <v>4.25</v>
      </c>
      <c r="T1350">
        <v>3.2829999999999999</v>
      </c>
      <c r="U1350">
        <v>6.15</v>
      </c>
      <c r="V1350">
        <v>2067.11</v>
      </c>
      <c r="W1350">
        <v>582</v>
      </c>
      <c r="X1350">
        <v>1.3332999999999999</v>
      </c>
      <c r="Y1350">
        <v>448</v>
      </c>
      <c r="Z1350">
        <v>4.6100000000000003</v>
      </c>
      <c r="AJ1350">
        <v>2</v>
      </c>
      <c r="AK1350">
        <v>18</v>
      </c>
      <c r="AM1350">
        <v>0</v>
      </c>
      <c r="AO1350" t="s">
        <v>149</v>
      </c>
      <c r="AT1350">
        <v>47</v>
      </c>
      <c r="AV1350">
        <v>53.5</v>
      </c>
      <c r="AW1350">
        <v>0.46875</v>
      </c>
      <c r="AX1350">
        <v>3.75</v>
      </c>
      <c r="AY1350">
        <v>47.375</v>
      </c>
      <c r="AZ1350">
        <v>4.375</v>
      </c>
      <c r="BA1350">
        <v>427.51</v>
      </c>
      <c r="BB1350">
        <v>4.6100000000000003</v>
      </c>
      <c r="BC1350">
        <v>51</v>
      </c>
      <c r="BD1350">
        <v>0.1875</v>
      </c>
      <c r="BE1350">
        <v>2.75</v>
      </c>
      <c r="BF1350">
        <v>12.75</v>
      </c>
      <c r="BG1350">
        <v>1.75</v>
      </c>
      <c r="BH1350">
        <v>20.88</v>
      </c>
      <c r="BI1350">
        <v>7.26</v>
      </c>
      <c r="BJ1350">
        <v>4</v>
      </c>
      <c r="BL1350">
        <v>448.39</v>
      </c>
      <c r="BM1350">
        <v>55</v>
      </c>
      <c r="BN1350">
        <v>256.80009999999999</v>
      </c>
      <c r="BO1350">
        <v>1574</v>
      </c>
      <c r="BP1350">
        <v>0</v>
      </c>
      <c r="BQ1350">
        <v>41</v>
      </c>
      <c r="BR1350">
        <v>41</v>
      </c>
      <c r="BS1350">
        <v>40.520000000000003</v>
      </c>
      <c r="BT1350">
        <v>0</v>
      </c>
      <c r="BV1350">
        <v>0</v>
      </c>
      <c r="BW1350" t="s">
        <v>655</v>
      </c>
      <c r="BX1350">
        <v>0.17</v>
      </c>
      <c r="BY1350">
        <v>6.8883999999999999</v>
      </c>
      <c r="BZ1350">
        <v>0</v>
      </c>
      <c r="CA1350">
        <v>1</v>
      </c>
      <c r="CB1350">
        <v>0.6</v>
      </c>
      <c r="CC1350" s="3">
        <v>7.1269159999999998E-2</v>
      </c>
      <c r="CD1350">
        <v>2.875</v>
      </c>
      <c r="CE1350">
        <v>2.5</v>
      </c>
      <c r="CF1350">
        <v>18</v>
      </c>
      <c r="CG1350">
        <v>6</v>
      </c>
      <c r="CH1350">
        <v>0</v>
      </c>
      <c r="CI1350">
        <v>40.520000000000003</v>
      </c>
      <c r="CJ1350">
        <v>425.95440000000002</v>
      </c>
    </row>
    <row r="1351" spans="1:88">
      <c r="A1351">
        <v>1350</v>
      </c>
      <c r="B1351" t="s">
        <v>0</v>
      </c>
      <c r="C1351" t="s">
        <v>1</v>
      </c>
      <c r="D1351" t="s">
        <v>305</v>
      </c>
      <c r="E1351" t="s">
        <v>143</v>
      </c>
      <c r="F1351" t="s">
        <v>452</v>
      </c>
      <c r="G1351" t="s">
        <v>15</v>
      </c>
      <c r="H1351" t="s">
        <v>639</v>
      </c>
      <c r="J1351">
        <v>2</v>
      </c>
      <c r="K1351" t="s">
        <v>108</v>
      </c>
      <c r="L1351" t="s">
        <v>297</v>
      </c>
      <c r="M1351" t="s">
        <v>206</v>
      </c>
      <c r="N1351" t="s">
        <v>131</v>
      </c>
      <c r="O1351">
        <v>155</v>
      </c>
      <c r="Q1351">
        <v>841</v>
      </c>
      <c r="R1351">
        <v>127</v>
      </c>
      <c r="S1351">
        <v>4.25</v>
      </c>
      <c r="T1351">
        <v>4.1660000000000004</v>
      </c>
      <c r="U1351">
        <v>6.78</v>
      </c>
      <c r="V1351">
        <v>3575.31</v>
      </c>
      <c r="W1351">
        <v>859</v>
      </c>
      <c r="X1351">
        <v>1.3332999999999999</v>
      </c>
      <c r="Y1351">
        <v>651</v>
      </c>
      <c r="Z1351">
        <v>5.49</v>
      </c>
      <c r="AJ1351">
        <v>2</v>
      </c>
      <c r="AK1351">
        <v>18</v>
      </c>
      <c r="AM1351">
        <v>0</v>
      </c>
      <c r="AO1351" t="s">
        <v>387</v>
      </c>
      <c r="AT1351">
        <v>59</v>
      </c>
      <c r="AV1351">
        <v>72.900000000000006</v>
      </c>
      <c r="AW1351" t="s">
        <v>6</v>
      </c>
      <c r="AX1351" t="s">
        <v>6</v>
      </c>
      <c r="AY1351" t="s">
        <v>6</v>
      </c>
      <c r="AZ1351" t="s">
        <v>6</v>
      </c>
      <c r="BA1351" t="s">
        <v>6</v>
      </c>
      <c r="BB1351" t="s">
        <v>6</v>
      </c>
      <c r="BC1351" t="s">
        <v>6</v>
      </c>
      <c r="BD1351" t="s">
        <v>6</v>
      </c>
      <c r="BE1351" t="s">
        <v>6</v>
      </c>
      <c r="BF1351" t="s">
        <v>6</v>
      </c>
      <c r="BG1351" t="s">
        <v>6</v>
      </c>
      <c r="BH1351" t="s">
        <v>6</v>
      </c>
      <c r="BI1351" t="s">
        <v>6</v>
      </c>
      <c r="BJ1351" t="s">
        <v>6</v>
      </c>
      <c r="BN1351">
        <v>621.94380000000001</v>
      </c>
      <c r="BO1351">
        <v>2828</v>
      </c>
      <c r="BP1351">
        <v>0</v>
      </c>
      <c r="BQ1351">
        <v>53</v>
      </c>
      <c r="BR1351">
        <v>53</v>
      </c>
      <c r="BS1351">
        <v>53.04</v>
      </c>
      <c r="BT1351">
        <v>0</v>
      </c>
      <c r="BV1351">
        <v>0</v>
      </c>
      <c r="BW1351" t="s">
        <v>655</v>
      </c>
      <c r="BX1351">
        <v>0.17</v>
      </c>
      <c r="BY1351">
        <v>9.0167999999999999</v>
      </c>
      <c r="BZ1351">
        <v>0</v>
      </c>
      <c r="CA1351">
        <v>1</v>
      </c>
      <c r="CB1351">
        <v>0.6</v>
      </c>
      <c r="CC1351" s="3">
        <v>7.1269159999999998E-2</v>
      </c>
      <c r="CD1351">
        <v>2.875</v>
      </c>
      <c r="CE1351">
        <v>2.5</v>
      </c>
      <c r="CF1351">
        <v>18</v>
      </c>
      <c r="CG1351">
        <v>6</v>
      </c>
      <c r="CH1351">
        <v>0</v>
      </c>
      <c r="CI1351">
        <v>53.04</v>
      </c>
      <c r="CJ1351">
        <v>759.33079999999995</v>
      </c>
    </row>
    <row r="1352" spans="1:88">
      <c r="A1352">
        <v>1351</v>
      </c>
      <c r="B1352" t="s">
        <v>0</v>
      </c>
      <c r="C1352" t="s">
        <v>1</v>
      </c>
      <c r="D1352" t="s">
        <v>8</v>
      </c>
      <c r="E1352" t="s">
        <v>280</v>
      </c>
      <c r="F1352" t="s">
        <v>246</v>
      </c>
      <c r="G1352" t="s">
        <v>15</v>
      </c>
      <c r="H1352" t="s">
        <v>247</v>
      </c>
      <c r="J1352">
        <v>2</v>
      </c>
      <c r="K1352" t="s">
        <v>108</v>
      </c>
      <c r="L1352" t="s">
        <v>324</v>
      </c>
      <c r="M1352" t="s">
        <v>544</v>
      </c>
      <c r="N1352" t="s">
        <v>545</v>
      </c>
      <c r="O1352">
        <v>227</v>
      </c>
      <c r="Q1352">
        <v>1174</v>
      </c>
      <c r="R1352">
        <v>135</v>
      </c>
      <c r="S1352">
        <v>4.25</v>
      </c>
      <c r="T1352">
        <v>5.7519999999999998</v>
      </c>
      <c r="U1352">
        <v>7.68</v>
      </c>
      <c r="V1352">
        <v>4990.9799999999996</v>
      </c>
      <c r="W1352">
        <v>1036</v>
      </c>
      <c r="X1352">
        <v>1.5</v>
      </c>
      <c r="Y1352">
        <v>688</v>
      </c>
      <c r="Z1352">
        <v>7.25</v>
      </c>
      <c r="AJ1352">
        <v>2</v>
      </c>
      <c r="AK1352">
        <v>18</v>
      </c>
      <c r="AM1352">
        <v>0</v>
      </c>
      <c r="AO1352" t="s">
        <v>250</v>
      </c>
      <c r="AT1352">
        <v>84</v>
      </c>
      <c r="AV1352">
        <v>71.099999999999994</v>
      </c>
      <c r="AW1352" t="s">
        <v>6</v>
      </c>
      <c r="AX1352" t="s">
        <v>6</v>
      </c>
      <c r="AY1352" t="s">
        <v>6</v>
      </c>
      <c r="AZ1352" t="s">
        <v>6</v>
      </c>
      <c r="BA1352" t="s">
        <v>6</v>
      </c>
      <c r="BB1352" t="s">
        <v>6</v>
      </c>
      <c r="BC1352" t="s">
        <v>6</v>
      </c>
      <c r="BD1352" t="s">
        <v>6</v>
      </c>
      <c r="BE1352" t="s">
        <v>6</v>
      </c>
      <c r="BF1352" t="s">
        <v>6</v>
      </c>
      <c r="BG1352" t="s">
        <v>6</v>
      </c>
      <c r="BH1352" t="s">
        <v>6</v>
      </c>
      <c r="BI1352" t="s">
        <v>6</v>
      </c>
      <c r="BJ1352" t="s">
        <v>6</v>
      </c>
      <c r="BN1352">
        <v>606.1585</v>
      </c>
      <c r="BO1352">
        <v>2977</v>
      </c>
      <c r="BP1352">
        <v>0</v>
      </c>
      <c r="BQ1352">
        <v>78</v>
      </c>
      <c r="BR1352">
        <v>78</v>
      </c>
      <c r="BS1352">
        <v>78.08</v>
      </c>
      <c r="BT1352">
        <v>0</v>
      </c>
      <c r="BV1352">
        <v>0</v>
      </c>
      <c r="BW1352" t="s">
        <v>655</v>
      </c>
      <c r="BX1352">
        <v>0.17</v>
      </c>
      <c r="BY1352">
        <v>13.2736</v>
      </c>
      <c r="BZ1352">
        <v>0</v>
      </c>
      <c r="CA1352">
        <v>1</v>
      </c>
      <c r="CB1352">
        <v>0.6</v>
      </c>
      <c r="CC1352" s="3">
        <v>7.1269159999999998E-2</v>
      </c>
      <c r="CD1352">
        <v>2.875</v>
      </c>
      <c r="CE1352">
        <v>2.5</v>
      </c>
      <c r="CF1352">
        <v>18</v>
      </c>
      <c r="CG1352">
        <v>6</v>
      </c>
      <c r="CH1352">
        <v>0</v>
      </c>
      <c r="CI1352">
        <v>78.08</v>
      </c>
      <c r="CJ1352">
        <v>1089.9849999999999</v>
      </c>
    </row>
    <row r="1353" spans="1:88">
      <c r="A1353">
        <v>1352</v>
      </c>
      <c r="B1353" t="s">
        <v>13</v>
      </c>
      <c r="C1353" t="s">
        <v>1</v>
      </c>
      <c r="D1353" t="s">
        <v>151</v>
      </c>
      <c r="E1353" t="s">
        <v>169</v>
      </c>
      <c r="F1353" t="s">
        <v>385</v>
      </c>
      <c r="G1353" t="s">
        <v>106</v>
      </c>
      <c r="H1353" t="s">
        <v>2</v>
      </c>
      <c r="J1353">
        <v>2</v>
      </c>
      <c r="K1353" t="s">
        <v>146</v>
      </c>
      <c r="L1353" t="s">
        <v>381</v>
      </c>
      <c r="M1353" t="s">
        <v>173</v>
      </c>
      <c r="N1353" t="s">
        <v>174</v>
      </c>
      <c r="O1353">
        <v>119</v>
      </c>
      <c r="Q1353">
        <v>334</v>
      </c>
      <c r="R1353">
        <v>68</v>
      </c>
      <c r="S1353">
        <v>4.25</v>
      </c>
      <c r="T1353">
        <v>3.2829999999999999</v>
      </c>
      <c r="U1353">
        <v>6.15</v>
      </c>
      <c r="V1353">
        <v>1417.75</v>
      </c>
      <c r="W1353">
        <v>416</v>
      </c>
      <c r="X1353">
        <v>1.3332999999999999</v>
      </c>
      <c r="Y1353">
        <v>308</v>
      </c>
      <c r="Z1353">
        <v>4.6100000000000003</v>
      </c>
      <c r="AJ1353">
        <v>2</v>
      </c>
      <c r="AK1353">
        <v>18</v>
      </c>
      <c r="AM1353">
        <v>0</v>
      </c>
      <c r="AO1353" t="s">
        <v>4</v>
      </c>
      <c r="AT1353">
        <v>47</v>
      </c>
      <c r="AV1353">
        <v>36.4</v>
      </c>
      <c r="AW1353">
        <v>0</v>
      </c>
      <c r="AX1353">
        <v>0</v>
      </c>
      <c r="AY1353">
        <v>46.25</v>
      </c>
      <c r="AZ1353">
        <v>4</v>
      </c>
      <c r="BA1353">
        <v>0</v>
      </c>
      <c r="BB1353">
        <v>0</v>
      </c>
      <c r="BC1353">
        <v>47</v>
      </c>
      <c r="BN1353">
        <v>172.98339999999999</v>
      </c>
      <c r="BO1353">
        <v>3468</v>
      </c>
      <c r="BP1353">
        <v>0</v>
      </c>
      <c r="BQ1353">
        <v>41</v>
      </c>
      <c r="BR1353">
        <v>41</v>
      </c>
      <c r="BS1353">
        <v>40.520000000000003</v>
      </c>
      <c r="BT1353">
        <v>0</v>
      </c>
      <c r="BV1353">
        <v>0</v>
      </c>
      <c r="BW1353" t="s">
        <v>655</v>
      </c>
      <c r="BX1353">
        <v>0.17</v>
      </c>
      <c r="BY1353">
        <v>6.8883999999999999</v>
      </c>
      <c r="BZ1353">
        <v>0</v>
      </c>
      <c r="CA1353">
        <v>1</v>
      </c>
      <c r="CB1353">
        <v>0.6</v>
      </c>
      <c r="CC1353" s="3">
        <v>7.1269159999999998E-2</v>
      </c>
      <c r="CD1353">
        <v>2.875</v>
      </c>
      <c r="CE1353">
        <v>2.5</v>
      </c>
      <c r="CF1353">
        <v>18</v>
      </c>
      <c r="CG1353">
        <v>6</v>
      </c>
      <c r="CH1353">
        <v>0</v>
      </c>
      <c r="CI1353">
        <v>40.520000000000003</v>
      </c>
      <c r="CJ1353">
        <v>290.22649999999999</v>
      </c>
    </row>
    <row r="1354" spans="1:88">
      <c r="A1354">
        <v>1353</v>
      </c>
      <c r="B1354" t="s">
        <v>0</v>
      </c>
      <c r="C1354" t="s">
        <v>1</v>
      </c>
      <c r="D1354" t="s">
        <v>165</v>
      </c>
      <c r="E1354" t="s">
        <v>133</v>
      </c>
      <c r="F1354" t="s">
        <v>184</v>
      </c>
      <c r="G1354" t="s">
        <v>106</v>
      </c>
      <c r="H1354" t="s">
        <v>234</v>
      </c>
      <c r="J1354">
        <v>2</v>
      </c>
      <c r="K1354" t="s">
        <v>146</v>
      </c>
      <c r="L1354" t="s">
        <v>353</v>
      </c>
      <c r="M1354" t="s">
        <v>194</v>
      </c>
      <c r="N1354" t="s">
        <v>195</v>
      </c>
      <c r="O1354">
        <v>143</v>
      </c>
      <c r="Q1354">
        <v>549</v>
      </c>
      <c r="R1354">
        <v>91</v>
      </c>
      <c r="S1354">
        <v>4.25</v>
      </c>
      <c r="T1354">
        <v>3.88</v>
      </c>
      <c r="U1354">
        <v>6.6</v>
      </c>
      <c r="V1354">
        <v>2331.33</v>
      </c>
      <c r="W1354">
        <v>598</v>
      </c>
      <c r="X1354">
        <v>1.3332999999999999</v>
      </c>
      <c r="Y1354">
        <v>447</v>
      </c>
      <c r="Z1354">
        <v>5.21</v>
      </c>
      <c r="AJ1354">
        <v>2</v>
      </c>
      <c r="AK1354">
        <v>18</v>
      </c>
      <c r="AM1354">
        <v>0</v>
      </c>
      <c r="AO1354" t="s">
        <v>435</v>
      </c>
      <c r="AT1354">
        <v>55</v>
      </c>
      <c r="AV1354">
        <v>51</v>
      </c>
      <c r="AW1354">
        <v>0.40625</v>
      </c>
      <c r="AX1354">
        <v>3.75</v>
      </c>
      <c r="AY1354">
        <v>39.5</v>
      </c>
      <c r="AZ1354">
        <v>4.25</v>
      </c>
      <c r="BA1354">
        <v>246.1</v>
      </c>
      <c r="BB1354">
        <v>5.38</v>
      </c>
      <c r="BC1354">
        <v>37</v>
      </c>
      <c r="BD1354">
        <v>0.375</v>
      </c>
      <c r="BE1354">
        <v>3.75</v>
      </c>
      <c r="BF1354">
        <v>32.125</v>
      </c>
      <c r="BG1354">
        <v>3.875</v>
      </c>
      <c r="BH1354">
        <v>201.36</v>
      </c>
      <c r="BI1354">
        <v>5.34</v>
      </c>
      <c r="BJ1354">
        <v>28</v>
      </c>
      <c r="BL1354">
        <v>447.46</v>
      </c>
      <c r="BM1354">
        <v>65</v>
      </c>
      <c r="BN1354">
        <v>244.3167</v>
      </c>
      <c r="BO1354">
        <v>1738</v>
      </c>
      <c r="BP1354">
        <v>0</v>
      </c>
      <c r="BQ1354">
        <v>49</v>
      </c>
      <c r="BR1354">
        <v>49</v>
      </c>
      <c r="BS1354">
        <v>48.86</v>
      </c>
      <c r="BT1354">
        <v>0</v>
      </c>
      <c r="BV1354">
        <v>0</v>
      </c>
      <c r="BW1354" t="s">
        <v>655</v>
      </c>
      <c r="BX1354">
        <v>0.17</v>
      </c>
      <c r="BY1354">
        <v>8.3062000000000005</v>
      </c>
      <c r="BZ1354">
        <v>0</v>
      </c>
      <c r="CA1354">
        <v>1</v>
      </c>
      <c r="CB1354">
        <v>0.6</v>
      </c>
      <c r="CC1354" s="3">
        <v>7.1269159999999998E-2</v>
      </c>
      <c r="CD1354">
        <v>2.875</v>
      </c>
      <c r="CE1354">
        <v>2.5</v>
      </c>
      <c r="CF1354">
        <v>18</v>
      </c>
      <c r="CG1354">
        <v>6</v>
      </c>
      <c r="CH1354">
        <v>0</v>
      </c>
      <c r="CI1354">
        <v>48.86</v>
      </c>
      <c r="CJ1354">
        <v>489.25069999999999</v>
      </c>
    </row>
    <row r="1355" spans="1:88">
      <c r="A1355">
        <v>1354</v>
      </c>
      <c r="B1355" t="s">
        <v>0</v>
      </c>
      <c r="C1355" t="s">
        <v>1</v>
      </c>
      <c r="D1355" t="s">
        <v>217</v>
      </c>
      <c r="E1355" t="s">
        <v>217</v>
      </c>
      <c r="F1355" t="s">
        <v>4</v>
      </c>
      <c r="G1355" t="s">
        <v>106</v>
      </c>
      <c r="H1355" t="s">
        <v>231</v>
      </c>
      <c r="J1355">
        <v>2</v>
      </c>
      <c r="K1355" t="s">
        <v>146</v>
      </c>
      <c r="L1355" t="s">
        <v>153</v>
      </c>
      <c r="M1355" t="s">
        <v>218</v>
      </c>
      <c r="N1355" t="s">
        <v>139</v>
      </c>
      <c r="O1355">
        <v>106</v>
      </c>
      <c r="Q1355">
        <v>295</v>
      </c>
      <c r="R1355">
        <v>67</v>
      </c>
      <c r="S1355">
        <v>4.25</v>
      </c>
      <c r="T1355">
        <v>2.9449999999999998</v>
      </c>
      <c r="U1355">
        <v>6.03</v>
      </c>
      <c r="V1355">
        <v>1252</v>
      </c>
      <c r="W1355">
        <v>401</v>
      </c>
      <c r="X1355">
        <v>1.3332999999999999</v>
      </c>
      <c r="Y1355">
        <v>293</v>
      </c>
      <c r="Z1355">
        <v>4.2699999999999996</v>
      </c>
      <c r="AJ1355">
        <v>2</v>
      </c>
      <c r="AK1355">
        <v>18</v>
      </c>
      <c r="AM1355">
        <v>0</v>
      </c>
      <c r="AO1355" t="s">
        <v>405</v>
      </c>
      <c r="AT1355">
        <v>42</v>
      </c>
      <c r="AV1355">
        <v>35.700000000000003</v>
      </c>
      <c r="AW1355">
        <v>0</v>
      </c>
      <c r="AX1355">
        <v>0</v>
      </c>
      <c r="AY1355">
        <v>33.125</v>
      </c>
      <c r="AZ1355">
        <v>3.5</v>
      </c>
      <c r="BA1355">
        <v>0</v>
      </c>
      <c r="BB1355">
        <v>0</v>
      </c>
      <c r="BC1355">
        <v>31</v>
      </c>
      <c r="BN1355">
        <v>169.41669999999999</v>
      </c>
      <c r="BO1355">
        <v>3615</v>
      </c>
      <c r="BP1355">
        <v>0</v>
      </c>
      <c r="BQ1355">
        <v>36</v>
      </c>
      <c r="BR1355">
        <v>36</v>
      </c>
      <c r="BS1355">
        <v>36</v>
      </c>
      <c r="BT1355">
        <v>0</v>
      </c>
      <c r="BV1355">
        <v>0</v>
      </c>
      <c r="BW1355" t="s">
        <v>655</v>
      </c>
      <c r="BX1355">
        <v>0.17</v>
      </c>
      <c r="BY1355">
        <v>6.12</v>
      </c>
      <c r="BZ1355">
        <v>0</v>
      </c>
      <c r="CA1355">
        <v>1</v>
      </c>
      <c r="CB1355">
        <v>0.6</v>
      </c>
      <c r="CC1355" s="3">
        <v>7.1269159999999998E-2</v>
      </c>
      <c r="CD1355">
        <v>2.875</v>
      </c>
      <c r="CE1355">
        <v>2.5</v>
      </c>
      <c r="CF1355">
        <v>18</v>
      </c>
      <c r="CG1355">
        <v>6</v>
      </c>
      <c r="CH1355">
        <v>0</v>
      </c>
      <c r="CI1355">
        <v>36</v>
      </c>
      <c r="CJ1355">
        <v>252.72040000000001</v>
      </c>
    </row>
    <row r="1356" spans="1:88">
      <c r="A1356">
        <v>1355</v>
      </c>
      <c r="B1356" t="s">
        <v>13</v>
      </c>
      <c r="C1356" t="s">
        <v>1</v>
      </c>
      <c r="D1356" t="s">
        <v>143</v>
      </c>
      <c r="E1356" t="s">
        <v>113</v>
      </c>
      <c r="F1356" t="s">
        <v>144</v>
      </c>
      <c r="G1356" t="s">
        <v>106</v>
      </c>
      <c r="H1356" t="s">
        <v>145</v>
      </c>
      <c r="J1356">
        <v>2</v>
      </c>
      <c r="K1356" t="s">
        <v>146</v>
      </c>
      <c r="L1356" t="s">
        <v>116</v>
      </c>
      <c r="M1356" t="s">
        <v>117</v>
      </c>
      <c r="N1356" t="s">
        <v>14</v>
      </c>
      <c r="O1356">
        <v>179</v>
      </c>
      <c r="Q1356">
        <v>709</v>
      </c>
      <c r="R1356">
        <v>95</v>
      </c>
      <c r="S1356">
        <v>4.25</v>
      </c>
      <c r="T1356">
        <v>4.7190000000000003</v>
      </c>
      <c r="U1356">
        <v>7.05</v>
      </c>
      <c r="V1356">
        <v>3014.61</v>
      </c>
      <c r="W1356">
        <v>667</v>
      </c>
      <c r="X1356">
        <v>1.3332999999999999</v>
      </c>
      <c r="Y1356">
        <v>498</v>
      </c>
      <c r="Z1356">
        <v>6.05</v>
      </c>
      <c r="AJ1356">
        <v>2</v>
      </c>
      <c r="AK1356">
        <v>18</v>
      </c>
      <c r="AM1356">
        <v>0</v>
      </c>
      <c r="AO1356" t="s">
        <v>149</v>
      </c>
      <c r="AT1356">
        <v>68</v>
      </c>
      <c r="AV1356">
        <v>53.5</v>
      </c>
      <c r="AW1356">
        <v>0.4375</v>
      </c>
      <c r="AX1356">
        <v>3.75</v>
      </c>
      <c r="AY1356">
        <v>51.875</v>
      </c>
      <c r="AZ1356">
        <v>5.25</v>
      </c>
      <c r="BA1356">
        <v>274.05</v>
      </c>
      <c r="BB1356">
        <v>6</v>
      </c>
      <c r="BC1356">
        <v>53</v>
      </c>
      <c r="BD1356">
        <v>0.4375</v>
      </c>
      <c r="BE1356">
        <v>3.75</v>
      </c>
      <c r="BF1356">
        <v>63.5</v>
      </c>
      <c r="BG1356">
        <v>5.25</v>
      </c>
      <c r="BH1356">
        <v>224.23</v>
      </c>
      <c r="BI1356">
        <v>7.33</v>
      </c>
      <c r="BJ1356">
        <v>64</v>
      </c>
      <c r="BL1356">
        <v>498.28</v>
      </c>
      <c r="BM1356">
        <v>116</v>
      </c>
      <c r="BN1356">
        <v>256.80009999999999</v>
      </c>
      <c r="BO1356">
        <v>1574</v>
      </c>
      <c r="BP1356">
        <v>0</v>
      </c>
      <c r="BQ1356">
        <v>61</v>
      </c>
      <c r="BR1356">
        <v>61</v>
      </c>
      <c r="BS1356">
        <v>61.39</v>
      </c>
      <c r="BT1356">
        <v>0</v>
      </c>
      <c r="BV1356">
        <v>0</v>
      </c>
      <c r="BW1356" t="s">
        <v>655</v>
      </c>
      <c r="BX1356">
        <v>0.17</v>
      </c>
      <c r="BY1356">
        <v>10.436299999999999</v>
      </c>
      <c r="BZ1356">
        <v>0</v>
      </c>
      <c r="CA1356">
        <v>1</v>
      </c>
      <c r="CB1356">
        <v>0.6</v>
      </c>
      <c r="CC1356" s="3">
        <v>7.1269159999999998E-2</v>
      </c>
      <c r="CD1356">
        <v>2.875</v>
      </c>
      <c r="CE1356">
        <v>2.5</v>
      </c>
      <c r="CF1356">
        <v>18</v>
      </c>
      <c r="CG1356">
        <v>6</v>
      </c>
      <c r="CH1356">
        <v>0</v>
      </c>
      <c r="CI1356">
        <v>61.39</v>
      </c>
      <c r="CJ1356">
        <v>645.34400000000005</v>
      </c>
    </row>
    <row r="1357" spans="1:88">
      <c r="A1357">
        <v>1356</v>
      </c>
      <c r="B1357" t="s">
        <v>0</v>
      </c>
      <c r="C1357" t="s">
        <v>1</v>
      </c>
      <c r="D1357" t="s">
        <v>328</v>
      </c>
      <c r="E1357" t="s">
        <v>19</v>
      </c>
      <c r="F1357" t="s">
        <v>329</v>
      </c>
      <c r="G1357" t="s">
        <v>20</v>
      </c>
      <c r="H1357" t="s">
        <v>328</v>
      </c>
      <c r="J1357">
        <v>2</v>
      </c>
      <c r="K1357" t="s">
        <v>9</v>
      </c>
      <c r="L1357" t="s">
        <v>302</v>
      </c>
      <c r="M1357" t="s">
        <v>433</v>
      </c>
      <c r="N1357" t="s">
        <v>434</v>
      </c>
      <c r="O1357">
        <v>185</v>
      </c>
      <c r="Q1357">
        <v>1209</v>
      </c>
      <c r="R1357">
        <v>154</v>
      </c>
      <c r="S1357">
        <v>4.25</v>
      </c>
      <c r="T1357">
        <v>4.8529999999999998</v>
      </c>
      <c r="U1357">
        <v>7.16</v>
      </c>
      <c r="V1357">
        <v>5139.95</v>
      </c>
      <c r="W1357">
        <v>1102</v>
      </c>
      <c r="X1357">
        <v>1.3332999999999999</v>
      </c>
      <c r="Y1357">
        <v>832</v>
      </c>
      <c r="Z1357">
        <v>6.18</v>
      </c>
      <c r="AJ1357">
        <v>2</v>
      </c>
      <c r="AK1357">
        <v>18</v>
      </c>
      <c r="AM1357">
        <v>0</v>
      </c>
      <c r="AO1357" t="s">
        <v>331</v>
      </c>
      <c r="AT1357">
        <v>70</v>
      </c>
      <c r="AV1357">
        <v>88.5</v>
      </c>
      <c r="AW1357" t="s">
        <v>6</v>
      </c>
      <c r="AX1357" t="s">
        <v>6</v>
      </c>
      <c r="AY1357" t="s">
        <v>6</v>
      </c>
      <c r="AZ1357" t="s">
        <v>6</v>
      </c>
      <c r="BA1357" t="s">
        <v>6</v>
      </c>
      <c r="BB1357" t="s">
        <v>6</v>
      </c>
      <c r="BC1357" t="s">
        <v>6</v>
      </c>
      <c r="BD1357" t="s">
        <v>6</v>
      </c>
      <c r="BE1357" t="s">
        <v>6</v>
      </c>
      <c r="BF1357" t="s">
        <v>6</v>
      </c>
      <c r="BG1357" t="s">
        <v>6</v>
      </c>
      <c r="BH1357" t="s">
        <v>6</v>
      </c>
      <c r="BI1357" t="s">
        <v>6</v>
      </c>
      <c r="BJ1357" t="s">
        <v>6</v>
      </c>
      <c r="BN1357">
        <v>663.95</v>
      </c>
      <c r="BO1357">
        <v>2716</v>
      </c>
      <c r="BP1357">
        <v>0</v>
      </c>
      <c r="BQ1357">
        <v>63</v>
      </c>
      <c r="BR1357">
        <v>63</v>
      </c>
      <c r="BS1357">
        <v>63.47</v>
      </c>
      <c r="BT1357">
        <v>0</v>
      </c>
      <c r="BV1357">
        <v>6</v>
      </c>
      <c r="BW1357" t="s">
        <v>655</v>
      </c>
      <c r="BX1357">
        <v>0.27933340000000001</v>
      </c>
      <c r="BY1357">
        <v>17.729289999999999</v>
      </c>
      <c r="BZ1357">
        <v>0</v>
      </c>
      <c r="CA1357">
        <v>1</v>
      </c>
      <c r="CB1357">
        <v>0.6</v>
      </c>
      <c r="CC1357" s="3">
        <v>7.1269159999999998E-2</v>
      </c>
      <c r="CD1357">
        <v>2.875</v>
      </c>
      <c r="CE1357">
        <v>2.5</v>
      </c>
      <c r="CF1357">
        <v>18</v>
      </c>
      <c r="CG1357">
        <v>6</v>
      </c>
      <c r="CH1357">
        <v>0</v>
      </c>
      <c r="CI1357">
        <v>63.47</v>
      </c>
      <c r="CJ1357">
        <v>1103.1569999999999</v>
      </c>
    </row>
    <row r="1358" spans="1:88">
      <c r="A1358">
        <v>1357</v>
      </c>
      <c r="B1358" t="s">
        <v>0</v>
      </c>
      <c r="C1358" t="s">
        <v>1</v>
      </c>
      <c r="D1358" t="s">
        <v>113</v>
      </c>
      <c r="E1358" t="s">
        <v>425</v>
      </c>
      <c r="F1358" t="s">
        <v>262</v>
      </c>
      <c r="G1358" t="s">
        <v>214</v>
      </c>
      <c r="H1358" t="s">
        <v>263</v>
      </c>
      <c r="J1358">
        <v>2</v>
      </c>
      <c r="K1358" t="s">
        <v>108</v>
      </c>
      <c r="L1358" t="s">
        <v>420</v>
      </c>
      <c r="M1358" t="s">
        <v>586</v>
      </c>
      <c r="N1358" t="s">
        <v>245</v>
      </c>
      <c r="O1358">
        <v>215</v>
      </c>
      <c r="Q1358">
        <v>980</v>
      </c>
      <c r="R1358">
        <v>118</v>
      </c>
      <c r="S1358">
        <v>4.25</v>
      </c>
      <c r="T1358">
        <v>5.5019999999999998</v>
      </c>
      <c r="U1358">
        <v>7.5</v>
      </c>
      <c r="V1358">
        <v>4166.2299999999996</v>
      </c>
      <c r="W1358">
        <v>887</v>
      </c>
      <c r="X1358">
        <v>1.5</v>
      </c>
      <c r="Y1358">
        <v>595</v>
      </c>
      <c r="Z1358">
        <v>7</v>
      </c>
      <c r="AJ1358">
        <v>2</v>
      </c>
      <c r="AK1358">
        <v>18</v>
      </c>
      <c r="AM1358">
        <v>0</v>
      </c>
      <c r="AO1358" t="s">
        <v>266</v>
      </c>
      <c r="AT1358">
        <v>80</v>
      </c>
      <c r="AV1358">
        <v>62.3</v>
      </c>
      <c r="AW1358" t="s">
        <v>6</v>
      </c>
      <c r="AX1358" t="s">
        <v>6</v>
      </c>
      <c r="AY1358" t="s">
        <v>6</v>
      </c>
      <c r="AZ1358" t="s">
        <v>6</v>
      </c>
      <c r="BA1358" t="s">
        <v>6</v>
      </c>
      <c r="BB1358" t="s">
        <v>6</v>
      </c>
      <c r="BC1358" t="s">
        <v>6</v>
      </c>
      <c r="BD1358" t="s">
        <v>6</v>
      </c>
      <c r="BE1358" t="s">
        <v>6</v>
      </c>
      <c r="BF1358" t="s">
        <v>6</v>
      </c>
      <c r="BG1358" t="s">
        <v>6</v>
      </c>
      <c r="BH1358" t="s">
        <v>6</v>
      </c>
      <c r="BI1358" t="s">
        <v>6</v>
      </c>
      <c r="BJ1358" t="s">
        <v>6</v>
      </c>
      <c r="BN1358">
        <v>302.12</v>
      </c>
      <c r="BO1358">
        <v>1426</v>
      </c>
      <c r="BP1358">
        <v>0</v>
      </c>
      <c r="BQ1358">
        <v>74</v>
      </c>
      <c r="BR1358">
        <v>74</v>
      </c>
      <c r="BS1358">
        <v>73.91001</v>
      </c>
      <c r="BT1358">
        <v>0</v>
      </c>
      <c r="BV1358">
        <v>0</v>
      </c>
      <c r="BW1358" t="s">
        <v>655</v>
      </c>
      <c r="BX1358">
        <v>0.17</v>
      </c>
      <c r="BY1358">
        <v>12.5647</v>
      </c>
      <c r="BZ1358">
        <v>0</v>
      </c>
      <c r="CA1358">
        <v>1</v>
      </c>
      <c r="CB1358">
        <v>0.6</v>
      </c>
      <c r="CC1358" s="3">
        <v>7.1269159999999998E-2</v>
      </c>
      <c r="CD1358">
        <v>2.875</v>
      </c>
      <c r="CE1358">
        <v>2.5</v>
      </c>
      <c r="CF1358">
        <v>18</v>
      </c>
      <c r="CG1358">
        <v>6</v>
      </c>
      <c r="CH1358">
        <v>0</v>
      </c>
      <c r="CI1358">
        <v>73.91001</v>
      </c>
      <c r="CJ1358">
        <v>905.35220000000004</v>
      </c>
    </row>
    <row r="1359" spans="1:88">
      <c r="A1359">
        <v>1358</v>
      </c>
      <c r="B1359" t="s">
        <v>0</v>
      </c>
      <c r="C1359" t="s">
        <v>1</v>
      </c>
      <c r="D1359" t="s">
        <v>258</v>
      </c>
      <c r="E1359" t="s">
        <v>176</v>
      </c>
      <c r="F1359" t="s">
        <v>571</v>
      </c>
      <c r="G1359" t="s">
        <v>106</v>
      </c>
      <c r="H1359" t="s">
        <v>572</v>
      </c>
      <c r="J1359">
        <v>2</v>
      </c>
      <c r="K1359" t="s">
        <v>108</v>
      </c>
      <c r="L1359" t="s">
        <v>167</v>
      </c>
      <c r="M1359" t="s">
        <v>226</v>
      </c>
      <c r="N1359" t="s">
        <v>227</v>
      </c>
      <c r="O1359">
        <v>113</v>
      </c>
      <c r="Q1359">
        <v>487</v>
      </c>
      <c r="R1359">
        <v>99</v>
      </c>
      <c r="S1359">
        <v>4.25</v>
      </c>
      <c r="T1359">
        <v>3.1280000000000001</v>
      </c>
      <c r="U1359">
        <v>6.18</v>
      </c>
      <c r="V1359">
        <v>2069.41</v>
      </c>
      <c r="W1359">
        <v>611</v>
      </c>
      <c r="X1359">
        <v>1.3332999999999999</v>
      </c>
      <c r="Y1359">
        <v>464</v>
      </c>
      <c r="Z1359">
        <v>4.46</v>
      </c>
      <c r="AJ1359">
        <v>2</v>
      </c>
      <c r="AK1359">
        <v>18</v>
      </c>
      <c r="AM1359">
        <v>0</v>
      </c>
      <c r="AO1359" t="s">
        <v>273</v>
      </c>
      <c r="AT1359">
        <v>45</v>
      </c>
      <c r="AV1359">
        <v>56.2</v>
      </c>
      <c r="AW1359">
        <v>0.46875</v>
      </c>
      <c r="AX1359">
        <v>3.75</v>
      </c>
      <c r="AY1359">
        <v>45.875</v>
      </c>
      <c r="AZ1359">
        <v>4.125</v>
      </c>
      <c r="BA1359">
        <v>441.88</v>
      </c>
      <c r="BB1359">
        <v>4.46</v>
      </c>
      <c r="BC1359">
        <v>49</v>
      </c>
      <c r="BD1359">
        <v>0.1875</v>
      </c>
      <c r="BE1359">
        <v>2.75</v>
      </c>
      <c r="BF1359">
        <v>12</v>
      </c>
      <c r="BG1359">
        <v>1.625</v>
      </c>
      <c r="BH1359">
        <v>22.1</v>
      </c>
      <c r="BI1359">
        <v>6.86</v>
      </c>
      <c r="BJ1359">
        <v>4</v>
      </c>
      <c r="BL1359">
        <v>463.98</v>
      </c>
      <c r="BM1359">
        <v>53</v>
      </c>
      <c r="BN1359">
        <v>269.28339999999997</v>
      </c>
      <c r="BO1359">
        <v>1431</v>
      </c>
      <c r="BP1359">
        <v>0</v>
      </c>
      <c r="BQ1359">
        <v>38</v>
      </c>
      <c r="BR1359">
        <v>38</v>
      </c>
      <c r="BS1359">
        <v>38.43</v>
      </c>
      <c r="BT1359">
        <v>0</v>
      </c>
      <c r="BV1359">
        <v>0</v>
      </c>
      <c r="BW1359" t="s">
        <v>655</v>
      </c>
      <c r="BX1359">
        <v>0.17</v>
      </c>
      <c r="BY1359">
        <v>6.5331000000000001</v>
      </c>
      <c r="BZ1359">
        <v>0</v>
      </c>
      <c r="CA1359">
        <v>1</v>
      </c>
      <c r="CB1359">
        <v>0.6</v>
      </c>
      <c r="CC1359" s="3">
        <v>7.1269159999999998E-2</v>
      </c>
      <c r="CD1359">
        <v>2.875</v>
      </c>
      <c r="CE1359">
        <v>2.5</v>
      </c>
      <c r="CF1359">
        <v>18</v>
      </c>
      <c r="CG1359">
        <v>6</v>
      </c>
      <c r="CH1359">
        <v>0</v>
      </c>
      <c r="CI1359">
        <v>38.43</v>
      </c>
      <c r="CJ1359">
        <v>424.18310000000002</v>
      </c>
    </row>
    <row r="1360" spans="1:88">
      <c r="A1360">
        <v>1359</v>
      </c>
      <c r="B1360" t="s">
        <v>0</v>
      </c>
      <c r="C1360" t="s">
        <v>1</v>
      </c>
      <c r="D1360" t="s">
        <v>3</v>
      </c>
      <c r="E1360" t="s">
        <v>128</v>
      </c>
      <c r="F1360" t="s">
        <v>306</v>
      </c>
      <c r="G1360" t="s">
        <v>106</v>
      </c>
      <c r="H1360" t="s">
        <v>307</v>
      </c>
      <c r="J1360">
        <v>2</v>
      </c>
      <c r="K1360" t="s">
        <v>146</v>
      </c>
      <c r="L1360" t="s">
        <v>272</v>
      </c>
      <c r="M1360" t="s">
        <v>132</v>
      </c>
      <c r="N1360" t="s">
        <v>133</v>
      </c>
      <c r="O1360">
        <v>140</v>
      </c>
      <c r="Q1360">
        <v>451</v>
      </c>
      <c r="R1360">
        <v>77</v>
      </c>
      <c r="S1360">
        <v>4.25</v>
      </c>
      <c r="T1360">
        <v>3.8069999999999999</v>
      </c>
      <c r="U1360">
        <v>6.52</v>
      </c>
      <c r="V1360">
        <v>1917.72</v>
      </c>
      <c r="W1360">
        <v>505</v>
      </c>
      <c r="X1360">
        <v>1.3332999999999999</v>
      </c>
      <c r="Y1360">
        <v>373</v>
      </c>
      <c r="Z1360">
        <v>5.14</v>
      </c>
      <c r="AJ1360">
        <v>2</v>
      </c>
      <c r="AK1360">
        <v>18</v>
      </c>
      <c r="AM1360">
        <v>0</v>
      </c>
      <c r="AO1360" t="s">
        <v>308</v>
      </c>
      <c r="AT1360">
        <v>54</v>
      </c>
      <c r="AV1360">
        <v>42.6</v>
      </c>
      <c r="AW1360">
        <v>0</v>
      </c>
      <c r="AX1360">
        <v>0</v>
      </c>
      <c r="AY1360">
        <v>54.375</v>
      </c>
      <c r="AZ1360">
        <v>4.875</v>
      </c>
      <c r="BA1360">
        <v>0</v>
      </c>
      <c r="BB1360">
        <v>0</v>
      </c>
      <c r="BC1360">
        <v>58</v>
      </c>
      <c r="BN1360">
        <v>203.3</v>
      </c>
      <c r="BO1360">
        <v>2511</v>
      </c>
      <c r="BP1360">
        <v>0</v>
      </c>
      <c r="BQ1360">
        <v>48</v>
      </c>
      <c r="BR1360">
        <v>48</v>
      </c>
      <c r="BS1360">
        <v>47.82</v>
      </c>
      <c r="BT1360">
        <v>0</v>
      </c>
      <c r="BV1360">
        <v>0</v>
      </c>
      <c r="BW1360" t="s">
        <v>655</v>
      </c>
      <c r="BX1360">
        <v>0.17</v>
      </c>
      <c r="BY1360">
        <v>8.1294000000000004</v>
      </c>
      <c r="BZ1360">
        <v>0</v>
      </c>
      <c r="CA1360">
        <v>1</v>
      </c>
      <c r="CB1360">
        <v>0.6</v>
      </c>
      <c r="CC1360" s="3">
        <v>7.1269159999999998E-2</v>
      </c>
      <c r="CD1360">
        <v>2.875</v>
      </c>
      <c r="CE1360">
        <v>2.5</v>
      </c>
      <c r="CF1360">
        <v>18</v>
      </c>
      <c r="CG1360">
        <v>6</v>
      </c>
      <c r="CH1360">
        <v>0</v>
      </c>
      <c r="CI1360">
        <v>47.82</v>
      </c>
      <c r="CJ1360">
        <v>400.45069999999998</v>
      </c>
    </row>
    <row r="1361" spans="1:88">
      <c r="A1361">
        <v>1360</v>
      </c>
      <c r="B1361" t="s">
        <v>0</v>
      </c>
      <c r="C1361" t="s">
        <v>1</v>
      </c>
      <c r="D1361" t="s">
        <v>284</v>
      </c>
      <c r="E1361" t="s">
        <v>228</v>
      </c>
      <c r="F1361" t="s">
        <v>374</v>
      </c>
      <c r="G1361" t="s">
        <v>106</v>
      </c>
      <c r="H1361" t="s">
        <v>448</v>
      </c>
      <c r="J1361">
        <v>2</v>
      </c>
      <c r="K1361" t="s">
        <v>146</v>
      </c>
      <c r="L1361" t="s">
        <v>174</v>
      </c>
      <c r="M1361" t="s">
        <v>230</v>
      </c>
      <c r="N1361" t="s">
        <v>231</v>
      </c>
      <c r="O1361">
        <v>102</v>
      </c>
      <c r="Q1361">
        <v>228</v>
      </c>
      <c r="R1361">
        <v>50</v>
      </c>
      <c r="S1361">
        <v>4.25</v>
      </c>
      <c r="T1361">
        <v>2.8380000000000001</v>
      </c>
      <c r="U1361">
        <v>5.96</v>
      </c>
      <c r="V1361">
        <v>968.74</v>
      </c>
      <c r="W1361">
        <v>298</v>
      </c>
      <c r="X1361">
        <v>1.3332999999999999</v>
      </c>
      <c r="Y1361">
        <v>232</v>
      </c>
      <c r="Z1361">
        <v>4.17</v>
      </c>
      <c r="AJ1361">
        <v>2</v>
      </c>
      <c r="AK1361">
        <v>18</v>
      </c>
      <c r="AM1361">
        <v>0</v>
      </c>
      <c r="AO1361" t="s">
        <v>481</v>
      </c>
      <c r="AT1361">
        <v>41</v>
      </c>
      <c r="AV1361">
        <v>28.4</v>
      </c>
      <c r="AW1361">
        <v>0</v>
      </c>
      <c r="AX1361">
        <v>0</v>
      </c>
      <c r="AY1361">
        <v>27.875</v>
      </c>
      <c r="AZ1361">
        <v>3.125</v>
      </c>
      <c r="BA1361">
        <v>0</v>
      </c>
      <c r="BB1361">
        <v>0</v>
      </c>
      <c r="BC1361">
        <v>25</v>
      </c>
      <c r="BN1361">
        <v>133.75</v>
      </c>
      <c r="BO1361">
        <v>5801</v>
      </c>
      <c r="BP1361">
        <v>0</v>
      </c>
      <c r="BQ1361">
        <v>35</v>
      </c>
      <c r="BR1361">
        <v>35</v>
      </c>
      <c r="BS1361">
        <v>34.6</v>
      </c>
      <c r="BT1361">
        <v>0</v>
      </c>
      <c r="BV1361">
        <v>0</v>
      </c>
      <c r="BW1361" t="s">
        <v>655</v>
      </c>
      <c r="BX1361">
        <v>0.17</v>
      </c>
      <c r="BY1361">
        <v>5.8819999999999997</v>
      </c>
      <c r="BZ1361">
        <v>0</v>
      </c>
      <c r="CA1361">
        <v>1</v>
      </c>
      <c r="CB1361">
        <v>0.6</v>
      </c>
      <c r="CC1361" s="3">
        <v>7.1269159999999998E-2</v>
      </c>
      <c r="CD1361">
        <v>2.875</v>
      </c>
      <c r="CE1361">
        <v>2.5</v>
      </c>
      <c r="CF1361">
        <v>18</v>
      </c>
      <c r="CG1361">
        <v>6</v>
      </c>
      <c r="CH1361">
        <v>0</v>
      </c>
      <c r="CI1361">
        <v>34.6</v>
      </c>
      <c r="CJ1361">
        <v>193.57409999999999</v>
      </c>
    </row>
    <row r="1362" spans="1:88">
      <c r="A1362">
        <v>1361</v>
      </c>
      <c r="B1362" t="s">
        <v>0</v>
      </c>
      <c r="C1362" t="s">
        <v>1</v>
      </c>
      <c r="D1362" t="s">
        <v>316</v>
      </c>
      <c r="E1362" t="s">
        <v>143</v>
      </c>
      <c r="F1362" t="s">
        <v>349</v>
      </c>
      <c r="G1362" t="s">
        <v>106</v>
      </c>
      <c r="H1362" t="s">
        <v>350</v>
      </c>
      <c r="J1362">
        <v>2</v>
      </c>
      <c r="K1362" t="s">
        <v>108</v>
      </c>
      <c r="L1362" t="s">
        <v>297</v>
      </c>
      <c r="M1362" t="s">
        <v>206</v>
      </c>
      <c r="N1362" t="s">
        <v>131</v>
      </c>
      <c r="O1362">
        <v>155</v>
      </c>
      <c r="Q1362">
        <v>684</v>
      </c>
      <c r="R1362">
        <v>103</v>
      </c>
      <c r="S1362">
        <v>4.25</v>
      </c>
      <c r="T1362">
        <v>4.1660000000000004</v>
      </c>
      <c r="U1362">
        <v>6.78</v>
      </c>
      <c r="V1362">
        <v>2906.23</v>
      </c>
      <c r="W1362">
        <v>701</v>
      </c>
      <c r="X1362">
        <v>1.3332999999999999</v>
      </c>
      <c r="Y1362">
        <v>529</v>
      </c>
      <c r="Z1362">
        <v>5.49</v>
      </c>
      <c r="AJ1362">
        <v>2</v>
      </c>
      <c r="AK1362">
        <v>18</v>
      </c>
      <c r="AM1362">
        <v>0</v>
      </c>
      <c r="AO1362" t="s">
        <v>352</v>
      </c>
      <c r="AT1362">
        <v>59</v>
      </c>
      <c r="AV1362">
        <v>59.1</v>
      </c>
      <c r="AW1362">
        <v>0.4375</v>
      </c>
      <c r="AX1362">
        <v>3.75</v>
      </c>
      <c r="AY1362">
        <v>48.875</v>
      </c>
      <c r="AZ1362">
        <v>4.75</v>
      </c>
      <c r="BA1362">
        <v>291.14</v>
      </c>
      <c r="BB1362">
        <v>5.65</v>
      </c>
      <c r="BC1362">
        <v>49</v>
      </c>
      <c r="BD1362">
        <v>0.40625</v>
      </c>
      <c r="BE1362">
        <v>3.75</v>
      </c>
      <c r="BF1362">
        <v>40.875</v>
      </c>
      <c r="BG1362">
        <v>4.5</v>
      </c>
      <c r="BH1362">
        <v>238.21</v>
      </c>
      <c r="BI1362">
        <v>5.56</v>
      </c>
      <c r="BJ1362">
        <v>39</v>
      </c>
      <c r="BL1362">
        <v>529.3501</v>
      </c>
      <c r="BM1362">
        <v>88</v>
      </c>
      <c r="BN1362">
        <v>283.55009999999999</v>
      </c>
      <c r="BO1362">
        <v>1291</v>
      </c>
      <c r="BP1362">
        <v>0</v>
      </c>
      <c r="BQ1362">
        <v>53</v>
      </c>
      <c r="BR1362">
        <v>53</v>
      </c>
      <c r="BS1362">
        <v>53.04</v>
      </c>
      <c r="BT1362">
        <v>0</v>
      </c>
      <c r="BV1362">
        <v>0</v>
      </c>
      <c r="BW1362" t="s">
        <v>655</v>
      </c>
      <c r="BX1362">
        <v>0.17</v>
      </c>
      <c r="BY1362">
        <v>9.0167999999999999</v>
      </c>
      <c r="BZ1362">
        <v>0</v>
      </c>
      <c r="CA1362">
        <v>1</v>
      </c>
      <c r="CB1362">
        <v>0.6</v>
      </c>
      <c r="CC1362" s="3">
        <v>7.1269159999999998E-2</v>
      </c>
      <c r="CD1362">
        <v>2.875</v>
      </c>
      <c r="CE1362">
        <v>2.5</v>
      </c>
      <c r="CF1362">
        <v>18</v>
      </c>
      <c r="CG1362">
        <v>6</v>
      </c>
      <c r="CH1362">
        <v>0</v>
      </c>
      <c r="CI1362">
        <v>53.04</v>
      </c>
      <c r="CJ1362">
        <v>615.68640000000005</v>
      </c>
    </row>
    <row r="1363" spans="1:88">
      <c r="A1363">
        <v>1362</v>
      </c>
      <c r="B1363" t="s">
        <v>0</v>
      </c>
      <c r="C1363" t="s">
        <v>1</v>
      </c>
      <c r="D1363" t="s">
        <v>353</v>
      </c>
      <c r="E1363" t="s">
        <v>96</v>
      </c>
      <c r="F1363" t="s">
        <v>517</v>
      </c>
      <c r="G1363" t="s">
        <v>106</v>
      </c>
      <c r="H1363" t="s">
        <v>518</v>
      </c>
      <c r="J1363">
        <v>2</v>
      </c>
      <c r="K1363" t="s">
        <v>108</v>
      </c>
      <c r="L1363" t="s">
        <v>293</v>
      </c>
      <c r="M1363" t="s">
        <v>100</v>
      </c>
      <c r="N1363" t="s">
        <v>101</v>
      </c>
      <c r="O1363">
        <v>131</v>
      </c>
      <c r="Q1363">
        <v>561</v>
      </c>
      <c r="R1363">
        <v>99</v>
      </c>
      <c r="S1363">
        <v>4.25</v>
      </c>
      <c r="T1363">
        <v>3.5859999999999999</v>
      </c>
      <c r="U1363">
        <v>6.37</v>
      </c>
      <c r="V1363">
        <v>2382.7199999999998</v>
      </c>
      <c r="W1363">
        <v>633</v>
      </c>
      <c r="X1363">
        <v>1.3332999999999999</v>
      </c>
      <c r="Y1363">
        <v>485</v>
      </c>
      <c r="Z1363">
        <v>4.91</v>
      </c>
      <c r="AJ1363">
        <v>2</v>
      </c>
      <c r="AK1363">
        <v>18</v>
      </c>
      <c r="AM1363">
        <v>0</v>
      </c>
      <c r="AO1363" t="s">
        <v>182</v>
      </c>
      <c r="AT1363">
        <v>51</v>
      </c>
      <c r="AV1363">
        <v>56.5</v>
      </c>
      <c r="AW1363">
        <v>0.46875</v>
      </c>
      <c r="AX1363">
        <v>3.75</v>
      </c>
      <c r="AY1363">
        <v>50.5</v>
      </c>
      <c r="AZ1363">
        <v>4.625</v>
      </c>
      <c r="BA1363">
        <v>401.38</v>
      </c>
      <c r="BB1363">
        <v>4.91</v>
      </c>
      <c r="BC1363">
        <v>54</v>
      </c>
      <c r="BD1363">
        <v>0.3125</v>
      </c>
      <c r="BE1363">
        <v>2.75</v>
      </c>
      <c r="BF1363">
        <v>42.875</v>
      </c>
      <c r="BG1363">
        <v>3</v>
      </c>
      <c r="BH1363">
        <v>83.88</v>
      </c>
      <c r="BI1363">
        <v>7.62</v>
      </c>
      <c r="BJ1363">
        <v>23</v>
      </c>
      <c r="BL1363">
        <v>485.26</v>
      </c>
      <c r="BM1363">
        <v>77</v>
      </c>
      <c r="BN1363">
        <v>271.06670000000003</v>
      </c>
      <c r="BO1363">
        <v>1412</v>
      </c>
      <c r="BP1363">
        <v>0</v>
      </c>
      <c r="BQ1363">
        <v>45</v>
      </c>
      <c r="BR1363">
        <v>45</v>
      </c>
      <c r="BS1363">
        <v>44.69</v>
      </c>
      <c r="BT1363">
        <v>0</v>
      </c>
      <c r="BV1363">
        <v>0</v>
      </c>
      <c r="BW1363" t="s">
        <v>655</v>
      </c>
      <c r="BX1363">
        <v>0.17</v>
      </c>
      <c r="BY1363">
        <v>7.5972999999999997</v>
      </c>
      <c r="BZ1363">
        <v>0</v>
      </c>
      <c r="CA1363">
        <v>1</v>
      </c>
      <c r="CB1363">
        <v>0.6</v>
      </c>
      <c r="CC1363" s="3">
        <v>7.1269159999999998E-2</v>
      </c>
      <c r="CD1363">
        <v>2.875</v>
      </c>
      <c r="CE1363">
        <v>2.5</v>
      </c>
      <c r="CF1363">
        <v>18</v>
      </c>
      <c r="CG1363">
        <v>6</v>
      </c>
      <c r="CH1363">
        <v>0</v>
      </c>
      <c r="CI1363">
        <v>44.69</v>
      </c>
      <c r="CJ1363">
        <v>496.46480000000003</v>
      </c>
    </row>
    <row r="1364" spans="1:88">
      <c r="A1364">
        <v>1363</v>
      </c>
      <c r="B1364" t="s">
        <v>0</v>
      </c>
      <c r="C1364" t="s">
        <v>1</v>
      </c>
      <c r="D1364" t="s">
        <v>181</v>
      </c>
      <c r="E1364" t="s">
        <v>96</v>
      </c>
      <c r="F1364" t="s">
        <v>182</v>
      </c>
      <c r="G1364" t="s">
        <v>106</v>
      </c>
      <c r="H1364" t="s">
        <v>183</v>
      </c>
      <c r="J1364">
        <v>2</v>
      </c>
      <c r="K1364" t="s">
        <v>108</v>
      </c>
      <c r="L1364" t="s">
        <v>293</v>
      </c>
      <c r="M1364" t="s">
        <v>100</v>
      </c>
      <c r="N1364" t="s">
        <v>101</v>
      </c>
      <c r="O1364">
        <v>131</v>
      </c>
      <c r="Q1364">
        <v>554</v>
      </c>
      <c r="R1364">
        <v>98</v>
      </c>
      <c r="S1364">
        <v>4.25</v>
      </c>
      <c r="T1364">
        <v>3.5859999999999999</v>
      </c>
      <c r="U1364">
        <v>6.37</v>
      </c>
      <c r="V1364">
        <v>2352.54</v>
      </c>
      <c r="W1364">
        <v>626</v>
      </c>
      <c r="X1364">
        <v>1.3332999999999999</v>
      </c>
      <c r="Y1364">
        <v>479</v>
      </c>
      <c r="Z1364">
        <v>4.91</v>
      </c>
      <c r="AJ1364">
        <v>2</v>
      </c>
      <c r="AK1364">
        <v>18</v>
      </c>
      <c r="AM1364">
        <v>0</v>
      </c>
      <c r="AO1364" t="s">
        <v>186</v>
      </c>
      <c r="AT1364">
        <v>51</v>
      </c>
      <c r="AV1364">
        <v>55.8</v>
      </c>
      <c r="AW1364">
        <v>0.40625</v>
      </c>
      <c r="AX1364">
        <v>3.75</v>
      </c>
      <c r="AY1364">
        <v>36.875</v>
      </c>
      <c r="AZ1364">
        <v>4</v>
      </c>
      <c r="BA1364">
        <v>263.52</v>
      </c>
      <c r="BB1364">
        <v>5.0199999999999996</v>
      </c>
      <c r="BC1364">
        <v>35</v>
      </c>
      <c r="BD1364">
        <v>0.375</v>
      </c>
      <c r="BE1364">
        <v>3.75</v>
      </c>
      <c r="BF1364">
        <v>30</v>
      </c>
      <c r="BG1364">
        <v>3.625</v>
      </c>
      <c r="BH1364">
        <v>215.61</v>
      </c>
      <c r="BI1364">
        <v>4.9800000000000004</v>
      </c>
      <c r="BJ1364">
        <v>26</v>
      </c>
      <c r="BL1364">
        <v>479.13</v>
      </c>
      <c r="BM1364">
        <v>61</v>
      </c>
      <c r="BN1364">
        <v>267.5</v>
      </c>
      <c r="BO1364">
        <v>1450</v>
      </c>
      <c r="BP1364">
        <v>0</v>
      </c>
      <c r="BQ1364">
        <v>45</v>
      </c>
      <c r="BR1364">
        <v>45</v>
      </c>
      <c r="BS1364">
        <v>44.69</v>
      </c>
      <c r="BT1364">
        <v>0</v>
      </c>
      <c r="BV1364">
        <v>0</v>
      </c>
      <c r="BW1364" t="s">
        <v>655</v>
      </c>
      <c r="BX1364">
        <v>0.17</v>
      </c>
      <c r="BY1364">
        <v>7.5972999999999997</v>
      </c>
      <c r="BZ1364">
        <v>0</v>
      </c>
      <c r="CA1364">
        <v>1</v>
      </c>
      <c r="CB1364">
        <v>0.6</v>
      </c>
      <c r="CC1364" s="3">
        <v>7.1269159999999998E-2</v>
      </c>
      <c r="CD1364">
        <v>2.875</v>
      </c>
      <c r="CE1364">
        <v>2.5</v>
      </c>
      <c r="CF1364">
        <v>18</v>
      </c>
      <c r="CG1364">
        <v>6</v>
      </c>
      <c r="CH1364">
        <v>0</v>
      </c>
      <c r="CI1364">
        <v>44.69</v>
      </c>
      <c r="CJ1364">
        <v>490.09469999999999</v>
      </c>
    </row>
    <row r="1365" spans="1:88">
      <c r="A1365">
        <v>1364</v>
      </c>
      <c r="B1365" t="s">
        <v>0</v>
      </c>
      <c r="C1365" t="s">
        <v>1</v>
      </c>
      <c r="D1365" t="s">
        <v>143</v>
      </c>
      <c r="E1365" t="s">
        <v>109</v>
      </c>
      <c r="F1365" t="s">
        <v>144</v>
      </c>
      <c r="G1365" t="s">
        <v>106</v>
      </c>
      <c r="H1365" t="s">
        <v>145</v>
      </c>
      <c r="J1365">
        <v>2</v>
      </c>
      <c r="K1365" t="s">
        <v>146</v>
      </c>
      <c r="L1365" t="s">
        <v>619</v>
      </c>
      <c r="M1365" t="s">
        <v>620</v>
      </c>
      <c r="N1365" t="s">
        <v>612</v>
      </c>
      <c r="O1365">
        <v>211</v>
      </c>
      <c r="Q1365">
        <v>828</v>
      </c>
      <c r="R1365">
        <v>102</v>
      </c>
      <c r="S1365">
        <v>4.25</v>
      </c>
      <c r="T1365">
        <v>5.4169999999999998</v>
      </c>
      <c r="U1365">
        <v>7.42</v>
      </c>
      <c r="V1365">
        <v>3519.89</v>
      </c>
      <c r="W1365">
        <v>753</v>
      </c>
      <c r="X1365">
        <v>1.5</v>
      </c>
      <c r="Y1365">
        <v>509</v>
      </c>
      <c r="Z1365">
        <v>6.91</v>
      </c>
      <c r="AJ1365">
        <v>2</v>
      </c>
      <c r="AK1365">
        <v>18</v>
      </c>
      <c r="AM1365">
        <v>0</v>
      </c>
      <c r="AO1365" t="s">
        <v>149</v>
      </c>
      <c r="AT1365">
        <v>79</v>
      </c>
      <c r="AV1365">
        <v>53.5</v>
      </c>
      <c r="AW1365">
        <v>0.46875</v>
      </c>
      <c r="AX1365">
        <v>3.75</v>
      </c>
      <c r="AY1365">
        <v>72.375</v>
      </c>
      <c r="AZ1365">
        <v>6.5</v>
      </c>
      <c r="BA1365">
        <v>280.16000000000003</v>
      </c>
      <c r="BB1365">
        <v>7.03</v>
      </c>
      <c r="BC1365">
        <v>78</v>
      </c>
      <c r="BD1365">
        <v>0.4375</v>
      </c>
      <c r="BE1365">
        <v>3.75</v>
      </c>
      <c r="BF1365">
        <v>62.125</v>
      </c>
      <c r="BG1365">
        <v>6</v>
      </c>
      <c r="BH1365">
        <v>229.23</v>
      </c>
      <c r="BI1365">
        <v>7.17</v>
      </c>
      <c r="BJ1365">
        <v>63</v>
      </c>
      <c r="BL1365">
        <v>509.39</v>
      </c>
      <c r="BM1365">
        <v>140</v>
      </c>
      <c r="BN1365">
        <v>256.80009999999999</v>
      </c>
      <c r="BO1365">
        <v>1574</v>
      </c>
      <c r="BP1365">
        <v>0</v>
      </c>
      <c r="BQ1365">
        <v>73</v>
      </c>
      <c r="BR1365">
        <v>73</v>
      </c>
      <c r="BS1365">
        <v>72.52</v>
      </c>
      <c r="BT1365">
        <v>0</v>
      </c>
      <c r="BV1365">
        <v>0</v>
      </c>
      <c r="BW1365" t="s">
        <v>655</v>
      </c>
      <c r="BX1365">
        <v>0.17</v>
      </c>
      <c r="BY1365">
        <v>12.3284</v>
      </c>
      <c r="BZ1365">
        <v>0</v>
      </c>
      <c r="CA1365">
        <v>1</v>
      </c>
      <c r="CB1365">
        <v>0.6</v>
      </c>
      <c r="CC1365" s="3">
        <v>7.1269159999999998E-2</v>
      </c>
      <c r="CD1365">
        <v>2.875</v>
      </c>
      <c r="CE1365">
        <v>2.5</v>
      </c>
      <c r="CF1365">
        <v>18</v>
      </c>
      <c r="CG1365">
        <v>6</v>
      </c>
      <c r="CH1365">
        <v>0</v>
      </c>
      <c r="CI1365">
        <v>72.52</v>
      </c>
      <c r="CJ1365">
        <v>762.34479999999996</v>
      </c>
    </row>
    <row r="1366" spans="1:88">
      <c r="A1366">
        <v>1365</v>
      </c>
      <c r="B1366" t="s">
        <v>0</v>
      </c>
      <c r="C1366" t="s">
        <v>1</v>
      </c>
      <c r="D1366" t="s">
        <v>279</v>
      </c>
      <c r="E1366" t="s">
        <v>2</v>
      </c>
      <c r="F1366" t="s">
        <v>236</v>
      </c>
      <c r="G1366" t="s">
        <v>106</v>
      </c>
      <c r="H1366" t="s">
        <v>143</v>
      </c>
      <c r="J1366">
        <v>2</v>
      </c>
      <c r="K1366" t="s">
        <v>146</v>
      </c>
      <c r="L1366" t="s">
        <v>122</v>
      </c>
      <c r="M1366" t="s">
        <v>4</v>
      </c>
      <c r="N1366" t="s">
        <v>5</v>
      </c>
      <c r="O1366">
        <v>107</v>
      </c>
      <c r="Q1366">
        <v>445</v>
      </c>
      <c r="R1366">
        <v>95</v>
      </c>
      <c r="S1366">
        <v>4.25</v>
      </c>
      <c r="T1366">
        <v>2.9710000000000001</v>
      </c>
      <c r="U1366">
        <v>6.07</v>
      </c>
      <c r="V1366">
        <v>1889.89</v>
      </c>
      <c r="W1366">
        <v>578</v>
      </c>
      <c r="X1366">
        <v>1.3332999999999999</v>
      </c>
      <c r="Y1366">
        <v>440</v>
      </c>
      <c r="Z1366">
        <v>4.3</v>
      </c>
      <c r="AJ1366">
        <v>2</v>
      </c>
      <c r="AK1366">
        <v>18</v>
      </c>
      <c r="AM1366">
        <v>0</v>
      </c>
      <c r="AO1366" t="s">
        <v>206</v>
      </c>
      <c r="AT1366">
        <v>42</v>
      </c>
      <c r="AV1366">
        <v>53.9</v>
      </c>
      <c r="AW1366">
        <v>0</v>
      </c>
      <c r="AX1366">
        <v>0</v>
      </c>
      <c r="AY1366">
        <v>46.125</v>
      </c>
      <c r="AZ1366">
        <v>4</v>
      </c>
      <c r="BA1366">
        <v>0</v>
      </c>
      <c r="BB1366">
        <v>0</v>
      </c>
      <c r="BC1366">
        <v>50</v>
      </c>
      <c r="BN1366">
        <v>258.58339999999998</v>
      </c>
      <c r="BO1366">
        <v>1552</v>
      </c>
      <c r="BP1366">
        <v>0</v>
      </c>
      <c r="BQ1366">
        <v>36</v>
      </c>
      <c r="BR1366">
        <v>36</v>
      </c>
      <c r="BS1366">
        <v>36.340000000000003</v>
      </c>
      <c r="BT1366">
        <v>0</v>
      </c>
      <c r="BV1366">
        <v>0</v>
      </c>
      <c r="BW1366" t="s">
        <v>655</v>
      </c>
      <c r="BX1366">
        <v>0.17</v>
      </c>
      <c r="BY1366">
        <v>6.1778000000000004</v>
      </c>
      <c r="BZ1366">
        <v>0</v>
      </c>
      <c r="CA1366">
        <v>1</v>
      </c>
      <c r="CB1366">
        <v>0.6</v>
      </c>
      <c r="CC1366" s="3">
        <v>7.1269159999999998E-2</v>
      </c>
      <c r="CD1366">
        <v>2.875</v>
      </c>
      <c r="CE1366">
        <v>2.5</v>
      </c>
      <c r="CF1366">
        <v>18</v>
      </c>
      <c r="CG1366">
        <v>6</v>
      </c>
      <c r="CH1366">
        <v>0</v>
      </c>
      <c r="CI1366">
        <v>36.340000000000003</v>
      </c>
      <c r="CJ1366">
        <v>384.60329999999999</v>
      </c>
    </row>
    <row r="1367" spans="1:88">
      <c r="A1367">
        <v>1366</v>
      </c>
      <c r="B1367" t="s">
        <v>0</v>
      </c>
      <c r="C1367" t="s">
        <v>1</v>
      </c>
      <c r="D1367" t="s">
        <v>381</v>
      </c>
      <c r="E1367" t="s">
        <v>448</v>
      </c>
      <c r="F1367" t="s">
        <v>132</v>
      </c>
      <c r="G1367" t="s">
        <v>106</v>
      </c>
      <c r="H1367" t="s">
        <v>340</v>
      </c>
      <c r="J1367">
        <v>2</v>
      </c>
      <c r="K1367" t="s">
        <v>146</v>
      </c>
      <c r="L1367" t="s">
        <v>231</v>
      </c>
      <c r="M1367" t="s">
        <v>481</v>
      </c>
      <c r="N1367" t="s">
        <v>241</v>
      </c>
      <c r="O1367">
        <v>85</v>
      </c>
      <c r="Q1367">
        <v>321</v>
      </c>
      <c r="R1367">
        <v>85</v>
      </c>
      <c r="S1367">
        <v>4.25</v>
      </c>
      <c r="T1367">
        <v>2.3730000000000002</v>
      </c>
      <c r="U1367">
        <v>5.62</v>
      </c>
      <c r="V1367">
        <v>1366.29</v>
      </c>
      <c r="W1367">
        <v>480</v>
      </c>
      <c r="X1367">
        <v>1.3332999999999999</v>
      </c>
      <c r="Y1367">
        <v>369</v>
      </c>
      <c r="Z1367">
        <v>3.7</v>
      </c>
      <c r="AJ1367">
        <v>2</v>
      </c>
      <c r="AK1367">
        <v>18</v>
      </c>
      <c r="AM1367">
        <v>0</v>
      </c>
      <c r="AO1367" t="s">
        <v>359</v>
      </c>
      <c r="AT1367">
        <v>35</v>
      </c>
      <c r="AV1367">
        <v>47.7</v>
      </c>
      <c r="AW1367">
        <v>0</v>
      </c>
      <c r="AX1367">
        <v>0</v>
      </c>
      <c r="AY1367">
        <v>38.5</v>
      </c>
      <c r="AZ1367">
        <v>3.25</v>
      </c>
      <c r="BA1367">
        <v>0</v>
      </c>
      <c r="BB1367">
        <v>0</v>
      </c>
      <c r="BC1367">
        <v>39</v>
      </c>
      <c r="BN1367">
        <v>228.26669999999999</v>
      </c>
      <c r="BO1367">
        <v>1992</v>
      </c>
      <c r="BP1367">
        <v>0</v>
      </c>
      <c r="BQ1367">
        <v>29</v>
      </c>
      <c r="BR1367">
        <v>29</v>
      </c>
      <c r="BS1367">
        <v>28.69</v>
      </c>
      <c r="BT1367">
        <v>0</v>
      </c>
      <c r="BV1367">
        <v>0</v>
      </c>
      <c r="BW1367" t="s">
        <v>655</v>
      </c>
      <c r="BX1367">
        <v>0.17</v>
      </c>
      <c r="BY1367">
        <v>4.8773010000000001</v>
      </c>
      <c r="BZ1367">
        <v>0</v>
      </c>
      <c r="CA1367">
        <v>1</v>
      </c>
      <c r="CB1367">
        <v>0.6</v>
      </c>
      <c r="CC1367" s="3">
        <v>7.1269159999999998E-2</v>
      </c>
      <c r="CD1367">
        <v>2.875</v>
      </c>
      <c r="CE1367">
        <v>2.5</v>
      </c>
      <c r="CF1367">
        <v>18</v>
      </c>
      <c r="CG1367">
        <v>6</v>
      </c>
      <c r="CH1367">
        <v>0</v>
      </c>
      <c r="CI1367">
        <v>28.69</v>
      </c>
      <c r="CJ1367">
        <v>268.87970000000001</v>
      </c>
    </row>
    <row r="1368" spans="1:88">
      <c r="A1368">
        <v>1367</v>
      </c>
      <c r="B1368" t="s">
        <v>0</v>
      </c>
      <c r="C1368" t="s">
        <v>1</v>
      </c>
      <c r="D1368" t="s">
        <v>278</v>
      </c>
      <c r="E1368" t="s">
        <v>552</v>
      </c>
      <c r="F1368" t="s">
        <v>239</v>
      </c>
      <c r="G1368" t="s">
        <v>15</v>
      </c>
      <c r="H1368" t="s">
        <v>458</v>
      </c>
      <c r="J1368">
        <v>2</v>
      </c>
      <c r="K1368" t="s">
        <v>108</v>
      </c>
      <c r="L1368" t="s">
        <v>104</v>
      </c>
      <c r="M1368" t="s">
        <v>600</v>
      </c>
      <c r="N1368" t="s">
        <v>348</v>
      </c>
      <c r="O1368">
        <v>171</v>
      </c>
      <c r="Q1368">
        <v>917</v>
      </c>
      <c r="R1368">
        <v>126</v>
      </c>
      <c r="S1368">
        <v>4.25</v>
      </c>
      <c r="T1368">
        <v>4.5380000000000003</v>
      </c>
      <c r="U1368">
        <v>6.93</v>
      </c>
      <c r="V1368">
        <v>3898.35</v>
      </c>
      <c r="W1368">
        <v>874</v>
      </c>
      <c r="X1368">
        <v>1.3332999999999999</v>
      </c>
      <c r="Y1368">
        <v>664</v>
      </c>
      <c r="Z1368">
        <v>5.87</v>
      </c>
      <c r="AJ1368">
        <v>2</v>
      </c>
      <c r="AK1368">
        <v>18</v>
      </c>
      <c r="AM1368">
        <v>0</v>
      </c>
      <c r="AO1368" t="s">
        <v>401</v>
      </c>
      <c r="AT1368">
        <v>65</v>
      </c>
      <c r="AV1368">
        <v>72.5</v>
      </c>
      <c r="AW1368" t="s">
        <v>6</v>
      </c>
      <c r="AX1368" t="s">
        <v>6</v>
      </c>
      <c r="AY1368" t="s">
        <v>6</v>
      </c>
      <c r="AZ1368" t="s">
        <v>6</v>
      </c>
      <c r="BA1368" t="s">
        <v>6</v>
      </c>
      <c r="BB1368" t="s">
        <v>6</v>
      </c>
      <c r="BC1368" t="s">
        <v>6</v>
      </c>
      <c r="BD1368" t="s">
        <v>6</v>
      </c>
      <c r="BE1368" t="s">
        <v>6</v>
      </c>
      <c r="BF1368" t="s">
        <v>6</v>
      </c>
      <c r="BG1368" t="s">
        <v>6</v>
      </c>
      <c r="BH1368" t="s">
        <v>6</v>
      </c>
      <c r="BI1368" t="s">
        <v>6</v>
      </c>
      <c r="BJ1368" t="s">
        <v>6</v>
      </c>
      <c r="BN1368">
        <v>618.78679999999997</v>
      </c>
      <c r="BO1368">
        <v>2857</v>
      </c>
      <c r="BP1368">
        <v>0</v>
      </c>
      <c r="BQ1368">
        <v>59</v>
      </c>
      <c r="BR1368">
        <v>59</v>
      </c>
      <c r="BS1368">
        <v>58.6</v>
      </c>
      <c r="BT1368">
        <v>0</v>
      </c>
      <c r="BV1368">
        <v>0</v>
      </c>
      <c r="BW1368" t="s">
        <v>655</v>
      </c>
      <c r="BX1368">
        <v>0.17</v>
      </c>
      <c r="BY1368">
        <v>9.9619999999999997</v>
      </c>
      <c r="BZ1368">
        <v>0</v>
      </c>
      <c r="CA1368">
        <v>1</v>
      </c>
      <c r="CB1368">
        <v>0.6</v>
      </c>
      <c r="CC1368" s="3">
        <v>7.1269159999999998E-2</v>
      </c>
      <c r="CD1368">
        <v>2.875</v>
      </c>
      <c r="CE1368">
        <v>2.5</v>
      </c>
      <c r="CF1368">
        <v>18</v>
      </c>
      <c r="CG1368">
        <v>6</v>
      </c>
      <c r="CH1368">
        <v>0</v>
      </c>
      <c r="CI1368">
        <v>58.6</v>
      </c>
      <c r="CJ1368">
        <v>834.75250000000005</v>
      </c>
    </row>
    <row r="1369" spans="1:88">
      <c r="A1369">
        <v>1368</v>
      </c>
      <c r="B1369" t="s">
        <v>13</v>
      </c>
      <c r="C1369" t="s">
        <v>1</v>
      </c>
      <c r="D1369" t="s">
        <v>3</v>
      </c>
      <c r="E1369" t="s">
        <v>231</v>
      </c>
      <c r="F1369" t="s">
        <v>306</v>
      </c>
      <c r="G1369" t="s">
        <v>106</v>
      </c>
      <c r="H1369" t="s">
        <v>307</v>
      </c>
      <c r="J1369">
        <v>2</v>
      </c>
      <c r="K1369" t="s">
        <v>146</v>
      </c>
      <c r="L1369" t="s">
        <v>3</v>
      </c>
      <c r="M1369" t="s">
        <v>405</v>
      </c>
      <c r="N1369" t="s">
        <v>151</v>
      </c>
      <c r="O1369">
        <v>105</v>
      </c>
      <c r="Q1369">
        <v>347</v>
      </c>
      <c r="R1369">
        <v>77</v>
      </c>
      <c r="S1369">
        <v>4.25</v>
      </c>
      <c r="T1369">
        <v>2.9180000000000001</v>
      </c>
      <c r="U1369">
        <v>6</v>
      </c>
      <c r="V1369">
        <v>1475.77</v>
      </c>
      <c r="W1369">
        <v>464</v>
      </c>
      <c r="X1369">
        <v>1.3332999999999999</v>
      </c>
      <c r="Y1369">
        <v>347</v>
      </c>
      <c r="Z1369">
        <v>4.25</v>
      </c>
      <c r="AJ1369">
        <v>2</v>
      </c>
      <c r="AK1369">
        <v>18</v>
      </c>
      <c r="AM1369">
        <v>0</v>
      </c>
      <c r="AO1369" t="s">
        <v>308</v>
      </c>
      <c r="AT1369">
        <v>42</v>
      </c>
      <c r="AV1369">
        <v>42.6</v>
      </c>
      <c r="AW1369">
        <v>0</v>
      </c>
      <c r="AX1369">
        <v>0</v>
      </c>
      <c r="AY1369">
        <v>41</v>
      </c>
      <c r="AZ1369">
        <v>3.75</v>
      </c>
      <c r="BA1369">
        <v>0</v>
      </c>
      <c r="BB1369">
        <v>0</v>
      </c>
      <c r="BC1369">
        <v>41</v>
      </c>
      <c r="BN1369">
        <v>203.3</v>
      </c>
      <c r="BO1369">
        <v>2511</v>
      </c>
      <c r="BP1369">
        <v>0</v>
      </c>
      <c r="BQ1369">
        <v>36</v>
      </c>
      <c r="BR1369">
        <v>36</v>
      </c>
      <c r="BS1369">
        <v>35.65</v>
      </c>
      <c r="BT1369">
        <v>0</v>
      </c>
      <c r="BV1369">
        <v>0</v>
      </c>
      <c r="BW1369" t="s">
        <v>655</v>
      </c>
      <c r="BX1369">
        <v>0.17</v>
      </c>
      <c r="BY1369">
        <v>6.0605000000000002</v>
      </c>
      <c r="BZ1369">
        <v>0</v>
      </c>
      <c r="CA1369">
        <v>1</v>
      </c>
      <c r="CB1369">
        <v>0.6</v>
      </c>
      <c r="CC1369" s="3">
        <v>7.1269159999999998E-2</v>
      </c>
      <c r="CD1369">
        <v>2.875</v>
      </c>
      <c r="CE1369">
        <v>2.5</v>
      </c>
      <c r="CF1369">
        <v>18</v>
      </c>
      <c r="CG1369">
        <v>6</v>
      </c>
      <c r="CH1369">
        <v>0</v>
      </c>
      <c r="CI1369">
        <v>35.65</v>
      </c>
      <c r="CJ1369">
        <v>298.5376</v>
      </c>
    </row>
    <row r="1370" spans="1:88">
      <c r="A1370">
        <v>1369</v>
      </c>
      <c r="B1370" t="s">
        <v>0</v>
      </c>
      <c r="C1370" t="s">
        <v>1</v>
      </c>
      <c r="D1370" t="s">
        <v>683</v>
      </c>
      <c r="E1370" t="s">
        <v>96</v>
      </c>
      <c r="F1370" t="s">
        <v>684</v>
      </c>
      <c r="G1370" t="s">
        <v>20</v>
      </c>
      <c r="H1370" t="s">
        <v>683</v>
      </c>
      <c r="J1370">
        <v>2</v>
      </c>
      <c r="K1370" t="s">
        <v>9</v>
      </c>
      <c r="L1370" t="s">
        <v>293</v>
      </c>
      <c r="M1370" t="s">
        <v>100</v>
      </c>
      <c r="N1370" t="s">
        <v>101</v>
      </c>
      <c r="O1370">
        <v>131</v>
      </c>
      <c r="Q1370">
        <v>981</v>
      </c>
      <c r="R1370">
        <v>172</v>
      </c>
      <c r="S1370">
        <v>4.25</v>
      </c>
      <c r="T1370">
        <v>3.5859999999999999</v>
      </c>
      <c r="U1370">
        <v>6.37</v>
      </c>
      <c r="V1370">
        <v>4167.72</v>
      </c>
      <c r="W1370">
        <v>1097</v>
      </c>
      <c r="X1370">
        <v>1.3332999999999999</v>
      </c>
      <c r="Y1370">
        <v>849</v>
      </c>
      <c r="Z1370">
        <v>4.91</v>
      </c>
      <c r="AJ1370">
        <v>2</v>
      </c>
      <c r="AK1370">
        <v>18</v>
      </c>
      <c r="AM1370">
        <v>0</v>
      </c>
      <c r="AO1370" t="s">
        <v>685</v>
      </c>
      <c r="AT1370">
        <v>51</v>
      </c>
      <c r="AV1370">
        <v>99</v>
      </c>
      <c r="AW1370" t="s">
        <v>6</v>
      </c>
      <c r="AX1370" t="s">
        <v>6</v>
      </c>
      <c r="AY1370" t="s">
        <v>6</v>
      </c>
      <c r="AZ1370" t="s">
        <v>6</v>
      </c>
      <c r="BA1370" t="s">
        <v>6</v>
      </c>
      <c r="BB1370" t="s">
        <v>6</v>
      </c>
      <c r="BC1370" t="s">
        <v>6</v>
      </c>
      <c r="BD1370" t="s">
        <v>6</v>
      </c>
      <c r="BE1370" t="s">
        <v>6</v>
      </c>
      <c r="BF1370" t="s">
        <v>6</v>
      </c>
      <c r="BG1370" t="s">
        <v>6</v>
      </c>
      <c r="BH1370" t="s">
        <v>6</v>
      </c>
      <c r="BI1370" t="s">
        <v>6</v>
      </c>
      <c r="BJ1370" t="s">
        <v>6</v>
      </c>
      <c r="BN1370">
        <v>744.17729999999995</v>
      </c>
      <c r="BO1370">
        <v>2162</v>
      </c>
      <c r="BP1370">
        <v>0</v>
      </c>
      <c r="BQ1370">
        <v>45</v>
      </c>
      <c r="BR1370">
        <v>45</v>
      </c>
      <c r="BS1370">
        <v>44.69</v>
      </c>
      <c r="BT1370">
        <v>0</v>
      </c>
      <c r="BV1370">
        <v>6</v>
      </c>
      <c r="BW1370" t="s">
        <v>655</v>
      </c>
      <c r="BX1370">
        <v>0.27933340000000001</v>
      </c>
      <c r="BY1370">
        <v>12.483409999999999</v>
      </c>
      <c r="BZ1370">
        <v>0</v>
      </c>
      <c r="CA1370">
        <v>1</v>
      </c>
      <c r="CB1370">
        <v>0.6</v>
      </c>
      <c r="CC1370" s="3">
        <v>7.1269159999999998E-2</v>
      </c>
      <c r="CD1370">
        <v>2.875</v>
      </c>
      <c r="CE1370">
        <v>2.5</v>
      </c>
      <c r="CF1370">
        <v>18</v>
      </c>
      <c r="CG1370">
        <v>6</v>
      </c>
      <c r="CH1370">
        <v>0</v>
      </c>
      <c r="CI1370">
        <v>44.69</v>
      </c>
      <c r="CJ1370">
        <v>869.11189999999999</v>
      </c>
    </row>
    <row r="1371" spans="1:88">
      <c r="A1371">
        <v>1370</v>
      </c>
      <c r="B1371" t="s">
        <v>0</v>
      </c>
      <c r="C1371" t="s">
        <v>1</v>
      </c>
      <c r="D1371" t="s">
        <v>195</v>
      </c>
      <c r="E1371" t="s">
        <v>338</v>
      </c>
      <c r="F1371" t="s">
        <v>435</v>
      </c>
      <c r="G1371" t="s">
        <v>106</v>
      </c>
      <c r="H1371" t="s">
        <v>363</v>
      </c>
      <c r="J1371">
        <v>2</v>
      </c>
      <c r="K1371" t="s">
        <v>146</v>
      </c>
      <c r="L1371" t="s">
        <v>143</v>
      </c>
      <c r="M1371" t="s">
        <v>339</v>
      </c>
      <c r="N1371" t="s">
        <v>340</v>
      </c>
      <c r="O1371">
        <v>135</v>
      </c>
      <c r="Q1371">
        <v>513</v>
      </c>
      <c r="R1371">
        <v>89</v>
      </c>
      <c r="S1371">
        <v>4.25</v>
      </c>
      <c r="T1371">
        <v>3.6850000000000001</v>
      </c>
      <c r="U1371">
        <v>6.45</v>
      </c>
      <c r="V1371">
        <v>2179.9899999999998</v>
      </c>
      <c r="W1371">
        <v>577</v>
      </c>
      <c r="X1371">
        <v>1.3332999999999999</v>
      </c>
      <c r="Y1371">
        <v>435</v>
      </c>
      <c r="Z1371">
        <v>5.01</v>
      </c>
      <c r="AJ1371">
        <v>2</v>
      </c>
      <c r="AK1371">
        <v>18</v>
      </c>
      <c r="AM1371">
        <v>0</v>
      </c>
      <c r="AO1371" t="s">
        <v>461</v>
      </c>
      <c r="AT1371">
        <v>52</v>
      </c>
      <c r="AV1371">
        <v>50.2</v>
      </c>
      <c r="AW1371">
        <v>0.46875</v>
      </c>
      <c r="AX1371">
        <v>3.75</v>
      </c>
      <c r="AY1371">
        <v>51.5</v>
      </c>
      <c r="AZ1371">
        <v>4.75</v>
      </c>
      <c r="BA1371">
        <v>393.37</v>
      </c>
      <c r="BB1371">
        <v>5.01</v>
      </c>
      <c r="BC1371">
        <v>55</v>
      </c>
      <c r="BD1371">
        <v>0.25</v>
      </c>
      <c r="BE1371">
        <v>2.75</v>
      </c>
      <c r="BF1371">
        <v>27.5</v>
      </c>
      <c r="BG1371">
        <v>2.5</v>
      </c>
      <c r="BH1371">
        <v>41.75</v>
      </c>
      <c r="BI1371">
        <v>8.2200000000000006</v>
      </c>
      <c r="BJ1371">
        <v>12</v>
      </c>
      <c r="BL1371">
        <v>435.12</v>
      </c>
      <c r="BM1371">
        <v>67</v>
      </c>
      <c r="BN1371">
        <v>240.75</v>
      </c>
      <c r="BO1371">
        <v>1790</v>
      </c>
      <c r="BP1371">
        <v>0</v>
      </c>
      <c r="BQ1371">
        <v>46</v>
      </c>
      <c r="BR1371">
        <v>46</v>
      </c>
      <c r="BS1371">
        <v>46.08</v>
      </c>
      <c r="BT1371">
        <v>0</v>
      </c>
      <c r="BV1371">
        <v>0</v>
      </c>
      <c r="BW1371" t="s">
        <v>655</v>
      </c>
      <c r="BX1371">
        <v>0.17</v>
      </c>
      <c r="BY1371">
        <v>7.8336009999999998</v>
      </c>
      <c r="BZ1371">
        <v>0</v>
      </c>
      <c r="CA1371">
        <v>1</v>
      </c>
      <c r="CB1371">
        <v>0.6</v>
      </c>
      <c r="CC1371" s="3">
        <v>7.1269159999999998E-2</v>
      </c>
      <c r="CD1371">
        <v>2.875</v>
      </c>
      <c r="CE1371">
        <v>2.5</v>
      </c>
      <c r="CF1371">
        <v>18</v>
      </c>
      <c r="CG1371">
        <v>6</v>
      </c>
      <c r="CH1371">
        <v>0</v>
      </c>
      <c r="CI1371">
        <v>46.08</v>
      </c>
      <c r="CJ1371">
        <v>454.84550000000002</v>
      </c>
    </row>
    <row r="1372" spans="1:88">
      <c r="A1372">
        <v>1371</v>
      </c>
      <c r="B1372" t="s">
        <v>0</v>
      </c>
      <c r="C1372" t="s">
        <v>1</v>
      </c>
      <c r="D1372" t="s">
        <v>113</v>
      </c>
      <c r="E1372" t="s">
        <v>201</v>
      </c>
      <c r="F1372" t="s">
        <v>262</v>
      </c>
      <c r="G1372" t="s">
        <v>106</v>
      </c>
      <c r="H1372" t="s">
        <v>263</v>
      </c>
      <c r="J1372">
        <v>2</v>
      </c>
      <c r="K1372" t="s">
        <v>108</v>
      </c>
      <c r="L1372" t="s">
        <v>161</v>
      </c>
      <c r="M1372" t="s">
        <v>558</v>
      </c>
      <c r="N1372" t="s">
        <v>113</v>
      </c>
      <c r="O1372">
        <v>176</v>
      </c>
      <c r="Q1372">
        <v>812</v>
      </c>
      <c r="R1372">
        <v>109</v>
      </c>
      <c r="S1372">
        <v>4.25</v>
      </c>
      <c r="T1372">
        <v>4.6509999999999998</v>
      </c>
      <c r="U1372">
        <v>7.01</v>
      </c>
      <c r="V1372">
        <v>3449.98</v>
      </c>
      <c r="W1372">
        <v>761</v>
      </c>
      <c r="X1372">
        <v>1.3332999999999999</v>
      </c>
      <c r="Y1372">
        <v>577</v>
      </c>
      <c r="Z1372">
        <v>5.98</v>
      </c>
      <c r="AJ1372">
        <v>2</v>
      </c>
      <c r="AK1372">
        <v>18</v>
      </c>
      <c r="AM1372">
        <v>0</v>
      </c>
      <c r="AO1372" t="s">
        <v>266</v>
      </c>
      <c r="AT1372">
        <v>66</v>
      </c>
      <c r="AV1372">
        <v>62.3</v>
      </c>
      <c r="AW1372">
        <v>0.46875</v>
      </c>
      <c r="AX1372">
        <v>3.75</v>
      </c>
      <c r="AY1372">
        <v>63.875</v>
      </c>
      <c r="AZ1372">
        <v>5.625</v>
      </c>
      <c r="BA1372">
        <v>317.3</v>
      </c>
      <c r="BB1372">
        <v>6.21</v>
      </c>
      <c r="BC1372">
        <v>69</v>
      </c>
      <c r="BD1372">
        <v>0.4375</v>
      </c>
      <c r="BE1372">
        <v>3.75</v>
      </c>
      <c r="BF1372">
        <v>54.75</v>
      </c>
      <c r="BG1372">
        <v>5.25</v>
      </c>
      <c r="BH1372">
        <v>259.60000000000002</v>
      </c>
      <c r="BI1372">
        <v>6.33</v>
      </c>
      <c r="BJ1372">
        <v>55</v>
      </c>
      <c r="BL1372">
        <v>576.9</v>
      </c>
      <c r="BM1372">
        <v>124</v>
      </c>
      <c r="BN1372">
        <v>299.60000000000002</v>
      </c>
      <c r="BO1372">
        <v>1156</v>
      </c>
      <c r="BP1372">
        <v>0</v>
      </c>
      <c r="BQ1372">
        <v>60</v>
      </c>
      <c r="BR1372">
        <v>60</v>
      </c>
      <c r="BS1372">
        <v>60.34</v>
      </c>
      <c r="BT1372">
        <v>0</v>
      </c>
      <c r="BV1372">
        <v>0</v>
      </c>
      <c r="BW1372" t="s">
        <v>655</v>
      </c>
      <c r="BX1372">
        <v>0.17</v>
      </c>
      <c r="BY1372">
        <v>10.2578</v>
      </c>
      <c r="BZ1372">
        <v>0</v>
      </c>
      <c r="CA1372">
        <v>1</v>
      </c>
      <c r="CB1372">
        <v>0.6</v>
      </c>
      <c r="CC1372" s="3">
        <v>7.1269159999999998E-2</v>
      </c>
      <c r="CD1372">
        <v>2.875</v>
      </c>
      <c r="CE1372">
        <v>2.5</v>
      </c>
      <c r="CF1372">
        <v>18</v>
      </c>
      <c r="CG1372">
        <v>6</v>
      </c>
      <c r="CH1372">
        <v>0</v>
      </c>
      <c r="CI1372">
        <v>60.34</v>
      </c>
      <c r="CJ1372">
        <v>739.12800000000004</v>
      </c>
    </row>
    <row r="1373" spans="1:88">
      <c r="A1373">
        <v>1372</v>
      </c>
      <c r="B1373" t="s">
        <v>13</v>
      </c>
      <c r="C1373" t="s">
        <v>1</v>
      </c>
      <c r="D1373" t="s">
        <v>104</v>
      </c>
      <c r="E1373" t="s">
        <v>8</v>
      </c>
      <c r="F1373" t="s">
        <v>337</v>
      </c>
      <c r="G1373" t="s">
        <v>15</v>
      </c>
      <c r="H1373" t="s">
        <v>398</v>
      </c>
      <c r="J1373">
        <v>2</v>
      </c>
      <c r="K1373" t="s">
        <v>108</v>
      </c>
      <c r="L1373" t="s">
        <v>10</v>
      </c>
      <c r="M1373" t="s">
        <v>11</v>
      </c>
      <c r="N1373" t="s">
        <v>12</v>
      </c>
      <c r="O1373">
        <v>203</v>
      </c>
      <c r="Q1373">
        <v>992</v>
      </c>
      <c r="R1373">
        <v>127</v>
      </c>
      <c r="S1373">
        <v>4.25</v>
      </c>
      <c r="T1373">
        <v>5.2460000000000004</v>
      </c>
      <c r="U1373">
        <v>7.35</v>
      </c>
      <c r="V1373">
        <v>4217.57</v>
      </c>
      <c r="W1373">
        <v>930</v>
      </c>
      <c r="X1373">
        <v>1.5</v>
      </c>
      <c r="Y1373">
        <v>626</v>
      </c>
      <c r="Z1373">
        <v>6.74</v>
      </c>
      <c r="AJ1373">
        <v>2</v>
      </c>
      <c r="AK1373">
        <v>18</v>
      </c>
      <c r="AM1373">
        <v>0</v>
      </c>
      <c r="AO1373" t="s">
        <v>170</v>
      </c>
      <c r="AT1373">
        <v>76</v>
      </c>
      <c r="AV1373">
        <v>66.7</v>
      </c>
      <c r="AW1373" t="s">
        <v>6</v>
      </c>
      <c r="AX1373" t="s">
        <v>6</v>
      </c>
      <c r="AY1373" t="s">
        <v>6</v>
      </c>
      <c r="AZ1373" t="s">
        <v>6</v>
      </c>
      <c r="BA1373" t="s">
        <v>6</v>
      </c>
      <c r="BB1373" t="s">
        <v>6</v>
      </c>
      <c r="BC1373" t="s">
        <v>6</v>
      </c>
      <c r="BD1373" t="s">
        <v>6</v>
      </c>
      <c r="BE1373" t="s">
        <v>6</v>
      </c>
      <c r="BF1373" t="s">
        <v>6</v>
      </c>
      <c r="BG1373" t="s">
        <v>6</v>
      </c>
      <c r="BH1373" t="s">
        <v>6</v>
      </c>
      <c r="BI1373" t="s">
        <v>6</v>
      </c>
      <c r="BJ1373" t="s">
        <v>6</v>
      </c>
      <c r="BN1373">
        <v>568.27359999999999</v>
      </c>
      <c r="BO1373">
        <v>3387</v>
      </c>
      <c r="BP1373">
        <v>0</v>
      </c>
      <c r="BQ1373">
        <v>70</v>
      </c>
      <c r="BR1373">
        <v>70</v>
      </c>
      <c r="BS1373">
        <v>69.730009999999993</v>
      </c>
      <c r="BT1373">
        <v>0</v>
      </c>
      <c r="BV1373">
        <v>0</v>
      </c>
      <c r="BW1373" t="s">
        <v>655</v>
      </c>
      <c r="BX1373">
        <v>0.17</v>
      </c>
      <c r="BY1373">
        <v>11.854100000000001</v>
      </c>
      <c r="BZ1373">
        <v>0</v>
      </c>
      <c r="CA1373">
        <v>1</v>
      </c>
      <c r="CB1373">
        <v>0.6</v>
      </c>
      <c r="CC1373" s="3">
        <v>7.1269159999999998E-2</v>
      </c>
      <c r="CD1373">
        <v>2.875</v>
      </c>
      <c r="CE1373">
        <v>2.5</v>
      </c>
      <c r="CF1373">
        <v>18</v>
      </c>
      <c r="CG1373">
        <v>6</v>
      </c>
      <c r="CH1373">
        <v>0</v>
      </c>
      <c r="CI1373">
        <v>69.730009999999993</v>
      </c>
      <c r="CJ1373">
        <v>913.78489999999999</v>
      </c>
    </row>
    <row r="1374" spans="1:88">
      <c r="A1374">
        <v>1373</v>
      </c>
      <c r="B1374" t="s">
        <v>13</v>
      </c>
      <c r="C1374" t="s">
        <v>1</v>
      </c>
      <c r="D1374" t="s">
        <v>96</v>
      </c>
      <c r="E1374" t="s">
        <v>267</v>
      </c>
      <c r="F1374" t="s">
        <v>198</v>
      </c>
      <c r="G1374" t="s">
        <v>106</v>
      </c>
      <c r="H1374" t="s">
        <v>162</v>
      </c>
      <c r="J1374">
        <v>2</v>
      </c>
      <c r="K1374" t="s">
        <v>146</v>
      </c>
      <c r="L1374" t="s">
        <v>113</v>
      </c>
      <c r="M1374" t="s">
        <v>232</v>
      </c>
      <c r="N1374" t="s">
        <v>258</v>
      </c>
      <c r="O1374">
        <v>159</v>
      </c>
      <c r="Q1374">
        <v>533</v>
      </c>
      <c r="R1374">
        <v>81</v>
      </c>
      <c r="S1374">
        <v>4.25</v>
      </c>
      <c r="T1374">
        <v>4.26</v>
      </c>
      <c r="U1374">
        <v>6.75</v>
      </c>
      <c r="V1374">
        <v>2265.88</v>
      </c>
      <c r="W1374">
        <v>546</v>
      </c>
      <c r="X1374">
        <v>1.3332999999999999</v>
      </c>
      <c r="Y1374">
        <v>405</v>
      </c>
      <c r="Z1374">
        <v>5.59</v>
      </c>
      <c r="AJ1374">
        <v>2</v>
      </c>
      <c r="AK1374">
        <v>18</v>
      </c>
      <c r="AM1374">
        <v>0</v>
      </c>
      <c r="AO1374" t="s">
        <v>166</v>
      </c>
      <c r="AT1374">
        <v>61</v>
      </c>
      <c r="AV1374">
        <v>44.8</v>
      </c>
      <c r="AW1374">
        <v>0.46875</v>
      </c>
      <c r="AX1374">
        <v>3.75</v>
      </c>
      <c r="AY1374">
        <v>57.5</v>
      </c>
      <c r="AZ1374">
        <v>5.25</v>
      </c>
      <c r="BA1374">
        <v>352.56</v>
      </c>
      <c r="BB1374">
        <v>5.59</v>
      </c>
      <c r="BC1374">
        <v>62</v>
      </c>
      <c r="BD1374">
        <v>0.25</v>
      </c>
      <c r="BE1374">
        <v>2.75</v>
      </c>
      <c r="BF1374">
        <v>21.75</v>
      </c>
      <c r="BG1374">
        <v>2.75</v>
      </c>
      <c r="BH1374">
        <v>52.78</v>
      </c>
      <c r="BI1374">
        <v>6.5</v>
      </c>
      <c r="BJ1374">
        <v>9</v>
      </c>
      <c r="BL1374">
        <v>405.34</v>
      </c>
      <c r="BM1374">
        <v>71</v>
      </c>
      <c r="BN1374">
        <v>214</v>
      </c>
      <c r="BO1374">
        <v>2266</v>
      </c>
      <c r="BP1374">
        <v>0</v>
      </c>
      <c r="BQ1374">
        <v>54</v>
      </c>
      <c r="BR1374">
        <v>54</v>
      </c>
      <c r="BS1374">
        <v>54.43</v>
      </c>
      <c r="BT1374">
        <v>0</v>
      </c>
      <c r="BV1374">
        <v>0</v>
      </c>
      <c r="BW1374" t="s">
        <v>655</v>
      </c>
      <c r="BX1374">
        <v>0.17</v>
      </c>
      <c r="BY1374">
        <v>9.2531009999999991</v>
      </c>
      <c r="BZ1374">
        <v>0</v>
      </c>
      <c r="CA1374">
        <v>1</v>
      </c>
      <c r="CB1374">
        <v>0.6</v>
      </c>
      <c r="CC1374" s="3">
        <v>7.1269159999999998E-2</v>
      </c>
      <c r="CD1374">
        <v>2.875</v>
      </c>
      <c r="CE1374">
        <v>2.5</v>
      </c>
      <c r="CF1374">
        <v>18</v>
      </c>
      <c r="CG1374">
        <v>6</v>
      </c>
      <c r="CH1374">
        <v>0</v>
      </c>
      <c r="CI1374">
        <v>54.43</v>
      </c>
      <c r="CJ1374">
        <v>479.0788</v>
      </c>
    </row>
    <row r="1375" spans="1:88">
      <c r="A1375">
        <v>1374</v>
      </c>
      <c r="B1375" t="s">
        <v>13</v>
      </c>
      <c r="C1375" t="s">
        <v>1</v>
      </c>
      <c r="D1375" t="s">
        <v>113</v>
      </c>
      <c r="E1375" t="s">
        <v>2</v>
      </c>
      <c r="F1375" t="s">
        <v>262</v>
      </c>
      <c r="G1375" t="s">
        <v>106</v>
      </c>
      <c r="H1375" t="s">
        <v>263</v>
      </c>
      <c r="J1375">
        <v>2</v>
      </c>
      <c r="K1375" t="s">
        <v>108</v>
      </c>
      <c r="L1375" t="s">
        <v>122</v>
      </c>
      <c r="M1375" t="s">
        <v>4</v>
      </c>
      <c r="N1375" t="s">
        <v>5</v>
      </c>
      <c r="O1375">
        <v>107</v>
      </c>
      <c r="Q1375">
        <v>514</v>
      </c>
      <c r="R1375">
        <v>109</v>
      </c>
      <c r="S1375">
        <v>4.25</v>
      </c>
      <c r="T1375">
        <v>2.9710000000000001</v>
      </c>
      <c r="U1375">
        <v>6.07</v>
      </c>
      <c r="V1375">
        <v>2183.2199999999998</v>
      </c>
      <c r="W1375">
        <v>659</v>
      </c>
      <c r="X1375">
        <v>1.3332999999999999</v>
      </c>
      <c r="Y1375">
        <v>508</v>
      </c>
      <c r="Z1375">
        <v>4.3</v>
      </c>
      <c r="AJ1375">
        <v>2</v>
      </c>
      <c r="AK1375">
        <v>18</v>
      </c>
      <c r="AM1375">
        <v>0</v>
      </c>
      <c r="AO1375" t="s">
        <v>266</v>
      </c>
      <c r="AT1375">
        <v>42</v>
      </c>
      <c r="AV1375">
        <v>62.3</v>
      </c>
      <c r="AW1375">
        <v>0.46875</v>
      </c>
      <c r="AX1375">
        <v>3.75</v>
      </c>
      <c r="AY1375">
        <v>44.25</v>
      </c>
      <c r="AZ1375">
        <v>4</v>
      </c>
      <c r="BA1375">
        <v>458.33</v>
      </c>
      <c r="BB1375">
        <v>4.3</v>
      </c>
      <c r="BC1375">
        <v>48</v>
      </c>
      <c r="BD1375">
        <v>0.25</v>
      </c>
      <c r="BE1375">
        <v>2.75</v>
      </c>
      <c r="BF1375">
        <v>23.25</v>
      </c>
      <c r="BG1375">
        <v>2.125</v>
      </c>
      <c r="BH1375">
        <v>49.39</v>
      </c>
      <c r="BI1375">
        <v>6.95</v>
      </c>
      <c r="BJ1375">
        <v>10</v>
      </c>
      <c r="BL1375">
        <v>507.72</v>
      </c>
      <c r="BM1375">
        <v>57</v>
      </c>
      <c r="BN1375">
        <v>299.60000000000002</v>
      </c>
      <c r="BO1375">
        <v>1156</v>
      </c>
      <c r="BP1375">
        <v>0</v>
      </c>
      <c r="BQ1375">
        <v>36</v>
      </c>
      <c r="BR1375">
        <v>36</v>
      </c>
      <c r="BS1375">
        <v>36.340000000000003</v>
      </c>
      <c r="BT1375">
        <v>0</v>
      </c>
      <c r="BV1375">
        <v>0</v>
      </c>
      <c r="BW1375" t="s">
        <v>655</v>
      </c>
      <c r="BX1375">
        <v>0.17</v>
      </c>
      <c r="BY1375">
        <v>6.1778000000000004</v>
      </c>
      <c r="BZ1375">
        <v>0</v>
      </c>
      <c r="CA1375">
        <v>1</v>
      </c>
      <c r="CB1375">
        <v>0.6</v>
      </c>
      <c r="CC1375" s="3">
        <v>7.1269159999999998E-2</v>
      </c>
      <c r="CD1375">
        <v>2.875</v>
      </c>
      <c r="CE1375">
        <v>2.5</v>
      </c>
      <c r="CF1375">
        <v>18</v>
      </c>
      <c r="CG1375">
        <v>6</v>
      </c>
      <c r="CH1375">
        <v>0</v>
      </c>
      <c r="CI1375">
        <v>36.340000000000003</v>
      </c>
      <c r="CJ1375">
        <v>445.14269999999999</v>
      </c>
    </row>
    <row r="1376" spans="1:88">
      <c r="A1376">
        <v>1375</v>
      </c>
      <c r="B1376" t="s">
        <v>0</v>
      </c>
      <c r="C1376" t="s">
        <v>1</v>
      </c>
      <c r="D1376" t="s">
        <v>267</v>
      </c>
      <c r="E1376" t="s">
        <v>145</v>
      </c>
      <c r="F1376" t="s">
        <v>269</v>
      </c>
      <c r="G1376" t="s">
        <v>106</v>
      </c>
      <c r="H1376" t="s">
        <v>131</v>
      </c>
      <c r="J1376">
        <v>2</v>
      </c>
      <c r="K1376" t="s">
        <v>146</v>
      </c>
      <c r="L1376" t="s">
        <v>348</v>
      </c>
      <c r="M1376" t="s">
        <v>149</v>
      </c>
      <c r="N1376" t="s">
        <v>233</v>
      </c>
      <c r="O1376">
        <v>154</v>
      </c>
      <c r="Q1376">
        <v>633</v>
      </c>
      <c r="R1376">
        <v>97</v>
      </c>
      <c r="S1376">
        <v>4.25</v>
      </c>
      <c r="T1376">
        <v>4.1429999999999998</v>
      </c>
      <c r="U1376">
        <v>6.78</v>
      </c>
      <c r="V1376">
        <v>2689.61</v>
      </c>
      <c r="W1376">
        <v>657</v>
      </c>
      <c r="X1376">
        <v>1.3332999999999999</v>
      </c>
      <c r="Y1376">
        <v>492</v>
      </c>
      <c r="Z1376">
        <v>5.47</v>
      </c>
      <c r="AJ1376">
        <v>2</v>
      </c>
      <c r="AK1376">
        <v>18</v>
      </c>
      <c r="AM1376">
        <v>0</v>
      </c>
      <c r="AO1376" t="s">
        <v>271</v>
      </c>
      <c r="AT1376">
        <v>59</v>
      </c>
      <c r="AV1376">
        <v>54.9</v>
      </c>
      <c r="AW1376" t="s">
        <v>6</v>
      </c>
      <c r="AX1376" t="s">
        <v>6</v>
      </c>
      <c r="AY1376" t="s">
        <v>6</v>
      </c>
      <c r="AZ1376" t="s">
        <v>6</v>
      </c>
      <c r="BA1376" t="s">
        <v>6</v>
      </c>
      <c r="BB1376" t="s">
        <v>6</v>
      </c>
      <c r="BC1376" t="s">
        <v>6</v>
      </c>
      <c r="BD1376" t="s">
        <v>6</v>
      </c>
      <c r="BE1376" t="s">
        <v>6</v>
      </c>
      <c r="BF1376" t="s">
        <v>6</v>
      </c>
      <c r="BG1376" t="s">
        <v>6</v>
      </c>
      <c r="BH1376" t="s">
        <v>6</v>
      </c>
      <c r="BI1376" t="s">
        <v>6</v>
      </c>
      <c r="BJ1376" t="s">
        <v>6</v>
      </c>
      <c r="BN1376">
        <v>263.93340000000001</v>
      </c>
      <c r="BO1376">
        <v>1490</v>
      </c>
      <c r="BP1376">
        <v>0</v>
      </c>
      <c r="BQ1376">
        <v>53</v>
      </c>
      <c r="BR1376">
        <v>53</v>
      </c>
      <c r="BS1376">
        <v>52.69</v>
      </c>
      <c r="BT1376">
        <v>0</v>
      </c>
      <c r="BV1376">
        <v>0</v>
      </c>
      <c r="BW1376" t="s">
        <v>655</v>
      </c>
      <c r="BX1376">
        <v>0.17</v>
      </c>
      <c r="BY1376">
        <v>8.9573</v>
      </c>
      <c r="BZ1376">
        <v>0</v>
      </c>
      <c r="CA1376">
        <v>1</v>
      </c>
      <c r="CB1376">
        <v>0.6</v>
      </c>
      <c r="CC1376" s="3">
        <v>7.1269159999999998E-2</v>
      </c>
      <c r="CD1376">
        <v>2.875</v>
      </c>
      <c r="CE1376">
        <v>2.5</v>
      </c>
      <c r="CF1376">
        <v>18</v>
      </c>
      <c r="CG1376">
        <v>6</v>
      </c>
      <c r="CH1376">
        <v>0</v>
      </c>
      <c r="CI1376">
        <v>52.69</v>
      </c>
      <c r="CJ1376">
        <v>568.9085</v>
      </c>
    </row>
    <row r="1377" spans="1:88">
      <c r="A1377">
        <v>1376</v>
      </c>
      <c r="B1377" t="s">
        <v>13</v>
      </c>
      <c r="C1377" t="s">
        <v>1</v>
      </c>
      <c r="D1377" t="s">
        <v>14</v>
      </c>
      <c r="E1377" t="s">
        <v>227</v>
      </c>
      <c r="F1377" t="s">
        <v>192</v>
      </c>
      <c r="G1377" t="s">
        <v>106</v>
      </c>
      <c r="H1377" t="s">
        <v>193</v>
      </c>
      <c r="J1377">
        <v>2</v>
      </c>
      <c r="K1377" t="s">
        <v>108</v>
      </c>
      <c r="L1377" t="s">
        <v>330</v>
      </c>
      <c r="M1377" t="s">
        <v>129</v>
      </c>
      <c r="N1377" t="s">
        <v>169</v>
      </c>
      <c r="O1377">
        <v>116</v>
      </c>
      <c r="Q1377">
        <v>562</v>
      </c>
      <c r="R1377">
        <v>110</v>
      </c>
      <c r="S1377">
        <v>4.25</v>
      </c>
      <c r="T1377">
        <v>3.206</v>
      </c>
      <c r="U1377">
        <v>6.22</v>
      </c>
      <c r="V1377">
        <v>2388.92</v>
      </c>
      <c r="W1377">
        <v>686</v>
      </c>
      <c r="X1377">
        <v>1.3332999999999999</v>
      </c>
      <c r="Y1377">
        <v>527</v>
      </c>
      <c r="Z1377">
        <v>4.53</v>
      </c>
      <c r="AJ1377">
        <v>2</v>
      </c>
      <c r="AK1377">
        <v>18</v>
      </c>
      <c r="AM1377">
        <v>0</v>
      </c>
      <c r="AO1377" t="s">
        <v>196</v>
      </c>
      <c r="AT1377">
        <v>46</v>
      </c>
      <c r="AV1377">
        <v>63.4</v>
      </c>
      <c r="AW1377">
        <v>0.46875</v>
      </c>
      <c r="AX1377">
        <v>3.75</v>
      </c>
      <c r="AY1377">
        <v>46.625</v>
      </c>
      <c r="AZ1377">
        <v>4.25</v>
      </c>
      <c r="BA1377">
        <v>435.06</v>
      </c>
      <c r="BB1377">
        <v>4.53</v>
      </c>
      <c r="BC1377">
        <v>50</v>
      </c>
      <c r="BD1377">
        <v>0.3125</v>
      </c>
      <c r="BE1377">
        <v>2.75</v>
      </c>
      <c r="BF1377">
        <v>39</v>
      </c>
      <c r="BG1377">
        <v>2.875</v>
      </c>
      <c r="BH1377">
        <v>92.28</v>
      </c>
      <c r="BI1377">
        <v>6.92</v>
      </c>
      <c r="BJ1377">
        <v>21</v>
      </c>
      <c r="BL1377">
        <v>527.34</v>
      </c>
      <c r="BM1377">
        <v>70</v>
      </c>
      <c r="BN1377">
        <v>304.95010000000002</v>
      </c>
      <c r="BO1377">
        <v>1116</v>
      </c>
      <c r="BP1377">
        <v>0</v>
      </c>
      <c r="BQ1377">
        <v>39</v>
      </c>
      <c r="BR1377">
        <v>39</v>
      </c>
      <c r="BS1377">
        <v>39.47</v>
      </c>
      <c r="BT1377">
        <v>0</v>
      </c>
      <c r="BV1377">
        <v>0</v>
      </c>
      <c r="BW1377" t="s">
        <v>655</v>
      </c>
      <c r="BX1377">
        <v>0.17</v>
      </c>
      <c r="BY1377">
        <v>6.7099010000000003</v>
      </c>
      <c r="BZ1377">
        <v>0</v>
      </c>
      <c r="CA1377">
        <v>1</v>
      </c>
      <c r="CB1377">
        <v>0.6</v>
      </c>
      <c r="CC1377" s="3">
        <v>7.1269159999999998E-2</v>
      </c>
      <c r="CD1377">
        <v>2.875</v>
      </c>
      <c r="CE1377">
        <v>2.5</v>
      </c>
      <c r="CF1377">
        <v>18</v>
      </c>
      <c r="CG1377">
        <v>6</v>
      </c>
      <c r="CH1377">
        <v>0</v>
      </c>
      <c r="CI1377">
        <v>39.47</v>
      </c>
      <c r="CJ1377">
        <v>491.92230000000001</v>
      </c>
    </row>
    <row r="1378" spans="1:88">
      <c r="A1378">
        <v>1377</v>
      </c>
      <c r="B1378" t="s">
        <v>13</v>
      </c>
      <c r="C1378" t="s">
        <v>1</v>
      </c>
      <c r="D1378" t="s">
        <v>314</v>
      </c>
      <c r="E1378" t="s">
        <v>340</v>
      </c>
      <c r="F1378" t="s">
        <v>479</v>
      </c>
      <c r="G1378" t="s">
        <v>106</v>
      </c>
      <c r="H1378" t="s">
        <v>594</v>
      </c>
      <c r="J1378">
        <v>2</v>
      </c>
      <c r="K1378" t="s">
        <v>108</v>
      </c>
      <c r="L1378" t="s">
        <v>131</v>
      </c>
      <c r="M1378" t="s">
        <v>359</v>
      </c>
      <c r="N1378" t="s">
        <v>259</v>
      </c>
      <c r="O1378">
        <v>138</v>
      </c>
      <c r="Q1378">
        <v>592</v>
      </c>
      <c r="R1378">
        <v>100</v>
      </c>
      <c r="S1378">
        <v>4.25</v>
      </c>
      <c r="T1378">
        <v>3.758</v>
      </c>
      <c r="U1378">
        <v>6.48</v>
      </c>
      <c r="V1378">
        <v>2515.4899999999998</v>
      </c>
      <c r="W1378">
        <v>648</v>
      </c>
      <c r="X1378">
        <v>1.3332999999999999</v>
      </c>
      <c r="Y1378">
        <v>494</v>
      </c>
      <c r="Z1378">
        <v>5.09</v>
      </c>
      <c r="AJ1378">
        <v>2</v>
      </c>
      <c r="AK1378">
        <v>18</v>
      </c>
      <c r="AM1378">
        <v>0</v>
      </c>
      <c r="AO1378" t="s">
        <v>571</v>
      </c>
      <c r="AT1378">
        <v>53</v>
      </c>
      <c r="AV1378">
        <v>56.9</v>
      </c>
      <c r="AW1378">
        <v>0.46875</v>
      </c>
      <c r="AX1378">
        <v>3.75</v>
      </c>
      <c r="AY1378">
        <v>52.375</v>
      </c>
      <c r="AZ1378">
        <v>4.75</v>
      </c>
      <c r="BA1378">
        <v>387.19</v>
      </c>
      <c r="BB1378">
        <v>5.09</v>
      </c>
      <c r="BC1378">
        <v>56</v>
      </c>
      <c r="BD1378">
        <v>0.3125</v>
      </c>
      <c r="BE1378">
        <v>2.75</v>
      </c>
      <c r="BF1378">
        <v>33.625</v>
      </c>
      <c r="BG1378">
        <v>3.125</v>
      </c>
      <c r="BH1378">
        <v>107.01</v>
      </c>
      <c r="BI1378">
        <v>5.97</v>
      </c>
      <c r="BJ1378">
        <v>18</v>
      </c>
      <c r="BL1378">
        <v>494.2</v>
      </c>
      <c r="BM1378">
        <v>74</v>
      </c>
      <c r="BN1378">
        <v>272.85000000000002</v>
      </c>
      <c r="BO1378">
        <v>1394</v>
      </c>
      <c r="BP1378">
        <v>0</v>
      </c>
      <c r="BQ1378">
        <v>47</v>
      </c>
      <c r="BR1378">
        <v>47</v>
      </c>
      <c r="BS1378">
        <v>47.13</v>
      </c>
      <c r="BT1378">
        <v>0</v>
      </c>
      <c r="BV1378">
        <v>0</v>
      </c>
      <c r="BW1378" t="s">
        <v>655</v>
      </c>
      <c r="BX1378">
        <v>0.17</v>
      </c>
      <c r="BY1378">
        <v>8.0121000000000002</v>
      </c>
      <c r="BZ1378">
        <v>0</v>
      </c>
      <c r="CA1378">
        <v>1</v>
      </c>
      <c r="CB1378">
        <v>0.6</v>
      </c>
      <c r="CC1378" s="3">
        <v>7.1269159999999998E-2</v>
      </c>
      <c r="CD1378">
        <v>2.875</v>
      </c>
      <c r="CE1378">
        <v>2.5</v>
      </c>
      <c r="CF1378">
        <v>18</v>
      </c>
      <c r="CG1378">
        <v>6</v>
      </c>
      <c r="CH1378">
        <v>0</v>
      </c>
      <c r="CI1378">
        <v>47.13</v>
      </c>
      <c r="CJ1378">
        <v>526.92989999999998</v>
      </c>
    </row>
    <row r="1379" spans="1:88">
      <c r="A1379">
        <v>1378</v>
      </c>
      <c r="B1379" t="s">
        <v>13</v>
      </c>
      <c r="C1379" t="s">
        <v>1</v>
      </c>
      <c r="D1379" t="s">
        <v>143</v>
      </c>
      <c r="E1379" t="s">
        <v>139</v>
      </c>
      <c r="F1379" t="s">
        <v>144</v>
      </c>
      <c r="G1379" t="s">
        <v>106</v>
      </c>
      <c r="H1379" t="s">
        <v>145</v>
      </c>
      <c r="J1379">
        <v>2</v>
      </c>
      <c r="K1379" t="s">
        <v>146</v>
      </c>
      <c r="L1379" t="s">
        <v>158</v>
      </c>
      <c r="M1379" t="s">
        <v>385</v>
      </c>
      <c r="N1379" t="s">
        <v>177</v>
      </c>
      <c r="O1379">
        <v>109</v>
      </c>
      <c r="Q1379">
        <v>449</v>
      </c>
      <c r="R1379">
        <v>95</v>
      </c>
      <c r="S1379">
        <v>4.25</v>
      </c>
      <c r="T1379">
        <v>3.024</v>
      </c>
      <c r="U1379">
        <v>6.11</v>
      </c>
      <c r="V1379">
        <v>1909.1</v>
      </c>
      <c r="W1379">
        <v>578</v>
      </c>
      <c r="X1379">
        <v>1.3332999999999999</v>
      </c>
      <c r="Y1379">
        <v>439</v>
      </c>
      <c r="Z1379">
        <v>4.3499999999999996</v>
      </c>
      <c r="AJ1379">
        <v>2</v>
      </c>
      <c r="AK1379">
        <v>18</v>
      </c>
      <c r="AM1379">
        <v>0</v>
      </c>
      <c r="AO1379" t="s">
        <v>149</v>
      </c>
      <c r="AT1379">
        <v>43</v>
      </c>
      <c r="AV1379">
        <v>53.5</v>
      </c>
      <c r="AW1379">
        <v>0</v>
      </c>
      <c r="AX1379">
        <v>0</v>
      </c>
      <c r="AY1379">
        <v>46.25</v>
      </c>
      <c r="AZ1379">
        <v>4.125</v>
      </c>
      <c r="BA1379">
        <v>0</v>
      </c>
      <c r="BB1379">
        <v>0</v>
      </c>
      <c r="BC1379">
        <v>50</v>
      </c>
      <c r="BN1379">
        <v>256.80009999999999</v>
      </c>
      <c r="BO1379">
        <v>1574</v>
      </c>
      <c r="BP1379">
        <v>0</v>
      </c>
      <c r="BQ1379">
        <v>37</v>
      </c>
      <c r="BR1379">
        <v>37</v>
      </c>
      <c r="BS1379">
        <v>37.04</v>
      </c>
      <c r="BT1379">
        <v>0</v>
      </c>
      <c r="BV1379">
        <v>0</v>
      </c>
      <c r="BW1379" t="s">
        <v>655</v>
      </c>
      <c r="BX1379">
        <v>0.17</v>
      </c>
      <c r="BY1379">
        <v>6.2968000000000002</v>
      </c>
      <c r="BZ1379">
        <v>0</v>
      </c>
      <c r="CA1379">
        <v>1</v>
      </c>
      <c r="CB1379">
        <v>0.6</v>
      </c>
      <c r="CC1379" s="3">
        <v>7.1269159999999998E-2</v>
      </c>
      <c r="CD1379">
        <v>2.875</v>
      </c>
      <c r="CE1379">
        <v>2.5</v>
      </c>
      <c r="CF1379">
        <v>18</v>
      </c>
      <c r="CG1379">
        <v>6</v>
      </c>
      <c r="CH1379">
        <v>0</v>
      </c>
      <c r="CI1379">
        <v>37.04</v>
      </c>
      <c r="CJ1379">
        <v>389.37189999999998</v>
      </c>
    </row>
    <row r="1380" spans="1:88">
      <c r="A1380">
        <v>1379</v>
      </c>
      <c r="B1380" t="s">
        <v>0</v>
      </c>
      <c r="C1380" t="s">
        <v>1</v>
      </c>
      <c r="D1380" t="s">
        <v>217</v>
      </c>
      <c r="E1380" t="s">
        <v>2</v>
      </c>
      <c r="F1380" t="s">
        <v>4</v>
      </c>
      <c r="G1380" t="s">
        <v>106</v>
      </c>
      <c r="H1380" t="s">
        <v>231</v>
      </c>
      <c r="J1380">
        <v>2</v>
      </c>
      <c r="K1380" t="s">
        <v>146</v>
      </c>
      <c r="L1380" t="s">
        <v>122</v>
      </c>
      <c r="M1380" t="s">
        <v>4</v>
      </c>
      <c r="N1380" t="s">
        <v>5</v>
      </c>
      <c r="O1380">
        <v>107</v>
      </c>
      <c r="Q1380">
        <v>297</v>
      </c>
      <c r="R1380">
        <v>67</v>
      </c>
      <c r="S1380">
        <v>4.25</v>
      </c>
      <c r="T1380">
        <v>2.9710000000000001</v>
      </c>
      <c r="U1380">
        <v>6.07</v>
      </c>
      <c r="V1380">
        <v>1262.3699999999999</v>
      </c>
      <c r="W1380">
        <v>404</v>
      </c>
      <c r="X1380">
        <v>1.3332999999999999</v>
      </c>
      <c r="Y1380">
        <v>294</v>
      </c>
      <c r="Z1380">
        <v>4.3</v>
      </c>
      <c r="AJ1380">
        <v>2</v>
      </c>
      <c r="AK1380">
        <v>18</v>
      </c>
      <c r="AM1380">
        <v>0</v>
      </c>
      <c r="AO1380" t="s">
        <v>405</v>
      </c>
      <c r="AT1380">
        <v>42</v>
      </c>
      <c r="AV1380">
        <v>35.700000000000003</v>
      </c>
      <c r="AW1380">
        <v>0</v>
      </c>
      <c r="AX1380">
        <v>0</v>
      </c>
      <c r="AY1380">
        <v>33.125</v>
      </c>
      <c r="AZ1380">
        <v>3.5</v>
      </c>
      <c r="BA1380">
        <v>0</v>
      </c>
      <c r="BB1380">
        <v>0</v>
      </c>
      <c r="BC1380">
        <v>31</v>
      </c>
      <c r="BN1380">
        <v>169.41669999999999</v>
      </c>
      <c r="BO1380">
        <v>3615</v>
      </c>
      <c r="BP1380">
        <v>0</v>
      </c>
      <c r="BQ1380">
        <v>36</v>
      </c>
      <c r="BR1380">
        <v>36</v>
      </c>
      <c r="BS1380">
        <v>36.340000000000003</v>
      </c>
      <c r="BT1380">
        <v>0</v>
      </c>
      <c r="BV1380">
        <v>0</v>
      </c>
      <c r="BW1380" t="s">
        <v>655</v>
      </c>
      <c r="BX1380">
        <v>0.17</v>
      </c>
      <c r="BY1380">
        <v>6.1778000000000004</v>
      </c>
      <c r="BZ1380">
        <v>0</v>
      </c>
      <c r="CA1380">
        <v>1</v>
      </c>
      <c r="CB1380">
        <v>0.6</v>
      </c>
      <c r="CC1380" s="3">
        <v>7.1269159999999998E-2</v>
      </c>
      <c r="CD1380">
        <v>2.875</v>
      </c>
      <c r="CE1380">
        <v>2.5</v>
      </c>
      <c r="CF1380">
        <v>18</v>
      </c>
      <c r="CG1380">
        <v>6</v>
      </c>
      <c r="CH1380">
        <v>0</v>
      </c>
      <c r="CI1380">
        <v>36.340000000000003</v>
      </c>
      <c r="CJ1380">
        <v>255.10720000000001</v>
      </c>
    </row>
    <row r="1381" spans="1:88">
      <c r="A1381">
        <v>1380</v>
      </c>
      <c r="B1381" t="s">
        <v>0</v>
      </c>
      <c r="C1381" t="s">
        <v>1</v>
      </c>
      <c r="D1381" t="s">
        <v>328</v>
      </c>
      <c r="E1381" t="s">
        <v>2</v>
      </c>
      <c r="F1381" t="s">
        <v>329</v>
      </c>
      <c r="G1381" t="s">
        <v>15</v>
      </c>
      <c r="H1381" t="s">
        <v>328</v>
      </c>
      <c r="J1381">
        <v>2</v>
      </c>
      <c r="K1381" t="s">
        <v>9</v>
      </c>
      <c r="L1381" t="s">
        <v>122</v>
      </c>
      <c r="M1381" t="s">
        <v>4</v>
      </c>
      <c r="N1381" t="s">
        <v>5</v>
      </c>
      <c r="O1381">
        <v>107</v>
      </c>
      <c r="Q1381">
        <v>730</v>
      </c>
      <c r="R1381">
        <v>154</v>
      </c>
      <c r="S1381">
        <v>4.25</v>
      </c>
      <c r="T1381">
        <v>2.9710000000000001</v>
      </c>
      <c r="U1381">
        <v>6.07</v>
      </c>
      <c r="V1381">
        <v>3103.69</v>
      </c>
      <c r="W1381">
        <v>934</v>
      </c>
      <c r="X1381">
        <v>1.3332999999999999</v>
      </c>
      <c r="Y1381">
        <v>722</v>
      </c>
      <c r="Z1381">
        <v>4.3</v>
      </c>
      <c r="AJ1381">
        <v>2</v>
      </c>
      <c r="AK1381">
        <v>18</v>
      </c>
      <c r="AM1381">
        <v>0</v>
      </c>
      <c r="AO1381" t="s">
        <v>331</v>
      </c>
      <c r="AT1381">
        <v>42</v>
      </c>
      <c r="AV1381">
        <v>88.5</v>
      </c>
      <c r="AW1381" t="s">
        <v>6</v>
      </c>
      <c r="AX1381" t="s">
        <v>6</v>
      </c>
      <c r="AY1381" t="s">
        <v>6</v>
      </c>
      <c r="AZ1381" t="s">
        <v>6</v>
      </c>
      <c r="BA1381" t="s">
        <v>6</v>
      </c>
      <c r="BB1381" t="s">
        <v>6</v>
      </c>
      <c r="BC1381" t="s">
        <v>6</v>
      </c>
      <c r="BD1381" t="s">
        <v>6</v>
      </c>
      <c r="BE1381" t="s">
        <v>6</v>
      </c>
      <c r="BF1381" t="s">
        <v>6</v>
      </c>
      <c r="BG1381" t="s">
        <v>6</v>
      </c>
      <c r="BH1381" t="s">
        <v>6</v>
      </c>
      <c r="BI1381" t="s">
        <v>6</v>
      </c>
      <c r="BJ1381" t="s">
        <v>6</v>
      </c>
      <c r="BN1381">
        <v>757.69809999999995</v>
      </c>
      <c r="BO1381">
        <v>1905</v>
      </c>
      <c r="BP1381">
        <v>0</v>
      </c>
      <c r="BQ1381">
        <v>36</v>
      </c>
      <c r="BR1381">
        <v>36</v>
      </c>
      <c r="BS1381">
        <v>36.340000000000003</v>
      </c>
      <c r="BT1381">
        <v>0</v>
      </c>
      <c r="BV1381">
        <v>6</v>
      </c>
      <c r="BW1381" t="s">
        <v>655</v>
      </c>
      <c r="BX1381">
        <v>0.27933340000000001</v>
      </c>
      <c r="BY1381">
        <v>10.150969999999999</v>
      </c>
      <c r="BZ1381">
        <v>0</v>
      </c>
      <c r="CA1381">
        <v>1</v>
      </c>
      <c r="CB1381">
        <v>0.6</v>
      </c>
      <c r="CC1381" s="3">
        <v>7.1269159999999998E-2</v>
      </c>
      <c r="CD1381">
        <v>2.875</v>
      </c>
      <c r="CE1381">
        <v>2.5</v>
      </c>
      <c r="CF1381">
        <v>18</v>
      </c>
      <c r="CG1381">
        <v>6</v>
      </c>
      <c r="CH1381">
        <v>0</v>
      </c>
      <c r="CI1381">
        <v>36.340000000000003</v>
      </c>
      <c r="CJ1381">
        <v>631.61710000000005</v>
      </c>
    </row>
    <row r="1382" spans="1:88">
      <c r="A1382">
        <v>1381</v>
      </c>
      <c r="B1382" t="s">
        <v>0</v>
      </c>
      <c r="C1382" t="s">
        <v>1</v>
      </c>
      <c r="D1382" t="s">
        <v>136</v>
      </c>
      <c r="E1382" t="s">
        <v>228</v>
      </c>
      <c r="F1382" t="s">
        <v>407</v>
      </c>
      <c r="G1382" t="s">
        <v>106</v>
      </c>
      <c r="H1382" t="s">
        <v>375</v>
      </c>
      <c r="J1382">
        <v>2</v>
      </c>
      <c r="K1382" t="s">
        <v>146</v>
      </c>
      <c r="L1382" t="s">
        <v>174</v>
      </c>
      <c r="M1382" t="s">
        <v>230</v>
      </c>
      <c r="N1382" t="s">
        <v>231</v>
      </c>
      <c r="O1382">
        <v>102</v>
      </c>
      <c r="Q1382">
        <v>242</v>
      </c>
      <c r="R1382">
        <v>53</v>
      </c>
      <c r="S1382">
        <v>4.25</v>
      </c>
      <c r="T1382">
        <v>2.8380000000000001</v>
      </c>
      <c r="U1382">
        <v>5.96</v>
      </c>
      <c r="V1382">
        <v>1028.8399999999999</v>
      </c>
      <c r="W1382">
        <v>315</v>
      </c>
      <c r="X1382">
        <v>1.3332999999999999</v>
      </c>
      <c r="Y1382">
        <v>247</v>
      </c>
      <c r="Z1382">
        <v>4.17</v>
      </c>
      <c r="AJ1382">
        <v>2</v>
      </c>
      <c r="AK1382">
        <v>18</v>
      </c>
      <c r="AM1382">
        <v>0</v>
      </c>
      <c r="AO1382" t="s">
        <v>484</v>
      </c>
      <c r="AT1382">
        <v>41</v>
      </c>
      <c r="AV1382">
        <v>30.3</v>
      </c>
      <c r="AW1382">
        <v>0</v>
      </c>
      <c r="AX1382">
        <v>0</v>
      </c>
      <c r="AY1382">
        <v>26.25</v>
      </c>
      <c r="AZ1382">
        <v>3.125</v>
      </c>
      <c r="BA1382">
        <v>0</v>
      </c>
      <c r="BB1382">
        <v>0</v>
      </c>
      <c r="BC1382">
        <v>23</v>
      </c>
      <c r="BN1382">
        <v>142.66669999999999</v>
      </c>
      <c r="BO1382">
        <v>5098</v>
      </c>
      <c r="BP1382">
        <v>0</v>
      </c>
      <c r="BQ1382">
        <v>35</v>
      </c>
      <c r="BR1382">
        <v>35</v>
      </c>
      <c r="BS1382">
        <v>34.6</v>
      </c>
      <c r="BT1382">
        <v>0</v>
      </c>
      <c r="BV1382">
        <v>0</v>
      </c>
      <c r="BW1382" t="s">
        <v>655</v>
      </c>
      <c r="BX1382">
        <v>0.17</v>
      </c>
      <c r="BY1382">
        <v>5.8819999999999997</v>
      </c>
      <c r="BZ1382">
        <v>0</v>
      </c>
      <c r="CA1382">
        <v>1</v>
      </c>
      <c r="CB1382">
        <v>0.6</v>
      </c>
      <c r="CC1382" s="3">
        <v>7.1269159999999998E-2</v>
      </c>
      <c r="CD1382">
        <v>2.875</v>
      </c>
      <c r="CE1382">
        <v>2.5</v>
      </c>
      <c r="CF1382">
        <v>18</v>
      </c>
      <c r="CG1382">
        <v>6</v>
      </c>
      <c r="CH1382">
        <v>0</v>
      </c>
      <c r="CI1382">
        <v>34.6</v>
      </c>
      <c r="CJ1382">
        <v>205.90369999999999</v>
      </c>
    </row>
    <row r="1383" spans="1:88">
      <c r="A1383">
        <v>1382</v>
      </c>
      <c r="B1383" t="s">
        <v>0</v>
      </c>
      <c r="C1383" t="s">
        <v>1</v>
      </c>
      <c r="D1383" t="s">
        <v>224</v>
      </c>
      <c r="E1383" t="s">
        <v>219</v>
      </c>
      <c r="F1383" t="s">
        <v>355</v>
      </c>
      <c r="G1383" t="s">
        <v>106</v>
      </c>
      <c r="H1383" t="s">
        <v>356</v>
      </c>
      <c r="J1383">
        <v>2</v>
      </c>
      <c r="K1383" t="s">
        <v>146</v>
      </c>
      <c r="L1383" t="s">
        <v>369</v>
      </c>
      <c r="M1383" t="s">
        <v>220</v>
      </c>
      <c r="N1383" t="s">
        <v>221</v>
      </c>
      <c r="O1383">
        <v>101</v>
      </c>
      <c r="Q1383">
        <v>206</v>
      </c>
      <c r="R1383">
        <v>46</v>
      </c>
      <c r="S1383">
        <v>4.25</v>
      </c>
      <c r="T1383">
        <v>2.8119999999999998</v>
      </c>
      <c r="U1383">
        <v>5.92</v>
      </c>
      <c r="V1383">
        <v>876.98</v>
      </c>
      <c r="W1383">
        <v>272</v>
      </c>
      <c r="X1383">
        <v>1.3332999999999999</v>
      </c>
      <c r="Y1383">
        <v>212</v>
      </c>
      <c r="Z1383">
        <v>4.1399999999999997</v>
      </c>
      <c r="AJ1383">
        <v>2</v>
      </c>
      <c r="AK1383">
        <v>18</v>
      </c>
      <c r="AM1383">
        <v>0</v>
      </c>
      <c r="AO1383" t="s">
        <v>333</v>
      </c>
      <c r="AT1383">
        <v>40</v>
      </c>
      <c r="AV1383">
        <v>25.9</v>
      </c>
      <c r="AW1383">
        <v>0</v>
      </c>
      <c r="AX1383">
        <v>0</v>
      </c>
      <c r="AY1383">
        <v>30.5</v>
      </c>
      <c r="AZ1383">
        <v>3.125</v>
      </c>
      <c r="BA1383">
        <v>0</v>
      </c>
      <c r="BB1383">
        <v>0</v>
      </c>
      <c r="BC1383">
        <v>27</v>
      </c>
      <c r="BN1383">
        <v>121.2667</v>
      </c>
      <c r="BO1383">
        <v>7056</v>
      </c>
      <c r="BP1383">
        <v>0</v>
      </c>
      <c r="BQ1383">
        <v>34</v>
      </c>
      <c r="BR1383">
        <v>34</v>
      </c>
      <c r="BS1383">
        <v>34.26</v>
      </c>
      <c r="BT1383">
        <v>0</v>
      </c>
      <c r="BV1383">
        <v>0</v>
      </c>
      <c r="BW1383" t="s">
        <v>655</v>
      </c>
      <c r="BX1383">
        <v>0.17</v>
      </c>
      <c r="BY1383">
        <v>5.8242000000000003</v>
      </c>
      <c r="BZ1383">
        <v>0</v>
      </c>
      <c r="CA1383">
        <v>1</v>
      </c>
      <c r="CB1383">
        <v>0.6</v>
      </c>
      <c r="CC1383" s="3">
        <v>7.1269159999999998E-2</v>
      </c>
      <c r="CD1383">
        <v>2.875</v>
      </c>
      <c r="CE1383">
        <v>2.5</v>
      </c>
      <c r="CF1383">
        <v>18</v>
      </c>
      <c r="CG1383">
        <v>6</v>
      </c>
      <c r="CH1383">
        <v>0</v>
      </c>
      <c r="CI1383">
        <v>34.26</v>
      </c>
      <c r="CJ1383">
        <v>174.58019999999999</v>
      </c>
    </row>
    <row r="1384" spans="1:88">
      <c r="A1384">
        <v>1383</v>
      </c>
      <c r="B1384" t="s">
        <v>13</v>
      </c>
      <c r="C1384" t="s">
        <v>1</v>
      </c>
      <c r="D1384" t="s">
        <v>212</v>
      </c>
      <c r="E1384" t="s">
        <v>143</v>
      </c>
      <c r="F1384" t="s">
        <v>213</v>
      </c>
      <c r="G1384" t="s">
        <v>214</v>
      </c>
      <c r="H1384" t="s">
        <v>215</v>
      </c>
      <c r="J1384">
        <v>2</v>
      </c>
      <c r="K1384" t="s">
        <v>108</v>
      </c>
      <c r="L1384" t="s">
        <v>297</v>
      </c>
      <c r="M1384" t="s">
        <v>206</v>
      </c>
      <c r="N1384" t="s">
        <v>131</v>
      </c>
      <c r="O1384">
        <v>155</v>
      </c>
      <c r="Q1384">
        <v>787</v>
      </c>
      <c r="R1384">
        <v>119</v>
      </c>
      <c r="S1384">
        <v>4.25</v>
      </c>
      <c r="T1384">
        <v>4.1660000000000004</v>
      </c>
      <c r="U1384">
        <v>6.78</v>
      </c>
      <c r="V1384">
        <v>3346.4</v>
      </c>
      <c r="W1384">
        <v>804</v>
      </c>
      <c r="X1384">
        <v>1.3332999999999999</v>
      </c>
      <c r="Y1384">
        <v>610</v>
      </c>
      <c r="Z1384">
        <v>5.49</v>
      </c>
      <c r="AJ1384">
        <v>2</v>
      </c>
      <c r="AK1384">
        <v>18</v>
      </c>
      <c r="AM1384">
        <v>0</v>
      </c>
      <c r="AO1384" t="s">
        <v>216</v>
      </c>
      <c r="AT1384">
        <v>59</v>
      </c>
      <c r="AV1384">
        <v>68.099999999999994</v>
      </c>
      <c r="AW1384" t="s">
        <v>6</v>
      </c>
      <c r="AX1384" t="s">
        <v>6</v>
      </c>
      <c r="AY1384" t="s">
        <v>6</v>
      </c>
      <c r="AZ1384" t="s">
        <v>6</v>
      </c>
      <c r="BA1384" t="s">
        <v>6</v>
      </c>
      <c r="BB1384" t="s">
        <v>6</v>
      </c>
      <c r="BC1384" t="s">
        <v>6</v>
      </c>
      <c r="BD1384" t="s">
        <v>6</v>
      </c>
      <c r="BE1384" t="s">
        <v>6</v>
      </c>
      <c r="BF1384" t="s">
        <v>6</v>
      </c>
      <c r="BG1384" t="s">
        <v>6</v>
      </c>
      <c r="BH1384" t="s">
        <v>6</v>
      </c>
      <c r="BI1384" t="s">
        <v>6</v>
      </c>
      <c r="BJ1384" t="s">
        <v>6</v>
      </c>
      <c r="BN1384">
        <v>330.89330000000001</v>
      </c>
      <c r="BO1384">
        <v>1189</v>
      </c>
      <c r="BP1384">
        <v>0</v>
      </c>
      <c r="BQ1384">
        <v>53</v>
      </c>
      <c r="BR1384">
        <v>53</v>
      </c>
      <c r="BS1384">
        <v>53.04</v>
      </c>
      <c r="BT1384">
        <v>0</v>
      </c>
      <c r="BV1384">
        <v>0</v>
      </c>
      <c r="BW1384" t="s">
        <v>655</v>
      </c>
      <c r="BX1384">
        <v>0.17</v>
      </c>
      <c r="BY1384">
        <v>9.0167999999999999</v>
      </c>
      <c r="BZ1384">
        <v>0</v>
      </c>
      <c r="CA1384">
        <v>1</v>
      </c>
      <c r="CB1384">
        <v>0.6</v>
      </c>
      <c r="CC1384" s="3">
        <v>7.1269159999999998E-2</v>
      </c>
      <c r="CD1384">
        <v>2.875</v>
      </c>
      <c r="CE1384">
        <v>2.5</v>
      </c>
      <c r="CF1384">
        <v>18</v>
      </c>
      <c r="CG1384">
        <v>6</v>
      </c>
      <c r="CH1384">
        <v>0</v>
      </c>
      <c r="CI1384">
        <v>53.04</v>
      </c>
      <c r="CJ1384">
        <v>710.1893</v>
      </c>
    </row>
    <row r="1385" spans="1:88">
      <c r="A1385">
        <v>1384</v>
      </c>
      <c r="B1385" t="s">
        <v>0</v>
      </c>
      <c r="C1385" t="s">
        <v>1</v>
      </c>
      <c r="D1385" t="s">
        <v>96</v>
      </c>
      <c r="E1385" t="s">
        <v>96</v>
      </c>
      <c r="F1385" t="s">
        <v>198</v>
      </c>
      <c r="G1385" t="s">
        <v>106</v>
      </c>
      <c r="H1385" t="s">
        <v>162</v>
      </c>
      <c r="J1385">
        <v>2</v>
      </c>
      <c r="K1385" t="s">
        <v>146</v>
      </c>
      <c r="L1385" t="s">
        <v>293</v>
      </c>
      <c r="M1385" t="s">
        <v>100</v>
      </c>
      <c r="N1385" t="s">
        <v>101</v>
      </c>
      <c r="O1385">
        <v>131</v>
      </c>
      <c r="Q1385">
        <v>446</v>
      </c>
      <c r="R1385">
        <v>81</v>
      </c>
      <c r="S1385">
        <v>4.25</v>
      </c>
      <c r="T1385">
        <v>3.5859999999999999</v>
      </c>
      <c r="U1385">
        <v>6.37</v>
      </c>
      <c r="V1385">
        <v>1894.48</v>
      </c>
      <c r="W1385">
        <v>515</v>
      </c>
      <c r="X1385">
        <v>1.3332999999999999</v>
      </c>
      <c r="Y1385">
        <v>386</v>
      </c>
      <c r="Z1385">
        <v>4.91</v>
      </c>
      <c r="AJ1385">
        <v>2</v>
      </c>
      <c r="AK1385">
        <v>18</v>
      </c>
      <c r="AM1385">
        <v>0</v>
      </c>
      <c r="AO1385" t="s">
        <v>166</v>
      </c>
      <c r="AT1385">
        <v>51</v>
      </c>
      <c r="AV1385">
        <v>44.8</v>
      </c>
      <c r="AW1385">
        <v>0</v>
      </c>
      <c r="AX1385">
        <v>0</v>
      </c>
      <c r="AY1385">
        <v>52.5</v>
      </c>
      <c r="AZ1385">
        <v>4.625</v>
      </c>
      <c r="BA1385">
        <v>0</v>
      </c>
      <c r="BB1385">
        <v>0</v>
      </c>
      <c r="BC1385">
        <v>56</v>
      </c>
      <c r="BN1385">
        <v>214</v>
      </c>
      <c r="BO1385">
        <v>2266</v>
      </c>
      <c r="BP1385">
        <v>0</v>
      </c>
      <c r="BQ1385">
        <v>45</v>
      </c>
      <c r="BR1385">
        <v>45</v>
      </c>
      <c r="BS1385">
        <v>44.69</v>
      </c>
      <c r="BT1385">
        <v>0</v>
      </c>
      <c r="BV1385">
        <v>0</v>
      </c>
      <c r="BW1385" t="s">
        <v>655</v>
      </c>
      <c r="BX1385">
        <v>0.17</v>
      </c>
      <c r="BY1385">
        <v>7.5972999999999997</v>
      </c>
      <c r="BZ1385">
        <v>0</v>
      </c>
      <c r="CA1385">
        <v>1</v>
      </c>
      <c r="CB1385">
        <v>0.6</v>
      </c>
      <c r="CC1385" s="3">
        <v>7.1269159999999998E-2</v>
      </c>
      <c r="CD1385">
        <v>2.875</v>
      </c>
      <c r="CE1385">
        <v>2.5</v>
      </c>
      <c r="CF1385">
        <v>18</v>
      </c>
      <c r="CG1385">
        <v>6</v>
      </c>
      <c r="CH1385">
        <v>0</v>
      </c>
      <c r="CI1385">
        <v>44.69</v>
      </c>
      <c r="CJ1385">
        <v>393.34980000000002</v>
      </c>
    </row>
    <row r="1386" spans="1:88">
      <c r="A1386">
        <v>1385</v>
      </c>
      <c r="B1386" t="s">
        <v>0</v>
      </c>
      <c r="C1386" t="s">
        <v>1</v>
      </c>
      <c r="D1386" t="s">
        <v>293</v>
      </c>
      <c r="E1386" t="s">
        <v>143</v>
      </c>
      <c r="F1386" t="s">
        <v>294</v>
      </c>
      <c r="G1386" t="s">
        <v>106</v>
      </c>
      <c r="H1386" t="s">
        <v>295</v>
      </c>
      <c r="J1386">
        <v>2</v>
      </c>
      <c r="K1386" t="s">
        <v>146</v>
      </c>
      <c r="L1386" t="s">
        <v>297</v>
      </c>
      <c r="M1386" t="s">
        <v>206</v>
      </c>
      <c r="N1386" t="s">
        <v>131</v>
      </c>
      <c r="O1386">
        <v>155</v>
      </c>
      <c r="Q1386">
        <v>604</v>
      </c>
      <c r="R1386">
        <v>92</v>
      </c>
      <c r="S1386">
        <v>4.25</v>
      </c>
      <c r="T1386">
        <v>4.1660000000000004</v>
      </c>
      <c r="U1386">
        <v>6.78</v>
      </c>
      <c r="V1386">
        <v>2565.04</v>
      </c>
      <c r="W1386">
        <v>626</v>
      </c>
      <c r="X1386">
        <v>1.3332999999999999</v>
      </c>
      <c r="Y1386">
        <v>467</v>
      </c>
      <c r="Z1386">
        <v>5.49</v>
      </c>
      <c r="AJ1386">
        <v>2</v>
      </c>
      <c r="AK1386">
        <v>18</v>
      </c>
      <c r="AM1386">
        <v>0</v>
      </c>
      <c r="AO1386" t="s">
        <v>296</v>
      </c>
      <c r="AT1386">
        <v>59</v>
      </c>
      <c r="AV1386">
        <v>52</v>
      </c>
      <c r="AW1386">
        <v>0.46875</v>
      </c>
      <c r="AX1386">
        <v>3.75</v>
      </c>
      <c r="AY1386">
        <v>56.5</v>
      </c>
      <c r="AZ1386">
        <v>5.125</v>
      </c>
      <c r="BA1386">
        <v>358.98</v>
      </c>
      <c r="BB1386">
        <v>5.49</v>
      </c>
      <c r="BC1386">
        <v>61</v>
      </c>
      <c r="BD1386">
        <v>0.3125</v>
      </c>
      <c r="BE1386">
        <v>2.75</v>
      </c>
      <c r="BF1386">
        <v>33.25</v>
      </c>
      <c r="BG1386">
        <v>3.375</v>
      </c>
      <c r="BH1386">
        <v>108.24</v>
      </c>
      <c r="BI1386">
        <v>5.9</v>
      </c>
      <c r="BJ1386">
        <v>18</v>
      </c>
      <c r="BL1386">
        <v>467.22</v>
      </c>
      <c r="BM1386">
        <v>78</v>
      </c>
      <c r="BN1386">
        <v>249.66669999999999</v>
      </c>
      <c r="BO1386">
        <v>1665</v>
      </c>
      <c r="BP1386">
        <v>0</v>
      </c>
      <c r="BQ1386">
        <v>53</v>
      </c>
      <c r="BR1386">
        <v>53</v>
      </c>
      <c r="BS1386">
        <v>53.04</v>
      </c>
      <c r="BT1386">
        <v>0</v>
      </c>
      <c r="BV1386">
        <v>0</v>
      </c>
      <c r="BW1386" t="s">
        <v>655</v>
      </c>
      <c r="BX1386">
        <v>0.17</v>
      </c>
      <c r="BY1386">
        <v>9.0167999999999999</v>
      </c>
      <c r="BZ1386">
        <v>0</v>
      </c>
      <c r="CA1386">
        <v>1</v>
      </c>
      <c r="CB1386">
        <v>0.6</v>
      </c>
      <c r="CC1386" s="3">
        <v>7.1269159999999998E-2</v>
      </c>
      <c r="CD1386">
        <v>2.875</v>
      </c>
      <c r="CE1386">
        <v>2.5</v>
      </c>
      <c r="CF1386">
        <v>18</v>
      </c>
      <c r="CG1386">
        <v>6</v>
      </c>
      <c r="CH1386">
        <v>0</v>
      </c>
      <c r="CI1386">
        <v>53.04</v>
      </c>
      <c r="CJ1386">
        <v>542.44659999999999</v>
      </c>
    </row>
    <row r="1387" spans="1:88">
      <c r="A1387">
        <v>1386</v>
      </c>
      <c r="B1387" t="s">
        <v>0</v>
      </c>
      <c r="C1387" t="s">
        <v>1</v>
      </c>
      <c r="D1387" t="s">
        <v>365</v>
      </c>
      <c r="E1387" t="s">
        <v>219</v>
      </c>
      <c r="F1387" t="s">
        <v>367</v>
      </c>
      <c r="G1387" t="s">
        <v>106</v>
      </c>
      <c r="H1387" t="s">
        <v>368</v>
      </c>
      <c r="J1387">
        <v>2</v>
      </c>
      <c r="K1387" t="s">
        <v>146</v>
      </c>
      <c r="L1387" t="s">
        <v>369</v>
      </c>
      <c r="M1387" t="s">
        <v>220</v>
      </c>
      <c r="N1387" t="s">
        <v>221</v>
      </c>
      <c r="O1387">
        <v>101</v>
      </c>
      <c r="Q1387">
        <v>133</v>
      </c>
      <c r="R1387">
        <v>31</v>
      </c>
      <c r="S1387">
        <v>4.25</v>
      </c>
      <c r="T1387">
        <v>2.8119999999999998</v>
      </c>
      <c r="U1387">
        <v>5.92</v>
      </c>
      <c r="V1387">
        <v>567.07000000000005</v>
      </c>
      <c r="W1387">
        <v>184</v>
      </c>
      <c r="X1387">
        <v>1.3332999999999999</v>
      </c>
      <c r="Y1387">
        <v>137</v>
      </c>
      <c r="Z1387">
        <v>4.1399999999999997</v>
      </c>
      <c r="AJ1387">
        <v>2</v>
      </c>
      <c r="AK1387">
        <v>18</v>
      </c>
      <c r="AM1387">
        <v>0</v>
      </c>
      <c r="AO1387" t="s">
        <v>371</v>
      </c>
      <c r="AT1387">
        <v>40</v>
      </c>
      <c r="AV1387">
        <v>16.5</v>
      </c>
      <c r="AW1387">
        <v>0</v>
      </c>
      <c r="AX1387">
        <v>0</v>
      </c>
      <c r="AY1387">
        <v>18.625</v>
      </c>
      <c r="AZ1387">
        <v>2.625</v>
      </c>
      <c r="BA1387">
        <v>0</v>
      </c>
      <c r="BB1387">
        <v>0</v>
      </c>
      <c r="BC1387">
        <v>14</v>
      </c>
      <c r="BN1387">
        <v>74.900009999999995</v>
      </c>
      <c r="BO1387">
        <v>18497</v>
      </c>
      <c r="BP1387">
        <v>0</v>
      </c>
      <c r="BQ1387">
        <v>34</v>
      </c>
      <c r="BR1387">
        <v>34</v>
      </c>
      <c r="BS1387">
        <v>34.26</v>
      </c>
      <c r="BT1387">
        <v>0</v>
      </c>
      <c r="BV1387">
        <v>0</v>
      </c>
      <c r="BW1387" t="s">
        <v>655</v>
      </c>
      <c r="BX1387">
        <v>0.17</v>
      </c>
      <c r="BY1387">
        <v>5.8242000000000003</v>
      </c>
      <c r="BZ1387">
        <v>0</v>
      </c>
      <c r="CA1387">
        <v>1</v>
      </c>
      <c r="CB1387">
        <v>0.6</v>
      </c>
      <c r="CC1387" s="3">
        <v>7.1269159999999998E-2</v>
      </c>
      <c r="CD1387">
        <v>2.875</v>
      </c>
      <c r="CE1387">
        <v>2.5</v>
      </c>
      <c r="CF1387">
        <v>18</v>
      </c>
      <c r="CG1387">
        <v>6</v>
      </c>
      <c r="CH1387">
        <v>0</v>
      </c>
      <c r="CI1387">
        <v>34.26</v>
      </c>
      <c r="CJ1387">
        <v>111.09650000000001</v>
      </c>
    </row>
    <row r="1388" spans="1:88">
      <c r="A1388">
        <v>1387</v>
      </c>
      <c r="B1388" t="s">
        <v>13</v>
      </c>
      <c r="C1388" t="s">
        <v>1</v>
      </c>
      <c r="D1388" t="s">
        <v>101</v>
      </c>
      <c r="E1388" t="s">
        <v>96</v>
      </c>
      <c r="F1388" t="s">
        <v>339</v>
      </c>
      <c r="G1388" t="s">
        <v>106</v>
      </c>
      <c r="H1388" t="s">
        <v>167</v>
      </c>
      <c r="J1388">
        <v>2</v>
      </c>
      <c r="K1388" t="s">
        <v>146</v>
      </c>
      <c r="L1388" t="s">
        <v>293</v>
      </c>
      <c r="M1388" t="s">
        <v>100</v>
      </c>
      <c r="N1388" t="s">
        <v>101</v>
      </c>
      <c r="O1388">
        <v>131</v>
      </c>
      <c r="Q1388">
        <v>456</v>
      </c>
      <c r="R1388">
        <v>83</v>
      </c>
      <c r="S1388">
        <v>4.25</v>
      </c>
      <c r="T1388">
        <v>3.5859999999999999</v>
      </c>
      <c r="U1388">
        <v>6.37</v>
      </c>
      <c r="V1388">
        <v>1939.74</v>
      </c>
      <c r="W1388">
        <v>526</v>
      </c>
      <c r="X1388">
        <v>1.3332999999999999</v>
      </c>
      <c r="Y1388">
        <v>395</v>
      </c>
      <c r="Z1388">
        <v>4.91</v>
      </c>
      <c r="AJ1388">
        <v>2</v>
      </c>
      <c r="AK1388">
        <v>18</v>
      </c>
      <c r="AM1388">
        <v>0</v>
      </c>
      <c r="AO1388" t="s">
        <v>327</v>
      </c>
      <c r="AT1388">
        <v>51</v>
      </c>
      <c r="AV1388">
        <v>45.9</v>
      </c>
      <c r="AW1388">
        <v>0</v>
      </c>
      <c r="AX1388">
        <v>0</v>
      </c>
      <c r="AY1388">
        <v>51.375</v>
      </c>
      <c r="AZ1388">
        <v>4.625</v>
      </c>
      <c r="BA1388">
        <v>0</v>
      </c>
      <c r="BB1388">
        <v>0</v>
      </c>
      <c r="BC1388">
        <v>55</v>
      </c>
      <c r="BN1388">
        <v>219.35</v>
      </c>
      <c r="BO1388">
        <v>2157</v>
      </c>
      <c r="BP1388">
        <v>0</v>
      </c>
      <c r="BQ1388">
        <v>45</v>
      </c>
      <c r="BR1388">
        <v>45</v>
      </c>
      <c r="BS1388">
        <v>44.69</v>
      </c>
      <c r="BT1388">
        <v>0</v>
      </c>
      <c r="BV1388">
        <v>0</v>
      </c>
      <c r="BW1388" t="s">
        <v>655</v>
      </c>
      <c r="BX1388">
        <v>0.17</v>
      </c>
      <c r="BY1388">
        <v>7.5972999999999997</v>
      </c>
      <c r="BZ1388">
        <v>0</v>
      </c>
      <c r="CA1388">
        <v>1</v>
      </c>
      <c r="CB1388">
        <v>0.6</v>
      </c>
      <c r="CC1388" s="3">
        <v>7.1269159999999998E-2</v>
      </c>
      <c r="CD1388">
        <v>2.875</v>
      </c>
      <c r="CE1388">
        <v>2.5</v>
      </c>
      <c r="CF1388">
        <v>18</v>
      </c>
      <c r="CG1388">
        <v>6</v>
      </c>
      <c r="CH1388">
        <v>0</v>
      </c>
      <c r="CI1388">
        <v>44.69</v>
      </c>
      <c r="CJ1388">
        <v>402.90480000000002</v>
      </c>
    </row>
    <row r="1389" spans="1:88">
      <c r="A1389">
        <v>1388</v>
      </c>
      <c r="B1389" t="s">
        <v>13</v>
      </c>
      <c r="C1389" t="s">
        <v>1</v>
      </c>
      <c r="D1389" t="s">
        <v>338</v>
      </c>
      <c r="E1389" t="s">
        <v>143</v>
      </c>
      <c r="F1389" t="s">
        <v>360</v>
      </c>
      <c r="G1389" t="s">
        <v>106</v>
      </c>
      <c r="H1389" t="s">
        <v>101</v>
      </c>
      <c r="J1389">
        <v>2</v>
      </c>
      <c r="K1389" t="s">
        <v>146</v>
      </c>
      <c r="L1389" t="s">
        <v>297</v>
      </c>
      <c r="M1389" t="s">
        <v>206</v>
      </c>
      <c r="N1389" t="s">
        <v>131</v>
      </c>
      <c r="O1389">
        <v>155</v>
      </c>
      <c r="Q1389">
        <v>537</v>
      </c>
      <c r="R1389">
        <v>83</v>
      </c>
      <c r="S1389">
        <v>4.25</v>
      </c>
      <c r="T1389">
        <v>4.1660000000000004</v>
      </c>
      <c r="U1389">
        <v>6.78</v>
      </c>
      <c r="V1389">
        <v>2283.35</v>
      </c>
      <c r="W1389">
        <v>564</v>
      </c>
      <c r="X1389">
        <v>1.3332999999999999</v>
      </c>
      <c r="Y1389">
        <v>416</v>
      </c>
      <c r="Z1389">
        <v>5.49</v>
      </c>
      <c r="AJ1389">
        <v>2</v>
      </c>
      <c r="AK1389">
        <v>18</v>
      </c>
      <c r="AM1389">
        <v>0</v>
      </c>
      <c r="AO1389" t="s">
        <v>403</v>
      </c>
      <c r="AT1389">
        <v>59</v>
      </c>
      <c r="AV1389">
        <v>46.2</v>
      </c>
      <c r="AW1389">
        <v>0.46875</v>
      </c>
      <c r="AX1389">
        <v>3.75</v>
      </c>
      <c r="AY1389">
        <v>56.5</v>
      </c>
      <c r="AZ1389">
        <v>5.125</v>
      </c>
      <c r="BA1389">
        <v>358.98</v>
      </c>
      <c r="BB1389">
        <v>5.49</v>
      </c>
      <c r="BC1389">
        <v>61</v>
      </c>
      <c r="BD1389">
        <v>0.25</v>
      </c>
      <c r="BE1389">
        <v>2.75</v>
      </c>
      <c r="BF1389">
        <v>20.125</v>
      </c>
      <c r="BG1389">
        <v>2.75</v>
      </c>
      <c r="BH1389">
        <v>56.92</v>
      </c>
      <c r="BI1389">
        <v>6.03</v>
      </c>
      <c r="BJ1389">
        <v>9</v>
      </c>
      <c r="BL1389">
        <v>415.9</v>
      </c>
      <c r="BM1389">
        <v>69</v>
      </c>
      <c r="BN1389">
        <v>221.13339999999999</v>
      </c>
      <c r="BO1389">
        <v>2122</v>
      </c>
      <c r="BP1389">
        <v>0</v>
      </c>
      <c r="BQ1389">
        <v>53</v>
      </c>
      <c r="BR1389">
        <v>53</v>
      </c>
      <c r="BS1389">
        <v>53.04</v>
      </c>
      <c r="BT1389">
        <v>0</v>
      </c>
      <c r="BV1389">
        <v>0</v>
      </c>
      <c r="BW1389" t="s">
        <v>655</v>
      </c>
      <c r="BX1389">
        <v>0.17</v>
      </c>
      <c r="BY1389">
        <v>9.0167999999999999</v>
      </c>
      <c r="BZ1389">
        <v>0</v>
      </c>
      <c r="CA1389">
        <v>1</v>
      </c>
      <c r="CB1389">
        <v>0.6</v>
      </c>
      <c r="CC1389" s="3">
        <v>7.1269159999999998E-2</v>
      </c>
      <c r="CD1389">
        <v>2.875</v>
      </c>
      <c r="CE1389">
        <v>2.5</v>
      </c>
      <c r="CF1389">
        <v>18</v>
      </c>
      <c r="CG1389">
        <v>6</v>
      </c>
      <c r="CH1389">
        <v>0</v>
      </c>
      <c r="CI1389">
        <v>53.04</v>
      </c>
      <c r="CJ1389">
        <v>481.96480000000003</v>
      </c>
    </row>
    <row r="1390" spans="1:88">
      <c r="A1390">
        <v>1389</v>
      </c>
      <c r="B1390" t="s">
        <v>0</v>
      </c>
      <c r="C1390" t="s">
        <v>1</v>
      </c>
      <c r="D1390" t="s">
        <v>438</v>
      </c>
      <c r="E1390" t="s">
        <v>139</v>
      </c>
      <c r="F1390" t="s">
        <v>319</v>
      </c>
      <c r="G1390" t="s">
        <v>106</v>
      </c>
      <c r="H1390" t="s">
        <v>464</v>
      </c>
      <c r="J1390">
        <v>2</v>
      </c>
      <c r="K1390" t="s">
        <v>146</v>
      </c>
      <c r="L1390" t="s">
        <v>158</v>
      </c>
      <c r="M1390" t="s">
        <v>385</v>
      </c>
      <c r="N1390" t="s">
        <v>177</v>
      </c>
      <c r="O1390">
        <v>109</v>
      </c>
      <c r="Q1390">
        <v>275</v>
      </c>
      <c r="R1390">
        <v>61</v>
      </c>
      <c r="S1390">
        <v>4.25</v>
      </c>
      <c r="T1390">
        <v>3.024</v>
      </c>
      <c r="U1390">
        <v>6.11</v>
      </c>
      <c r="V1390">
        <v>1168.8699999999999</v>
      </c>
      <c r="W1390">
        <v>375</v>
      </c>
      <c r="X1390">
        <v>1.5</v>
      </c>
      <c r="Y1390">
        <v>259</v>
      </c>
      <c r="Z1390">
        <v>4.5199999999999996</v>
      </c>
      <c r="AJ1390">
        <v>2</v>
      </c>
      <c r="AK1390">
        <v>18</v>
      </c>
      <c r="AM1390">
        <v>0</v>
      </c>
      <c r="AO1390" t="s">
        <v>408</v>
      </c>
      <c r="AT1390">
        <v>43</v>
      </c>
      <c r="AV1390">
        <v>32.4</v>
      </c>
      <c r="AW1390">
        <v>0</v>
      </c>
      <c r="AX1390">
        <v>0</v>
      </c>
      <c r="AY1390">
        <v>37.625</v>
      </c>
      <c r="AZ1390">
        <v>3.625</v>
      </c>
      <c r="BA1390">
        <v>0</v>
      </c>
      <c r="BB1390">
        <v>0</v>
      </c>
      <c r="BC1390">
        <v>36</v>
      </c>
      <c r="BN1390">
        <v>153.36670000000001</v>
      </c>
      <c r="BO1390">
        <v>4412</v>
      </c>
      <c r="BP1390">
        <v>0</v>
      </c>
      <c r="BQ1390">
        <v>37</v>
      </c>
      <c r="BR1390">
        <v>37</v>
      </c>
      <c r="BS1390">
        <v>37.04</v>
      </c>
      <c r="BT1390">
        <v>0</v>
      </c>
      <c r="BV1390">
        <v>0</v>
      </c>
      <c r="BW1390" t="s">
        <v>655</v>
      </c>
      <c r="BX1390">
        <v>0.17</v>
      </c>
      <c r="BY1390">
        <v>6.2968000000000002</v>
      </c>
      <c r="BZ1390">
        <v>0</v>
      </c>
      <c r="CA1390">
        <v>1</v>
      </c>
      <c r="CB1390">
        <v>0.6</v>
      </c>
      <c r="CC1390" s="3">
        <v>7.1269159999999998E-2</v>
      </c>
      <c r="CD1390">
        <v>2.875</v>
      </c>
      <c r="CE1390">
        <v>2.5</v>
      </c>
      <c r="CF1390">
        <v>18</v>
      </c>
      <c r="CG1390">
        <v>6</v>
      </c>
      <c r="CH1390">
        <v>0</v>
      </c>
      <c r="CI1390">
        <v>37.04</v>
      </c>
      <c r="CJ1390">
        <v>236.26300000000001</v>
      </c>
    </row>
    <row r="1391" spans="1:88">
      <c r="A1391">
        <v>1390</v>
      </c>
      <c r="B1391" t="s">
        <v>13</v>
      </c>
      <c r="C1391" t="s">
        <v>1</v>
      </c>
      <c r="D1391" t="s">
        <v>143</v>
      </c>
      <c r="E1391" t="s">
        <v>393</v>
      </c>
      <c r="F1391" t="s">
        <v>144</v>
      </c>
      <c r="G1391" t="s">
        <v>106</v>
      </c>
      <c r="H1391" t="s">
        <v>145</v>
      </c>
      <c r="J1391">
        <v>2</v>
      </c>
      <c r="K1391" t="s">
        <v>146</v>
      </c>
      <c r="L1391" t="s">
        <v>168</v>
      </c>
      <c r="M1391" t="s">
        <v>475</v>
      </c>
      <c r="N1391" t="s">
        <v>466</v>
      </c>
      <c r="O1391">
        <v>169</v>
      </c>
      <c r="Q1391">
        <v>672</v>
      </c>
      <c r="R1391">
        <v>95</v>
      </c>
      <c r="S1391">
        <v>4.25</v>
      </c>
      <c r="T1391">
        <v>4.492</v>
      </c>
      <c r="U1391">
        <v>6.9</v>
      </c>
      <c r="V1391">
        <v>2856.59</v>
      </c>
      <c r="W1391">
        <v>653</v>
      </c>
      <c r="X1391">
        <v>1.3332999999999999</v>
      </c>
      <c r="Y1391">
        <v>491</v>
      </c>
      <c r="Z1391">
        <v>5.82</v>
      </c>
      <c r="AJ1391">
        <v>2</v>
      </c>
      <c r="AK1391">
        <v>18</v>
      </c>
      <c r="AM1391">
        <v>0</v>
      </c>
      <c r="AO1391" t="s">
        <v>149</v>
      </c>
      <c r="AT1391">
        <v>64</v>
      </c>
      <c r="AV1391">
        <v>53.5</v>
      </c>
      <c r="AW1391">
        <v>0.4375</v>
      </c>
      <c r="AX1391">
        <v>3.75</v>
      </c>
      <c r="AY1391">
        <v>52.75</v>
      </c>
      <c r="AZ1391">
        <v>5.125</v>
      </c>
      <c r="BA1391">
        <v>269.95</v>
      </c>
      <c r="BB1391">
        <v>6.09</v>
      </c>
      <c r="BC1391">
        <v>53</v>
      </c>
      <c r="BD1391">
        <v>0.40625</v>
      </c>
      <c r="BE1391">
        <v>3.75</v>
      </c>
      <c r="BF1391">
        <v>44</v>
      </c>
      <c r="BG1391">
        <v>4.75</v>
      </c>
      <c r="BH1391">
        <v>220.87</v>
      </c>
      <c r="BI1391">
        <v>5.99</v>
      </c>
      <c r="BJ1391">
        <v>42</v>
      </c>
      <c r="BL1391">
        <v>490.82</v>
      </c>
      <c r="BM1391">
        <v>95</v>
      </c>
      <c r="BN1391">
        <v>256.80009999999999</v>
      </c>
      <c r="BO1391">
        <v>1574</v>
      </c>
      <c r="BP1391">
        <v>0</v>
      </c>
      <c r="BQ1391">
        <v>58</v>
      </c>
      <c r="BR1391">
        <v>58</v>
      </c>
      <c r="BS1391">
        <v>57.91</v>
      </c>
      <c r="BT1391">
        <v>0</v>
      </c>
      <c r="BV1391">
        <v>0</v>
      </c>
      <c r="BW1391" t="s">
        <v>655</v>
      </c>
      <c r="BX1391">
        <v>0.17</v>
      </c>
      <c r="BY1391">
        <v>9.8446999999999996</v>
      </c>
      <c r="BZ1391">
        <v>0</v>
      </c>
      <c r="CA1391">
        <v>1</v>
      </c>
      <c r="CB1391">
        <v>0.6</v>
      </c>
      <c r="CC1391" s="3">
        <v>7.1269159999999998E-2</v>
      </c>
      <c r="CD1391">
        <v>2.875</v>
      </c>
      <c r="CE1391">
        <v>2.5</v>
      </c>
      <c r="CF1391">
        <v>18</v>
      </c>
      <c r="CG1391">
        <v>6</v>
      </c>
      <c r="CH1391">
        <v>0</v>
      </c>
      <c r="CI1391">
        <v>57.91</v>
      </c>
      <c r="CJ1391">
        <v>608.76149999999996</v>
      </c>
    </row>
    <row r="1392" spans="1:88">
      <c r="A1392">
        <v>1391</v>
      </c>
      <c r="B1392" t="s">
        <v>0</v>
      </c>
      <c r="C1392" t="s">
        <v>1</v>
      </c>
      <c r="D1392" t="s">
        <v>328</v>
      </c>
      <c r="E1392" t="s">
        <v>103</v>
      </c>
      <c r="F1392" t="s">
        <v>329</v>
      </c>
      <c r="G1392" t="s">
        <v>20</v>
      </c>
      <c r="H1392" t="s">
        <v>328</v>
      </c>
      <c r="J1392">
        <v>2</v>
      </c>
      <c r="K1392" t="s">
        <v>9</v>
      </c>
      <c r="L1392" t="s">
        <v>455</v>
      </c>
      <c r="M1392" t="s">
        <v>315</v>
      </c>
      <c r="N1392" t="s">
        <v>316</v>
      </c>
      <c r="O1392">
        <v>167</v>
      </c>
      <c r="Q1392">
        <v>1099</v>
      </c>
      <c r="R1392">
        <v>154</v>
      </c>
      <c r="S1392">
        <v>4.25</v>
      </c>
      <c r="T1392">
        <v>4.4459999999999997</v>
      </c>
      <c r="U1392">
        <v>6.86</v>
      </c>
      <c r="V1392">
        <v>4670.1099999999997</v>
      </c>
      <c r="W1392">
        <v>1056</v>
      </c>
      <c r="X1392">
        <v>1.3332999999999999</v>
      </c>
      <c r="Y1392">
        <v>809</v>
      </c>
      <c r="Z1392">
        <v>5.77</v>
      </c>
      <c r="AJ1392">
        <v>2</v>
      </c>
      <c r="AK1392">
        <v>18</v>
      </c>
      <c r="AM1392">
        <v>0</v>
      </c>
      <c r="AO1392" t="s">
        <v>331</v>
      </c>
      <c r="AT1392">
        <v>63</v>
      </c>
      <c r="AV1392">
        <v>88.5</v>
      </c>
      <c r="AW1392" t="s">
        <v>6</v>
      </c>
      <c r="AX1392" t="s">
        <v>6</v>
      </c>
      <c r="AY1392" t="s">
        <v>6</v>
      </c>
      <c r="AZ1392" t="s">
        <v>6</v>
      </c>
      <c r="BA1392" t="s">
        <v>6</v>
      </c>
      <c r="BB1392" t="s">
        <v>6</v>
      </c>
      <c r="BC1392" t="s">
        <v>6</v>
      </c>
      <c r="BD1392" t="s">
        <v>6</v>
      </c>
      <c r="BE1392" t="s">
        <v>6</v>
      </c>
      <c r="BF1392" t="s">
        <v>6</v>
      </c>
      <c r="BG1392" t="s">
        <v>6</v>
      </c>
      <c r="BH1392" t="s">
        <v>6</v>
      </c>
      <c r="BI1392" t="s">
        <v>6</v>
      </c>
      <c r="BJ1392" t="s">
        <v>6</v>
      </c>
      <c r="BN1392">
        <v>663.95</v>
      </c>
      <c r="BO1392">
        <v>2716</v>
      </c>
      <c r="BP1392">
        <v>0</v>
      </c>
      <c r="BQ1392">
        <v>57</v>
      </c>
      <c r="BR1392">
        <v>57</v>
      </c>
      <c r="BS1392">
        <v>57.21</v>
      </c>
      <c r="BT1392">
        <v>0</v>
      </c>
      <c r="BV1392">
        <v>6</v>
      </c>
      <c r="BW1392" t="s">
        <v>655</v>
      </c>
      <c r="BX1392">
        <v>0.27933330000000001</v>
      </c>
      <c r="BY1392">
        <v>15.98066</v>
      </c>
      <c r="BZ1392">
        <v>0</v>
      </c>
      <c r="CA1392">
        <v>1</v>
      </c>
      <c r="CB1392">
        <v>0.6</v>
      </c>
      <c r="CC1392" s="3">
        <v>7.1269159999999998E-2</v>
      </c>
      <c r="CD1392">
        <v>2.875</v>
      </c>
      <c r="CE1392">
        <v>2.5</v>
      </c>
      <c r="CF1392">
        <v>18</v>
      </c>
      <c r="CG1392">
        <v>6</v>
      </c>
      <c r="CH1392">
        <v>0</v>
      </c>
      <c r="CI1392">
        <v>57.21</v>
      </c>
      <c r="CJ1392">
        <v>994.35360000000003</v>
      </c>
    </row>
    <row r="1393" spans="1:88">
      <c r="A1393">
        <v>1392</v>
      </c>
      <c r="B1393" t="s">
        <v>0</v>
      </c>
      <c r="C1393" t="s">
        <v>1</v>
      </c>
      <c r="D1393" t="s">
        <v>203</v>
      </c>
      <c r="E1393" t="s">
        <v>2</v>
      </c>
      <c r="F1393" t="s">
        <v>250</v>
      </c>
      <c r="G1393" t="s">
        <v>214</v>
      </c>
      <c r="H1393" t="s">
        <v>538</v>
      </c>
      <c r="J1393">
        <v>2</v>
      </c>
      <c r="K1393" t="s">
        <v>108</v>
      </c>
      <c r="L1393" t="s">
        <v>122</v>
      </c>
      <c r="M1393" t="s">
        <v>4</v>
      </c>
      <c r="N1393" t="s">
        <v>5</v>
      </c>
      <c r="O1393">
        <v>107</v>
      </c>
      <c r="Q1393">
        <v>579</v>
      </c>
      <c r="R1393">
        <v>122</v>
      </c>
      <c r="S1393">
        <v>4.25</v>
      </c>
      <c r="T1393">
        <v>2.9710000000000001</v>
      </c>
      <c r="U1393">
        <v>6.07</v>
      </c>
      <c r="V1393">
        <v>2459.3000000000002</v>
      </c>
      <c r="W1393">
        <v>743</v>
      </c>
      <c r="X1393">
        <v>1.3332999999999999</v>
      </c>
      <c r="Y1393">
        <v>572</v>
      </c>
      <c r="Z1393">
        <v>4.3</v>
      </c>
      <c r="AJ1393">
        <v>2</v>
      </c>
      <c r="AK1393">
        <v>18</v>
      </c>
      <c r="AM1393">
        <v>0</v>
      </c>
      <c r="AO1393" t="s">
        <v>539</v>
      </c>
      <c r="AT1393">
        <v>42</v>
      </c>
      <c r="AV1393">
        <v>70.3</v>
      </c>
      <c r="AW1393">
        <v>0.46875</v>
      </c>
      <c r="AX1393">
        <v>3.75</v>
      </c>
      <c r="AY1393">
        <v>44.25</v>
      </c>
      <c r="AZ1393">
        <v>4</v>
      </c>
      <c r="BA1393">
        <v>458.33</v>
      </c>
      <c r="BB1393">
        <v>4.3</v>
      </c>
      <c r="BC1393">
        <v>48</v>
      </c>
      <c r="BD1393">
        <v>0.3125</v>
      </c>
      <c r="BE1393">
        <v>2.75</v>
      </c>
      <c r="BF1393">
        <v>31.625</v>
      </c>
      <c r="BG1393">
        <v>2.625</v>
      </c>
      <c r="BH1393">
        <v>113.6</v>
      </c>
      <c r="BI1393">
        <v>5.62</v>
      </c>
      <c r="BJ1393">
        <v>17</v>
      </c>
      <c r="BL1393">
        <v>571.92999999999995</v>
      </c>
      <c r="BM1393">
        <v>64</v>
      </c>
      <c r="BN1393">
        <v>341.68329999999997</v>
      </c>
      <c r="BO1393">
        <v>1115</v>
      </c>
      <c r="BP1393">
        <v>0</v>
      </c>
      <c r="BQ1393">
        <v>36</v>
      </c>
      <c r="BR1393">
        <v>36</v>
      </c>
      <c r="BS1393">
        <v>36.340000000000003</v>
      </c>
      <c r="BT1393">
        <v>0</v>
      </c>
      <c r="BV1393">
        <v>0</v>
      </c>
      <c r="BW1393" t="s">
        <v>655</v>
      </c>
      <c r="BX1393">
        <v>0.17</v>
      </c>
      <c r="BY1393">
        <v>6.1778000000000004</v>
      </c>
      <c r="BZ1393">
        <v>0</v>
      </c>
      <c r="CA1393">
        <v>1</v>
      </c>
      <c r="CB1393">
        <v>0.6</v>
      </c>
      <c r="CC1393" s="3">
        <v>7.1269159999999998E-2</v>
      </c>
      <c r="CD1393">
        <v>2.875</v>
      </c>
      <c r="CE1393">
        <v>2.5</v>
      </c>
      <c r="CF1393">
        <v>18</v>
      </c>
      <c r="CG1393">
        <v>6</v>
      </c>
      <c r="CH1393">
        <v>0</v>
      </c>
      <c r="CI1393">
        <v>36.340000000000003</v>
      </c>
      <c r="CJ1393">
        <v>502.12099999999998</v>
      </c>
    </row>
    <row r="1394" spans="1:88">
      <c r="A1394">
        <v>1393</v>
      </c>
      <c r="B1394" t="s">
        <v>0</v>
      </c>
      <c r="C1394" t="s">
        <v>1</v>
      </c>
      <c r="D1394" t="s">
        <v>113</v>
      </c>
      <c r="E1394" t="s">
        <v>233</v>
      </c>
      <c r="F1394" t="s">
        <v>262</v>
      </c>
      <c r="G1394" t="s">
        <v>106</v>
      </c>
      <c r="H1394" t="s">
        <v>263</v>
      </c>
      <c r="J1394">
        <v>2</v>
      </c>
      <c r="K1394" t="s">
        <v>108</v>
      </c>
      <c r="L1394" t="s">
        <v>251</v>
      </c>
      <c r="M1394" t="s">
        <v>236</v>
      </c>
      <c r="N1394" t="s">
        <v>272</v>
      </c>
      <c r="O1394">
        <v>157</v>
      </c>
      <c r="Q1394">
        <v>730</v>
      </c>
      <c r="R1394">
        <v>109</v>
      </c>
      <c r="S1394">
        <v>4.25</v>
      </c>
      <c r="T1394">
        <v>4.2130000000000001</v>
      </c>
      <c r="U1394">
        <v>6.82</v>
      </c>
      <c r="V1394">
        <v>3101.09</v>
      </c>
      <c r="W1394">
        <v>741</v>
      </c>
      <c r="X1394">
        <v>1.3332999999999999</v>
      </c>
      <c r="Y1394">
        <v>560</v>
      </c>
      <c r="Z1394">
        <v>5.54</v>
      </c>
      <c r="AJ1394">
        <v>2</v>
      </c>
      <c r="AK1394">
        <v>18</v>
      </c>
      <c r="AM1394">
        <v>0</v>
      </c>
      <c r="AO1394" t="s">
        <v>266</v>
      </c>
      <c r="AT1394">
        <v>60</v>
      </c>
      <c r="AV1394">
        <v>62.3</v>
      </c>
      <c r="AW1394" t="s">
        <v>6</v>
      </c>
      <c r="AX1394" t="s">
        <v>6</v>
      </c>
      <c r="AY1394" t="s">
        <v>6</v>
      </c>
      <c r="AZ1394" t="s">
        <v>6</v>
      </c>
      <c r="BA1394" t="s">
        <v>6</v>
      </c>
      <c r="BB1394" t="s">
        <v>6</v>
      </c>
      <c r="BC1394" t="s">
        <v>6</v>
      </c>
      <c r="BD1394" t="s">
        <v>6</v>
      </c>
      <c r="BE1394" t="s">
        <v>6</v>
      </c>
      <c r="BF1394" t="s">
        <v>6</v>
      </c>
      <c r="BG1394" t="s">
        <v>6</v>
      </c>
      <c r="BH1394" t="s">
        <v>6</v>
      </c>
      <c r="BI1394" t="s">
        <v>6</v>
      </c>
      <c r="BJ1394" t="s">
        <v>6</v>
      </c>
      <c r="BN1394">
        <v>299.60000000000002</v>
      </c>
      <c r="BO1394">
        <v>1156</v>
      </c>
      <c r="BP1394">
        <v>0</v>
      </c>
      <c r="BQ1394">
        <v>54</v>
      </c>
      <c r="BR1394">
        <v>54</v>
      </c>
      <c r="BS1394">
        <v>53.73</v>
      </c>
      <c r="BT1394">
        <v>0</v>
      </c>
      <c r="BV1394">
        <v>0</v>
      </c>
      <c r="BW1394" t="s">
        <v>655</v>
      </c>
      <c r="BX1394">
        <v>0.17</v>
      </c>
      <c r="BY1394">
        <v>9.1341000000000001</v>
      </c>
      <c r="BZ1394">
        <v>0</v>
      </c>
      <c r="CA1394">
        <v>1</v>
      </c>
      <c r="CB1394">
        <v>0.6</v>
      </c>
      <c r="CC1394" s="3">
        <v>7.1269159999999998E-2</v>
      </c>
      <c r="CD1394">
        <v>2.875</v>
      </c>
      <c r="CE1394">
        <v>2.5</v>
      </c>
      <c r="CF1394">
        <v>18</v>
      </c>
      <c r="CG1394">
        <v>6</v>
      </c>
      <c r="CH1394">
        <v>0</v>
      </c>
      <c r="CI1394">
        <v>53.73</v>
      </c>
      <c r="CJ1394">
        <v>658.15949999999998</v>
      </c>
    </row>
    <row r="1395" spans="1:88">
      <c r="A1395">
        <v>1394</v>
      </c>
      <c r="B1395" t="s">
        <v>0</v>
      </c>
      <c r="C1395" t="s">
        <v>1</v>
      </c>
      <c r="D1395" t="s">
        <v>104</v>
      </c>
      <c r="E1395" t="s">
        <v>143</v>
      </c>
      <c r="F1395" t="s">
        <v>337</v>
      </c>
      <c r="G1395" t="s">
        <v>214</v>
      </c>
      <c r="H1395" t="s">
        <v>398</v>
      </c>
      <c r="J1395">
        <v>2</v>
      </c>
      <c r="K1395" t="s">
        <v>108</v>
      </c>
      <c r="L1395" t="s">
        <v>297</v>
      </c>
      <c r="M1395" t="s">
        <v>206</v>
      </c>
      <c r="N1395" t="s">
        <v>131</v>
      </c>
      <c r="O1395">
        <v>155</v>
      </c>
      <c r="Q1395">
        <v>771</v>
      </c>
      <c r="R1395">
        <v>116</v>
      </c>
      <c r="S1395">
        <v>4.25</v>
      </c>
      <c r="T1395">
        <v>4.1660000000000004</v>
      </c>
      <c r="U1395">
        <v>6.78</v>
      </c>
      <c r="V1395">
        <v>3275.98</v>
      </c>
      <c r="W1395">
        <v>787</v>
      </c>
      <c r="X1395">
        <v>1.3332999999999999</v>
      </c>
      <c r="Y1395">
        <v>597</v>
      </c>
      <c r="Z1395">
        <v>5.49</v>
      </c>
      <c r="AJ1395">
        <v>2</v>
      </c>
      <c r="AK1395">
        <v>18</v>
      </c>
      <c r="AM1395">
        <v>0</v>
      </c>
      <c r="AO1395" t="s">
        <v>170</v>
      </c>
      <c r="AT1395">
        <v>59</v>
      </c>
      <c r="AV1395">
        <v>66.7</v>
      </c>
      <c r="AW1395">
        <v>0.4375</v>
      </c>
      <c r="AX1395">
        <v>3.75</v>
      </c>
      <c r="AY1395">
        <v>47.75</v>
      </c>
      <c r="AZ1395">
        <v>4.75</v>
      </c>
      <c r="BA1395">
        <v>298.35000000000002</v>
      </c>
      <c r="BB1395">
        <v>5.51</v>
      </c>
      <c r="BC1395">
        <v>48</v>
      </c>
      <c r="BD1395">
        <v>0.4375</v>
      </c>
      <c r="BE1395">
        <v>3.75</v>
      </c>
      <c r="BF1395">
        <v>47.75</v>
      </c>
      <c r="BG1395">
        <v>4.75</v>
      </c>
      <c r="BH1395">
        <v>298.35000000000002</v>
      </c>
      <c r="BI1395">
        <v>5.51</v>
      </c>
      <c r="BJ1395">
        <v>48</v>
      </c>
      <c r="BL1395">
        <v>596.70000000000005</v>
      </c>
      <c r="BM1395">
        <v>96</v>
      </c>
      <c r="BN1395">
        <v>323.7</v>
      </c>
      <c r="BO1395">
        <v>1242</v>
      </c>
      <c r="BP1395">
        <v>0</v>
      </c>
      <c r="BQ1395">
        <v>53</v>
      </c>
      <c r="BR1395">
        <v>53</v>
      </c>
      <c r="BS1395">
        <v>53.04</v>
      </c>
      <c r="BT1395">
        <v>0</v>
      </c>
      <c r="BV1395">
        <v>0</v>
      </c>
      <c r="BW1395" t="s">
        <v>655</v>
      </c>
      <c r="BX1395">
        <v>0.17</v>
      </c>
      <c r="BY1395">
        <v>9.0167999999999999</v>
      </c>
      <c r="BZ1395">
        <v>0</v>
      </c>
      <c r="CA1395">
        <v>1</v>
      </c>
      <c r="CB1395">
        <v>0.6</v>
      </c>
      <c r="CC1395" s="3">
        <v>7.1269159999999998E-2</v>
      </c>
      <c r="CD1395">
        <v>2.875</v>
      </c>
      <c r="CE1395">
        <v>2.5</v>
      </c>
      <c r="CF1395">
        <v>18</v>
      </c>
      <c r="CG1395">
        <v>6</v>
      </c>
      <c r="CH1395">
        <v>0</v>
      </c>
      <c r="CI1395">
        <v>53.04</v>
      </c>
      <c r="CJ1395">
        <v>695.06889999999999</v>
      </c>
    </row>
    <row r="1396" spans="1:88">
      <c r="A1396">
        <v>1395</v>
      </c>
      <c r="B1396" t="s">
        <v>13</v>
      </c>
      <c r="C1396" t="s">
        <v>1</v>
      </c>
      <c r="D1396" t="s">
        <v>233</v>
      </c>
      <c r="E1396" t="s">
        <v>212</v>
      </c>
      <c r="F1396" t="s">
        <v>271</v>
      </c>
      <c r="G1396" t="s">
        <v>106</v>
      </c>
      <c r="H1396" t="s">
        <v>279</v>
      </c>
      <c r="J1396">
        <v>2</v>
      </c>
      <c r="K1396" t="s">
        <v>146</v>
      </c>
      <c r="L1396" t="s">
        <v>425</v>
      </c>
      <c r="M1396" t="s">
        <v>453</v>
      </c>
      <c r="N1396" t="s">
        <v>454</v>
      </c>
      <c r="O1396">
        <v>195</v>
      </c>
      <c r="Q1396">
        <v>779</v>
      </c>
      <c r="R1396">
        <v>96</v>
      </c>
      <c r="S1396">
        <v>4.25</v>
      </c>
      <c r="T1396">
        <v>5.0730000000000004</v>
      </c>
      <c r="U1396">
        <v>7.35</v>
      </c>
      <c r="V1396">
        <v>3310.62</v>
      </c>
      <c r="W1396">
        <v>704</v>
      </c>
      <c r="X1396">
        <v>1.3332999999999999</v>
      </c>
      <c r="Y1396">
        <v>517</v>
      </c>
      <c r="Z1396">
        <v>6.4</v>
      </c>
      <c r="AJ1396">
        <v>2</v>
      </c>
      <c r="AK1396">
        <v>18</v>
      </c>
      <c r="AM1396">
        <v>0</v>
      </c>
      <c r="AO1396" t="s">
        <v>144</v>
      </c>
      <c r="AT1396">
        <v>73</v>
      </c>
      <c r="AV1396">
        <v>54.2</v>
      </c>
      <c r="AW1396">
        <v>0.4375</v>
      </c>
      <c r="AX1396">
        <v>3.75</v>
      </c>
      <c r="AY1396">
        <v>55</v>
      </c>
      <c r="AZ1396">
        <v>5.625</v>
      </c>
      <c r="BA1396">
        <v>258.64</v>
      </c>
      <c r="BB1396">
        <v>6.36</v>
      </c>
      <c r="BC1396">
        <v>56</v>
      </c>
      <c r="BD1396">
        <v>0.4375</v>
      </c>
      <c r="BE1396">
        <v>3.75</v>
      </c>
      <c r="BF1396">
        <v>55</v>
      </c>
      <c r="BG1396">
        <v>5.625</v>
      </c>
      <c r="BH1396">
        <v>258.64</v>
      </c>
      <c r="BI1396">
        <v>6.36</v>
      </c>
      <c r="BJ1396">
        <v>56</v>
      </c>
      <c r="BL1396">
        <v>517.28009999999995</v>
      </c>
      <c r="BM1396">
        <v>111</v>
      </c>
      <c r="BN1396">
        <v>260.36669999999998</v>
      </c>
      <c r="BO1396">
        <v>1531</v>
      </c>
      <c r="BP1396">
        <v>0</v>
      </c>
      <c r="BQ1396">
        <v>67</v>
      </c>
      <c r="BR1396">
        <v>67</v>
      </c>
      <c r="BS1396">
        <v>66.95</v>
      </c>
      <c r="BT1396">
        <v>0</v>
      </c>
      <c r="BV1396">
        <v>0</v>
      </c>
      <c r="BW1396" t="s">
        <v>655</v>
      </c>
      <c r="BX1396">
        <v>0.17</v>
      </c>
      <c r="BY1396">
        <v>11.381500000000001</v>
      </c>
      <c r="BZ1396">
        <v>0</v>
      </c>
      <c r="CA1396">
        <v>1</v>
      </c>
      <c r="CB1396">
        <v>0.6</v>
      </c>
      <c r="CC1396" s="3">
        <v>7.1269159999999998E-2</v>
      </c>
      <c r="CD1396">
        <v>2.875</v>
      </c>
      <c r="CE1396">
        <v>2.5</v>
      </c>
      <c r="CF1396">
        <v>18</v>
      </c>
      <c r="CG1396">
        <v>6</v>
      </c>
      <c r="CH1396">
        <v>0</v>
      </c>
      <c r="CI1396">
        <v>66.95</v>
      </c>
      <c r="CJ1396">
        <v>713.3347</v>
      </c>
    </row>
    <row r="1397" spans="1:88">
      <c r="A1397">
        <v>1396</v>
      </c>
      <c r="B1397" t="s">
        <v>13</v>
      </c>
      <c r="C1397" t="s">
        <v>1</v>
      </c>
      <c r="D1397" t="s">
        <v>235</v>
      </c>
      <c r="E1397" t="s">
        <v>123</v>
      </c>
      <c r="F1397" t="s">
        <v>327</v>
      </c>
      <c r="G1397" t="s">
        <v>106</v>
      </c>
      <c r="H1397" t="s">
        <v>96</v>
      </c>
      <c r="J1397">
        <v>2</v>
      </c>
      <c r="K1397" t="s">
        <v>146</v>
      </c>
      <c r="L1397" t="s">
        <v>8</v>
      </c>
      <c r="M1397" t="s">
        <v>147</v>
      </c>
      <c r="N1397" t="s">
        <v>148</v>
      </c>
      <c r="O1397">
        <v>183</v>
      </c>
      <c r="Q1397">
        <v>613</v>
      </c>
      <c r="R1397">
        <v>81</v>
      </c>
      <c r="S1397">
        <v>4.25</v>
      </c>
      <c r="T1397">
        <v>4.8079999999999998</v>
      </c>
      <c r="U1397">
        <v>7.12</v>
      </c>
      <c r="V1397">
        <v>2604.86</v>
      </c>
      <c r="W1397">
        <v>580</v>
      </c>
      <c r="X1397">
        <v>1.3332999999999999</v>
      </c>
      <c r="Y1397">
        <v>424</v>
      </c>
      <c r="Z1397">
        <v>6.14</v>
      </c>
      <c r="AJ1397">
        <v>2</v>
      </c>
      <c r="AK1397">
        <v>18</v>
      </c>
      <c r="AM1397">
        <v>0</v>
      </c>
      <c r="AO1397" t="s">
        <v>100</v>
      </c>
      <c r="AT1397">
        <v>69</v>
      </c>
      <c r="AV1397">
        <v>45.1</v>
      </c>
      <c r="AW1397">
        <v>0.46875</v>
      </c>
      <c r="AX1397">
        <v>3.75</v>
      </c>
      <c r="AY1397">
        <v>63.125</v>
      </c>
      <c r="AZ1397">
        <v>5.75</v>
      </c>
      <c r="BA1397">
        <v>320.98</v>
      </c>
      <c r="BB1397">
        <v>6.14</v>
      </c>
      <c r="BC1397">
        <v>68</v>
      </c>
      <c r="BD1397">
        <v>0.3125</v>
      </c>
      <c r="BE1397">
        <v>2.75</v>
      </c>
      <c r="BF1397">
        <v>34.875</v>
      </c>
      <c r="BG1397">
        <v>3.875</v>
      </c>
      <c r="BH1397">
        <v>103.25</v>
      </c>
      <c r="BI1397">
        <v>6.19</v>
      </c>
      <c r="BJ1397">
        <v>19</v>
      </c>
      <c r="BL1397">
        <v>424.23</v>
      </c>
      <c r="BM1397">
        <v>86</v>
      </c>
      <c r="BN1397">
        <v>215.7834</v>
      </c>
      <c r="BO1397">
        <v>2229</v>
      </c>
      <c r="BP1397">
        <v>0</v>
      </c>
      <c r="BQ1397">
        <v>63</v>
      </c>
      <c r="BR1397">
        <v>63</v>
      </c>
      <c r="BS1397">
        <v>62.78</v>
      </c>
      <c r="BT1397">
        <v>0</v>
      </c>
      <c r="BV1397">
        <v>0</v>
      </c>
      <c r="BW1397" t="s">
        <v>655</v>
      </c>
      <c r="BX1397">
        <v>0.17</v>
      </c>
      <c r="BY1397">
        <v>10.672599999999999</v>
      </c>
      <c r="BZ1397">
        <v>0</v>
      </c>
      <c r="CA1397">
        <v>1</v>
      </c>
      <c r="CB1397">
        <v>0.6</v>
      </c>
      <c r="CC1397" s="3">
        <v>7.1269159999999998E-2</v>
      </c>
      <c r="CD1397">
        <v>2.875</v>
      </c>
      <c r="CE1397">
        <v>2.5</v>
      </c>
      <c r="CF1397">
        <v>18</v>
      </c>
      <c r="CG1397">
        <v>6</v>
      </c>
      <c r="CH1397">
        <v>0</v>
      </c>
      <c r="CI1397">
        <v>62.78</v>
      </c>
      <c r="CJ1397">
        <v>557.04759999999999</v>
      </c>
    </row>
    <row r="1398" spans="1:88">
      <c r="A1398">
        <v>1397</v>
      </c>
      <c r="B1398" t="s">
        <v>0</v>
      </c>
      <c r="C1398" t="s">
        <v>1</v>
      </c>
      <c r="D1398" t="s">
        <v>2</v>
      </c>
      <c r="E1398" t="s">
        <v>153</v>
      </c>
      <c r="F1398" t="s">
        <v>154</v>
      </c>
      <c r="G1398" t="s">
        <v>106</v>
      </c>
      <c r="H1398" t="s">
        <v>217</v>
      </c>
      <c r="J1398">
        <v>2</v>
      </c>
      <c r="K1398" t="s">
        <v>146</v>
      </c>
      <c r="L1398" t="s">
        <v>195</v>
      </c>
      <c r="M1398" t="s">
        <v>306</v>
      </c>
      <c r="N1398" t="s">
        <v>158</v>
      </c>
      <c r="O1398">
        <v>126</v>
      </c>
      <c r="Q1398">
        <v>348</v>
      </c>
      <c r="R1398">
        <v>67</v>
      </c>
      <c r="S1398">
        <v>4.25</v>
      </c>
      <c r="T1398">
        <v>3.46</v>
      </c>
      <c r="U1398">
        <v>6.26</v>
      </c>
      <c r="V1398">
        <v>1478.91</v>
      </c>
      <c r="W1398">
        <v>420</v>
      </c>
      <c r="X1398">
        <v>1.3332999999999999</v>
      </c>
      <c r="Y1398">
        <v>309</v>
      </c>
      <c r="Z1398">
        <v>4.79</v>
      </c>
      <c r="AJ1398">
        <v>2</v>
      </c>
      <c r="AK1398">
        <v>18</v>
      </c>
      <c r="AM1398">
        <v>0</v>
      </c>
      <c r="AO1398" t="s">
        <v>218</v>
      </c>
      <c r="AT1398">
        <v>49</v>
      </c>
      <c r="AV1398">
        <v>36.1</v>
      </c>
      <c r="AW1398">
        <v>0</v>
      </c>
      <c r="AX1398">
        <v>0</v>
      </c>
      <c r="AY1398">
        <v>46.125</v>
      </c>
      <c r="AZ1398">
        <v>4.25</v>
      </c>
      <c r="BA1398">
        <v>0</v>
      </c>
      <c r="BB1398">
        <v>0</v>
      </c>
      <c r="BC1398">
        <v>47</v>
      </c>
      <c r="BN1398">
        <v>171.2</v>
      </c>
      <c r="BO1398">
        <v>3540</v>
      </c>
      <c r="BP1398">
        <v>0</v>
      </c>
      <c r="BQ1398">
        <v>43</v>
      </c>
      <c r="BR1398">
        <v>43</v>
      </c>
      <c r="BS1398">
        <v>42.95</v>
      </c>
      <c r="BT1398">
        <v>0</v>
      </c>
      <c r="BV1398">
        <v>0</v>
      </c>
      <c r="BW1398" t="s">
        <v>655</v>
      </c>
      <c r="BX1398">
        <v>0.17</v>
      </c>
      <c r="BY1398">
        <v>7.301501</v>
      </c>
      <c r="BZ1398">
        <v>0</v>
      </c>
      <c r="CA1398">
        <v>1</v>
      </c>
      <c r="CB1398">
        <v>0.6</v>
      </c>
      <c r="CC1398" s="3">
        <v>7.1269159999999998E-2</v>
      </c>
      <c r="CD1398">
        <v>2.875</v>
      </c>
      <c r="CE1398">
        <v>2.5</v>
      </c>
      <c r="CF1398">
        <v>18</v>
      </c>
      <c r="CG1398">
        <v>6</v>
      </c>
      <c r="CH1398">
        <v>0</v>
      </c>
      <c r="CI1398">
        <v>42.95</v>
      </c>
      <c r="CJ1398">
        <v>304.57049999999998</v>
      </c>
    </row>
    <row r="1399" spans="1:88">
      <c r="A1399">
        <v>1398</v>
      </c>
      <c r="B1399" t="s">
        <v>13</v>
      </c>
      <c r="C1399" t="s">
        <v>1</v>
      </c>
      <c r="D1399" t="s">
        <v>141</v>
      </c>
      <c r="E1399" t="s">
        <v>2</v>
      </c>
      <c r="F1399" t="s">
        <v>179</v>
      </c>
      <c r="G1399" t="s">
        <v>106</v>
      </c>
      <c r="H1399" t="s">
        <v>510</v>
      </c>
      <c r="J1399">
        <v>2</v>
      </c>
      <c r="K1399" t="s">
        <v>146</v>
      </c>
      <c r="L1399" t="s">
        <v>122</v>
      </c>
      <c r="M1399" t="s">
        <v>4</v>
      </c>
      <c r="N1399" t="s">
        <v>5</v>
      </c>
      <c r="O1399">
        <v>107</v>
      </c>
      <c r="Q1399">
        <v>262</v>
      </c>
      <c r="R1399">
        <v>55</v>
      </c>
      <c r="S1399">
        <v>4.25</v>
      </c>
      <c r="T1399">
        <v>2.9710000000000001</v>
      </c>
      <c r="U1399">
        <v>6.07</v>
      </c>
      <c r="V1399">
        <v>1111.75</v>
      </c>
      <c r="W1399">
        <v>331</v>
      </c>
      <c r="X1399">
        <v>1.3332999999999999</v>
      </c>
      <c r="Y1399">
        <v>259</v>
      </c>
      <c r="Z1399">
        <v>4.3</v>
      </c>
      <c r="AJ1399">
        <v>2</v>
      </c>
      <c r="AK1399">
        <v>18</v>
      </c>
      <c r="AM1399">
        <v>0</v>
      </c>
      <c r="AO1399" t="s">
        <v>354</v>
      </c>
      <c r="AT1399">
        <v>42</v>
      </c>
      <c r="AV1399">
        <v>31.3</v>
      </c>
      <c r="AW1399">
        <v>0</v>
      </c>
      <c r="AX1399">
        <v>0</v>
      </c>
      <c r="AY1399">
        <v>37.625</v>
      </c>
      <c r="AZ1399">
        <v>3.5</v>
      </c>
      <c r="BA1399">
        <v>0</v>
      </c>
      <c r="BB1399">
        <v>0</v>
      </c>
      <c r="BC1399">
        <v>36</v>
      </c>
      <c r="BN1399">
        <v>148.01669999999999</v>
      </c>
      <c r="BO1399">
        <v>4736</v>
      </c>
      <c r="BP1399">
        <v>0</v>
      </c>
      <c r="BQ1399">
        <v>36</v>
      </c>
      <c r="BR1399">
        <v>36</v>
      </c>
      <c r="BS1399">
        <v>36.340000000000003</v>
      </c>
      <c r="BT1399">
        <v>0</v>
      </c>
      <c r="BV1399">
        <v>0</v>
      </c>
      <c r="BW1399" t="s">
        <v>655</v>
      </c>
      <c r="BX1399">
        <v>0.17</v>
      </c>
      <c r="BY1399">
        <v>6.1778000000000004</v>
      </c>
      <c r="BZ1399">
        <v>0</v>
      </c>
      <c r="CA1399">
        <v>1</v>
      </c>
      <c r="CB1399">
        <v>0.6</v>
      </c>
      <c r="CC1399" s="3">
        <v>7.1269159999999998E-2</v>
      </c>
      <c r="CD1399">
        <v>2.875</v>
      </c>
      <c r="CE1399">
        <v>2.5</v>
      </c>
      <c r="CF1399">
        <v>18</v>
      </c>
      <c r="CG1399">
        <v>6</v>
      </c>
      <c r="CH1399">
        <v>0</v>
      </c>
      <c r="CI1399">
        <v>36.340000000000003</v>
      </c>
      <c r="CJ1399">
        <v>224.0282</v>
      </c>
    </row>
    <row r="1400" spans="1:88">
      <c r="A1400">
        <v>1399</v>
      </c>
      <c r="B1400" t="s">
        <v>0</v>
      </c>
      <c r="C1400" t="s">
        <v>1</v>
      </c>
      <c r="D1400" t="s">
        <v>178</v>
      </c>
      <c r="E1400" t="s">
        <v>3</v>
      </c>
      <c r="F1400" t="s">
        <v>408</v>
      </c>
      <c r="G1400" t="s">
        <v>106</v>
      </c>
      <c r="H1400" t="s">
        <v>141</v>
      </c>
      <c r="J1400">
        <v>2</v>
      </c>
      <c r="K1400" t="s">
        <v>146</v>
      </c>
      <c r="L1400" t="s">
        <v>363</v>
      </c>
      <c r="M1400" t="s">
        <v>383</v>
      </c>
      <c r="N1400" t="s">
        <v>119</v>
      </c>
      <c r="O1400">
        <v>125</v>
      </c>
      <c r="Q1400">
        <v>305</v>
      </c>
      <c r="R1400">
        <v>60</v>
      </c>
      <c r="S1400">
        <v>4.25</v>
      </c>
      <c r="T1400">
        <v>3.4350000000000001</v>
      </c>
      <c r="U1400">
        <v>6.26</v>
      </c>
      <c r="V1400">
        <v>1294.76</v>
      </c>
      <c r="W1400">
        <v>377</v>
      </c>
      <c r="X1400">
        <v>1.3332999999999999</v>
      </c>
      <c r="Y1400">
        <v>272</v>
      </c>
      <c r="Z1400">
        <v>4.76</v>
      </c>
      <c r="AJ1400">
        <v>2</v>
      </c>
      <c r="AK1400">
        <v>18</v>
      </c>
      <c r="AM1400">
        <v>0</v>
      </c>
      <c r="AO1400" t="s">
        <v>409</v>
      </c>
      <c r="AT1400">
        <v>49</v>
      </c>
      <c r="AV1400">
        <v>31.7</v>
      </c>
      <c r="AW1400">
        <v>0</v>
      </c>
      <c r="AX1400">
        <v>0</v>
      </c>
      <c r="AY1400">
        <v>35.75</v>
      </c>
      <c r="AZ1400">
        <v>3.875</v>
      </c>
      <c r="BA1400">
        <v>0</v>
      </c>
      <c r="BB1400">
        <v>0</v>
      </c>
      <c r="BC1400">
        <v>34</v>
      </c>
      <c r="BN1400">
        <v>149.80000000000001</v>
      </c>
      <c r="BO1400">
        <v>4624</v>
      </c>
      <c r="BP1400">
        <v>0</v>
      </c>
      <c r="BQ1400">
        <v>43</v>
      </c>
      <c r="BR1400">
        <v>43</v>
      </c>
      <c r="BS1400">
        <v>42.6</v>
      </c>
      <c r="BT1400">
        <v>0</v>
      </c>
      <c r="BV1400">
        <v>0</v>
      </c>
      <c r="BW1400" t="s">
        <v>655</v>
      </c>
      <c r="BX1400">
        <v>0.17</v>
      </c>
      <c r="BY1400">
        <v>7.242</v>
      </c>
      <c r="BZ1400">
        <v>0</v>
      </c>
      <c r="CA1400">
        <v>1</v>
      </c>
      <c r="CB1400">
        <v>0.6</v>
      </c>
      <c r="CC1400" s="3">
        <v>7.1269159999999998E-2</v>
      </c>
      <c r="CD1400">
        <v>2.875</v>
      </c>
      <c r="CE1400">
        <v>2.5</v>
      </c>
      <c r="CF1400">
        <v>18</v>
      </c>
      <c r="CG1400">
        <v>6</v>
      </c>
      <c r="CH1400">
        <v>0</v>
      </c>
      <c r="CI1400">
        <v>42.6</v>
      </c>
      <c r="CJ1400">
        <v>265.6558</v>
      </c>
    </row>
    <row r="1401" spans="1:88">
      <c r="A1401">
        <v>1400</v>
      </c>
      <c r="B1401" t="s">
        <v>13</v>
      </c>
      <c r="C1401" t="s">
        <v>1</v>
      </c>
      <c r="D1401" t="s">
        <v>153</v>
      </c>
      <c r="E1401" t="s">
        <v>143</v>
      </c>
      <c r="F1401" t="s">
        <v>126</v>
      </c>
      <c r="G1401" t="s">
        <v>106</v>
      </c>
      <c r="H1401" t="s">
        <v>3</v>
      </c>
      <c r="J1401">
        <v>2</v>
      </c>
      <c r="K1401" t="s">
        <v>146</v>
      </c>
      <c r="L1401" t="s">
        <v>297</v>
      </c>
      <c r="M1401" t="s">
        <v>206</v>
      </c>
      <c r="N1401" t="s">
        <v>131</v>
      </c>
      <c r="O1401">
        <v>155</v>
      </c>
      <c r="Q1401">
        <v>500</v>
      </c>
      <c r="R1401">
        <v>78</v>
      </c>
      <c r="S1401">
        <v>4.25</v>
      </c>
      <c r="T1401">
        <v>4.1660000000000004</v>
      </c>
      <c r="U1401">
        <v>6.78</v>
      </c>
      <c r="V1401">
        <v>2124.87</v>
      </c>
      <c r="W1401">
        <v>529</v>
      </c>
      <c r="X1401">
        <v>1.3332999999999999</v>
      </c>
      <c r="Y1401">
        <v>387</v>
      </c>
      <c r="Z1401">
        <v>5.49</v>
      </c>
      <c r="AJ1401">
        <v>2</v>
      </c>
      <c r="AK1401">
        <v>18</v>
      </c>
      <c r="AM1401">
        <v>0</v>
      </c>
      <c r="AO1401" t="s">
        <v>383</v>
      </c>
      <c r="AT1401">
        <v>59</v>
      </c>
      <c r="AV1401">
        <v>43</v>
      </c>
      <c r="AW1401">
        <v>0.46875</v>
      </c>
      <c r="AX1401">
        <v>3.75</v>
      </c>
      <c r="AY1401">
        <v>56.5</v>
      </c>
      <c r="AZ1401">
        <v>5.125</v>
      </c>
      <c r="BA1401">
        <v>358.98</v>
      </c>
      <c r="BB1401">
        <v>5.49</v>
      </c>
      <c r="BC1401">
        <v>61</v>
      </c>
      <c r="BD1401">
        <v>0.25</v>
      </c>
      <c r="BE1401">
        <v>2.75</v>
      </c>
      <c r="BF1401">
        <v>41</v>
      </c>
      <c r="BG1401">
        <v>2.75</v>
      </c>
      <c r="BH1401">
        <v>28.06</v>
      </c>
      <c r="BI1401">
        <v>12.23</v>
      </c>
      <c r="BJ1401">
        <v>18</v>
      </c>
      <c r="BL1401">
        <v>387.04</v>
      </c>
      <c r="BM1401">
        <v>78</v>
      </c>
      <c r="BN1401">
        <v>205.08340000000001</v>
      </c>
      <c r="BO1401">
        <v>2467</v>
      </c>
      <c r="BP1401">
        <v>0</v>
      </c>
      <c r="BQ1401">
        <v>53</v>
      </c>
      <c r="BR1401">
        <v>53</v>
      </c>
      <c r="BS1401">
        <v>53.04</v>
      </c>
      <c r="BT1401">
        <v>0</v>
      </c>
      <c r="BV1401">
        <v>0</v>
      </c>
      <c r="BW1401" t="s">
        <v>655</v>
      </c>
      <c r="BX1401">
        <v>0.17</v>
      </c>
      <c r="BY1401">
        <v>9.0167999999999999</v>
      </c>
      <c r="BZ1401">
        <v>0</v>
      </c>
      <c r="CA1401">
        <v>1</v>
      </c>
      <c r="CB1401">
        <v>0.6</v>
      </c>
      <c r="CC1401" s="3">
        <v>7.1269159999999998E-2</v>
      </c>
      <c r="CD1401">
        <v>2.875</v>
      </c>
      <c r="CE1401">
        <v>2.5</v>
      </c>
      <c r="CF1401">
        <v>18</v>
      </c>
      <c r="CG1401">
        <v>6</v>
      </c>
      <c r="CH1401">
        <v>0</v>
      </c>
      <c r="CI1401">
        <v>53.04</v>
      </c>
      <c r="CJ1401">
        <v>447.94380000000001</v>
      </c>
    </row>
    <row r="1402" spans="1:88">
      <c r="A1402">
        <v>1401</v>
      </c>
      <c r="B1402" t="s">
        <v>13</v>
      </c>
      <c r="C1402" t="s">
        <v>1</v>
      </c>
      <c r="D1402" t="s">
        <v>545</v>
      </c>
      <c r="E1402" t="s">
        <v>96</v>
      </c>
      <c r="F1402" t="s">
        <v>437</v>
      </c>
      <c r="G1402" t="s">
        <v>15</v>
      </c>
      <c r="H1402" t="s">
        <v>548</v>
      </c>
      <c r="J1402">
        <v>2</v>
      </c>
      <c r="K1402" t="s">
        <v>108</v>
      </c>
      <c r="L1402" t="s">
        <v>293</v>
      </c>
      <c r="M1402" t="s">
        <v>100</v>
      </c>
      <c r="N1402" t="s">
        <v>101</v>
      </c>
      <c r="O1402">
        <v>131</v>
      </c>
      <c r="Q1402">
        <v>798</v>
      </c>
      <c r="R1402">
        <v>141</v>
      </c>
      <c r="S1402">
        <v>4.25</v>
      </c>
      <c r="T1402">
        <v>3.5859999999999999</v>
      </c>
      <c r="U1402">
        <v>6.37</v>
      </c>
      <c r="V1402">
        <v>3392.98</v>
      </c>
      <c r="W1402">
        <v>896</v>
      </c>
      <c r="X1402">
        <v>1.3332999999999999</v>
      </c>
      <c r="Y1402">
        <v>691</v>
      </c>
      <c r="Z1402">
        <v>4.91</v>
      </c>
      <c r="AJ1402">
        <v>2</v>
      </c>
      <c r="AK1402">
        <v>18</v>
      </c>
      <c r="AM1402">
        <v>0</v>
      </c>
      <c r="AO1402" t="s">
        <v>549</v>
      </c>
      <c r="AT1402">
        <v>51</v>
      </c>
      <c r="AV1402">
        <v>80.900000000000006</v>
      </c>
      <c r="AW1402" t="s">
        <v>6</v>
      </c>
      <c r="AX1402" t="s">
        <v>6</v>
      </c>
      <c r="AY1402" t="s">
        <v>6</v>
      </c>
      <c r="AZ1402" t="s">
        <v>6</v>
      </c>
      <c r="BA1402" t="s">
        <v>6</v>
      </c>
      <c r="BB1402" t="s">
        <v>6</v>
      </c>
      <c r="BC1402" t="s">
        <v>6</v>
      </c>
      <c r="BD1402" t="s">
        <v>6</v>
      </c>
      <c r="BE1402" t="s">
        <v>6</v>
      </c>
      <c r="BF1402" t="s">
        <v>6</v>
      </c>
      <c r="BG1402" t="s">
        <v>6</v>
      </c>
      <c r="BH1402" t="s">
        <v>6</v>
      </c>
      <c r="BI1402" t="s">
        <v>6</v>
      </c>
      <c r="BJ1402" t="s">
        <v>6</v>
      </c>
      <c r="BN1402">
        <v>691.39949999999999</v>
      </c>
      <c r="BO1402">
        <v>2288</v>
      </c>
      <c r="BP1402">
        <v>0</v>
      </c>
      <c r="BQ1402">
        <v>45</v>
      </c>
      <c r="BR1402">
        <v>45</v>
      </c>
      <c r="BS1402">
        <v>44.69</v>
      </c>
      <c r="BT1402">
        <v>0</v>
      </c>
      <c r="BV1402">
        <v>0</v>
      </c>
      <c r="BW1402" t="s">
        <v>655</v>
      </c>
      <c r="BX1402">
        <v>0.17</v>
      </c>
      <c r="BY1402">
        <v>7.5972999999999997</v>
      </c>
      <c r="BZ1402">
        <v>0</v>
      </c>
      <c r="CA1402">
        <v>1</v>
      </c>
      <c r="CB1402">
        <v>0.6</v>
      </c>
      <c r="CC1402" s="3">
        <v>7.1269159999999998E-2</v>
      </c>
      <c r="CD1402">
        <v>2.875</v>
      </c>
      <c r="CE1402">
        <v>2.5</v>
      </c>
      <c r="CF1402">
        <v>18</v>
      </c>
      <c r="CG1402">
        <v>6</v>
      </c>
      <c r="CH1402">
        <v>0</v>
      </c>
      <c r="CI1402">
        <v>44.69</v>
      </c>
      <c r="CJ1402">
        <v>709.86099999999999</v>
      </c>
    </row>
    <row r="1403" spans="1:88">
      <c r="A1403">
        <v>1402</v>
      </c>
      <c r="B1403" t="s">
        <v>13</v>
      </c>
      <c r="C1403" t="s">
        <v>1</v>
      </c>
      <c r="D1403" t="s">
        <v>397</v>
      </c>
      <c r="E1403" t="s">
        <v>342</v>
      </c>
      <c r="F1403" t="s">
        <v>625</v>
      </c>
      <c r="G1403" t="s">
        <v>214</v>
      </c>
      <c r="H1403" t="s">
        <v>626</v>
      </c>
      <c r="J1403">
        <v>2</v>
      </c>
      <c r="K1403" t="s">
        <v>108</v>
      </c>
      <c r="L1403" t="s">
        <v>139</v>
      </c>
      <c r="M1403" t="s">
        <v>345</v>
      </c>
      <c r="N1403" t="s">
        <v>346</v>
      </c>
      <c r="O1403">
        <v>89</v>
      </c>
      <c r="Q1403">
        <v>519</v>
      </c>
      <c r="R1403">
        <v>129</v>
      </c>
      <c r="S1403">
        <v>4.25</v>
      </c>
      <c r="T1403">
        <v>2.4849999999999999</v>
      </c>
      <c r="U1403">
        <v>5.7</v>
      </c>
      <c r="V1403">
        <v>2204.34</v>
      </c>
      <c r="W1403">
        <v>737</v>
      </c>
      <c r="X1403">
        <v>1.3332999999999999</v>
      </c>
      <c r="Y1403">
        <v>579</v>
      </c>
      <c r="Z1403">
        <v>3.81</v>
      </c>
      <c r="AJ1403">
        <v>2</v>
      </c>
      <c r="AK1403">
        <v>18</v>
      </c>
      <c r="AM1403">
        <v>0</v>
      </c>
      <c r="AO1403" t="s">
        <v>450</v>
      </c>
      <c r="AT1403">
        <v>36</v>
      </c>
      <c r="AV1403">
        <v>74.3</v>
      </c>
      <c r="AW1403">
        <v>0.46875</v>
      </c>
      <c r="AX1403">
        <v>3.75</v>
      </c>
      <c r="AY1403">
        <v>39.25</v>
      </c>
      <c r="AZ1403">
        <v>3.625</v>
      </c>
      <c r="BA1403">
        <v>517.27009999999996</v>
      </c>
      <c r="BB1403">
        <v>3.81</v>
      </c>
      <c r="BC1403">
        <v>42</v>
      </c>
      <c r="BD1403">
        <v>0.25</v>
      </c>
      <c r="BE1403">
        <v>2.75</v>
      </c>
      <c r="BF1403">
        <v>18.75</v>
      </c>
      <c r="BG1403">
        <v>1.875</v>
      </c>
      <c r="BH1403">
        <v>61.28</v>
      </c>
      <c r="BI1403">
        <v>5.6</v>
      </c>
      <c r="BJ1403">
        <v>8</v>
      </c>
      <c r="BL1403">
        <v>578.55010000000004</v>
      </c>
      <c r="BM1403">
        <v>50</v>
      </c>
      <c r="BN1403">
        <v>361.46499999999997</v>
      </c>
      <c r="BO1403">
        <v>996</v>
      </c>
      <c r="BP1403">
        <v>0</v>
      </c>
      <c r="BQ1403">
        <v>30</v>
      </c>
      <c r="BR1403">
        <v>30</v>
      </c>
      <c r="BS1403">
        <v>30.08</v>
      </c>
      <c r="BT1403">
        <v>0</v>
      </c>
      <c r="BV1403">
        <v>0</v>
      </c>
      <c r="BW1403" t="s">
        <v>655</v>
      </c>
      <c r="BX1403">
        <v>0.17</v>
      </c>
      <c r="BY1403">
        <v>5.1135999999999999</v>
      </c>
      <c r="BZ1403">
        <v>0</v>
      </c>
      <c r="CA1403">
        <v>1</v>
      </c>
      <c r="CB1403">
        <v>0.6</v>
      </c>
      <c r="CC1403" s="3">
        <v>7.1269159999999998E-2</v>
      </c>
      <c r="CD1403">
        <v>2.875</v>
      </c>
      <c r="CE1403">
        <v>2.5</v>
      </c>
      <c r="CF1403">
        <v>18</v>
      </c>
      <c r="CG1403">
        <v>6</v>
      </c>
      <c r="CH1403">
        <v>0</v>
      </c>
      <c r="CI1403">
        <v>30.08</v>
      </c>
      <c r="CJ1403">
        <v>439.20620000000002</v>
      </c>
    </row>
    <row r="1404" spans="1:88">
      <c r="A1404">
        <v>1403</v>
      </c>
      <c r="B1404" t="s">
        <v>0</v>
      </c>
      <c r="C1404" t="s">
        <v>1</v>
      </c>
      <c r="D1404" t="s">
        <v>338</v>
      </c>
      <c r="E1404" t="s">
        <v>552</v>
      </c>
      <c r="F1404" t="s">
        <v>360</v>
      </c>
      <c r="G1404" t="s">
        <v>106</v>
      </c>
      <c r="H1404" t="s">
        <v>101</v>
      </c>
      <c r="J1404">
        <v>2</v>
      </c>
      <c r="K1404" t="s">
        <v>146</v>
      </c>
      <c r="L1404" t="s">
        <v>104</v>
      </c>
      <c r="M1404" t="s">
        <v>600</v>
      </c>
      <c r="N1404" t="s">
        <v>348</v>
      </c>
      <c r="O1404">
        <v>171</v>
      </c>
      <c r="Q1404">
        <v>589</v>
      </c>
      <c r="R1404">
        <v>83</v>
      </c>
      <c r="S1404">
        <v>4.25</v>
      </c>
      <c r="T1404">
        <v>4.5380000000000003</v>
      </c>
      <c r="U1404">
        <v>6.93</v>
      </c>
      <c r="V1404">
        <v>2502.0500000000002</v>
      </c>
      <c r="W1404">
        <v>576</v>
      </c>
      <c r="X1404">
        <v>1.3332999999999999</v>
      </c>
      <c r="Y1404">
        <v>426</v>
      </c>
      <c r="Z1404">
        <v>5.87</v>
      </c>
      <c r="AJ1404">
        <v>2</v>
      </c>
      <c r="AK1404">
        <v>18</v>
      </c>
      <c r="AM1404">
        <v>0</v>
      </c>
      <c r="AO1404" t="s">
        <v>403</v>
      </c>
      <c r="AT1404">
        <v>65</v>
      </c>
      <c r="AV1404">
        <v>46.2</v>
      </c>
      <c r="AW1404">
        <v>0.46875</v>
      </c>
      <c r="AX1404">
        <v>3.75</v>
      </c>
      <c r="AY1404">
        <v>60.375</v>
      </c>
      <c r="AZ1404">
        <v>5.5</v>
      </c>
      <c r="BA1404">
        <v>335.74</v>
      </c>
      <c r="BB1404">
        <v>5.87</v>
      </c>
      <c r="BC1404">
        <v>65</v>
      </c>
      <c r="BD1404">
        <v>0.3125</v>
      </c>
      <c r="BE1404">
        <v>2.75</v>
      </c>
      <c r="BF1404">
        <v>39.75</v>
      </c>
      <c r="BG1404">
        <v>3.625</v>
      </c>
      <c r="BH1404">
        <v>90.5</v>
      </c>
      <c r="BI1404">
        <v>7.06</v>
      </c>
      <c r="BJ1404">
        <v>21</v>
      </c>
      <c r="BL1404">
        <v>426.24</v>
      </c>
      <c r="BM1404">
        <v>85</v>
      </c>
      <c r="BN1404">
        <v>221.13339999999999</v>
      </c>
      <c r="BO1404">
        <v>2122</v>
      </c>
      <c r="BP1404">
        <v>0</v>
      </c>
      <c r="BQ1404">
        <v>59</v>
      </c>
      <c r="BR1404">
        <v>59</v>
      </c>
      <c r="BS1404">
        <v>58.6</v>
      </c>
      <c r="BT1404">
        <v>0</v>
      </c>
      <c r="BV1404">
        <v>0</v>
      </c>
      <c r="BW1404" t="s">
        <v>655</v>
      </c>
      <c r="BX1404">
        <v>0.17</v>
      </c>
      <c r="BY1404">
        <v>9.9619999999999997</v>
      </c>
      <c r="BZ1404">
        <v>0</v>
      </c>
      <c r="CA1404">
        <v>1</v>
      </c>
      <c r="CB1404">
        <v>0.6</v>
      </c>
      <c r="CC1404" s="3">
        <v>7.1269159999999998E-2</v>
      </c>
      <c r="CD1404">
        <v>2.875</v>
      </c>
      <c r="CE1404">
        <v>2.5</v>
      </c>
      <c r="CF1404">
        <v>18</v>
      </c>
      <c r="CG1404">
        <v>6</v>
      </c>
      <c r="CH1404">
        <v>0</v>
      </c>
      <c r="CI1404">
        <v>58.6</v>
      </c>
      <c r="CJ1404">
        <v>532.48749999999995</v>
      </c>
    </row>
    <row r="1405" spans="1:88">
      <c r="A1405">
        <v>1404</v>
      </c>
      <c r="B1405" t="s">
        <v>13</v>
      </c>
      <c r="C1405" t="s">
        <v>1</v>
      </c>
      <c r="D1405" t="s">
        <v>135</v>
      </c>
      <c r="E1405" t="s">
        <v>178</v>
      </c>
      <c r="F1405" t="s">
        <v>137</v>
      </c>
      <c r="G1405" t="s">
        <v>106</v>
      </c>
      <c r="H1405" t="s">
        <v>138</v>
      </c>
      <c r="J1405">
        <v>2</v>
      </c>
      <c r="K1405" t="s">
        <v>146</v>
      </c>
      <c r="L1405" t="s">
        <v>127</v>
      </c>
      <c r="M1405" t="s">
        <v>179</v>
      </c>
      <c r="N1405" t="s">
        <v>180</v>
      </c>
      <c r="O1405">
        <v>95</v>
      </c>
      <c r="Q1405">
        <v>174</v>
      </c>
      <c r="R1405">
        <v>41</v>
      </c>
      <c r="S1405">
        <v>4.25</v>
      </c>
      <c r="T1405">
        <v>2.649</v>
      </c>
      <c r="U1405">
        <v>5.81</v>
      </c>
      <c r="V1405">
        <v>739.88</v>
      </c>
      <c r="W1405">
        <v>241</v>
      </c>
      <c r="X1405">
        <v>1.3332999999999999</v>
      </c>
      <c r="Y1405">
        <v>186</v>
      </c>
      <c r="Z1405">
        <v>3.98</v>
      </c>
      <c r="AJ1405">
        <v>2</v>
      </c>
      <c r="AK1405">
        <v>18</v>
      </c>
      <c r="AM1405">
        <v>0</v>
      </c>
      <c r="AO1405" t="s">
        <v>142</v>
      </c>
      <c r="AT1405">
        <v>38</v>
      </c>
      <c r="AV1405">
        <v>23</v>
      </c>
      <c r="AW1405">
        <v>0</v>
      </c>
      <c r="AX1405">
        <v>0</v>
      </c>
      <c r="AY1405">
        <v>34.75</v>
      </c>
      <c r="AZ1405">
        <v>3</v>
      </c>
      <c r="BA1405">
        <v>0</v>
      </c>
      <c r="BB1405">
        <v>0</v>
      </c>
      <c r="BC1405">
        <v>31</v>
      </c>
      <c r="BN1405">
        <v>107</v>
      </c>
      <c r="BO1405">
        <v>9064</v>
      </c>
      <c r="BP1405">
        <v>0</v>
      </c>
      <c r="BQ1405">
        <v>32</v>
      </c>
      <c r="BR1405">
        <v>32</v>
      </c>
      <c r="BS1405">
        <v>32.17</v>
      </c>
      <c r="BT1405">
        <v>0</v>
      </c>
      <c r="BV1405">
        <v>0</v>
      </c>
      <c r="BW1405" t="s">
        <v>655</v>
      </c>
      <c r="BX1405">
        <v>0.17</v>
      </c>
      <c r="BY1405">
        <v>5.4688999999999997</v>
      </c>
      <c r="BZ1405">
        <v>0</v>
      </c>
      <c r="CA1405">
        <v>1</v>
      </c>
      <c r="CB1405">
        <v>0.6</v>
      </c>
      <c r="CC1405" s="3">
        <v>7.1269159999999998E-2</v>
      </c>
      <c r="CD1405">
        <v>2.875</v>
      </c>
      <c r="CE1405">
        <v>2.5</v>
      </c>
      <c r="CF1405">
        <v>18</v>
      </c>
      <c r="CG1405">
        <v>6</v>
      </c>
      <c r="CH1405">
        <v>0</v>
      </c>
      <c r="CI1405">
        <v>32.17</v>
      </c>
      <c r="CJ1405">
        <v>145.5883</v>
      </c>
    </row>
    <row r="1406" spans="1:88">
      <c r="A1406">
        <v>1405</v>
      </c>
      <c r="B1406" t="s">
        <v>0</v>
      </c>
      <c r="C1406" t="s">
        <v>1</v>
      </c>
      <c r="D1406" t="s">
        <v>143</v>
      </c>
      <c r="E1406" t="s">
        <v>113</v>
      </c>
      <c r="F1406" t="s">
        <v>144</v>
      </c>
      <c r="G1406" t="s">
        <v>106</v>
      </c>
      <c r="H1406" t="s">
        <v>145</v>
      </c>
      <c r="J1406">
        <v>2</v>
      </c>
      <c r="K1406" t="s">
        <v>146</v>
      </c>
      <c r="L1406" t="s">
        <v>116</v>
      </c>
      <c r="M1406" t="s">
        <v>117</v>
      </c>
      <c r="N1406" t="s">
        <v>14</v>
      </c>
      <c r="O1406">
        <v>179</v>
      </c>
      <c r="Q1406">
        <v>709</v>
      </c>
      <c r="R1406">
        <v>95</v>
      </c>
      <c r="S1406">
        <v>4.25</v>
      </c>
      <c r="T1406">
        <v>4.7190000000000003</v>
      </c>
      <c r="U1406">
        <v>7.05</v>
      </c>
      <c r="V1406">
        <v>3014.61</v>
      </c>
      <c r="W1406">
        <v>667</v>
      </c>
      <c r="X1406">
        <v>1.3332999999999999</v>
      </c>
      <c r="Y1406">
        <v>498</v>
      </c>
      <c r="Z1406">
        <v>6.05</v>
      </c>
      <c r="AJ1406">
        <v>2</v>
      </c>
      <c r="AK1406">
        <v>18</v>
      </c>
      <c r="AM1406">
        <v>0</v>
      </c>
      <c r="AO1406" t="s">
        <v>149</v>
      </c>
      <c r="AT1406">
        <v>68</v>
      </c>
      <c r="AV1406">
        <v>53.5</v>
      </c>
      <c r="AW1406">
        <v>0.4375</v>
      </c>
      <c r="AX1406">
        <v>3.75</v>
      </c>
      <c r="AY1406">
        <v>51.875</v>
      </c>
      <c r="AZ1406">
        <v>5.25</v>
      </c>
      <c r="BA1406">
        <v>274.05</v>
      </c>
      <c r="BB1406">
        <v>6</v>
      </c>
      <c r="BC1406">
        <v>53</v>
      </c>
      <c r="BD1406">
        <v>0.4375</v>
      </c>
      <c r="BE1406">
        <v>3.75</v>
      </c>
      <c r="BF1406">
        <v>63.5</v>
      </c>
      <c r="BG1406">
        <v>5.25</v>
      </c>
      <c r="BH1406">
        <v>224.23</v>
      </c>
      <c r="BI1406">
        <v>7.33</v>
      </c>
      <c r="BJ1406">
        <v>64</v>
      </c>
      <c r="BL1406">
        <v>498.28</v>
      </c>
      <c r="BM1406">
        <v>116</v>
      </c>
      <c r="BN1406">
        <v>256.80009999999999</v>
      </c>
      <c r="BO1406">
        <v>1574</v>
      </c>
      <c r="BP1406">
        <v>0</v>
      </c>
      <c r="BQ1406">
        <v>61</v>
      </c>
      <c r="BR1406">
        <v>61</v>
      </c>
      <c r="BS1406">
        <v>61.39</v>
      </c>
      <c r="BT1406">
        <v>0</v>
      </c>
      <c r="BV1406">
        <v>0</v>
      </c>
      <c r="BW1406" t="s">
        <v>655</v>
      </c>
      <c r="BX1406">
        <v>0.17</v>
      </c>
      <c r="BY1406">
        <v>10.436299999999999</v>
      </c>
      <c r="BZ1406">
        <v>0</v>
      </c>
      <c r="CA1406">
        <v>1</v>
      </c>
      <c r="CB1406">
        <v>0.6</v>
      </c>
      <c r="CC1406" s="3">
        <v>7.1269159999999998E-2</v>
      </c>
      <c r="CD1406">
        <v>2.875</v>
      </c>
      <c r="CE1406">
        <v>2.5</v>
      </c>
      <c r="CF1406">
        <v>18</v>
      </c>
      <c r="CG1406">
        <v>6</v>
      </c>
      <c r="CH1406">
        <v>0</v>
      </c>
      <c r="CI1406">
        <v>61.39</v>
      </c>
      <c r="CJ1406">
        <v>645.34400000000005</v>
      </c>
    </row>
    <row r="1407" spans="1:88">
      <c r="A1407">
        <v>1406</v>
      </c>
      <c r="B1407" t="s">
        <v>13</v>
      </c>
      <c r="C1407" t="s">
        <v>1</v>
      </c>
      <c r="D1407" t="s">
        <v>174</v>
      </c>
      <c r="E1407" t="s">
        <v>143</v>
      </c>
      <c r="F1407" t="s">
        <v>270</v>
      </c>
      <c r="G1407" t="s">
        <v>106</v>
      </c>
      <c r="H1407" t="s">
        <v>369</v>
      </c>
      <c r="J1407">
        <v>2</v>
      </c>
      <c r="K1407" t="s">
        <v>146</v>
      </c>
      <c r="L1407" t="s">
        <v>297</v>
      </c>
      <c r="M1407" t="s">
        <v>206</v>
      </c>
      <c r="N1407" t="s">
        <v>131</v>
      </c>
      <c r="O1407">
        <v>155</v>
      </c>
      <c r="Q1407">
        <v>483</v>
      </c>
      <c r="R1407">
        <v>76</v>
      </c>
      <c r="S1407">
        <v>4.25</v>
      </c>
      <c r="T1407">
        <v>4.1660000000000004</v>
      </c>
      <c r="U1407">
        <v>6.78</v>
      </c>
      <c r="V1407">
        <v>2054.4499999999998</v>
      </c>
      <c r="W1407">
        <v>513</v>
      </c>
      <c r="X1407">
        <v>1.3332999999999999</v>
      </c>
      <c r="Y1407">
        <v>374</v>
      </c>
      <c r="Z1407">
        <v>5.49</v>
      </c>
      <c r="AJ1407">
        <v>2</v>
      </c>
      <c r="AK1407">
        <v>18</v>
      </c>
      <c r="AM1407">
        <v>0</v>
      </c>
      <c r="AO1407" t="s">
        <v>480</v>
      </c>
      <c r="AT1407">
        <v>59</v>
      </c>
      <c r="AV1407">
        <v>41.5</v>
      </c>
      <c r="AW1407">
        <v>0.46875</v>
      </c>
      <c r="AX1407">
        <v>3.75</v>
      </c>
      <c r="AY1407">
        <v>56.5</v>
      </c>
      <c r="AZ1407">
        <v>5.125</v>
      </c>
      <c r="BA1407">
        <v>358.98</v>
      </c>
      <c r="BB1407">
        <v>5.49</v>
      </c>
      <c r="BC1407">
        <v>61</v>
      </c>
      <c r="BD1407">
        <v>0.1875</v>
      </c>
      <c r="BE1407">
        <v>2.75</v>
      </c>
      <c r="BF1407">
        <v>17.5</v>
      </c>
      <c r="BG1407">
        <v>2</v>
      </c>
      <c r="BH1407">
        <v>15.22</v>
      </c>
      <c r="BI1407">
        <v>9.9600000000000009</v>
      </c>
      <c r="BJ1407">
        <v>6</v>
      </c>
      <c r="BL1407">
        <v>374.2</v>
      </c>
      <c r="BM1407">
        <v>66</v>
      </c>
      <c r="BN1407">
        <v>197.95</v>
      </c>
      <c r="BO1407">
        <v>2648</v>
      </c>
      <c r="BP1407">
        <v>0</v>
      </c>
      <c r="BQ1407">
        <v>53</v>
      </c>
      <c r="BR1407">
        <v>53</v>
      </c>
      <c r="BS1407">
        <v>53.04</v>
      </c>
      <c r="BT1407">
        <v>0</v>
      </c>
      <c r="BV1407">
        <v>0</v>
      </c>
      <c r="BW1407" t="s">
        <v>655</v>
      </c>
      <c r="BX1407">
        <v>0.17</v>
      </c>
      <c r="BY1407">
        <v>9.0167999999999999</v>
      </c>
      <c r="BZ1407">
        <v>0</v>
      </c>
      <c r="CA1407">
        <v>1</v>
      </c>
      <c r="CB1407">
        <v>0.6</v>
      </c>
      <c r="CC1407" s="3">
        <v>7.1269159999999998E-2</v>
      </c>
      <c r="CD1407">
        <v>2.875</v>
      </c>
      <c r="CE1407">
        <v>2.5</v>
      </c>
      <c r="CF1407">
        <v>18</v>
      </c>
      <c r="CG1407">
        <v>6</v>
      </c>
      <c r="CH1407">
        <v>0</v>
      </c>
      <c r="CI1407">
        <v>53.04</v>
      </c>
      <c r="CJ1407">
        <v>432.82330000000002</v>
      </c>
    </row>
    <row r="1408" spans="1:88">
      <c r="A1408">
        <v>1407</v>
      </c>
      <c r="B1408" t="s">
        <v>0</v>
      </c>
      <c r="C1408" t="s">
        <v>1</v>
      </c>
      <c r="D1408" t="s">
        <v>279</v>
      </c>
      <c r="E1408" t="s">
        <v>381</v>
      </c>
      <c r="F1408" t="s">
        <v>236</v>
      </c>
      <c r="G1408" t="s">
        <v>106</v>
      </c>
      <c r="H1408" t="s">
        <v>143</v>
      </c>
      <c r="J1408">
        <v>2</v>
      </c>
      <c r="K1408" t="s">
        <v>146</v>
      </c>
      <c r="L1408" t="s">
        <v>267</v>
      </c>
      <c r="M1408" t="s">
        <v>384</v>
      </c>
      <c r="N1408" t="s">
        <v>257</v>
      </c>
      <c r="O1408">
        <v>139</v>
      </c>
      <c r="Q1408">
        <v>564</v>
      </c>
      <c r="R1408">
        <v>95</v>
      </c>
      <c r="S1408">
        <v>4.25</v>
      </c>
      <c r="T1408">
        <v>3.7829999999999999</v>
      </c>
      <c r="U1408">
        <v>6.52</v>
      </c>
      <c r="V1408">
        <v>2398.5300000000002</v>
      </c>
      <c r="W1408">
        <v>621</v>
      </c>
      <c r="X1408">
        <v>1.3332999999999999</v>
      </c>
      <c r="Y1408">
        <v>469</v>
      </c>
      <c r="Z1408">
        <v>5.1100000000000003</v>
      </c>
      <c r="AJ1408">
        <v>2</v>
      </c>
      <c r="AK1408">
        <v>18</v>
      </c>
      <c r="AM1408">
        <v>0</v>
      </c>
      <c r="AO1408" t="s">
        <v>206</v>
      </c>
      <c r="AT1408">
        <v>54</v>
      </c>
      <c r="AV1408">
        <v>53.9</v>
      </c>
      <c r="AW1408">
        <v>0.46875</v>
      </c>
      <c r="AX1408">
        <v>3.75</v>
      </c>
      <c r="AY1408">
        <v>52.5</v>
      </c>
      <c r="AZ1408">
        <v>4.75</v>
      </c>
      <c r="BA1408">
        <v>385.67</v>
      </c>
      <c r="BB1408">
        <v>5.1100000000000003</v>
      </c>
      <c r="BC1408">
        <v>56</v>
      </c>
      <c r="BD1408">
        <v>0.3125</v>
      </c>
      <c r="BE1408">
        <v>2.75</v>
      </c>
      <c r="BF1408">
        <v>43</v>
      </c>
      <c r="BG1408">
        <v>3.25</v>
      </c>
      <c r="BH1408">
        <v>83.69</v>
      </c>
      <c r="BI1408">
        <v>7.63</v>
      </c>
      <c r="BJ1408">
        <v>23</v>
      </c>
      <c r="BL1408">
        <v>469.36</v>
      </c>
      <c r="BM1408">
        <v>79</v>
      </c>
      <c r="BN1408">
        <v>258.58339999999998</v>
      </c>
      <c r="BO1408">
        <v>1552</v>
      </c>
      <c r="BP1408">
        <v>0</v>
      </c>
      <c r="BQ1408">
        <v>47</v>
      </c>
      <c r="BR1408">
        <v>47</v>
      </c>
      <c r="BS1408">
        <v>47.47</v>
      </c>
      <c r="BT1408">
        <v>0</v>
      </c>
      <c r="BV1408">
        <v>0</v>
      </c>
      <c r="BW1408" t="s">
        <v>655</v>
      </c>
      <c r="BX1408">
        <v>0.17</v>
      </c>
      <c r="BY1408">
        <v>8.0699009999999998</v>
      </c>
      <c r="BZ1408">
        <v>0</v>
      </c>
      <c r="CA1408">
        <v>1</v>
      </c>
      <c r="CB1408">
        <v>0.6</v>
      </c>
      <c r="CC1408" s="3">
        <v>7.1269159999999998E-2</v>
      </c>
      <c r="CD1408">
        <v>2.875</v>
      </c>
      <c r="CE1408">
        <v>2.5</v>
      </c>
      <c r="CF1408">
        <v>18</v>
      </c>
      <c r="CG1408">
        <v>6</v>
      </c>
      <c r="CH1408">
        <v>0</v>
      </c>
      <c r="CI1408">
        <v>47.47</v>
      </c>
      <c r="CJ1408">
        <v>502.39729999999997</v>
      </c>
    </row>
    <row r="1409" spans="1:88">
      <c r="A1409">
        <v>1408</v>
      </c>
      <c r="B1409" t="s">
        <v>13</v>
      </c>
      <c r="C1409" t="s">
        <v>1</v>
      </c>
      <c r="D1409" t="s">
        <v>430</v>
      </c>
      <c r="E1409" t="s">
        <v>366</v>
      </c>
      <c r="F1409" t="s">
        <v>445</v>
      </c>
      <c r="G1409" t="s">
        <v>106</v>
      </c>
      <c r="H1409" t="s">
        <v>446</v>
      </c>
      <c r="J1409">
        <v>2</v>
      </c>
      <c r="K1409" t="s">
        <v>146</v>
      </c>
      <c r="L1409" t="s">
        <v>268</v>
      </c>
      <c r="M1409" t="s">
        <v>370</v>
      </c>
      <c r="N1409" t="s">
        <v>217</v>
      </c>
      <c r="O1409">
        <v>103</v>
      </c>
      <c r="Q1409">
        <v>170</v>
      </c>
      <c r="R1409">
        <v>38</v>
      </c>
      <c r="S1409">
        <v>4.25</v>
      </c>
      <c r="T1409">
        <v>2.8650000000000002</v>
      </c>
      <c r="U1409">
        <v>5.96</v>
      </c>
      <c r="V1409">
        <v>722.62</v>
      </c>
      <c r="W1409">
        <v>226</v>
      </c>
      <c r="X1409">
        <v>1.3332999999999999</v>
      </c>
      <c r="Y1409">
        <v>172</v>
      </c>
      <c r="Z1409">
        <v>4.1900000000000004</v>
      </c>
      <c r="AJ1409">
        <v>2</v>
      </c>
      <c r="AK1409">
        <v>18</v>
      </c>
      <c r="AM1409">
        <v>0</v>
      </c>
      <c r="AO1409" t="s">
        <v>447</v>
      </c>
      <c r="AT1409">
        <v>41</v>
      </c>
      <c r="AV1409">
        <v>20.8</v>
      </c>
      <c r="AW1409">
        <v>0</v>
      </c>
      <c r="AX1409">
        <v>0</v>
      </c>
      <c r="AY1409">
        <v>37.5</v>
      </c>
      <c r="AZ1409">
        <v>3.125</v>
      </c>
      <c r="BA1409">
        <v>0</v>
      </c>
      <c r="BB1409">
        <v>0</v>
      </c>
      <c r="BC1409">
        <v>33</v>
      </c>
      <c r="BN1409">
        <v>96.300020000000004</v>
      </c>
      <c r="BO1409">
        <v>11190</v>
      </c>
      <c r="BP1409">
        <v>0</v>
      </c>
      <c r="BQ1409">
        <v>35</v>
      </c>
      <c r="BR1409">
        <v>35</v>
      </c>
      <c r="BS1409">
        <v>34.950000000000003</v>
      </c>
      <c r="BT1409">
        <v>0</v>
      </c>
      <c r="BV1409">
        <v>0</v>
      </c>
      <c r="BW1409" t="s">
        <v>655</v>
      </c>
      <c r="BX1409">
        <v>0.17</v>
      </c>
      <c r="BY1409">
        <v>5.9414999999999996</v>
      </c>
      <c r="BZ1409">
        <v>0</v>
      </c>
      <c r="CA1409">
        <v>1</v>
      </c>
      <c r="CB1409">
        <v>0.6</v>
      </c>
      <c r="CC1409" s="3">
        <v>7.1269159999999998E-2</v>
      </c>
      <c r="CD1409">
        <v>2.875</v>
      </c>
      <c r="CE1409">
        <v>2.5</v>
      </c>
      <c r="CF1409">
        <v>18</v>
      </c>
      <c r="CG1409">
        <v>6</v>
      </c>
      <c r="CH1409">
        <v>0</v>
      </c>
      <c r="CI1409">
        <v>34.950000000000003</v>
      </c>
      <c r="CJ1409">
        <v>143.2243</v>
      </c>
    </row>
    <row r="1410" spans="1:88">
      <c r="A1410">
        <v>1409</v>
      </c>
      <c r="B1410" t="s">
        <v>0</v>
      </c>
      <c r="C1410" t="s">
        <v>1</v>
      </c>
      <c r="D1410" t="s">
        <v>253</v>
      </c>
      <c r="E1410" t="s">
        <v>280</v>
      </c>
      <c r="F1410" t="s">
        <v>636</v>
      </c>
      <c r="G1410" t="s">
        <v>15</v>
      </c>
      <c r="H1410" t="s">
        <v>637</v>
      </c>
      <c r="J1410">
        <v>2</v>
      </c>
      <c r="K1410" t="s">
        <v>108</v>
      </c>
      <c r="L1410" t="s">
        <v>324</v>
      </c>
      <c r="M1410" t="s">
        <v>544</v>
      </c>
      <c r="N1410" t="s">
        <v>545</v>
      </c>
      <c r="O1410">
        <v>227</v>
      </c>
      <c r="Q1410">
        <v>1139</v>
      </c>
      <c r="R1410">
        <v>131</v>
      </c>
      <c r="S1410">
        <v>4.25</v>
      </c>
      <c r="T1410">
        <v>5.7519999999999998</v>
      </c>
      <c r="U1410">
        <v>7.68</v>
      </c>
      <c r="V1410">
        <v>4839.8500000000004</v>
      </c>
      <c r="W1410">
        <v>1004</v>
      </c>
      <c r="X1410">
        <v>1.5</v>
      </c>
      <c r="Y1410">
        <v>668</v>
      </c>
      <c r="Z1410">
        <v>7.25</v>
      </c>
      <c r="AJ1410">
        <v>2</v>
      </c>
      <c r="AK1410">
        <v>18</v>
      </c>
      <c r="AM1410">
        <v>0</v>
      </c>
      <c r="AO1410" t="s">
        <v>213</v>
      </c>
      <c r="AT1410">
        <v>84</v>
      </c>
      <c r="AV1410">
        <v>68.900000000000006</v>
      </c>
      <c r="AW1410" t="s">
        <v>6</v>
      </c>
      <c r="AX1410" t="s">
        <v>6</v>
      </c>
      <c r="AY1410" t="s">
        <v>6</v>
      </c>
      <c r="AZ1410" t="s">
        <v>6</v>
      </c>
      <c r="BA1410" t="s">
        <v>6</v>
      </c>
      <c r="BB1410" t="s">
        <v>6</v>
      </c>
      <c r="BC1410" t="s">
        <v>6</v>
      </c>
      <c r="BD1410" t="s">
        <v>6</v>
      </c>
      <c r="BE1410" t="s">
        <v>6</v>
      </c>
      <c r="BF1410" t="s">
        <v>6</v>
      </c>
      <c r="BG1410" t="s">
        <v>6</v>
      </c>
      <c r="BH1410" t="s">
        <v>6</v>
      </c>
      <c r="BI1410" t="s">
        <v>6</v>
      </c>
      <c r="BJ1410" t="s">
        <v>6</v>
      </c>
      <c r="BN1410">
        <v>587.21600000000001</v>
      </c>
      <c r="BO1410">
        <v>3172</v>
      </c>
      <c r="BP1410">
        <v>0</v>
      </c>
      <c r="BQ1410">
        <v>78</v>
      </c>
      <c r="BR1410">
        <v>78</v>
      </c>
      <c r="BS1410">
        <v>78.08</v>
      </c>
      <c r="BT1410">
        <v>0</v>
      </c>
      <c r="BV1410">
        <v>0</v>
      </c>
      <c r="BW1410" t="s">
        <v>655</v>
      </c>
      <c r="BX1410">
        <v>0.17</v>
      </c>
      <c r="BY1410">
        <v>13.2736</v>
      </c>
      <c r="BZ1410">
        <v>0</v>
      </c>
      <c r="CA1410">
        <v>1</v>
      </c>
      <c r="CB1410">
        <v>0.6</v>
      </c>
      <c r="CC1410" s="3">
        <v>7.1269159999999998E-2</v>
      </c>
      <c r="CD1410">
        <v>2.875</v>
      </c>
      <c r="CE1410">
        <v>2.5</v>
      </c>
      <c r="CF1410">
        <v>18</v>
      </c>
      <c r="CG1410">
        <v>6</v>
      </c>
      <c r="CH1410">
        <v>0</v>
      </c>
      <c r="CI1410">
        <v>78.08</v>
      </c>
      <c r="CJ1410">
        <v>1056.597</v>
      </c>
    </row>
    <row r="1411" spans="1:88">
      <c r="A1411">
        <v>1410</v>
      </c>
      <c r="B1411" t="s">
        <v>0</v>
      </c>
      <c r="C1411" t="s">
        <v>1</v>
      </c>
      <c r="D1411" t="s">
        <v>113</v>
      </c>
      <c r="E1411" t="s">
        <v>295</v>
      </c>
      <c r="F1411" t="s">
        <v>262</v>
      </c>
      <c r="G1411" t="s">
        <v>106</v>
      </c>
      <c r="H1411" t="s">
        <v>263</v>
      </c>
      <c r="J1411">
        <v>2</v>
      </c>
      <c r="K1411" t="s">
        <v>108</v>
      </c>
      <c r="L1411" t="s">
        <v>316</v>
      </c>
      <c r="M1411" t="s">
        <v>296</v>
      </c>
      <c r="N1411" t="s">
        <v>207</v>
      </c>
      <c r="O1411">
        <v>150</v>
      </c>
      <c r="Q1411">
        <v>699</v>
      </c>
      <c r="R1411">
        <v>109</v>
      </c>
      <c r="S1411">
        <v>4.25</v>
      </c>
      <c r="T1411">
        <v>4.048</v>
      </c>
      <c r="U1411">
        <v>6.71</v>
      </c>
      <c r="V1411">
        <v>2972.83</v>
      </c>
      <c r="W1411">
        <v>729</v>
      </c>
      <c r="X1411">
        <v>1.3332999999999999</v>
      </c>
      <c r="Y1411">
        <v>553</v>
      </c>
      <c r="Z1411">
        <v>5.38</v>
      </c>
      <c r="AJ1411">
        <v>2</v>
      </c>
      <c r="AK1411">
        <v>18</v>
      </c>
      <c r="AM1411">
        <v>0</v>
      </c>
      <c r="AO1411" t="s">
        <v>266</v>
      </c>
      <c r="AT1411">
        <v>57</v>
      </c>
      <c r="AV1411">
        <v>62.3</v>
      </c>
      <c r="AW1411">
        <v>0.4375</v>
      </c>
      <c r="AX1411">
        <v>3.75</v>
      </c>
      <c r="AY1411">
        <v>46.875</v>
      </c>
      <c r="AZ1411">
        <v>4.75</v>
      </c>
      <c r="BA1411">
        <v>303.91000000000003</v>
      </c>
      <c r="BB1411">
        <v>5.41</v>
      </c>
      <c r="BC1411">
        <v>47</v>
      </c>
      <c r="BD1411">
        <v>0.40625</v>
      </c>
      <c r="BE1411">
        <v>3.75</v>
      </c>
      <c r="BF1411">
        <v>39.125</v>
      </c>
      <c r="BG1411">
        <v>4.375</v>
      </c>
      <c r="BH1411">
        <v>248.66</v>
      </c>
      <c r="BI1411">
        <v>5.32</v>
      </c>
      <c r="BJ1411">
        <v>37</v>
      </c>
      <c r="BL1411">
        <v>552.57000000000005</v>
      </c>
      <c r="BM1411">
        <v>84</v>
      </c>
      <c r="BN1411">
        <v>299.60000000000002</v>
      </c>
      <c r="BO1411">
        <v>1156</v>
      </c>
      <c r="BP1411">
        <v>0</v>
      </c>
      <c r="BQ1411">
        <v>51</v>
      </c>
      <c r="BR1411">
        <v>51</v>
      </c>
      <c r="BS1411">
        <v>51.3</v>
      </c>
      <c r="BT1411">
        <v>0</v>
      </c>
      <c r="BV1411">
        <v>0</v>
      </c>
      <c r="BW1411" t="s">
        <v>655</v>
      </c>
      <c r="BX1411">
        <v>0.17</v>
      </c>
      <c r="BY1411">
        <v>8.7210000000000001</v>
      </c>
      <c r="BZ1411">
        <v>0</v>
      </c>
      <c r="CA1411">
        <v>1</v>
      </c>
      <c r="CB1411">
        <v>0.6</v>
      </c>
      <c r="CC1411" s="3">
        <v>7.1269159999999998E-2</v>
      </c>
      <c r="CD1411">
        <v>2.875</v>
      </c>
      <c r="CE1411">
        <v>2.5</v>
      </c>
      <c r="CF1411">
        <v>18</v>
      </c>
      <c r="CG1411">
        <v>6</v>
      </c>
      <c r="CH1411">
        <v>0</v>
      </c>
      <c r="CI1411">
        <v>51.3</v>
      </c>
      <c r="CJ1411">
        <v>628.39350000000002</v>
      </c>
    </row>
    <row r="1412" spans="1:88">
      <c r="A1412">
        <v>1411</v>
      </c>
      <c r="B1412" t="s">
        <v>13</v>
      </c>
      <c r="C1412" t="s">
        <v>1</v>
      </c>
      <c r="D1412" t="s">
        <v>727</v>
      </c>
      <c r="E1412" t="s">
        <v>113</v>
      </c>
      <c r="F1412" t="s">
        <v>728</v>
      </c>
      <c r="G1412" t="s">
        <v>20</v>
      </c>
      <c r="H1412" t="s">
        <v>727</v>
      </c>
      <c r="J1412">
        <v>2</v>
      </c>
      <c r="K1412" t="s">
        <v>9</v>
      </c>
      <c r="L1412" t="s">
        <v>116</v>
      </c>
      <c r="M1412" t="s">
        <v>117</v>
      </c>
      <c r="N1412" t="s">
        <v>14</v>
      </c>
      <c r="O1412">
        <v>179</v>
      </c>
      <c r="Q1412">
        <v>1196</v>
      </c>
      <c r="R1412">
        <v>157</v>
      </c>
      <c r="S1412">
        <v>4.25</v>
      </c>
      <c r="T1412">
        <v>4.7190000000000003</v>
      </c>
      <c r="U1412">
        <v>7.05</v>
      </c>
      <c r="V1412">
        <v>5084.4799999999996</v>
      </c>
      <c r="W1412">
        <v>1107</v>
      </c>
      <c r="X1412">
        <v>1.3332999999999999</v>
      </c>
      <c r="Y1412">
        <v>840</v>
      </c>
      <c r="Z1412">
        <v>6.05</v>
      </c>
      <c r="AJ1412">
        <v>2</v>
      </c>
      <c r="AK1412">
        <v>18</v>
      </c>
      <c r="AM1412">
        <v>0</v>
      </c>
      <c r="AO1412" t="s">
        <v>729</v>
      </c>
      <c r="AT1412">
        <v>68</v>
      </c>
      <c r="AV1412">
        <v>90.3</v>
      </c>
      <c r="AW1412" t="s">
        <v>6</v>
      </c>
      <c r="AX1412" t="s">
        <v>6</v>
      </c>
      <c r="AY1412" t="s">
        <v>6</v>
      </c>
      <c r="AZ1412" t="s">
        <v>6</v>
      </c>
      <c r="BA1412" t="s">
        <v>6</v>
      </c>
      <c r="BB1412" t="s">
        <v>6</v>
      </c>
      <c r="BC1412" t="s">
        <v>6</v>
      </c>
      <c r="BD1412" t="s">
        <v>6</v>
      </c>
      <c r="BE1412" t="s">
        <v>6</v>
      </c>
      <c r="BF1412" t="s">
        <v>6</v>
      </c>
      <c r="BG1412" t="s">
        <v>6</v>
      </c>
      <c r="BH1412" t="s">
        <v>6</v>
      </c>
      <c r="BI1412" t="s">
        <v>6</v>
      </c>
      <c r="BJ1412" t="s">
        <v>6</v>
      </c>
      <c r="BN1412">
        <v>677.78229999999996</v>
      </c>
      <c r="BO1412">
        <v>2607</v>
      </c>
      <c r="BP1412">
        <v>0</v>
      </c>
      <c r="BQ1412">
        <v>61</v>
      </c>
      <c r="BR1412">
        <v>61</v>
      </c>
      <c r="BS1412">
        <v>61.39</v>
      </c>
      <c r="BT1412">
        <v>0</v>
      </c>
      <c r="BV1412">
        <v>6</v>
      </c>
      <c r="BW1412" t="s">
        <v>655</v>
      </c>
      <c r="BX1412">
        <v>0.27933330000000001</v>
      </c>
      <c r="BY1412">
        <v>17.14827</v>
      </c>
      <c r="BZ1412">
        <v>0</v>
      </c>
      <c r="CA1412">
        <v>1</v>
      </c>
      <c r="CB1412">
        <v>0.6</v>
      </c>
      <c r="CC1412" s="3">
        <v>7.1269159999999998E-2</v>
      </c>
      <c r="CD1412">
        <v>2.875</v>
      </c>
      <c r="CE1412">
        <v>2.5</v>
      </c>
      <c r="CF1412">
        <v>18</v>
      </c>
      <c r="CG1412">
        <v>6</v>
      </c>
      <c r="CH1412">
        <v>0</v>
      </c>
      <c r="CI1412">
        <v>61.39</v>
      </c>
      <c r="CJ1412">
        <v>1088.8810000000001</v>
      </c>
    </row>
    <row r="1413" spans="1:88">
      <c r="A1413">
        <v>1412</v>
      </c>
      <c r="B1413" t="s">
        <v>0</v>
      </c>
      <c r="C1413" t="s">
        <v>1</v>
      </c>
      <c r="D1413" t="s">
        <v>278</v>
      </c>
      <c r="E1413" t="s">
        <v>381</v>
      </c>
      <c r="F1413" t="s">
        <v>239</v>
      </c>
      <c r="G1413" t="s">
        <v>15</v>
      </c>
      <c r="H1413" t="s">
        <v>458</v>
      </c>
      <c r="J1413">
        <v>2</v>
      </c>
      <c r="K1413" t="s">
        <v>108</v>
      </c>
      <c r="L1413" t="s">
        <v>267</v>
      </c>
      <c r="M1413" t="s">
        <v>384</v>
      </c>
      <c r="N1413" t="s">
        <v>257</v>
      </c>
      <c r="O1413">
        <v>139</v>
      </c>
      <c r="Q1413">
        <v>757</v>
      </c>
      <c r="R1413">
        <v>126</v>
      </c>
      <c r="S1413">
        <v>4.25</v>
      </c>
      <c r="T1413">
        <v>3.7829999999999999</v>
      </c>
      <c r="U1413">
        <v>6.52</v>
      </c>
      <c r="V1413">
        <v>3216.48</v>
      </c>
      <c r="W1413">
        <v>822</v>
      </c>
      <c r="X1413">
        <v>1.3332999999999999</v>
      </c>
      <c r="Y1413">
        <v>629</v>
      </c>
      <c r="Z1413">
        <v>5.1100000000000003</v>
      </c>
      <c r="AJ1413">
        <v>2</v>
      </c>
      <c r="AK1413">
        <v>18</v>
      </c>
      <c r="AM1413">
        <v>0</v>
      </c>
      <c r="AO1413" t="s">
        <v>401</v>
      </c>
      <c r="AT1413">
        <v>54</v>
      </c>
      <c r="AV1413">
        <v>72.5</v>
      </c>
      <c r="AW1413" t="s">
        <v>6</v>
      </c>
      <c r="AX1413" t="s">
        <v>6</v>
      </c>
      <c r="AY1413" t="s">
        <v>6</v>
      </c>
      <c r="AZ1413" t="s">
        <v>6</v>
      </c>
      <c r="BA1413" t="s">
        <v>6</v>
      </c>
      <c r="BB1413" t="s">
        <v>6</v>
      </c>
      <c r="BC1413" t="s">
        <v>6</v>
      </c>
      <c r="BD1413" t="s">
        <v>6</v>
      </c>
      <c r="BE1413" t="s">
        <v>6</v>
      </c>
      <c r="BF1413" t="s">
        <v>6</v>
      </c>
      <c r="BG1413" t="s">
        <v>6</v>
      </c>
      <c r="BH1413" t="s">
        <v>6</v>
      </c>
      <c r="BI1413" t="s">
        <v>6</v>
      </c>
      <c r="BJ1413" t="s">
        <v>6</v>
      </c>
      <c r="BN1413">
        <v>618.78679999999997</v>
      </c>
      <c r="BO1413">
        <v>2857</v>
      </c>
      <c r="BP1413">
        <v>0</v>
      </c>
      <c r="BQ1413">
        <v>47</v>
      </c>
      <c r="BR1413">
        <v>47</v>
      </c>
      <c r="BS1413">
        <v>47.47</v>
      </c>
      <c r="BT1413">
        <v>0</v>
      </c>
      <c r="BV1413">
        <v>0</v>
      </c>
      <c r="BW1413" t="s">
        <v>655</v>
      </c>
      <c r="BX1413">
        <v>0.17</v>
      </c>
      <c r="BY1413">
        <v>8.0699009999999998</v>
      </c>
      <c r="BZ1413">
        <v>0</v>
      </c>
      <c r="CA1413">
        <v>1</v>
      </c>
      <c r="CB1413">
        <v>0.6</v>
      </c>
      <c r="CC1413" s="3">
        <v>7.1269159999999998E-2</v>
      </c>
      <c r="CD1413">
        <v>2.875</v>
      </c>
      <c r="CE1413">
        <v>2.5</v>
      </c>
      <c r="CF1413">
        <v>18</v>
      </c>
      <c r="CG1413">
        <v>6</v>
      </c>
      <c r="CH1413">
        <v>0</v>
      </c>
      <c r="CI1413">
        <v>47.47</v>
      </c>
      <c r="CJ1413">
        <v>676.20650000000001</v>
      </c>
    </row>
    <row r="1414" spans="1:88">
      <c r="A1414">
        <v>1413</v>
      </c>
      <c r="B1414" t="s">
        <v>0</v>
      </c>
      <c r="C1414" t="s">
        <v>1</v>
      </c>
      <c r="D1414" t="s">
        <v>459</v>
      </c>
      <c r="E1414" t="s">
        <v>96</v>
      </c>
      <c r="F1414" t="s">
        <v>389</v>
      </c>
      <c r="G1414" t="s">
        <v>15</v>
      </c>
      <c r="H1414" t="s">
        <v>460</v>
      </c>
      <c r="J1414">
        <v>2</v>
      </c>
      <c r="K1414" t="s">
        <v>108</v>
      </c>
      <c r="L1414" t="s">
        <v>293</v>
      </c>
      <c r="M1414" t="s">
        <v>100</v>
      </c>
      <c r="N1414" t="s">
        <v>101</v>
      </c>
      <c r="O1414">
        <v>131</v>
      </c>
      <c r="Q1414">
        <v>706</v>
      </c>
      <c r="R1414">
        <v>124</v>
      </c>
      <c r="S1414">
        <v>4.25</v>
      </c>
      <c r="T1414">
        <v>3.5859999999999999</v>
      </c>
      <c r="U1414">
        <v>6.37</v>
      </c>
      <c r="V1414">
        <v>3000.92</v>
      </c>
      <c r="W1414">
        <v>791</v>
      </c>
      <c r="X1414">
        <v>1.3332999999999999</v>
      </c>
      <c r="Y1414">
        <v>611</v>
      </c>
      <c r="Z1414">
        <v>4.91</v>
      </c>
      <c r="AJ1414">
        <v>2</v>
      </c>
      <c r="AK1414">
        <v>18</v>
      </c>
      <c r="AM1414">
        <v>0</v>
      </c>
      <c r="AO1414" t="s">
        <v>418</v>
      </c>
      <c r="AT1414">
        <v>51</v>
      </c>
      <c r="AV1414">
        <v>71.400000000000006</v>
      </c>
      <c r="AW1414">
        <v>0.5</v>
      </c>
      <c r="AX1414">
        <v>5.625</v>
      </c>
      <c r="AY1414">
        <v>44.625</v>
      </c>
      <c r="AZ1414">
        <v>4.875</v>
      </c>
      <c r="BA1414">
        <v>401.38</v>
      </c>
      <c r="BB1414">
        <v>5.79</v>
      </c>
      <c r="BC1414">
        <v>80</v>
      </c>
      <c r="BD1414">
        <v>0.375</v>
      </c>
      <c r="BE1414">
        <v>3.75</v>
      </c>
      <c r="BF1414">
        <v>30.75</v>
      </c>
      <c r="BG1414">
        <v>3.625</v>
      </c>
      <c r="BH1414">
        <v>209.79</v>
      </c>
      <c r="BI1414">
        <v>5.13</v>
      </c>
      <c r="BJ1414">
        <v>27</v>
      </c>
      <c r="BL1414">
        <v>611.16999999999996</v>
      </c>
      <c r="BM1414">
        <v>107</v>
      </c>
      <c r="BN1414">
        <v>609.31560000000002</v>
      </c>
      <c r="BO1414">
        <v>2946</v>
      </c>
      <c r="BP1414">
        <v>0</v>
      </c>
      <c r="BQ1414">
        <v>45</v>
      </c>
      <c r="BR1414">
        <v>45</v>
      </c>
      <c r="BS1414">
        <v>44.69</v>
      </c>
      <c r="BT1414">
        <v>0</v>
      </c>
      <c r="BV1414">
        <v>0</v>
      </c>
      <c r="BW1414" t="s">
        <v>655</v>
      </c>
      <c r="BX1414">
        <v>0.17</v>
      </c>
      <c r="BY1414">
        <v>7.5972999999999997</v>
      </c>
      <c r="BZ1414">
        <v>0</v>
      </c>
      <c r="CA1414">
        <v>1</v>
      </c>
      <c r="CB1414">
        <v>0.6</v>
      </c>
      <c r="CC1414" s="3">
        <v>7.1269159999999998E-2</v>
      </c>
      <c r="CD1414">
        <v>2.875</v>
      </c>
      <c r="CE1414">
        <v>2.5</v>
      </c>
      <c r="CF1414">
        <v>18</v>
      </c>
      <c r="CG1414">
        <v>6</v>
      </c>
      <c r="CH1414">
        <v>0</v>
      </c>
      <c r="CI1414">
        <v>44.69</v>
      </c>
      <c r="CJ1414">
        <v>627.05060000000003</v>
      </c>
    </row>
    <row r="1415" spans="1:88">
      <c r="A1415">
        <v>1414</v>
      </c>
      <c r="B1415" t="s">
        <v>13</v>
      </c>
      <c r="C1415" t="s">
        <v>1</v>
      </c>
      <c r="D1415" t="s">
        <v>2</v>
      </c>
      <c r="E1415" t="s">
        <v>133</v>
      </c>
      <c r="F1415" t="s">
        <v>154</v>
      </c>
      <c r="G1415" t="s">
        <v>106</v>
      </c>
      <c r="H1415" t="s">
        <v>217</v>
      </c>
      <c r="J1415">
        <v>2</v>
      </c>
      <c r="K1415" t="s">
        <v>146</v>
      </c>
      <c r="L1415" t="s">
        <v>353</v>
      </c>
      <c r="M1415" t="s">
        <v>194</v>
      </c>
      <c r="N1415" t="s">
        <v>195</v>
      </c>
      <c r="O1415">
        <v>143</v>
      </c>
      <c r="Q1415">
        <v>391</v>
      </c>
      <c r="R1415">
        <v>67</v>
      </c>
      <c r="S1415">
        <v>4.25</v>
      </c>
      <c r="T1415">
        <v>3.88</v>
      </c>
      <c r="U1415">
        <v>6.6</v>
      </c>
      <c r="V1415">
        <v>1661.28</v>
      </c>
      <c r="W1415">
        <v>443</v>
      </c>
      <c r="X1415">
        <v>1.3332999999999999</v>
      </c>
      <c r="Y1415">
        <v>319</v>
      </c>
      <c r="Z1415">
        <v>5.21</v>
      </c>
      <c r="AJ1415">
        <v>2</v>
      </c>
      <c r="AK1415">
        <v>18</v>
      </c>
      <c r="AM1415">
        <v>0</v>
      </c>
      <c r="AO1415" t="s">
        <v>218</v>
      </c>
      <c r="AT1415">
        <v>55</v>
      </c>
      <c r="AV1415">
        <v>36.1</v>
      </c>
      <c r="AW1415">
        <v>0</v>
      </c>
      <c r="AX1415">
        <v>0</v>
      </c>
      <c r="AY1415">
        <v>44.625</v>
      </c>
      <c r="AZ1415">
        <v>4.5</v>
      </c>
      <c r="BA1415">
        <v>0</v>
      </c>
      <c r="BB1415">
        <v>0</v>
      </c>
      <c r="BC1415">
        <v>45</v>
      </c>
      <c r="BN1415">
        <v>171.2</v>
      </c>
      <c r="BO1415">
        <v>3540</v>
      </c>
      <c r="BP1415">
        <v>0</v>
      </c>
      <c r="BQ1415">
        <v>49</v>
      </c>
      <c r="BR1415">
        <v>49</v>
      </c>
      <c r="BS1415">
        <v>48.86</v>
      </c>
      <c r="BT1415">
        <v>0</v>
      </c>
      <c r="BV1415">
        <v>0</v>
      </c>
      <c r="BW1415" t="s">
        <v>655</v>
      </c>
      <c r="BX1415">
        <v>0.17</v>
      </c>
      <c r="BY1415">
        <v>8.3062000000000005</v>
      </c>
      <c r="BZ1415">
        <v>0</v>
      </c>
      <c r="CA1415">
        <v>1</v>
      </c>
      <c r="CB1415">
        <v>0.6</v>
      </c>
      <c r="CC1415" s="3">
        <v>7.1269159999999998E-2</v>
      </c>
      <c r="CD1415">
        <v>2.875</v>
      </c>
      <c r="CE1415">
        <v>2.5</v>
      </c>
      <c r="CF1415">
        <v>18</v>
      </c>
      <c r="CG1415">
        <v>6</v>
      </c>
      <c r="CH1415">
        <v>0</v>
      </c>
      <c r="CI1415">
        <v>48.86</v>
      </c>
      <c r="CJ1415">
        <v>346.48</v>
      </c>
    </row>
    <row r="1416" spans="1:88">
      <c r="A1416">
        <v>1415</v>
      </c>
      <c r="B1416" t="s">
        <v>0</v>
      </c>
      <c r="C1416" t="s">
        <v>1</v>
      </c>
      <c r="D1416" t="s">
        <v>320</v>
      </c>
      <c r="E1416" t="s">
        <v>2</v>
      </c>
      <c r="F1416" t="s">
        <v>321</v>
      </c>
      <c r="G1416" t="s">
        <v>106</v>
      </c>
      <c r="H1416" t="s">
        <v>322</v>
      </c>
      <c r="J1416">
        <v>2</v>
      </c>
      <c r="K1416" t="s">
        <v>146</v>
      </c>
      <c r="L1416" t="s">
        <v>122</v>
      </c>
      <c r="M1416" t="s">
        <v>4</v>
      </c>
      <c r="N1416" t="s">
        <v>5</v>
      </c>
      <c r="O1416">
        <v>107</v>
      </c>
      <c r="Q1416">
        <v>158</v>
      </c>
      <c r="R1416">
        <v>35</v>
      </c>
      <c r="S1416">
        <v>4.25</v>
      </c>
      <c r="T1416">
        <v>2.9710000000000001</v>
      </c>
      <c r="U1416">
        <v>6.07</v>
      </c>
      <c r="V1416">
        <v>672.52</v>
      </c>
      <c r="W1416">
        <v>210</v>
      </c>
      <c r="X1416">
        <v>1.3332999999999999</v>
      </c>
      <c r="Y1416">
        <v>156</v>
      </c>
      <c r="Z1416">
        <v>4.3</v>
      </c>
      <c r="AJ1416">
        <v>2</v>
      </c>
      <c r="AK1416">
        <v>18</v>
      </c>
      <c r="AM1416">
        <v>0</v>
      </c>
      <c r="AO1416" t="s">
        <v>323</v>
      </c>
      <c r="AT1416">
        <v>42</v>
      </c>
      <c r="AV1416">
        <v>18.600000000000001</v>
      </c>
      <c r="AW1416">
        <v>0</v>
      </c>
      <c r="AX1416">
        <v>0</v>
      </c>
      <c r="AY1416">
        <v>41.375</v>
      </c>
      <c r="AZ1416">
        <v>3.25</v>
      </c>
      <c r="BA1416">
        <v>0</v>
      </c>
      <c r="BB1416">
        <v>0</v>
      </c>
      <c r="BC1416">
        <v>37</v>
      </c>
      <c r="BN1416">
        <v>85.600009999999997</v>
      </c>
      <c r="BO1416">
        <v>14162</v>
      </c>
      <c r="BP1416">
        <v>0</v>
      </c>
      <c r="BQ1416">
        <v>36</v>
      </c>
      <c r="BR1416">
        <v>36</v>
      </c>
      <c r="BS1416">
        <v>36.340000000000003</v>
      </c>
      <c r="BT1416">
        <v>0</v>
      </c>
      <c r="BV1416">
        <v>0</v>
      </c>
      <c r="BW1416" t="s">
        <v>655</v>
      </c>
      <c r="BX1416">
        <v>0.17</v>
      </c>
      <c r="BY1416">
        <v>6.1778000000000004</v>
      </c>
      <c r="BZ1416">
        <v>0</v>
      </c>
      <c r="CA1416">
        <v>1</v>
      </c>
      <c r="CB1416">
        <v>0.6</v>
      </c>
      <c r="CC1416" s="3">
        <v>7.1269159999999998E-2</v>
      </c>
      <c r="CD1416">
        <v>2.875</v>
      </c>
      <c r="CE1416">
        <v>2.5</v>
      </c>
      <c r="CF1416">
        <v>18</v>
      </c>
      <c r="CG1416">
        <v>6</v>
      </c>
      <c r="CH1416">
        <v>0</v>
      </c>
      <c r="CI1416">
        <v>36.340000000000003</v>
      </c>
      <c r="CJ1416">
        <v>133.3809</v>
      </c>
    </row>
    <row r="1417" spans="1:88">
      <c r="A1417">
        <v>1416</v>
      </c>
      <c r="B1417" t="s">
        <v>0</v>
      </c>
      <c r="C1417" t="s">
        <v>1</v>
      </c>
      <c r="D1417" t="s">
        <v>449</v>
      </c>
      <c r="E1417" t="s">
        <v>2</v>
      </c>
      <c r="F1417" t="s">
        <v>481</v>
      </c>
      <c r="G1417" t="s">
        <v>106</v>
      </c>
      <c r="H1417" t="s">
        <v>341</v>
      </c>
      <c r="J1417">
        <v>2</v>
      </c>
      <c r="K1417" t="s">
        <v>146</v>
      </c>
      <c r="L1417" t="s">
        <v>122</v>
      </c>
      <c r="M1417" t="s">
        <v>4</v>
      </c>
      <c r="N1417" t="s">
        <v>5</v>
      </c>
      <c r="O1417">
        <v>107</v>
      </c>
      <c r="Q1417">
        <v>232</v>
      </c>
      <c r="R1417">
        <v>49</v>
      </c>
      <c r="S1417">
        <v>4.25</v>
      </c>
      <c r="T1417">
        <v>2.9710000000000001</v>
      </c>
      <c r="U1417">
        <v>6.07</v>
      </c>
      <c r="V1417">
        <v>986.25</v>
      </c>
      <c r="W1417">
        <v>297</v>
      </c>
      <c r="X1417">
        <v>1.3332999999999999</v>
      </c>
      <c r="Y1417">
        <v>229</v>
      </c>
      <c r="Z1417">
        <v>4.3</v>
      </c>
      <c r="AJ1417">
        <v>2</v>
      </c>
      <c r="AK1417">
        <v>18</v>
      </c>
      <c r="AM1417">
        <v>0</v>
      </c>
      <c r="AO1417" t="s">
        <v>499</v>
      </c>
      <c r="AT1417">
        <v>42</v>
      </c>
      <c r="AV1417">
        <v>27.7</v>
      </c>
      <c r="AW1417">
        <v>0</v>
      </c>
      <c r="AX1417">
        <v>0</v>
      </c>
      <c r="AY1417">
        <v>28.125</v>
      </c>
      <c r="AZ1417">
        <v>3.25</v>
      </c>
      <c r="BA1417">
        <v>0</v>
      </c>
      <c r="BB1417">
        <v>0</v>
      </c>
      <c r="BC1417">
        <v>25</v>
      </c>
      <c r="BN1417">
        <v>130.18340000000001</v>
      </c>
      <c r="BO1417">
        <v>6123</v>
      </c>
      <c r="BP1417">
        <v>0</v>
      </c>
      <c r="BQ1417">
        <v>36</v>
      </c>
      <c r="BR1417">
        <v>36</v>
      </c>
      <c r="BS1417">
        <v>36.340000000000003</v>
      </c>
      <c r="BT1417">
        <v>0</v>
      </c>
      <c r="BV1417">
        <v>0</v>
      </c>
      <c r="BW1417" t="s">
        <v>655</v>
      </c>
      <c r="BX1417">
        <v>0.17</v>
      </c>
      <c r="BY1417">
        <v>6.1778000000000004</v>
      </c>
      <c r="BZ1417">
        <v>0</v>
      </c>
      <c r="CA1417">
        <v>1</v>
      </c>
      <c r="CB1417">
        <v>0.6</v>
      </c>
      <c r="CC1417" s="3">
        <v>7.1269159999999998E-2</v>
      </c>
      <c r="CD1417">
        <v>2.875</v>
      </c>
      <c r="CE1417">
        <v>2.5</v>
      </c>
      <c r="CF1417">
        <v>18</v>
      </c>
      <c r="CG1417">
        <v>6</v>
      </c>
      <c r="CH1417">
        <v>0</v>
      </c>
      <c r="CI1417">
        <v>36.340000000000003</v>
      </c>
      <c r="CJ1417">
        <v>198.12899999999999</v>
      </c>
    </row>
    <row r="1418" spans="1:88">
      <c r="A1418">
        <v>1417</v>
      </c>
      <c r="B1418" t="s">
        <v>13</v>
      </c>
      <c r="C1418" t="s">
        <v>1</v>
      </c>
      <c r="D1418" t="s">
        <v>253</v>
      </c>
      <c r="E1418" t="s">
        <v>3</v>
      </c>
      <c r="F1418" t="s">
        <v>636</v>
      </c>
      <c r="G1418" t="s">
        <v>214</v>
      </c>
      <c r="H1418" t="s">
        <v>637</v>
      </c>
      <c r="J1418">
        <v>2</v>
      </c>
      <c r="K1418" t="s">
        <v>108</v>
      </c>
      <c r="L1418" t="s">
        <v>363</v>
      </c>
      <c r="M1418" t="s">
        <v>383</v>
      </c>
      <c r="N1418" t="s">
        <v>119</v>
      </c>
      <c r="O1418">
        <v>125</v>
      </c>
      <c r="Q1418">
        <v>653</v>
      </c>
      <c r="R1418">
        <v>120</v>
      </c>
      <c r="S1418">
        <v>4.25</v>
      </c>
      <c r="T1418">
        <v>3.4350000000000001</v>
      </c>
      <c r="U1418">
        <v>6.26</v>
      </c>
      <c r="V1418">
        <v>2773.67</v>
      </c>
      <c r="W1418">
        <v>750</v>
      </c>
      <c r="X1418">
        <v>1.3332999999999999</v>
      </c>
      <c r="Y1418">
        <v>583</v>
      </c>
      <c r="Z1418">
        <v>4.76</v>
      </c>
      <c r="AJ1418">
        <v>2</v>
      </c>
      <c r="AK1418">
        <v>18</v>
      </c>
      <c r="AM1418">
        <v>0</v>
      </c>
      <c r="AO1418" t="s">
        <v>213</v>
      </c>
      <c r="AT1418">
        <v>49</v>
      </c>
      <c r="AV1418">
        <v>68.900000000000006</v>
      </c>
      <c r="AW1418" t="s">
        <v>6</v>
      </c>
      <c r="AX1418" t="s">
        <v>6</v>
      </c>
      <c r="AY1418" t="s">
        <v>6</v>
      </c>
      <c r="AZ1418" t="s">
        <v>6</v>
      </c>
      <c r="BA1418" t="s">
        <v>6</v>
      </c>
      <c r="BB1418" t="s">
        <v>6</v>
      </c>
      <c r="BC1418" t="s">
        <v>6</v>
      </c>
      <c r="BD1418" t="s">
        <v>6</v>
      </c>
      <c r="BE1418" t="s">
        <v>6</v>
      </c>
      <c r="BF1418" t="s">
        <v>6</v>
      </c>
      <c r="BG1418" t="s">
        <v>6</v>
      </c>
      <c r="BH1418" t="s">
        <v>6</v>
      </c>
      <c r="BI1418" t="s">
        <v>6</v>
      </c>
      <c r="BJ1418" t="s">
        <v>6</v>
      </c>
      <c r="BN1418">
        <v>334.49</v>
      </c>
      <c r="BO1418">
        <v>1164</v>
      </c>
      <c r="BP1418">
        <v>0</v>
      </c>
      <c r="BQ1418">
        <v>43</v>
      </c>
      <c r="BR1418">
        <v>43</v>
      </c>
      <c r="BS1418">
        <v>42.6</v>
      </c>
      <c r="BT1418">
        <v>0</v>
      </c>
      <c r="BV1418">
        <v>0</v>
      </c>
      <c r="BW1418" t="s">
        <v>655</v>
      </c>
      <c r="BX1418">
        <v>0.17</v>
      </c>
      <c r="BY1418">
        <v>7.242</v>
      </c>
      <c r="BZ1418">
        <v>0</v>
      </c>
      <c r="CA1418">
        <v>1</v>
      </c>
      <c r="CB1418">
        <v>0.6</v>
      </c>
      <c r="CC1418" s="3">
        <v>7.1269159999999998E-2</v>
      </c>
      <c r="CD1418">
        <v>2.875</v>
      </c>
      <c r="CE1418">
        <v>2.5</v>
      </c>
      <c r="CF1418">
        <v>18</v>
      </c>
      <c r="CG1418">
        <v>6</v>
      </c>
      <c r="CH1418">
        <v>0</v>
      </c>
      <c r="CI1418">
        <v>42.6</v>
      </c>
      <c r="CJ1418">
        <v>576.47299999999996</v>
      </c>
    </row>
    <row r="1419" spans="1:88">
      <c r="A1419">
        <v>1418</v>
      </c>
      <c r="B1419" t="s">
        <v>13</v>
      </c>
      <c r="C1419" t="s">
        <v>1</v>
      </c>
      <c r="D1419" t="s">
        <v>276</v>
      </c>
      <c r="E1419" t="s">
        <v>253</v>
      </c>
      <c r="F1419" t="s">
        <v>415</v>
      </c>
      <c r="G1419" t="s">
        <v>15</v>
      </c>
      <c r="H1419" t="s">
        <v>416</v>
      </c>
      <c r="J1419">
        <v>2</v>
      </c>
      <c r="K1419" t="s">
        <v>108</v>
      </c>
      <c r="L1419" t="s">
        <v>287</v>
      </c>
      <c r="M1419" t="s">
        <v>633</v>
      </c>
      <c r="N1419" t="s">
        <v>276</v>
      </c>
      <c r="O1419">
        <v>197</v>
      </c>
      <c r="Q1419">
        <v>1011</v>
      </c>
      <c r="R1419">
        <v>122</v>
      </c>
      <c r="S1419">
        <v>4.25</v>
      </c>
      <c r="T1419">
        <v>5.117</v>
      </c>
      <c r="U1419">
        <v>7.35</v>
      </c>
      <c r="V1419">
        <v>4298.57</v>
      </c>
      <c r="W1419">
        <v>895</v>
      </c>
      <c r="X1419">
        <v>1.3332999999999999</v>
      </c>
      <c r="Y1419">
        <v>666</v>
      </c>
      <c r="Z1419">
        <v>6.45</v>
      </c>
      <c r="AJ1419">
        <v>2</v>
      </c>
      <c r="AK1419">
        <v>18</v>
      </c>
      <c r="AM1419">
        <v>0</v>
      </c>
      <c r="AO1419" t="s">
        <v>417</v>
      </c>
      <c r="AT1419">
        <v>74</v>
      </c>
      <c r="AV1419">
        <v>70</v>
      </c>
      <c r="AW1419" t="s">
        <v>6</v>
      </c>
      <c r="AX1419" t="s">
        <v>6</v>
      </c>
      <c r="AY1419" t="s">
        <v>6</v>
      </c>
      <c r="AZ1419" t="s">
        <v>6</v>
      </c>
      <c r="BA1419" t="s">
        <v>6</v>
      </c>
      <c r="BB1419" t="s">
        <v>6</v>
      </c>
      <c r="BC1419" t="s">
        <v>6</v>
      </c>
      <c r="BD1419" t="s">
        <v>6</v>
      </c>
      <c r="BE1419" t="s">
        <v>6</v>
      </c>
      <c r="BF1419" t="s">
        <v>6</v>
      </c>
      <c r="BG1419" t="s">
        <v>6</v>
      </c>
      <c r="BH1419" t="s">
        <v>6</v>
      </c>
      <c r="BI1419" t="s">
        <v>6</v>
      </c>
      <c r="BJ1419" t="s">
        <v>6</v>
      </c>
      <c r="BN1419">
        <v>596.68719999999996</v>
      </c>
      <c r="BO1419">
        <v>3072</v>
      </c>
      <c r="BP1419">
        <v>0</v>
      </c>
      <c r="BQ1419">
        <v>68</v>
      </c>
      <c r="BR1419">
        <v>68</v>
      </c>
      <c r="BS1419">
        <v>67.650000000000006</v>
      </c>
      <c r="BT1419">
        <v>0</v>
      </c>
      <c r="BV1419">
        <v>0</v>
      </c>
      <c r="BW1419" t="s">
        <v>655</v>
      </c>
      <c r="BX1419">
        <v>0.17</v>
      </c>
      <c r="BY1419">
        <v>11.500500000000001</v>
      </c>
      <c r="BZ1419">
        <v>0</v>
      </c>
      <c r="CA1419">
        <v>1</v>
      </c>
      <c r="CB1419">
        <v>0.6</v>
      </c>
      <c r="CC1419" s="3">
        <v>7.1269159999999998E-2</v>
      </c>
      <c r="CD1419">
        <v>2.875</v>
      </c>
      <c r="CE1419">
        <v>2.5</v>
      </c>
      <c r="CF1419">
        <v>18</v>
      </c>
      <c r="CG1419">
        <v>6</v>
      </c>
      <c r="CH1419">
        <v>0</v>
      </c>
      <c r="CI1419">
        <v>67.650000000000006</v>
      </c>
      <c r="CJ1419">
        <v>929.91949999999997</v>
      </c>
    </row>
    <row r="1420" spans="1:88">
      <c r="A1420">
        <v>1419</v>
      </c>
      <c r="B1420" t="s">
        <v>13</v>
      </c>
      <c r="C1420" t="s">
        <v>1</v>
      </c>
      <c r="D1420" t="s">
        <v>278</v>
      </c>
      <c r="E1420" t="s">
        <v>96</v>
      </c>
      <c r="F1420" t="s">
        <v>239</v>
      </c>
      <c r="G1420" t="s">
        <v>15</v>
      </c>
      <c r="H1420" t="s">
        <v>458</v>
      </c>
      <c r="J1420">
        <v>2</v>
      </c>
      <c r="K1420" t="s">
        <v>108</v>
      </c>
      <c r="L1420" t="s">
        <v>293</v>
      </c>
      <c r="M1420" t="s">
        <v>100</v>
      </c>
      <c r="N1420" t="s">
        <v>101</v>
      </c>
      <c r="O1420">
        <v>131</v>
      </c>
      <c r="Q1420">
        <v>717</v>
      </c>
      <c r="R1420">
        <v>126</v>
      </c>
      <c r="S1420">
        <v>4.25</v>
      </c>
      <c r="T1420">
        <v>3.5859999999999999</v>
      </c>
      <c r="U1420">
        <v>6.37</v>
      </c>
      <c r="V1420">
        <v>3046.18</v>
      </c>
      <c r="W1420">
        <v>803</v>
      </c>
      <c r="X1420">
        <v>1.3332999999999999</v>
      </c>
      <c r="Y1420">
        <v>620</v>
      </c>
      <c r="Z1420">
        <v>4.91</v>
      </c>
      <c r="AJ1420">
        <v>2</v>
      </c>
      <c r="AK1420">
        <v>18</v>
      </c>
      <c r="AM1420">
        <v>0</v>
      </c>
      <c r="AO1420" t="s">
        <v>401</v>
      </c>
      <c r="AT1420">
        <v>51</v>
      </c>
      <c r="AV1420">
        <v>72.5</v>
      </c>
      <c r="AW1420">
        <v>0.5</v>
      </c>
      <c r="AX1420">
        <v>5.625</v>
      </c>
      <c r="AY1420">
        <v>44.625</v>
      </c>
      <c r="AZ1420">
        <v>4.875</v>
      </c>
      <c r="BA1420">
        <v>401.38</v>
      </c>
      <c r="BB1420">
        <v>5.79</v>
      </c>
      <c r="BC1420">
        <v>80</v>
      </c>
      <c r="BD1420">
        <v>0.375</v>
      </c>
      <c r="BE1420">
        <v>3.75</v>
      </c>
      <c r="BF1420">
        <v>29.5</v>
      </c>
      <c r="BG1420">
        <v>3.625</v>
      </c>
      <c r="BH1420">
        <v>219.02</v>
      </c>
      <c r="BI1420">
        <v>4.91</v>
      </c>
      <c r="BJ1420">
        <v>26</v>
      </c>
      <c r="BL1420">
        <v>620.4</v>
      </c>
      <c r="BM1420">
        <v>105</v>
      </c>
      <c r="BN1420">
        <v>618.78679999999997</v>
      </c>
      <c r="BO1420">
        <v>2857</v>
      </c>
      <c r="BP1420">
        <v>0</v>
      </c>
      <c r="BQ1420">
        <v>45</v>
      </c>
      <c r="BR1420">
        <v>45</v>
      </c>
      <c r="BS1420">
        <v>44.69</v>
      </c>
      <c r="BT1420">
        <v>0</v>
      </c>
      <c r="BV1420">
        <v>0</v>
      </c>
      <c r="BW1420" t="s">
        <v>655</v>
      </c>
      <c r="BX1420">
        <v>0.17</v>
      </c>
      <c r="BY1420">
        <v>7.5972999999999997</v>
      </c>
      <c r="BZ1420">
        <v>0</v>
      </c>
      <c r="CA1420">
        <v>1</v>
      </c>
      <c r="CB1420">
        <v>0.6</v>
      </c>
      <c r="CC1420" s="3">
        <v>7.1269159999999998E-2</v>
      </c>
      <c r="CD1420">
        <v>2.875</v>
      </c>
      <c r="CE1420">
        <v>2.5</v>
      </c>
      <c r="CF1420">
        <v>18</v>
      </c>
      <c r="CG1420">
        <v>6</v>
      </c>
      <c r="CH1420">
        <v>0</v>
      </c>
      <c r="CI1420">
        <v>44.69</v>
      </c>
      <c r="CJ1420">
        <v>636.60550000000001</v>
      </c>
    </row>
    <row r="1421" spans="1:88">
      <c r="A1421">
        <v>1420</v>
      </c>
      <c r="B1421" t="s">
        <v>0</v>
      </c>
      <c r="C1421" t="s">
        <v>1</v>
      </c>
      <c r="D1421" t="s">
        <v>341</v>
      </c>
      <c r="E1421" t="s">
        <v>399</v>
      </c>
      <c r="F1421" t="s">
        <v>343</v>
      </c>
      <c r="G1421" t="s">
        <v>106</v>
      </c>
      <c r="H1421" t="s">
        <v>344</v>
      </c>
      <c r="J1421">
        <v>2</v>
      </c>
      <c r="K1421" t="s">
        <v>146</v>
      </c>
      <c r="L1421" t="s">
        <v>172</v>
      </c>
      <c r="M1421" t="s">
        <v>463</v>
      </c>
      <c r="N1421" t="s">
        <v>229</v>
      </c>
      <c r="O1421">
        <v>117</v>
      </c>
      <c r="Q1421">
        <v>248</v>
      </c>
      <c r="R1421">
        <v>48</v>
      </c>
      <c r="S1421">
        <v>4.25</v>
      </c>
      <c r="T1421">
        <v>3.2320000000000002</v>
      </c>
      <c r="U1421">
        <v>6.26</v>
      </c>
      <c r="V1421">
        <v>1055.82</v>
      </c>
      <c r="W1421">
        <v>302</v>
      </c>
      <c r="X1421">
        <v>1.3332999999999999</v>
      </c>
      <c r="Y1421">
        <v>232</v>
      </c>
      <c r="Z1421">
        <v>4.5599999999999996</v>
      </c>
      <c r="AJ1421">
        <v>2</v>
      </c>
      <c r="AK1421">
        <v>18</v>
      </c>
      <c r="AM1421">
        <v>0</v>
      </c>
      <c r="AO1421" t="s">
        <v>347</v>
      </c>
      <c r="AT1421">
        <v>46</v>
      </c>
      <c r="AV1421">
        <v>27.4</v>
      </c>
      <c r="AW1421">
        <v>0</v>
      </c>
      <c r="AX1421">
        <v>0</v>
      </c>
      <c r="AY1421">
        <v>27.875</v>
      </c>
      <c r="AZ1421">
        <v>3.375</v>
      </c>
      <c r="BA1421">
        <v>0</v>
      </c>
      <c r="BB1421">
        <v>0</v>
      </c>
      <c r="BC1421">
        <v>25</v>
      </c>
      <c r="BN1421">
        <v>128.4</v>
      </c>
      <c r="BO1421">
        <v>6294</v>
      </c>
      <c r="BP1421">
        <v>0</v>
      </c>
      <c r="BQ1421">
        <v>40</v>
      </c>
      <c r="BR1421">
        <v>40</v>
      </c>
      <c r="BS1421">
        <v>39.82</v>
      </c>
      <c r="BT1421">
        <v>0</v>
      </c>
      <c r="BV1421">
        <v>0</v>
      </c>
      <c r="BW1421" t="s">
        <v>655</v>
      </c>
      <c r="BX1421">
        <v>0.17</v>
      </c>
      <c r="BY1421">
        <v>6.7694000000000001</v>
      </c>
      <c r="BZ1421">
        <v>0</v>
      </c>
      <c r="CA1421">
        <v>1</v>
      </c>
      <c r="CB1421">
        <v>0.6</v>
      </c>
      <c r="CC1421" s="3">
        <v>7.1269159999999998E-2</v>
      </c>
      <c r="CD1421">
        <v>2.875</v>
      </c>
      <c r="CE1421">
        <v>2.5</v>
      </c>
      <c r="CF1421">
        <v>18</v>
      </c>
      <c r="CG1421">
        <v>6</v>
      </c>
      <c r="CH1421">
        <v>0</v>
      </c>
      <c r="CI1421">
        <v>39.82</v>
      </c>
      <c r="CJ1421">
        <v>214.26429999999999</v>
      </c>
    </row>
    <row r="1422" spans="1:88">
      <c r="A1422">
        <v>1421</v>
      </c>
      <c r="B1422" t="s">
        <v>13</v>
      </c>
      <c r="C1422" t="s">
        <v>1</v>
      </c>
      <c r="D1422" t="s">
        <v>454</v>
      </c>
      <c r="E1422" t="s">
        <v>96</v>
      </c>
      <c r="F1422" t="s">
        <v>417</v>
      </c>
      <c r="G1422" t="s">
        <v>214</v>
      </c>
      <c r="H1422" t="s">
        <v>497</v>
      </c>
      <c r="J1422">
        <v>2</v>
      </c>
      <c r="K1422" t="s">
        <v>108</v>
      </c>
      <c r="L1422" t="s">
        <v>293</v>
      </c>
      <c r="M1422" t="s">
        <v>100</v>
      </c>
      <c r="N1422" t="s">
        <v>101</v>
      </c>
      <c r="O1422">
        <v>131</v>
      </c>
      <c r="Q1422">
        <v>685</v>
      </c>
      <c r="R1422">
        <v>120</v>
      </c>
      <c r="S1422">
        <v>4.25</v>
      </c>
      <c r="T1422">
        <v>3.5859999999999999</v>
      </c>
      <c r="U1422">
        <v>6.37</v>
      </c>
      <c r="V1422">
        <v>2910.44</v>
      </c>
      <c r="W1422">
        <v>767</v>
      </c>
      <c r="X1422">
        <v>1.3332999999999999</v>
      </c>
      <c r="Y1422">
        <v>593</v>
      </c>
      <c r="Z1422">
        <v>4.91</v>
      </c>
      <c r="AJ1422">
        <v>2</v>
      </c>
      <c r="AK1422">
        <v>18</v>
      </c>
      <c r="AM1422">
        <v>0</v>
      </c>
      <c r="AO1422" t="s">
        <v>163</v>
      </c>
      <c r="AT1422">
        <v>51</v>
      </c>
      <c r="AV1422">
        <v>69.2</v>
      </c>
      <c r="AW1422">
        <v>0.4375</v>
      </c>
      <c r="AX1422">
        <v>3.75</v>
      </c>
      <c r="AY1422">
        <v>43.625</v>
      </c>
      <c r="AZ1422">
        <v>4.25</v>
      </c>
      <c r="BA1422">
        <v>326.01</v>
      </c>
      <c r="BB1422">
        <v>5.04</v>
      </c>
      <c r="BC1422">
        <v>44</v>
      </c>
      <c r="BD1422">
        <v>0.40625</v>
      </c>
      <c r="BE1422">
        <v>3.75</v>
      </c>
      <c r="BF1422">
        <v>36.5</v>
      </c>
      <c r="BG1422">
        <v>4</v>
      </c>
      <c r="BH1422">
        <v>266.74</v>
      </c>
      <c r="BI1422">
        <v>4.96</v>
      </c>
      <c r="BJ1422">
        <v>35</v>
      </c>
      <c r="BL1422">
        <v>592.75</v>
      </c>
      <c r="BM1422">
        <v>78</v>
      </c>
      <c r="BN1422">
        <v>336.28829999999999</v>
      </c>
      <c r="BO1422">
        <v>1151</v>
      </c>
      <c r="BP1422">
        <v>0</v>
      </c>
      <c r="BQ1422">
        <v>45</v>
      </c>
      <c r="BR1422">
        <v>45</v>
      </c>
      <c r="BS1422">
        <v>44.69</v>
      </c>
      <c r="BT1422">
        <v>0</v>
      </c>
      <c r="BV1422">
        <v>0</v>
      </c>
      <c r="BW1422" t="s">
        <v>655</v>
      </c>
      <c r="BX1422">
        <v>0.17</v>
      </c>
      <c r="BY1422">
        <v>7.5972999999999997</v>
      </c>
      <c r="BZ1422">
        <v>0</v>
      </c>
      <c r="CA1422">
        <v>1</v>
      </c>
      <c r="CB1422">
        <v>0.6</v>
      </c>
      <c r="CC1422" s="3">
        <v>7.1269159999999998E-2</v>
      </c>
      <c r="CD1422">
        <v>2.875</v>
      </c>
      <c r="CE1422">
        <v>2.5</v>
      </c>
      <c r="CF1422">
        <v>18</v>
      </c>
      <c r="CG1422">
        <v>6</v>
      </c>
      <c r="CH1422">
        <v>0</v>
      </c>
      <c r="CI1422">
        <v>44.69</v>
      </c>
      <c r="CJ1422">
        <v>607.94039999999995</v>
      </c>
    </row>
    <row r="1423" spans="1:88">
      <c r="A1423">
        <v>1422</v>
      </c>
      <c r="B1423" t="s">
        <v>13</v>
      </c>
      <c r="C1423" t="s">
        <v>1</v>
      </c>
      <c r="D1423" t="s">
        <v>5</v>
      </c>
      <c r="E1423" t="s">
        <v>317</v>
      </c>
      <c r="F1423" t="s">
        <v>159</v>
      </c>
      <c r="G1423" t="s">
        <v>106</v>
      </c>
      <c r="H1423" t="s">
        <v>139</v>
      </c>
      <c r="J1423">
        <v>2</v>
      </c>
      <c r="K1423" t="s">
        <v>146</v>
      </c>
      <c r="L1423" t="s">
        <v>169</v>
      </c>
      <c r="M1423" t="s">
        <v>400</v>
      </c>
      <c r="N1423" t="s">
        <v>228</v>
      </c>
      <c r="O1423">
        <v>99</v>
      </c>
      <c r="Q1423">
        <v>288</v>
      </c>
      <c r="R1423">
        <v>69</v>
      </c>
      <c r="S1423">
        <v>4.25</v>
      </c>
      <c r="T1423">
        <v>2.758</v>
      </c>
      <c r="U1423">
        <v>5.88</v>
      </c>
      <c r="V1423">
        <v>1224.25</v>
      </c>
      <c r="W1423">
        <v>404</v>
      </c>
      <c r="X1423">
        <v>1.3332999999999999</v>
      </c>
      <c r="Y1423">
        <v>299</v>
      </c>
      <c r="Z1423">
        <v>4.09</v>
      </c>
      <c r="AJ1423">
        <v>2</v>
      </c>
      <c r="AK1423">
        <v>18</v>
      </c>
      <c r="AM1423">
        <v>0</v>
      </c>
      <c r="AO1423" t="s">
        <v>385</v>
      </c>
      <c r="AT1423">
        <v>40</v>
      </c>
      <c r="AV1423">
        <v>37.200000000000003</v>
      </c>
      <c r="AW1423">
        <v>0</v>
      </c>
      <c r="AX1423">
        <v>0</v>
      </c>
      <c r="AY1423">
        <v>32.5</v>
      </c>
      <c r="AZ1423">
        <v>3.375</v>
      </c>
      <c r="BA1423">
        <v>0</v>
      </c>
      <c r="BB1423">
        <v>0</v>
      </c>
      <c r="BC1423">
        <v>31</v>
      </c>
      <c r="BN1423">
        <v>176.55</v>
      </c>
      <c r="BO1423">
        <v>3329</v>
      </c>
      <c r="BP1423">
        <v>0</v>
      </c>
      <c r="BQ1423">
        <v>34</v>
      </c>
      <c r="BR1423">
        <v>34</v>
      </c>
      <c r="BS1423">
        <v>33.56</v>
      </c>
      <c r="BT1423">
        <v>0</v>
      </c>
      <c r="BV1423">
        <v>0</v>
      </c>
      <c r="BW1423" t="s">
        <v>655</v>
      </c>
      <c r="BX1423">
        <v>0.17</v>
      </c>
      <c r="BY1423">
        <v>5.7051999999999996</v>
      </c>
      <c r="BZ1423">
        <v>0</v>
      </c>
      <c r="CA1423">
        <v>1</v>
      </c>
      <c r="CB1423">
        <v>0.6</v>
      </c>
      <c r="CC1423" s="3">
        <v>7.1269159999999998E-2</v>
      </c>
      <c r="CD1423">
        <v>2.875</v>
      </c>
      <c r="CE1423">
        <v>2.5</v>
      </c>
      <c r="CF1423">
        <v>18</v>
      </c>
      <c r="CG1423">
        <v>6</v>
      </c>
      <c r="CH1423">
        <v>0</v>
      </c>
      <c r="CI1423">
        <v>33.56</v>
      </c>
      <c r="CJ1423">
        <v>245.15880000000001</v>
      </c>
    </row>
    <row r="1424" spans="1:88">
      <c r="A1424">
        <v>1423</v>
      </c>
      <c r="B1424" t="s">
        <v>13</v>
      </c>
      <c r="C1424" t="s">
        <v>1</v>
      </c>
      <c r="D1424" t="s">
        <v>2</v>
      </c>
      <c r="E1424" t="s">
        <v>2</v>
      </c>
      <c r="F1424" t="s">
        <v>154</v>
      </c>
      <c r="G1424" t="s">
        <v>106</v>
      </c>
      <c r="H1424" t="s">
        <v>217</v>
      </c>
      <c r="J1424">
        <v>2</v>
      </c>
      <c r="K1424" t="s">
        <v>146</v>
      </c>
      <c r="L1424" t="s">
        <v>122</v>
      </c>
      <c r="M1424" t="s">
        <v>4</v>
      </c>
      <c r="N1424" t="s">
        <v>5</v>
      </c>
      <c r="O1424">
        <v>107</v>
      </c>
      <c r="Q1424">
        <v>300</v>
      </c>
      <c r="R1424">
        <v>67</v>
      </c>
      <c r="S1424">
        <v>4.25</v>
      </c>
      <c r="T1424">
        <v>2.9710000000000001</v>
      </c>
      <c r="U1424">
        <v>6.07</v>
      </c>
      <c r="V1424">
        <v>1274.9100000000001</v>
      </c>
      <c r="W1424">
        <v>407</v>
      </c>
      <c r="X1424">
        <v>1.3332999999999999</v>
      </c>
      <c r="Y1424">
        <v>296</v>
      </c>
      <c r="Z1424">
        <v>4.3</v>
      </c>
      <c r="AJ1424">
        <v>2</v>
      </c>
      <c r="AK1424">
        <v>18</v>
      </c>
      <c r="AM1424">
        <v>0</v>
      </c>
      <c r="AO1424" t="s">
        <v>218</v>
      </c>
      <c r="AT1424">
        <v>42</v>
      </c>
      <c r="AV1424">
        <v>36.1</v>
      </c>
      <c r="AW1424">
        <v>0</v>
      </c>
      <c r="AX1424">
        <v>0</v>
      </c>
      <c r="AY1424">
        <v>32.75</v>
      </c>
      <c r="AZ1424">
        <v>3.5</v>
      </c>
      <c r="BA1424">
        <v>0</v>
      </c>
      <c r="BB1424">
        <v>0</v>
      </c>
      <c r="BC1424">
        <v>31</v>
      </c>
      <c r="BN1424">
        <v>171.2</v>
      </c>
      <c r="BO1424">
        <v>3540</v>
      </c>
      <c r="BP1424">
        <v>0</v>
      </c>
      <c r="BQ1424">
        <v>36</v>
      </c>
      <c r="BR1424">
        <v>36</v>
      </c>
      <c r="BS1424">
        <v>36.340000000000003</v>
      </c>
      <c r="BT1424">
        <v>0</v>
      </c>
      <c r="BV1424">
        <v>0</v>
      </c>
      <c r="BW1424" t="s">
        <v>655</v>
      </c>
      <c r="BX1424">
        <v>0.17</v>
      </c>
      <c r="BY1424">
        <v>6.1778000000000004</v>
      </c>
      <c r="BZ1424">
        <v>0</v>
      </c>
      <c r="CA1424">
        <v>1</v>
      </c>
      <c r="CB1424">
        <v>0.6</v>
      </c>
      <c r="CC1424" s="3">
        <v>7.1269159999999998E-2</v>
      </c>
      <c r="CD1424">
        <v>2.875</v>
      </c>
      <c r="CE1424">
        <v>2.5</v>
      </c>
      <c r="CF1424">
        <v>18</v>
      </c>
      <c r="CG1424">
        <v>6</v>
      </c>
      <c r="CH1424">
        <v>0</v>
      </c>
      <c r="CI1424">
        <v>36.340000000000003</v>
      </c>
      <c r="CJ1424">
        <v>257.69720000000001</v>
      </c>
    </row>
    <row r="1425" spans="1:88">
      <c r="A1425">
        <v>1424</v>
      </c>
      <c r="B1425" t="s">
        <v>13</v>
      </c>
      <c r="C1425" t="s">
        <v>1</v>
      </c>
      <c r="D1425" t="s">
        <v>279</v>
      </c>
      <c r="E1425" t="s">
        <v>366</v>
      </c>
      <c r="F1425" t="s">
        <v>236</v>
      </c>
      <c r="G1425" t="s">
        <v>106</v>
      </c>
      <c r="H1425" t="s">
        <v>143</v>
      </c>
      <c r="J1425">
        <v>2</v>
      </c>
      <c r="K1425" t="s">
        <v>146</v>
      </c>
      <c r="L1425" t="s">
        <v>268</v>
      </c>
      <c r="M1425" t="s">
        <v>370</v>
      </c>
      <c r="N1425" t="s">
        <v>217</v>
      </c>
      <c r="O1425">
        <v>103</v>
      </c>
      <c r="Q1425">
        <v>430</v>
      </c>
      <c r="R1425">
        <v>95</v>
      </c>
      <c r="S1425">
        <v>4.25</v>
      </c>
      <c r="T1425">
        <v>2.8650000000000002</v>
      </c>
      <c r="U1425">
        <v>5.96</v>
      </c>
      <c r="V1425">
        <v>1826.35</v>
      </c>
      <c r="W1425">
        <v>567</v>
      </c>
      <c r="X1425">
        <v>1.3332999999999999</v>
      </c>
      <c r="Y1425">
        <v>436</v>
      </c>
      <c r="Z1425">
        <v>4.1900000000000004</v>
      </c>
      <c r="AJ1425">
        <v>2</v>
      </c>
      <c r="AK1425">
        <v>18</v>
      </c>
      <c r="AM1425">
        <v>0</v>
      </c>
      <c r="AO1425" t="s">
        <v>206</v>
      </c>
      <c r="AT1425">
        <v>41</v>
      </c>
      <c r="AV1425">
        <v>53.9</v>
      </c>
      <c r="AW1425">
        <v>0</v>
      </c>
      <c r="AX1425">
        <v>0</v>
      </c>
      <c r="AY1425">
        <v>46.5</v>
      </c>
      <c r="AZ1425">
        <v>3.875</v>
      </c>
      <c r="BA1425">
        <v>0</v>
      </c>
      <c r="BB1425">
        <v>0</v>
      </c>
      <c r="BC1425">
        <v>50</v>
      </c>
      <c r="BN1425">
        <v>258.58339999999998</v>
      </c>
      <c r="BO1425">
        <v>1552</v>
      </c>
      <c r="BP1425">
        <v>0</v>
      </c>
      <c r="BQ1425">
        <v>35</v>
      </c>
      <c r="BR1425">
        <v>35</v>
      </c>
      <c r="BS1425">
        <v>34.950000000000003</v>
      </c>
      <c r="BT1425">
        <v>0</v>
      </c>
      <c r="BV1425">
        <v>0</v>
      </c>
      <c r="BW1425" t="s">
        <v>655</v>
      </c>
      <c r="BX1425">
        <v>0.17</v>
      </c>
      <c r="BY1425">
        <v>5.9414999999999996</v>
      </c>
      <c r="BZ1425">
        <v>0</v>
      </c>
      <c r="CA1425">
        <v>1</v>
      </c>
      <c r="CB1425">
        <v>0.6</v>
      </c>
      <c r="CC1425" s="3">
        <v>7.1269159999999998E-2</v>
      </c>
      <c r="CD1425">
        <v>2.875</v>
      </c>
      <c r="CE1425">
        <v>2.5</v>
      </c>
      <c r="CF1425">
        <v>18</v>
      </c>
      <c r="CG1425">
        <v>6</v>
      </c>
      <c r="CH1425">
        <v>0</v>
      </c>
      <c r="CI1425">
        <v>34.950000000000003</v>
      </c>
      <c r="CJ1425">
        <v>369.89229999999998</v>
      </c>
    </row>
    <row r="1426" spans="1:88">
      <c r="A1426">
        <v>1425</v>
      </c>
      <c r="B1426" t="s">
        <v>0</v>
      </c>
      <c r="C1426" t="s">
        <v>1</v>
      </c>
      <c r="D1426" t="s">
        <v>257</v>
      </c>
      <c r="E1426" t="s">
        <v>227</v>
      </c>
      <c r="F1426" t="s">
        <v>194</v>
      </c>
      <c r="G1426" t="s">
        <v>106</v>
      </c>
      <c r="H1426" t="s">
        <v>259</v>
      </c>
      <c r="J1426">
        <v>2</v>
      </c>
      <c r="K1426" t="s">
        <v>146</v>
      </c>
      <c r="L1426" t="s">
        <v>330</v>
      </c>
      <c r="M1426" t="s">
        <v>129</v>
      </c>
      <c r="N1426" t="s">
        <v>169</v>
      </c>
      <c r="O1426">
        <v>116</v>
      </c>
      <c r="Q1426">
        <v>434</v>
      </c>
      <c r="R1426">
        <v>87</v>
      </c>
      <c r="S1426">
        <v>4.25</v>
      </c>
      <c r="T1426">
        <v>3.206</v>
      </c>
      <c r="U1426">
        <v>6.22</v>
      </c>
      <c r="V1426">
        <v>1843.94</v>
      </c>
      <c r="W1426">
        <v>542</v>
      </c>
      <c r="X1426">
        <v>1.3332999999999999</v>
      </c>
      <c r="Y1426">
        <v>407</v>
      </c>
      <c r="Z1426">
        <v>4.53</v>
      </c>
      <c r="AJ1426">
        <v>2</v>
      </c>
      <c r="AK1426">
        <v>18</v>
      </c>
      <c r="AM1426">
        <v>0</v>
      </c>
      <c r="AO1426" t="s">
        <v>261</v>
      </c>
      <c r="AT1426">
        <v>46</v>
      </c>
      <c r="AV1426">
        <v>48.8</v>
      </c>
      <c r="AW1426">
        <v>0</v>
      </c>
      <c r="AX1426">
        <v>0</v>
      </c>
      <c r="AY1426">
        <v>49.75</v>
      </c>
      <c r="AZ1426">
        <v>4.25</v>
      </c>
      <c r="BA1426">
        <v>0</v>
      </c>
      <c r="BB1426">
        <v>0</v>
      </c>
      <c r="BC1426">
        <v>53</v>
      </c>
      <c r="BN1426">
        <v>233.61670000000001</v>
      </c>
      <c r="BO1426">
        <v>1901</v>
      </c>
      <c r="BP1426">
        <v>0</v>
      </c>
      <c r="BQ1426">
        <v>39</v>
      </c>
      <c r="BR1426">
        <v>39</v>
      </c>
      <c r="BS1426">
        <v>39.47</v>
      </c>
      <c r="BT1426">
        <v>0</v>
      </c>
      <c r="BV1426">
        <v>0</v>
      </c>
      <c r="BW1426" t="s">
        <v>655</v>
      </c>
      <c r="BX1426">
        <v>0.17</v>
      </c>
      <c r="BY1426">
        <v>6.7099010000000003</v>
      </c>
      <c r="BZ1426">
        <v>0</v>
      </c>
      <c r="CA1426">
        <v>1</v>
      </c>
      <c r="CB1426">
        <v>0.6</v>
      </c>
      <c r="CC1426" s="3">
        <v>7.1269159999999998E-2</v>
      </c>
      <c r="CD1426">
        <v>2.875</v>
      </c>
      <c r="CE1426">
        <v>2.5</v>
      </c>
      <c r="CF1426">
        <v>18</v>
      </c>
      <c r="CG1426">
        <v>6</v>
      </c>
      <c r="CH1426">
        <v>0</v>
      </c>
      <c r="CI1426">
        <v>39.47</v>
      </c>
      <c r="CJ1426">
        <v>378.34769999999997</v>
      </c>
    </row>
    <row r="1427" spans="1:88">
      <c r="A1427">
        <v>1426</v>
      </c>
      <c r="B1427" t="s">
        <v>0</v>
      </c>
      <c r="C1427" t="s">
        <v>1</v>
      </c>
      <c r="D1427" t="s">
        <v>113</v>
      </c>
      <c r="E1427" t="s">
        <v>151</v>
      </c>
      <c r="F1427" t="s">
        <v>262</v>
      </c>
      <c r="G1427" t="s">
        <v>106</v>
      </c>
      <c r="H1427" t="s">
        <v>263</v>
      </c>
      <c r="J1427">
        <v>2</v>
      </c>
      <c r="K1427" t="s">
        <v>108</v>
      </c>
      <c r="L1427" t="s">
        <v>119</v>
      </c>
      <c r="M1427" t="s">
        <v>154</v>
      </c>
      <c r="N1427" t="s">
        <v>150</v>
      </c>
      <c r="O1427">
        <v>108</v>
      </c>
      <c r="Q1427">
        <v>518</v>
      </c>
      <c r="R1427">
        <v>109</v>
      </c>
      <c r="S1427">
        <v>4.25</v>
      </c>
      <c r="T1427">
        <v>2.9980000000000002</v>
      </c>
      <c r="U1427">
        <v>6.07</v>
      </c>
      <c r="V1427">
        <v>2201.67</v>
      </c>
      <c r="W1427">
        <v>659</v>
      </c>
      <c r="X1427">
        <v>1.3332999999999999</v>
      </c>
      <c r="Y1427">
        <v>508</v>
      </c>
      <c r="Z1427">
        <v>4.33</v>
      </c>
      <c r="AJ1427">
        <v>2</v>
      </c>
      <c r="AK1427">
        <v>18</v>
      </c>
      <c r="AM1427">
        <v>0</v>
      </c>
      <c r="AO1427" t="s">
        <v>266</v>
      </c>
      <c r="AT1427">
        <v>43</v>
      </c>
      <c r="AV1427">
        <v>62.3</v>
      </c>
      <c r="AW1427">
        <v>0.46875</v>
      </c>
      <c r="AX1427">
        <v>3.75</v>
      </c>
      <c r="AY1427">
        <v>44.5</v>
      </c>
      <c r="AZ1427">
        <v>4</v>
      </c>
      <c r="BA1427">
        <v>455.15</v>
      </c>
      <c r="BB1427">
        <v>4.33</v>
      </c>
      <c r="BC1427">
        <v>48</v>
      </c>
      <c r="BD1427">
        <v>0.25</v>
      </c>
      <c r="BE1427">
        <v>2.75</v>
      </c>
      <c r="BF1427">
        <v>21.5</v>
      </c>
      <c r="BG1427">
        <v>2.125</v>
      </c>
      <c r="BH1427">
        <v>53.31</v>
      </c>
      <c r="BI1427">
        <v>6.44</v>
      </c>
      <c r="BJ1427">
        <v>9</v>
      </c>
      <c r="BL1427">
        <v>508.46</v>
      </c>
      <c r="BM1427">
        <v>57</v>
      </c>
      <c r="BN1427">
        <v>299.60000000000002</v>
      </c>
      <c r="BO1427">
        <v>1156</v>
      </c>
      <c r="BP1427">
        <v>0</v>
      </c>
      <c r="BQ1427">
        <v>37</v>
      </c>
      <c r="BR1427">
        <v>37</v>
      </c>
      <c r="BS1427">
        <v>36.69</v>
      </c>
      <c r="BT1427">
        <v>0</v>
      </c>
      <c r="BV1427">
        <v>0</v>
      </c>
      <c r="BW1427" t="s">
        <v>655</v>
      </c>
      <c r="BX1427">
        <v>0.17</v>
      </c>
      <c r="BY1427">
        <v>6.2373000000000003</v>
      </c>
      <c r="BZ1427">
        <v>0</v>
      </c>
      <c r="CA1427">
        <v>1</v>
      </c>
      <c r="CB1427">
        <v>0.6</v>
      </c>
      <c r="CC1427" s="3">
        <v>7.1269159999999998E-2</v>
      </c>
      <c r="CD1427">
        <v>2.875</v>
      </c>
      <c r="CE1427">
        <v>2.5</v>
      </c>
      <c r="CF1427">
        <v>18</v>
      </c>
      <c r="CG1427">
        <v>6</v>
      </c>
      <c r="CH1427">
        <v>0</v>
      </c>
      <c r="CI1427">
        <v>36.69</v>
      </c>
      <c r="CJ1427">
        <v>449.43</v>
      </c>
    </row>
    <row r="1428" spans="1:88">
      <c r="A1428">
        <v>1427</v>
      </c>
      <c r="B1428" t="s">
        <v>0</v>
      </c>
      <c r="C1428" t="s">
        <v>1</v>
      </c>
      <c r="D1428" t="s">
        <v>258</v>
      </c>
      <c r="E1428" t="s">
        <v>99</v>
      </c>
      <c r="F1428" t="s">
        <v>571</v>
      </c>
      <c r="G1428" t="s">
        <v>106</v>
      </c>
      <c r="H1428" t="s">
        <v>572</v>
      </c>
      <c r="J1428">
        <v>2</v>
      </c>
      <c r="K1428" t="s">
        <v>108</v>
      </c>
      <c r="L1428" t="s">
        <v>393</v>
      </c>
      <c r="M1428" t="s">
        <v>184</v>
      </c>
      <c r="N1428" t="s">
        <v>185</v>
      </c>
      <c r="O1428">
        <v>149</v>
      </c>
      <c r="Q1428">
        <v>627</v>
      </c>
      <c r="R1428">
        <v>99</v>
      </c>
      <c r="S1428">
        <v>4.25</v>
      </c>
      <c r="T1428">
        <v>4.024</v>
      </c>
      <c r="U1428">
        <v>6.71</v>
      </c>
      <c r="V1428">
        <v>2665.77</v>
      </c>
      <c r="W1428">
        <v>663</v>
      </c>
      <c r="X1428">
        <v>1.3332999999999999</v>
      </c>
      <c r="Y1428">
        <v>498</v>
      </c>
      <c r="Z1428">
        <v>5.35</v>
      </c>
      <c r="AJ1428">
        <v>2</v>
      </c>
      <c r="AK1428">
        <v>18</v>
      </c>
      <c r="AM1428">
        <v>0</v>
      </c>
      <c r="AO1428" t="s">
        <v>273</v>
      </c>
      <c r="AT1428">
        <v>57</v>
      </c>
      <c r="AV1428">
        <v>56.2</v>
      </c>
      <c r="AW1428">
        <v>0.40625</v>
      </c>
      <c r="AX1428">
        <v>3.75</v>
      </c>
      <c r="AY1428">
        <v>39</v>
      </c>
      <c r="AZ1428">
        <v>4.375</v>
      </c>
      <c r="BA1428">
        <v>249.13</v>
      </c>
      <c r="BB1428">
        <v>5.31</v>
      </c>
      <c r="BC1428">
        <v>37</v>
      </c>
      <c r="BD1428">
        <v>0.40625</v>
      </c>
      <c r="BE1428">
        <v>3.75</v>
      </c>
      <c r="BF1428">
        <v>39</v>
      </c>
      <c r="BG1428">
        <v>4.375</v>
      </c>
      <c r="BH1428">
        <v>249.13</v>
      </c>
      <c r="BI1428">
        <v>5.31</v>
      </c>
      <c r="BJ1428">
        <v>37</v>
      </c>
      <c r="BL1428">
        <v>498.26</v>
      </c>
      <c r="BM1428">
        <v>74</v>
      </c>
      <c r="BN1428">
        <v>269.28339999999997</v>
      </c>
      <c r="BO1428">
        <v>1431</v>
      </c>
      <c r="BP1428">
        <v>0</v>
      </c>
      <c r="BQ1428">
        <v>51</v>
      </c>
      <c r="BR1428">
        <v>51</v>
      </c>
      <c r="BS1428">
        <v>50.95</v>
      </c>
      <c r="BT1428">
        <v>0</v>
      </c>
      <c r="BV1428">
        <v>0</v>
      </c>
      <c r="BW1428" t="s">
        <v>655</v>
      </c>
      <c r="BX1428">
        <v>0.17</v>
      </c>
      <c r="BY1428">
        <v>8.6615000000000002</v>
      </c>
      <c r="BZ1428">
        <v>0</v>
      </c>
      <c r="CA1428">
        <v>1</v>
      </c>
      <c r="CB1428">
        <v>0.6</v>
      </c>
      <c r="CC1428" s="3">
        <v>7.1269159999999998E-2</v>
      </c>
      <c r="CD1428">
        <v>2.875</v>
      </c>
      <c r="CE1428">
        <v>2.5</v>
      </c>
      <c r="CF1428">
        <v>18</v>
      </c>
      <c r="CG1428">
        <v>6</v>
      </c>
      <c r="CH1428">
        <v>0</v>
      </c>
      <c r="CI1428">
        <v>50.95</v>
      </c>
      <c r="CJ1428">
        <v>562.37649999999996</v>
      </c>
    </row>
    <row r="1429" spans="1:88">
      <c r="A1429">
        <v>1428</v>
      </c>
      <c r="B1429" t="s">
        <v>13</v>
      </c>
      <c r="C1429" t="s">
        <v>1</v>
      </c>
      <c r="D1429" t="s">
        <v>113</v>
      </c>
      <c r="E1429" t="s">
        <v>123</v>
      </c>
      <c r="F1429" t="s">
        <v>262</v>
      </c>
      <c r="G1429" t="s">
        <v>214</v>
      </c>
      <c r="H1429" t="s">
        <v>263</v>
      </c>
      <c r="J1429">
        <v>2</v>
      </c>
      <c r="K1429" t="s">
        <v>108</v>
      </c>
      <c r="L1429" t="s">
        <v>8</v>
      </c>
      <c r="M1429" t="s">
        <v>147</v>
      </c>
      <c r="N1429" t="s">
        <v>148</v>
      </c>
      <c r="O1429">
        <v>183</v>
      </c>
      <c r="Q1429">
        <v>842</v>
      </c>
      <c r="R1429">
        <v>109</v>
      </c>
      <c r="S1429">
        <v>4.25</v>
      </c>
      <c r="T1429">
        <v>4.8079999999999998</v>
      </c>
      <c r="U1429">
        <v>7.12</v>
      </c>
      <c r="V1429">
        <v>3578.75</v>
      </c>
      <c r="W1429">
        <v>773</v>
      </c>
      <c r="X1429">
        <v>1.3332999999999999</v>
      </c>
      <c r="Y1429">
        <v>583</v>
      </c>
      <c r="Z1429">
        <v>6.14</v>
      </c>
      <c r="AJ1429">
        <v>2</v>
      </c>
      <c r="AK1429">
        <v>18</v>
      </c>
      <c r="AM1429">
        <v>0</v>
      </c>
      <c r="AO1429" t="s">
        <v>266</v>
      </c>
      <c r="AT1429">
        <v>69</v>
      </c>
      <c r="AV1429">
        <v>62.3</v>
      </c>
      <c r="AW1429">
        <v>0.46875</v>
      </c>
      <c r="AX1429">
        <v>3.75</v>
      </c>
      <c r="AY1429">
        <v>63.25</v>
      </c>
      <c r="AZ1429">
        <v>5.75</v>
      </c>
      <c r="BA1429">
        <v>320.56</v>
      </c>
      <c r="BB1429">
        <v>6.14</v>
      </c>
      <c r="BC1429">
        <v>68</v>
      </c>
      <c r="BD1429">
        <v>0.4375</v>
      </c>
      <c r="BE1429">
        <v>3.75</v>
      </c>
      <c r="BF1429">
        <v>54.25</v>
      </c>
      <c r="BG1429">
        <v>5.375</v>
      </c>
      <c r="BH1429">
        <v>262.27999999999997</v>
      </c>
      <c r="BI1429">
        <v>6.27</v>
      </c>
      <c r="BJ1429">
        <v>55</v>
      </c>
      <c r="BL1429">
        <v>582.84</v>
      </c>
      <c r="BM1429">
        <v>122</v>
      </c>
      <c r="BN1429">
        <v>302.12</v>
      </c>
      <c r="BO1429">
        <v>1426</v>
      </c>
      <c r="BP1429">
        <v>0</v>
      </c>
      <c r="BQ1429">
        <v>63</v>
      </c>
      <c r="BR1429">
        <v>63</v>
      </c>
      <c r="BS1429">
        <v>62.78</v>
      </c>
      <c r="BT1429">
        <v>0</v>
      </c>
      <c r="BV1429">
        <v>0</v>
      </c>
      <c r="BW1429" t="s">
        <v>655</v>
      </c>
      <c r="BX1429">
        <v>0.17</v>
      </c>
      <c r="BY1429">
        <v>10.672599999999999</v>
      </c>
      <c r="BZ1429">
        <v>0</v>
      </c>
      <c r="CA1429">
        <v>1</v>
      </c>
      <c r="CB1429">
        <v>0.6</v>
      </c>
      <c r="CC1429" s="3">
        <v>7.1269159999999998E-2</v>
      </c>
      <c r="CD1429">
        <v>2.875</v>
      </c>
      <c r="CE1429">
        <v>2.5</v>
      </c>
      <c r="CF1429">
        <v>18</v>
      </c>
      <c r="CG1429">
        <v>6</v>
      </c>
      <c r="CH1429">
        <v>0</v>
      </c>
      <c r="CI1429">
        <v>62.78</v>
      </c>
      <c r="CJ1429">
        <v>769.01649999999995</v>
      </c>
    </row>
    <row r="1430" spans="1:88">
      <c r="A1430">
        <v>1429</v>
      </c>
      <c r="B1430" t="s">
        <v>0</v>
      </c>
      <c r="C1430" t="s">
        <v>1</v>
      </c>
      <c r="D1430" t="s">
        <v>272</v>
      </c>
      <c r="E1430" t="s">
        <v>235</v>
      </c>
      <c r="F1430" t="s">
        <v>273</v>
      </c>
      <c r="G1430" t="s">
        <v>106</v>
      </c>
      <c r="H1430" t="s">
        <v>274</v>
      </c>
      <c r="J1430">
        <v>2</v>
      </c>
      <c r="K1430" t="s">
        <v>108</v>
      </c>
      <c r="L1430" t="s">
        <v>185</v>
      </c>
      <c r="M1430" t="s">
        <v>198</v>
      </c>
      <c r="N1430" t="s">
        <v>338</v>
      </c>
      <c r="O1430">
        <v>132</v>
      </c>
      <c r="Q1430">
        <v>554</v>
      </c>
      <c r="R1430">
        <v>98</v>
      </c>
      <c r="S1430">
        <v>4.25</v>
      </c>
      <c r="T1430">
        <v>3.61</v>
      </c>
      <c r="U1430">
        <v>6.37</v>
      </c>
      <c r="V1430">
        <v>2353.9</v>
      </c>
      <c r="W1430">
        <v>622</v>
      </c>
      <c r="X1430">
        <v>1.3332999999999999</v>
      </c>
      <c r="Y1430">
        <v>476</v>
      </c>
      <c r="Z1430">
        <v>4.9400000000000004</v>
      </c>
      <c r="AJ1430">
        <v>2</v>
      </c>
      <c r="AK1430">
        <v>18</v>
      </c>
      <c r="AM1430">
        <v>0</v>
      </c>
      <c r="AO1430" t="s">
        <v>275</v>
      </c>
      <c r="AT1430">
        <v>51</v>
      </c>
      <c r="AV1430">
        <v>55.4</v>
      </c>
      <c r="AW1430">
        <v>0.40625</v>
      </c>
      <c r="AX1430">
        <v>3.75</v>
      </c>
      <c r="AY1430">
        <v>37.125</v>
      </c>
      <c r="AZ1430">
        <v>4</v>
      </c>
      <c r="BA1430">
        <v>262.06</v>
      </c>
      <c r="BB1430">
        <v>5.05</v>
      </c>
      <c r="BC1430">
        <v>35</v>
      </c>
      <c r="BD1430">
        <v>0.375</v>
      </c>
      <c r="BE1430">
        <v>3.75</v>
      </c>
      <c r="BF1430">
        <v>30.125</v>
      </c>
      <c r="BG1430">
        <v>3.75</v>
      </c>
      <c r="BH1430">
        <v>214.43</v>
      </c>
      <c r="BI1430">
        <v>5.0199999999999996</v>
      </c>
      <c r="BJ1430">
        <v>27</v>
      </c>
      <c r="BL1430">
        <v>476.49</v>
      </c>
      <c r="BM1430">
        <v>61</v>
      </c>
      <c r="BN1430">
        <v>265.7167</v>
      </c>
      <c r="BO1430">
        <v>1470</v>
      </c>
      <c r="BP1430">
        <v>0</v>
      </c>
      <c r="BQ1430">
        <v>45</v>
      </c>
      <c r="BR1430">
        <v>45</v>
      </c>
      <c r="BS1430">
        <v>45.04</v>
      </c>
      <c r="BT1430">
        <v>0</v>
      </c>
      <c r="BV1430">
        <v>0</v>
      </c>
      <c r="BW1430" t="s">
        <v>655</v>
      </c>
      <c r="BX1430">
        <v>0.17</v>
      </c>
      <c r="BY1430">
        <v>7.6568009999999997</v>
      </c>
      <c r="BZ1430">
        <v>0</v>
      </c>
      <c r="CA1430">
        <v>1</v>
      </c>
      <c r="CB1430">
        <v>0.6</v>
      </c>
      <c r="CC1430" s="3">
        <v>7.1269159999999998E-2</v>
      </c>
      <c r="CD1430">
        <v>2.875</v>
      </c>
      <c r="CE1430">
        <v>2.5</v>
      </c>
      <c r="CF1430">
        <v>18</v>
      </c>
      <c r="CG1430">
        <v>6</v>
      </c>
      <c r="CH1430">
        <v>0</v>
      </c>
      <c r="CI1430">
        <v>45.04</v>
      </c>
      <c r="CJ1430">
        <v>490.72309999999999</v>
      </c>
    </row>
    <row r="1431" spans="1:88">
      <c r="A1431">
        <v>1430</v>
      </c>
      <c r="B1431" t="s">
        <v>0</v>
      </c>
      <c r="C1431" t="s">
        <v>1</v>
      </c>
      <c r="D1431" t="s">
        <v>135</v>
      </c>
      <c r="E1431" t="s">
        <v>438</v>
      </c>
      <c r="F1431" t="s">
        <v>137</v>
      </c>
      <c r="G1431" t="s">
        <v>106</v>
      </c>
      <c r="H1431" t="s">
        <v>138</v>
      </c>
      <c r="J1431">
        <v>2</v>
      </c>
      <c r="K1431" t="s">
        <v>146</v>
      </c>
      <c r="L1431" t="s">
        <v>399</v>
      </c>
      <c r="M1431" t="s">
        <v>467</v>
      </c>
      <c r="N1431" t="s">
        <v>382</v>
      </c>
      <c r="O1431">
        <v>97</v>
      </c>
      <c r="Q1431">
        <v>177</v>
      </c>
      <c r="R1431">
        <v>41</v>
      </c>
      <c r="S1431">
        <v>4.25</v>
      </c>
      <c r="T1431">
        <v>2.7040000000000002</v>
      </c>
      <c r="U1431">
        <v>5.85</v>
      </c>
      <c r="V1431">
        <v>753.65</v>
      </c>
      <c r="W1431">
        <v>242</v>
      </c>
      <c r="X1431">
        <v>1.3332999999999999</v>
      </c>
      <c r="Y1431">
        <v>187</v>
      </c>
      <c r="Z1431">
        <v>4.03</v>
      </c>
      <c r="AJ1431">
        <v>2</v>
      </c>
      <c r="AK1431">
        <v>18</v>
      </c>
      <c r="AM1431">
        <v>0</v>
      </c>
      <c r="AO1431" t="s">
        <v>142</v>
      </c>
      <c r="AT1431">
        <v>39</v>
      </c>
      <c r="AV1431">
        <v>23</v>
      </c>
      <c r="AW1431">
        <v>0</v>
      </c>
      <c r="AX1431">
        <v>0</v>
      </c>
      <c r="AY1431">
        <v>34.5</v>
      </c>
      <c r="AZ1431">
        <v>3</v>
      </c>
      <c r="BA1431">
        <v>0</v>
      </c>
      <c r="BB1431">
        <v>0</v>
      </c>
      <c r="BC1431">
        <v>31</v>
      </c>
      <c r="BN1431">
        <v>107</v>
      </c>
      <c r="BO1431">
        <v>9064</v>
      </c>
      <c r="BP1431">
        <v>0</v>
      </c>
      <c r="BQ1431">
        <v>33</v>
      </c>
      <c r="BR1431">
        <v>33</v>
      </c>
      <c r="BS1431">
        <v>32.86</v>
      </c>
      <c r="BT1431">
        <v>0</v>
      </c>
      <c r="BV1431">
        <v>0</v>
      </c>
      <c r="BW1431" t="s">
        <v>655</v>
      </c>
      <c r="BX1431">
        <v>0.17</v>
      </c>
      <c r="BY1431">
        <v>5.5861999999999998</v>
      </c>
      <c r="BZ1431">
        <v>0</v>
      </c>
      <c r="CA1431">
        <v>1</v>
      </c>
      <c r="CB1431">
        <v>0.6</v>
      </c>
      <c r="CC1431" s="3">
        <v>7.1269159999999998E-2</v>
      </c>
      <c r="CD1431">
        <v>2.875</v>
      </c>
      <c r="CE1431">
        <v>2.5</v>
      </c>
      <c r="CF1431">
        <v>18</v>
      </c>
      <c r="CG1431">
        <v>6</v>
      </c>
      <c r="CH1431">
        <v>0</v>
      </c>
      <c r="CI1431">
        <v>32.86</v>
      </c>
      <c r="CJ1431">
        <v>148.71090000000001</v>
      </c>
    </row>
    <row r="1432" spans="1:88">
      <c r="A1432">
        <v>1431</v>
      </c>
      <c r="B1432" t="s">
        <v>13</v>
      </c>
      <c r="C1432" t="s">
        <v>1</v>
      </c>
      <c r="D1432" t="s">
        <v>143</v>
      </c>
      <c r="E1432" t="s">
        <v>203</v>
      </c>
      <c r="F1432" t="s">
        <v>144</v>
      </c>
      <c r="G1432" t="s">
        <v>106</v>
      </c>
      <c r="H1432" t="s">
        <v>145</v>
      </c>
      <c r="J1432">
        <v>2</v>
      </c>
      <c r="K1432" t="s">
        <v>146</v>
      </c>
      <c r="L1432" t="s">
        <v>249</v>
      </c>
      <c r="M1432" t="s">
        <v>648</v>
      </c>
      <c r="N1432" t="s">
        <v>459</v>
      </c>
      <c r="O1432">
        <v>201</v>
      </c>
      <c r="Q1432">
        <v>791</v>
      </c>
      <c r="R1432">
        <v>95</v>
      </c>
      <c r="S1432">
        <v>4.25</v>
      </c>
      <c r="T1432">
        <v>5.2030000000000003</v>
      </c>
      <c r="U1432">
        <v>7.42</v>
      </c>
      <c r="V1432">
        <v>3361.87</v>
      </c>
      <c r="W1432">
        <v>702</v>
      </c>
      <c r="X1432">
        <v>1.3332999999999999</v>
      </c>
      <c r="Y1432">
        <v>515</v>
      </c>
      <c r="Z1432">
        <v>6.53</v>
      </c>
      <c r="AJ1432">
        <v>2</v>
      </c>
      <c r="AK1432">
        <v>18</v>
      </c>
      <c r="AM1432">
        <v>0</v>
      </c>
      <c r="AO1432" t="s">
        <v>149</v>
      </c>
      <c r="AT1432">
        <v>75</v>
      </c>
      <c r="AV1432">
        <v>53.5</v>
      </c>
      <c r="AW1432" t="s">
        <v>6</v>
      </c>
      <c r="AX1432" t="s">
        <v>6</v>
      </c>
      <c r="AY1432" t="s">
        <v>6</v>
      </c>
      <c r="AZ1432" t="s">
        <v>6</v>
      </c>
      <c r="BA1432" t="s">
        <v>6</v>
      </c>
      <c r="BB1432" t="s">
        <v>6</v>
      </c>
      <c r="BC1432" t="s">
        <v>6</v>
      </c>
      <c r="BD1432" t="s">
        <v>6</v>
      </c>
      <c r="BE1432" t="s">
        <v>6</v>
      </c>
      <c r="BF1432" t="s">
        <v>6</v>
      </c>
      <c r="BG1432" t="s">
        <v>6</v>
      </c>
      <c r="BH1432" t="s">
        <v>6</v>
      </c>
      <c r="BI1432" t="s">
        <v>6</v>
      </c>
      <c r="BJ1432" t="s">
        <v>6</v>
      </c>
      <c r="BN1432">
        <v>256.80009999999999</v>
      </c>
      <c r="BO1432">
        <v>1574</v>
      </c>
      <c r="BP1432">
        <v>0</v>
      </c>
      <c r="BQ1432">
        <v>69</v>
      </c>
      <c r="BR1432">
        <v>69</v>
      </c>
      <c r="BS1432">
        <v>69.040000000000006</v>
      </c>
      <c r="BT1432">
        <v>0</v>
      </c>
      <c r="BV1432">
        <v>0</v>
      </c>
      <c r="BW1432" t="s">
        <v>655</v>
      </c>
      <c r="BX1432">
        <v>0.17</v>
      </c>
      <c r="BY1432">
        <v>11.736800000000001</v>
      </c>
      <c r="BZ1432">
        <v>0</v>
      </c>
      <c r="CA1432">
        <v>1</v>
      </c>
      <c r="CB1432">
        <v>0.6</v>
      </c>
      <c r="CC1432" s="3">
        <v>7.1269159999999998E-2</v>
      </c>
      <c r="CD1432">
        <v>2.875</v>
      </c>
      <c r="CE1432">
        <v>2.5</v>
      </c>
      <c r="CF1432">
        <v>18</v>
      </c>
      <c r="CG1432">
        <v>6</v>
      </c>
      <c r="CH1432">
        <v>0</v>
      </c>
      <c r="CI1432">
        <v>69.040000000000006</v>
      </c>
      <c r="CJ1432">
        <v>725.76229999999998</v>
      </c>
    </row>
    <row r="1433" spans="1:88">
      <c r="A1433">
        <v>1432</v>
      </c>
      <c r="B1433" t="s">
        <v>0</v>
      </c>
      <c r="C1433" t="s">
        <v>1</v>
      </c>
      <c r="D1433" t="s">
        <v>332</v>
      </c>
      <c r="E1433" t="s">
        <v>2</v>
      </c>
      <c r="F1433" t="s">
        <v>333</v>
      </c>
      <c r="G1433" t="s">
        <v>106</v>
      </c>
      <c r="H1433" t="s">
        <v>334</v>
      </c>
      <c r="J1433">
        <v>2</v>
      </c>
      <c r="K1433" t="s">
        <v>146</v>
      </c>
      <c r="L1433" t="s">
        <v>122</v>
      </c>
      <c r="M1433" t="s">
        <v>4</v>
      </c>
      <c r="N1433" t="s">
        <v>5</v>
      </c>
      <c r="O1433">
        <v>107</v>
      </c>
      <c r="Q1433">
        <v>211</v>
      </c>
      <c r="R1433">
        <v>45</v>
      </c>
      <c r="S1433">
        <v>4.25</v>
      </c>
      <c r="T1433">
        <v>2.9710000000000001</v>
      </c>
      <c r="U1433">
        <v>6.07</v>
      </c>
      <c r="V1433">
        <v>898.4</v>
      </c>
      <c r="W1433">
        <v>272</v>
      </c>
      <c r="X1433">
        <v>1.3332999999999999</v>
      </c>
      <c r="Y1433">
        <v>209</v>
      </c>
      <c r="Z1433">
        <v>4.3</v>
      </c>
      <c r="AJ1433">
        <v>2</v>
      </c>
      <c r="AK1433">
        <v>18</v>
      </c>
      <c r="AM1433">
        <v>0</v>
      </c>
      <c r="AO1433" t="s">
        <v>335</v>
      </c>
      <c r="AT1433">
        <v>42</v>
      </c>
      <c r="AV1433">
        <v>25.2</v>
      </c>
      <c r="AW1433">
        <v>0</v>
      </c>
      <c r="AX1433">
        <v>0</v>
      </c>
      <c r="AY1433">
        <v>30.875</v>
      </c>
      <c r="AZ1433">
        <v>3.25</v>
      </c>
      <c r="BA1433">
        <v>0</v>
      </c>
      <c r="BB1433">
        <v>0</v>
      </c>
      <c r="BC1433">
        <v>27</v>
      </c>
      <c r="BN1433">
        <v>117.7</v>
      </c>
      <c r="BO1433">
        <v>7491</v>
      </c>
      <c r="BP1433">
        <v>0</v>
      </c>
      <c r="BQ1433">
        <v>36</v>
      </c>
      <c r="BR1433">
        <v>36</v>
      </c>
      <c r="BS1433">
        <v>36.340000000000003</v>
      </c>
      <c r="BT1433">
        <v>0</v>
      </c>
      <c r="BV1433">
        <v>0</v>
      </c>
      <c r="BW1433" t="s">
        <v>655</v>
      </c>
      <c r="BX1433">
        <v>0.17</v>
      </c>
      <c r="BY1433">
        <v>6.1778000000000004</v>
      </c>
      <c r="BZ1433">
        <v>0</v>
      </c>
      <c r="CA1433">
        <v>1</v>
      </c>
      <c r="CB1433">
        <v>0.6</v>
      </c>
      <c r="CC1433" s="3">
        <v>7.1269159999999998E-2</v>
      </c>
      <c r="CD1433">
        <v>2.875</v>
      </c>
      <c r="CE1433">
        <v>2.5</v>
      </c>
      <c r="CF1433">
        <v>18</v>
      </c>
      <c r="CG1433">
        <v>6</v>
      </c>
      <c r="CH1433">
        <v>0</v>
      </c>
      <c r="CI1433">
        <v>36.340000000000003</v>
      </c>
      <c r="CJ1433">
        <v>179.99950000000001</v>
      </c>
    </row>
    <row r="1434" spans="1:88">
      <c r="A1434">
        <v>1433</v>
      </c>
      <c r="B1434" t="s">
        <v>0</v>
      </c>
      <c r="C1434" t="s">
        <v>1</v>
      </c>
      <c r="D1434" t="s">
        <v>552</v>
      </c>
      <c r="E1434" t="s">
        <v>3</v>
      </c>
      <c r="F1434" t="s">
        <v>392</v>
      </c>
      <c r="G1434" t="s">
        <v>106</v>
      </c>
      <c r="H1434" t="s">
        <v>563</v>
      </c>
      <c r="J1434">
        <v>2</v>
      </c>
      <c r="K1434" t="s">
        <v>108</v>
      </c>
      <c r="L1434" t="s">
        <v>363</v>
      </c>
      <c r="M1434" t="s">
        <v>383</v>
      </c>
      <c r="N1434" t="s">
        <v>119</v>
      </c>
      <c r="O1434">
        <v>125</v>
      </c>
      <c r="Q1434">
        <v>564</v>
      </c>
      <c r="R1434">
        <v>104</v>
      </c>
      <c r="S1434">
        <v>4.25</v>
      </c>
      <c r="T1434">
        <v>3.4350000000000001</v>
      </c>
      <c r="U1434">
        <v>6.26</v>
      </c>
      <c r="V1434">
        <v>2398.06</v>
      </c>
      <c r="W1434">
        <v>651</v>
      </c>
      <c r="X1434">
        <v>1.3332999999999999</v>
      </c>
      <c r="Y1434">
        <v>504</v>
      </c>
      <c r="Z1434">
        <v>4.76</v>
      </c>
      <c r="AJ1434">
        <v>2</v>
      </c>
      <c r="AK1434">
        <v>18</v>
      </c>
      <c r="AM1434">
        <v>0</v>
      </c>
      <c r="AO1434" t="s">
        <v>394</v>
      </c>
      <c r="AT1434">
        <v>49</v>
      </c>
      <c r="AV1434">
        <v>59.4</v>
      </c>
      <c r="AW1434">
        <v>0.46875</v>
      </c>
      <c r="AX1434">
        <v>3.75</v>
      </c>
      <c r="AY1434">
        <v>49</v>
      </c>
      <c r="AZ1434">
        <v>4.5</v>
      </c>
      <c r="BA1434">
        <v>414.03</v>
      </c>
      <c r="BB1434">
        <v>4.76</v>
      </c>
      <c r="BC1434">
        <v>53</v>
      </c>
      <c r="BD1434">
        <v>0.3125</v>
      </c>
      <c r="BE1434">
        <v>2.75</v>
      </c>
      <c r="BF1434">
        <v>40</v>
      </c>
      <c r="BG1434">
        <v>3</v>
      </c>
      <c r="BH1434">
        <v>89.76</v>
      </c>
      <c r="BI1434">
        <v>7.12</v>
      </c>
      <c r="BJ1434">
        <v>21</v>
      </c>
      <c r="BL1434">
        <v>503.79</v>
      </c>
      <c r="BM1434">
        <v>73</v>
      </c>
      <c r="BN1434">
        <v>285.33339999999998</v>
      </c>
      <c r="BO1434">
        <v>1275</v>
      </c>
      <c r="BP1434">
        <v>0</v>
      </c>
      <c r="BQ1434">
        <v>43</v>
      </c>
      <c r="BR1434">
        <v>43</v>
      </c>
      <c r="BS1434">
        <v>42.6</v>
      </c>
      <c r="BT1434">
        <v>0</v>
      </c>
      <c r="BV1434">
        <v>0</v>
      </c>
      <c r="BW1434" t="s">
        <v>655</v>
      </c>
      <c r="BX1434">
        <v>0.17</v>
      </c>
      <c r="BY1434">
        <v>7.242</v>
      </c>
      <c r="BZ1434">
        <v>0</v>
      </c>
      <c r="CA1434">
        <v>1</v>
      </c>
      <c r="CB1434">
        <v>0.6</v>
      </c>
      <c r="CC1434" s="3">
        <v>7.1269159999999998E-2</v>
      </c>
      <c r="CD1434">
        <v>2.875</v>
      </c>
      <c r="CE1434">
        <v>2.5</v>
      </c>
      <c r="CF1434">
        <v>18</v>
      </c>
      <c r="CG1434">
        <v>6</v>
      </c>
      <c r="CH1434">
        <v>0</v>
      </c>
      <c r="CI1434">
        <v>42.6</v>
      </c>
      <c r="CJ1434">
        <v>497.53530000000001</v>
      </c>
    </row>
    <row r="1435" spans="1:88">
      <c r="A1435">
        <v>1434</v>
      </c>
      <c r="B1435" t="s">
        <v>0</v>
      </c>
      <c r="C1435" t="s">
        <v>1</v>
      </c>
      <c r="D1435" t="s">
        <v>207</v>
      </c>
      <c r="E1435" t="s">
        <v>133</v>
      </c>
      <c r="F1435" t="s">
        <v>149</v>
      </c>
      <c r="G1435" t="s">
        <v>106</v>
      </c>
      <c r="H1435" t="s">
        <v>185</v>
      </c>
      <c r="J1435">
        <v>2</v>
      </c>
      <c r="K1435" t="s">
        <v>146</v>
      </c>
      <c r="L1435" t="s">
        <v>353</v>
      </c>
      <c r="M1435" t="s">
        <v>194</v>
      </c>
      <c r="N1435" t="s">
        <v>195</v>
      </c>
      <c r="O1435">
        <v>143</v>
      </c>
      <c r="Q1435">
        <v>568</v>
      </c>
      <c r="R1435">
        <v>93</v>
      </c>
      <c r="S1435">
        <v>4.25</v>
      </c>
      <c r="T1435">
        <v>3.88</v>
      </c>
      <c r="U1435">
        <v>6.6</v>
      </c>
      <c r="V1435">
        <v>2413.02</v>
      </c>
      <c r="W1435">
        <v>617</v>
      </c>
      <c r="X1435">
        <v>1.3332999999999999</v>
      </c>
      <c r="Y1435">
        <v>463</v>
      </c>
      <c r="Z1435">
        <v>5.21</v>
      </c>
      <c r="AJ1435">
        <v>2</v>
      </c>
      <c r="AK1435">
        <v>18</v>
      </c>
      <c r="AM1435">
        <v>0</v>
      </c>
      <c r="AO1435" t="s">
        <v>294</v>
      </c>
      <c r="AT1435">
        <v>55</v>
      </c>
      <c r="AV1435">
        <v>52.8</v>
      </c>
      <c r="AW1435">
        <v>0.46875</v>
      </c>
      <c r="AX1435">
        <v>3.75</v>
      </c>
      <c r="AY1435">
        <v>53.625</v>
      </c>
      <c r="AZ1435">
        <v>4.875</v>
      </c>
      <c r="BA1435">
        <v>378.27</v>
      </c>
      <c r="BB1435">
        <v>5.21</v>
      </c>
      <c r="BC1435">
        <v>58</v>
      </c>
      <c r="BD1435">
        <v>0.3125</v>
      </c>
      <c r="BE1435">
        <v>2.75</v>
      </c>
      <c r="BF1435">
        <v>42.375</v>
      </c>
      <c r="BG1435">
        <v>3.25</v>
      </c>
      <c r="BH1435">
        <v>84.88</v>
      </c>
      <c r="BI1435">
        <v>7.53</v>
      </c>
      <c r="BJ1435">
        <v>23</v>
      </c>
      <c r="BL1435">
        <v>463.15</v>
      </c>
      <c r="BM1435">
        <v>80</v>
      </c>
      <c r="BN1435">
        <v>253.23339999999999</v>
      </c>
      <c r="BO1435">
        <v>1618</v>
      </c>
      <c r="BP1435">
        <v>0</v>
      </c>
      <c r="BQ1435">
        <v>49</v>
      </c>
      <c r="BR1435">
        <v>49</v>
      </c>
      <c r="BS1435">
        <v>48.86</v>
      </c>
      <c r="BT1435">
        <v>0</v>
      </c>
      <c r="BV1435">
        <v>0</v>
      </c>
      <c r="BW1435" t="s">
        <v>655</v>
      </c>
      <c r="BX1435">
        <v>0.17</v>
      </c>
      <c r="BY1435">
        <v>8.3062000000000005</v>
      </c>
      <c r="BZ1435">
        <v>0</v>
      </c>
      <c r="CA1435">
        <v>1</v>
      </c>
      <c r="CB1435">
        <v>0.6</v>
      </c>
      <c r="CC1435" s="3">
        <v>7.1269159999999998E-2</v>
      </c>
      <c r="CD1435">
        <v>2.875</v>
      </c>
      <c r="CE1435">
        <v>2.5</v>
      </c>
      <c r="CF1435">
        <v>18</v>
      </c>
      <c r="CG1435">
        <v>6</v>
      </c>
      <c r="CH1435">
        <v>0</v>
      </c>
      <c r="CI1435">
        <v>48.86</v>
      </c>
      <c r="CJ1435">
        <v>506.6617</v>
      </c>
    </row>
    <row r="1436" spans="1:88">
      <c r="A1436">
        <v>1435</v>
      </c>
      <c r="B1436" t="s">
        <v>13</v>
      </c>
      <c r="C1436" t="s">
        <v>1</v>
      </c>
      <c r="D1436" t="s">
        <v>203</v>
      </c>
      <c r="E1436" t="s">
        <v>280</v>
      </c>
      <c r="F1436" t="s">
        <v>250</v>
      </c>
      <c r="G1436" t="s">
        <v>15</v>
      </c>
      <c r="H1436" t="s">
        <v>538</v>
      </c>
      <c r="J1436">
        <v>2</v>
      </c>
      <c r="K1436" t="s">
        <v>108</v>
      </c>
      <c r="L1436" t="s">
        <v>324</v>
      </c>
      <c r="M1436" t="s">
        <v>544</v>
      </c>
      <c r="N1436" t="s">
        <v>545</v>
      </c>
      <c r="O1436">
        <v>227</v>
      </c>
      <c r="Q1436">
        <v>1162</v>
      </c>
      <c r="R1436">
        <v>133</v>
      </c>
      <c r="S1436">
        <v>4.25</v>
      </c>
      <c r="T1436">
        <v>5.7519999999999998</v>
      </c>
      <c r="U1436">
        <v>7.68</v>
      </c>
      <c r="V1436">
        <v>4940.58</v>
      </c>
      <c r="W1436">
        <v>1025</v>
      </c>
      <c r="X1436">
        <v>1.5</v>
      </c>
      <c r="Y1436">
        <v>681</v>
      </c>
      <c r="Z1436">
        <v>7.25</v>
      </c>
      <c r="AJ1436">
        <v>2</v>
      </c>
      <c r="AK1436">
        <v>18</v>
      </c>
      <c r="AM1436">
        <v>0</v>
      </c>
      <c r="AO1436" t="s">
        <v>539</v>
      </c>
      <c r="AT1436">
        <v>84</v>
      </c>
      <c r="AV1436">
        <v>70.3</v>
      </c>
      <c r="AW1436" t="s">
        <v>6</v>
      </c>
      <c r="AX1436" t="s">
        <v>6</v>
      </c>
      <c r="AY1436" t="s">
        <v>6</v>
      </c>
      <c r="AZ1436" t="s">
        <v>6</v>
      </c>
      <c r="BA1436" t="s">
        <v>6</v>
      </c>
      <c r="BB1436" t="s">
        <v>6</v>
      </c>
      <c r="BC1436" t="s">
        <v>6</v>
      </c>
      <c r="BD1436" t="s">
        <v>6</v>
      </c>
      <c r="BE1436" t="s">
        <v>6</v>
      </c>
      <c r="BF1436" t="s">
        <v>6</v>
      </c>
      <c r="BG1436" t="s">
        <v>6</v>
      </c>
      <c r="BH1436" t="s">
        <v>6</v>
      </c>
      <c r="BI1436" t="s">
        <v>6</v>
      </c>
      <c r="BJ1436" t="s">
        <v>6</v>
      </c>
      <c r="BN1436">
        <v>599.84429999999998</v>
      </c>
      <c r="BO1436">
        <v>3040</v>
      </c>
      <c r="BP1436">
        <v>0</v>
      </c>
      <c r="BQ1436">
        <v>78</v>
      </c>
      <c r="BR1436">
        <v>78</v>
      </c>
      <c r="BS1436">
        <v>78.08</v>
      </c>
      <c r="BT1436">
        <v>0</v>
      </c>
      <c r="BV1436">
        <v>0</v>
      </c>
      <c r="BW1436" t="s">
        <v>655</v>
      </c>
      <c r="BX1436">
        <v>0.17</v>
      </c>
      <c r="BY1436">
        <v>13.2736</v>
      </c>
      <c r="BZ1436">
        <v>0</v>
      </c>
      <c r="CA1436">
        <v>1</v>
      </c>
      <c r="CB1436">
        <v>0.6</v>
      </c>
      <c r="CC1436" s="3">
        <v>7.1269159999999998E-2</v>
      </c>
      <c r="CD1436">
        <v>2.875</v>
      </c>
      <c r="CE1436">
        <v>2.5</v>
      </c>
      <c r="CF1436">
        <v>18</v>
      </c>
      <c r="CG1436">
        <v>6</v>
      </c>
      <c r="CH1436">
        <v>0</v>
      </c>
      <c r="CI1436">
        <v>78.08</v>
      </c>
      <c r="CJ1436">
        <v>1078.855</v>
      </c>
    </row>
    <row r="1437" spans="1:88">
      <c r="A1437">
        <v>1436</v>
      </c>
      <c r="B1437" t="s">
        <v>13</v>
      </c>
      <c r="C1437" t="s">
        <v>1</v>
      </c>
      <c r="D1437" t="s">
        <v>340</v>
      </c>
      <c r="E1437" t="s">
        <v>130</v>
      </c>
      <c r="F1437" t="s">
        <v>384</v>
      </c>
      <c r="G1437" t="s">
        <v>106</v>
      </c>
      <c r="H1437" t="s">
        <v>172</v>
      </c>
      <c r="J1437">
        <v>2</v>
      </c>
      <c r="K1437" t="s">
        <v>146</v>
      </c>
      <c r="L1437" t="s">
        <v>101</v>
      </c>
      <c r="M1437" t="s">
        <v>134</v>
      </c>
      <c r="N1437" t="s">
        <v>399</v>
      </c>
      <c r="O1437">
        <v>114</v>
      </c>
      <c r="Q1437">
        <v>415</v>
      </c>
      <c r="R1437">
        <v>85</v>
      </c>
      <c r="S1437">
        <v>4.25</v>
      </c>
      <c r="T1437">
        <v>3.1539999999999999</v>
      </c>
      <c r="U1437">
        <v>6.18</v>
      </c>
      <c r="V1437">
        <v>1762.22</v>
      </c>
      <c r="W1437">
        <v>524</v>
      </c>
      <c r="X1437">
        <v>1.3332999999999999</v>
      </c>
      <c r="Y1437">
        <v>393</v>
      </c>
      <c r="Z1437">
        <v>4.4800000000000004</v>
      </c>
      <c r="AJ1437">
        <v>2</v>
      </c>
      <c r="AK1437">
        <v>18</v>
      </c>
      <c r="AM1437">
        <v>0</v>
      </c>
      <c r="AO1437" t="s">
        <v>490</v>
      </c>
      <c r="AT1437">
        <v>45</v>
      </c>
      <c r="AV1437">
        <v>47.3</v>
      </c>
      <c r="AW1437">
        <v>0</v>
      </c>
      <c r="AX1437">
        <v>0</v>
      </c>
      <c r="AY1437">
        <v>51.5</v>
      </c>
      <c r="AZ1437">
        <v>4.25</v>
      </c>
      <c r="BA1437">
        <v>0</v>
      </c>
      <c r="BB1437">
        <v>0</v>
      </c>
      <c r="BC1437">
        <v>55</v>
      </c>
      <c r="BN1437">
        <v>226.48339999999999</v>
      </c>
      <c r="BO1437">
        <v>2023</v>
      </c>
      <c r="BP1437">
        <v>0</v>
      </c>
      <c r="BQ1437">
        <v>39</v>
      </c>
      <c r="BR1437">
        <v>39</v>
      </c>
      <c r="BS1437">
        <v>38.78</v>
      </c>
      <c r="BT1437">
        <v>0</v>
      </c>
      <c r="BV1437">
        <v>0</v>
      </c>
      <c r="BW1437" t="s">
        <v>655</v>
      </c>
      <c r="BX1437">
        <v>0.17</v>
      </c>
      <c r="BY1437">
        <v>6.5926</v>
      </c>
      <c r="BZ1437">
        <v>0</v>
      </c>
      <c r="CA1437">
        <v>1</v>
      </c>
      <c r="CB1437">
        <v>0.6</v>
      </c>
      <c r="CC1437" s="3">
        <v>7.1269159999999998E-2</v>
      </c>
      <c r="CD1437">
        <v>2.875</v>
      </c>
      <c r="CE1437">
        <v>2.5</v>
      </c>
      <c r="CF1437">
        <v>18</v>
      </c>
      <c r="CG1437">
        <v>6</v>
      </c>
      <c r="CH1437">
        <v>0</v>
      </c>
      <c r="CI1437">
        <v>38.78</v>
      </c>
      <c r="CJ1437">
        <v>360.6782</v>
      </c>
    </row>
    <row r="1438" spans="1:88">
      <c r="A1438">
        <v>1437</v>
      </c>
      <c r="B1438" t="s">
        <v>13</v>
      </c>
      <c r="C1438" t="s">
        <v>1</v>
      </c>
      <c r="D1438" t="s">
        <v>8</v>
      </c>
      <c r="E1438" t="s">
        <v>2</v>
      </c>
      <c r="F1438" t="s">
        <v>246</v>
      </c>
      <c r="G1438" t="s">
        <v>214</v>
      </c>
      <c r="H1438" t="s">
        <v>247</v>
      </c>
      <c r="J1438">
        <v>2</v>
      </c>
      <c r="K1438" t="s">
        <v>108</v>
      </c>
      <c r="L1438" t="s">
        <v>122</v>
      </c>
      <c r="M1438" t="s">
        <v>4</v>
      </c>
      <c r="N1438" t="s">
        <v>5</v>
      </c>
      <c r="O1438">
        <v>107</v>
      </c>
      <c r="Q1438">
        <v>585</v>
      </c>
      <c r="R1438">
        <v>124</v>
      </c>
      <c r="S1438">
        <v>4.25</v>
      </c>
      <c r="T1438">
        <v>2.9710000000000001</v>
      </c>
      <c r="U1438">
        <v>6.07</v>
      </c>
      <c r="V1438">
        <v>2484.42</v>
      </c>
      <c r="W1438">
        <v>750</v>
      </c>
      <c r="X1438">
        <v>1.3332999999999999</v>
      </c>
      <c r="Y1438">
        <v>578</v>
      </c>
      <c r="Z1438">
        <v>4.3</v>
      </c>
      <c r="AJ1438">
        <v>2</v>
      </c>
      <c r="AK1438">
        <v>18</v>
      </c>
      <c r="AM1438">
        <v>0</v>
      </c>
      <c r="AO1438" t="s">
        <v>250</v>
      </c>
      <c r="AT1438">
        <v>42</v>
      </c>
      <c r="AV1438">
        <v>71.099999999999994</v>
      </c>
      <c r="AW1438">
        <v>0.46875</v>
      </c>
      <c r="AX1438">
        <v>3.75</v>
      </c>
      <c r="AY1438">
        <v>44.25</v>
      </c>
      <c r="AZ1438">
        <v>4</v>
      </c>
      <c r="BA1438">
        <v>458.33</v>
      </c>
      <c r="BB1438">
        <v>4.3</v>
      </c>
      <c r="BC1438">
        <v>48</v>
      </c>
      <c r="BD1438">
        <v>0.3125</v>
      </c>
      <c r="BE1438">
        <v>2.75</v>
      </c>
      <c r="BF1438">
        <v>30.125</v>
      </c>
      <c r="BG1438">
        <v>2.625</v>
      </c>
      <c r="BH1438">
        <v>119.44</v>
      </c>
      <c r="BI1438">
        <v>5.35</v>
      </c>
      <c r="BJ1438">
        <v>16</v>
      </c>
      <c r="BL1438">
        <v>577.77</v>
      </c>
      <c r="BM1438">
        <v>63</v>
      </c>
      <c r="BN1438">
        <v>345.28</v>
      </c>
      <c r="BO1438">
        <v>1092</v>
      </c>
      <c r="BP1438">
        <v>0</v>
      </c>
      <c r="BQ1438">
        <v>36</v>
      </c>
      <c r="BR1438">
        <v>36</v>
      </c>
      <c r="BS1438">
        <v>36.340000000000003</v>
      </c>
      <c r="BT1438">
        <v>0</v>
      </c>
      <c r="BV1438">
        <v>0</v>
      </c>
      <c r="BW1438" t="s">
        <v>655</v>
      </c>
      <c r="BX1438">
        <v>0.17</v>
      </c>
      <c r="BY1438">
        <v>6.1778000000000004</v>
      </c>
      <c r="BZ1438">
        <v>0</v>
      </c>
      <c r="CA1438">
        <v>1</v>
      </c>
      <c r="CB1438">
        <v>0.6</v>
      </c>
      <c r="CC1438" s="3">
        <v>7.1269159999999998E-2</v>
      </c>
      <c r="CD1438">
        <v>2.875</v>
      </c>
      <c r="CE1438">
        <v>2.5</v>
      </c>
      <c r="CF1438">
        <v>18</v>
      </c>
      <c r="CG1438">
        <v>6</v>
      </c>
      <c r="CH1438">
        <v>0</v>
      </c>
      <c r="CI1438">
        <v>36.340000000000003</v>
      </c>
      <c r="CJ1438">
        <v>507.30079999999998</v>
      </c>
    </row>
    <row r="1439" spans="1:88">
      <c r="A1439">
        <v>1438</v>
      </c>
      <c r="B1439" t="s">
        <v>13</v>
      </c>
      <c r="C1439" t="s">
        <v>1</v>
      </c>
      <c r="D1439" t="s">
        <v>267</v>
      </c>
      <c r="E1439" t="s">
        <v>123</v>
      </c>
      <c r="F1439" t="s">
        <v>269</v>
      </c>
      <c r="G1439" t="s">
        <v>106</v>
      </c>
      <c r="H1439" t="s">
        <v>131</v>
      </c>
      <c r="J1439">
        <v>2</v>
      </c>
      <c r="K1439" t="s">
        <v>146</v>
      </c>
      <c r="L1439" t="s">
        <v>8</v>
      </c>
      <c r="M1439" t="s">
        <v>147</v>
      </c>
      <c r="N1439" t="s">
        <v>148</v>
      </c>
      <c r="O1439">
        <v>183</v>
      </c>
      <c r="Q1439">
        <v>744</v>
      </c>
      <c r="R1439">
        <v>97</v>
      </c>
      <c r="S1439">
        <v>4.25</v>
      </c>
      <c r="T1439">
        <v>4.8079999999999998</v>
      </c>
      <c r="U1439">
        <v>7.12</v>
      </c>
      <c r="V1439">
        <v>3159.91</v>
      </c>
      <c r="W1439">
        <v>690</v>
      </c>
      <c r="X1439">
        <v>1.3332999999999999</v>
      </c>
      <c r="Y1439">
        <v>515</v>
      </c>
      <c r="Z1439">
        <v>6.14</v>
      </c>
      <c r="AJ1439">
        <v>2</v>
      </c>
      <c r="AK1439">
        <v>18</v>
      </c>
      <c r="AM1439">
        <v>0</v>
      </c>
      <c r="AO1439" t="s">
        <v>271</v>
      </c>
      <c r="AT1439">
        <v>69</v>
      </c>
      <c r="AV1439">
        <v>54.9</v>
      </c>
      <c r="AW1439">
        <v>0.4375</v>
      </c>
      <c r="AX1439">
        <v>3.75</v>
      </c>
      <c r="AY1439">
        <v>55.25</v>
      </c>
      <c r="AZ1439">
        <v>5.375</v>
      </c>
      <c r="BA1439">
        <v>257.32</v>
      </c>
      <c r="BB1439">
        <v>6.39</v>
      </c>
      <c r="BC1439">
        <v>56</v>
      </c>
      <c r="BD1439">
        <v>0.4375</v>
      </c>
      <c r="BE1439">
        <v>3.75</v>
      </c>
      <c r="BF1439">
        <v>55.25</v>
      </c>
      <c r="BG1439">
        <v>5.375</v>
      </c>
      <c r="BH1439">
        <v>257.32</v>
      </c>
      <c r="BI1439">
        <v>6.39</v>
      </c>
      <c r="BJ1439">
        <v>56</v>
      </c>
      <c r="BL1439">
        <v>514.64</v>
      </c>
      <c r="BM1439">
        <v>111</v>
      </c>
      <c r="BN1439">
        <v>263.93340000000001</v>
      </c>
      <c r="BO1439">
        <v>1490</v>
      </c>
      <c r="BP1439">
        <v>0</v>
      </c>
      <c r="BQ1439">
        <v>63</v>
      </c>
      <c r="BR1439">
        <v>63</v>
      </c>
      <c r="BS1439">
        <v>62.78</v>
      </c>
      <c r="BT1439">
        <v>0</v>
      </c>
      <c r="BV1439">
        <v>0</v>
      </c>
      <c r="BW1439" t="s">
        <v>655</v>
      </c>
      <c r="BX1439">
        <v>0.17</v>
      </c>
      <c r="BY1439">
        <v>10.672599999999999</v>
      </c>
      <c r="BZ1439">
        <v>0</v>
      </c>
      <c r="CA1439">
        <v>1</v>
      </c>
      <c r="CB1439">
        <v>0.6</v>
      </c>
      <c r="CC1439" s="3">
        <v>7.1269159999999998E-2</v>
      </c>
      <c r="CD1439">
        <v>2.875</v>
      </c>
      <c r="CE1439">
        <v>2.5</v>
      </c>
      <c r="CF1439">
        <v>18</v>
      </c>
      <c r="CG1439">
        <v>6</v>
      </c>
      <c r="CH1439">
        <v>0</v>
      </c>
      <c r="CI1439">
        <v>62.78</v>
      </c>
      <c r="CJ1439">
        <v>677.85299999999995</v>
      </c>
    </row>
    <row r="1440" spans="1:88">
      <c r="A1440">
        <v>1439</v>
      </c>
      <c r="B1440" t="s">
        <v>0</v>
      </c>
      <c r="C1440" t="s">
        <v>1</v>
      </c>
      <c r="D1440" t="s">
        <v>381</v>
      </c>
      <c r="E1440" t="s">
        <v>96</v>
      </c>
      <c r="F1440" t="s">
        <v>132</v>
      </c>
      <c r="G1440" t="s">
        <v>106</v>
      </c>
      <c r="H1440" t="s">
        <v>340</v>
      </c>
      <c r="J1440">
        <v>2</v>
      </c>
      <c r="K1440" t="s">
        <v>146</v>
      </c>
      <c r="L1440" t="s">
        <v>293</v>
      </c>
      <c r="M1440" t="s">
        <v>100</v>
      </c>
      <c r="N1440" t="s">
        <v>101</v>
      </c>
      <c r="O1440">
        <v>131</v>
      </c>
      <c r="Q1440">
        <v>474</v>
      </c>
      <c r="R1440">
        <v>85</v>
      </c>
      <c r="S1440">
        <v>4.25</v>
      </c>
      <c r="T1440">
        <v>3.5859999999999999</v>
      </c>
      <c r="U1440">
        <v>6.37</v>
      </c>
      <c r="V1440">
        <v>2015.13</v>
      </c>
      <c r="W1440">
        <v>544</v>
      </c>
      <c r="X1440">
        <v>1.3332999999999999</v>
      </c>
      <c r="Y1440">
        <v>410</v>
      </c>
      <c r="Z1440">
        <v>4.91</v>
      </c>
      <c r="AJ1440">
        <v>2</v>
      </c>
      <c r="AK1440">
        <v>18</v>
      </c>
      <c r="AM1440">
        <v>0</v>
      </c>
      <c r="AO1440" t="s">
        <v>359</v>
      </c>
      <c r="AT1440">
        <v>51</v>
      </c>
      <c r="AV1440">
        <v>47.7</v>
      </c>
      <c r="AW1440">
        <v>0.46875</v>
      </c>
      <c r="AX1440">
        <v>3.75</v>
      </c>
      <c r="AY1440">
        <v>50.5</v>
      </c>
      <c r="AZ1440">
        <v>4.625</v>
      </c>
      <c r="BA1440">
        <v>401.38</v>
      </c>
      <c r="BB1440">
        <v>4.91</v>
      </c>
      <c r="BC1440">
        <v>54</v>
      </c>
      <c r="BD1440">
        <v>0.1875</v>
      </c>
      <c r="BE1440">
        <v>2.75</v>
      </c>
      <c r="BF1440">
        <v>29.5</v>
      </c>
      <c r="BG1440">
        <v>1.875</v>
      </c>
      <c r="BH1440">
        <v>9.0200010000000006</v>
      </c>
      <c r="BI1440">
        <v>16.809999999999999</v>
      </c>
      <c r="BJ1440">
        <v>10</v>
      </c>
      <c r="BL1440">
        <v>410.4</v>
      </c>
      <c r="BM1440">
        <v>64</v>
      </c>
      <c r="BN1440">
        <v>228.26669999999999</v>
      </c>
      <c r="BO1440">
        <v>1992</v>
      </c>
      <c r="BP1440">
        <v>0</v>
      </c>
      <c r="BQ1440">
        <v>45</v>
      </c>
      <c r="BR1440">
        <v>45</v>
      </c>
      <c r="BS1440">
        <v>44.69</v>
      </c>
      <c r="BT1440">
        <v>0</v>
      </c>
      <c r="BV1440">
        <v>0</v>
      </c>
      <c r="BW1440" t="s">
        <v>655</v>
      </c>
      <c r="BX1440">
        <v>0.17</v>
      </c>
      <c r="BY1440">
        <v>7.5972999999999997</v>
      </c>
      <c r="BZ1440">
        <v>0</v>
      </c>
      <c r="CA1440">
        <v>1</v>
      </c>
      <c r="CB1440">
        <v>0.6</v>
      </c>
      <c r="CC1440" s="3">
        <v>7.1269159999999998E-2</v>
      </c>
      <c r="CD1440">
        <v>2.875</v>
      </c>
      <c r="CE1440">
        <v>2.5</v>
      </c>
      <c r="CF1440">
        <v>18</v>
      </c>
      <c r="CG1440">
        <v>6</v>
      </c>
      <c r="CH1440">
        <v>0</v>
      </c>
      <c r="CI1440">
        <v>44.69</v>
      </c>
      <c r="CJ1440">
        <v>418.82990000000001</v>
      </c>
    </row>
    <row r="1441" spans="1:88">
      <c r="A1441">
        <v>1440</v>
      </c>
      <c r="B1441" t="s">
        <v>13</v>
      </c>
      <c r="C1441" t="s">
        <v>1</v>
      </c>
      <c r="D1441" t="s">
        <v>438</v>
      </c>
      <c r="E1441" t="s">
        <v>382</v>
      </c>
      <c r="F1441" t="s">
        <v>319</v>
      </c>
      <c r="G1441" t="s">
        <v>106</v>
      </c>
      <c r="H1441" t="s">
        <v>464</v>
      </c>
      <c r="J1441">
        <v>2</v>
      </c>
      <c r="K1441" t="s">
        <v>146</v>
      </c>
      <c r="L1441" t="s">
        <v>229</v>
      </c>
      <c r="M1441" t="s">
        <v>318</v>
      </c>
      <c r="N1441" t="s">
        <v>366</v>
      </c>
      <c r="O1441">
        <v>100</v>
      </c>
      <c r="Q1441">
        <v>255</v>
      </c>
      <c r="R1441">
        <v>61</v>
      </c>
      <c r="S1441">
        <v>4.25</v>
      </c>
      <c r="T1441">
        <v>2.7850000000000001</v>
      </c>
      <c r="U1441">
        <v>5.92</v>
      </c>
      <c r="V1441">
        <v>1081.79</v>
      </c>
      <c r="W1441">
        <v>363</v>
      </c>
      <c r="X1441">
        <v>1.3332999999999999</v>
      </c>
      <c r="Y1441">
        <v>263</v>
      </c>
      <c r="Z1441">
        <v>4.1100000000000003</v>
      </c>
      <c r="AJ1441">
        <v>2</v>
      </c>
      <c r="AK1441">
        <v>18</v>
      </c>
      <c r="AM1441">
        <v>0</v>
      </c>
      <c r="AO1441" t="s">
        <v>408</v>
      </c>
      <c r="AT1441">
        <v>40</v>
      </c>
      <c r="AV1441">
        <v>32.4</v>
      </c>
      <c r="AW1441">
        <v>0</v>
      </c>
      <c r="AX1441">
        <v>0</v>
      </c>
      <c r="AY1441">
        <v>24.5</v>
      </c>
      <c r="AZ1441">
        <v>3.125</v>
      </c>
      <c r="BA1441">
        <v>0</v>
      </c>
      <c r="BB1441">
        <v>0</v>
      </c>
      <c r="BC1441">
        <v>22</v>
      </c>
      <c r="BN1441">
        <v>153.36670000000001</v>
      </c>
      <c r="BO1441">
        <v>4412</v>
      </c>
      <c r="BP1441">
        <v>0</v>
      </c>
      <c r="BQ1441">
        <v>34</v>
      </c>
      <c r="BR1441">
        <v>34</v>
      </c>
      <c r="BS1441">
        <v>33.909999999999997</v>
      </c>
      <c r="BT1441">
        <v>0</v>
      </c>
      <c r="BV1441">
        <v>0</v>
      </c>
      <c r="BW1441" t="s">
        <v>655</v>
      </c>
      <c r="BX1441">
        <v>0.17</v>
      </c>
      <c r="BY1441">
        <v>5.7647000000000004</v>
      </c>
      <c r="BZ1441">
        <v>0</v>
      </c>
      <c r="CA1441">
        <v>1</v>
      </c>
      <c r="CB1441">
        <v>0.6</v>
      </c>
      <c r="CC1441" s="3">
        <v>7.1269159999999998E-2</v>
      </c>
      <c r="CD1441">
        <v>2.875</v>
      </c>
      <c r="CE1441">
        <v>2.5</v>
      </c>
      <c r="CF1441">
        <v>18</v>
      </c>
      <c r="CG1441">
        <v>6</v>
      </c>
      <c r="CH1441">
        <v>0</v>
      </c>
      <c r="CI1441">
        <v>33.909999999999997</v>
      </c>
      <c r="CJ1441">
        <v>216.298</v>
      </c>
    </row>
    <row r="1442" spans="1:88">
      <c r="A1442">
        <v>1441</v>
      </c>
      <c r="B1442" t="s">
        <v>0</v>
      </c>
      <c r="C1442" t="s">
        <v>1</v>
      </c>
      <c r="D1442" t="s">
        <v>231</v>
      </c>
      <c r="E1442" t="s">
        <v>176</v>
      </c>
      <c r="F1442" t="s">
        <v>218</v>
      </c>
      <c r="G1442" t="s">
        <v>106</v>
      </c>
      <c r="H1442" t="s">
        <v>221</v>
      </c>
      <c r="J1442">
        <v>2</v>
      </c>
      <c r="K1442" t="s">
        <v>146</v>
      </c>
      <c r="L1442" t="s">
        <v>167</v>
      </c>
      <c r="M1442" t="s">
        <v>226</v>
      </c>
      <c r="N1442" t="s">
        <v>227</v>
      </c>
      <c r="O1442">
        <v>113</v>
      </c>
      <c r="Q1442">
        <v>309</v>
      </c>
      <c r="R1442">
        <v>66</v>
      </c>
      <c r="S1442">
        <v>4.25</v>
      </c>
      <c r="T1442">
        <v>3.1280000000000001</v>
      </c>
      <c r="U1442">
        <v>6.18</v>
      </c>
      <c r="V1442">
        <v>1313.08</v>
      </c>
      <c r="W1442">
        <v>407</v>
      </c>
      <c r="X1442">
        <v>1.3332999999999999</v>
      </c>
      <c r="Y1442">
        <v>294</v>
      </c>
      <c r="Z1442">
        <v>4.46</v>
      </c>
      <c r="AJ1442">
        <v>2</v>
      </c>
      <c r="AK1442">
        <v>18</v>
      </c>
      <c r="AM1442">
        <v>0</v>
      </c>
      <c r="AO1442" t="s">
        <v>379</v>
      </c>
      <c r="AT1442">
        <v>45</v>
      </c>
      <c r="AV1442">
        <v>35.299999999999997</v>
      </c>
      <c r="AW1442">
        <v>0</v>
      </c>
      <c r="AX1442">
        <v>0</v>
      </c>
      <c r="AY1442">
        <v>33</v>
      </c>
      <c r="AZ1442">
        <v>3.625</v>
      </c>
      <c r="BA1442">
        <v>0</v>
      </c>
      <c r="BB1442">
        <v>0</v>
      </c>
      <c r="BC1442">
        <v>31</v>
      </c>
      <c r="BN1442">
        <v>167.63339999999999</v>
      </c>
      <c r="BO1442">
        <v>3693</v>
      </c>
      <c r="BP1442">
        <v>0</v>
      </c>
      <c r="BQ1442">
        <v>38</v>
      </c>
      <c r="BR1442">
        <v>38</v>
      </c>
      <c r="BS1442">
        <v>38.43</v>
      </c>
      <c r="BT1442">
        <v>0</v>
      </c>
      <c r="BV1442">
        <v>0</v>
      </c>
      <c r="BW1442" t="s">
        <v>655</v>
      </c>
      <c r="BX1442">
        <v>0.17</v>
      </c>
      <c r="BY1442">
        <v>6.5331000000000001</v>
      </c>
      <c r="BZ1442">
        <v>0</v>
      </c>
      <c r="CA1442">
        <v>1</v>
      </c>
      <c r="CB1442">
        <v>0.6</v>
      </c>
      <c r="CC1442" s="3">
        <v>7.1269159999999998E-2</v>
      </c>
      <c r="CD1442">
        <v>2.875</v>
      </c>
      <c r="CE1442">
        <v>2.5</v>
      </c>
      <c r="CF1442">
        <v>18</v>
      </c>
      <c r="CG1442">
        <v>6</v>
      </c>
      <c r="CH1442">
        <v>0</v>
      </c>
      <c r="CI1442">
        <v>38.43</v>
      </c>
      <c r="CJ1442">
        <v>267.04020000000003</v>
      </c>
    </row>
    <row r="1443" spans="1:88">
      <c r="A1443">
        <v>1442</v>
      </c>
      <c r="B1443" t="s">
        <v>0</v>
      </c>
      <c r="C1443" t="s">
        <v>1</v>
      </c>
      <c r="D1443" t="s">
        <v>559</v>
      </c>
      <c r="E1443" t="s">
        <v>641</v>
      </c>
      <c r="F1443" t="s">
        <v>560</v>
      </c>
      <c r="G1443" t="s">
        <v>106</v>
      </c>
      <c r="H1443" t="s">
        <v>561</v>
      </c>
      <c r="J1443">
        <v>2</v>
      </c>
      <c r="K1443" t="s">
        <v>146</v>
      </c>
      <c r="L1443" t="s">
        <v>341</v>
      </c>
      <c r="M1443" t="s">
        <v>642</v>
      </c>
      <c r="N1443" t="s">
        <v>541</v>
      </c>
      <c r="O1443">
        <v>63</v>
      </c>
      <c r="Q1443">
        <v>103</v>
      </c>
      <c r="R1443">
        <v>36</v>
      </c>
      <c r="S1443">
        <v>4.25</v>
      </c>
      <c r="T1443">
        <v>1.734</v>
      </c>
      <c r="U1443">
        <v>5.28</v>
      </c>
      <c r="V1443">
        <v>438.68</v>
      </c>
      <c r="W1443">
        <v>188</v>
      </c>
      <c r="X1443">
        <v>1.3332999999999999</v>
      </c>
      <c r="Y1443">
        <v>143</v>
      </c>
      <c r="Z1443">
        <v>3.06</v>
      </c>
      <c r="AJ1443">
        <v>2</v>
      </c>
      <c r="AK1443">
        <v>18</v>
      </c>
      <c r="AM1443">
        <v>0</v>
      </c>
      <c r="AO1443" t="s">
        <v>321</v>
      </c>
      <c r="AT1443">
        <v>27</v>
      </c>
      <c r="AV1443">
        <v>19.399999999999999</v>
      </c>
      <c r="AW1443">
        <v>0</v>
      </c>
      <c r="AX1443">
        <v>0</v>
      </c>
      <c r="AY1443">
        <v>17.75</v>
      </c>
      <c r="AZ1443">
        <v>1.875</v>
      </c>
      <c r="BA1443">
        <v>0</v>
      </c>
      <c r="BB1443">
        <v>0</v>
      </c>
      <c r="BC1443">
        <v>13</v>
      </c>
      <c r="BN1443">
        <v>89.166679999999999</v>
      </c>
      <c r="BO1443">
        <v>13052</v>
      </c>
      <c r="BP1443">
        <v>0</v>
      </c>
      <c r="BQ1443">
        <v>21</v>
      </c>
      <c r="BR1443">
        <v>21</v>
      </c>
      <c r="BS1443">
        <v>21.04</v>
      </c>
      <c r="BT1443">
        <v>0</v>
      </c>
      <c r="BV1443">
        <v>0</v>
      </c>
      <c r="BW1443" t="s">
        <v>655</v>
      </c>
      <c r="BX1443">
        <v>0.17</v>
      </c>
      <c r="BY1443">
        <v>3.5768</v>
      </c>
      <c r="BZ1443">
        <v>0</v>
      </c>
      <c r="CA1443">
        <v>1</v>
      </c>
      <c r="CB1443">
        <v>0.6</v>
      </c>
      <c r="CC1443" s="3">
        <v>7.1269159999999998E-2</v>
      </c>
      <c r="CD1443">
        <v>2.875</v>
      </c>
      <c r="CE1443">
        <v>2.5</v>
      </c>
      <c r="CF1443">
        <v>18</v>
      </c>
      <c r="CG1443">
        <v>6</v>
      </c>
      <c r="CH1443">
        <v>0</v>
      </c>
      <c r="CI1443">
        <v>21.04</v>
      </c>
      <c r="CJ1443">
        <v>80.223410000000001</v>
      </c>
    </row>
    <row r="1444" spans="1:88">
      <c r="A1444">
        <v>1443</v>
      </c>
      <c r="B1444" t="s">
        <v>0</v>
      </c>
      <c r="C1444" t="s">
        <v>1</v>
      </c>
      <c r="D1444" t="s">
        <v>178</v>
      </c>
      <c r="E1444" t="s">
        <v>510</v>
      </c>
      <c r="F1444" t="s">
        <v>408</v>
      </c>
      <c r="G1444" t="s">
        <v>106</v>
      </c>
      <c r="H1444" t="s">
        <v>141</v>
      </c>
      <c r="J1444">
        <v>2</v>
      </c>
      <c r="K1444" t="s">
        <v>146</v>
      </c>
      <c r="L1444" t="s">
        <v>176</v>
      </c>
      <c r="M1444" t="s">
        <v>354</v>
      </c>
      <c r="N1444" t="s">
        <v>464</v>
      </c>
      <c r="O1444">
        <v>93</v>
      </c>
      <c r="Q1444">
        <v>233</v>
      </c>
      <c r="R1444">
        <v>60</v>
      </c>
      <c r="S1444">
        <v>4.25</v>
      </c>
      <c r="T1444">
        <v>2.5950000000000002</v>
      </c>
      <c r="U1444">
        <v>5.77</v>
      </c>
      <c r="V1444">
        <v>991.73</v>
      </c>
      <c r="W1444">
        <v>347</v>
      </c>
      <c r="X1444">
        <v>1.3332999999999999</v>
      </c>
      <c r="Y1444">
        <v>253</v>
      </c>
      <c r="Z1444">
        <v>3.92</v>
      </c>
      <c r="AJ1444">
        <v>2</v>
      </c>
      <c r="AK1444">
        <v>18</v>
      </c>
      <c r="AM1444">
        <v>0</v>
      </c>
      <c r="AO1444" t="s">
        <v>409</v>
      </c>
      <c r="AT1444">
        <v>38</v>
      </c>
      <c r="AV1444">
        <v>31.7</v>
      </c>
      <c r="AW1444">
        <v>0</v>
      </c>
      <c r="AX1444">
        <v>0</v>
      </c>
      <c r="AY1444">
        <v>25.5</v>
      </c>
      <c r="AZ1444">
        <v>3</v>
      </c>
      <c r="BA1444">
        <v>0</v>
      </c>
      <c r="BB1444">
        <v>0</v>
      </c>
      <c r="BC1444">
        <v>23</v>
      </c>
      <c r="BN1444">
        <v>149.80000000000001</v>
      </c>
      <c r="BO1444">
        <v>4624</v>
      </c>
      <c r="BP1444">
        <v>0</v>
      </c>
      <c r="BQ1444">
        <v>31</v>
      </c>
      <c r="BR1444">
        <v>31</v>
      </c>
      <c r="BS1444">
        <v>31.47</v>
      </c>
      <c r="BT1444">
        <v>0</v>
      </c>
      <c r="BV1444">
        <v>0</v>
      </c>
      <c r="BW1444" t="s">
        <v>655</v>
      </c>
      <c r="BX1444">
        <v>0.17</v>
      </c>
      <c r="BY1444">
        <v>5.3498999999999999</v>
      </c>
      <c r="BZ1444">
        <v>0</v>
      </c>
      <c r="CA1444">
        <v>1</v>
      </c>
      <c r="CB1444">
        <v>0.6</v>
      </c>
      <c r="CC1444" s="3">
        <v>7.1269159999999998E-2</v>
      </c>
      <c r="CD1444">
        <v>2.875</v>
      </c>
      <c r="CE1444">
        <v>2.5</v>
      </c>
      <c r="CF1444">
        <v>18</v>
      </c>
      <c r="CG1444">
        <v>6</v>
      </c>
      <c r="CH1444">
        <v>0</v>
      </c>
      <c r="CI1444">
        <v>31.47</v>
      </c>
      <c r="CJ1444">
        <v>196.24850000000001</v>
      </c>
    </row>
    <row r="1445" spans="1:88">
      <c r="A1445">
        <v>1444</v>
      </c>
      <c r="B1445" t="s">
        <v>13</v>
      </c>
      <c r="C1445" t="s">
        <v>1</v>
      </c>
      <c r="D1445" t="s">
        <v>259</v>
      </c>
      <c r="E1445" t="s">
        <v>293</v>
      </c>
      <c r="F1445" t="s">
        <v>301</v>
      </c>
      <c r="G1445" t="s">
        <v>106</v>
      </c>
      <c r="H1445" t="s">
        <v>128</v>
      </c>
      <c r="J1445">
        <v>2</v>
      </c>
      <c r="K1445" t="s">
        <v>146</v>
      </c>
      <c r="L1445" t="s">
        <v>552</v>
      </c>
      <c r="M1445" t="s">
        <v>465</v>
      </c>
      <c r="N1445" t="s">
        <v>145</v>
      </c>
      <c r="O1445">
        <v>151</v>
      </c>
      <c r="Q1445">
        <v>549</v>
      </c>
      <c r="R1445">
        <v>87</v>
      </c>
      <c r="S1445">
        <v>4.25</v>
      </c>
      <c r="T1445">
        <v>4.0720000000000001</v>
      </c>
      <c r="U1445">
        <v>6.75</v>
      </c>
      <c r="V1445">
        <v>2331.7600000000002</v>
      </c>
      <c r="W1445">
        <v>584</v>
      </c>
      <c r="X1445">
        <v>1.3332999999999999</v>
      </c>
      <c r="Y1445">
        <v>432</v>
      </c>
      <c r="Z1445">
        <v>5.4</v>
      </c>
      <c r="AJ1445">
        <v>2</v>
      </c>
      <c r="AK1445">
        <v>18</v>
      </c>
      <c r="AM1445">
        <v>0</v>
      </c>
      <c r="AO1445" t="s">
        <v>132</v>
      </c>
      <c r="AT1445">
        <v>58</v>
      </c>
      <c r="AV1445">
        <v>48.4</v>
      </c>
      <c r="AW1445">
        <v>0.40625</v>
      </c>
      <c r="AX1445">
        <v>3.75</v>
      </c>
      <c r="AY1445">
        <v>41</v>
      </c>
      <c r="AZ1445">
        <v>4.375</v>
      </c>
      <c r="BA1445">
        <v>237.49</v>
      </c>
      <c r="BB1445">
        <v>5.57</v>
      </c>
      <c r="BC1445">
        <v>39</v>
      </c>
      <c r="BD1445">
        <v>0.375</v>
      </c>
      <c r="BE1445">
        <v>3.75</v>
      </c>
      <c r="BF1445">
        <v>33.25</v>
      </c>
      <c r="BG1445">
        <v>4</v>
      </c>
      <c r="BH1445">
        <v>194.3</v>
      </c>
      <c r="BI1445">
        <v>5.54</v>
      </c>
      <c r="BJ1445">
        <v>29</v>
      </c>
      <c r="BL1445">
        <v>431.79</v>
      </c>
      <c r="BM1445">
        <v>68</v>
      </c>
      <c r="BN1445">
        <v>231.83340000000001</v>
      </c>
      <c r="BO1445">
        <v>1931</v>
      </c>
      <c r="BP1445">
        <v>0</v>
      </c>
      <c r="BQ1445">
        <v>52</v>
      </c>
      <c r="BR1445">
        <v>52</v>
      </c>
      <c r="BS1445">
        <v>51.65</v>
      </c>
      <c r="BT1445">
        <v>0</v>
      </c>
      <c r="BV1445">
        <v>0</v>
      </c>
      <c r="BW1445" t="s">
        <v>655</v>
      </c>
      <c r="BX1445">
        <v>0.17</v>
      </c>
      <c r="BY1445">
        <v>8.7805009999999992</v>
      </c>
      <c r="BZ1445">
        <v>0</v>
      </c>
      <c r="CA1445">
        <v>1</v>
      </c>
      <c r="CB1445">
        <v>0.6</v>
      </c>
      <c r="CC1445" s="3">
        <v>7.1269159999999998E-2</v>
      </c>
      <c r="CD1445">
        <v>2.875</v>
      </c>
      <c r="CE1445">
        <v>2.5</v>
      </c>
      <c r="CF1445">
        <v>18</v>
      </c>
      <c r="CG1445">
        <v>6</v>
      </c>
      <c r="CH1445">
        <v>0</v>
      </c>
      <c r="CI1445">
        <v>51.65</v>
      </c>
      <c r="CJ1445">
        <v>491.4205</v>
      </c>
    </row>
    <row r="1446" spans="1:88">
      <c r="A1446">
        <v>1445</v>
      </c>
      <c r="B1446" t="s">
        <v>0</v>
      </c>
      <c r="C1446" t="s">
        <v>1</v>
      </c>
      <c r="D1446" t="s">
        <v>341</v>
      </c>
      <c r="E1446" t="s">
        <v>221</v>
      </c>
      <c r="F1446" t="s">
        <v>343</v>
      </c>
      <c r="G1446" t="s">
        <v>106</v>
      </c>
      <c r="H1446" t="s">
        <v>344</v>
      </c>
      <c r="J1446">
        <v>2</v>
      </c>
      <c r="K1446" t="s">
        <v>146</v>
      </c>
      <c r="L1446" t="s">
        <v>307</v>
      </c>
      <c r="M1446" t="s">
        <v>379</v>
      </c>
      <c r="N1446" t="s">
        <v>2</v>
      </c>
      <c r="O1446">
        <v>104</v>
      </c>
      <c r="Q1446">
        <v>223</v>
      </c>
      <c r="R1446">
        <v>48</v>
      </c>
      <c r="S1446">
        <v>4.25</v>
      </c>
      <c r="T1446">
        <v>2.8919999999999999</v>
      </c>
      <c r="U1446">
        <v>6</v>
      </c>
      <c r="V1446">
        <v>949.19</v>
      </c>
      <c r="W1446">
        <v>290</v>
      </c>
      <c r="X1446">
        <v>1.3332999999999999</v>
      </c>
      <c r="Y1446">
        <v>225</v>
      </c>
      <c r="Z1446">
        <v>4.22</v>
      </c>
      <c r="AJ1446">
        <v>2</v>
      </c>
      <c r="AK1446">
        <v>18</v>
      </c>
      <c r="AM1446">
        <v>0</v>
      </c>
      <c r="AO1446" t="s">
        <v>347</v>
      </c>
      <c r="AT1446">
        <v>41</v>
      </c>
      <c r="AV1446">
        <v>27.4</v>
      </c>
      <c r="AW1446">
        <v>0</v>
      </c>
      <c r="AX1446">
        <v>0</v>
      </c>
      <c r="AY1446">
        <v>28.75</v>
      </c>
      <c r="AZ1446">
        <v>3.125</v>
      </c>
      <c r="BA1446">
        <v>0</v>
      </c>
      <c r="BB1446">
        <v>0</v>
      </c>
      <c r="BC1446">
        <v>25</v>
      </c>
      <c r="BN1446">
        <v>128.4</v>
      </c>
      <c r="BO1446">
        <v>6294</v>
      </c>
      <c r="BP1446">
        <v>0</v>
      </c>
      <c r="BQ1446">
        <v>35</v>
      </c>
      <c r="BR1446">
        <v>35</v>
      </c>
      <c r="BS1446">
        <v>35.299999999999997</v>
      </c>
      <c r="BT1446">
        <v>0</v>
      </c>
      <c r="BV1446">
        <v>0</v>
      </c>
      <c r="BW1446" t="s">
        <v>655</v>
      </c>
      <c r="BX1446">
        <v>0.17</v>
      </c>
      <c r="BY1446">
        <v>6.0010000000000003</v>
      </c>
      <c r="BZ1446">
        <v>0</v>
      </c>
      <c r="CA1446">
        <v>1</v>
      </c>
      <c r="CB1446">
        <v>0.6</v>
      </c>
      <c r="CC1446" s="3">
        <v>7.1269159999999998E-2</v>
      </c>
      <c r="CD1446">
        <v>2.875</v>
      </c>
      <c r="CE1446">
        <v>2.5</v>
      </c>
      <c r="CF1446">
        <v>18</v>
      </c>
      <c r="CG1446">
        <v>6</v>
      </c>
      <c r="CH1446">
        <v>0</v>
      </c>
      <c r="CI1446">
        <v>35.299999999999997</v>
      </c>
      <c r="CJ1446">
        <v>189.94300000000001</v>
      </c>
    </row>
    <row r="1447" spans="1:88">
      <c r="A1447">
        <v>1446</v>
      </c>
      <c r="B1447" t="s">
        <v>13</v>
      </c>
      <c r="C1447" t="s">
        <v>1</v>
      </c>
      <c r="D1447" t="s">
        <v>19</v>
      </c>
      <c r="E1447" t="s">
        <v>104</v>
      </c>
      <c r="F1447" t="s">
        <v>114</v>
      </c>
      <c r="G1447" t="s">
        <v>214</v>
      </c>
      <c r="H1447" t="s">
        <v>115</v>
      </c>
      <c r="J1447">
        <v>2</v>
      </c>
      <c r="K1447" t="s">
        <v>108</v>
      </c>
      <c r="L1447" t="s">
        <v>109</v>
      </c>
      <c r="M1447" t="s">
        <v>110</v>
      </c>
      <c r="N1447" t="s">
        <v>111</v>
      </c>
      <c r="O1447">
        <v>191</v>
      </c>
      <c r="Q1447">
        <v>907</v>
      </c>
      <c r="R1447">
        <v>112</v>
      </c>
      <c r="S1447">
        <v>4.25</v>
      </c>
      <c r="T1447">
        <v>4.9850000000000003</v>
      </c>
      <c r="U1447">
        <v>7.27</v>
      </c>
      <c r="V1447">
        <v>3853.9</v>
      </c>
      <c r="W1447">
        <v>816</v>
      </c>
      <c r="X1447">
        <v>1.3332999999999999</v>
      </c>
      <c r="Y1447">
        <v>611</v>
      </c>
      <c r="Z1447">
        <v>6.31</v>
      </c>
      <c r="AJ1447">
        <v>2</v>
      </c>
      <c r="AK1447">
        <v>18</v>
      </c>
      <c r="AM1447">
        <v>0</v>
      </c>
      <c r="AO1447" t="s">
        <v>118</v>
      </c>
      <c r="AT1447">
        <v>72</v>
      </c>
      <c r="AV1447">
        <v>64.5</v>
      </c>
      <c r="AW1447">
        <v>0.46875</v>
      </c>
      <c r="AX1447">
        <v>3.75</v>
      </c>
      <c r="AY1447">
        <v>66.375</v>
      </c>
      <c r="AZ1447">
        <v>5.875</v>
      </c>
      <c r="BA1447">
        <v>305.38</v>
      </c>
      <c r="BB1447">
        <v>6.45</v>
      </c>
      <c r="BC1447">
        <v>71</v>
      </c>
      <c r="BD1447">
        <v>0.46875</v>
      </c>
      <c r="BE1447">
        <v>3.75</v>
      </c>
      <c r="BF1447">
        <v>66.375</v>
      </c>
      <c r="BG1447">
        <v>5.875</v>
      </c>
      <c r="BH1447">
        <v>305.38</v>
      </c>
      <c r="BI1447">
        <v>6.45</v>
      </c>
      <c r="BJ1447">
        <v>71</v>
      </c>
      <c r="BL1447">
        <v>610.76</v>
      </c>
      <c r="BM1447">
        <v>142</v>
      </c>
      <c r="BN1447">
        <v>312.91000000000003</v>
      </c>
      <c r="BO1447">
        <v>1330</v>
      </c>
      <c r="BP1447">
        <v>0</v>
      </c>
      <c r="BQ1447">
        <v>66</v>
      </c>
      <c r="BR1447">
        <v>66</v>
      </c>
      <c r="BS1447">
        <v>65.56</v>
      </c>
      <c r="BT1447">
        <v>0</v>
      </c>
      <c r="BV1447">
        <v>0</v>
      </c>
      <c r="BW1447" t="s">
        <v>655</v>
      </c>
      <c r="BX1447">
        <v>0.17</v>
      </c>
      <c r="BY1447">
        <v>11.145200000000001</v>
      </c>
      <c r="BZ1447">
        <v>0</v>
      </c>
      <c r="CA1447">
        <v>1</v>
      </c>
      <c r="CB1447">
        <v>0.6</v>
      </c>
      <c r="CC1447" s="3">
        <v>7.1269159999999998E-2</v>
      </c>
      <c r="CD1447">
        <v>2.875</v>
      </c>
      <c r="CE1447">
        <v>2.5</v>
      </c>
      <c r="CF1447">
        <v>18</v>
      </c>
      <c r="CG1447">
        <v>6</v>
      </c>
      <c r="CH1447">
        <v>0</v>
      </c>
      <c r="CI1447">
        <v>65.56</v>
      </c>
      <c r="CJ1447">
        <v>831.10410000000002</v>
      </c>
    </row>
    <row r="1448" spans="1:88">
      <c r="A1448">
        <v>1447</v>
      </c>
      <c r="B1448" t="s">
        <v>0</v>
      </c>
      <c r="C1448" t="s">
        <v>1</v>
      </c>
      <c r="D1448" t="s">
        <v>545</v>
      </c>
      <c r="E1448" t="s">
        <v>12</v>
      </c>
      <c r="F1448" t="s">
        <v>437</v>
      </c>
      <c r="G1448" t="s">
        <v>15</v>
      </c>
      <c r="H1448" t="s">
        <v>548</v>
      </c>
      <c r="J1448">
        <v>2</v>
      </c>
      <c r="K1448" t="s">
        <v>108</v>
      </c>
      <c r="L1448" t="s">
        <v>649</v>
      </c>
      <c r="M1448" t="s">
        <v>650</v>
      </c>
      <c r="N1448" t="s">
        <v>208</v>
      </c>
      <c r="O1448">
        <v>206</v>
      </c>
      <c r="Q1448">
        <v>1217</v>
      </c>
      <c r="R1448">
        <v>153</v>
      </c>
      <c r="S1448">
        <v>4.25</v>
      </c>
      <c r="T1448">
        <v>5.3109999999999999</v>
      </c>
      <c r="U1448">
        <v>7.35</v>
      </c>
      <c r="V1448">
        <v>5173.1400000000003</v>
      </c>
      <c r="W1448">
        <v>1128</v>
      </c>
      <c r="X1448">
        <v>1.5</v>
      </c>
      <c r="Y1448">
        <v>760</v>
      </c>
      <c r="Z1448">
        <v>6.81</v>
      </c>
      <c r="AJ1448">
        <v>2</v>
      </c>
      <c r="AK1448">
        <v>18</v>
      </c>
      <c r="AM1448">
        <v>0</v>
      </c>
      <c r="AO1448" t="s">
        <v>549</v>
      </c>
      <c r="AT1448">
        <v>77</v>
      </c>
      <c r="AV1448">
        <v>80.900000000000006</v>
      </c>
      <c r="AW1448" t="s">
        <v>6</v>
      </c>
      <c r="AX1448" t="s">
        <v>6</v>
      </c>
      <c r="AY1448" t="s">
        <v>6</v>
      </c>
      <c r="AZ1448" t="s">
        <v>6</v>
      </c>
      <c r="BA1448" t="s">
        <v>6</v>
      </c>
      <c r="BB1448" t="s">
        <v>6</v>
      </c>
      <c r="BC1448" t="s">
        <v>6</v>
      </c>
      <c r="BD1448" t="s">
        <v>6</v>
      </c>
      <c r="BE1448" t="s">
        <v>6</v>
      </c>
      <c r="BF1448" t="s">
        <v>6</v>
      </c>
      <c r="BG1448" t="s">
        <v>6</v>
      </c>
      <c r="BH1448" t="s">
        <v>6</v>
      </c>
      <c r="BI1448" t="s">
        <v>6</v>
      </c>
      <c r="BJ1448" t="s">
        <v>6</v>
      </c>
      <c r="BN1448">
        <v>691.39949999999999</v>
      </c>
      <c r="BO1448">
        <v>2288</v>
      </c>
      <c r="BP1448">
        <v>0</v>
      </c>
      <c r="BQ1448">
        <v>71</v>
      </c>
      <c r="BR1448">
        <v>71</v>
      </c>
      <c r="BS1448">
        <v>70.78</v>
      </c>
      <c r="BT1448">
        <v>0</v>
      </c>
      <c r="BV1448">
        <v>0</v>
      </c>
      <c r="BW1448" t="s">
        <v>655</v>
      </c>
      <c r="BX1448">
        <v>0.17</v>
      </c>
      <c r="BY1448">
        <v>12.0326</v>
      </c>
      <c r="BZ1448">
        <v>0</v>
      </c>
      <c r="CA1448">
        <v>1</v>
      </c>
      <c r="CB1448">
        <v>0.6</v>
      </c>
      <c r="CC1448" s="3">
        <v>7.1269159999999998E-2</v>
      </c>
      <c r="CD1448">
        <v>2.875</v>
      </c>
      <c r="CE1448">
        <v>2.5</v>
      </c>
      <c r="CF1448">
        <v>18</v>
      </c>
      <c r="CG1448">
        <v>6</v>
      </c>
      <c r="CH1448">
        <v>0</v>
      </c>
      <c r="CI1448">
        <v>70.78</v>
      </c>
      <c r="CJ1448">
        <v>1124.278</v>
      </c>
    </row>
    <row r="1449" spans="1:88">
      <c r="A1449">
        <v>1448</v>
      </c>
      <c r="B1449" t="s">
        <v>13</v>
      </c>
      <c r="C1449" t="s">
        <v>1</v>
      </c>
      <c r="D1449" t="s">
        <v>280</v>
      </c>
      <c r="E1449" t="s">
        <v>143</v>
      </c>
      <c r="F1449" t="s">
        <v>102</v>
      </c>
      <c r="G1449" t="s">
        <v>15</v>
      </c>
      <c r="H1449" t="s">
        <v>423</v>
      </c>
      <c r="J1449">
        <v>2</v>
      </c>
      <c r="K1449" t="s">
        <v>108</v>
      </c>
      <c r="L1449" t="s">
        <v>297</v>
      </c>
      <c r="M1449" t="s">
        <v>206</v>
      </c>
      <c r="N1449" t="s">
        <v>131</v>
      </c>
      <c r="O1449">
        <v>155</v>
      </c>
      <c r="Q1449">
        <v>920</v>
      </c>
      <c r="R1449">
        <v>139</v>
      </c>
      <c r="S1449">
        <v>4.25</v>
      </c>
      <c r="T1449">
        <v>4.1660000000000004</v>
      </c>
      <c r="U1449">
        <v>6.78</v>
      </c>
      <c r="V1449">
        <v>3909.87</v>
      </c>
      <c r="W1449">
        <v>941</v>
      </c>
      <c r="X1449">
        <v>1.3332999999999999</v>
      </c>
      <c r="Y1449">
        <v>712</v>
      </c>
      <c r="Z1449">
        <v>5.49</v>
      </c>
      <c r="AJ1449">
        <v>2</v>
      </c>
      <c r="AK1449">
        <v>18</v>
      </c>
      <c r="AM1449">
        <v>0</v>
      </c>
      <c r="AO1449" t="s">
        <v>424</v>
      </c>
      <c r="AT1449">
        <v>59</v>
      </c>
      <c r="AV1449">
        <v>79.8</v>
      </c>
      <c r="AW1449" t="s">
        <v>6</v>
      </c>
      <c r="AX1449" t="s">
        <v>6</v>
      </c>
      <c r="AY1449" t="s">
        <v>6</v>
      </c>
      <c r="AZ1449" t="s">
        <v>6</v>
      </c>
      <c r="BA1449" t="s">
        <v>6</v>
      </c>
      <c r="BB1449" t="s">
        <v>6</v>
      </c>
      <c r="BC1449" t="s">
        <v>6</v>
      </c>
      <c r="BD1449" t="s">
        <v>6</v>
      </c>
      <c r="BE1449" t="s">
        <v>6</v>
      </c>
      <c r="BF1449" t="s">
        <v>6</v>
      </c>
      <c r="BG1449" t="s">
        <v>6</v>
      </c>
      <c r="BH1449" t="s">
        <v>6</v>
      </c>
      <c r="BI1449" t="s">
        <v>6</v>
      </c>
      <c r="BJ1449" t="s">
        <v>6</v>
      </c>
      <c r="BN1449">
        <v>681.92830000000004</v>
      </c>
      <c r="BO1449">
        <v>2352</v>
      </c>
      <c r="BP1449">
        <v>0</v>
      </c>
      <c r="BQ1449">
        <v>53</v>
      </c>
      <c r="BR1449">
        <v>53</v>
      </c>
      <c r="BS1449">
        <v>53.04</v>
      </c>
      <c r="BT1449">
        <v>0</v>
      </c>
      <c r="BV1449">
        <v>0</v>
      </c>
      <c r="BW1449" t="s">
        <v>655</v>
      </c>
      <c r="BX1449">
        <v>0.17</v>
      </c>
      <c r="BY1449">
        <v>9.0167999999999999</v>
      </c>
      <c r="BZ1449">
        <v>0</v>
      </c>
      <c r="CA1449">
        <v>1</v>
      </c>
      <c r="CB1449">
        <v>0.6</v>
      </c>
      <c r="CC1449" s="3">
        <v>7.1269159999999998E-2</v>
      </c>
      <c r="CD1449">
        <v>2.875</v>
      </c>
      <c r="CE1449">
        <v>2.5</v>
      </c>
      <c r="CF1449">
        <v>18</v>
      </c>
      <c r="CG1449">
        <v>6</v>
      </c>
      <c r="CH1449">
        <v>0</v>
      </c>
      <c r="CI1449">
        <v>53.04</v>
      </c>
      <c r="CJ1449">
        <v>831.15300000000002</v>
      </c>
    </row>
    <row r="1450" spans="1:88">
      <c r="A1450">
        <v>1449</v>
      </c>
      <c r="B1450" t="s">
        <v>0</v>
      </c>
      <c r="C1450" t="s">
        <v>1</v>
      </c>
      <c r="D1450" t="s">
        <v>143</v>
      </c>
      <c r="E1450" t="s">
        <v>234</v>
      </c>
      <c r="F1450" t="s">
        <v>144</v>
      </c>
      <c r="G1450" t="s">
        <v>106</v>
      </c>
      <c r="H1450" t="s">
        <v>145</v>
      </c>
      <c r="J1450">
        <v>2</v>
      </c>
      <c r="K1450" t="s">
        <v>146</v>
      </c>
      <c r="L1450" t="s">
        <v>103</v>
      </c>
      <c r="M1450" t="s">
        <v>435</v>
      </c>
      <c r="N1450" t="s">
        <v>295</v>
      </c>
      <c r="O1450">
        <v>147</v>
      </c>
      <c r="Q1450">
        <v>590</v>
      </c>
      <c r="R1450">
        <v>95</v>
      </c>
      <c r="S1450">
        <v>4.25</v>
      </c>
      <c r="T1450">
        <v>3.976</v>
      </c>
      <c r="U1450">
        <v>6.67</v>
      </c>
      <c r="V1450">
        <v>2509.2800000000002</v>
      </c>
      <c r="W1450">
        <v>631</v>
      </c>
      <c r="X1450">
        <v>1.3332999999999999</v>
      </c>
      <c r="Y1450">
        <v>473</v>
      </c>
      <c r="Z1450">
        <v>5.3</v>
      </c>
      <c r="AJ1450">
        <v>2</v>
      </c>
      <c r="AK1450">
        <v>18</v>
      </c>
      <c r="AM1450">
        <v>0</v>
      </c>
      <c r="AO1450" t="s">
        <v>149</v>
      </c>
      <c r="AT1450">
        <v>56</v>
      </c>
      <c r="AV1450">
        <v>53.5</v>
      </c>
      <c r="AW1450">
        <v>0.46875</v>
      </c>
      <c r="AX1450">
        <v>3.75</v>
      </c>
      <c r="AY1450">
        <v>54.5</v>
      </c>
      <c r="AZ1450">
        <v>5</v>
      </c>
      <c r="BA1450">
        <v>371.85</v>
      </c>
      <c r="BB1450">
        <v>5.3</v>
      </c>
      <c r="BC1450">
        <v>59</v>
      </c>
      <c r="BD1450">
        <v>0.3125</v>
      </c>
      <c r="BE1450">
        <v>2.75</v>
      </c>
      <c r="BF1450">
        <v>35.375</v>
      </c>
      <c r="BG1450">
        <v>3.25</v>
      </c>
      <c r="BH1450">
        <v>101.59</v>
      </c>
      <c r="BI1450">
        <v>6.29</v>
      </c>
      <c r="BJ1450">
        <v>19</v>
      </c>
      <c r="BL1450">
        <v>473.44</v>
      </c>
      <c r="BM1450">
        <v>77</v>
      </c>
      <c r="BN1450">
        <v>256.80009999999999</v>
      </c>
      <c r="BO1450">
        <v>1574</v>
      </c>
      <c r="BP1450">
        <v>0</v>
      </c>
      <c r="BQ1450">
        <v>50</v>
      </c>
      <c r="BR1450">
        <v>50</v>
      </c>
      <c r="BS1450">
        <v>50.26</v>
      </c>
      <c r="BT1450">
        <v>0</v>
      </c>
      <c r="BV1450">
        <v>0</v>
      </c>
      <c r="BW1450" t="s">
        <v>655</v>
      </c>
      <c r="BX1450">
        <v>0.17</v>
      </c>
      <c r="BY1450">
        <v>8.5442</v>
      </c>
      <c r="BZ1450">
        <v>0</v>
      </c>
      <c r="CA1450">
        <v>1</v>
      </c>
      <c r="CB1450">
        <v>0.6</v>
      </c>
      <c r="CC1450" s="3">
        <v>7.1269159999999998E-2</v>
      </c>
      <c r="CD1450">
        <v>2.875</v>
      </c>
      <c r="CE1450">
        <v>2.5</v>
      </c>
      <c r="CF1450">
        <v>18</v>
      </c>
      <c r="CG1450">
        <v>6</v>
      </c>
      <c r="CH1450">
        <v>0</v>
      </c>
      <c r="CI1450">
        <v>50.26</v>
      </c>
      <c r="CJ1450">
        <v>528.34310000000005</v>
      </c>
    </row>
    <row r="1451" spans="1:88">
      <c r="A1451">
        <v>1450</v>
      </c>
      <c r="B1451" t="s">
        <v>13</v>
      </c>
      <c r="C1451" t="s">
        <v>1</v>
      </c>
      <c r="D1451" t="s">
        <v>476</v>
      </c>
      <c r="E1451" t="s">
        <v>133</v>
      </c>
      <c r="F1451" t="s">
        <v>477</v>
      </c>
      <c r="G1451" t="s">
        <v>106</v>
      </c>
      <c r="H1451" t="s">
        <v>478</v>
      </c>
      <c r="J1451">
        <v>2</v>
      </c>
      <c r="K1451" t="s">
        <v>108</v>
      </c>
      <c r="L1451" t="s">
        <v>353</v>
      </c>
      <c r="M1451" t="s">
        <v>194</v>
      </c>
      <c r="N1451" t="s">
        <v>195</v>
      </c>
      <c r="O1451">
        <v>143</v>
      </c>
      <c r="Q1451">
        <v>619</v>
      </c>
      <c r="R1451">
        <v>101</v>
      </c>
      <c r="S1451">
        <v>4.25</v>
      </c>
      <c r="T1451">
        <v>3.88</v>
      </c>
      <c r="U1451">
        <v>6.6</v>
      </c>
      <c r="V1451">
        <v>2631.64</v>
      </c>
      <c r="W1451">
        <v>668</v>
      </c>
      <c r="X1451">
        <v>1.3332999999999999</v>
      </c>
      <c r="Y1451">
        <v>505</v>
      </c>
      <c r="Z1451">
        <v>5.21</v>
      </c>
      <c r="AJ1451">
        <v>2</v>
      </c>
      <c r="AK1451">
        <v>18</v>
      </c>
      <c r="AM1451">
        <v>0</v>
      </c>
      <c r="AO1451" t="s">
        <v>479</v>
      </c>
      <c r="AT1451">
        <v>55</v>
      </c>
      <c r="AV1451">
        <v>57.6</v>
      </c>
      <c r="AW1451">
        <v>0.40625</v>
      </c>
      <c r="AX1451">
        <v>3.75</v>
      </c>
      <c r="AY1451">
        <v>38.5</v>
      </c>
      <c r="AZ1451">
        <v>4.25</v>
      </c>
      <c r="BA1451">
        <v>252.55</v>
      </c>
      <c r="BB1451">
        <v>5.24</v>
      </c>
      <c r="BC1451">
        <v>37</v>
      </c>
      <c r="BD1451">
        <v>0.40625</v>
      </c>
      <c r="BE1451">
        <v>3.75</v>
      </c>
      <c r="BF1451">
        <v>38.5</v>
      </c>
      <c r="BG1451">
        <v>4.25</v>
      </c>
      <c r="BH1451">
        <v>252.55</v>
      </c>
      <c r="BI1451">
        <v>5.24</v>
      </c>
      <c r="BJ1451">
        <v>37</v>
      </c>
      <c r="BL1451">
        <v>505.1</v>
      </c>
      <c r="BM1451">
        <v>73</v>
      </c>
      <c r="BN1451">
        <v>276.41669999999999</v>
      </c>
      <c r="BO1451">
        <v>1358</v>
      </c>
      <c r="BP1451">
        <v>0</v>
      </c>
      <c r="BQ1451">
        <v>49</v>
      </c>
      <c r="BR1451">
        <v>49</v>
      </c>
      <c r="BS1451">
        <v>48.86</v>
      </c>
      <c r="BT1451">
        <v>0</v>
      </c>
      <c r="BV1451">
        <v>0</v>
      </c>
      <c r="BW1451" t="s">
        <v>655</v>
      </c>
      <c r="BX1451">
        <v>0.17</v>
      </c>
      <c r="BY1451">
        <v>8.3062000000000005</v>
      </c>
      <c r="BZ1451">
        <v>0</v>
      </c>
      <c r="CA1451">
        <v>1</v>
      </c>
      <c r="CB1451">
        <v>0.6</v>
      </c>
      <c r="CC1451" s="3">
        <v>7.1269159999999998E-2</v>
      </c>
      <c r="CD1451">
        <v>2.875</v>
      </c>
      <c r="CE1451">
        <v>2.5</v>
      </c>
      <c r="CF1451">
        <v>18</v>
      </c>
      <c r="CG1451">
        <v>6</v>
      </c>
      <c r="CH1451">
        <v>0</v>
      </c>
      <c r="CI1451">
        <v>48.86</v>
      </c>
      <c r="CJ1451">
        <v>553.23630000000003</v>
      </c>
    </row>
    <row r="1452" spans="1:88">
      <c r="A1452">
        <v>1451</v>
      </c>
      <c r="B1452" t="s">
        <v>13</v>
      </c>
      <c r="C1452" t="s">
        <v>1</v>
      </c>
      <c r="D1452" t="s">
        <v>143</v>
      </c>
      <c r="E1452" t="s">
        <v>364</v>
      </c>
      <c r="F1452" t="s">
        <v>144</v>
      </c>
      <c r="G1452" t="s">
        <v>106</v>
      </c>
      <c r="H1452" t="s">
        <v>145</v>
      </c>
      <c r="J1452">
        <v>2</v>
      </c>
      <c r="K1452" t="s">
        <v>146</v>
      </c>
      <c r="L1452" t="s">
        <v>314</v>
      </c>
      <c r="M1452" t="s">
        <v>298</v>
      </c>
      <c r="N1452" t="s">
        <v>234</v>
      </c>
      <c r="O1452">
        <v>144</v>
      </c>
      <c r="Q1452">
        <v>579</v>
      </c>
      <c r="R1452">
        <v>95</v>
      </c>
      <c r="S1452">
        <v>4.25</v>
      </c>
      <c r="T1452">
        <v>3.9039999999999999</v>
      </c>
      <c r="U1452">
        <v>6.6</v>
      </c>
      <c r="V1452">
        <v>2461.64</v>
      </c>
      <c r="W1452">
        <v>624</v>
      </c>
      <c r="X1452">
        <v>1.3332999999999999</v>
      </c>
      <c r="Y1452">
        <v>471</v>
      </c>
      <c r="Z1452">
        <v>5.23</v>
      </c>
      <c r="AJ1452">
        <v>2</v>
      </c>
      <c r="AK1452">
        <v>18</v>
      </c>
      <c r="AM1452">
        <v>0</v>
      </c>
      <c r="AO1452" t="s">
        <v>149</v>
      </c>
      <c r="AT1452">
        <v>55</v>
      </c>
      <c r="AV1452">
        <v>53.5</v>
      </c>
      <c r="AW1452">
        <v>0.46875</v>
      </c>
      <c r="AX1452">
        <v>3.75</v>
      </c>
      <c r="AY1452">
        <v>53.75</v>
      </c>
      <c r="AZ1452">
        <v>4.875</v>
      </c>
      <c r="BA1452">
        <v>376.83</v>
      </c>
      <c r="BB1452">
        <v>5.23</v>
      </c>
      <c r="BC1452">
        <v>58</v>
      </c>
      <c r="BD1452">
        <v>0.3125</v>
      </c>
      <c r="BE1452">
        <v>2.75</v>
      </c>
      <c r="BF1452">
        <v>38.375</v>
      </c>
      <c r="BG1452">
        <v>3.25</v>
      </c>
      <c r="BH1452">
        <v>93.83999</v>
      </c>
      <c r="BI1452">
        <v>6.81</v>
      </c>
      <c r="BJ1452">
        <v>20</v>
      </c>
      <c r="BL1452">
        <v>470.67</v>
      </c>
      <c r="BM1452">
        <v>78</v>
      </c>
      <c r="BN1452">
        <v>256.80009999999999</v>
      </c>
      <c r="BO1452">
        <v>1574</v>
      </c>
      <c r="BP1452">
        <v>0</v>
      </c>
      <c r="BQ1452">
        <v>49</v>
      </c>
      <c r="BR1452">
        <v>49</v>
      </c>
      <c r="BS1452">
        <v>49.21</v>
      </c>
      <c r="BT1452">
        <v>0</v>
      </c>
      <c r="BV1452">
        <v>0</v>
      </c>
      <c r="BW1452" t="s">
        <v>655</v>
      </c>
      <c r="BX1452">
        <v>0.17</v>
      </c>
      <c r="BY1452">
        <v>8.3657000000000004</v>
      </c>
      <c r="BZ1452">
        <v>0</v>
      </c>
      <c r="CA1452">
        <v>1</v>
      </c>
      <c r="CB1452">
        <v>0.6</v>
      </c>
      <c r="CC1452" s="3">
        <v>7.1269159999999998E-2</v>
      </c>
      <c r="CD1452">
        <v>2.875</v>
      </c>
      <c r="CE1452">
        <v>2.5</v>
      </c>
      <c r="CF1452">
        <v>18</v>
      </c>
      <c r="CG1452">
        <v>6</v>
      </c>
      <c r="CH1452">
        <v>0</v>
      </c>
      <c r="CI1452">
        <v>49.21</v>
      </c>
      <c r="CJ1452">
        <v>517.30539999999996</v>
      </c>
    </row>
    <row r="1453" spans="1:88">
      <c r="A1453">
        <v>1452</v>
      </c>
      <c r="B1453" t="s">
        <v>0</v>
      </c>
      <c r="C1453" t="s">
        <v>1</v>
      </c>
      <c r="D1453" t="s">
        <v>178</v>
      </c>
      <c r="E1453" t="s">
        <v>133</v>
      </c>
      <c r="F1453" t="s">
        <v>408</v>
      </c>
      <c r="G1453" t="s">
        <v>106</v>
      </c>
      <c r="H1453" t="s">
        <v>141</v>
      </c>
      <c r="J1453">
        <v>2</v>
      </c>
      <c r="K1453" t="s">
        <v>146</v>
      </c>
      <c r="L1453" t="s">
        <v>353</v>
      </c>
      <c r="M1453" t="s">
        <v>194</v>
      </c>
      <c r="N1453" t="s">
        <v>195</v>
      </c>
      <c r="O1453">
        <v>143</v>
      </c>
      <c r="Q1453">
        <v>345</v>
      </c>
      <c r="R1453">
        <v>60</v>
      </c>
      <c r="S1453">
        <v>4.25</v>
      </c>
      <c r="T1453">
        <v>3.88</v>
      </c>
      <c r="U1453">
        <v>6.6</v>
      </c>
      <c r="V1453">
        <v>1465.18</v>
      </c>
      <c r="W1453">
        <v>397</v>
      </c>
      <c r="X1453">
        <v>1.5</v>
      </c>
      <c r="Y1453">
        <v>272</v>
      </c>
      <c r="Z1453">
        <v>5.38</v>
      </c>
      <c r="AJ1453">
        <v>2</v>
      </c>
      <c r="AK1453">
        <v>18</v>
      </c>
      <c r="AM1453">
        <v>0</v>
      </c>
      <c r="AO1453" t="s">
        <v>409</v>
      </c>
      <c r="AT1453">
        <v>55</v>
      </c>
      <c r="AV1453">
        <v>31.7</v>
      </c>
      <c r="AW1453">
        <v>0</v>
      </c>
      <c r="AX1453">
        <v>0</v>
      </c>
      <c r="AY1453">
        <v>52.25</v>
      </c>
      <c r="AZ1453">
        <v>4.75</v>
      </c>
      <c r="BA1453">
        <v>0</v>
      </c>
      <c r="BB1453">
        <v>0</v>
      </c>
      <c r="BC1453">
        <v>53</v>
      </c>
      <c r="BN1453">
        <v>149.80000000000001</v>
      </c>
      <c r="BO1453">
        <v>4624</v>
      </c>
      <c r="BP1453">
        <v>0</v>
      </c>
      <c r="BQ1453">
        <v>49</v>
      </c>
      <c r="BR1453">
        <v>49</v>
      </c>
      <c r="BS1453">
        <v>48.86</v>
      </c>
      <c r="BT1453">
        <v>0</v>
      </c>
      <c r="BV1453">
        <v>0</v>
      </c>
      <c r="BW1453" t="s">
        <v>655</v>
      </c>
      <c r="BX1453">
        <v>0.17</v>
      </c>
      <c r="BY1453">
        <v>8.3062000000000005</v>
      </c>
      <c r="BZ1453">
        <v>0</v>
      </c>
      <c r="CA1453">
        <v>1</v>
      </c>
      <c r="CB1453">
        <v>0.6</v>
      </c>
      <c r="CC1453" s="3">
        <v>7.1269159999999998E-2</v>
      </c>
      <c r="CD1453">
        <v>2.875</v>
      </c>
      <c r="CE1453">
        <v>2.5</v>
      </c>
      <c r="CF1453">
        <v>18</v>
      </c>
      <c r="CG1453">
        <v>6</v>
      </c>
      <c r="CH1453">
        <v>0</v>
      </c>
      <c r="CI1453">
        <v>48.86</v>
      </c>
      <c r="CJ1453">
        <v>304.69349999999997</v>
      </c>
    </row>
    <row r="1454" spans="1:88">
      <c r="A1454">
        <v>1453</v>
      </c>
      <c r="B1454" t="s">
        <v>0</v>
      </c>
      <c r="C1454" t="s">
        <v>1</v>
      </c>
      <c r="D1454" t="s">
        <v>113</v>
      </c>
      <c r="E1454" t="s">
        <v>14</v>
      </c>
      <c r="F1454" t="s">
        <v>262</v>
      </c>
      <c r="G1454" t="s">
        <v>214</v>
      </c>
      <c r="H1454" t="s">
        <v>263</v>
      </c>
      <c r="J1454">
        <v>2</v>
      </c>
      <c r="K1454" t="s">
        <v>108</v>
      </c>
      <c r="L1454" t="s">
        <v>17</v>
      </c>
      <c r="M1454" t="s">
        <v>18</v>
      </c>
      <c r="N1454" t="s">
        <v>19</v>
      </c>
      <c r="O1454">
        <v>182</v>
      </c>
      <c r="Q1454">
        <v>838</v>
      </c>
      <c r="R1454">
        <v>109</v>
      </c>
      <c r="S1454">
        <v>4.25</v>
      </c>
      <c r="T1454">
        <v>4.7859999999999996</v>
      </c>
      <c r="U1454">
        <v>7.12</v>
      </c>
      <c r="V1454">
        <v>3560.3</v>
      </c>
      <c r="W1454">
        <v>773</v>
      </c>
      <c r="X1454">
        <v>1.3332999999999999</v>
      </c>
      <c r="Y1454">
        <v>583</v>
      </c>
      <c r="Z1454">
        <v>6.11</v>
      </c>
      <c r="AJ1454">
        <v>2</v>
      </c>
      <c r="AK1454">
        <v>18</v>
      </c>
      <c r="AM1454">
        <v>0</v>
      </c>
      <c r="AO1454" t="s">
        <v>266</v>
      </c>
      <c r="AT1454">
        <v>69</v>
      </c>
      <c r="AV1454">
        <v>62.3</v>
      </c>
      <c r="AW1454">
        <v>0.46875</v>
      </c>
      <c r="AX1454">
        <v>3.75</v>
      </c>
      <c r="AY1454">
        <v>63.25</v>
      </c>
      <c r="AZ1454">
        <v>5.75</v>
      </c>
      <c r="BA1454">
        <v>320.48</v>
      </c>
      <c r="BB1454">
        <v>6.14</v>
      </c>
      <c r="BC1454">
        <v>68</v>
      </c>
      <c r="BD1454">
        <v>0.4375</v>
      </c>
      <c r="BE1454">
        <v>3.75</v>
      </c>
      <c r="BF1454">
        <v>54.25</v>
      </c>
      <c r="BG1454">
        <v>5.375</v>
      </c>
      <c r="BH1454">
        <v>262.22000000000003</v>
      </c>
      <c r="BI1454">
        <v>6.27</v>
      </c>
      <c r="BJ1454">
        <v>55</v>
      </c>
      <c r="BL1454">
        <v>582.70000000000005</v>
      </c>
      <c r="BM1454">
        <v>122</v>
      </c>
      <c r="BN1454">
        <v>302.12</v>
      </c>
      <c r="BO1454">
        <v>1426</v>
      </c>
      <c r="BP1454">
        <v>0</v>
      </c>
      <c r="BQ1454">
        <v>62</v>
      </c>
      <c r="BR1454">
        <v>62</v>
      </c>
      <c r="BS1454">
        <v>62.43</v>
      </c>
      <c r="BT1454">
        <v>0</v>
      </c>
      <c r="BV1454">
        <v>0</v>
      </c>
      <c r="BW1454" t="s">
        <v>655</v>
      </c>
      <c r="BX1454">
        <v>0.17</v>
      </c>
      <c r="BY1454">
        <v>10.613099999999999</v>
      </c>
      <c r="BZ1454">
        <v>0</v>
      </c>
      <c r="CA1454">
        <v>1</v>
      </c>
      <c r="CB1454">
        <v>0.6</v>
      </c>
      <c r="CC1454" s="3">
        <v>7.1269159999999998E-2</v>
      </c>
      <c r="CD1454">
        <v>2.875</v>
      </c>
      <c r="CE1454">
        <v>2.5</v>
      </c>
      <c r="CF1454">
        <v>18</v>
      </c>
      <c r="CG1454">
        <v>6</v>
      </c>
      <c r="CH1454">
        <v>0</v>
      </c>
      <c r="CI1454">
        <v>62.43</v>
      </c>
      <c r="CJ1454">
        <v>764.72910000000002</v>
      </c>
    </row>
    <row r="1455" spans="1:88">
      <c r="A1455">
        <v>1454</v>
      </c>
      <c r="B1455" t="s">
        <v>0</v>
      </c>
      <c r="C1455" t="s">
        <v>1</v>
      </c>
      <c r="D1455" t="s">
        <v>96</v>
      </c>
      <c r="E1455" t="s">
        <v>103</v>
      </c>
      <c r="F1455" t="s">
        <v>198</v>
      </c>
      <c r="G1455" t="s">
        <v>106</v>
      </c>
      <c r="H1455" t="s">
        <v>162</v>
      </c>
      <c r="J1455">
        <v>2</v>
      </c>
      <c r="K1455" t="s">
        <v>146</v>
      </c>
      <c r="L1455" t="s">
        <v>455</v>
      </c>
      <c r="M1455" t="s">
        <v>315</v>
      </c>
      <c r="N1455" t="s">
        <v>316</v>
      </c>
      <c r="O1455">
        <v>167</v>
      </c>
      <c r="Q1455">
        <v>558</v>
      </c>
      <c r="R1455">
        <v>81</v>
      </c>
      <c r="S1455">
        <v>4.25</v>
      </c>
      <c r="T1455">
        <v>4.4459999999999997</v>
      </c>
      <c r="U1455">
        <v>6.86</v>
      </c>
      <c r="V1455">
        <v>2371.88</v>
      </c>
      <c r="W1455">
        <v>555</v>
      </c>
      <c r="X1455">
        <v>1.3332999999999999</v>
      </c>
      <c r="Y1455">
        <v>411</v>
      </c>
      <c r="Z1455">
        <v>5.77</v>
      </c>
      <c r="AJ1455">
        <v>2</v>
      </c>
      <c r="AK1455">
        <v>18</v>
      </c>
      <c r="AM1455">
        <v>0</v>
      </c>
      <c r="AO1455" t="s">
        <v>166</v>
      </c>
      <c r="AT1455">
        <v>63</v>
      </c>
      <c r="AV1455">
        <v>44.8</v>
      </c>
      <c r="AW1455">
        <v>0.46875</v>
      </c>
      <c r="AX1455">
        <v>3.75</v>
      </c>
      <c r="AY1455">
        <v>59.375</v>
      </c>
      <c r="AZ1455">
        <v>5.375</v>
      </c>
      <c r="BA1455">
        <v>341.56</v>
      </c>
      <c r="BB1455">
        <v>5.77</v>
      </c>
      <c r="BC1455">
        <v>64</v>
      </c>
      <c r="BD1455">
        <v>0.3125</v>
      </c>
      <c r="BE1455">
        <v>2.75</v>
      </c>
      <c r="BF1455">
        <v>51.75</v>
      </c>
      <c r="BG1455">
        <v>3.625</v>
      </c>
      <c r="BH1455">
        <v>69.510000000000005</v>
      </c>
      <c r="BI1455">
        <v>9.18</v>
      </c>
      <c r="BJ1455">
        <v>28</v>
      </c>
      <c r="BL1455">
        <v>411.07</v>
      </c>
      <c r="BM1455">
        <v>91</v>
      </c>
      <c r="BN1455">
        <v>214</v>
      </c>
      <c r="BO1455">
        <v>2266</v>
      </c>
      <c r="BP1455">
        <v>0</v>
      </c>
      <c r="BQ1455">
        <v>57</v>
      </c>
      <c r="BR1455">
        <v>57</v>
      </c>
      <c r="BS1455">
        <v>57.21</v>
      </c>
      <c r="BT1455">
        <v>0</v>
      </c>
      <c r="BV1455">
        <v>0</v>
      </c>
      <c r="BW1455" t="s">
        <v>655</v>
      </c>
      <c r="BX1455">
        <v>0.17</v>
      </c>
      <c r="BY1455">
        <v>9.7257010000000008</v>
      </c>
      <c r="BZ1455">
        <v>0</v>
      </c>
      <c r="CA1455">
        <v>1</v>
      </c>
      <c r="CB1455">
        <v>0.6</v>
      </c>
      <c r="CC1455" s="3">
        <v>7.1269159999999998E-2</v>
      </c>
      <c r="CD1455">
        <v>2.875</v>
      </c>
      <c r="CE1455">
        <v>2.5</v>
      </c>
      <c r="CF1455">
        <v>18</v>
      </c>
      <c r="CG1455">
        <v>6</v>
      </c>
      <c r="CH1455">
        <v>0</v>
      </c>
      <c r="CI1455">
        <v>57.21</v>
      </c>
      <c r="CJ1455">
        <v>503.54759999999999</v>
      </c>
    </row>
    <row r="1456" spans="1:88">
      <c r="A1456">
        <v>1455</v>
      </c>
      <c r="B1456" t="s">
        <v>13</v>
      </c>
      <c r="C1456" t="s">
        <v>1</v>
      </c>
      <c r="D1456" t="s">
        <v>568</v>
      </c>
      <c r="E1456" t="s">
        <v>221</v>
      </c>
      <c r="F1456" t="s">
        <v>569</v>
      </c>
      <c r="G1456" t="s">
        <v>15</v>
      </c>
      <c r="H1456" t="s">
        <v>570</v>
      </c>
      <c r="J1456">
        <v>2</v>
      </c>
      <c r="K1456" t="s">
        <v>108</v>
      </c>
      <c r="L1456" t="s">
        <v>307</v>
      </c>
      <c r="M1456" t="s">
        <v>379</v>
      </c>
      <c r="N1456" t="s">
        <v>2</v>
      </c>
      <c r="O1456">
        <v>104</v>
      </c>
      <c r="Q1456">
        <v>625</v>
      </c>
      <c r="R1456">
        <v>136</v>
      </c>
      <c r="S1456">
        <v>4.25</v>
      </c>
      <c r="T1456">
        <v>2.8919999999999999</v>
      </c>
      <c r="U1456">
        <v>6</v>
      </c>
      <c r="V1456">
        <v>2654.42</v>
      </c>
      <c r="W1456">
        <v>814</v>
      </c>
      <c r="X1456">
        <v>1.3332999999999999</v>
      </c>
      <c r="Y1456">
        <v>629</v>
      </c>
      <c r="Z1456">
        <v>4.22</v>
      </c>
      <c r="AJ1456">
        <v>2</v>
      </c>
      <c r="AK1456">
        <v>18</v>
      </c>
      <c r="AM1456">
        <v>0</v>
      </c>
      <c r="AO1456" t="s">
        <v>533</v>
      </c>
      <c r="AT1456">
        <v>41</v>
      </c>
      <c r="AV1456">
        <v>77.900000000000006</v>
      </c>
      <c r="AW1456" t="s">
        <v>6</v>
      </c>
      <c r="AX1456" t="s">
        <v>6</v>
      </c>
      <c r="AY1456" t="s">
        <v>6</v>
      </c>
      <c r="AZ1456" t="s">
        <v>6</v>
      </c>
      <c r="BA1456" t="s">
        <v>6</v>
      </c>
      <c r="BB1456" t="s">
        <v>6</v>
      </c>
      <c r="BC1456" t="s">
        <v>6</v>
      </c>
      <c r="BD1456" t="s">
        <v>6</v>
      </c>
      <c r="BE1456" t="s">
        <v>6</v>
      </c>
      <c r="BF1456" t="s">
        <v>6</v>
      </c>
      <c r="BG1456" t="s">
        <v>6</v>
      </c>
      <c r="BH1456" t="s">
        <v>6</v>
      </c>
      <c r="BI1456" t="s">
        <v>6</v>
      </c>
      <c r="BJ1456" t="s">
        <v>6</v>
      </c>
      <c r="BN1456">
        <v>666.14290000000005</v>
      </c>
      <c r="BO1456">
        <v>2465</v>
      </c>
      <c r="BP1456">
        <v>0</v>
      </c>
      <c r="BQ1456">
        <v>35</v>
      </c>
      <c r="BR1456">
        <v>35</v>
      </c>
      <c r="BS1456">
        <v>35.299999999999997</v>
      </c>
      <c r="BT1456">
        <v>0</v>
      </c>
      <c r="BV1456">
        <v>0</v>
      </c>
      <c r="BW1456" t="s">
        <v>655</v>
      </c>
      <c r="BX1456">
        <v>0.17</v>
      </c>
      <c r="BY1456">
        <v>6.0010000000000003</v>
      </c>
      <c r="BZ1456">
        <v>0</v>
      </c>
      <c r="CA1456">
        <v>1</v>
      </c>
      <c r="CB1456">
        <v>0.6</v>
      </c>
      <c r="CC1456" s="3">
        <v>7.1269159999999998E-2</v>
      </c>
      <c r="CD1456">
        <v>2.875</v>
      </c>
      <c r="CE1456">
        <v>2.5</v>
      </c>
      <c r="CF1456">
        <v>18</v>
      </c>
      <c r="CG1456">
        <v>6</v>
      </c>
      <c r="CH1456">
        <v>0</v>
      </c>
      <c r="CI1456">
        <v>35.299999999999997</v>
      </c>
      <c r="CJ1456">
        <v>540.58280000000002</v>
      </c>
    </row>
    <row r="1457" spans="1:88">
      <c r="A1457">
        <v>1456</v>
      </c>
      <c r="B1457" t="s">
        <v>0</v>
      </c>
      <c r="C1457" t="s">
        <v>1</v>
      </c>
      <c r="D1457" t="s">
        <v>162</v>
      </c>
      <c r="E1457" t="s">
        <v>122</v>
      </c>
      <c r="F1457" t="s">
        <v>100</v>
      </c>
      <c r="G1457" t="s">
        <v>106</v>
      </c>
      <c r="H1457" t="s">
        <v>158</v>
      </c>
      <c r="J1457">
        <v>2</v>
      </c>
      <c r="K1457" t="s">
        <v>146</v>
      </c>
      <c r="L1457" t="s">
        <v>234</v>
      </c>
      <c r="M1457" t="s">
        <v>126</v>
      </c>
      <c r="N1457" t="s">
        <v>162</v>
      </c>
      <c r="O1457">
        <v>127</v>
      </c>
      <c r="Q1457">
        <v>430</v>
      </c>
      <c r="R1457">
        <v>80</v>
      </c>
      <c r="S1457">
        <v>4.25</v>
      </c>
      <c r="T1457">
        <v>3.4860000000000002</v>
      </c>
      <c r="U1457">
        <v>6.3</v>
      </c>
      <c r="V1457">
        <v>1826.86</v>
      </c>
      <c r="W1457">
        <v>506</v>
      </c>
      <c r="X1457">
        <v>1.3332999999999999</v>
      </c>
      <c r="Y1457">
        <v>380</v>
      </c>
      <c r="Z1457">
        <v>4.8099999999999996</v>
      </c>
      <c r="AJ1457">
        <v>2</v>
      </c>
      <c r="AK1457">
        <v>18</v>
      </c>
      <c r="AM1457">
        <v>0</v>
      </c>
      <c r="AO1457" t="s">
        <v>121</v>
      </c>
      <c r="AT1457">
        <v>49</v>
      </c>
      <c r="AV1457">
        <v>44.4</v>
      </c>
      <c r="AW1457">
        <v>0</v>
      </c>
      <c r="AX1457">
        <v>0</v>
      </c>
      <c r="AY1457">
        <v>53.375</v>
      </c>
      <c r="AZ1457">
        <v>4.5</v>
      </c>
      <c r="BA1457">
        <v>0</v>
      </c>
      <c r="BB1457">
        <v>0</v>
      </c>
      <c r="BC1457">
        <v>57</v>
      </c>
      <c r="BN1457">
        <v>212.2167</v>
      </c>
      <c r="BO1457">
        <v>2304</v>
      </c>
      <c r="BP1457">
        <v>0</v>
      </c>
      <c r="BQ1457">
        <v>43</v>
      </c>
      <c r="BR1457">
        <v>43</v>
      </c>
      <c r="BS1457">
        <v>43.3</v>
      </c>
      <c r="BT1457">
        <v>0</v>
      </c>
      <c r="BV1457">
        <v>0</v>
      </c>
      <c r="BW1457" t="s">
        <v>655</v>
      </c>
      <c r="BX1457">
        <v>0.17</v>
      </c>
      <c r="BY1457">
        <v>7.3609999999999998</v>
      </c>
      <c r="BZ1457">
        <v>0</v>
      </c>
      <c r="CA1457">
        <v>1</v>
      </c>
      <c r="CB1457">
        <v>0.6</v>
      </c>
      <c r="CC1457" s="3">
        <v>7.1269159999999998E-2</v>
      </c>
      <c r="CD1457">
        <v>2.875</v>
      </c>
      <c r="CE1457">
        <v>2.5</v>
      </c>
      <c r="CF1457">
        <v>18</v>
      </c>
      <c r="CG1457">
        <v>6</v>
      </c>
      <c r="CH1457">
        <v>0</v>
      </c>
      <c r="CI1457">
        <v>43.3</v>
      </c>
      <c r="CJ1457">
        <v>378.02940000000001</v>
      </c>
    </row>
    <row r="1458" spans="1:88">
      <c r="A1458">
        <v>1457</v>
      </c>
      <c r="B1458" t="s">
        <v>13</v>
      </c>
      <c r="C1458" t="s">
        <v>1</v>
      </c>
      <c r="D1458" t="s">
        <v>176</v>
      </c>
      <c r="E1458" t="s">
        <v>178</v>
      </c>
      <c r="F1458" t="s">
        <v>134</v>
      </c>
      <c r="G1458" t="s">
        <v>106</v>
      </c>
      <c r="H1458" t="s">
        <v>177</v>
      </c>
      <c r="J1458">
        <v>2</v>
      </c>
      <c r="K1458" t="s">
        <v>146</v>
      </c>
      <c r="L1458" t="s">
        <v>127</v>
      </c>
      <c r="M1458" t="s">
        <v>179</v>
      </c>
      <c r="N1458" t="s">
        <v>180</v>
      </c>
      <c r="O1458">
        <v>95</v>
      </c>
      <c r="Q1458">
        <v>286</v>
      </c>
      <c r="R1458">
        <v>71</v>
      </c>
      <c r="S1458">
        <v>4.25</v>
      </c>
      <c r="T1458">
        <v>2.649</v>
      </c>
      <c r="U1458">
        <v>5.81</v>
      </c>
      <c r="V1458">
        <v>1213.97</v>
      </c>
      <c r="W1458">
        <v>410</v>
      </c>
      <c r="X1458">
        <v>1.3332999999999999</v>
      </c>
      <c r="Y1458">
        <v>305</v>
      </c>
      <c r="Z1458">
        <v>3.98</v>
      </c>
      <c r="AJ1458">
        <v>2</v>
      </c>
      <c r="AK1458">
        <v>18</v>
      </c>
      <c r="AM1458">
        <v>0</v>
      </c>
      <c r="AO1458" t="s">
        <v>152</v>
      </c>
      <c r="AT1458">
        <v>38</v>
      </c>
      <c r="AV1458">
        <v>38.200000000000003</v>
      </c>
      <c r="AW1458">
        <v>0</v>
      </c>
      <c r="AX1458">
        <v>0</v>
      </c>
      <c r="AY1458">
        <v>31.875</v>
      </c>
      <c r="AZ1458">
        <v>3.25</v>
      </c>
      <c r="BA1458">
        <v>0</v>
      </c>
      <c r="BB1458">
        <v>0</v>
      </c>
      <c r="BC1458">
        <v>30</v>
      </c>
      <c r="BN1458">
        <v>181.9</v>
      </c>
      <c r="BO1458">
        <v>3136</v>
      </c>
      <c r="BP1458">
        <v>0</v>
      </c>
      <c r="BQ1458">
        <v>32</v>
      </c>
      <c r="BR1458">
        <v>32</v>
      </c>
      <c r="BS1458">
        <v>32.17</v>
      </c>
      <c r="BT1458">
        <v>0</v>
      </c>
      <c r="BV1458">
        <v>0</v>
      </c>
      <c r="BW1458" t="s">
        <v>655</v>
      </c>
      <c r="BX1458">
        <v>0.17</v>
      </c>
      <c r="BY1458">
        <v>5.4688999999999997</v>
      </c>
      <c r="BZ1458">
        <v>0</v>
      </c>
      <c r="CA1458">
        <v>1</v>
      </c>
      <c r="CB1458">
        <v>0.6</v>
      </c>
      <c r="CC1458" s="3">
        <v>7.1269159999999998E-2</v>
      </c>
      <c r="CD1458">
        <v>2.875</v>
      </c>
      <c r="CE1458">
        <v>2.5</v>
      </c>
      <c r="CF1458">
        <v>18</v>
      </c>
      <c r="CG1458">
        <v>6</v>
      </c>
      <c r="CH1458">
        <v>0</v>
      </c>
      <c r="CI1458">
        <v>32.17</v>
      </c>
      <c r="CJ1458">
        <v>241.88290000000001</v>
      </c>
    </row>
    <row r="1459" spans="1:88">
      <c r="A1459">
        <v>1458</v>
      </c>
      <c r="B1459" t="s">
        <v>0</v>
      </c>
      <c r="C1459" t="s">
        <v>1</v>
      </c>
      <c r="D1459" t="s">
        <v>412</v>
      </c>
      <c r="E1459" t="s">
        <v>317</v>
      </c>
      <c r="F1459" t="s">
        <v>376</v>
      </c>
      <c r="G1459" t="s">
        <v>106</v>
      </c>
      <c r="H1459" t="s">
        <v>540</v>
      </c>
      <c r="J1459">
        <v>2</v>
      </c>
      <c r="K1459" t="s">
        <v>146</v>
      </c>
      <c r="L1459" t="s">
        <v>169</v>
      </c>
      <c r="M1459" t="s">
        <v>400</v>
      </c>
      <c r="N1459" t="s">
        <v>228</v>
      </c>
      <c r="O1459">
        <v>99</v>
      </c>
      <c r="Q1459">
        <v>189</v>
      </c>
      <c r="R1459">
        <v>43</v>
      </c>
      <c r="S1459">
        <v>4.25</v>
      </c>
      <c r="T1459">
        <v>2.758</v>
      </c>
      <c r="U1459">
        <v>5.88</v>
      </c>
      <c r="V1459">
        <v>802.74</v>
      </c>
      <c r="W1459">
        <v>254</v>
      </c>
      <c r="X1459">
        <v>1.3332999999999999</v>
      </c>
      <c r="Y1459">
        <v>196</v>
      </c>
      <c r="Z1459">
        <v>4.09</v>
      </c>
      <c r="AJ1459">
        <v>2</v>
      </c>
      <c r="AK1459">
        <v>18</v>
      </c>
      <c r="AM1459">
        <v>0</v>
      </c>
      <c r="AO1459" t="s">
        <v>513</v>
      </c>
      <c r="AT1459">
        <v>40</v>
      </c>
      <c r="AV1459">
        <v>24.1</v>
      </c>
      <c r="AW1459">
        <v>0</v>
      </c>
      <c r="AX1459">
        <v>0</v>
      </c>
      <c r="AY1459">
        <v>32.875</v>
      </c>
      <c r="AZ1459">
        <v>3.125</v>
      </c>
      <c r="BA1459">
        <v>0</v>
      </c>
      <c r="BB1459">
        <v>0</v>
      </c>
      <c r="BC1459">
        <v>29</v>
      </c>
      <c r="BN1459">
        <v>112.35</v>
      </c>
      <c r="BO1459">
        <v>8221</v>
      </c>
      <c r="BP1459">
        <v>0</v>
      </c>
      <c r="BQ1459">
        <v>34</v>
      </c>
      <c r="BR1459">
        <v>34</v>
      </c>
      <c r="BS1459">
        <v>33.56</v>
      </c>
      <c r="BT1459">
        <v>0</v>
      </c>
      <c r="BV1459">
        <v>0</v>
      </c>
      <c r="BW1459" t="s">
        <v>655</v>
      </c>
      <c r="BX1459">
        <v>0.17</v>
      </c>
      <c r="BY1459">
        <v>5.7051999999999996</v>
      </c>
      <c r="BZ1459">
        <v>0</v>
      </c>
      <c r="CA1459">
        <v>1</v>
      </c>
      <c r="CB1459">
        <v>0.6</v>
      </c>
      <c r="CC1459" s="3">
        <v>7.1269159999999998E-2</v>
      </c>
      <c r="CD1459">
        <v>2.875</v>
      </c>
      <c r="CE1459">
        <v>2.5</v>
      </c>
      <c r="CF1459">
        <v>18</v>
      </c>
      <c r="CG1459">
        <v>6</v>
      </c>
      <c r="CH1459">
        <v>0</v>
      </c>
      <c r="CI1459">
        <v>33.56</v>
      </c>
      <c r="CJ1459">
        <v>159.05420000000001</v>
      </c>
    </row>
    <row r="1460" spans="1:88">
      <c r="A1460">
        <v>1459</v>
      </c>
      <c r="B1460" t="s">
        <v>13</v>
      </c>
      <c r="C1460" t="s">
        <v>1</v>
      </c>
      <c r="D1460" t="s">
        <v>272</v>
      </c>
      <c r="E1460" t="s">
        <v>96</v>
      </c>
      <c r="F1460" t="s">
        <v>273</v>
      </c>
      <c r="G1460" t="s">
        <v>106</v>
      </c>
      <c r="H1460" t="s">
        <v>274</v>
      </c>
      <c r="J1460">
        <v>2</v>
      </c>
      <c r="K1460" t="s">
        <v>108</v>
      </c>
      <c r="L1460" t="s">
        <v>293</v>
      </c>
      <c r="M1460" t="s">
        <v>100</v>
      </c>
      <c r="N1460" t="s">
        <v>101</v>
      </c>
      <c r="O1460">
        <v>131</v>
      </c>
      <c r="Q1460">
        <v>550</v>
      </c>
      <c r="R1460">
        <v>98</v>
      </c>
      <c r="S1460">
        <v>4.25</v>
      </c>
      <c r="T1460">
        <v>3.5859999999999999</v>
      </c>
      <c r="U1460">
        <v>6.37</v>
      </c>
      <c r="V1460">
        <v>2337.4499999999998</v>
      </c>
      <c r="W1460">
        <v>622</v>
      </c>
      <c r="X1460">
        <v>1.3332999999999999</v>
      </c>
      <c r="Y1460">
        <v>476</v>
      </c>
      <c r="Z1460">
        <v>4.91</v>
      </c>
      <c r="AJ1460">
        <v>2</v>
      </c>
      <c r="AK1460">
        <v>18</v>
      </c>
      <c r="AM1460">
        <v>0</v>
      </c>
      <c r="AO1460" t="s">
        <v>275</v>
      </c>
      <c r="AT1460">
        <v>51</v>
      </c>
      <c r="AV1460">
        <v>55.4</v>
      </c>
      <c r="AW1460">
        <v>0.40625</v>
      </c>
      <c r="AX1460">
        <v>3.75</v>
      </c>
      <c r="AY1460">
        <v>37.125</v>
      </c>
      <c r="AZ1460">
        <v>4</v>
      </c>
      <c r="BA1460">
        <v>261.82</v>
      </c>
      <c r="BB1460">
        <v>5.05</v>
      </c>
      <c r="BC1460">
        <v>35</v>
      </c>
      <c r="BD1460">
        <v>0.375</v>
      </c>
      <c r="BE1460">
        <v>3.75</v>
      </c>
      <c r="BF1460">
        <v>30.125</v>
      </c>
      <c r="BG1460">
        <v>3.625</v>
      </c>
      <c r="BH1460">
        <v>214.22</v>
      </c>
      <c r="BI1460">
        <v>5.0199999999999996</v>
      </c>
      <c r="BJ1460">
        <v>27</v>
      </c>
      <c r="BL1460">
        <v>476.04</v>
      </c>
      <c r="BM1460">
        <v>61</v>
      </c>
      <c r="BN1460">
        <v>265.7167</v>
      </c>
      <c r="BO1460">
        <v>1470</v>
      </c>
      <c r="BP1460">
        <v>0</v>
      </c>
      <c r="BQ1460">
        <v>45</v>
      </c>
      <c r="BR1460">
        <v>45</v>
      </c>
      <c r="BS1460">
        <v>44.69</v>
      </c>
      <c r="BT1460">
        <v>0</v>
      </c>
      <c r="BV1460">
        <v>0</v>
      </c>
      <c r="BW1460" t="s">
        <v>655</v>
      </c>
      <c r="BX1460">
        <v>0.17</v>
      </c>
      <c r="BY1460">
        <v>7.5972999999999997</v>
      </c>
      <c r="BZ1460">
        <v>0</v>
      </c>
      <c r="CA1460">
        <v>1</v>
      </c>
      <c r="CB1460">
        <v>0.6</v>
      </c>
      <c r="CC1460" s="3">
        <v>7.1269159999999998E-2</v>
      </c>
      <c r="CD1460">
        <v>2.875</v>
      </c>
      <c r="CE1460">
        <v>2.5</v>
      </c>
      <c r="CF1460">
        <v>18</v>
      </c>
      <c r="CG1460">
        <v>6</v>
      </c>
      <c r="CH1460">
        <v>0</v>
      </c>
      <c r="CI1460">
        <v>44.69</v>
      </c>
      <c r="CJ1460">
        <v>486.90969999999999</v>
      </c>
    </row>
    <row r="1461" spans="1:88">
      <c r="A1461">
        <v>1460</v>
      </c>
      <c r="B1461" t="s">
        <v>13</v>
      </c>
      <c r="C1461" t="s">
        <v>1</v>
      </c>
      <c r="D1461" t="s">
        <v>316</v>
      </c>
      <c r="E1461" t="s">
        <v>99</v>
      </c>
      <c r="F1461" t="s">
        <v>349</v>
      </c>
      <c r="G1461" t="s">
        <v>106</v>
      </c>
      <c r="H1461" t="s">
        <v>350</v>
      </c>
      <c r="J1461">
        <v>2</v>
      </c>
      <c r="K1461" t="s">
        <v>108</v>
      </c>
      <c r="L1461" t="s">
        <v>393</v>
      </c>
      <c r="M1461" t="s">
        <v>184</v>
      </c>
      <c r="N1461" t="s">
        <v>185</v>
      </c>
      <c r="O1461">
        <v>149</v>
      </c>
      <c r="Q1461">
        <v>659</v>
      </c>
      <c r="R1461">
        <v>103</v>
      </c>
      <c r="S1461">
        <v>4.25</v>
      </c>
      <c r="T1461">
        <v>4.024</v>
      </c>
      <c r="U1461">
        <v>6.71</v>
      </c>
      <c r="V1461">
        <v>2801.6</v>
      </c>
      <c r="W1461">
        <v>694</v>
      </c>
      <c r="X1461">
        <v>1.3332999999999999</v>
      </c>
      <c r="Y1461">
        <v>524</v>
      </c>
      <c r="Z1461">
        <v>5.35</v>
      </c>
      <c r="AJ1461">
        <v>2</v>
      </c>
      <c r="AK1461">
        <v>18</v>
      </c>
      <c r="AM1461">
        <v>0</v>
      </c>
      <c r="AO1461" t="s">
        <v>352</v>
      </c>
      <c r="AT1461">
        <v>57</v>
      </c>
      <c r="AV1461">
        <v>59.1</v>
      </c>
      <c r="AW1461" t="s">
        <v>6</v>
      </c>
      <c r="AX1461" t="s">
        <v>6</v>
      </c>
      <c r="AY1461" t="s">
        <v>6</v>
      </c>
      <c r="AZ1461" t="s">
        <v>6</v>
      </c>
      <c r="BA1461" t="s">
        <v>6</v>
      </c>
      <c r="BB1461" t="s">
        <v>6</v>
      </c>
      <c r="BC1461" t="s">
        <v>6</v>
      </c>
      <c r="BD1461" t="s">
        <v>6</v>
      </c>
      <c r="BE1461" t="s">
        <v>6</v>
      </c>
      <c r="BF1461" t="s">
        <v>6</v>
      </c>
      <c r="BG1461" t="s">
        <v>6</v>
      </c>
      <c r="BH1461" t="s">
        <v>6</v>
      </c>
      <c r="BI1461" t="s">
        <v>6</v>
      </c>
      <c r="BJ1461" t="s">
        <v>6</v>
      </c>
      <c r="BN1461">
        <v>283.55009999999999</v>
      </c>
      <c r="BO1461">
        <v>1291</v>
      </c>
      <c r="BP1461">
        <v>0</v>
      </c>
      <c r="BQ1461">
        <v>51</v>
      </c>
      <c r="BR1461">
        <v>51</v>
      </c>
      <c r="BS1461">
        <v>50.95</v>
      </c>
      <c r="BT1461">
        <v>0</v>
      </c>
      <c r="BV1461">
        <v>0</v>
      </c>
      <c r="BW1461" t="s">
        <v>655</v>
      </c>
      <c r="BX1461">
        <v>0.17</v>
      </c>
      <c r="BY1461">
        <v>8.6615000000000002</v>
      </c>
      <c r="BZ1461">
        <v>0</v>
      </c>
      <c r="CA1461">
        <v>1</v>
      </c>
      <c r="CB1461">
        <v>0.6</v>
      </c>
      <c r="CC1461" s="3">
        <v>7.1269159999999998E-2</v>
      </c>
      <c r="CD1461">
        <v>2.875</v>
      </c>
      <c r="CE1461">
        <v>2.5</v>
      </c>
      <c r="CF1461">
        <v>18</v>
      </c>
      <c r="CG1461">
        <v>6</v>
      </c>
      <c r="CH1461">
        <v>0</v>
      </c>
      <c r="CI1461">
        <v>50.95</v>
      </c>
      <c r="CJ1461">
        <v>591.42579999999998</v>
      </c>
    </row>
    <row r="1462" spans="1:88">
      <c r="A1462">
        <v>1461</v>
      </c>
      <c r="B1462" t="s">
        <v>0</v>
      </c>
      <c r="C1462" t="s">
        <v>1</v>
      </c>
      <c r="D1462" t="s">
        <v>2</v>
      </c>
      <c r="E1462" t="s">
        <v>96</v>
      </c>
      <c r="F1462" t="s">
        <v>154</v>
      </c>
      <c r="G1462" t="s">
        <v>106</v>
      </c>
      <c r="H1462" t="s">
        <v>217</v>
      </c>
      <c r="J1462">
        <v>2</v>
      </c>
      <c r="K1462" t="s">
        <v>146</v>
      </c>
      <c r="L1462" t="s">
        <v>293</v>
      </c>
      <c r="M1462" t="s">
        <v>100</v>
      </c>
      <c r="N1462" t="s">
        <v>101</v>
      </c>
      <c r="O1462">
        <v>131</v>
      </c>
      <c r="Q1462">
        <v>361</v>
      </c>
      <c r="R1462">
        <v>67</v>
      </c>
      <c r="S1462">
        <v>4.25</v>
      </c>
      <c r="T1462">
        <v>3.5859999999999999</v>
      </c>
      <c r="U1462">
        <v>6.37</v>
      </c>
      <c r="V1462">
        <v>1532.59</v>
      </c>
      <c r="W1462">
        <v>427</v>
      </c>
      <c r="X1462">
        <v>1.3332999999999999</v>
      </c>
      <c r="Y1462">
        <v>312</v>
      </c>
      <c r="Z1462">
        <v>4.91</v>
      </c>
      <c r="AJ1462">
        <v>2</v>
      </c>
      <c r="AK1462">
        <v>18</v>
      </c>
      <c r="AM1462">
        <v>0</v>
      </c>
      <c r="AO1462" t="s">
        <v>218</v>
      </c>
      <c r="AT1462">
        <v>51</v>
      </c>
      <c r="AV1462">
        <v>36.1</v>
      </c>
      <c r="AW1462">
        <v>0</v>
      </c>
      <c r="AX1462">
        <v>0</v>
      </c>
      <c r="AY1462">
        <v>45.625</v>
      </c>
      <c r="AZ1462">
        <v>4.25</v>
      </c>
      <c r="BA1462">
        <v>0</v>
      </c>
      <c r="BB1462">
        <v>0</v>
      </c>
      <c r="BC1462">
        <v>46</v>
      </c>
      <c r="BN1462">
        <v>171.2</v>
      </c>
      <c r="BO1462">
        <v>3540</v>
      </c>
      <c r="BP1462">
        <v>0</v>
      </c>
      <c r="BQ1462">
        <v>45</v>
      </c>
      <c r="BR1462">
        <v>45</v>
      </c>
      <c r="BS1462">
        <v>44.69</v>
      </c>
      <c r="BT1462">
        <v>0</v>
      </c>
      <c r="BV1462">
        <v>0</v>
      </c>
      <c r="BW1462" t="s">
        <v>655</v>
      </c>
      <c r="BX1462">
        <v>0.17</v>
      </c>
      <c r="BY1462">
        <v>7.5972999999999997</v>
      </c>
      <c r="BZ1462">
        <v>0</v>
      </c>
      <c r="CA1462">
        <v>1</v>
      </c>
      <c r="CB1462">
        <v>0.6</v>
      </c>
      <c r="CC1462" s="3">
        <v>7.1269159999999998E-2</v>
      </c>
      <c r="CD1462">
        <v>2.875</v>
      </c>
      <c r="CE1462">
        <v>2.5</v>
      </c>
      <c r="CF1462">
        <v>18</v>
      </c>
      <c r="CG1462">
        <v>6</v>
      </c>
      <c r="CH1462">
        <v>0</v>
      </c>
      <c r="CI1462">
        <v>44.69</v>
      </c>
      <c r="CJ1462">
        <v>316.90929999999997</v>
      </c>
    </row>
    <row r="1463" spans="1:88">
      <c r="A1463">
        <v>1462</v>
      </c>
      <c r="B1463" t="s">
        <v>13</v>
      </c>
      <c r="C1463" t="s">
        <v>1</v>
      </c>
      <c r="D1463" t="s">
        <v>341</v>
      </c>
      <c r="E1463" t="s">
        <v>320</v>
      </c>
      <c r="F1463" t="s">
        <v>343</v>
      </c>
      <c r="G1463" t="s">
        <v>106</v>
      </c>
      <c r="H1463" t="s">
        <v>344</v>
      </c>
      <c r="J1463">
        <v>2</v>
      </c>
      <c r="K1463" t="s">
        <v>146</v>
      </c>
      <c r="L1463" t="s">
        <v>224</v>
      </c>
      <c r="M1463" t="s">
        <v>500</v>
      </c>
      <c r="N1463" t="s">
        <v>501</v>
      </c>
      <c r="O1463">
        <v>59</v>
      </c>
      <c r="Q1463">
        <v>136</v>
      </c>
      <c r="R1463">
        <v>48</v>
      </c>
      <c r="S1463">
        <v>4.25</v>
      </c>
      <c r="T1463">
        <v>1.613</v>
      </c>
      <c r="U1463">
        <v>5.17</v>
      </c>
      <c r="V1463">
        <v>579.99</v>
      </c>
      <c r="W1463">
        <v>250</v>
      </c>
      <c r="X1463">
        <v>1.1666000000000001</v>
      </c>
      <c r="Y1463">
        <v>209</v>
      </c>
      <c r="Z1463">
        <v>2.77</v>
      </c>
      <c r="AJ1463">
        <v>2</v>
      </c>
      <c r="AK1463">
        <v>18</v>
      </c>
      <c r="AM1463">
        <v>0</v>
      </c>
      <c r="AO1463" t="s">
        <v>347</v>
      </c>
      <c r="AT1463">
        <v>26</v>
      </c>
      <c r="AV1463">
        <v>27.4</v>
      </c>
      <c r="AW1463">
        <v>0</v>
      </c>
      <c r="AX1463">
        <v>0</v>
      </c>
      <c r="AY1463">
        <v>12.125</v>
      </c>
      <c r="AZ1463">
        <v>1.75</v>
      </c>
      <c r="BA1463">
        <v>0</v>
      </c>
      <c r="BB1463">
        <v>0</v>
      </c>
      <c r="BC1463">
        <v>9</v>
      </c>
      <c r="BN1463">
        <v>128.4</v>
      </c>
      <c r="BO1463">
        <v>6294</v>
      </c>
      <c r="BP1463">
        <v>0</v>
      </c>
      <c r="BQ1463">
        <v>20</v>
      </c>
      <c r="BR1463">
        <v>20</v>
      </c>
      <c r="BS1463">
        <v>19.649999999999999</v>
      </c>
      <c r="BT1463">
        <v>0</v>
      </c>
      <c r="BV1463">
        <v>0</v>
      </c>
      <c r="BW1463" t="s">
        <v>655</v>
      </c>
      <c r="BX1463">
        <v>0.17</v>
      </c>
      <c r="BY1463">
        <v>3.3405</v>
      </c>
      <c r="BZ1463">
        <v>0</v>
      </c>
      <c r="CA1463">
        <v>1</v>
      </c>
      <c r="CB1463">
        <v>0.6</v>
      </c>
      <c r="CC1463" s="3">
        <v>7.1269159999999998E-2</v>
      </c>
      <c r="CD1463">
        <v>2.875</v>
      </c>
      <c r="CE1463">
        <v>2.5</v>
      </c>
      <c r="CF1463">
        <v>18</v>
      </c>
      <c r="CG1463">
        <v>6</v>
      </c>
      <c r="CH1463">
        <v>0</v>
      </c>
      <c r="CI1463">
        <v>19.649999999999999</v>
      </c>
      <c r="CJ1463">
        <v>105.73309999999999</v>
      </c>
    </row>
    <row r="1464" spans="1:88">
      <c r="A1464">
        <v>1463</v>
      </c>
      <c r="B1464" t="s">
        <v>0</v>
      </c>
      <c r="C1464" t="s">
        <v>1</v>
      </c>
      <c r="D1464" t="s">
        <v>253</v>
      </c>
      <c r="E1464" t="s">
        <v>150</v>
      </c>
      <c r="F1464" t="s">
        <v>636</v>
      </c>
      <c r="G1464" t="s">
        <v>214</v>
      </c>
      <c r="H1464" t="s">
        <v>637</v>
      </c>
      <c r="J1464">
        <v>2</v>
      </c>
      <c r="K1464" t="s">
        <v>108</v>
      </c>
      <c r="L1464" t="s">
        <v>96</v>
      </c>
      <c r="M1464" t="s">
        <v>159</v>
      </c>
      <c r="N1464" t="s">
        <v>130</v>
      </c>
      <c r="O1464">
        <v>111</v>
      </c>
      <c r="Q1464">
        <v>586</v>
      </c>
      <c r="R1464">
        <v>120</v>
      </c>
      <c r="S1464">
        <v>4.25</v>
      </c>
      <c r="T1464">
        <v>3.0760000000000001</v>
      </c>
      <c r="U1464">
        <v>6.14</v>
      </c>
      <c r="V1464">
        <v>2490.0700000000002</v>
      </c>
      <c r="W1464">
        <v>736</v>
      </c>
      <c r="X1464">
        <v>1.3332999999999999</v>
      </c>
      <c r="Y1464">
        <v>566</v>
      </c>
      <c r="Z1464">
        <v>4.4000000000000004</v>
      </c>
      <c r="AJ1464">
        <v>2</v>
      </c>
      <c r="AK1464">
        <v>18</v>
      </c>
      <c r="AM1464">
        <v>0</v>
      </c>
      <c r="AO1464" t="s">
        <v>213</v>
      </c>
      <c r="AT1464">
        <v>44</v>
      </c>
      <c r="AV1464">
        <v>68.900000000000006</v>
      </c>
      <c r="AW1464">
        <v>0.46875</v>
      </c>
      <c r="AX1464">
        <v>3.75</v>
      </c>
      <c r="AY1464">
        <v>45.25</v>
      </c>
      <c r="AZ1464">
        <v>4.125</v>
      </c>
      <c r="BA1464">
        <v>447.91</v>
      </c>
      <c r="BB1464">
        <v>4.4000000000000004</v>
      </c>
      <c r="BC1464">
        <v>49</v>
      </c>
      <c r="BD1464">
        <v>0.3125</v>
      </c>
      <c r="BE1464">
        <v>2.75</v>
      </c>
      <c r="BF1464">
        <v>30.5</v>
      </c>
      <c r="BG1464">
        <v>2.75</v>
      </c>
      <c r="BH1464">
        <v>118</v>
      </c>
      <c r="BI1464">
        <v>5.41</v>
      </c>
      <c r="BJ1464">
        <v>16</v>
      </c>
      <c r="BL1464">
        <v>565.91010000000006</v>
      </c>
      <c r="BM1464">
        <v>64</v>
      </c>
      <c r="BN1464">
        <v>334.49</v>
      </c>
      <c r="BO1464">
        <v>1164</v>
      </c>
      <c r="BP1464">
        <v>0</v>
      </c>
      <c r="BQ1464">
        <v>38</v>
      </c>
      <c r="BR1464">
        <v>38</v>
      </c>
      <c r="BS1464">
        <v>37.729999999999997</v>
      </c>
      <c r="BT1464">
        <v>0</v>
      </c>
      <c r="BV1464">
        <v>0</v>
      </c>
      <c r="BW1464" t="s">
        <v>655</v>
      </c>
      <c r="BX1464">
        <v>0.17</v>
      </c>
      <c r="BY1464">
        <v>6.4141000000000004</v>
      </c>
      <c r="BZ1464">
        <v>0</v>
      </c>
      <c r="CA1464">
        <v>1</v>
      </c>
      <c r="CB1464">
        <v>0.6</v>
      </c>
      <c r="CC1464" s="3">
        <v>7.1269159999999998E-2</v>
      </c>
      <c r="CD1464">
        <v>2.875</v>
      </c>
      <c r="CE1464">
        <v>2.5</v>
      </c>
      <c r="CF1464">
        <v>18</v>
      </c>
      <c r="CG1464">
        <v>6</v>
      </c>
      <c r="CH1464">
        <v>0</v>
      </c>
      <c r="CI1464">
        <v>37.729999999999997</v>
      </c>
      <c r="CJ1464">
        <v>510.5711</v>
      </c>
    </row>
    <row r="1465" spans="1:88">
      <c r="A1465">
        <v>1464</v>
      </c>
      <c r="B1465" t="s">
        <v>13</v>
      </c>
      <c r="C1465" t="s">
        <v>1</v>
      </c>
      <c r="D1465" t="s">
        <v>94</v>
      </c>
      <c r="E1465" t="s">
        <v>2</v>
      </c>
      <c r="F1465" t="s">
        <v>436</v>
      </c>
      <c r="G1465" t="s">
        <v>15</v>
      </c>
      <c r="H1465" t="s">
        <v>94</v>
      </c>
      <c r="J1465">
        <v>2</v>
      </c>
      <c r="K1465" t="s">
        <v>9</v>
      </c>
      <c r="L1465" t="s">
        <v>122</v>
      </c>
      <c r="M1465" t="s">
        <v>4</v>
      </c>
      <c r="N1465" t="s">
        <v>5</v>
      </c>
      <c r="O1465">
        <v>107</v>
      </c>
      <c r="Q1465">
        <v>674</v>
      </c>
      <c r="R1465">
        <v>142</v>
      </c>
      <c r="S1465">
        <v>4.25</v>
      </c>
      <c r="T1465">
        <v>2.9710000000000001</v>
      </c>
      <c r="U1465">
        <v>6.07</v>
      </c>
      <c r="V1465">
        <v>2865.22</v>
      </c>
      <c r="W1465">
        <v>861</v>
      </c>
      <c r="X1465">
        <v>1.3332999999999999</v>
      </c>
      <c r="Y1465">
        <v>666</v>
      </c>
      <c r="Z1465">
        <v>4.3</v>
      </c>
      <c r="AJ1465">
        <v>2</v>
      </c>
      <c r="AK1465">
        <v>18</v>
      </c>
      <c r="AM1465">
        <v>0</v>
      </c>
      <c r="AO1465" t="s">
        <v>437</v>
      </c>
      <c r="AT1465">
        <v>42</v>
      </c>
      <c r="AV1465">
        <v>81.599999999999994</v>
      </c>
      <c r="AW1465">
        <v>0.5</v>
      </c>
      <c r="AX1465">
        <v>5.625</v>
      </c>
      <c r="AY1465">
        <v>33.125</v>
      </c>
      <c r="AZ1465">
        <v>4.25</v>
      </c>
      <c r="BA1465">
        <v>541.21</v>
      </c>
      <c r="BB1465">
        <v>4.3</v>
      </c>
      <c r="BC1465">
        <v>59</v>
      </c>
      <c r="BD1465">
        <v>0.3125</v>
      </c>
      <c r="BE1465">
        <v>3.75</v>
      </c>
      <c r="BF1465">
        <v>20.375</v>
      </c>
      <c r="BG1465">
        <v>2.625</v>
      </c>
      <c r="BH1465">
        <v>125.12</v>
      </c>
      <c r="BI1465">
        <v>5.0999999999999996</v>
      </c>
      <c r="BJ1465">
        <v>15</v>
      </c>
      <c r="BL1465">
        <v>666.33</v>
      </c>
      <c r="BM1465">
        <v>74</v>
      </c>
      <c r="BN1465">
        <v>697.71360000000004</v>
      </c>
      <c r="BO1465">
        <v>2247</v>
      </c>
      <c r="BP1465">
        <v>0</v>
      </c>
      <c r="BQ1465">
        <v>36</v>
      </c>
      <c r="BR1465">
        <v>36</v>
      </c>
      <c r="BS1465">
        <v>36.340000000000003</v>
      </c>
      <c r="BT1465">
        <v>0</v>
      </c>
      <c r="BV1465">
        <v>6</v>
      </c>
      <c r="BW1465" t="s">
        <v>655</v>
      </c>
      <c r="BX1465">
        <v>0.27933340000000001</v>
      </c>
      <c r="BY1465">
        <v>10.150969999999999</v>
      </c>
      <c r="BZ1465">
        <v>0</v>
      </c>
      <c r="CA1465">
        <v>1</v>
      </c>
      <c r="CB1465">
        <v>0.6</v>
      </c>
      <c r="CC1465" s="3">
        <v>7.1269159999999998E-2</v>
      </c>
      <c r="CD1465">
        <v>2.875</v>
      </c>
      <c r="CE1465">
        <v>2.5</v>
      </c>
      <c r="CF1465">
        <v>18</v>
      </c>
      <c r="CG1465">
        <v>6</v>
      </c>
      <c r="CH1465">
        <v>0</v>
      </c>
      <c r="CI1465">
        <v>36.340000000000003</v>
      </c>
      <c r="CJ1465">
        <v>582.4085</v>
      </c>
    </row>
    <row r="1466" spans="1:88">
      <c r="A1466">
        <v>1465</v>
      </c>
      <c r="B1466" t="s">
        <v>13</v>
      </c>
      <c r="C1466" t="s">
        <v>1</v>
      </c>
      <c r="D1466" t="s">
        <v>369</v>
      </c>
      <c r="E1466" t="s">
        <v>268</v>
      </c>
      <c r="F1466" t="s">
        <v>312</v>
      </c>
      <c r="G1466" t="s">
        <v>106</v>
      </c>
      <c r="H1466" t="s">
        <v>229</v>
      </c>
      <c r="J1466">
        <v>2</v>
      </c>
      <c r="K1466" t="s">
        <v>146</v>
      </c>
      <c r="L1466" t="s">
        <v>133</v>
      </c>
      <c r="M1466" t="s">
        <v>270</v>
      </c>
      <c r="N1466" t="s">
        <v>153</v>
      </c>
      <c r="O1466">
        <v>123</v>
      </c>
      <c r="Q1466">
        <v>387</v>
      </c>
      <c r="R1466">
        <v>75</v>
      </c>
      <c r="S1466">
        <v>4.25</v>
      </c>
      <c r="T1466">
        <v>3.3849999999999998</v>
      </c>
      <c r="U1466">
        <v>6.22</v>
      </c>
      <c r="V1466">
        <v>1646.11</v>
      </c>
      <c r="W1466">
        <v>467</v>
      </c>
      <c r="X1466">
        <v>1.3332999999999999</v>
      </c>
      <c r="Y1466">
        <v>349</v>
      </c>
      <c r="Z1466">
        <v>4.71</v>
      </c>
      <c r="AJ1466">
        <v>2</v>
      </c>
      <c r="AK1466">
        <v>18</v>
      </c>
      <c r="AM1466">
        <v>0</v>
      </c>
      <c r="AO1466" t="s">
        <v>404</v>
      </c>
      <c r="AT1466">
        <v>48</v>
      </c>
      <c r="AV1466">
        <v>41.1</v>
      </c>
      <c r="AW1466">
        <v>0</v>
      </c>
      <c r="AX1466">
        <v>0</v>
      </c>
      <c r="AY1466">
        <v>40.75</v>
      </c>
      <c r="AZ1466">
        <v>4.125</v>
      </c>
      <c r="BA1466">
        <v>0</v>
      </c>
      <c r="BB1466">
        <v>0</v>
      </c>
      <c r="BC1466">
        <v>41</v>
      </c>
      <c r="BN1466">
        <v>196.16669999999999</v>
      </c>
      <c r="BO1466">
        <v>2697</v>
      </c>
      <c r="BP1466">
        <v>0</v>
      </c>
      <c r="BQ1466">
        <v>42</v>
      </c>
      <c r="BR1466">
        <v>42</v>
      </c>
      <c r="BS1466">
        <v>41.91</v>
      </c>
      <c r="BT1466">
        <v>0</v>
      </c>
      <c r="BV1466">
        <v>0</v>
      </c>
      <c r="BW1466" t="s">
        <v>655</v>
      </c>
      <c r="BX1466">
        <v>0.17</v>
      </c>
      <c r="BY1466">
        <v>7.1246999999999998</v>
      </c>
      <c r="BZ1466">
        <v>0</v>
      </c>
      <c r="CA1466">
        <v>1</v>
      </c>
      <c r="CB1466">
        <v>0.6</v>
      </c>
      <c r="CC1466" s="3">
        <v>7.1269159999999998E-2</v>
      </c>
      <c r="CD1466">
        <v>2.875</v>
      </c>
      <c r="CE1466">
        <v>2.5</v>
      </c>
      <c r="CF1466">
        <v>18</v>
      </c>
      <c r="CG1466">
        <v>6</v>
      </c>
      <c r="CH1466">
        <v>0</v>
      </c>
      <c r="CI1466">
        <v>41.91</v>
      </c>
      <c r="CJ1466">
        <v>339.01209999999998</v>
      </c>
    </row>
    <row r="1467" spans="1:88">
      <c r="A1467">
        <v>1466</v>
      </c>
      <c r="B1467" t="s">
        <v>0</v>
      </c>
      <c r="C1467" t="s">
        <v>1</v>
      </c>
      <c r="D1467" t="s">
        <v>227</v>
      </c>
      <c r="E1467" t="s">
        <v>369</v>
      </c>
      <c r="F1467" t="s">
        <v>463</v>
      </c>
      <c r="G1467" t="s">
        <v>106</v>
      </c>
      <c r="H1467" t="s">
        <v>127</v>
      </c>
      <c r="J1467">
        <v>2</v>
      </c>
      <c r="K1467" t="s">
        <v>146</v>
      </c>
      <c r="L1467" t="s">
        <v>259</v>
      </c>
      <c r="M1467" t="s">
        <v>480</v>
      </c>
      <c r="N1467" t="s">
        <v>307</v>
      </c>
      <c r="O1467">
        <v>121</v>
      </c>
      <c r="Q1467">
        <v>365</v>
      </c>
      <c r="R1467">
        <v>72</v>
      </c>
      <c r="S1467">
        <v>4.25</v>
      </c>
      <c r="T1467">
        <v>3.3340000000000001</v>
      </c>
      <c r="U1467">
        <v>6.22</v>
      </c>
      <c r="V1467">
        <v>1551.46</v>
      </c>
      <c r="W1467">
        <v>449</v>
      </c>
      <c r="X1467">
        <v>1.3332999999999999</v>
      </c>
      <c r="Y1467">
        <v>333</v>
      </c>
      <c r="Z1467">
        <v>4.66</v>
      </c>
      <c r="AJ1467">
        <v>2</v>
      </c>
      <c r="AK1467">
        <v>18</v>
      </c>
      <c r="AM1467">
        <v>0</v>
      </c>
      <c r="AO1467" t="s">
        <v>189</v>
      </c>
      <c r="AT1467">
        <v>47</v>
      </c>
      <c r="AV1467">
        <v>39.299999999999997</v>
      </c>
      <c r="AW1467">
        <v>0</v>
      </c>
      <c r="AX1467">
        <v>0</v>
      </c>
      <c r="AY1467">
        <v>42.75</v>
      </c>
      <c r="AZ1467">
        <v>4.125</v>
      </c>
      <c r="BA1467">
        <v>0</v>
      </c>
      <c r="BB1467">
        <v>0</v>
      </c>
      <c r="BC1467">
        <v>43</v>
      </c>
      <c r="BN1467">
        <v>187.25</v>
      </c>
      <c r="BO1467">
        <v>2960</v>
      </c>
      <c r="BP1467">
        <v>0</v>
      </c>
      <c r="BQ1467">
        <v>41</v>
      </c>
      <c r="BR1467">
        <v>41</v>
      </c>
      <c r="BS1467">
        <v>41.21</v>
      </c>
      <c r="BT1467">
        <v>0</v>
      </c>
      <c r="BV1467">
        <v>0</v>
      </c>
      <c r="BW1467" t="s">
        <v>655</v>
      </c>
      <c r="BX1467">
        <v>0.17</v>
      </c>
      <c r="BY1467">
        <v>7.0057</v>
      </c>
      <c r="BZ1467">
        <v>0</v>
      </c>
      <c r="CA1467">
        <v>1</v>
      </c>
      <c r="CB1467">
        <v>0.6</v>
      </c>
      <c r="CC1467" s="3">
        <v>7.1269159999999998E-2</v>
      </c>
      <c r="CD1467">
        <v>2.875</v>
      </c>
      <c r="CE1467">
        <v>2.5</v>
      </c>
      <c r="CF1467">
        <v>18</v>
      </c>
      <c r="CG1467">
        <v>6</v>
      </c>
      <c r="CH1467">
        <v>0</v>
      </c>
      <c r="CI1467">
        <v>41.21</v>
      </c>
      <c r="CJ1467">
        <v>318.66469999999998</v>
      </c>
    </row>
    <row r="1468" spans="1:88">
      <c r="A1468">
        <v>1467</v>
      </c>
      <c r="B1468" t="s">
        <v>13</v>
      </c>
      <c r="C1468" t="s">
        <v>1</v>
      </c>
      <c r="D1468" t="s">
        <v>5</v>
      </c>
      <c r="E1468" t="s">
        <v>96</v>
      </c>
      <c r="F1468" t="s">
        <v>159</v>
      </c>
      <c r="G1468" t="s">
        <v>106</v>
      </c>
      <c r="H1468" t="s">
        <v>139</v>
      </c>
      <c r="J1468">
        <v>2</v>
      </c>
      <c r="K1468" t="s">
        <v>146</v>
      </c>
      <c r="L1468" t="s">
        <v>293</v>
      </c>
      <c r="M1468" t="s">
        <v>100</v>
      </c>
      <c r="N1468" t="s">
        <v>101</v>
      </c>
      <c r="O1468">
        <v>131</v>
      </c>
      <c r="Q1468">
        <v>371</v>
      </c>
      <c r="R1468">
        <v>69</v>
      </c>
      <c r="S1468">
        <v>4.25</v>
      </c>
      <c r="T1468">
        <v>3.5859999999999999</v>
      </c>
      <c r="U1468">
        <v>6.37</v>
      </c>
      <c r="V1468">
        <v>1577.85</v>
      </c>
      <c r="W1468">
        <v>438</v>
      </c>
      <c r="X1468">
        <v>1.3332999999999999</v>
      </c>
      <c r="Y1468">
        <v>321</v>
      </c>
      <c r="Z1468">
        <v>4.91</v>
      </c>
      <c r="AJ1468">
        <v>2</v>
      </c>
      <c r="AK1468">
        <v>18</v>
      </c>
      <c r="AM1468">
        <v>0</v>
      </c>
      <c r="AO1468" t="s">
        <v>385</v>
      </c>
      <c r="AT1468">
        <v>51</v>
      </c>
      <c r="AV1468">
        <v>37.200000000000003</v>
      </c>
      <c r="AW1468">
        <v>0</v>
      </c>
      <c r="AX1468">
        <v>0</v>
      </c>
      <c r="AY1468">
        <v>44.25</v>
      </c>
      <c r="AZ1468">
        <v>4.25</v>
      </c>
      <c r="BA1468">
        <v>0</v>
      </c>
      <c r="BB1468">
        <v>0</v>
      </c>
      <c r="BC1468">
        <v>45</v>
      </c>
      <c r="BN1468">
        <v>176.55</v>
      </c>
      <c r="BO1468">
        <v>3329</v>
      </c>
      <c r="BP1468">
        <v>0</v>
      </c>
      <c r="BQ1468">
        <v>45</v>
      </c>
      <c r="BR1468">
        <v>45</v>
      </c>
      <c r="BS1468">
        <v>44.69</v>
      </c>
      <c r="BT1468">
        <v>0</v>
      </c>
      <c r="BV1468">
        <v>0</v>
      </c>
      <c r="BW1468" t="s">
        <v>655</v>
      </c>
      <c r="BX1468">
        <v>0.17</v>
      </c>
      <c r="BY1468">
        <v>7.5972999999999997</v>
      </c>
      <c r="BZ1468">
        <v>0</v>
      </c>
      <c r="CA1468">
        <v>1</v>
      </c>
      <c r="CB1468">
        <v>0.6</v>
      </c>
      <c r="CC1468" s="3">
        <v>7.1269159999999998E-2</v>
      </c>
      <c r="CD1468">
        <v>2.875</v>
      </c>
      <c r="CE1468">
        <v>2.5</v>
      </c>
      <c r="CF1468">
        <v>18</v>
      </c>
      <c r="CG1468">
        <v>6</v>
      </c>
      <c r="CH1468">
        <v>0</v>
      </c>
      <c r="CI1468">
        <v>44.69</v>
      </c>
      <c r="CJ1468">
        <v>326.46440000000001</v>
      </c>
    </row>
    <row r="1469" spans="1:88">
      <c r="A1469">
        <v>1468</v>
      </c>
      <c r="B1469" t="s">
        <v>0</v>
      </c>
      <c r="C1469" t="s">
        <v>1</v>
      </c>
      <c r="D1469" t="s">
        <v>8</v>
      </c>
      <c r="E1469" t="s">
        <v>103</v>
      </c>
      <c r="F1469" t="s">
        <v>246</v>
      </c>
      <c r="G1469" t="s">
        <v>15</v>
      </c>
      <c r="H1469" t="s">
        <v>247</v>
      </c>
      <c r="J1469">
        <v>2</v>
      </c>
      <c r="K1469" t="s">
        <v>108</v>
      </c>
      <c r="L1469" t="s">
        <v>455</v>
      </c>
      <c r="M1469" t="s">
        <v>315</v>
      </c>
      <c r="N1469" t="s">
        <v>316</v>
      </c>
      <c r="O1469">
        <v>167</v>
      </c>
      <c r="Q1469">
        <v>879</v>
      </c>
      <c r="R1469">
        <v>124</v>
      </c>
      <c r="S1469">
        <v>4.25</v>
      </c>
      <c r="T1469">
        <v>4.4459999999999997</v>
      </c>
      <c r="U1469">
        <v>6.86</v>
      </c>
      <c r="V1469">
        <v>3737.7</v>
      </c>
      <c r="W1469">
        <v>848</v>
      </c>
      <c r="X1469">
        <v>1.3332999999999999</v>
      </c>
      <c r="Y1469">
        <v>648</v>
      </c>
      <c r="Z1469">
        <v>5.77</v>
      </c>
      <c r="AJ1469">
        <v>2</v>
      </c>
      <c r="AK1469">
        <v>18</v>
      </c>
      <c r="AM1469">
        <v>0</v>
      </c>
      <c r="AO1469" t="s">
        <v>250</v>
      </c>
      <c r="AT1469">
        <v>63</v>
      </c>
      <c r="AV1469">
        <v>71.099999999999994</v>
      </c>
      <c r="AW1469" t="s">
        <v>6</v>
      </c>
      <c r="AX1469" t="s">
        <v>6</v>
      </c>
      <c r="AY1469" t="s">
        <v>6</v>
      </c>
      <c r="AZ1469" t="s">
        <v>6</v>
      </c>
      <c r="BA1469" t="s">
        <v>6</v>
      </c>
      <c r="BB1469" t="s">
        <v>6</v>
      </c>
      <c r="BC1469" t="s">
        <v>6</v>
      </c>
      <c r="BD1469" t="s">
        <v>6</v>
      </c>
      <c r="BE1469" t="s">
        <v>6</v>
      </c>
      <c r="BF1469" t="s">
        <v>6</v>
      </c>
      <c r="BG1469" t="s">
        <v>6</v>
      </c>
      <c r="BH1469" t="s">
        <v>6</v>
      </c>
      <c r="BI1469" t="s">
        <v>6</v>
      </c>
      <c r="BJ1469" t="s">
        <v>6</v>
      </c>
      <c r="BN1469">
        <v>606.1585</v>
      </c>
      <c r="BO1469">
        <v>2977</v>
      </c>
      <c r="BP1469">
        <v>0</v>
      </c>
      <c r="BQ1469">
        <v>57</v>
      </c>
      <c r="BR1469">
        <v>57</v>
      </c>
      <c r="BS1469">
        <v>57.21</v>
      </c>
      <c r="BT1469">
        <v>0</v>
      </c>
      <c r="BV1469">
        <v>0</v>
      </c>
      <c r="BW1469" t="s">
        <v>655</v>
      </c>
      <c r="BX1469">
        <v>0.17</v>
      </c>
      <c r="BY1469">
        <v>9.7257010000000008</v>
      </c>
      <c r="BZ1469">
        <v>0</v>
      </c>
      <c r="CA1469">
        <v>1</v>
      </c>
      <c r="CB1469">
        <v>0.6</v>
      </c>
      <c r="CC1469" s="3">
        <v>7.1269159999999998E-2</v>
      </c>
      <c r="CD1469">
        <v>2.875</v>
      </c>
      <c r="CE1469">
        <v>2.5</v>
      </c>
      <c r="CF1469">
        <v>18</v>
      </c>
      <c r="CG1469">
        <v>6</v>
      </c>
      <c r="CH1469">
        <v>0</v>
      </c>
      <c r="CI1469">
        <v>57.21</v>
      </c>
      <c r="CJ1469">
        <v>798.64279999999997</v>
      </c>
    </row>
    <row r="1470" spans="1:88">
      <c r="A1470">
        <v>1469</v>
      </c>
      <c r="B1470" t="s">
        <v>0</v>
      </c>
      <c r="C1470" t="s">
        <v>1</v>
      </c>
      <c r="D1470" t="s">
        <v>143</v>
      </c>
      <c r="E1470" t="s">
        <v>279</v>
      </c>
      <c r="F1470" t="s">
        <v>144</v>
      </c>
      <c r="G1470" t="s">
        <v>106</v>
      </c>
      <c r="H1470" t="s">
        <v>145</v>
      </c>
      <c r="J1470">
        <v>2</v>
      </c>
      <c r="K1470" t="s">
        <v>146</v>
      </c>
      <c r="L1470" t="s">
        <v>201</v>
      </c>
      <c r="M1470" t="s">
        <v>144</v>
      </c>
      <c r="N1470" t="s">
        <v>267</v>
      </c>
      <c r="O1470">
        <v>156</v>
      </c>
      <c r="Q1470">
        <v>624</v>
      </c>
      <c r="R1470">
        <v>95</v>
      </c>
      <c r="S1470">
        <v>4.25</v>
      </c>
      <c r="T1470">
        <v>4.1900000000000004</v>
      </c>
      <c r="U1470">
        <v>6.82</v>
      </c>
      <c r="V1470">
        <v>2651.4</v>
      </c>
      <c r="W1470">
        <v>645</v>
      </c>
      <c r="X1470">
        <v>1.3332999999999999</v>
      </c>
      <c r="Y1470">
        <v>480</v>
      </c>
      <c r="Z1470">
        <v>5.52</v>
      </c>
      <c r="AJ1470">
        <v>2</v>
      </c>
      <c r="AK1470">
        <v>18</v>
      </c>
      <c r="AM1470">
        <v>0</v>
      </c>
      <c r="AO1470" t="s">
        <v>149</v>
      </c>
      <c r="AT1470">
        <v>60</v>
      </c>
      <c r="AV1470">
        <v>53.5</v>
      </c>
      <c r="AW1470">
        <v>0.40625</v>
      </c>
      <c r="AX1470">
        <v>3.75</v>
      </c>
      <c r="AY1470">
        <v>40.5</v>
      </c>
      <c r="AZ1470">
        <v>4.5</v>
      </c>
      <c r="BA1470">
        <v>240.16</v>
      </c>
      <c r="BB1470">
        <v>5.51</v>
      </c>
      <c r="BC1470">
        <v>38</v>
      </c>
      <c r="BD1470">
        <v>0.40625</v>
      </c>
      <c r="BE1470">
        <v>3.75</v>
      </c>
      <c r="BF1470">
        <v>40.5</v>
      </c>
      <c r="BG1470">
        <v>4.5</v>
      </c>
      <c r="BH1470">
        <v>240.16</v>
      </c>
      <c r="BI1470">
        <v>5.51</v>
      </c>
      <c r="BJ1470">
        <v>38</v>
      </c>
      <c r="BL1470">
        <v>480.32</v>
      </c>
      <c r="BM1470">
        <v>76</v>
      </c>
      <c r="BN1470">
        <v>256.80009999999999</v>
      </c>
      <c r="BO1470">
        <v>1574</v>
      </c>
      <c r="BP1470">
        <v>0</v>
      </c>
      <c r="BQ1470">
        <v>53</v>
      </c>
      <c r="BR1470">
        <v>53</v>
      </c>
      <c r="BS1470">
        <v>53.39</v>
      </c>
      <c r="BT1470">
        <v>0</v>
      </c>
      <c r="BV1470">
        <v>0</v>
      </c>
      <c r="BW1470" t="s">
        <v>655</v>
      </c>
      <c r="BX1470">
        <v>0.17</v>
      </c>
      <c r="BY1470">
        <v>9.0762990000000006</v>
      </c>
      <c r="BZ1470">
        <v>0</v>
      </c>
      <c r="CA1470">
        <v>1</v>
      </c>
      <c r="CB1470">
        <v>0.6</v>
      </c>
      <c r="CC1470" s="3">
        <v>7.1269159999999998E-2</v>
      </c>
      <c r="CD1470">
        <v>2.875</v>
      </c>
      <c r="CE1470">
        <v>2.5</v>
      </c>
      <c r="CF1470">
        <v>18</v>
      </c>
      <c r="CG1470">
        <v>6</v>
      </c>
      <c r="CH1470">
        <v>0</v>
      </c>
      <c r="CI1470">
        <v>53.39</v>
      </c>
      <c r="CJ1470">
        <v>561.24630000000002</v>
      </c>
    </row>
    <row r="1471" spans="1:88">
      <c r="A1471">
        <v>1470</v>
      </c>
      <c r="B1471" t="s">
        <v>13</v>
      </c>
      <c r="C1471" t="s">
        <v>1</v>
      </c>
      <c r="D1471" t="s">
        <v>120</v>
      </c>
      <c r="E1471" t="s">
        <v>195</v>
      </c>
      <c r="F1471" t="s">
        <v>112</v>
      </c>
      <c r="G1471" t="s">
        <v>106</v>
      </c>
      <c r="H1471" t="s">
        <v>590</v>
      </c>
      <c r="J1471">
        <v>2</v>
      </c>
      <c r="K1471" t="s">
        <v>108</v>
      </c>
      <c r="L1471" t="s">
        <v>476</v>
      </c>
      <c r="M1471" t="s">
        <v>256</v>
      </c>
      <c r="N1471" t="s">
        <v>99</v>
      </c>
      <c r="O1471">
        <v>146</v>
      </c>
      <c r="Q1471">
        <v>627</v>
      </c>
      <c r="R1471">
        <v>101</v>
      </c>
      <c r="S1471">
        <v>4.25</v>
      </c>
      <c r="T1471">
        <v>3.952</v>
      </c>
      <c r="U1471">
        <v>6.63</v>
      </c>
      <c r="V1471">
        <v>2666.23</v>
      </c>
      <c r="W1471">
        <v>667</v>
      </c>
      <c r="X1471">
        <v>1.3332999999999999</v>
      </c>
      <c r="Y1471">
        <v>505</v>
      </c>
      <c r="Z1471">
        <v>5.28</v>
      </c>
      <c r="AJ1471">
        <v>2</v>
      </c>
      <c r="AK1471">
        <v>18</v>
      </c>
      <c r="AM1471">
        <v>0</v>
      </c>
      <c r="AO1471" t="s">
        <v>517</v>
      </c>
      <c r="AT1471">
        <v>56</v>
      </c>
      <c r="AV1471">
        <v>57.3</v>
      </c>
      <c r="AW1471">
        <v>0.40625</v>
      </c>
      <c r="AX1471">
        <v>3.75</v>
      </c>
      <c r="AY1471">
        <v>38.5</v>
      </c>
      <c r="AZ1471">
        <v>4.25</v>
      </c>
      <c r="BA1471">
        <v>252.48</v>
      </c>
      <c r="BB1471">
        <v>5.24</v>
      </c>
      <c r="BC1471">
        <v>37</v>
      </c>
      <c r="BD1471">
        <v>0.40625</v>
      </c>
      <c r="BE1471">
        <v>3.75</v>
      </c>
      <c r="BF1471">
        <v>38.5</v>
      </c>
      <c r="BG1471">
        <v>4.25</v>
      </c>
      <c r="BH1471">
        <v>252.48</v>
      </c>
      <c r="BI1471">
        <v>5.24</v>
      </c>
      <c r="BJ1471">
        <v>37</v>
      </c>
      <c r="BL1471">
        <v>504.96</v>
      </c>
      <c r="BM1471">
        <v>73</v>
      </c>
      <c r="BN1471">
        <v>274.63339999999999</v>
      </c>
      <c r="BO1471">
        <v>1376</v>
      </c>
      <c r="BP1471">
        <v>0</v>
      </c>
      <c r="BQ1471">
        <v>50</v>
      </c>
      <c r="BR1471">
        <v>50</v>
      </c>
      <c r="BS1471">
        <v>49.91</v>
      </c>
      <c r="BT1471">
        <v>0</v>
      </c>
      <c r="BV1471">
        <v>0</v>
      </c>
      <c r="BW1471" t="s">
        <v>655</v>
      </c>
      <c r="BX1471">
        <v>0.17</v>
      </c>
      <c r="BY1471">
        <v>8.4847000000000001</v>
      </c>
      <c r="BZ1471">
        <v>0</v>
      </c>
      <c r="CA1471">
        <v>1</v>
      </c>
      <c r="CB1471">
        <v>0.6</v>
      </c>
      <c r="CC1471" s="3">
        <v>7.1269159999999998E-2</v>
      </c>
      <c r="CD1471">
        <v>2.875</v>
      </c>
      <c r="CE1471">
        <v>2.5</v>
      </c>
      <c r="CF1471">
        <v>18</v>
      </c>
      <c r="CG1471">
        <v>6</v>
      </c>
      <c r="CH1471">
        <v>0</v>
      </c>
      <c r="CI1471">
        <v>49.91</v>
      </c>
      <c r="CJ1471">
        <v>561.56830000000002</v>
      </c>
    </row>
    <row r="1472" spans="1:88">
      <c r="A1472">
        <v>1471</v>
      </c>
      <c r="B1472" t="s">
        <v>13</v>
      </c>
      <c r="C1472" t="s">
        <v>1</v>
      </c>
      <c r="D1472" t="s">
        <v>293</v>
      </c>
      <c r="E1472" t="s">
        <v>181</v>
      </c>
      <c r="F1472" t="s">
        <v>294</v>
      </c>
      <c r="G1472" t="s">
        <v>106</v>
      </c>
      <c r="H1472" t="s">
        <v>295</v>
      </c>
      <c r="J1472">
        <v>2</v>
      </c>
      <c r="K1472" t="s">
        <v>146</v>
      </c>
      <c r="L1472" t="s">
        <v>202</v>
      </c>
      <c r="M1472" t="s">
        <v>313</v>
      </c>
      <c r="N1472" t="s">
        <v>314</v>
      </c>
      <c r="O1472">
        <v>161</v>
      </c>
      <c r="Q1472">
        <v>625</v>
      </c>
      <c r="R1472">
        <v>92</v>
      </c>
      <c r="S1472">
        <v>4.25</v>
      </c>
      <c r="T1472">
        <v>4.3070000000000004</v>
      </c>
      <c r="U1472">
        <v>6.75</v>
      </c>
      <c r="V1472">
        <v>2657.39</v>
      </c>
      <c r="W1472">
        <v>623</v>
      </c>
      <c r="X1472">
        <v>1.3332999999999999</v>
      </c>
      <c r="Y1472">
        <v>471</v>
      </c>
      <c r="Z1472">
        <v>5.64</v>
      </c>
      <c r="AJ1472">
        <v>2</v>
      </c>
      <c r="AK1472">
        <v>18</v>
      </c>
      <c r="AM1472">
        <v>0</v>
      </c>
      <c r="AO1472" t="s">
        <v>296</v>
      </c>
      <c r="AT1472">
        <v>61</v>
      </c>
      <c r="AV1472">
        <v>52</v>
      </c>
      <c r="AW1472">
        <v>0.40625</v>
      </c>
      <c r="AX1472">
        <v>3.75</v>
      </c>
      <c r="AY1472">
        <v>41.25</v>
      </c>
      <c r="AZ1472">
        <v>4.625</v>
      </c>
      <c r="BA1472">
        <v>235.58</v>
      </c>
      <c r="BB1472">
        <v>5.62</v>
      </c>
      <c r="BC1472">
        <v>39</v>
      </c>
      <c r="BD1472">
        <v>0.40625</v>
      </c>
      <c r="BE1472">
        <v>3.75</v>
      </c>
      <c r="BF1472">
        <v>41.25</v>
      </c>
      <c r="BG1472">
        <v>4.625</v>
      </c>
      <c r="BH1472">
        <v>235.58</v>
      </c>
      <c r="BI1472">
        <v>5.62</v>
      </c>
      <c r="BJ1472">
        <v>39</v>
      </c>
      <c r="BL1472">
        <v>471.16</v>
      </c>
      <c r="BM1472">
        <v>78</v>
      </c>
      <c r="BN1472">
        <v>249.66669999999999</v>
      </c>
      <c r="BO1472">
        <v>1665</v>
      </c>
      <c r="BP1472">
        <v>0</v>
      </c>
      <c r="BQ1472">
        <v>55</v>
      </c>
      <c r="BR1472">
        <v>55</v>
      </c>
      <c r="BS1472">
        <v>55.13</v>
      </c>
      <c r="BT1472">
        <v>0</v>
      </c>
      <c r="BV1472">
        <v>0</v>
      </c>
      <c r="BW1472" t="s">
        <v>655</v>
      </c>
      <c r="BX1472">
        <v>0.17</v>
      </c>
      <c r="BY1472">
        <v>9.3720999999999997</v>
      </c>
      <c r="BZ1472">
        <v>0</v>
      </c>
      <c r="CA1472">
        <v>1</v>
      </c>
      <c r="CB1472">
        <v>0.6</v>
      </c>
      <c r="CC1472" s="3">
        <v>7.1269159999999998E-2</v>
      </c>
      <c r="CD1472">
        <v>2.875</v>
      </c>
      <c r="CE1472">
        <v>2.5</v>
      </c>
      <c r="CF1472">
        <v>18</v>
      </c>
      <c r="CG1472">
        <v>6</v>
      </c>
      <c r="CH1472">
        <v>0</v>
      </c>
      <c r="CI1472">
        <v>55.13</v>
      </c>
      <c r="CJ1472">
        <v>563.82140000000004</v>
      </c>
    </row>
    <row r="1473" spans="1:88">
      <c r="A1473">
        <v>1472</v>
      </c>
      <c r="B1473" t="s">
        <v>0</v>
      </c>
      <c r="C1473" t="s">
        <v>1</v>
      </c>
      <c r="D1473" t="s">
        <v>130</v>
      </c>
      <c r="E1473" t="s">
        <v>3</v>
      </c>
      <c r="F1473" t="s">
        <v>189</v>
      </c>
      <c r="G1473" t="s">
        <v>106</v>
      </c>
      <c r="H1473" t="s">
        <v>176</v>
      </c>
      <c r="J1473">
        <v>2</v>
      </c>
      <c r="K1473" t="s">
        <v>146</v>
      </c>
      <c r="L1473" t="s">
        <v>363</v>
      </c>
      <c r="M1473" t="s">
        <v>383</v>
      </c>
      <c r="N1473" t="s">
        <v>119</v>
      </c>
      <c r="O1473">
        <v>125</v>
      </c>
      <c r="Q1473">
        <v>369</v>
      </c>
      <c r="R1473">
        <v>71</v>
      </c>
      <c r="S1473">
        <v>4.25</v>
      </c>
      <c r="T1473">
        <v>3.4350000000000001</v>
      </c>
      <c r="U1473">
        <v>6.26</v>
      </c>
      <c r="V1473">
        <v>1569.22</v>
      </c>
      <c r="W1473">
        <v>445</v>
      </c>
      <c r="X1473">
        <v>1.3332999999999999</v>
      </c>
      <c r="Y1473">
        <v>330</v>
      </c>
      <c r="Z1473">
        <v>4.76</v>
      </c>
      <c r="AJ1473">
        <v>2</v>
      </c>
      <c r="AK1473">
        <v>18</v>
      </c>
      <c r="AM1473">
        <v>0</v>
      </c>
      <c r="AO1473" t="s">
        <v>226</v>
      </c>
      <c r="AT1473">
        <v>49</v>
      </c>
      <c r="AV1473">
        <v>38.6</v>
      </c>
      <c r="AW1473">
        <v>0</v>
      </c>
      <c r="AX1473">
        <v>0</v>
      </c>
      <c r="AY1473">
        <v>43.125</v>
      </c>
      <c r="AZ1473">
        <v>4.125</v>
      </c>
      <c r="BA1473">
        <v>0</v>
      </c>
      <c r="BB1473">
        <v>0</v>
      </c>
      <c r="BC1473">
        <v>44</v>
      </c>
      <c r="BN1473">
        <v>183.68340000000001</v>
      </c>
      <c r="BO1473">
        <v>3076</v>
      </c>
      <c r="BP1473">
        <v>0</v>
      </c>
      <c r="BQ1473">
        <v>43</v>
      </c>
      <c r="BR1473">
        <v>43</v>
      </c>
      <c r="BS1473">
        <v>42.6</v>
      </c>
      <c r="BT1473">
        <v>0</v>
      </c>
      <c r="BV1473">
        <v>0</v>
      </c>
      <c r="BW1473" t="s">
        <v>655</v>
      </c>
      <c r="BX1473">
        <v>0.17</v>
      </c>
      <c r="BY1473">
        <v>7.242</v>
      </c>
      <c r="BZ1473">
        <v>0</v>
      </c>
      <c r="CA1473">
        <v>1</v>
      </c>
      <c r="CB1473">
        <v>0.6</v>
      </c>
      <c r="CC1473" s="3">
        <v>7.1269159999999998E-2</v>
      </c>
      <c r="CD1473">
        <v>2.875</v>
      </c>
      <c r="CE1473">
        <v>2.5</v>
      </c>
      <c r="CF1473">
        <v>18</v>
      </c>
      <c r="CG1473">
        <v>6</v>
      </c>
      <c r="CH1473">
        <v>0</v>
      </c>
      <c r="CI1473">
        <v>42.6</v>
      </c>
      <c r="CJ1473">
        <v>323.34100000000001</v>
      </c>
    </row>
    <row r="1474" spans="1:88">
      <c r="A1474">
        <v>1473</v>
      </c>
      <c r="B1474" t="s">
        <v>0</v>
      </c>
      <c r="C1474" t="s">
        <v>1</v>
      </c>
      <c r="D1474" t="s">
        <v>512</v>
      </c>
      <c r="E1474" t="s">
        <v>169</v>
      </c>
      <c r="F1474" t="s">
        <v>513</v>
      </c>
      <c r="G1474" t="s">
        <v>106</v>
      </c>
      <c r="H1474" t="s">
        <v>135</v>
      </c>
      <c r="J1474">
        <v>2</v>
      </c>
      <c r="K1474" t="s">
        <v>146</v>
      </c>
      <c r="L1474" t="s">
        <v>381</v>
      </c>
      <c r="M1474" t="s">
        <v>173</v>
      </c>
      <c r="N1474" t="s">
        <v>174</v>
      </c>
      <c r="O1474">
        <v>119</v>
      </c>
      <c r="Q1474">
        <v>217</v>
      </c>
      <c r="R1474">
        <v>42</v>
      </c>
      <c r="S1474">
        <v>4.25</v>
      </c>
      <c r="T1474">
        <v>3.2829999999999999</v>
      </c>
      <c r="U1474">
        <v>6.15</v>
      </c>
      <c r="V1474">
        <v>920.38</v>
      </c>
      <c r="W1474">
        <v>258</v>
      </c>
      <c r="X1474">
        <v>1.3332999999999999</v>
      </c>
      <c r="Y1474">
        <v>200</v>
      </c>
      <c r="Z1474">
        <v>4.6100000000000003</v>
      </c>
      <c r="AJ1474">
        <v>2</v>
      </c>
      <c r="AK1474">
        <v>18</v>
      </c>
      <c r="AM1474">
        <v>0</v>
      </c>
      <c r="AO1474" t="s">
        <v>361</v>
      </c>
      <c r="AT1474">
        <v>47</v>
      </c>
      <c r="AV1474">
        <v>23.4</v>
      </c>
      <c r="AW1474">
        <v>0</v>
      </c>
      <c r="AX1474">
        <v>0</v>
      </c>
      <c r="AY1474">
        <v>32.375</v>
      </c>
      <c r="AZ1474">
        <v>3.5</v>
      </c>
      <c r="BA1474">
        <v>0</v>
      </c>
      <c r="BB1474">
        <v>0</v>
      </c>
      <c r="BC1474">
        <v>29</v>
      </c>
      <c r="BN1474">
        <v>108.7834</v>
      </c>
      <c r="BO1474">
        <v>8769</v>
      </c>
      <c r="BP1474">
        <v>0</v>
      </c>
      <c r="BQ1474">
        <v>41</v>
      </c>
      <c r="BR1474">
        <v>41</v>
      </c>
      <c r="BS1474">
        <v>40.520000000000003</v>
      </c>
      <c r="BT1474">
        <v>0</v>
      </c>
      <c r="BV1474">
        <v>0</v>
      </c>
      <c r="BW1474" t="s">
        <v>655</v>
      </c>
      <c r="BX1474">
        <v>0.17</v>
      </c>
      <c r="BY1474">
        <v>6.8883999999999999</v>
      </c>
      <c r="BZ1474">
        <v>0</v>
      </c>
      <c r="CA1474">
        <v>1</v>
      </c>
      <c r="CB1474">
        <v>0.6</v>
      </c>
      <c r="CC1474" s="3">
        <v>7.1269159999999998E-2</v>
      </c>
      <c r="CD1474">
        <v>2.875</v>
      </c>
      <c r="CE1474">
        <v>2.5</v>
      </c>
      <c r="CF1474">
        <v>18</v>
      </c>
      <c r="CG1474">
        <v>6</v>
      </c>
      <c r="CH1474">
        <v>0</v>
      </c>
      <c r="CI1474">
        <v>40.520000000000003</v>
      </c>
      <c r="CJ1474">
        <v>186.26480000000001</v>
      </c>
    </row>
    <row r="1475" spans="1:88">
      <c r="A1475">
        <v>1474</v>
      </c>
      <c r="B1475" t="s">
        <v>0</v>
      </c>
      <c r="C1475" t="s">
        <v>1</v>
      </c>
      <c r="D1475" t="s">
        <v>634</v>
      </c>
      <c r="E1475" t="s">
        <v>190</v>
      </c>
      <c r="F1475" t="s">
        <v>595</v>
      </c>
      <c r="G1475" t="s">
        <v>15</v>
      </c>
      <c r="H1475" t="s">
        <v>634</v>
      </c>
      <c r="J1475">
        <v>2</v>
      </c>
      <c r="K1475" t="s">
        <v>9</v>
      </c>
      <c r="L1475" t="s">
        <v>340</v>
      </c>
      <c r="M1475" t="s">
        <v>406</v>
      </c>
      <c r="N1475" t="s">
        <v>369</v>
      </c>
      <c r="O1475">
        <v>118</v>
      </c>
      <c r="Q1475">
        <v>795</v>
      </c>
      <c r="R1475">
        <v>153</v>
      </c>
      <c r="S1475">
        <v>4.25</v>
      </c>
      <c r="T1475">
        <v>3.2570000000000001</v>
      </c>
      <c r="U1475">
        <v>6.15</v>
      </c>
      <c r="V1475">
        <v>3377.47</v>
      </c>
      <c r="W1475">
        <v>943</v>
      </c>
      <c r="X1475">
        <v>1.3332999999999999</v>
      </c>
      <c r="Y1475">
        <v>736</v>
      </c>
      <c r="Z1475">
        <v>4.59</v>
      </c>
      <c r="AJ1475">
        <v>2</v>
      </c>
      <c r="AK1475">
        <v>18</v>
      </c>
      <c r="AM1475">
        <v>0</v>
      </c>
      <c r="AO1475" t="s">
        <v>651</v>
      </c>
      <c r="AT1475">
        <v>46</v>
      </c>
      <c r="AV1475">
        <v>88.1</v>
      </c>
      <c r="AW1475" t="s">
        <v>6</v>
      </c>
      <c r="AX1475" t="s">
        <v>6</v>
      </c>
      <c r="AY1475" t="s">
        <v>6</v>
      </c>
      <c r="AZ1475" t="s">
        <v>6</v>
      </c>
      <c r="BA1475" t="s">
        <v>6</v>
      </c>
      <c r="BB1475" t="s">
        <v>6</v>
      </c>
      <c r="BC1475" t="s">
        <v>6</v>
      </c>
      <c r="BD1475" t="s">
        <v>6</v>
      </c>
      <c r="BE1475" t="s">
        <v>6</v>
      </c>
      <c r="BF1475" t="s">
        <v>6</v>
      </c>
      <c r="BG1475" t="s">
        <v>6</v>
      </c>
      <c r="BH1475" t="s">
        <v>6</v>
      </c>
      <c r="BI1475" t="s">
        <v>6</v>
      </c>
      <c r="BJ1475" t="s">
        <v>6</v>
      </c>
      <c r="BN1475">
        <v>754.54100000000005</v>
      </c>
      <c r="BO1475">
        <v>1921</v>
      </c>
      <c r="BP1475">
        <v>0</v>
      </c>
      <c r="BQ1475">
        <v>40</v>
      </c>
      <c r="BR1475">
        <v>40</v>
      </c>
      <c r="BS1475">
        <v>40.17</v>
      </c>
      <c r="BT1475">
        <v>0</v>
      </c>
      <c r="BV1475">
        <v>6</v>
      </c>
      <c r="BW1475" t="s">
        <v>655</v>
      </c>
      <c r="BX1475">
        <v>0.27933340000000001</v>
      </c>
      <c r="BY1475">
        <v>11.22082</v>
      </c>
      <c r="BZ1475">
        <v>0</v>
      </c>
      <c r="CA1475">
        <v>1</v>
      </c>
      <c r="CB1475">
        <v>0.6</v>
      </c>
      <c r="CC1475" s="3">
        <v>7.1269159999999998E-2</v>
      </c>
      <c r="CD1475">
        <v>2.875</v>
      </c>
      <c r="CE1475">
        <v>2.5</v>
      </c>
      <c r="CF1475">
        <v>18</v>
      </c>
      <c r="CG1475">
        <v>6</v>
      </c>
      <c r="CH1475">
        <v>0</v>
      </c>
      <c r="CI1475">
        <v>40.17</v>
      </c>
      <c r="CJ1475">
        <v>695.32240000000002</v>
      </c>
    </row>
    <row r="1476" spans="1:88">
      <c r="A1476">
        <v>1475</v>
      </c>
      <c r="B1476" t="s">
        <v>0</v>
      </c>
      <c r="C1476" t="s">
        <v>1</v>
      </c>
      <c r="D1476" t="s">
        <v>454</v>
      </c>
      <c r="E1476" t="s">
        <v>199</v>
      </c>
      <c r="F1476" t="s">
        <v>417</v>
      </c>
      <c r="G1476" t="s">
        <v>15</v>
      </c>
      <c r="H1476" t="s">
        <v>497</v>
      </c>
      <c r="J1476">
        <v>2</v>
      </c>
      <c r="K1476" t="s">
        <v>108</v>
      </c>
      <c r="L1476" t="s">
        <v>264</v>
      </c>
      <c r="M1476" t="s">
        <v>265</v>
      </c>
      <c r="N1476" t="s">
        <v>161</v>
      </c>
      <c r="O1476">
        <v>193</v>
      </c>
      <c r="Q1476">
        <v>982</v>
      </c>
      <c r="R1476">
        <v>120</v>
      </c>
      <c r="S1476">
        <v>4.25</v>
      </c>
      <c r="T1476">
        <v>5.0289999999999999</v>
      </c>
      <c r="U1476">
        <v>7.31</v>
      </c>
      <c r="V1476">
        <v>4173.1099999999997</v>
      </c>
      <c r="W1476">
        <v>880</v>
      </c>
      <c r="X1476">
        <v>1.3332999999999999</v>
      </c>
      <c r="Y1476">
        <v>656</v>
      </c>
      <c r="Z1476">
        <v>6.36</v>
      </c>
      <c r="AJ1476">
        <v>2</v>
      </c>
      <c r="AK1476">
        <v>18</v>
      </c>
      <c r="AM1476">
        <v>0</v>
      </c>
      <c r="AO1476" t="s">
        <v>163</v>
      </c>
      <c r="AT1476">
        <v>72</v>
      </c>
      <c r="AV1476">
        <v>69.2</v>
      </c>
      <c r="AW1476" t="s">
        <v>6</v>
      </c>
      <c r="AX1476" t="s">
        <v>6</v>
      </c>
      <c r="AY1476" t="s">
        <v>6</v>
      </c>
      <c r="AZ1476" t="s">
        <v>6</v>
      </c>
      <c r="BA1476" t="s">
        <v>6</v>
      </c>
      <c r="BB1476" t="s">
        <v>6</v>
      </c>
      <c r="BC1476" t="s">
        <v>6</v>
      </c>
      <c r="BD1476" t="s">
        <v>6</v>
      </c>
      <c r="BE1476" t="s">
        <v>6</v>
      </c>
      <c r="BF1476" t="s">
        <v>6</v>
      </c>
      <c r="BG1476" t="s">
        <v>6</v>
      </c>
      <c r="BH1476" t="s">
        <v>6</v>
      </c>
      <c r="BI1476" t="s">
        <v>6</v>
      </c>
      <c r="BJ1476" t="s">
        <v>6</v>
      </c>
      <c r="BN1476">
        <v>590.37310000000002</v>
      </c>
      <c r="BO1476">
        <v>3138</v>
      </c>
      <c r="BP1476">
        <v>0</v>
      </c>
      <c r="BQ1476">
        <v>66</v>
      </c>
      <c r="BR1476">
        <v>66</v>
      </c>
      <c r="BS1476">
        <v>66.260000000000005</v>
      </c>
      <c r="BT1476">
        <v>0</v>
      </c>
      <c r="BV1476">
        <v>0</v>
      </c>
      <c r="BW1476" t="s">
        <v>655</v>
      </c>
      <c r="BX1476">
        <v>0.17</v>
      </c>
      <c r="BY1476">
        <v>11.264200000000001</v>
      </c>
      <c r="BZ1476">
        <v>0</v>
      </c>
      <c r="CA1476">
        <v>1</v>
      </c>
      <c r="CB1476">
        <v>0.6</v>
      </c>
      <c r="CC1476" s="3">
        <v>7.1269159999999998E-2</v>
      </c>
      <c r="CD1476">
        <v>2.875</v>
      </c>
      <c r="CE1476">
        <v>2.5</v>
      </c>
      <c r="CF1476">
        <v>18</v>
      </c>
      <c r="CG1476">
        <v>6</v>
      </c>
      <c r="CH1476">
        <v>0</v>
      </c>
      <c r="CI1476">
        <v>66.260000000000005</v>
      </c>
      <c r="CJ1476">
        <v>901.36789999999996</v>
      </c>
    </row>
    <row r="1477" spans="1:88">
      <c r="A1477">
        <v>1476</v>
      </c>
      <c r="B1477" t="s">
        <v>0</v>
      </c>
      <c r="C1477" t="s">
        <v>1</v>
      </c>
      <c r="D1477" t="s">
        <v>267</v>
      </c>
      <c r="E1477" t="s">
        <v>197</v>
      </c>
      <c r="F1477" t="s">
        <v>269</v>
      </c>
      <c r="G1477" t="s">
        <v>106</v>
      </c>
      <c r="H1477" t="s">
        <v>131</v>
      </c>
      <c r="J1477">
        <v>2</v>
      </c>
      <c r="K1477" t="s">
        <v>146</v>
      </c>
      <c r="L1477" t="s">
        <v>199</v>
      </c>
      <c r="M1477" t="s">
        <v>200</v>
      </c>
      <c r="N1477" t="s">
        <v>201</v>
      </c>
      <c r="O1477">
        <v>173</v>
      </c>
      <c r="Q1477">
        <v>705</v>
      </c>
      <c r="R1477">
        <v>97</v>
      </c>
      <c r="S1477">
        <v>4.25</v>
      </c>
      <c r="T1477">
        <v>4.5830000000000002</v>
      </c>
      <c r="U1477">
        <v>6.97</v>
      </c>
      <c r="V1477">
        <v>2997.69</v>
      </c>
      <c r="W1477">
        <v>675</v>
      </c>
      <c r="X1477">
        <v>1.3332999999999999</v>
      </c>
      <c r="Y1477">
        <v>507</v>
      </c>
      <c r="Z1477">
        <v>5.91</v>
      </c>
      <c r="AJ1477">
        <v>2</v>
      </c>
      <c r="AK1477">
        <v>18</v>
      </c>
      <c r="AM1477">
        <v>0</v>
      </c>
      <c r="AO1477" t="s">
        <v>271</v>
      </c>
      <c r="AT1477">
        <v>65</v>
      </c>
      <c r="AV1477">
        <v>54.9</v>
      </c>
      <c r="AW1477">
        <v>0.4375</v>
      </c>
      <c r="AX1477">
        <v>3.75</v>
      </c>
      <c r="AY1477">
        <v>51</v>
      </c>
      <c r="AZ1477">
        <v>5.125</v>
      </c>
      <c r="BA1477">
        <v>278.97000000000003</v>
      </c>
      <c r="BB1477">
        <v>5.89</v>
      </c>
      <c r="BC1477">
        <v>52</v>
      </c>
      <c r="BD1477">
        <v>0.4375</v>
      </c>
      <c r="BE1477">
        <v>3.75</v>
      </c>
      <c r="BF1477">
        <v>62.375</v>
      </c>
      <c r="BG1477">
        <v>5.125</v>
      </c>
      <c r="BH1477">
        <v>228.25</v>
      </c>
      <c r="BI1477">
        <v>7.2</v>
      </c>
      <c r="BJ1477">
        <v>63</v>
      </c>
      <c r="BL1477">
        <v>507.22</v>
      </c>
      <c r="BM1477">
        <v>114</v>
      </c>
      <c r="BN1477">
        <v>263.93340000000001</v>
      </c>
      <c r="BO1477">
        <v>1490</v>
      </c>
      <c r="BP1477">
        <v>0</v>
      </c>
      <c r="BQ1477">
        <v>59</v>
      </c>
      <c r="BR1477">
        <v>59</v>
      </c>
      <c r="BS1477">
        <v>59.3</v>
      </c>
      <c r="BT1477">
        <v>0</v>
      </c>
      <c r="BV1477">
        <v>0</v>
      </c>
      <c r="BW1477" t="s">
        <v>655</v>
      </c>
      <c r="BX1477">
        <v>0.17</v>
      </c>
      <c r="BY1477">
        <v>10.081</v>
      </c>
      <c r="BZ1477">
        <v>0</v>
      </c>
      <c r="CA1477">
        <v>1</v>
      </c>
      <c r="CB1477">
        <v>0.6</v>
      </c>
      <c r="CC1477" s="3">
        <v>7.1269159999999998E-2</v>
      </c>
      <c r="CD1477">
        <v>2.875</v>
      </c>
      <c r="CE1477">
        <v>2.5</v>
      </c>
      <c r="CF1477">
        <v>18</v>
      </c>
      <c r="CG1477">
        <v>6</v>
      </c>
      <c r="CH1477">
        <v>0</v>
      </c>
      <c r="CI1477">
        <v>59.3</v>
      </c>
      <c r="CJ1477">
        <v>640.27859999999998</v>
      </c>
    </row>
    <row r="1478" spans="1:88">
      <c r="A1478">
        <v>1477</v>
      </c>
      <c r="B1478" t="s">
        <v>13</v>
      </c>
      <c r="C1478" t="s">
        <v>1</v>
      </c>
      <c r="D1478" t="s">
        <v>169</v>
      </c>
      <c r="E1478" t="s">
        <v>3</v>
      </c>
      <c r="F1478" t="s">
        <v>404</v>
      </c>
      <c r="G1478" t="s">
        <v>106</v>
      </c>
      <c r="H1478" t="s">
        <v>190</v>
      </c>
      <c r="J1478">
        <v>2</v>
      </c>
      <c r="K1478" t="s">
        <v>146</v>
      </c>
      <c r="L1478" t="s">
        <v>363</v>
      </c>
      <c r="M1478" t="s">
        <v>383</v>
      </c>
      <c r="N1478" t="s">
        <v>119</v>
      </c>
      <c r="O1478">
        <v>125</v>
      </c>
      <c r="Q1478">
        <v>386</v>
      </c>
      <c r="R1478">
        <v>74</v>
      </c>
      <c r="S1478">
        <v>4.25</v>
      </c>
      <c r="T1478">
        <v>3.4350000000000001</v>
      </c>
      <c r="U1478">
        <v>6.26</v>
      </c>
      <c r="V1478">
        <v>1641.47</v>
      </c>
      <c r="W1478">
        <v>463</v>
      </c>
      <c r="X1478">
        <v>1.3332999999999999</v>
      </c>
      <c r="Y1478">
        <v>345</v>
      </c>
      <c r="Z1478">
        <v>4.76</v>
      </c>
      <c r="AJ1478">
        <v>2</v>
      </c>
      <c r="AK1478">
        <v>18</v>
      </c>
      <c r="AM1478">
        <v>0</v>
      </c>
      <c r="AO1478" t="s">
        <v>406</v>
      </c>
      <c r="AT1478">
        <v>49</v>
      </c>
      <c r="AV1478">
        <v>40.4</v>
      </c>
      <c r="AW1478">
        <v>0</v>
      </c>
      <c r="AX1478">
        <v>0</v>
      </c>
      <c r="AY1478">
        <v>41.25</v>
      </c>
      <c r="AZ1478">
        <v>4.125</v>
      </c>
      <c r="BA1478">
        <v>0</v>
      </c>
      <c r="BB1478">
        <v>0</v>
      </c>
      <c r="BC1478">
        <v>42</v>
      </c>
      <c r="BN1478">
        <v>192.6</v>
      </c>
      <c r="BO1478">
        <v>2797</v>
      </c>
      <c r="BP1478">
        <v>0</v>
      </c>
      <c r="BQ1478">
        <v>43</v>
      </c>
      <c r="BR1478">
        <v>43</v>
      </c>
      <c r="BS1478">
        <v>42.6</v>
      </c>
      <c r="BT1478">
        <v>0</v>
      </c>
      <c r="BV1478">
        <v>0</v>
      </c>
      <c r="BW1478" t="s">
        <v>655</v>
      </c>
      <c r="BX1478">
        <v>0.17</v>
      </c>
      <c r="BY1478">
        <v>7.242</v>
      </c>
      <c r="BZ1478">
        <v>0</v>
      </c>
      <c r="CA1478">
        <v>1</v>
      </c>
      <c r="CB1478">
        <v>0.6</v>
      </c>
      <c r="CC1478" s="3">
        <v>7.1269159999999998E-2</v>
      </c>
      <c r="CD1478">
        <v>2.875</v>
      </c>
      <c r="CE1478">
        <v>2.5</v>
      </c>
      <c r="CF1478">
        <v>18</v>
      </c>
      <c r="CG1478">
        <v>6</v>
      </c>
      <c r="CH1478">
        <v>0</v>
      </c>
      <c r="CI1478">
        <v>42.6</v>
      </c>
      <c r="CJ1478">
        <v>338.52140000000003</v>
      </c>
    </row>
    <row r="1479" spans="1:88">
      <c r="A1479">
        <v>1478</v>
      </c>
      <c r="B1479" t="s">
        <v>13</v>
      </c>
      <c r="C1479" t="s">
        <v>1</v>
      </c>
      <c r="D1479" t="s">
        <v>365</v>
      </c>
      <c r="E1479" t="s">
        <v>559</v>
      </c>
      <c r="F1479" t="s">
        <v>367</v>
      </c>
      <c r="G1479" t="s">
        <v>106</v>
      </c>
      <c r="H1479" t="s">
        <v>368</v>
      </c>
      <c r="J1479">
        <v>2</v>
      </c>
      <c r="K1479" t="s">
        <v>146</v>
      </c>
      <c r="L1479" t="s">
        <v>462</v>
      </c>
      <c r="M1479" t="s">
        <v>624</v>
      </c>
      <c r="N1479" t="s">
        <v>446</v>
      </c>
      <c r="O1479">
        <v>61</v>
      </c>
      <c r="Q1479">
        <v>86</v>
      </c>
      <c r="R1479">
        <v>31</v>
      </c>
      <c r="S1479">
        <v>4.25</v>
      </c>
      <c r="T1479">
        <v>1.6739999999999999</v>
      </c>
      <c r="U1479">
        <v>5.25</v>
      </c>
      <c r="V1479">
        <v>365.16</v>
      </c>
      <c r="W1479">
        <v>163</v>
      </c>
      <c r="X1479">
        <v>1.3332999999999999</v>
      </c>
      <c r="Y1479">
        <v>122</v>
      </c>
      <c r="Z1479">
        <v>3</v>
      </c>
      <c r="AJ1479">
        <v>2</v>
      </c>
      <c r="AK1479">
        <v>18</v>
      </c>
      <c r="AM1479">
        <v>0</v>
      </c>
      <c r="AO1479" t="s">
        <v>371</v>
      </c>
      <c r="AT1479">
        <v>26</v>
      </c>
      <c r="AV1479">
        <v>16.5</v>
      </c>
      <c r="AW1479">
        <v>0</v>
      </c>
      <c r="AX1479">
        <v>0</v>
      </c>
      <c r="AY1479">
        <v>21</v>
      </c>
      <c r="AZ1479">
        <v>1.875</v>
      </c>
      <c r="BA1479">
        <v>0</v>
      </c>
      <c r="BB1479">
        <v>0</v>
      </c>
      <c r="BC1479">
        <v>16</v>
      </c>
      <c r="BN1479">
        <v>74.900009999999995</v>
      </c>
      <c r="BO1479">
        <v>18497</v>
      </c>
      <c r="BP1479">
        <v>0</v>
      </c>
      <c r="BQ1479">
        <v>20</v>
      </c>
      <c r="BR1479">
        <v>20</v>
      </c>
      <c r="BS1479">
        <v>20.34</v>
      </c>
      <c r="BT1479">
        <v>0</v>
      </c>
      <c r="BV1479">
        <v>0</v>
      </c>
      <c r="BW1479" t="s">
        <v>655</v>
      </c>
      <c r="BX1479">
        <v>0.17</v>
      </c>
      <c r="BY1479">
        <v>3.4578000000000002</v>
      </c>
      <c r="BZ1479">
        <v>0</v>
      </c>
      <c r="CA1479">
        <v>1</v>
      </c>
      <c r="CB1479">
        <v>0.6</v>
      </c>
      <c r="CC1479" s="3">
        <v>7.1269159999999998E-2</v>
      </c>
      <c r="CD1479">
        <v>2.875</v>
      </c>
      <c r="CE1479">
        <v>2.5</v>
      </c>
      <c r="CF1479">
        <v>18</v>
      </c>
      <c r="CG1479">
        <v>6</v>
      </c>
      <c r="CH1479">
        <v>0</v>
      </c>
      <c r="CI1479">
        <v>20.34</v>
      </c>
      <c r="CJ1479">
        <v>65.957459999999998</v>
      </c>
    </row>
    <row r="1480" spans="1:88">
      <c r="A1480">
        <v>1479</v>
      </c>
      <c r="B1480" t="s">
        <v>0</v>
      </c>
      <c r="C1480" t="s">
        <v>1</v>
      </c>
      <c r="D1480" t="s">
        <v>199</v>
      </c>
      <c r="E1480" t="s">
        <v>130</v>
      </c>
      <c r="F1480" t="s">
        <v>216</v>
      </c>
      <c r="G1480" t="s">
        <v>106</v>
      </c>
      <c r="H1480" t="s">
        <v>336</v>
      </c>
      <c r="J1480">
        <v>2</v>
      </c>
      <c r="K1480" t="s">
        <v>108</v>
      </c>
      <c r="L1480" t="s">
        <v>101</v>
      </c>
      <c r="M1480" t="s">
        <v>134</v>
      </c>
      <c r="N1480" t="s">
        <v>399</v>
      </c>
      <c r="O1480">
        <v>114</v>
      </c>
      <c r="Q1480">
        <v>588</v>
      </c>
      <c r="R1480">
        <v>117</v>
      </c>
      <c r="S1480">
        <v>4.25</v>
      </c>
      <c r="T1480">
        <v>3.1539999999999999</v>
      </c>
      <c r="U1480">
        <v>6.18</v>
      </c>
      <c r="V1480">
        <v>2498.06</v>
      </c>
      <c r="W1480">
        <v>725</v>
      </c>
      <c r="X1480">
        <v>1.3332999999999999</v>
      </c>
      <c r="Y1480">
        <v>558</v>
      </c>
      <c r="Z1480">
        <v>4.4800000000000004</v>
      </c>
      <c r="AJ1480">
        <v>2</v>
      </c>
      <c r="AK1480">
        <v>18</v>
      </c>
      <c r="AM1480">
        <v>0</v>
      </c>
      <c r="AO1480" t="s">
        <v>337</v>
      </c>
      <c r="AT1480">
        <v>45</v>
      </c>
      <c r="AV1480">
        <v>67.400000000000006</v>
      </c>
      <c r="AW1480">
        <v>0.46875</v>
      </c>
      <c r="AX1480">
        <v>3.75</v>
      </c>
      <c r="AY1480">
        <v>46.125</v>
      </c>
      <c r="AZ1480">
        <v>4.25</v>
      </c>
      <c r="BA1480">
        <v>439.91</v>
      </c>
      <c r="BB1480">
        <v>4.4800000000000004</v>
      </c>
      <c r="BC1480">
        <v>49</v>
      </c>
      <c r="BD1480">
        <v>0.3125</v>
      </c>
      <c r="BE1480">
        <v>2.75</v>
      </c>
      <c r="BF1480">
        <v>30.5</v>
      </c>
      <c r="BG1480">
        <v>2.75</v>
      </c>
      <c r="BH1480">
        <v>117.68</v>
      </c>
      <c r="BI1480">
        <v>5.43</v>
      </c>
      <c r="BJ1480">
        <v>16</v>
      </c>
      <c r="BL1480">
        <v>557.59</v>
      </c>
      <c r="BM1480">
        <v>65</v>
      </c>
      <c r="BN1480">
        <v>324.56670000000003</v>
      </c>
      <c r="BO1480">
        <v>985</v>
      </c>
      <c r="BP1480">
        <v>0</v>
      </c>
      <c r="BQ1480">
        <v>39</v>
      </c>
      <c r="BR1480">
        <v>39</v>
      </c>
      <c r="BS1480">
        <v>38.78</v>
      </c>
      <c r="BT1480">
        <v>0</v>
      </c>
      <c r="BV1480">
        <v>0</v>
      </c>
      <c r="BW1480" t="s">
        <v>655</v>
      </c>
      <c r="BX1480">
        <v>0.17</v>
      </c>
      <c r="BY1480">
        <v>6.5926</v>
      </c>
      <c r="BZ1480">
        <v>0</v>
      </c>
      <c r="CA1480">
        <v>1</v>
      </c>
      <c r="CB1480">
        <v>0.6</v>
      </c>
      <c r="CC1480" s="3">
        <v>7.1269159999999998E-2</v>
      </c>
      <c r="CD1480">
        <v>2.875</v>
      </c>
      <c r="CE1480">
        <v>2.5</v>
      </c>
      <c r="CF1480">
        <v>18</v>
      </c>
      <c r="CG1480">
        <v>6</v>
      </c>
      <c r="CH1480">
        <v>0</v>
      </c>
      <c r="CI1480">
        <v>38.78</v>
      </c>
      <c r="CJ1480">
        <v>513.72469999999998</v>
      </c>
    </row>
    <row r="1481" spans="1:88">
      <c r="A1481">
        <v>1480</v>
      </c>
      <c r="B1481" t="s">
        <v>0</v>
      </c>
      <c r="C1481" t="s">
        <v>1</v>
      </c>
      <c r="D1481" t="s">
        <v>330</v>
      </c>
      <c r="E1481" t="s">
        <v>201</v>
      </c>
      <c r="F1481" t="s">
        <v>490</v>
      </c>
      <c r="G1481" t="s">
        <v>106</v>
      </c>
      <c r="H1481" t="s">
        <v>338</v>
      </c>
      <c r="J1481">
        <v>2</v>
      </c>
      <c r="K1481" t="s">
        <v>146</v>
      </c>
      <c r="L1481" t="s">
        <v>161</v>
      </c>
      <c r="M1481" t="s">
        <v>558</v>
      </c>
      <c r="N1481" t="s">
        <v>113</v>
      </c>
      <c r="O1481">
        <v>176</v>
      </c>
      <c r="Q1481">
        <v>609</v>
      </c>
      <c r="R1481">
        <v>84</v>
      </c>
      <c r="S1481">
        <v>4.25</v>
      </c>
      <c r="T1481">
        <v>4.6509999999999998</v>
      </c>
      <c r="U1481">
        <v>7.01</v>
      </c>
      <c r="V1481">
        <v>2590.33</v>
      </c>
      <c r="W1481">
        <v>587</v>
      </c>
      <c r="X1481">
        <v>1.3332999999999999</v>
      </c>
      <c r="Y1481">
        <v>433</v>
      </c>
      <c r="Z1481">
        <v>5.98</v>
      </c>
      <c r="AJ1481">
        <v>2</v>
      </c>
      <c r="AK1481">
        <v>18</v>
      </c>
      <c r="AM1481">
        <v>0</v>
      </c>
      <c r="AO1481" t="s">
        <v>339</v>
      </c>
      <c r="AT1481">
        <v>66</v>
      </c>
      <c r="AV1481">
        <v>46.6</v>
      </c>
      <c r="AW1481">
        <v>0.46875</v>
      </c>
      <c r="AX1481">
        <v>3.75</v>
      </c>
      <c r="AY1481">
        <v>61.5</v>
      </c>
      <c r="AZ1481">
        <v>5.625</v>
      </c>
      <c r="BA1481">
        <v>329.56</v>
      </c>
      <c r="BB1481">
        <v>5.98</v>
      </c>
      <c r="BC1481">
        <v>66</v>
      </c>
      <c r="BD1481">
        <v>0.3125</v>
      </c>
      <c r="BE1481">
        <v>2.75</v>
      </c>
      <c r="BF1481">
        <v>34.75</v>
      </c>
      <c r="BG1481">
        <v>3.75</v>
      </c>
      <c r="BH1481">
        <v>103.6</v>
      </c>
      <c r="BI1481">
        <v>6.16</v>
      </c>
      <c r="BJ1481">
        <v>18</v>
      </c>
      <c r="BL1481">
        <v>433.16</v>
      </c>
      <c r="BM1481">
        <v>84</v>
      </c>
      <c r="BN1481">
        <v>222.91669999999999</v>
      </c>
      <c r="BO1481">
        <v>2088</v>
      </c>
      <c r="BP1481">
        <v>0</v>
      </c>
      <c r="BQ1481">
        <v>60</v>
      </c>
      <c r="BR1481">
        <v>60</v>
      </c>
      <c r="BS1481">
        <v>60.34</v>
      </c>
      <c r="BT1481">
        <v>0</v>
      </c>
      <c r="BV1481">
        <v>0</v>
      </c>
      <c r="BW1481" t="s">
        <v>655</v>
      </c>
      <c r="BX1481">
        <v>0.17</v>
      </c>
      <c r="BY1481">
        <v>10.2578</v>
      </c>
      <c r="BZ1481">
        <v>0</v>
      </c>
      <c r="CA1481">
        <v>1</v>
      </c>
      <c r="CB1481">
        <v>0.6</v>
      </c>
      <c r="CC1481" s="3">
        <v>7.1269159999999998E-2</v>
      </c>
      <c r="CD1481">
        <v>2.875</v>
      </c>
      <c r="CE1481">
        <v>2.5</v>
      </c>
      <c r="CF1481">
        <v>18</v>
      </c>
      <c r="CG1481">
        <v>6</v>
      </c>
      <c r="CH1481">
        <v>0</v>
      </c>
      <c r="CI1481">
        <v>60.34</v>
      </c>
      <c r="CJ1481">
        <v>552.59900000000005</v>
      </c>
    </row>
    <row r="1482" spans="1:88">
      <c r="A1482">
        <v>1481</v>
      </c>
      <c r="B1482" t="s">
        <v>0</v>
      </c>
      <c r="C1482" t="s">
        <v>1</v>
      </c>
      <c r="D1482" t="s">
        <v>208</v>
      </c>
      <c r="E1482" t="s">
        <v>7</v>
      </c>
      <c r="F1482" t="s">
        <v>237</v>
      </c>
      <c r="G1482" t="s">
        <v>15</v>
      </c>
      <c r="H1482" t="s">
        <v>238</v>
      </c>
      <c r="J1482">
        <v>2</v>
      </c>
      <c r="K1482" t="s">
        <v>440</v>
      </c>
      <c r="L1482" t="s">
        <v>441</v>
      </c>
      <c r="M1482" t="s">
        <v>482</v>
      </c>
      <c r="N1482" t="s">
        <v>483</v>
      </c>
      <c r="O1482">
        <v>275</v>
      </c>
      <c r="Q1482">
        <v>1453</v>
      </c>
      <c r="R1482">
        <v>139</v>
      </c>
      <c r="S1482">
        <v>4.25</v>
      </c>
      <c r="T1482">
        <v>6.7089999999999996</v>
      </c>
      <c r="U1482">
        <v>8.25</v>
      </c>
      <c r="V1482">
        <v>6175.33</v>
      </c>
      <c r="W1482">
        <v>1146</v>
      </c>
      <c r="X1482">
        <v>1.5</v>
      </c>
      <c r="Y1482">
        <v>753</v>
      </c>
      <c r="Z1482">
        <v>8.1999999999999993</v>
      </c>
      <c r="AJ1482">
        <v>2</v>
      </c>
      <c r="AK1482">
        <v>18</v>
      </c>
      <c r="AM1482">
        <v>0</v>
      </c>
      <c r="AO1482" t="s">
        <v>239</v>
      </c>
      <c r="AT1482">
        <v>101</v>
      </c>
      <c r="AV1482">
        <v>73.2</v>
      </c>
      <c r="AW1482" t="s">
        <v>6</v>
      </c>
      <c r="AX1482" t="s">
        <v>6</v>
      </c>
      <c r="AY1482" t="s">
        <v>6</v>
      </c>
      <c r="AZ1482" t="s">
        <v>6</v>
      </c>
      <c r="BA1482" t="s">
        <v>6</v>
      </c>
      <c r="BB1482" t="s">
        <v>6</v>
      </c>
      <c r="BC1482" t="s">
        <v>6</v>
      </c>
      <c r="BD1482" t="s">
        <v>6</v>
      </c>
      <c r="BE1482" t="s">
        <v>6</v>
      </c>
      <c r="BF1482" t="s">
        <v>6</v>
      </c>
      <c r="BG1482" t="s">
        <v>6</v>
      </c>
      <c r="BH1482" t="s">
        <v>6</v>
      </c>
      <c r="BI1482" t="s">
        <v>6</v>
      </c>
      <c r="BJ1482" t="s">
        <v>6</v>
      </c>
      <c r="BN1482">
        <v>625.10090000000002</v>
      </c>
      <c r="BO1482">
        <v>2799</v>
      </c>
      <c r="BP1482">
        <v>0</v>
      </c>
      <c r="BQ1482">
        <v>95</v>
      </c>
      <c r="BR1482">
        <v>95</v>
      </c>
      <c r="BS1482">
        <v>94.78</v>
      </c>
      <c r="BT1482">
        <v>0</v>
      </c>
      <c r="BU1482" t="s">
        <v>444</v>
      </c>
      <c r="BV1482">
        <v>0</v>
      </c>
      <c r="BW1482" t="s">
        <v>655</v>
      </c>
      <c r="BX1482">
        <v>0.17</v>
      </c>
      <c r="BY1482">
        <v>16.1126</v>
      </c>
      <c r="BZ1482">
        <v>0</v>
      </c>
      <c r="CA1482">
        <v>1</v>
      </c>
      <c r="CB1482">
        <v>0.6</v>
      </c>
      <c r="CC1482" s="3">
        <v>7.1269159999999998E-2</v>
      </c>
      <c r="CD1482">
        <v>2.875</v>
      </c>
      <c r="CE1482">
        <v>2.5</v>
      </c>
      <c r="CF1482">
        <v>18</v>
      </c>
      <c r="CG1482">
        <v>6</v>
      </c>
      <c r="CH1482">
        <v>0</v>
      </c>
      <c r="CI1482">
        <v>94.78</v>
      </c>
      <c r="CJ1482">
        <v>1363.644</v>
      </c>
    </row>
    <row r="1483" spans="1:88">
      <c r="A1483">
        <v>1482</v>
      </c>
      <c r="B1483" t="s">
        <v>13</v>
      </c>
      <c r="C1483" t="s">
        <v>1</v>
      </c>
      <c r="D1483" t="s">
        <v>169</v>
      </c>
      <c r="E1483" t="s">
        <v>133</v>
      </c>
      <c r="F1483" t="s">
        <v>404</v>
      </c>
      <c r="G1483" t="s">
        <v>106</v>
      </c>
      <c r="H1483" t="s">
        <v>190</v>
      </c>
      <c r="J1483">
        <v>2</v>
      </c>
      <c r="K1483" t="s">
        <v>146</v>
      </c>
      <c r="L1483" t="s">
        <v>353</v>
      </c>
      <c r="M1483" t="s">
        <v>194</v>
      </c>
      <c r="N1483" t="s">
        <v>195</v>
      </c>
      <c r="O1483">
        <v>143</v>
      </c>
      <c r="Q1483">
        <v>437</v>
      </c>
      <c r="R1483">
        <v>74</v>
      </c>
      <c r="S1483">
        <v>4.25</v>
      </c>
      <c r="T1483">
        <v>3.88</v>
      </c>
      <c r="U1483">
        <v>6.6</v>
      </c>
      <c r="V1483">
        <v>1857.42</v>
      </c>
      <c r="W1483">
        <v>488</v>
      </c>
      <c r="X1483">
        <v>1.3332999999999999</v>
      </c>
      <c r="Y1483">
        <v>357</v>
      </c>
      <c r="Z1483">
        <v>5.21</v>
      </c>
      <c r="AJ1483">
        <v>2</v>
      </c>
      <c r="AK1483">
        <v>18</v>
      </c>
      <c r="AM1483">
        <v>0</v>
      </c>
      <c r="AO1483" t="s">
        <v>406</v>
      </c>
      <c r="AT1483">
        <v>55</v>
      </c>
      <c r="AV1483">
        <v>40.4</v>
      </c>
      <c r="AW1483">
        <v>0</v>
      </c>
      <c r="AX1483">
        <v>0</v>
      </c>
      <c r="AY1483">
        <v>56.875</v>
      </c>
      <c r="AZ1483">
        <v>4.875</v>
      </c>
      <c r="BA1483">
        <v>0</v>
      </c>
      <c r="BB1483">
        <v>0</v>
      </c>
      <c r="BC1483">
        <v>61</v>
      </c>
      <c r="BN1483">
        <v>192.6</v>
      </c>
      <c r="BO1483">
        <v>2797</v>
      </c>
      <c r="BP1483">
        <v>0</v>
      </c>
      <c r="BQ1483">
        <v>49</v>
      </c>
      <c r="BR1483">
        <v>49</v>
      </c>
      <c r="BS1483">
        <v>48.86</v>
      </c>
      <c r="BT1483">
        <v>0</v>
      </c>
      <c r="BV1483">
        <v>0</v>
      </c>
      <c r="BW1483" t="s">
        <v>655</v>
      </c>
      <c r="BX1483">
        <v>0.17</v>
      </c>
      <c r="BY1483">
        <v>8.3062000000000005</v>
      </c>
      <c r="BZ1483">
        <v>0</v>
      </c>
      <c r="CA1483">
        <v>1</v>
      </c>
      <c r="CB1483">
        <v>0.6</v>
      </c>
      <c r="CC1483" s="3">
        <v>7.1269159999999998E-2</v>
      </c>
      <c r="CD1483">
        <v>2.875</v>
      </c>
      <c r="CE1483">
        <v>2.5</v>
      </c>
      <c r="CF1483">
        <v>18</v>
      </c>
      <c r="CG1483">
        <v>6</v>
      </c>
      <c r="CH1483">
        <v>0</v>
      </c>
      <c r="CI1483">
        <v>48.86</v>
      </c>
      <c r="CJ1483">
        <v>388.26650000000001</v>
      </c>
    </row>
    <row r="1484" spans="1:88">
      <c r="A1484">
        <v>1483</v>
      </c>
      <c r="B1484" t="s">
        <v>0</v>
      </c>
      <c r="C1484" t="s">
        <v>1</v>
      </c>
      <c r="D1484" t="s">
        <v>2</v>
      </c>
      <c r="E1484" t="s">
        <v>151</v>
      </c>
      <c r="F1484" t="s">
        <v>154</v>
      </c>
      <c r="G1484" t="s">
        <v>106</v>
      </c>
      <c r="H1484" t="s">
        <v>217</v>
      </c>
      <c r="J1484">
        <v>2</v>
      </c>
      <c r="K1484" t="s">
        <v>146</v>
      </c>
      <c r="L1484" t="s">
        <v>119</v>
      </c>
      <c r="M1484" t="s">
        <v>154</v>
      </c>
      <c r="N1484" t="s">
        <v>150</v>
      </c>
      <c r="O1484">
        <v>108</v>
      </c>
      <c r="Q1484">
        <v>303</v>
      </c>
      <c r="R1484">
        <v>67</v>
      </c>
      <c r="S1484">
        <v>4.25</v>
      </c>
      <c r="T1484">
        <v>2.9980000000000002</v>
      </c>
      <c r="U1484">
        <v>6.07</v>
      </c>
      <c r="V1484">
        <v>1285.71</v>
      </c>
      <c r="W1484">
        <v>407</v>
      </c>
      <c r="X1484">
        <v>1.3332999999999999</v>
      </c>
      <c r="Y1484">
        <v>297</v>
      </c>
      <c r="Z1484">
        <v>4.33</v>
      </c>
      <c r="AJ1484">
        <v>2</v>
      </c>
      <c r="AK1484">
        <v>18</v>
      </c>
      <c r="AM1484">
        <v>0</v>
      </c>
      <c r="AO1484" t="s">
        <v>218</v>
      </c>
      <c r="AT1484">
        <v>43</v>
      </c>
      <c r="AV1484">
        <v>36.1</v>
      </c>
      <c r="AW1484">
        <v>0</v>
      </c>
      <c r="AX1484">
        <v>0</v>
      </c>
      <c r="AY1484">
        <v>32.75</v>
      </c>
      <c r="AZ1484">
        <v>3.5</v>
      </c>
      <c r="BA1484">
        <v>0</v>
      </c>
      <c r="BB1484">
        <v>0</v>
      </c>
      <c r="BC1484">
        <v>31</v>
      </c>
      <c r="BN1484">
        <v>171.2</v>
      </c>
      <c r="BO1484">
        <v>3540</v>
      </c>
      <c r="BP1484">
        <v>0</v>
      </c>
      <c r="BQ1484">
        <v>37</v>
      </c>
      <c r="BR1484">
        <v>37</v>
      </c>
      <c r="BS1484">
        <v>36.69</v>
      </c>
      <c r="BT1484">
        <v>0</v>
      </c>
      <c r="BV1484">
        <v>0</v>
      </c>
      <c r="BW1484" t="s">
        <v>655</v>
      </c>
      <c r="BX1484">
        <v>0.17</v>
      </c>
      <c r="BY1484">
        <v>6.2373000000000003</v>
      </c>
      <c r="BZ1484">
        <v>0</v>
      </c>
      <c r="CA1484">
        <v>1</v>
      </c>
      <c r="CB1484">
        <v>0.6</v>
      </c>
      <c r="CC1484" s="3">
        <v>7.1269159999999998E-2</v>
      </c>
      <c r="CD1484">
        <v>2.875</v>
      </c>
      <c r="CE1484">
        <v>2.5</v>
      </c>
      <c r="CF1484">
        <v>18</v>
      </c>
      <c r="CG1484">
        <v>6</v>
      </c>
      <c r="CH1484">
        <v>0</v>
      </c>
      <c r="CI1484">
        <v>36.69</v>
      </c>
      <c r="CJ1484">
        <v>260.17910000000001</v>
      </c>
    </row>
    <row r="1485" spans="1:88">
      <c r="A1485">
        <v>1484</v>
      </c>
      <c r="B1485" t="s">
        <v>0</v>
      </c>
      <c r="C1485" t="s">
        <v>1</v>
      </c>
      <c r="D1485" t="s">
        <v>341</v>
      </c>
      <c r="E1485" t="s">
        <v>5</v>
      </c>
      <c r="F1485" t="s">
        <v>343</v>
      </c>
      <c r="G1485" t="s">
        <v>106</v>
      </c>
      <c r="H1485" t="s">
        <v>344</v>
      </c>
      <c r="J1485">
        <v>2</v>
      </c>
      <c r="K1485" t="s">
        <v>146</v>
      </c>
      <c r="L1485" t="s">
        <v>162</v>
      </c>
      <c r="M1485" t="s">
        <v>155</v>
      </c>
      <c r="N1485" t="s">
        <v>176</v>
      </c>
      <c r="O1485">
        <v>110</v>
      </c>
      <c r="Q1485">
        <v>235</v>
      </c>
      <c r="R1485">
        <v>48</v>
      </c>
      <c r="S1485">
        <v>4.25</v>
      </c>
      <c r="T1485">
        <v>3.05</v>
      </c>
      <c r="U1485">
        <v>6.11</v>
      </c>
      <c r="V1485">
        <v>998.49</v>
      </c>
      <c r="W1485">
        <v>295</v>
      </c>
      <c r="X1485">
        <v>1.3332999999999999</v>
      </c>
      <c r="Y1485">
        <v>228</v>
      </c>
      <c r="Z1485">
        <v>4.38</v>
      </c>
      <c r="AJ1485">
        <v>2</v>
      </c>
      <c r="AK1485">
        <v>18</v>
      </c>
      <c r="AM1485">
        <v>0</v>
      </c>
      <c r="AO1485" t="s">
        <v>347</v>
      </c>
      <c r="AT1485">
        <v>44</v>
      </c>
      <c r="AV1485">
        <v>27.4</v>
      </c>
      <c r="AW1485">
        <v>0</v>
      </c>
      <c r="AX1485">
        <v>0</v>
      </c>
      <c r="AY1485">
        <v>28.375</v>
      </c>
      <c r="AZ1485">
        <v>3.25</v>
      </c>
      <c r="BA1485">
        <v>0</v>
      </c>
      <c r="BB1485">
        <v>0</v>
      </c>
      <c r="BC1485">
        <v>25</v>
      </c>
      <c r="BN1485">
        <v>128.4</v>
      </c>
      <c r="BO1485">
        <v>6294</v>
      </c>
      <c r="BP1485">
        <v>0</v>
      </c>
      <c r="BQ1485">
        <v>37</v>
      </c>
      <c r="BR1485">
        <v>37</v>
      </c>
      <c r="BS1485">
        <v>37.39</v>
      </c>
      <c r="BT1485">
        <v>0</v>
      </c>
      <c r="BV1485">
        <v>0</v>
      </c>
      <c r="BW1485" t="s">
        <v>655</v>
      </c>
      <c r="BX1485">
        <v>0.17</v>
      </c>
      <c r="BY1485">
        <v>6.3563000000000001</v>
      </c>
      <c r="BZ1485">
        <v>0</v>
      </c>
      <c r="CA1485">
        <v>1</v>
      </c>
      <c r="CB1485">
        <v>0.6</v>
      </c>
      <c r="CC1485" s="3">
        <v>7.1269159999999998E-2</v>
      </c>
      <c r="CD1485">
        <v>2.875</v>
      </c>
      <c r="CE1485">
        <v>2.5</v>
      </c>
      <c r="CF1485">
        <v>18</v>
      </c>
      <c r="CG1485">
        <v>6</v>
      </c>
      <c r="CH1485">
        <v>0</v>
      </c>
      <c r="CI1485">
        <v>37.39</v>
      </c>
      <c r="CJ1485">
        <v>201.18889999999999</v>
      </c>
    </row>
    <row r="1486" spans="1:88">
      <c r="A1486">
        <v>1485</v>
      </c>
      <c r="B1486" t="s">
        <v>0</v>
      </c>
      <c r="C1486" t="s">
        <v>1</v>
      </c>
      <c r="D1486" t="s">
        <v>284</v>
      </c>
      <c r="E1486" t="s">
        <v>227</v>
      </c>
      <c r="F1486" t="s">
        <v>374</v>
      </c>
      <c r="G1486" t="s">
        <v>106</v>
      </c>
      <c r="H1486" t="s">
        <v>448</v>
      </c>
      <c r="J1486">
        <v>2</v>
      </c>
      <c r="K1486" t="s">
        <v>146</v>
      </c>
      <c r="L1486" t="s">
        <v>330</v>
      </c>
      <c r="M1486" t="s">
        <v>129</v>
      </c>
      <c r="N1486" t="s">
        <v>169</v>
      </c>
      <c r="O1486">
        <v>116</v>
      </c>
      <c r="Q1486">
        <v>256</v>
      </c>
      <c r="R1486">
        <v>50</v>
      </c>
      <c r="S1486">
        <v>4.25</v>
      </c>
      <c r="T1486">
        <v>3.206</v>
      </c>
      <c r="U1486">
        <v>6.22</v>
      </c>
      <c r="V1486">
        <v>1088.04</v>
      </c>
      <c r="W1486">
        <v>311</v>
      </c>
      <c r="X1486">
        <v>1.3332999999999999</v>
      </c>
      <c r="Y1486">
        <v>240</v>
      </c>
      <c r="Z1486">
        <v>4.53</v>
      </c>
      <c r="AJ1486">
        <v>2</v>
      </c>
      <c r="AK1486">
        <v>18</v>
      </c>
      <c r="AM1486">
        <v>0</v>
      </c>
      <c r="AO1486" t="s">
        <v>481</v>
      </c>
      <c r="AT1486">
        <v>46</v>
      </c>
      <c r="AV1486">
        <v>28.4</v>
      </c>
      <c r="AW1486">
        <v>0</v>
      </c>
      <c r="AX1486">
        <v>0</v>
      </c>
      <c r="AY1486">
        <v>26.875</v>
      </c>
      <c r="AZ1486">
        <v>3.375</v>
      </c>
      <c r="BA1486">
        <v>0</v>
      </c>
      <c r="BB1486">
        <v>0</v>
      </c>
      <c r="BC1486">
        <v>24</v>
      </c>
      <c r="BN1486">
        <v>133.75</v>
      </c>
      <c r="BO1486">
        <v>5801</v>
      </c>
      <c r="BP1486">
        <v>0</v>
      </c>
      <c r="BQ1486">
        <v>39</v>
      </c>
      <c r="BR1486">
        <v>39</v>
      </c>
      <c r="BS1486">
        <v>39.47</v>
      </c>
      <c r="BT1486">
        <v>0</v>
      </c>
      <c r="BV1486">
        <v>0</v>
      </c>
      <c r="BW1486" t="s">
        <v>655</v>
      </c>
      <c r="BX1486">
        <v>0.17</v>
      </c>
      <c r="BY1486">
        <v>6.7099010000000003</v>
      </c>
      <c r="BZ1486">
        <v>0</v>
      </c>
      <c r="CA1486">
        <v>1</v>
      </c>
      <c r="CB1486">
        <v>0.6</v>
      </c>
      <c r="CC1486" s="3">
        <v>7.1269159999999998E-2</v>
      </c>
      <c r="CD1486">
        <v>2.875</v>
      </c>
      <c r="CE1486">
        <v>2.5</v>
      </c>
      <c r="CF1486">
        <v>18</v>
      </c>
      <c r="CG1486">
        <v>6</v>
      </c>
      <c r="CH1486">
        <v>0</v>
      </c>
      <c r="CI1486">
        <v>39.47</v>
      </c>
      <c r="CJ1486">
        <v>220.82</v>
      </c>
    </row>
    <row r="1487" spans="1:88">
      <c r="A1487">
        <v>1486</v>
      </c>
      <c r="B1487" t="s">
        <v>0</v>
      </c>
      <c r="C1487" t="s">
        <v>1</v>
      </c>
      <c r="D1487" t="s">
        <v>280</v>
      </c>
      <c r="E1487" t="s">
        <v>454</v>
      </c>
      <c r="F1487" t="s">
        <v>102</v>
      </c>
      <c r="G1487" t="s">
        <v>15</v>
      </c>
      <c r="H1487" t="s">
        <v>423</v>
      </c>
      <c r="J1487">
        <v>2</v>
      </c>
      <c r="K1487" t="s">
        <v>108</v>
      </c>
      <c r="L1487" t="s">
        <v>245</v>
      </c>
      <c r="M1487" t="s">
        <v>498</v>
      </c>
      <c r="N1487" t="s">
        <v>203</v>
      </c>
      <c r="O1487">
        <v>198</v>
      </c>
      <c r="Q1487">
        <v>1157</v>
      </c>
      <c r="R1487">
        <v>139</v>
      </c>
      <c r="S1487">
        <v>4.25</v>
      </c>
      <c r="T1487">
        <v>5.1379999999999999</v>
      </c>
      <c r="U1487">
        <v>7.38</v>
      </c>
      <c r="V1487">
        <v>4917.03</v>
      </c>
      <c r="W1487">
        <v>1024</v>
      </c>
      <c r="X1487">
        <v>1.3332999999999999</v>
      </c>
      <c r="Y1487">
        <v>760</v>
      </c>
      <c r="Z1487">
        <v>6.47</v>
      </c>
      <c r="AJ1487">
        <v>2</v>
      </c>
      <c r="AK1487">
        <v>18</v>
      </c>
      <c r="AM1487">
        <v>0</v>
      </c>
      <c r="AO1487" t="s">
        <v>424</v>
      </c>
      <c r="AT1487">
        <v>74</v>
      </c>
      <c r="AV1487">
        <v>79.8</v>
      </c>
      <c r="AW1487" t="s">
        <v>6</v>
      </c>
      <c r="AX1487" t="s">
        <v>6</v>
      </c>
      <c r="AY1487" t="s">
        <v>6</v>
      </c>
      <c r="AZ1487" t="s">
        <v>6</v>
      </c>
      <c r="BA1487" t="s">
        <v>6</v>
      </c>
      <c r="BB1487" t="s">
        <v>6</v>
      </c>
      <c r="BC1487" t="s">
        <v>6</v>
      </c>
      <c r="BD1487" t="s">
        <v>6</v>
      </c>
      <c r="BE1487" t="s">
        <v>6</v>
      </c>
      <c r="BF1487" t="s">
        <v>6</v>
      </c>
      <c r="BG1487" t="s">
        <v>6</v>
      </c>
      <c r="BH1487" t="s">
        <v>6</v>
      </c>
      <c r="BI1487" t="s">
        <v>6</v>
      </c>
      <c r="BJ1487" t="s">
        <v>6</v>
      </c>
      <c r="BN1487">
        <v>681.92830000000004</v>
      </c>
      <c r="BO1487">
        <v>2352</v>
      </c>
      <c r="BP1487">
        <v>0</v>
      </c>
      <c r="BQ1487">
        <v>68</v>
      </c>
      <c r="BR1487">
        <v>68</v>
      </c>
      <c r="BS1487">
        <v>68</v>
      </c>
      <c r="BT1487">
        <v>0</v>
      </c>
      <c r="BV1487">
        <v>0</v>
      </c>
      <c r="BW1487" t="s">
        <v>655</v>
      </c>
      <c r="BX1487">
        <v>0.17</v>
      </c>
      <c r="BY1487">
        <v>11.56</v>
      </c>
      <c r="BZ1487">
        <v>0</v>
      </c>
      <c r="CA1487">
        <v>1</v>
      </c>
      <c r="CB1487">
        <v>0.6</v>
      </c>
      <c r="CC1487" s="3">
        <v>7.1269159999999998E-2</v>
      </c>
      <c r="CD1487">
        <v>2.875</v>
      </c>
      <c r="CE1487">
        <v>2.5</v>
      </c>
      <c r="CF1487">
        <v>18</v>
      </c>
      <c r="CG1487">
        <v>6</v>
      </c>
      <c r="CH1487">
        <v>0</v>
      </c>
      <c r="CI1487">
        <v>68</v>
      </c>
      <c r="CJ1487">
        <v>1065.5809999999999</v>
      </c>
    </row>
    <row r="1488" spans="1:88">
      <c r="A1488">
        <v>1487</v>
      </c>
      <c r="B1488" t="s">
        <v>0</v>
      </c>
      <c r="C1488" t="s">
        <v>1</v>
      </c>
      <c r="D1488" t="s">
        <v>103</v>
      </c>
      <c r="E1488" t="s">
        <v>208</v>
      </c>
      <c r="F1488" t="s">
        <v>105</v>
      </c>
      <c r="G1488" t="s">
        <v>106</v>
      </c>
      <c r="H1488" t="s">
        <v>107</v>
      </c>
      <c r="J1488">
        <v>2</v>
      </c>
      <c r="K1488" t="s">
        <v>108</v>
      </c>
      <c r="L1488" t="s">
        <v>95</v>
      </c>
      <c r="M1488" t="s">
        <v>396</v>
      </c>
      <c r="N1488" t="s">
        <v>397</v>
      </c>
      <c r="O1488">
        <v>209</v>
      </c>
      <c r="Q1488">
        <v>889</v>
      </c>
      <c r="R1488">
        <v>110</v>
      </c>
      <c r="S1488">
        <v>4.25</v>
      </c>
      <c r="T1488">
        <v>5.375</v>
      </c>
      <c r="U1488">
        <v>7.42</v>
      </c>
      <c r="V1488">
        <v>3776.38</v>
      </c>
      <c r="W1488">
        <v>817</v>
      </c>
      <c r="X1488">
        <v>1.5</v>
      </c>
      <c r="Y1488">
        <v>550</v>
      </c>
      <c r="Z1488">
        <v>6.87</v>
      </c>
      <c r="AJ1488">
        <v>2</v>
      </c>
      <c r="AK1488">
        <v>18</v>
      </c>
      <c r="AM1488">
        <v>0</v>
      </c>
      <c r="AO1488" t="s">
        <v>112</v>
      </c>
      <c r="AT1488">
        <v>78</v>
      </c>
      <c r="AV1488">
        <v>58</v>
      </c>
      <c r="AW1488">
        <v>0.46875</v>
      </c>
      <c r="AX1488">
        <v>3.75</v>
      </c>
      <c r="AY1488">
        <v>73.75</v>
      </c>
      <c r="AZ1488">
        <v>6.5</v>
      </c>
      <c r="BA1488">
        <v>274.83999999999997</v>
      </c>
      <c r="BB1488">
        <v>7.17</v>
      </c>
      <c r="BC1488">
        <v>79</v>
      </c>
      <c r="BD1488">
        <v>0.46875</v>
      </c>
      <c r="BE1488">
        <v>3.75</v>
      </c>
      <c r="BF1488">
        <v>73.75</v>
      </c>
      <c r="BG1488">
        <v>6.5</v>
      </c>
      <c r="BH1488">
        <v>274.83999999999997</v>
      </c>
      <c r="BI1488">
        <v>7.17</v>
      </c>
      <c r="BJ1488">
        <v>79</v>
      </c>
      <c r="BL1488">
        <v>549.67999999999995</v>
      </c>
      <c r="BM1488">
        <v>158</v>
      </c>
      <c r="BN1488">
        <v>278.20010000000002</v>
      </c>
      <c r="BO1488">
        <v>1341</v>
      </c>
      <c r="BP1488">
        <v>0</v>
      </c>
      <c r="BQ1488">
        <v>72</v>
      </c>
      <c r="BR1488">
        <v>72</v>
      </c>
      <c r="BS1488">
        <v>71.819999999999993</v>
      </c>
      <c r="BT1488">
        <v>0</v>
      </c>
      <c r="BV1488">
        <v>0</v>
      </c>
      <c r="BW1488" t="s">
        <v>655</v>
      </c>
      <c r="BX1488">
        <v>0.17</v>
      </c>
      <c r="BY1488">
        <v>12.2094</v>
      </c>
      <c r="BZ1488">
        <v>0</v>
      </c>
      <c r="CA1488">
        <v>1</v>
      </c>
      <c r="CB1488">
        <v>0.6</v>
      </c>
      <c r="CC1488" s="3">
        <v>7.1269159999999998E-2</v>
      </c>
      <c r="CD1488">
        <v>2.875</v>
      </c>
      <c r="CE1488">
        <v>2.5</v>
      </c>
      <c r="CF1488">
        <v>18</v>
      </c>
      <c r="CG1488">
        <v>6</v>
      </c>
      <c r="CH1488">
        <v>0</v>
      </c>
      <c r="CI1488">
        <v>71.819999999999993</v>
      </c>
      <c r="CJ1488">
        <v>818.32830000000001</v>
      </c>
    </row>
    <row r="1489" spans="1:88">
      <c r="A1489">
        <v>1488</v>
      </c>
      <c r="B1489" t="s">
        <v>0</v>
      </c>
      <c r="C1489" t="s">
        <v>1</v>
      </c>
      <c r="D1489" t="s">
        <v>201</v>
      </c>
      <c r="E1489" t="s">
        <v>125</v>
      </c>
      <c r="F1489" t="s">
        <v>486</v>
      </c>
      <c r="G1489" t="s">
        <v>106</v>
      </c>
      <c r="H1489" t="s">
        <v>575</v>
      </c>
      <c r="J1489">
        <v>2</v>
      </c>
      <c r="K1489" t="s">
        <v>108</v>
      </c>
      <c r="L1489" t="s">
        <v>434</v>
      </c>
      <c r="M1489" t="s">
        <v>551</v>
      </c>
      <c r="N1489" t="s">
        <v>552</v>
      </c>
      <c r="O1489">
        <v>168</v>
      </c>
      <c r="Q1489">
        <v>764</v>
      </c>
      <c r="R1489">
        <v>107</v>
      </c>
      <c r="S1489">
        <v>4.25</v>
      </c>
      <c r="T1489">
        <v>4.4690000000000003</v>
      </c>
      <c r="U1489">
        <v>6.86</v>
      </c>
      <c r="V1489">
        <v>3246.36</v>
      </c>
      <c r="W1489">
        <v>733</v>
      </c>
      <c r="X1489">
        <v>1.3332999999999999</v>
      </c>
      <c r="Y1489">
        <v>560</v>
      </c>
      <c r="Z1489">
        <v>5.8</v>
      </c>
      <c r="AJ1489">
        <v>2</v>
      </c>
      <c r="AK1489">
        <v>18</v>
      </c>
      <c r="AM1489">
        <v>0</v>
      </c>
      <c r="AO1489" t="s">
        <v>576</v>
      </c>
      <c r="AT1489">
        <v>64</v>
      </c>
      <c r="AV1489">
        <v>61.3</v>
      </c>
      <c r="AW1489">
        <v>0.4375</v>
      </c>
      <c r="AX1489">
        <v>3.75</v>
      </c>
      <c r="AY1489">
        <v>50.875</v>
      </c>
      <c r="AZ1489">
        <v>5.125</v>
      </c>
      <c r="BA1489">
        <v>279.85000000000002</v>
      </c>
      <c r="BB1489">
        <v>5.88</v>
      </c>
      <c r="BC1489">
        <v>51</v>
      </c>
      <c r="BD1489">
        <v>0.4375</v>
      </c>
      <c r="BE1489">
        <v>3.75</v>
      </c>
      <c r="BF1489">
        <v>50.875</v>
      </c>
      <c r="BG1489">
        <v>5.125</v>
      </c>
      <c r="BH1489">
        <v>279.85000000000002</v>
      </c>
      <c r="BI1489">
        <v>5.88</v>
      </c>
      <c r="BJ1489">
        <v>51</v>
      </c>
      <c r="BL1489">
        <v>559.70000000000005</v>
      </c>
      <c r="BM1489">
        <v>102</v>
      </c>
      <c r="BN1489">
        <v>294.25009999999997</v>
      </c>
      <c r="BO1489">
        <v>1198</v>
      </c>
      <c r="BP1489">
        <v>0</v>
      </c>
      <c r="BQ1489">
        <v>58</v>
      </c>
      <c r="BR1489">
        <v>58</v>
      </c>
      <c r="BS1489">
        <v>57.56</v>
      </c>
      <c r="BT1489">
        <v>0</v>
      </c>
      <c r="BV1489">
        <v>0</v>
      </c>
      <c r="BW1489" t="s">
        <v>655</v>
      </c>
      <c r="BX1489">
        <v>0.17</v>
      </c>
      <c r="BY1489">
        <v>9.7851999999999997</v>
      </c>
      <c r="BZ1489">
        <v>0</v>
      </c>
      <c r="CA1489">
        <v>1</v>
      </c>
      <c r="CB1489">
        <v>0.6</v>
      </c>
      <c r="CC1489" s="3">
        <v>7.1269159999999998E-2</v>
      </c>
      <c r="CD1489">
        <v>2.875</v>
      </c>
      <c r="CE1489">
        <v>2.5</v>
      </c>
      <c r="CF1489">
        <v>18</v>
      </c>
      <c r="CG1489">
        <v>6</v>
      </c>
      <c r="CH1489">
        <v>0</v>
      </c>
      <c r="CI1489">
        <v>57.56</v>
      </c>
      <c r="CJ1489">
        <v>692.76800000000003</v>
      </c>
    </row>
    <row r="1490" spans="1:88">
      <c r="A1490">
        <v>1489</v>
      </c>
      <c r="B1490" t="s">
        <v>0</v>
      </c>
      <c r="C1490" t="s">
        <v>1</v>
      </c>
      <c r="D1490" t="s">
        <v>364</v>
      </c>
      <c r="E1490" t="s">
        <v>143</v>
      </c>
      <c r="F1490" t="s">
        <v>461</v>
      </c>
      <c r="G1490" t="s">
        <v>106</v>
      </c>
      <c r="H1490" t="s">
        <v>133</v>
      </c>
      <c r="J1490">
        <v>2</v>
      </c>
      <c r="K1490" t="s">
        <v>146</v>
      </c>
      <c r="L1490" t="s">
        <v>297</v>
      </c>
      <c r="M1490" t="s">
        <v>206</v>
      </c>
      <c r="N1490" t="s">
        <v>131</v>
      </c>
      <c r="O1490">
        <v>155</v>
      </c>
      <c r="Q1490">
        <v>575</v>
      </c>
      <c r="R1490">
        <v>88</v>
      </c>
      <c r="S1490">
        <v>4.25</v>
      </c>
      <c r="T1490">
        <v>4.1660000000000004</v>
      </c>
      <c r="U1490">
        <v>6.78</v>
      </c>
      <c r="V1490">
        <v>2441.79</v>
      </c>
      <c r="W1490">
        <v>599</v>
      </c>
      <c r="X1490">
        <v>1.3332999999999999</v>
      </c>
      <c r="Y1490">
        <v>445</v>
      </c>
      <c r="Z1490">
        <v>5.49</v>
      </c>
      <c r="AJ1490">
        <v>2</v>
      </c>
      <c r="AK1490">
        <v>18</v>
      </c>
      <c r="AM1490">
        <v>0</v>
      </c>
      <c r="AO1490" t="s">
        <v>194</v>
      </c>
      <c r="AT1490">
        <v>59</v>
      </c>
      <c r="AV1490">
        <v>49.5</v>
      </c>
      <c r="AW1490">
        <v>0.46875</v>
      </c>
      <c r="AX1490">
        <v>3.75</v>
      </c>
      <c r="AY1490">
        <v>56.5</v>
      </c>
      <c r="AZ1490">
        <v>5.125</v>
      </c>
      <c r="BA1490">
        <v>358.98</v>
      </c>
      <c r="BB1490">
        <v>5.49</v>
      </c>
      <c r="BC1490">
        <v>61</v>
      </c>
      <c r="BD1490">
        <v>0.3125</v>
      </c>
      <c r="BE1490">
        <v>2.75</v>
      </c>
      <c r="BF1490">
        <v>41.875</v>
      </c>
      <c r="BG1490">
        <v>3.375</v>
      </c>
      <c r="BH1490">
        <v>85.78</v>
      </c>
      <c r="BI1490">
        <v>7.45</v>
      </c>
      <c r="BJ1490">
        <v>22</v>
      </c>
      <c r="BL1490">
        <v>444.76</v>
      </c>
      <c r="BM1490">
        <v>82</v>
      </c>
      <c r="BN1490">
        <v>237.18340000000001</v>
      </c>
      <c r="BO1490">
        <v>1845</v>
      </c>
      <c r="BP1490">
        <v>0</v>
      </c>
      <c r="BQ1490">
        <v>53</v>
      </c>
      <c r="BR1490">
        <v>53</v>
      </c>
      <c r="BS1490">
        <v>53.04</v>
      </c>
      <c r="BT1490">
        <v>0</v>
      </c>
      <c r="BV1490">
        <v>0</v>
      </c>
      <c r="BW1490" t="s">
        <v>655</v>
      </c>
      <c r="BX1490">
        <v>0.17</v>
      </c>
      <c r="BY1490">
        <v>9.0167999999999999</v>
      </c>
      <c r="BZ1490">
        <v>0</v>
      </c>
      <c r="CA1490">
        <v>1</v>
      </c>
      <c r="CB1490">
        <v>0.6</v>
      </c>
      <c r="CC1490" s="3">
        <v>7.1269159999999998E-2</v>
      </c>
      <c r="CD1490">
        <v>2.875</v>
      </c>
      <c r="CE1490">
        <v>2.5</v>
      </c>
      <c r="CF1490">
        <v>18</v>
      </c>
      <c r="CG1490">
        <v>6</v>
      </c>
      <c r="CH1490">
        <v>0</v>
      </c>
      <c r="CI1490">
        <v>53.04</v>
      </c>
      <c r="CJ1490">
        <v>515.98590000000002</v>
      </c>
    </row>
    <row r="1491" spans="1:88">
      <c r="A1491">
        <v>1490</v>
      </c>
      <c r="B1491" t="s">
        <v>0</v>
      </c>
      <c r="C1491" t="s">
        <v>1</v>
      </c>
      <c r="D1491" t="s">
        <v>205</v>
      </c>
      <c r="E1491" t="s">
        <v>139</v>
      </c>
      <c r="F1491" t="s">
        <v>573</v>
      </c>
      <c r="G1491" t="s">
        <v>106</v>
      </c>
      <c r="H1491" t="s">
        <v>574</v>
      </c>
      <c r="J1491">
        <v>2</v>
      </c>
      <c r="K1491" t="s">
        <v>108</v>
      </c>
      <c r="L1491" t="s">
        <v>158</v>
      </c>
      <c r="M1491" t="s">
        <v>385</v>
      </c>
      <c r="N1491" t="s">
        <v>177</v>
      </c>
      <c r="O1491">
        <v>109</v>
      </c>
      <c r="Q1491">
        <v>537</v>
      </c>
      <c r="R1491">
        <v>112</v>
      </c>
      <c r="S1491">
        <v>4.25</v>
      </c>
      <c r="T1491">
        <v>3.024</v>
      </c>
      <c r="U1491">
        <v>6.11</v>
      </c>
      <c r="V1491">
        <v>2283.9899999999998</v>
      </c>
      <c r="W1491">
        <v>682</v>
      </c>
      <c r="X1491">
        <v>1.3332999999999999</v>
      </c>
      <c r="Y1491">
        <v>525</v>
      </c>
      <c r="Z1491">
        <v>4.3499999999999996</v>
      </c>
      <c r="AJ1491">
        <v>2</v>
      </c>
      <c r="AK1491">
        <v>18</v>
      </c>
      <c r="AM1491">
        <v>0</v>
      </c>
      <c r="AO1491" t="s">
        <v>192</v>
      </c>
      <c r="AT1491">
        <v>43</v>
      </c>
      <c r="AV1491">
        <v>64.2</v>
      </c>
      <c r="AW1491">
        <v>0.46875</v>
      </c>
      <c r="AX1491">
        <v>3.75</v>
      </c>
      <c r="AY1491">
        <v>44.75</v>
      </c>
      <c r="AZ1491">
        <v>4.125</v>
      </c>
      <c r="BA1491">
        <v>453.06</v>
      </c>
      <c r="BB1491">
        <v>4.3499999999999996</v>
      </c>
      <c r="BC1491">
        <v>48</v>
      </c>
      <c r="BD1491">
        <v>0.25</v>
      </c>
      <c r="BE1491">
        <v>2.75</v>
      </c>
      <c r="BF1491">
        <v>16</v>
      </c>
      <c r="BG1491">
        <v>2.125</v>
      </c>
      <c r="BH1491">
        <v>71.989999999999995</v>
      </c>
      <c r="BI1491">
        <v>4.7699999999999996</v>
      </c>
      <c r="BJ1491">
        <v>7</v>
      </c>
      <c r="BL1491">
        <v>525.04999999999995</v>
      </c>
      <c r="BM1491">
        <v>54</v>
      </c>
      <c r="BN1491">
        <v>308.51670000000001</v>
      </c>
      <c r="BO1491">
        <v>1090</v>
      </c>
      <c r="BP1491">
        <v>0</v>
      </c>
      <c r="BQ1491">
        <v>37</v>
      </c>
      <c r="BR1491">
        <v>37</v>
      </c>
      <c r="BS1491">
        <v>37.04</v>
      </c>
      <c r="BT1491">
        <v>0</v>
      </c>
      <c r="BV1491">
        <v>0</v>
      </c>
      <c r="BW1491" t="s">
        <v>655</v>
      </c>
      <c r="BX1491">
        <v>0.17</v>
      </c>
      <c r="BY1491">
        <v>6.2968000000000002</v>
      </c>
      <c r="BZ1491">
        <v>0</v>
      </c>
      <c r="CA1491">
        <v>1</v>
      </c>
      <c r="CB1491">
        <v>0.6</v>
      </c>
      <c r="CC1491" s="3">
        <v>7.1269159999999998E-2</v>
      </c>
      <c r="CD1491">
        <v>2.875</v>
      </c>
      <c r="CE1491">
        <v>2.5</v>
      </c>
      <c r="CF1491">
        <v>18</v>
      </c>
      <c r="CG1491">
        <v>6</v>
      </c>
      <c r="CH1491">
        <v>0</v>
      </c>
      <c r="CI1491">
        <v>37.04</v>
      </c>
      <c r="CJ1491">
        <v>466.91629999999998</v>
      </c>
    </row>
    <row r="1492" spans="1:88">
      <c r="A1492">
        <v>1491</v>
      </c>
      <c r="B1492" t="s">
        <v>0</v>
      </c>
      <c r="C1492" t="s">
        <v>1</v>
      </c>
      <c r="D1492" t="s">
        <v>103</v>
      </c>
      <c r="E1492" t="s">
        <v>96</v>
      </c>
      <c r="F1492" t="s">
        <v>105</v>
      </c>
      <c r="G1492" t="s">
        <v>106</v>
      </c>
      <c r="H1492" t="s">
        <v>107</v>
      </c>
      <c r="J1492">
        <v>2</v>
      </c>
      <c r="K1492" t="s">
        <v>108</v>
      </c>
      <c r="L1492" t="s">
        <v>293</v>
      </c>
      <c r="M1492" t="s">
        <v>100</v>
      </c>
      <c r="N1492" t="s">
        <v>101</v>
      </c>
      <c r="O1492">
        <v>131</v>
      </c>
      <c r="Q1492">
        <v>575</v>
      </c>
      <c r="R1492">
        <v>102</v>
      </c>
      <c r="S1492">
        <v>4.25</v>
      </c>
      <c r="T1492">
        <v>3.5859999999999999</v>
      </c>
      <c r="U1492">
        <v>6.37</v>
      </c>
      <c r="V1492">
        <v>2443.02</v>
      </c>
      <c r="W1492">
        <v>648</v>
      </c>
      <c r="X1492">
        <v>1.3332999999999999</v>
      </c>
      <c r="Y1492">
        <v>498</v>
      </c>
      <c r="Z1492">
        <v>4.91</v>
      </c>
      <c r="AJ1492">
        <v>2</v>
      </c>
      <c r="AK1492">
        <v>18</v>
      </c>
      <c r="AM1492">
        <v>0</v>
      </c>
      <c r="AO1492" t="s">
        <v>112</v>
      </c>
      <c r="AT1492">
        <v>51</v>
      </c>
      <c r="AV1492">
        <v>58</v>
      </c>
      <c r="AW1492">
        <v>0.46875</v>
      </c>
      <c r="AX1492">
        <v>3.75</v>
      </c>
      <c r="AY1492">
        <v>50.5</v>
      </c>
      <c r="AZ1492">
        <v>4.625</v>
      </c>
      <c r="BA1492">
        <v>401.38</v>
      </c>
      <c r="BB1492">
        <v>4.91</v>
      </c>
      <c r="BC1492">
        <v>54</v>
      </c>
      <c r="BD1492">
        <v>0.3125</v>
      </c>
      <c r="BE1492">
        <v>2.75</v>
      </c>
      <c r="BF1492">
        <v>37.375</v>
      </c>
      <c r="BG1492">
        <v>3</v>
      </c>
      <c r="BH1492">
        <v>96.17</v>
      </c>
      <c r="BI1492">
        <v>6.64</v>
      </c>
      <c r="BJ1492">
        <v>20</v>
      </c>
      <c r="BL1492">
        <v>497.55</v>
      </c>
      <c r="BM1492">
        <v>74</v>
      </c>
      <c r="BN1492">
        <v>278.20010000000002</v>
      </c>
      <c r="BO1492">
        <v>1341</v>
      </c>
      <c r="BP1492">
        <v>0</v>
      </c>
      <c r="BQ1492">
        <v>45</v>
      </c>
      <c r="BR1492">
        <v>45</v>
      </c>
      <c r="BS1492">
        <v>44.69</v>
      </c>
      <c r="BT1492">
        <v>0</v>
      </c>
      <c r="BV1492">
        <v>0</v>
      </c>
      <c r="BW1492" t="s">
        <v>655</v>
      </c>
      <c r="BX1492">
        <v>0.17</v>
      </c>
      <c r="BY1492">
        <v>7.5972999999999997</v>
      </c>
      <c r="BZ1492">
        <v>0</v>
      </c>
      <c r="CA1492">
        <v>1</v>
      </c>
      <c r="CB1492">
        <v>0.6</v>
      </c>
      <c r="CC1492" s="3">
        <v>7.1269159999999998E-2</v>
      </c>
      <c r="CD1492">
        <v>2.875</v>
      </c>
      <c r="CE1492">
        <v>2.5</v>
      </c>
      <c r="CF1492">
        <v>18</v>
      </c>
      <c r="CG1492">
        <v>6</v>
      </c>
      <c r="CH1492">
        <v>0</v>
      </c>
      <c r="CI1492">
        <v>44.69</v>
      </c>
      <c r="CJ1492">
        <v>509.20479999999998</v>
      </c>
    </row>
    <row r="1493" spans="1:88">
      <c r="A1493">
        <v>1492</v>
      </c>
      <c r="B1493" t="s">
        <v>0</v>
      </c>
      <c r="C1493" t="s">
        <v>1</v>
      </c>
      <c r="D1493" t="s">
        <v>101</v>
      </c>
      <c r="E1493" t="s">
        <v>99</v>
      </c>
      <c r="F1493" t="s">
        <v>339</v>
      </c>
      <c r="G1493" t="s">
        <v>106</v>
      </c>
      <c r="H1493" t="s">
        <v>167</v>
      </c>
      <c r="J1493">
        <v>2</v>
      </c>
      <c r="K1493" t="s">
        <v>146</v>
      </c>
      <c r="L1493" t="s">
        <v>393</v>
      </c>
      <c r="M1493" t="s">
        <v>184</v>
      </c>
      <c r="N1493" t="s">
        <v>185</v>
      </c>
      <c r="O1493">
        <v>149</v>
      </c>
      <c r="Q1493">
        <v>514</v>
      </c>
      <c r="R1493">
        <v>83</v>
      </c>
      <c r="S1493">
        <v>4.25</v>
      </c>
      <c r="T1493">
        <v>4.024</v>
      </c>
      <c r="U1493">
        <v>6.71</v>
      </c>
      <c r="V1493">
        <v>2184.11</v>
      </c>
      <c r="W1493">
        <v>554</v>
      </c>
      <c r="X1493">
        <v>1.3332999999999999</v>
      </c>
      <c r="Y1493">
        <v>408</v>
      </c>
      <c r="Z1493">
        <v>5.35</v>
      </c>
      <c r="AJ1493">
        <v>2</v>
      </c>
      <c r="AK1493">
        <v>18</v>
      </c>
      <c r="AM1493">
        <v>0</v>
      </c>
      <c r="AO1493" t="s">
        <v>327</v>
      </c>
      <c r="AT1493">
        <v>57</v>
      </c>
      <c r="AV1493">
        <v>45.9</v>
      </c>
      <c r="AW1493">
        <v>0.46875</v>
      </c>
      <c r="AX1493">
        <v>3.75</v>
      </c>
      <c r="AY1493">
        <v>55</v>
      </c>
      <c r="AZ1493">
        <v>5</v>
      </c>
      <c r="BA1493">
        <v>368.37</v>
      </c>
      <c r="BB1493">
        <v>5.35</v>
      </c>
      <c r="BC1493">
        <v>59</v>
      </c>
      <c r="BD1493">
        <v>0.25</v>
      </c>
      <c r="BE1493">
        <v>2.75</v>
      </c>
      <c r="BF1493">
        <v>28.875</v>
      </c>
      <c r="BG1493">
        <v>2.625</v>
      </c>
      <c r="BH1493">
        <v>39.86</v>
      </c>
      <c r="BI1493">
        <v>8.6000010000000007</v>
      </c>
      <c r="BJ1493">
        <v>13</v>
      </c>
      <c r="BL1493">
        <v>408.23</v>
      </c>
      <c r="BM1493">
        <v>71</v>
      </c>
      <c r="BN1493">
        <v>219.35</v>
      </c>
      <c r="BO1493">
        <v>2157</v>
      </c>
      <c r="BP1493">
        <v>0</v>
      </c>
      <c r="BQ1493">
        <v>51</v>
      </c>
      <c r="BR1493">
        <v>51</v>
      </c>
      <c r="BS1493">
        <v>50.95</v>
      </c>
      <c r="BT1493">
        <v>0</v>
      </c>
      <c r="BV1493">
        <v>0</v>
      </c>
      <c r="BW1493" t="s">
        <v>655</v>
      </c>
      <c r="BX1493">
        <v>0.17</v>
      </c>
      <c r="BY1493">
        <v>8.6615000000000002</v>
      </c>
      <c r="BZ1493">
        <v>0</v>
      </c>
      <c r="CA1493">
        <v>1</v>
      </c>
      <c r="CB1493">
        <v>0.6</v>
      </c>
      <c r="CC1493" s="3">
        <v>7.1269159999999998E-2</v>
      </c>
      <c r="CD1493">
        <v>2.875</v>
      </c>
      <c r="CE1493">
        <v>2.5</v>
      </c>
      <c r="CF1493">
        <v>18</v>
      </c>
      <c r="CG1493">
        <v>6</v>
      </c>
      <c r="CH1493">
        <v>0</v>
      </c>
      <c r="CI1493">
        <v>50.95</v>
      </c>
      <c r="CJ1493">
        <v>459.34219999999999</v>
      </c>
    </row>
    <row r="1494" spans="1:88">
      <c r="A1494">
        <v>1493</v>
      </c>
      <c r="B1494" t="s">
        <v>0</v>
      </c>
      <c r="C1494" t="s">
        <v>1</v>
      </c>
      <c r="D1494" t="s">
        <v>340</v>
      </c>
      <c r="E1494" t="s">
        <v>382</v>
      </c>
      <c r="F1494" t="s">
        <v>384</v>
      </c>
      <c r="G1494" t="s">
        <v>106</v>
      </c>
      <c r="H1494" t="s">
        <v>172</v>
      </c>
      <c r="J1494">
        <v>2</v>
      </c>
      <c r="K1494" t="s">
        <v>146</v>
      </c>
      <c r="L1494" t="s">
        <v>229</v>
      </c>
      <c r="M1494" t="s">
        <v>318</v>
      </c>
      <c r="N1494" t="s">
        <v>366</v>
      </c>
      <c r="O1494">
        <v>100</v>
      </c>
      <c r="Q1494">
        <v>369</v>
      </c>
      <c r="R1494">
        <v>85</v>
      </c>
      <c r="S1494">
        <v>4.25</v>
      </c>
      <c r="T1494">
        <v>2.7850000000000001</v>
      </c>
      <c r="U1494">
        <v>5.92</v>
      </c>
      <c r="V1494">
        <v>1566.16</v>
      </c>
      <c r="W1494">
        <v>502</v>
      </c>
      <c r="X1494">
        <v>1.3332999999999999</v>
      </c>
      <c r="Y1494">
        <v>381</v>
      </c>
      <c r="Z1494">
        <v>4.1100000000000003</v>
      </c>
      <c r="AJ1494">
        <v>2</v>
      </c>
      <c r="AK1494">
        <v>18</v>
      </c>
      <c r="AM1494">
        <v>0</v>
      </c>
      <c r="AO1494" t="s">
        <v>490</v>
      </c>
      <c r="AT1494">
        <v>40</v>
      </c>
      <c r="AV1494">
        <v>47.3</v>
      </c>
      <c r="AW1494">
        <v>0</v>
      </c>
      <c r="AX1494">
        <v>0</v>
      </c>
      <c r="AY1494">
        <v>37.375</v>
      </c>
      <c r="AZ1494">
        <v>3.625</v>
      </c>
      <c r="BA1494">
        <v>0</v>
      </c>
      <c r="BB1494">
        <v>0</v>
      </c>
      <c r="BC1494">
        <v>38</v>
      </c>
      <c r="BN1494">
        <v>226.48339999999999</v>
      </c>
      <c r="BO1494">
        <v>2023</v>
      </c>
      <c r="BP1494">
        <v>0</v>
      </c>
      <c r="BQ1494">
        <v>34</v>
      </c>
      <c r="BR1494">
        <v>34</v>
      </c>
      <c r="BS1494">
        <v>33.909999999999997</v>
      </c>
      <c r="BT1494">
        <v>0</v>
      </c>
      <c r="BV1494">
        <v>0</v>
      </c>
      <c r="BW1494" t="s">
        <v>655</v>
      </c>
      <c r="BX1494">
        <v>0.17</v>
      </c>
      <c r="BY1494">
        <v>5.7647000000000004</v>
      </c>
      <c r="BZ1494">
        <v>0</v>
      </c>
      <c r="CA1494">
        <v>1</v>
      </c>
      <c r="CB1494">
        <v>0.6</v>
      </c>
      <c r="CC1494" s="3">
        <v>7.1269159999999998E-2</v>
      </c>
      <c r="CD1494">
        <v>2.875</v>
      </c>
      <c r="CE1494">
        <v>2.5</v>
      </c>
      <c r="CF1494">
        <v>18</v>
      </c>
      <c r="CG1494">
        <v>6</v>
      </c>
      <c r="CH1494">
        <v>0</v>
      </c>
      <c r="CI1494">
        <v>33.909999999999997</v>
      </c>
      <c r="CJ1494">
        <v>315.38420000000002</v>
      </c>
    </row>
    <row r="1495" spans="1:88">
      <c r="A1495">
        <v>1494</v>
      </c>
      <c r="B1495" t="s">
        <v>0</v>
      </c>
      <c r="C1495" t="s">
        <v>1</v>
      </c>
      <c r="D1495" t="s">
        <v>279</v>
      </c>
      <c r="E1495" t="s">
        <v>8</v>
      </c>
      <c r="F1495" t="s">
        <v>236</v>
      </c>
      <c r="G1495" t="s">
        <v>106</v>
      </c>
      <c r="H1495" t="s">
        <v>143</v>
      </c>
      <c r="J1495">
        <v>2</v>
      </c>
      <c r="K1495" t="s">
        <v>146</v>
      </c>
      <c r="L1495" t="s">
        <v>10</v>
      </c>
      <c r="M1495" t="s">
        <v>11</v>
      </c>
      <c r="N1495" t="s">
        <v>12</v>
      </c>
      <c r="O1495">
        <v>203</v>
      </c>
      <c r="Q1495">
        <v>804</v>
      </c>
      <c r="R1495">
        <v>102</v>
      </c>
      <c r="S1495">
        <v>4.25</v>
      </c>
      <c r="T1495">
        <v>5.2460000000000004</v>
      </c>
      <c r="U1495">
        <v>7.35</v>
      </c>
      <c r="V1495">
        <v>3415.85</v>
      </c>
      <c r="W1495">
        <v>751</v>
      </c>
      <c r="X1495">
        <v>1.5</v>
      </c>
      <c r="Y1495">
        <v>507</v>
      </c>
      <c r="Z1495">
        <v>6.74</v>
      </c>
      <c r="AJ1495">
        <v>2</v>
      </c>
      <c r="AK1495">
        <v>18</v>
      </c>
      <c r="AM1495">
        <v>0</v>
      </c>
      <c r="AO1495" t="s">
        <v>206</v>
      </c>
      <c r="AT1495">
        <v>76</v>
      </c>
      <c r="AV1495">
        <v>53.9</v>
      </c>
      <c r="AW1495">
        <v>0.46875</v>
      </c>
      <c r="AX1495">
        <v>3.75</v>
      </c>
      <c r="AY1495">
        <v>72.75</v>
      </c>
      <c r="AZ1495">
        <v>6.375</v>
      </c>
      <c r="BA1495">
        <v>278.73</v>
      </c>
      <c r="BB1495">
        <v>7.07</v>
      </c>
      <c r="BC1495">
        <v>78</v>
      </c>
      <c r="BD1495">
        <v>0.4375</v>
      </c>
      <c r="BE1495">
        <v>3.75</v>
      </c>
      <c r="BF1495">
        <v>62.375</v>
      </c>
      <c r="BG1495">
        <v>5.875</v>
      </c>
      <c r="BH1495">
        <v>228.06</v>
      </c>
      <c r="BI1495">
        <v>7.21</v>
      </c>
      <c r="BJ1495">
        <v>63</v>
      </c>
      <c r="BL1495">
        <v>506.79</v>
      </c>
      <c r="BM1495">
        <v>141</v>
      </c>
      <c r="BN1495">
        <v>258.58339999999998</v>
      </c>
      <c r="BO1495">
        <v>1552</v>
      </c>
      <c r="BP1495">
        <v>0</v>
      </c>
      <c r="BQ1495">
        <v>70</v>
      </c>
      <c r="BR1495">
        <v>70</v>
      </c>
      <c r="BS1495">
        <v>69.730009999999993</v>
      </c>
      <c r="BT1495">
        <v>0</v>
      </c>
      <c r="BV1495">
        <v>0</v>
      </c>
      <c r="BW1495" t="s">
        <v>655</v>
      </c>
      <c r="BX1495">
        <v>0.17</v>
      </c>
      <c r="BY1495">
        <v>11.854100000000001</v>
      </c>
      <c r="BZ1495">
        <v>0</v>
      </c>
      <c r="CA1495">
        <v>1</v>
      </c>
      <c r="CB1495">
        <v>0.6</v>
      </c>
      <c r="CC1495" s="3">
        <v>7.1269159999999998E-2</v>
      </c>
      <c r="CD1495">
        <v>2.875</v>
      </c>
      <c r="CE1495">
        <v>2.5</v>
      </c>
      <c r="CF1495">
        <v>18</v>
      </c>
      <c r="CG1495">
        <v>6</v>
      </c>
      <c r="CH1495">
        <v>0</v>
      </c>
      <c r="CI1495">
        <v>69.730009999999993</v>
      </c>
      <c r="CJ1495">
        <v>737.98540000000003</v>
      </c>
    </row>
    <row r="1496" spans="1:88">
      <c r="A1496">
        <v>1495</v>
      </c>
      <c r="B1496" t="s">
        <v>0</v>
      </c>
      <c r="C1496" t="s">
        <v>1</v>
      </c>
      <c r="D1496" t="s">
        <v>278</v>
      </c>
      <c r="E1496" t="s">
        <v>8</v>
      </c>
      <c r="F1496" t="s">
        <v>239</v>
      </c>
      <c r="G1496" t="s">
        <v>15</v>
      </c>
      <c r="H1496" t="s">
        <v>458</v>
      </c>
      <c r="J1496">
        <v>2</v>
      </c>
      <c r="K1496" t="s">
        <v>108</v>
      </c>
      <c r="L1496" t="s">
        <v>10</v>
      </c>
      <c r="M1496" t="s">
        <v>11</v>
      </c>
      <c r="N1496" t="s">
        <v>12</v>
      </c>
      <c r="O1496">
        <v>203</v>
      </c>
      <c r="Q1496">
        <v>1078</v>
      </c>
      <c r="R1496">
        <v>138</v>
      </c>
      <c r="S1496">
        <v>4.25</v>
      </c>
      <c r="T1496">
        <v>5.2460000000000004</v>
      </c>
      <c r="U1496">
        <v>7.35</v>
      </c>
      <c r="V1496">
        <v>4580.22</v>
      </c>
      <c r="W1496">
        <v>1011</v>
      </c>
      <c r="X1496">
        <v>1.5</v>
      </c>
      <c r="Y1496">
        <v>680</v>
      </c>
      <c r="Z1496">
        <v>6.74</v>
      </c>
      <c r="AJ1496">
        <v>2</v>
      </c>
      <c r="AK1496">
        <v>18</v>
      </c>
      <c r="AM1496">
        <v>0</v>
      </c>
      <c r="AO1496" t="s">
        <v>401</v>
      </c>
      <c r="AT1496">
        <v>76</v>
      </c>
      <c r="AV1496">
        <v>72.5</v>
      </c>
      <c r="AW1496" t="s">
        <v>6</v>
      </c>
      <c r="AX1496" t="s">
        <v>6</v>
      </c>
      <c r="AY1496" t="s">
        <v>6</v>
      </c>
      <c r="AZ1496" t="s">
        <v>6</v>
      </c>
      <c r="BA1496" t="s">
        <v>6</v>
      </c>
      <c r="BB1496" t="s">
        <v>6</v>
      </c>
      <c r="BC1496" t="s">
        <v>6</v>
      </c>
      <c r="BD1496" t="s">
        <v>6</v>
      </c>
      <c r="BE1496" t="s">
        <v>6</v>
      </c>
      <c r="BF1496" t="s">
        <v>6</v>
      </c>
      <c r="BG1496" t="s">
        <v>6</v>
      </c>
      <c r="BH1496" t="s">
        <v>6</v>
      </c>
      <c r="BI1496" t="s">
        <v>6</v>
      </c>
      <c r="BJ1496" t="s">
        <v>6</v>
      </c>
      <c r="BN1496">
        <v>618.78679999999997</v>
      </c>
      <c r="BO1496">
        <v>2857</v>
      </c>
      <c r="BP1496">
        <v>0</v>
      </c>
      <c r="BQ1496">
        <v>70</v>
      </c>
      <c r="BR1496">
        <v>70</v>
      </c>
      <c r="BS1496">
        <v>69.730009999999993</v>
      </c>
      <c r="BT1496">
        <v>0</v>
      </c>
      <c r="BV1496">
        <v>0</v>
      </c>
      <c r="BW1496" t="s">
        <v>655</v>
      </c>
      <c r="BX1496">
        <v>0.17</v>
      </c>
      <c r="BY1496">
        <v>11.854100000000001</v>
      </c>
      <c r="BZ1496">
        <v>0</v>
      </c>
      <c r="CA1496">
        <v>1</v>
      </c>
      <c r="CB1496">
        <v>0.6</v>
      </c>
      <c r="CC1496" s="3">
        <v>7.1269159999999998E-2</v>
      </c>
      <c r="CD1496">
        <v>2.875</v>
      </c>
      <c r="CE1496">
        <v>2.5</v>
      </c>
      <c r="CF1496">
        <v>18</v>
      </c>
      <c r="CG1496">
        <v>6</v>
      </c>
      <c r="CH1496">
        <v>0</v>
      </c>
      <c r="CI1496">
        <v>69.730009999999993</v>
      </c>
      <c r="CJ1496">
        <v>993.29840000000002</v>
      </c>
    </row>
    <row r="1497" spans="1:88">
      <c r="A1497">
        <v>1496</v>
      </c>
      <c r="B1497" t="s">
        <v>0</v>
      </c>
      <c r="C1497" t="s">
        <v>1</v>
      </c>
      <c r="D1497" t="s">
        <v>8</v>
      </c>
      <c r="E1497" t="s">
        <v>2</v>
      </c>
      <c r="F1497" t="s">
        <v>246</v>
      </c>
      <c r="G1497" t="s">
        <v>214</v>
      </c>
      <c r="H1497" t="s">
        <v>247</v>
      </c>
      <c r="J1497">
        <v>2</v>
      </c>
      <c r="K1497" t="s">
        <v>108</v>
      </c>
      <c r="L1497" t="s">
        <v>122</v>
      </c>
      <c r="M1497" t="s">
        <v>4</v>
      </c>
      <c r="N1497" t="s">
        <v>5</v>
      </c>
      <c r="O1497">
        <v>107</v>
      </c>
      <c r="Q1497">
        <v>585</v>
      </c>
      <c r="R1497">
        <v>124</v>
      </c>
      <c r="S1497">
        <v>4.25</v>
      </c>
      <c r="T1497">
        <v>2.9710000000000001</v>
      </c>
      <c r="U1497">
        <v>6.07</v>
      </c>
      <c r="V1497">
        <v>2484.42</v>
      </c>
      <c r="W1497">
        <v>750</v>
      </c>
      <c r="X1497">
        <v>1.3332999999999999</v>
      </c>
      <c r="Y1497">
        <v>578</v>
      </c>
      <c r="Z1497">
        <v>4.3</v>
      </c>
      <c r="AJ1497">
        <v>2</v>
      </c>
      <c r="AK1497">
        <v>18</v>
      </c>
      <c r="AM1497">
        <v>0</v>
      </c>
      <c r="AO1497" t="s">
        <v>250</v>
      </c>
      <c r="AT1497">
        <v>42</v>
      </c>
      <c r="AV1497">
        <v>71.099999999999994</v>
      </c>
      <c r="AW1497">
        <v>0.46875</v>
      </c>
      <c r="AX1497">
        <v>3.75</v>
      </c>
      <c r="AY1497">
        <v>44.25</v>
      </c>
      <c r="AZ1497">
        <v>4</v>
      </c>
      <c r="BA1497">
        <v>458.33</v>
      </c>
      <c r="BB1497">
        <v>4.3</v>
      </c>
      <c r="BC1497">
        <v>48</v>
      </c>
      <c r="BD1497">
        <v>0.3125</v>
      </c>
      <c r="BE1497">
        <v>2.75</v>
      </c>
      <c r="BF1497">
        <v>30.125</v>
      </c>
      <c r="BG1497">
        <v>2.625</v>
      </c>
      <c r="BH1497">
        <v>119.44</v>
      </c>
      <c r="BI1497">
        <v>5.35</v>
      </c>
      <c r="BJ1497">
        <v>16</v>
      </c>
      <c r="BL1497">
        <v>577.77</v>
      </c>
      <c r="BM1497">
        <v>63</v>
      </c>
      <c r="BN1497">
        <v>345.28</v>
      </c>
      <c r="BO1497">
        <v>1092</v>
      </c>
      <c r="BP1497">
        <v>0</v>
      </c>
      <c r="BQ1497">
        <v>36</v>
      </c>
      <c r="BR1497">
        <v>36</v>
      </c>
      <c r="BS1497">
        <v>36.340000000000003</v>
      </c>
      <c r="BT1497">
        <v>0</v>
      </c>
      <c r="BV1497">
        <v>0</v>
      </c>
      <c r="BW1497" t="s">
        <v>655</v>
      </c>
      <c r="BX1497">
        <v>0.17</v>
      </c>
      <c r="BY1497">
        <v>6.1778000000000004</v>
      </c>
      <c r="BZ1497">
        <v>0</v>
      </c>
      <c r="CA1497">
        <v>1</v>
      </c>
      <c r="CB1497">
        <v>0.6</v>
      </c>
      <c r="CC1497" s="3">
        <v>7.1269159999999998E-2</v>
      </c>
      <c r="CD1497">
        <v>2.875</v>
      </c>
      <c r="CE1497">
        <v>2.5</v>
      </c>
      <c r="CF1497">
        <v>18</v>
      </c>
      <c r="CG1497">
        <v>6</v>
      </c>
      <c r="CH1497">
        <v>0</v>
      </c>
      <c r="CI1497">
        <v>36.340000000000003</v>
      </c>
      <c r="CJ1497">
        <v>507.30079999999998</v>
      </c>
    </row>
    <row r="1498" spans="1:88">
      <c r="A1498">
        <v>1497</v>
      </c>
      <c r="B1498" t="s">
        <v>13</v>
      </c>
      <c r="C1498" t="s">
        <v>1</v>
      </c>
      <c r="D1498" t="s">
        <v>397</v>
      </c>
      <c r="E1498" t="s">
        <v>619</v>
      </c>
      <c r="F1498" t="s">
        <v>625</v>
      </c>
      <c r="G1498" t="s">
        <v>15</v>
      </c>
      <c r="H1498" t="s">
        <v>626</v>
      </c>
      <c r="J1498">
        <v>2</v>
      </c>
      <c r="K1498" t="s">
        <v>108</v>
      </c>
      <c r="L1498" t="s">
        <v>328</v>
      </c>
      <c r="M1498" t="s">
        <v>627</v>
      </c>
      <c r="N1498" t="s">
        <v>628</v>
      </c>
      <c r="O1498">
        <v>231</v>
      </c>
      <c r="Q1498">
        <v>1248</v>
      </c>
      <c r="R1498">
        <v>141</v>
      </c>
      <c r="S1498">
        <v>4.25</v>
      </c>
      <c r="T1498">
        <v>5.835</v>
      </c>
      <c r="U1498">
        <v>7.76</v>
      </c>
      <c r="V1498">
        <v>5304.97</v>
      </c>
      <c r="W1498">
        <v>1094</v>
      </c>
      <c r="X1498">
        <v>1.5</v>
      </c>
      <c r="Y1498">
        <v>724</v>
      </c>
      <c r="Z1498">
        <v>7.33</v>
      </c>
      <c r="AJ1498">
        <v>2</v>
      </c>
      <c r="AK1498">
        <v>18</v>
      </c>
      <c r="AM1498">
        <v>0</v>
      </c>
      <c r="AO1498" t="s">
        <v>450</v>
      </c>
      <c r="AT1498">
        <v>86</v>
      </c>
      <c r="AV1498">
        <v>74.3</v>
      </c>
      <c r="AW1498" t="s">
        <v>6</v>
      </c>
      <c r="AX1498" t="s">
        <v>6</v>
      </c>
      <c r="AY1498" t="s">
        <v>6</v>
      </c>
      <c r="AZ1498" t="s">
        <v>6</v>
      </c>
      <c r="BA1498" t="s">
        <v>6</v>
      </c>
      <c r="BB1498" t="s">
        <v>6</v>
      </c>
      <c r="BC1498" t="s">
        <v>6</v>
      </c>
      <c r="BD1498" t="s">
        <v>6</v>
      </c>
      <c r="BE1498" t="s">
        <v>6</v>
      </c>
      <c r="BF1498" t="s">
        <v>6</v>
      </c>
      <c r="BG1498" t="s">
        <v>6</v>
      </c>
      <c r="BH1498" t="s">
        <v>6</v>
      </c>
      <c r="BI1498" t="s">
        <v>6</v>
      </c>
      <c r="BJ1498" t="s">
        <v>6</v>
      </c>
      <c r="BN1498">
        <v>634.57209999999998</v>
      </c>
      <c r="BO1498">
        <v>2716</v>
      </c>
      <c r="BP1498">
        <v>0</v>
      </c>
      <c r="BQ1498">
        <v>79</v>
      </c>
      <c r="BR1498">
        <v>79</v>
      </c>
      <c r="BS1498">
        <v>79.47</v>
      </c>
      <c r="BT1498">
        <v>0</v>
      </c>
      <c r="BV1498">
        <v>0</v>
      </c>
      <c r="BW1498" t="s">
        <v>655</v>
      </c>
      <c r="BX1498">
        <v>0.17</v>
      </c>
      <c r="BY1498">
        <v>13.5099</v>
      </c>
      <c r="BZ1498">
        <v>0</v>
      </c>
      <c r="CA1498">
        <v>1</v>
      </c>
      <c r="CB1498">
        <v>0.6</v>
      </c>
      <c r="CC1498" s="3">
        <v>7.1269159999999998E-2</v>
      </c>
      <c r="CD1498">
        <v>2.875</v>
      </c>
      <c r="CE1498">
        <v>2.5</v>
      </c>
      <c r="CF1498">
        <v>18</v>
      </c>
      <c r="CG1498">
        <v>6</v>
      </c>
      <c r="CH1498">
        <v>0</v>
      </c>
      <c r="CI1498">
        <v>79.47</v>
      </c>
      <c r="CJ1498">
        <v>1160.3630000000001</v>
      </c>
    </row>
    <row r="1499" spans="1:88">
      <c r="A1499">
        <v>1498</v>
      </c>
      <c r="B1499" t="s">
        <v>0</v>
      </c>
      <c r="C1499" t="s">
        <v>1</v>
      </c>
      <c r="D1499" t="s">
        <v>162</v>
      </c>
      <c r="E1499" t="s">
        <v>178</v>
      </c>
      <c r="F1499" t="s">
        <v>100</v>
      </c>
      <c r="G1499" t="s">
        <v>106</v>
      </c>
      <c r="H1499" t="s">
        <v>158</v>
      </c>
      <c r="J1499">
        <v>2</v>
      </c>
      <c r="K1499" t="s">
        <v>146</v>
      </c>
      <c r="L1499" t="s">
        <v>127</v>
      </c>
      <c r="M1499" t="s">
        <v>179</v>
      </c>
      <c r="N1499" t="s">
        <v>180</v>
      </c>
      <c r="O1499">
        <v>95</v>
      </c>
      <c r="Q1499">
        <v>331</v>
      </c>
      <c r="R1499">
        <v>80</v>
      </c>
      <c r="S1499">
        <v>4.25</v>
      </c>
      <c r="T1499">
        <v>2.649</v>
      </c>
      <c r="U1499">
        <v>5.81</v>
      </c>
      <c r="V1499">
        <v>1405.81</v>
      </c>
      <c r="W1499">
        <v>466</v>
      </c>
      <c r="X1499">
        <v>1.3332999999999999</v>
      </c>
      <c r="Y1499">
        <v>353</v>
      </c>
      <c r="Z1499">
        <v>3.98</v>
      </c>
      <c r="AJ1499">
        <v>2</v>
      </c>
      <c r="AK1499">
        <v>18</v>
      </c>
      <c r="AM1499">
        <v>0</v>
      </c>
      <c r="AO1499" t="s">
        <v>121</v>
      </c>
      <c r="AT1499">
        <v>38</v>
      </c>
      <c r="AV1499">
        <v>44.4</v>
      </c>
      <c r="AW1499">
        <v>0</v>
      </c>
      <c r="AX1499">
        <v>0</v>
      </c>
      <c r="AY1499">
        <v>40.25</v>
      </c>
      <c r="AZ1499">
        <v>3.5</v>
      </c>
      <c r="BA1499">
        <v>0</v>
      </c>
      <c r="BB1499">
        <v>0</v>
      </c>
      <c r="BC1499">
        <v>41</v>
      </c>
      <c r="BN1499">
        <v>212.2167</v>
      </c>
      <c r="BO1499">
        <v>2304</v>
      </c>
      <c r="BP1499">
        <v>0</v>
      </c>
      <c r="BQ1499">
        <v>32</v>
      </c>
      <c r="BR1499">
        <v>32</v>
      </c>
      <c r="BS1499">
        <v>32.17</v>
      </c>
      <c r="BT1499">
        <v>0</v>
      </c>
      <c r="BV1499">
        <v>0</v>
      </c>
      <c r="BW1499" t="s">
        <v>655</v>
      </c>
      <c r="BX1499">
        <v>0.17</v>
      </c>
      <c r="BY1499">
        <v>5.4688999999999997</v>
      </c>
      <c r="BZ1499">
        <v>0</v>
      </c>
      <c r="CA1499">
        <v>1</v>
      </c>
      <c r="CB1499">
        <v>0.6</v>
      </c>
      <c r="CC1499" s="3">
        <v>7.1269159999999998E-2</v>
      </c>
      <c r="CD1499">
        <v>2.875</v>
      </c>
      <c r="CE1499">
        <v>2.5</v>
      </c>
      <c r="CF1499">
        <v>18</v>
      </c>
      <c r="CG1499">
        <v>6</v>
      </c>
      <c r="CH1499">
        <v>0</v>
      </c>
      <c r="CI1499">
        <v>32.17</v>
      </c>
      <c r="CJ1499">
        <v>280.85930000000002</v>
      </c>
    </row>
    <row r="1500" spans="1:88">
      <c r="A1500">
        <v>1499</v>
      </c>
      <c r="B1500" t="s">
        <v>13</v>
      </c>
      <c r="C1500" t="s">
        <v>1</v>
      </c>
      <c r="D1500" t="s">
        <v>242</v>
      </c>
      <c r="E1500" t="s">
        <v>332</v>
      </c>
      <c r="F1500" t="s">
        <v>362</v>
      </c>
      <c r="G1500" t="s">
        <v>106</v>
      </c>
      <c r="H1500" t="s">
        <v>537</v>
      </c>
      <c r="J1500">
        <v>2</v>
      </c>
      <c r="K1500" t="s">
        <v>146</v>
      </c>
      <c r="L1500" t="s">
        <v>438</v>
      </c>
      <c r="M1500" t="s">
        <v>372</v>
      </c>
      <c r="N1500" t="s">
        <v>222</v>
      </c>
      <c r="O1500">
        <v>77</v>
      </c>
      <c r="Q1500">
        <v>138</v>
      </c>
      <c r="R1500">
        <v>40</v>
      </c>
      <c r="S1500">
        <v>4.25</v>
      </c>
      <c r="T1500">
        <v>2.1459999999999999</v>
      </c>
      <c r="U1500">
        <v>5.58</v>
      </c>
      <c r="V1500">
        <v>586.84</v>
      </c>
      <c r="W1500">
        <v>222</v>
      </c>
      <c r="X1500">
        <v>1.3332999999999999</v>
      </c>
      <c r="Y1500">
        <v>169</v>
      </c>
      <c r="Z1500">
        <v>3.47</v>
      </c>
      <c r="AJ1500">
        <v>2</v>
      </c>
      <c r="AK1500">
        <v>18</v>
      </c>
      <c r="AM1500">
        <v>0</v>
      </c>
      <c r="AO1500" t="s">
        <v>606</v>
      </c>
      <c r="AT1500">
        <v>32</v>
      </c>
      <c r="AV1500">
        <v>21.9</v>
      </c>
      <c r="AW1500">
        <v>0</v>
      </c>
      <c r="AX1500">
        <v>0</v>
      </c>
      <c r="AY1500">
        <v>15.125</v>
      </c>
      <c r="AZ1500">
        <v>2.125</v>
      </c>
      <c r="BA1500">
        <v>0</v>
      </c>
      <c r="BB1500">
        <v>0</v>
      </c>
      <c r="BC1500">
        <v>11</v>
      </c>
      <c r="BN1500">
        <v>101.65</v>
      </c>
      <c r="BO1500">
        <v>10043</v>
      </c>
      <c r="BP1500">
        <v>0</v>
      </c>
      <c r="BQ1500">
        <v>26</v>
      </c>
      <c r="BR1500">
        <v>26</v>
      </c>
      <c r="BS1500">
        <v>25.91</v>
      </c>
      <c r="BT1500">
        <v>0</v>
      </c>
      <c r="BV1500">
        <v>0</v>
      </c>
      <c r="BW1500" t="s">
        <v>655</v>
      </c>
      <c r="BX1500">
        <v>0.17</v>
      </c>
      <c r="BY1500">
        <v>4.4047000000000001</v>
      </c>
      <c r="BZ1500">
        <v>0</v>
      </c>
      <c r="CA1500">
        <v>1</v>
      </c>
      <c r="CB1500">
        <v>0.6</v>
      </c>
      <c r="CC1500" s="3">
        <v>7.1269159999999998E-2</v>
      </c>
      <c r="CD1500">
        <v>2.875</v>
      </c>
      <c r="CE1500">
        <v>2.5</v>
      </c>
      <c r="CF1500">
        <v>18</v>
      </c>
      <c r="CG1500">
        <v>6</v>
      </c>
      <c r="CH1500">
        <v>0</v>
      </c>
      <c r="CI1500">
        <v>25.91</v>
      </c>
      <c r="CJ1500">
        <v>111.7183</v>
      </c>
    </row>
    <row r="1501" spans="1:88">
      <c r="A1501">
        <v>1500</v>
      </c>
      <c r="B1501" t="s">
        <v>0</v>
      </c>
      <c r="C1501" t="s">
        <v>1</v>
      </c>
      <c r="D1501" t="s">
        <v>131</v>
      </c>
      <c r="E1501" t="s">
        <v>12</v>
      </c>
      <c r="F1501" t="s">
        <v>232</v>
      </c>
      <c r="G1501" t="s">
        <v>106</v>
      </c>
      <c r="H1501" t="s">
        <v>233</v>
      </c>
      <c r="J1501">
        <v>2</v>
      </c>
      <c r="K1501" t="s">
        <v>146</v>
      </c>
      <c r="L1501" t="s">
        <v>649</v>
      </c>
      <c r="M1501" t="s">
        <v>650</v>
      </c>
      <c r="N1501" t="s">
        <v>208</v>
      </c>
      <c r="O1501">
        <v>206</v>
      </c>
      <c r="Q1501">
        <v>826</v>
      </c>
      <c r="R1501">
        <v>104</v>
      </c>
      <c r="S1501">
        <v>4.25</v>
      </c>
      <c r="T1501">
        <v>5.3109999999999999</v>
      </c>
      <c r="U1501">
        <v>7.35</v>
      </c>
      <c r="V1501">
        <v>3509.82</v>
      </c>
      <c r="W1501">
        <v>762</v>
      </c>
      <c r="X1501">
        <v>1.5</v>
      </c>
      <c r="Y1501">
        <v>515</v>
      </c>
      <c r="Z1501">
        <v>6.81</v>
      </c>
      <c r="AJ1501">
        <v>2</v>
      </c>
      <c r="AK1501">
        <v>18</v>
      </c>
      <c r="AM1501">
        <v>0</v>
      </c>
      <c r="AO1501" t="s">
        <v>236</v>
      </c>
      <c r="AT1501">
        <v>77</v>
      </c>
      <c r="AV1501">
        <v>54.6</v>
      </c>
      <c r="AW1501">
        <v>0.46875</v>
      </c>
      <c r="AX1501">
        <v>3.75</v>
      </c>
      <c r="AY1501">
        <v>71.5</v>
      </c>
      <c r="AZ1501">
        <v>6.375</v>
      </c>
      <c r="BA1501">
        <v>283.45999999999998</v>
      </c>
      <c r="BB1501">
        <v>6.95</v>
      </c>
      <c r="BC1501">
        <v>77</v>
      </c>
      <c r="BD1501">
        <v>0.4375</v>
      </c>
      <c r="BE1501">
        <v>3.75</v>
      </c>
      <c r="BF1501">
        <v>61.375</v>
      </c>
      <c r="BG1501">
        <v>6</v>
      </c>
      <c r="BH1501">
        <v>231.93</v>
      </c>
      <c r="BI1501">
        <v>7.09</v>
      </c>
      <c r="BJ1501">
        <v>62</v>
      </c>
      <c r="BL1501">
        <v>515.39</v>
      </c>
      <c r="BM1501">
        <v>138</v>
      </c>
      <c r="BN1501">
        <v>262.14999999999998</v>
      </c>
      <c r="BO1501">
        <v>1510</v>
      </c>
      <c r="BP1501">
        <v>0</v>
      </c>
      <c r="BQ1501">
        <v>71</v>
      </c>
      <c r="BR1501">
        <v>71</v>
      </c>
      <c r="BS1501">
        <v>70.78</v>
      </c>
      <c r="BT1501">
        <v>0</v>
      </c>
      <c r="BV1501">
        <v>0</v>
      </c>
      <c r="BW1501" t="s">
        <v>655</v>
      </c>
      <c r="BX1501">
        <v>0.17</v>
      </c>
      <c r="BY1501">
        <v>12.0326</v>
      </c>
      <c r="BZ1501">
        <v>0</v>
      </c>
      <c r="CA1501">
        <v>1</v>
      </c>
      <c r="CB1501">
        <v>0.6</v>
      </c>
      <c r="CC1501" s="3">
        <v>7.1269159999999998E-2</v>
      </c>
      <c r="CD1501">
        <v>2.875</v>
      </c>
      <c r="CE1501">
        <v>2.5</v>
      </c>
      <c r="CF1501">
        <v>18</v>
      </c>
      <c r="CG1501">
        <v>6</v>
      </c>
      <c r="CH1501">
        <v>0</v>
      </c>
      <c r="CI1501">
        <v>70.78</v>
      </c>
      <c r="CJ1501">
        <v>759.18679999999995</v>
      </c>
    </row>
    <row r="1502" spans="1:88">
      <c r="A1502">
        <v>1501</v>
      </c>
      <c r="B1502" t="s">
        <v>13</v>
      </c>
      <c r="C1502" t="s">
        <v>1</v>
      </c>
      <c r="D1502" t="s">
        <v>438</v>
      </c>
      <c r="E1502" t="s">
        <v>233</v>
      </c>
      <c r="F1502" t="s">
        <v>319</v>
      </c>
      <c r="G1502" t="s">
        <v>106</v>
      </c>
      <c r="H1502" t="s">
        <v>464</v>
      </c>
      <c r="J1502">
        <v>2</v>
      </c>
      <c r="K1502" t="s">
        <v>146</v>
      </c>
      <c r="L1502" t="s">
        <v>251</v>
      </c>
      <c r="M1502" t="s">
        <v>236</v>
      </c>
      <c r="N1502" t="s">
        <v>272</v>
      </c>
      <c r="O1502">
        <v>157</v>
      </c>
      <c r="Q1502">
        <v>384</v>
      </c>
      <c r="R1502">
        <v>61</v>
      </c>
      <c r="S1502">
        <v>4.25</v>
      </c>
      <c r="T1502">
        <v>4.2130000000000001</v>
      </c>
      <c r="U1502">
        <v>6.82</v>
      </c>
      <c r="V1502">
        <v>1633.4</v>
      </c>
      <c r="W1502">
        <v>418</v>
      </c>
      <c r="X1502">
        <v>1.5</v>
      </c>
      <c r="Y1502">
        <v>286</v>
      </c>
      <c r="Z1502">
        <v>5.71</v>
      </c>
      <c r="AJ1502">
        <v>2</v>
      </c>
      <c r="AK1502">
        <v>18</v>
      </c>
      <c r="AM1502">
        <v>0</v>
      </c>
      <c r="AO1502" t="s">
        <v>408</v>
      </c>
      <c r="AT1502">
        <v>60</v>
      </c>
      <c r="AV1502">
        <v>32.4</v>
      </c>
      <c r="AW1502">
        <v>0</v>
      </c>
      <c r="AX1502">
        <v>0</v>
      </c>
      <c r="AY1502">
        <v>49.75</v>
      </c>
      <c r="AZ1502">
        <v>5</v>
      </c>
      <c r="BA1502">
        <v>0</v>
      </c>
      <c r="BB1502">
        <v>0</v>
      </c>
      <c r="BC1502">
        <v>50</v>
      </c>
      <c r="BN1502">
        <v>153.36670000000001</v>
      </c>
      <c r="BO1502">
        <v>4412</v>
      </c>
      <c r="BP1502">
        <v>0</v>
      </c>
      <c r="BQ1502">
        <v>54</v>
      </c>
      <c r="BR1502">
        <v>54</v>
      </c>
      <c r="BS1502">
        <v>53.73</v>
      </c>
      <c r="BT1502">
        <v>0</v>
      </c>
      <c r="BV1502">
        <v>0</v>
      </c>
      <c r="BW1502" t="s">
        <v>655</v>
      </c>
      <c r="BX1502">
        <v>0.17</v>
      </c>
      <c r="BY1502">
        <v>9.1341000000000001</v>
      </c>
      <c r="BZ1502">
        <v>0</v>
      </c>
      <c r="CA1502">
        <v>1</v>
      </c>
      <c r="CB1502">
        <v>0.6</v>
      </c>
      <c r="CC1502" s="3">
        <v>7.1269159999999998E-2</v>
      </c>
      <c r="CD1502">
        <v>2.875</v>
      </c>
      <c r="CE1502">
        <v>2.5</v>
      </c>
      <c r="CF1502">
        <v>18</v>
      </c>
      <c r="CG1502">
        <v>6</v>
      </c>
      <c r="CH1502">
        <v>0</v>
      </c>
      <c r="CI1502">
        <v>53.73</v>
      </c>
      <c r="CJ1502">
        <v>342.72160000000002</v>
      </c>
    </row>
    <row r="1503" spans="1:88">
      <c r="A1503">
        <v>1502</v>
      </c>
      <c r="B1503" t="s">
        <v>13</v>
      </c>
      <c r="C1503" t="s">
        <v>1</v>
      </c>
      <c r="D1503" t="s">
        <v>104</v>
      </c>
      <c r="E1503" t="s">
        <v>2</v>
      </c>
      <c r="F1503" t="s">
        <v>337</v>
      </c>
      <c r="G1503" t="s">
        <v>106</v>
      </c>
      <c r="H1503" t="s">
        <v>398</v>
      </c>
      <c r="J1503">
        <v>2</v>
      </c>
      <c r="K1503" t="s">
        <v>108</v>
      </c>
      <c r="L1503" t="s">
        <v>122</v>
      </c>
      <c r="M1503" t="s">
        <v>4</v>
      </c>
      <c r="N1503" t="s">
        <v>5</v>
      </c>
      <c r="O1503">
        <v>107</v>
      </c>
      <c r="Q1503">
        <v>549</v>
      </c>
      <c r="R1503">
        <v>116</v>
      </c>
      <c r="S1503">
        <v>4.25</v>
      </c>
      <c r="T1503">
        <v>2.9710000000000001</v>
      </c>
      <c r="U1503">
        <v>6.07</v>
      </c>
      <c r="V1503">
        <v>2333.8000000000002</v>
      </c>
      <c r="W1503">
        <v>704</v>
      </c>
      <c r="X1503">
        <v>1.3332999999999999</v>
      </c>
      <c r="Y1503">
        <v>543</v>
      </c>
      <c r="Z1503">
        <v>4.3</v>
      </c>
      <c r="AJ1503">
        <v>2</v>
      </c>
      <c r="AK1503">
        <v>18</v>
      </c>
      <c r="AM1503">
        <v>0</v>
      </c>
      <c r="AO1503" t="s">
        <v>170</v>
      </c>
      <c r="AT1503">
        <v>42</v>
      </c>
      <c r="AV1503">
        <v>66.7</v>
      </c>
      <c r="AW1503">
        <v>0.40625</v>
      </c>
      <c r="AX1503">
        <v>3.75</v>
      </c>
      <c r="AY1503">
        <v>32.625</v>
      </c>
      <c r="AZ1503">
        <v>3.5</v>
      </c>
      <c r="BA1503">
        <v>298.5</v>
      </c>
      <c r="BB1503">
        <v>4.43</v>
      </c>
      <c r="BC1503">
        <v>31</v>
      </c>
      <c r="BD1503">
        <v>0.375</v>
      </c>
      <c r="BE1503">
        <v>3.75</v>
      </c>
      <c r="BF1503">
        <v>26.5</v>
      </c>
      <c r="BG1503">
        <v>3.25</v>
      </c>
      <c r="BH1503">
        <v>244.24</v>
      </c>
      <c r="BI1503">
        <v>4.41</v>
      </c>
      <c r="BJ1503">
        <v>23</v>
      </c>
      <c r="BL1503">
        <v>542.74</v>
      </c>
      <c r="BM1503">
        <v>54</v>
      </c>
      <c r="BN1503">
        <v>321.00009999999997</v>
      </c>
      <c r="BO1503">
        <v>1007</v>
      </c>
      <c r="BP1503">
        <v>0</v>
      </c>
      <c r="BQ1503">
        <v>36</v>
      </c>
      <c r="BR1503">
        <v>36</v>
      </c>
      <c r="BS1503">
        <v>36.340000000000003</v>
      </c>
      <c r="BT1503">
        <v>0</v>
      </c>
      <c r="BV1503">
        <v>0</v>
      </c>
      <c r="BW1503" t="s">
        <v>655</v>
      </c>
      <c r="BX1503">
        <v>0.17</v>
      </c>
      <c r="BY1503">
        <v>6.1778000000000004</v>
      </c>
      <c r="BZ1503">
        <v>0</v>
      </c>
      <c r="CA1503">
        <v>1</v>
      </c>
      <c r="CB1503">
        <v>0.6</v>
      </c>
      <c r="CC1503" s="3">
        <v>7.1269159999999998E-2</v>
      </c>
      <c r="CD1503">
        <v>2.875</v>
      </c>
      <c r="CE1503">
        <v>2.5</v>
      </c>
      <c r="CF1503">
        <v>18</v>
      </c>
      <c r="CG1503">
        <v>6</v>
      </c>
      <c r="CH1503">
        <v>0</v>
      </c>
      <c r="CI1503">
        <v>36.340000000000003</v>
      </c>
      <c r="CJ1503">
        <v>476.22179999999997</v>
      </c>
    </row>
    <row r="1504" spans="1:88">
      <c r="A1504">
        <v>1503</v>
      </c>
      <c r="B1504" t="s">
        <v>0</v>
      </c>
      <c r="C1504" t="s">
        <v>1</v>
      </c>
      <c r="D1504" t="s">
        <v>682</v>
      </c>
      <c r="E1504" t="s">
        <v>172</v>
      </c>
      <c r="F1504" t="s">
        <v>730</v>
      </c>
      <c r="G1504" t="s">
        <v>20</v>
      </c>
      <c r="H1504" t="s">
        <v>682</v>
      </c>
      <c r="J1504">
        <v>2</v>
      </c>
      <c r="K1504" t="s">
        <v>9</v>
      </c>
      <c r="L1504" t="s">
        <v>233</v>
      </c>
      <c r="M1504" t="s">
        <v>490</v>
      </c>
      <c r="N1504" t="s">
        <v>128</v>
      </c>
      <c r="O1504">
        <v>137</v>
      </c>
      <c r="Q1504">
        <v>1070</v>
      </c>
      <c r="R1504">
        <v>180</v>
      </c>
      <c r="S1504">
        <v>4.25</v>
      </c>
      <c r="T1504">
        <v>3.734</v>
      </c>
      <c r="U1504">
        <v>6.48</v>
      </c>
      <c r="V1504">
        <v>4547.2</v>
      </c>
      <c r="W1504">
        <v>1169</v>
      </c>
      <c r="X1504">
        <v>1.3332999999999999</v>
      </c>
      <c r="Y1504">
        <v>899</v>
      </c>
      <c r="Z1504">
        <v>5.0599999999999996</v>
      </c>
      <c r="AJ1504">
        <v>2</v>
      </c>
      <c r="AK1504">
        <v>18</v>
      </c>
      <c r="AM1504">
        <v>0</v>
      </c>
      <c r="AO1504" t="s">
        <v>731</v>
      </c>
      <c r="AT1504">
        <v>53</v>
      </c>
      <c r="AV1504">
        <v>103.7</v>
      </c>
      <c r="AW1504" t="s">
        <v>6</v>
      </c>
      <c r="AX1504" t="s">
        <v>6</v>
      </c>
      <c r="AY1504" t="s">
        <v>6</v>
      </c>
      <c r="AZ1504" t="s">
        <v>6</v>
      </c>
      <c r="BA1504" t="s">
        <v>6</v>
      </c>
      <c r="BB1504" t="s">
        <v>6</v>
      </c>
      <c r="BC1504" t="s">
        <v>6</v>
      </c>
      <c r="BD1504" t="s">
        <v>6</v>
      </c>
      <c r="BE1504" t="s">
        <v>6</v>
      </c>
      <c r="BF1504" t="s">
        <v>6</v>
      </c>
      <c r="BG1504" t="s">
        <v>6</v>
      </c>
      <c r="BH1504" t="s">
        <v>6</v>
      </c>
      <c r="BI1504" t="s">
        <v>6</v>
      </c>
      <c r="BJ1504" t="s">
        <v>6</v>
      </c>
      <c r="BN1504">
        <v>780.1413</v>
      </c>
      <c r="BO1504">
        <v>1967</v>
      </c>
      <c r="BP1504">
        <v>0</v>
      </c>
      <c r="BQ1504">
        <v>47</v>
      </c>
      <c r="BR1504">
        <v>47</v>
      </c>
      <c r="BS1504">
        <v>46.78</v>
      </c>
      <c r="BT1504">
        <v>0</v>
      </c>
      <c r="BV1504">
        <v>6</v>
      </c>
      <c r="BW1504" t="s">
        <v>655</v>
      </c>
      <c r="BX1504">
        <v>0.27933340000000001</v>
      </c>
      <c r="BY1504">
        <v>13.067209999999999</v>
      </c>
      <c r="BZ1504">
        <v>0</v>
      </c>
      <c r="CA1504">
        <v>1</v>
      </c>
      <c r="CB1504">
        <v>0.6</v>
      </c>
      <c r="CC1504" s="3">
        <v>7.1269159999999998E-2</v>
      </c>
      <c r="CD1504">
        <v>2.875</v>
      </c>
      <c r="CE1504">
        <v>2.5</v>
      </c>
      <c r="CF1504">
        <v>18</v>
      </c>
      <c r="CG1504">
        <v>6</v>
      </c>
      <c r="CH1504">
        <v>0</v>
      </c>
      <c r="CI1504">
        <v>46.78</v>
      </c>
      <c r="CJ1504">
        <v>953.09889999999996</v>
      </c>
    </row>
    <row r="1505" spans="1:88">
      <c r="A1505">
        <v>1504</v>
      </c>
      <c r="B1505" t="s">
        <v>0</v>
      </c>
      <c r="C1505" t="s">
        <v>1</v>
      </c>
      <c r="D1505" t="s">
        <v>233</v>
      </c>
      <c r="E1505" t="s">
        <v>233</v>
      </c>
      <c r="F1505" t="s">
        <v>271</v>
      </c>
      <c r="G1505" t="s">
        <v>106</v>
      </c>
      <c r="H1505" t="s">
        <v>279</v>
      </c>
      <c r="J1505">
        <v>2</v>
      </c>
      <c r="K1505" t="s">
        <v>146</v>
      </c>
      <c r="L1505" t="s">
        <v>251</v>
      </c>
      <c r="M1505" t="s">
        <v>236</v>
      </c>
      <c r="N1505" t="s">
        <v>272</v>
      </c>
      <c r="O1505">
        <v>157</v>
      </c>
      <c r="Q1505">
        <v>636</v>
      </c>
      <c r="R1505">
        <v>96</v>
      </c>
      <c r="S1505">
        <v>4.25</v>
      </c>
      <c r="T1505">
        <v>4.2130000000000001</v>
      </c>
      <c r="U1505">
        <v>6.82</v>
      </c>
      <c r="V1505">
        <v>2702.44</v>
      </c>
      <c r="W1505">
        <v>653</v>
      </c>
      <c r="X1505">
        <v>1.3332999999999999</v>
      </c>
      <c r="Y1505">
        <v>488</v>
      </c>
      <c r="Z1505">
        <v>5.54</v>
      </c>
      <c r="AJ1505">
        <v>2</v>
      </c>
      <c r="AK1505">
        <v>18</v>
      </c>
      <c r="AM1505">
        <v>0</v>
      </c>
      <c r="AO1505" t="s">
        <v>144</v>
      </c>
      <c r="AT1505">
        <v>60</v>
      </c>
      <c r="AV1505">
        <v>54.2</v>
      </c>
      <c r="AW1505" t="s">
        <v>6</v>
      </c>
      <c r="AX1505" t="s">
        <v>6</v>
      </c>
      <c r="AY1505" t="s">
        <v>6</v>
      </c>
      <c r="AZ1505" t="s">
        <v>6</v>
      </c>
      <c r="BA1505" t="s">
        <v>6</v>
      </c>
      <c r="BB1505" t="s">
        <v>6</v>
      </c>
      <c r="BC1505" t="s">
        <v>6</v>
      </c>
      <c r="BD1505" t="s">
        <v>6</v>
      </c>
      <c r="BE1505" t="s">
        <v>6</v>
      </c>
      <c r="BF1505" t="s">
        <v>6</v>
      </c>
      <c r="BG1505" t="s">
        <v>6</v>
      </c>
      <c r="BH1505" t="s">
        <v>6</v>
      </c>
      <c r="BI1505" t="s">
        <v>6</v>
      </c>
      <c r="BJ1505" t="s">
        <v>6</v>
      </c>
      <c r="BN1505">
        <v>260.36669999999998</v>
      </c>
      <c r="BO1505">
        <v>1531</v>
      </c>
      <c r="BP1505">
        <v>0</v>
      </c>
      <c r="BQ1505">
        <v>54</v>
      </c>
      <c r="BR1505">
        <v>54</v>
      </c>
      <c r="BS1505">
        <v>53.73</v>
      </c>
      <c r="BT1505">
        <v>0</v>
      </c>
      <c r="BV1505">
        <v>0</v>
      </c>
      <c r="BW1505" t="s">
        <v>655</v>
      </c>
      <c r="BX1505">
        <v>0.17</v>
      </c>
      <c r="BY1505">
        <v>9.1341000000000001</v>
      </c>
      <c r="BZ1505">
        <v>0</v>
      </c>
      <c r="CA1505">
        <v>1</v>
      </c>
      <c r="CB1505">
        <v>0.6</v>
      </c>
      <c r="CC1505" s="3">
        <v>7.1269159999999998E-2</v>
      </c>
      <c r="CD1505">
        <v>2.875</v>
      </c>
      <c r="CE1505">
        <v>2.5</v>
      </c>
      <c r="CF1505">
        <v>18</v>
      </c>
      <c r="CG1505">
        <v>6</v>
      </c>
      <c r="CH1505">
        <v>0</v>
      </c>
      <c r="CI1505">
        <v>53.73</v>
      </c>
      <c r="CJ1505">
        <v>572.47910000000002</v>
      </c>
    </row>
    <row r="1506" spans="1:88">
      <c r="A1506">
        <v>1505</v>
      </c>
      <c r="B1506" t="s">
        <v>0</v>
      </c>
      <c r="C1506" t="s">
        <v>1</v>
      </c>
      <c r="D1506" t="s">
        <v>101</v>
      </c>
      <c r="E1506" t="s">
        <v>369</v>
      </c>
      <c r="F1506" t="s">
        <v>339</v>
      </c>
      <c r="G1506" t="s">
        <v>106</v>
      </c>
      <c r="H1506" t="s">
        <v>167</v>
      </c>
      <c r="J1506">
        <v>2</v>
      </c>
      <c r="K1506" t="s">
        <v>146</v>
      </c>
      <c r="L1506" t="s">
        <v>259</v>
      </c>
      <c r="M1506" t="s">
        <v>480</v>
      </c>
      <c r="N1506" t="s">
        <v>307</v>
      </c>
      <c r="O1506">
        <v>121</v>
      </c>
      <c r="Q1506">
        <v>424</v>
      </c>
      <c r="R1506">
        <v>83</v>
      </c>
      <c r="S1506">
        <v>4.25</v>
      </c>
      <c r="T1506">
        <v>3.3340000000000001</v>
      </c>
      <c r="U1506">
        <v>6.22</v>
      </c>
      <c r="V1506">
        <v>1803.87</v>
      </c>
      <c r="W1506">
        <v>514</v>
      </c>
      <c r="X1506">
        <v>1.3332999999999999</v>
      </c>
      <c r="Y1506">
        <v>387</v>
      </c>
      <c r="Z1506">
        <v>4.66</v>
      </c>
      <c r="AJ1506">
        <v>2</v>
      </c>
      <c r="AK1506">
        <v>18</v>
      </c>
      <c r="AM1506">
        <v>0</v>
      </c>
      <c r="AO1506" t="s">
        <v>327</v>
      </c>
      <c r="AT1506">
        <v>47</v>
      </c>
      <c r="AV1506">
        <v>45.9</v>
      </c>
      <c r="AW1506">
        <v>0</v>
      </c>
      <c r="AX1506">
        <v>0</v>
      </c>
      <c r="AY1506">
        <v>52.375</v>
      </c>
      <c r="AZ1506">
        <v>4.375</v>
      </c>
      <c r="BA1506">
        <v>0</v>
      </c>
      <c r="BB1506">
        <v>0</v>
      </c>
      <c r="BC1506">
        <v>56</v>
      </c>
      <c r="BN1506">
        <v>219.35</v>
      </c>
      <c r="BO1506">
        <v>2157</v>
      </c>
      <c r="BP1506">
        <v>0</v>
      </c>
      <c r="BQ1506">
        <v>41</v>
      </c>
      <c r="BR1506">
        <v>41</v>
      </c>
      <c r="BS1506">
        <v>41.21</v>
      </c>
      <c r="BT1506">
        <v>0</v>
      </c>
      <c r="BV1506">
        <v>0</v>
      </c>
      <c r="BW1506" t="s">
        <v>655</v>
      </c>
      <c r="BX1506">
        <v>0.17</v>
      </c>
      <c r="BY1506">
        <v>7.0057</v>
      </c>
      <c r="BZ1506">
        <v>0</v>
      </c>
      <c r="CA1506">
        <v>1</v>
      </c>
      <c r="CB1506">
        <v>0.6</v>
      </c>
      <c r="CC1506" s="3">
        <v>7.1269159999999998E-2</v>
      </c>
      <c r="CD1506">
        <v>2.875</v>
      </c>
      <c r="CE1506">
        <v>2.5</v>
      </c>
      <c r="CF1506">
        <v>18</v>
      </c>
      <c r="CG1506">
        <v>6</v>
      </c>
      <c r="CH1506">
        <v>0</v>
      </c>
      <c r="CI1506">
        <v>41.21</v>
      </c>
      <c r="CJ1506">
        <v>371.53070000000002</v>
      </c>
    </row>
    <row r="1507" spans="1:88">
      <c r="A1507">
        <v>1506</v>
      </c>
      <c r="B1507" t="s">
        <v>13</v>
      </c>
      <c r="C1507" t="s">
        <v>1</v>
      </c>
      <c r="D1507" t="s">
        <v>307</v>
      </c>
      <c r="E1507" t="s">
        <v>133</v>
      </c>
      <c r="F1507" t="s">
        <v>383</v>
      </c>
      <c r="G1507" t="s">
        <v>106</v>
      </c>
      <c r="H1507" t="s">
        <v>268</v>
      </c>
      <c r="J1507">
        <v>2</v>
      </c>
      <c r="K1507" t="s">
        <v>146</v>
      </c>
      <c r="L1507" t="s">
        <v>353</v>
      </c>
      <c r="M1507" t="s">
        <v>194</v>
      </c>
      <c r="N1507" t="s">
        <v>195</v>
      </c>
      <c r="O1507">
        <v>143</v>
      </c>
      <c r="Q1507">
        <v>456</v>
      </c>
      <c r="R1507">
        <v>77</v>
      </c>
      <c r="S1507">
        <v>4.25</v>
      </c>
      <c r="T1507">
        <v>3.88</v>
      </c>
      <c r="U1507">
        <v>6.6</v>
      </c>
      <c r="V1507">
        <v>1939.1</v>
      </c>
      <c r="W1507">
        <v>507</v>
      </c>
      <c r="X1507">
        <v>1.3332999999999999</v>
      </c>
      <c r="Y1507">
        <v>372</v>
      </c>
      <c r="Z1507">
        <v>5.21</v>
      </c>
      <c r="AJ1507">
        <v>2</v>
      </c>
      <c r="AK1507">
        <v>18</v>
      </c>
      <c r="AM1507">
        <v>0</v>
      </c>
      <c r="AO1507" t="s">
        <v>270</v>
      </c>
      <c r="AT1507">
        <v>55</v>
      </c>
      <c r="AV1507">
        <v>42.2</v>
      </c>
      <c r="AW1507">
        <v>0</v>
      </c>
      <c r="AX1507">
        <v>0</v>
      </c>
      <c r="AY1507">
        <v>54.5</v>
      </c>
      <c r="AZ1507">
        <v>4.875</v>
      </c>
      <c r="BA1507">
        <v>0</v>
      </c>
      <c r="BB1507">
        <v>0</v>
      </c>
      <c r="BC1507">
        <v>59</v>
      </c>
      <c r="BN1507">
        <v>201.51669999999999</v>
      </c>
      <c r="BO1507">
        <v>2555</v>
      </c>
      <c r="BP1507">
        <v>0</v>
      </c>
      <c r="BQ1507">
        <v>49</v>
      </c>
      <c r="BR1507">
        <v>49</v>
      </c>
      <c r="BS1507">
        <v>48.86</v>
      </c>
      <c r="BT1507">
        <v>0</v>
      </c>
      <c r="BV1507">
        <v>0</v>
      </c>
      <c r="BW1507" t="s">
        <v>655</v>
      </c>
      <c r="BX1507">
        <v>0.17</v>
      </c>
      <c r="BY1507">
        <v>8.3062000000000005</v>
      </c>
      <c r="BZ1507">
        <v>0</v>
      </c>
      <c r="CA1507">
        <v>1</v>
      </c>
      <c r="CB1507">
        <v>0.6</v>
      </c>
      <c r="CC1507" s="3">
        <v>7.1269159999999998E-2</v>
      </c>
      <c r="CD1507">
        <v>2.875</v>
      </c>
      <c r="CE1507">
        <v>2.5</v>
      </c>
      <c r="CF1507">
        <v>18</v>
      </c>
      <c r="CG1507">
        <v>6</v>
      </c>
      <c r="CH1507">
        <v>0</v>
      </c>
      <c r="CI1507">
        <v>48.86</v>
      </c>
      <c r="CJ1507">
        <v>405.67759999999998</v>
      </c>
    </row>
    <row r="1508" spans="1:88">
      <c r="A1508">
        <v>1507</v>
      </c>
      <c r="B1508" t="s">
        <v>13</v>
      </c>
      <c r="C1508" t="s">
        <v>1</v>
      </c>
      <c r="D1508" t="s">
        <v>127</v>
      </c>
      <c r="E1508" t="s">
        <v>464</v>
      </c>
      <c r="F1508" t="s">
        <v>129</v>
      </c>
      <c r="G1508" t="s">
        <v>106</v>
      </c>
      <c r="H1508" t="s">
        <v>130</v>
      </c>
      <c r="J1508">
        <v>2</v>
      </c>
      <c r="K1508" t="s">
        <v>146</v>
      </c>
      <c r="L1508" t="s">
        <v>227</v>
      </c>
      <c r="M1508" t="s">
        <v>408</v>
      </c>
      <c r="N1508" t="s">
        <v>317</v>
      </c>
      <c r="O1508">
        <v>96</v>
      </c>
      <c r="Q1508">
        <v>294</v>
      </c>
      <c r="R1508">
        <v>72</v>
      </c>
      <c r="S1508">
        <v>4.25</v>
      </c>
      <c r="T1508">
        <v>2.677</v>
      </c>
      <c r="U1508">
        <v>5.85</v>
      </c>
      <c r="V1508">
        <v>1248.18</v>
      </c>
      <c r="W1508">
        <v>419</v>
      </c>
      <c r="X1508">
        <v>1.3332999999999999</v>
      </c>
      <c r="Y1508">
        <v>311</v>
      </c>
      <c r="Z1508">
        <v>4.01</v>
      </c>
      <c r="AJ1508">
        <v>2</v>
      </c>
      <c r="AK1508">
        <v>18</v>
      </c>
      <c r="AM1508">
        <v>0</v>
      </c>
      <c r="AO1508" t="s">
        <v>134</v>
      </c>
      <c r="AT1508">
        <v>39</v>
      </c>
      <c r="AV1508">
        <v>39</v>
      </c>
      <c r="AW1508">
        <v>0</v>
      </c>
      <c r="AX1508">
        <v>0</v>
      </c>
      <c r="AY1508">
        <v>31.25</v>
      </c>
      <c r="AZ1508">
        <v>3.25</v>
      </c>
      <c r="BA1508">
        <v>0</v>
      </c>
      <c r="BB1508">
        <v>0</v>
      </c>
      <c r="BC1508">
        <v>30</v>
      </c>
      <c r="BN1508">
        <v>185.4667</v>
      </c>
      <c r="BO1508">
        <v>3017</v>
      </c>
      <c r="BP1508">
        <v>0</v>
      </c>
      <c r="BQ1508">
        <v>33</v>
      </c>
      <c r="BR1508">
        <v>33</v>
      </c>
      <c r="BS1508">
        <v>32.520000000000003</v>
      </c>
      <c r="BT1508">
        <v>0</v>
      </c>
      <c r="BV1508">
        <v>0</v>
      </c>
      <c r="BW1508" t="s">
        <v>655</v>
      </c>
      <c r="BX1508">
        <v>0.17</v>
      </c>
      <c r="BY1508">
        <v>5.5284000000000004</v>
      </c>
      <c r="BZ1508">
        <v>0</v>
      </c>
      <c r="CA1508">
        <v>1</v>
      </c>
      <c r="CB1508">
        <v>0.6</v>
      </c>
      <c r="CC1508" s="3">
        <v>7.1269159999999998E-2</v>
      </c>
      <c r="CD1508">
        <v>2.875</v>
      </c>
      <c r="CE1508">
        <v>2.5</v>
      </c>
      <c r="CF1508">
        <v>18</v>
      </c>
      <c r="CG1508">
        <v>6</v>
      </c>
      <c r="CH1508">
        <v>0</v>
      </c>
      <c r="CI1508">
        <v>32.520000000000003</v>
      </c>
      <c r="CJ1508">
        <v>249.1498</v>
      </c>
    </row>
    <row r="1509" spans="1:88">
      <c r="A1509">
        <v>1508</v>
      </c>
      <c r="B1509" t="s">
        <v>13</v>
      </c>
      <c r="C1509" t="s">
        <v>1</v>
      </c>
      <c r="D1509" t="s">
        <v>197</v>
      </c>
      <c r="E1509" t="s">
        <v>143</v>
      </c>
      <c r="F1509" t="s">
        <v>390</v>
      </c>
      <c r="G1509" t="s">
        <v>106</v>
      </c>
      <c r="H1509" t="s">
        <v>391</v>
      </c>
      <c r="J1509">
        <v>2</v>
      </c>
      <c r="K1509" t="s">
        <v>108</v>
      </c>
      <c r="L1509" t="s">
        <v>297</v>
      </c>
      <c r="M1509" t="s">
        <v>206</v>
      </c>
      <c r="N1509" t="s">
        <v>131</v>
      </c>
      <c r="O1509">
        <v>155</v>
      </c>
      <c r="Q1509">
        <v>696</v>
      </c>
      <c r="R1509">
        <v>105</v>
      </c>
      <c r="S1509">
        <v>4.25</v>
      </c>
      <c r="T1509">
        <v>4.1660000000000004</v>
      </c>
      <c r="U1509">
        <v>6.78</v>
      </c>
      <c r="V1509">
        <v>2959.06</v>
      </c>
      <c r="W1509">
        <v>713</v>
      </c>
      <c r="X1509">
        <v>1.3332999999999999</v>
      </c>
      <c r="Y1509">
        <v>539</v>
      </c>
      <c r="Z1509">
        <v>5.49</v>
      </c>
      <c r="AJ1509">
        <v>2</v>
      </c>
      <c r="AK1509">
        <v>18</v>
      </c>
      <c r="AM1509">
        <v>0</v>
      </c>
      <c r="AO1509" t="s">
        <v>392</v>
      </c>
      <c r="AT1509">
        <v>59</v>
      </c>
      <c r="AV1509">
        <v>60.2</v>
      </c>
      <c r="AW1509">
        <v>0.4375</v>
      </c>
      <c r="AX1509">
        <v>3.75</v>
      </c>
      <c r="AY1509">
        <v>48</v>
      </c>
      <c r="AZ1509">
        <v>4.75</v>
      </c>
      <c r="BA1509">
        <v>296.44</v>
      </c>
      <c r="BB1509">
        <v>5.55</v>
      </c>
      <c r="BC1509">
        <v>49</v>
      </c>
      <c r="BD1509">
        <v>0.40625</v>
      </c>
      <c r="BE1509">
        <v>3.75</v>
      </c>
      <c r="BF1509">
        <v>40.125</v>
      </c>
      <c r="BG1509">
        <v>4.5</v>
      </c>
      <c r="BH1509">
        <v>242.54</v>
      </c>
      <c r="BI1509">
        <v>5.46</v>
      </c>
      <c r="BJ1509">
        <v>38</v>
      </c>
      <c r="BL1509">
        <v>538.98</v>
      </c>
      <c r="BM1509">
        <v>86</v>
      </c>
      <c r="BN1509">
        <v>288.90010000000001</v>
      </c>
      <c r="BO1509">
        <v>1243</v>
      </c>
      <c r="BP1509">
        <v>0</v>
      </c>
      <c r="BQ1509">
        <v>53</v>
      </c>
      <c r="BR1509">
        <v>53</v>
      </c>
      <c r="BS1509">
        <v>53.04</v>
      </c>
      <c r="BT1509">
        <v>0</v>
      </c>
      <c r="BV1509">
        <v>0</v>
      </c>
      <c r="BW1509" t="s">
        <v>655</v>
      </c>
      <c r="BX1509">
        <v>0.17</v>
      </c>
      <c r="BY1509">
        <v>9.0167999999999999</v>
      </c>
      <c r="BZ1509">
        <v>0</v>
      </c>
      <c r="CA1509">
        <v>1</v>
      </c>
      <c r="CB1509">
        <v>0.6</v>
      </c>
      <c r="CC1509" s="3">
        <v>7.1269159999999998E-2</v>
      </c>
      <c r="CD1509">
        <v>2.875</v>
      </c>
      <c r="CE1509">
        <v>2.5</v>
      </c>
      <c r="CF1509">
        <v>18</v>
      </c>
      <c r="CG1509">
        <v>6</v>
      </c>
      <c r="CH1509">
        <v>0</v>
      </c>
      <c r="CI1509">
        <v>53.04</v>
      </c>
      <c r="CJ1509">
        <v>627.02679999999998</v>
      </c>
    </row>
    <row r="1510" spans="1:88">
      <c r="A1510">
        <v>1509</v>
      </c>
      <c r="B1510" t="s">
        <v>0</v>
      </c>
      <c r="C1510" t="s">
        <v>1</v>
      </c>
      <c r="D1510" t="s">
        <v>279</v>
      </c>
      <c r="E1510" t="s">
        <v>330</v>
      </c>
      <c r="F1510" t="s">
        <v>236</v>
      </c>
      <c r="G1510" t="s">
        <v>106</v>
      </c>
      <c r="H1510" t="s">
        <v>143</v>
      </c>
      <c r="J1510">
        <v>2</v>
      </c>
      <c r="K1510" t="s">
        <v>146</v>
      </c>
      <c r="L1510" t="s">
        <v>279</v>
      </c>
      <c r="M1510" t="s">
        <v>360</v>
      </c>
      <c r="N1510" t="s">
        <v>381</v>
      </c>
      <c r="O1510">
        <v>136</v>
      </c>
      <c r="Q1510">
        <v>553</v>
      </c>
      <c r="R1510">
        <v>95</v>
      </c>
      <c r="S1510">
        <v>4.25</v>
      </c>
      <c r="T1510">
        <v>3.7090000000000001</v>
      </c>
      <c r="U1510">
        <v>6.45</v>
      </c>
      <c r="V1510">
        <v>2351.0100000000002</v>
      </c>
      <c r="W1510">
        <v>614</v>
      </c>
      <c r="X1510">
        <v>1.3332999999999999</v>
      </c>
      <c r="Y1510">
        <v>466</v>
      </c>
      <c r="Z1510">
        <v>5.04</v>
      </c>
      <c r="AJ1510">
        <v>2</v>
      </c>
      <c r="AK1510">
        <v>18</v>
      </c>
      <c r="AM1510">
        <v>0</v>
      </c>
      <c r="AO1510" t="s">
        <v>206</v>
      </c>
      <c r="AT1510">
        <v>53</v>
      </c>
      <c r="AV1510">
        <v>53.9</v>
      </c>
      <c r="AW1510">
        <v>0.40625</v>
      </c>
      <c r="AX1510">
        <v>3.75</v>
      </c>
      <c r="AY1510">
        <v>37.875</v>
      </c>
      <c r="AZ1510">
        <v>4.125</v>
      </c>
      <c r="BA1510">
        <v>256.55</v>
      </c>
      <c r="BB1510">
        <v>5.16</v>
      </c>
      <c r="BC1510">
        <v>36</v>
      </c>
      <c r="BD1510">
        <v>0.375</v>
      </c>
      <c r="BE1510">
        <v>3.75</v>
      </c>
      <c r="BF1510">
        <v>30.75</v>
      </c>
      <c r="BG1510">
        <v>3.75</v>
      </c>
      <c r="BH1510">
        <v>209.92</v>
      </c>
      <c r="BI1510">
        <v>5.13</v>
      </c>
      <c r="BJ1510">
        <v>27</v>
      </c>
      <c r="BL1510">
        <v>466.47</v>
      </c>
      <c r="BM1510">
        <v>63</v>
      </c>
      <c r="BN1510">
        <v>258.58339999999998</v>
      </c>
      <c r="BO1510">
        <v>1552</v>
      </c>
      <c r="BP1510">
        <v>0</v>
      </c>
      <c r="BQ1510">
        <v>46</v>
      </c>
      <c r="BR1510">
        <v>46</v>
      </c>
      <c r="BS1510">
        <v>46.43</v>
      </c>
      <c r="BT1510">
        <v>0</v>
      </c>
      <c r="BV1510">
        <v>0</v>
      </c>
      <c r="BW1510" t="s">
        <v>655</v>
      </c>
      <c r="BX1510">
        <v>0.17</v>
      </c>
      <c r="BY1510">
        <v>7.8931009999999997</v>
      </c>
      <c r="BZ1510">
        <v>0</v>
      </c>
      <c r="CA1510">
        <v>1</v>
      </c>
      <c r="CB1510">
        <v>0.6</v>
      </c>
      <c r="CC1510" s="3">
        <v>7.1269159999999998E-2</v>
      </c>
      <c r="CD1510">
        <v>2.875</v>
      </c>
      <c r="CE1510">
        <v>2.5</v>
      </c>
      <c r="CF1510">
        <v>18</v>
      </c>
      <c r="CG1510">
        <v>6</v>
      </c>
      <c r="CH1510">
        <v>0</v>
      </c>
      <c r="CI1510">
        <v>46.43</v>
      </c>
      <c r="CJ1510">
        <v>491.39049999999997</v>
      </c>
    </row>
    <row r="1511" spans="1:88">
      <c r="A1511">
        <v>1510</v>
      </c>
      <c r="B1511" t="s">
        <v>0</v>
      </c>
      <c r="C1511" t="s">
        <v>1</v>
      </c>
      <c r="D1511" t="s">
        <v>5</v>
      </c>
      <c r="E1511" t="s">
        <v>2</v>
      </c>
      <c r="F1511" t="s">
        <v>159</v>
      </c>
      <c r="G1511" t="s">
        <v>106</v>
      </c>
      <c r="H1511" t="s">
        <v>139</v>
      </c>
      <c r="J1511">
        <v>2</v>
      </c>
      <c r="K1511" t="s">
        <v>146</v>
      </c>
      <c r="L1511" t="s">
        <v>122</v>
      </c>
      <c r="M1511" t="s">
        <v>4</v>
      </c>
      <c r="N1511" t="s">
        <v>5</v>
      </c>
      <c r="O1511">
        <v>107</v>
      </c>
      <c r="Q1511">
        <v>309</v>
      </c>
      <c r="R1511">
        <v>69</v>
      </c>
      <c r="S1511">
        <v>4.25</v>
      </c>
      <c r="T1511">
        <v>2.9710000000000001</v>
      </c>
      <c r="U1511">
        <v>6.07</v>
      </c>
      <c r="V1511">
        <v>1312.57</v>
      </c>
      <c r="W1511">
        <v>418</v>
      </c>
      <c r="X1511">
        <v>1.3332999999999999</v>
      </c>
      <c r="Y1511">
        <v>305</v>
      </c>
      <c r="Z1511">
        <v>4.3</v>
      </c>
      <c r="AJ1511">
        <v>2</v>
      </c>
      <c r="AK1511">
        <v>18</v>
      </c>
      <c r="AM1511">
        <v>0</v>
      </c>
      <c r="AO1511" t="s">
        <v>385</v>
      </c>
      <c r="AT1511">
        <v>42</v>
      </c>
      <c r="AV1511">
        <v>37.200000000000003</v>
      </c>
      <c r="AW1511">
        <v>0</v>
      </c>
      <c r="AX1511">
        <v>0</v>
      </c>
      <c r="AY1511">
        <v>31.875</v>
      </c>
      <c r="AZ1511">
        <v>3.5</v>
      </c>
      <c r="BA1511">
        <v>0</v>
      </c>
      <c r="BB1511">
        <v>0</v>
      </c>
      <c r="BC1511">
        <v>30</v>
      </c>
      <c r="BN1511">
        <v>176.55</v>
      </c>
      <c r="BO1511">
        <v>3329</v>
      </c>
      <c r="BP1511">
        <v>0</v>
      </c>
      <c r="BQ1511">
        <v>36</v>
      </c>
      <c r="BR1511">
        <v>36</v>
      </c>
      <c r="BS1511">
        <v>36.340000000000003</v>
      </c>
      <c r="BT1511">
        <v>0</v>
      </c>
      <c r="BV1511">
        <v>0</v>
      </c>
      <c r="BW1511" t="s">
        <v>655</v>
      </c>
      <c r="BX1511">
        <v>0.17</v>
      </c>
      <c r="BY1511">
        <v>6.1778000000000004</v>
      </c>
      <c r="BZ1511">
        <v>0</v>
      </c>
      <c r="CA1511">
        <v>1</v>
      </c>
      <c r="CB1511">
        <v>0.6</v>
      </c>
      <c r="CC1511" s="3">
        <v>7.1269159999999998E-2</v>
      </c>
      <c r="CD1511">
        <v>2.875</v>
      </c>
      <c r="CE1511">
        <v>2.5</v>
      </c>
      <c r="CF1511">
        <v>18</v>
      </c>
      <c r="CG1511">
        <v>6</v>
      </c>
      <c r="CH1511">
        <v>0</v>
      </c>
      <c r="CI1511">
        <v>36.340000000000003</v>
      </c>
      <c r="CJ1511">
        <v>265.46690000000001</v>
      </c>
    </row>
    <row r="1512" spans="1:88">
      <c r="A1512">
        <v>1511</v>
      </c>
      <c r="B1512" t="s">
        <v>0</v>
      </c>
      <c r="C1512" t="s">
        <v>1</v>
      </c>
      <c r="D1512" t="s">
        <v>328</v>
      </c>
      <c r="E1512" t="s">
        <v>8</v>
      </c>
      <c r="F1512" t="s">
        <v>329</v>
      </c>
      <c r="G1512" t="s">
        <v>20</v>
      </c>
      <c r="H1512" t="s">
        <v>328</v>
      </c>
      <c r="J1512">
        <v>2</v>
      </c>
      <c r="K1512" t="s">
        <v>9</v>
      </c>
      <c r="L1512" t="s">
        <v>10</v>
      </c>
      <c r="M1512" t="s">
        <v>11</v>
      </c>
      <c r="N1512" t="s">
        <v>12</v>
      </c>
      <c r="O1512">
        <v>203</v>
      </c>
      <c r="Q1512">
        <v>1320</v>
      </c>
      <c r="R1512">
        <v>168</v>
      </c>
      <c r="S1512">
        <v>4.25</v>
      </c>
      <c r="T1512">
        <v>5.2460000000000004</v>
      </c>
      <c r="U1512">
        <v>7.35</v>
      </c>
      <c r="V1512">
        <v>5609.78</v>
      </c>
      <c r="W1512">
        <v>1234</v>
      </c>
      <c r="X1512">
        <v>1.5</v>
      </c>
      <c r="Y1512">
        <v>832</v>
      </c>
      <c r="Z1512">
        <v>6.74</v>
      </c>
      <c r="AJ1512">
        <v>2</v>
      </c>
      <c r="AK1512">
        <v>18</v>
      </c>
      <c r="AM1512">
        <v>0</v>
      </c>
      <c r="AO1512" t="s">
        <v>331</v>
      </c>
      <c r="AT1512">
        <v>76</v>
      </c>
      <c r="AV1512">
        <v>88.5</v>
      </c>
      <c r="AW1512" t="s">
        <v>6</v>
      </c>
      <c r="AX1512" t="s">
        <v>6</v>
      </c>
      <c r="AY1512" t="s">
        <v>6</v>
      </c>
      <c r="AZ1512" t="s">
        <v>6</v>
      </c>
      <c r="BA1512" t="s">
        <v>6</v>
      </c>
      <c r="BB1512" t="s">
        <v>6</v>
      </c>
      <c r="BC1512" t="s">
        <v>6</v>
      </c>
      <c r="BD1512" t="s">
        <v>6</v>
      </c>
      <c r="BE1512" t="s">
        <v>6</v>
      </c>
      <c r="BF1512" t="s">
        <v>6</v>
      </c>
      <c r="BG1512" t="s">
        <v>6</v>
      </c>
      <c r="BH1512" t="s">
        <v>6</v>
      </c>
      <c r="BI1512" t="s">
        <v>6</v>
      </c>
      <c r="BJ1512" t="s">
        <v>6</v>
      </c>
      <c r="BN1512">
        <v>663.95</v>
      </c>
      <c r="BO1512">
        <v>2716</v>
      </c>
      <c r="BP1512">
        <v>0</v>
      </c>
      <c r="BQ1512">
        <v>70</v>
      </c>
      <c r="BR1512">
        <v>70</v>
      </c>
      <c r="BS1512">
        <v>69.730009999999993</v>
      </c>
      <c r="BT1512">
        <v>0</v>
      </c>
      <c r="BV1512">
        <v>6</v>
      </c>
      <c r="BW1512" t="s">
        <v>655</v>
      </c>
      <c r="BX1512">
        <v>0.27933340000000001</v>
      </c>
      <c r="BY1512">
        <v>19.477920000000001</v>
      </c>
      <c r="BZ1512">
        <v>0</v>
      </c>
      <c r="CA1512">
        <v>1</v>
      </c>
      <c r="CB1512">
        <v>0.6</v>
      </c>
      <c r="CC1512" s="3">
        <v>7.1269159999999998E-2</v>
      </c>
      <c r="CD1512">
        <v>2.875</v>
      </c>
      <c r="CE1512">
        <v>2.5</v>
      </c>
      <c r="CF1512">
        <v>18</v>
      </c>
      <c r="CG1512">
        <v>6</v>
      </c>
      <c r="CH1512">
        <v>0</v>
      </c>
      <c r="CI1512">
        <v>69.730009999999993</v>
      </c>
      <c r="CJ1512">
        <v>1211.961</v>
      </c>
    </row>
    <row r="1513" spans="1:88">
      <c r="A1513">
        <v>1512</v>
      </c>
      <c r="B1513" t="s">
        <v>0</v>
      </c>
      <c r="C1513" t="s">
        <v>1</v>
      </c>
      <c r="D1513" t="s">
        <v>619</v>
      </c>
      <c r="E1513" t="s">
        <v>139</v>
      </c>
      <c r="F1513" t="s">
        <v>567</v>
      </c>
      <c r="G1513" t="s">
        <v>15</v>
      </c>
      <c r="H1513" t="s">
        <v>638</v>
      </c>
      <c r="J1513">
        <v>2</v>
      </c>
      <c r="K1513" t="s">
        <v>108</v>
      </c>
      <c r="L1513" t="s">
        <v>158</v>
      </c>
      <c r="M1513" t="s">
        <v>385</v>
      </c>
      <c r="N1513" t="s">
        <v>177</v>
      </c>
      <c r="O1513">
        <v>109</v>
      </c>
      <c r="Q1513">
        <v>679</v>
      </c>
      <c r="R1513">
        <v>141</v>
      </c>
      <c r="S1513">
        <v>4.25</v>
      </c>
      <c r="T1513">
        <v>3.024</v>
      </c>
      <c r="U1513">
        <v>6.11</v>
      </c>
      <c r="V1513">
        <v>2883.79</v>
      </c>
      <c r="W1513">
        <v>863</v>
      </c>
      <c r="X1513">
        <v>1.3332999999999999</v>
      </c>
      <c r="Y1513">
        <v>663</v>
      </c>
      <c r="Z1513">
        <v>4.3499999999999996</v>
      </c>
      <c r="AJ1513">
        <v>2</v>
      </c>
      <c r="AK1513">
        <v>18</v>
      </c>
      <c r="AM1513">
        <v>0</v>
      </c>
      <c r="AO1513" t="s">
        <v>97</v>
      </c>
      <c r="AT1513">
        <v>43</v>
      </c>
      <c r="AV1513">
        <v>81.2</v>
      </c>
      <c r="AW1513">
        <v>0.5</v>
      </c>
      <c r="AX1513">
        <v>5.625</v>
      </c>
      <c r="AY1513">
        <v>33.5</v>
      </c>
      <c r="AZ1513">
        <v>4.375</v>
      </c>
      <c r="BA1513">
        <v>534.98</v>
      </c>
      <c r="BB1513">
        <v>4.3499999999999996</v>
      </c>
      <c r="BC1513">
        <v>60</v>
      </c>
      <c r="BD1513">
        <v>0.3125</v>
      </c>
      <c r="BE1513">
        <v>3.75</v>
      </c>
      <c r="BF1513">
        <v>19.875</v>
      </c>
      <c r="BG1513">
        <v>2.75</v>
      </c>
      <c r="BH1513">
        <v>127.96</v>
      </c>
      <c r="BI1513">
        <v>4.9800000000000004</v>
      </c>
      <c r="BJ1513">
        <v>15</v>
      </c>
      <c r="BL1513">
        <v>662.94</v>
      </c>
      <c r="BM1513">
        <v>74</v>
      </c>
      <c r="BN1513">
        <v>694.5566</v>
      </c>
      <c r="BO1513">
        <v>2267</v>
      </c>
      <c r="BP1513">
        <v>0</v>
      </c>
      <c r="BQ1513">
        <v>37</v>
      </c>
      <c r="BR1513">
        <v>37</v>
      </c>
      <c r="BS1513">
        <v>37.04</v>
      </c>
      <c r="BT1513">
        <v>0</v>
      </c>
      <c r="BV1513">
        <v>0</v>
      </c>
      <c r="BW1513" t="s">
        <v>655</v>
      </c>
      <c r="BX1513">
        <v>0.17</v>
      </c>
      <c r="BY1513">
        <v>6.2968000000000002</v>
      </c>
      <c r="BZ1513">
        <v>0</v>
      </c>
      <c r="CA1513">
        <v>1</v>
      </c>
      <c r="CB1513">
        <v>0.6</v>
      </c>
      <c r="CC1513" s="3">
        <v>7.1269159999999998E-2</v>
      </c>
      <c r="CD1513">
        <v>2.875</v>
      </c>
      <c r="CE1513">
        <v>2.5</v>
      </c>
      <c r="CF1513">
        <v>18</v>
      </c>
      <c r="CG1513">
        <v>6</v>
      </c>
      <c r="CH1513">
        <v>0</v>
      </c>
      <c r="CI1513">
        <v>37.04</v>
      </c>
      <c r="CJ1513">
        <v>590.98739999999998</v>
      </c>
    </row>
    <row r="1514" spans="1:88">
      <c r="A1514">
        <v>1513</v>
      </c>
      <c r="B1514" t="s">
        <v>0</v>
      </c>
      <c r="C1514" t="s">
        <v>1</v>
      </c>
      <c r="D1514" t="s">
        <v>338</v>
      </c>
      <c r="E1514" t="s">
        <v>96</v>
      </c>
      <c r="F1514" t="s">
        <v>360</v>
      </c>
      <c r="G1514" t="s">
        <v>106</v>
      </c>
      <c r="H1514" t="s">
        <v>101</v>
      </c>
      <c r="J1514">
        <v>2</v>
      </c>
      <c r="K1514" t="s">
        <v>146</v>
      </c>
      <c r="L1514" t="s">
        <v>293</v>
      </c>
      <c r="M1514" t="s">
        <v>100</v>
      </c>
      <c r="N1514" t="s">
        <v>101</v>
      </c>
      <c r="O1514">
        <v>131</v>
      </c>
      <c r="Q1514">
        <v>460</v>
      </c>
      <c r="R1514">
        <v>83</v>
      </c>
      <c r="S1514">
        <v>4.25</v>
      </c>
      <c r="T1514">
        <v>3.5859999999999999</v>
      </c>
      <c r="U1514">
        <v>6.37</v>
      </c>
      <c r="V1514">
        <v>1954.83</v>
      </c>
      <c r="W1514">
        <v>530</v>
      </c>
      <c r="X1514">
        <v>1.3332999999999999</v>
      </c>
      <c r="Y1514">
        <v>398</v>
      </c>
      <c r="Z1514">
        <v>4.91</v>
      </c>
      <c r="AJ1514">
        <v>2</v>
      </c>
      <c r="AK1514">
        <v>18</v>
      </c>
      <c r="AM1514">
        <v>0</v>
      </c>
      <c r="AO1514" t="s">
        <v>403</v>
      </c>
      <c r="AT1514">
        <v>51</v>
      </c>
      <c r="AV1514">
        <v>46.2</v>
      </c>
      <c r="AW1514">
        <v>0</v>
      </c>
      <c r="AX1514">
        <v>0</v>
      </c>
      <c r="AY1514">
        <v>50.875</v>
      </c>
      <c r="AZ1514">
        <v>4.625</v>
      </c>
      <c r="BA1514">
        <v>0</v>
      </c>
      <c r="BB1514">
        <v>0</v>
      </c>
      <c r="BC1514">
        <v>55</v>
      </c>
      <c r="BN1514">
        <v>221.13339999999999</v>
      </c>
      <c r="BO1514">
        <v>2122</v>
      </c>
      <c r="BP1514">
        <v>0</v>
      </c>
      <c r="BQ1514">
        <v>45</v>
      </c>
      <c r="BR1514">
        <v>45</v>
      </c>
      <c r="BS1514">
        <v>44.69</v>
      </c>
      <c r="BT1514">
        <v>0</v>
      </c>
      <c r="BV1514">
        <v>0</v>
      </c>
      <c r="BW1514" t="s">
        <v>655</v>
      </c>
      <c r="BX1514">
        <v>0.17</v>
      </c>
      <c r="BY1514">
        <v>7.5972999999999997</v>
      </c>
      <c r="BZ1514">
        <v>0</v>
      </c>
      <c r="CA1514">
        <v>1</v>
      </c>
      <c r="CB1514">
        <v>0.6</v>
      </c>
      <c r="CC1514" s="3">
        <v>7.1269159999999998E-2</v>
      </c>
      <c r="CD1514">
        <v>2.875</v>
      </c>
      <c r="CE1514">
        <v>2.5</v>
      </c>
      <c r="CF1514">
        <v>18</v>
      </c>
      <c r="CG1514">
        <v>6</v>
      </c>
      <c r="CH1514">
        <v>0</v>
      </c>
      <c r="CI1514">
        <v>44.69</v>
      </c>
      <c r="CJ1514">
        <v>406.0899</v>
      </c>
    </row>
    <row r="1515" spans="1:88">
      <c r="A1515">
        <v>1514</v>
      </c>
      <c r="B1515" t="s">
        <v>13</v>
      </c>
      <c r="C1515" t="s">
        <v>1</v>
      </c>
      <c r="D1515" t="s">
        <v>96</v>
      </c>
      <c r="E1515" t="s">
        <v>176</v>
      </c>
      <c r="F1515" t="s">
        <v>198</v>
      </c>
      <c r="G1515" t="s">
        <v>106</v>
      </c>
      <c r="H1515" t="s">
        <v>162</v>
      </c>
      <c r="J1515">
        <v>2</v>
      </c>
      <c r="K1515" t="s">
        <v>146</v>
      </c>
      <c r="L1515" t="s">
        <v>167</v>
      </c>
      <c r="M1515" t="s">
        <v>226</v>
      </c>
      <c r="N1515" t="s">
        <v>227</v>
      </c>
      <c r="O1515">
        <v>113</v>
      </c>
      <c r="Q1515">
        <v>390</v>
      </c>
      <c r="R1515">
        <v>81</v>
      </c>
      <c r="S1515">
        <v>4.25</v>
      </c>
      <c r="T1515">
        <v>3.1280000000000001</v>
      </c>
      <c r="U1515">
        <v>6.18</v>
      </c>
      <c r="V1515">
        <v>1655.8</v>
      </c>
      <c r="W1515">
        <v>500</v>
      </c>
      <c r="X1515">
        <v>1.3332999999999999</v>
      </c>
      <c r="Y1515">
        <v>371</v>
      </c>
      <c r="Z1515">
        <v>4.46</v>
      </c>
      <c r="AJ1515">
        <v>2</v>
      </c>
      <c r="AK1515">
        <v>18</v>
      </c>
      <c r="AM1515">
        <v>0</v>
      </c>
      <c r="AO1515" t="s">
        <v>166</v>
      </c>
      <c r="AT1515">
        <v>45</v>
      </c>
      <c r="AV1515">
        <v>44.8</v>
      </c>
      <c r="AW1515">
        <v>0</v>
      </c>
      <c r="AX1515">
        <v>0</v>
      </c>
      <c r="AY1515">
        <v>38.375</v>
      </c>
      <c r="AZ1515">
        <v>3.875</v>
      </c>
      <c r="BA1515">
        <v>0</v>
      </c>
      <c r="BB1515">
        <v>0</v>
      </c>
      <c r="BC1515">
        <v>39</v>
      </c>
      <c r="BN1515">
        <v>214</v>
      </c>
      <c r="BO1515">
        <v>2266</v>
      </c>
      <c r="BP1515">
        <v>0</v>
      </c>
      <c r="BQ1515">
        <v>38</v>
      </c>
      <c r="BR1515">
        <v>38</v>
      </c>
      <c r="BS1515">
        <v>38.43</v>
      </c>
      <c r="BT1515">
        <v>0</v>
      </c>
      <c r="BV1515">
        <v>0</v>
      </c>
      <c r="BW1515" t="s">
        <v>655</v>
      </c>
      <c r="BX1515">
        <v>0.17</v>
      </c>
      <c r="BY1515">
        <v>6.5331000000000001</v>
      </c>
      <c r="BZ1515">
        <v>0</v>
      </c>
      <c r="CA1515">
        <v>1</v>
      </c>
      <c r="CB1515">
        <v>0.6</v>
      </c>
      <c r="CC1515" s="3">
        <v>7.1269159999999998E-2</v>
      </c>
      <c r="CD1515">
        <v>2.875</v>
      </c>
      <c r="CE1515">
        <v>2.5</v>
      </c>
      <c r="CF1515">
        <v>18</v>
      </c>
      <c r="CG1515">
        <v>6</v>
      </c>
      <c r="CH1515">
        <v>0</v>
      </c>
      <c r="CI1515">
        <v>38.43</v>
      </c>
      <c r="CJ1515">
        <v>338.2509</v>
      </c>
    </row>
    <row r="1516" spans="1:88">
      <c r="A1516">
        <v>1515</v>
      </c>
      <c r="B1516" t="s">
        <v>13</v>
      </c>
      <c r="C1516" t="s">
        <v>1</v>
      </c>
      <c r="D1516" t="s">
        <v>202</v>
      </c>
      <c r="E1516" t="s">
        <v>176</v>
      </c>
      <c r="F1516" t="s">
        <v>357</v>
      </c>
      <c r="G1516" t="s">
        <v>106</v>
      </c>
      <c r="H1516" t="s">
        <v>358</v>
      </c>
      <c r="J1516">
        <v>2</v>
      </c>
      <c r="K1516" t="s">
        <v>108</v>
      </c>
      <c r="L1516" t="s">
        <v>167</v>
      </c>
      <c r="M1516" t="s">
        <v>226</v>
      </c>
      <c r="N1516" t="s">
        <v>227</v>
      </c>
      <c r="O1516">
        <v>113</v>
      </c>
      <c r="Q1516">
        <v>546</v>
      </c>
      <c r="R1516">
        <v>110</v>
      </c>
      <c r="S1516">
        <v>4.25</v>
      </c>
      <c r="T1516">
        <v>3.1280000000000001</v>
      </c>
      <c r="U1516">
        <v>6.18</v>
      </c>
      <c r="V1516">
        <v>2319.9</v>
      </c>
      <c r="W1516">
        <v>678</v>
      </c>
      <c r="X1516">
        <v>1.3332999999999999</v>
      </c>
      <c r="Y1516">
        <v>520</v>
      </c>
      <c r="Z1516">
        <v>4.46</v>
      </c>
      <c r="AJ1516">
        <v>2</v>
      </c>
      <c r="AK1516">
        <v>18</v>
      </c>
      <c r="AM1516">
        <v>0</v>
      </c>
      <c r="AO1516" t="s">
        <v>262</v>
      </c>
      <c r="AT1516">
        <v>45</v>
      </c>
      <c r="AV1516">
        <v>63.1</v>
      </c>
      <c r="AW1516">
        <v>0.40625</v>
      </c>
      <c r="AX1516">
        <v>3.75</v>
      </c>
      <c r="AY1516">
        <v>34</v>
      </c>
      <c r="AZ1516">
        <v>3.625</v>
      </c>
      <c r="BA1516">
        <v>286.08</v>
      </c>
      <c r="BB1516">
        <v>4.62</v>
      </c>
      <c r="BC1516">
        <v>32</v>
      </c>
      <c r="BD1516">
        <v>0.375</v>
      </c>
      <c r="BE1516">
        <v>3.75</v>
      </c>
      <c r="BF1516">
        <v>27.625</v>
      </c>
      <c r="BG1516">
        <v>3.375</v>
      </c>
      <c r="BH1516">
        <v>234.07</v>
      </c>
      <c r="BI1516">
        <v>4.5999999999999996</v>
      </c>
      <c r="BJ1516">
        <v>24</v>
      </c>
      <c r="BL1516">
        <v>520.15009999999995</v>
      </c>
      <c r="BM1516">
        <v>56</v>
      </c>
      <c r="BN1516">
        <v>303.16669999999999</v>
      </c>
      <c r="BO1516">
        <v>1129</v>
      </c>
      <c r="BP1516">
        <v>0</v>
      </c>
      <c r="BQ1516">
        <v>38</v>
      </c>
      <c r="BR1516">
        <v>38</v>
      </c>
      <c r="BS1516">
        <v>38.43</v>
      </c>
      <c r="BT1516">
        <v>0</v>
      </c>
      <c r="BV1516">
        <v>0</v>
      </c>
      <c r="BW1516" t="s">
        <v>655</v>
      </c>
      <c r="BX1516">
        <v>0.17</v>
      </c>
      <c r="BY1516">
        <v>6.5331000000000001</v>
      </c>
      <c r="BZ1516">
        <v>0</v>
      </c>
      <c r="CA1516">
        <v>1</v>
      </c>
      <c r="CB1516">
        <v>0.6</v>
      </c>
      <c r="CC1516" s="3">
        <v>7.1269159999999998E-2</v>
      </c>
      <c r="CD1516">
        <v>2.875</v>
      </c>
      <c r="CE1516">
        <v>2.5</v>
      </c>
      <c r="CF1516">
        <v>18</v>
      </c>
      <c r="CG1516">
        <v>6</v>
      </c>
      <c r="CH1516">
        <v>0</v>
      </c>
      <c r="CI1516">
        <v>38.43</v>
      </c>
      <c r="CJ1516">
        <v>476.2217</v>
      </c>
    </row>
    <row r="1517" spans="1:88">
      <c r="A1517">
        <v>1516</v>
      </c>
      <c r="B1517" t="s">
        <v>0</v>
      </c>
      <c r="C1517" t="s">
        <v>1</v>
      </c>
      <c r="D1517" t="s">
        <v>143</v>
      </c>
      <c r="E1517" t="s">
        <v>268</v>
      </c>
      <c r="F1517" t="s">
        <v>144</v>
      </c>
      <c r="G1517" t="s">
        <v>106</v>
      </c>
      <c r="H1517" t="s">
        <v>145</v>
      </c>
      <c r="J1517">
        <v>2</v>
      </c>
      <c r="K1517" t="s">
        <v>146</v>
      </c>
      <c r="L1517" t="s">
        <v>133</v>
      </c>
      <c r="M1517" t="s">
        <v>270</v>
      </c>
      <c r="N1517" t="s">
        <v>153</v>
      </c>
      <c r="O1517">
        <v>123</v>
      </c>
      <c r="Q1517">
        <v>501</v>
      </c>
      <c r="R1517">
        <v>95</v>
      </c>
      <c r="S1517">
        <v>4.25</v>
      </c>
      <c r="T1517">
        <v>3.3849999999999998</v>
      </c>
      <c r="U1517">
        <v>6.22</v>
      </c>
      <c r="V1517">
        <v>2130.2199999999998</v>
      </c>
      <c r="W1517">
        <v>588</v>
      </c>
      <c r="X1517">
        <v>1.3332999999999999</v>
      </c>
      <c r="Y1517">
        <v>452</v>
      </c>
      <c r="Z1517">
        <v>4.71</v>
      </c>
      <c r="AJ1517">
        <v>2</v>
      </c>
      <c r="AK1517">
        <v>18</v>
      </c>
      <c r="AM1517">
        <v>0</v>
      </c>
      <c r="AO1517" t="s">
        <v>149</v>
      </c>
      <c r="AT1517">
        <v>48</v>
      </c>
      <c r="AV1517">
        <v>53.5</v>
      </c>
      <c r="AW1517">
        <v>0.46875</v>
      </c>
      <c r="AX1517">
        <v>3.75</v>
      </c>
      <c r="AY1517">
        <v>48.5</v>
      </c>
      <c r="AZ1517">
        <v>4.375</v>
      </c>
      <c r="BA1517">
        <v>418.43</v>
      </c>
      <c r="BB1517">
        <v>4.71</v>
      </c>
      <c r="BC1517">
        <v>52</v>
      </c>
      <c r="BD1517">
        <v>0.25</v>
      </c>
      <c r="BE1517">
        <v>2.75</v>
      </c>
      <c r="BF1517">
        <v>34</v>
      </c>
      <c r="BG1517">
        <v>2.375</v>
      </c>
      <c r="BH1517">
        <v>33.840000000000003</v>
      </c>
      <c r="BI1517">
        <v>10.14</v>
      </c>
      <c r="BJ1517">
        <v>15</v>
      </c>
      <c r="BL1517">
        <v>452.27</v>
      </c>
      <c r="BM1517">
        <v>66</v>
      </c>
      <c r="BN1517">
        <v>256.80009999999999</v>
      </c>
      <c r="BO1517">
        <v>1574</v>
      </c>
      <c r="BP1517">
        <v>0</v>
      </c>
      <c r="BQ1517">
        <v>42</v>
      </c>
      <c r="BR1517">
        <v>42</v>
      </c>
      <c r="BS1517">
        <v>41.91</v>
      </c>
      <c r="BT1517">
        <v>0</v>
      </c>
      <c r="BV1517">
        <v>0</v>
      </c>
      <c r="BW1517" t="s">
        <v>655</v>
      </c>
      <c r="BX1517">
        <v>0.17</v>
      </c>
      <c r="BY1517">
        <v>7.1246999999999998</v>
      </c>
      <c r="BZ1517">
        <v>0</v>
      </c>
      <c r="CA1517">
        <v>1</v>
      </c>
      <c r="CB1517">
        <v>0.6</v>
      </c>
      <c r="CC1517" s="3">
        <v>7.1269159999999998E-2</v>
      </c>
      <c r="CD1517">
        <v>2.875</v>
      </c>
      <c r="CE1517">
        <v>2.5</v>
      </c>
      <c r="CF1517">
        <v>18</v>
      </c>
      <c r="CG1517">
        <v>6</v>
      </c>
      <c r="CH1517">
        <v>0</v>
      </c>
      <c r="CI1517">
        <v>41.91</v>
      </c>
      <c r="CJ1517">
        <v>440.56630000000001</v>
      </c>
    </row>
    <row r="1518" spans="1:88">
      <c r="A1518">
        <v>1517</v>
      </c>
      <c r="B1518" t="s">
        <v>13</v>
      </c>
      <c r="C1518" t="s">
        <v>1</v>
      </c>
      <c r="D1518" t="s">
        <v>2</v>
      </c>
      <c r="E1518" t="s">
        <v>466</v>
      </c>
      <c r="F1518" t="s">
        <v>154</v>
      </c>
      <c r="G1518" t="s">
        <v>106</v>
      </c>
      <c r="H1518" t="s">
        <v>217</v>
      </c>
      <c r="J1518">
        <v>2</v>
      </c>
      <c r="K1518" t="s">
        <v>146</v>
      </c>
      <c r="L1518" t="s">
        <v>210</v>
      </c>
      <c r="M1518" t="s">
        <v>593</v>
      </c>
      <c r="N1518" t="s">
        <v>297</v>
      </c>
      <c r="O1518">
        <v>172</v>
      </c>
      <c r="Q1518">
        <v>464</v>
      </c>
      <c r="R1518">
        <v>67</v>
      </c>
      <c r="S1518">
        <v>4.25</v>
      </c>
      <c r="T1518">
        <v>4.5599999999999996</v>
      </c>
      <c r="U1518">
        <v>6.93</v>
      </c>
      <c r="V1518">
        <v>1972.68</v>
      </c>
      <c r="W1518">
        <v>465</v>
      </c>
      <c r="X1518">
        <v>1.3332999999999999</v>
      </c>
      <c r="Y1518">
        <v>335</v>
      </c>
      <c r="Z1518">
        <v>5.89</v>
      </c>
      <c r="AJ1518">
        <v>2</v>
      </c>
      <c r="AK1518">
        <v>18</v>
      </c>
      <c r="AM1518">
        <v>0</v>
      </c>
      <c r="AO1518" t="s">
        <v>218</v>
      </c>
      <c r="AT1518">
        <v>65</v>
      </c>
      <c r="AV1518">
        <v>36.1</v>
      </c>
      <c r="AW1518">
        <v>0</v>
      </c>
      <c r="AX1518">
        <v>0</v>
      </c>
      <c r="AY1518">
        <v>60.5</v>
      </c>
      <c r="AZ1518">
        <v>5.5</v>
      </c>
      <c r="BA1518">
        <v>0</v>
      </c>
      <c r="BB1518">
        <v>0</v>
      </c>
      <c r="BC1518">
        <v>65</v>
      </c>
      <c r="BN1518">
        <v>171.2</v>
      </c>
      <c r="BO1518">
        <v>3540</v>
      </c>
      <c r="BP1518">
        <v>0</v>
      </c>
      <c r="BQ1518">
        <v>59</v>
      </c>
      <c r="BR1518">
        <v>59</v>
      </c>
      <c r="BS1518">
        <v>58.95</v>
      </c>
      <c r="BT1518">
        <v>0</v>
      </c>
      <c r="BV1518">
        <v>0</v>
      </c>
      <c r="BW1518" t="s">
        <v>655</v>
      </c>
      <c r="BX1518">
        <v>0.17</v>
      </c>
      <c r="BY1518">
        <v>10.0215</v>
      </c>
      <c r="BZ1518">
        <v>0</v>
      </c>
      <c r="CA1518">
        <v>1</v>
      </c>
      <c r="CB1518">
        <v>0.6</v>
      </c>
      <c r="CC1518" s="3">
        <v>7.1269159999999998E-2</v>
      </c>
      <c r="CD1518">
        <v>2.875</v>
      </c>
      <c r="CE1518">
        <v>2.5</v>
      </c>
      <c r="CF1518">
        <v>18</v>
      </c>
      <c r="CG1518">
        <v>6</v>
      </c>
      <c r="CH1518">
        <v>0</v>
      </c>
      <c r="CI1518">
        <v>58.95</v>
      </c>
      <c r="CJ1518">
        <v>418.03100000000001</v>
      </c>
    </row>
    <row r="1519" spans="1:88">
      <c r="A1519">
        <v>1518</v>
      </c>
      <c r="B1519" t="s">
        <v>0</v>
      </c>
      <c r="C1519" t="s">
        <v>1</v>
      </c>
      <c r="D1519" t="s">
        <v>233</v>
      </c>
      <c r="E1519" t="s">
        <v>8</v>
      </c>
      <c r="F1519" t="s">
        <v>271</v>
      </c>
      <c r="G1519" t="s">
        <v>106</v>
      </c>
      <c r="H1519" t="s">
        <v>279</v>
      </c>
      <c r="J1519">
        <v>2</v>
      </c>
      <c r="K1519" t="s">
        <v>146</v>
      </c>
      <c r="L1519" t="s">
        <v>10</v>
      </c>
      <c r="M1519" t="s">
        <v>11</v>
      </c>
      <c r="N1519" t="s">
        <v>12</v>
      </c>
      <c r="O1519">
        <v>203</v>
      </c>
      <c r="Q1519">
        <v>809</v>
      </c>
      <c r="R1519">
        <v>103</v>
      </c>
      <c r="S1519">
        <v>4.25</v>
      </c>
      <c r="T1519">
        <v>5.2460000000000004</v>
      </c>
      <c r="U1519">
        <v>7.35</v>
      </c>
      <c r="V1519">
        <v>3438.5</v>
      </c>
      <c r="W1519">
        <v>756</v>
      </c>
      <c r="X1519">
        <v>1.5</v>
      </c>
      <c r="Y1519">
        <v>510</v>
      </c>
      <c r="Z1519">
        <v>6.74</v>
      </c>
      <c r="AJ1519">
        <v>2</v>
      </c>
      <c r="AK1519">
        <v>18</v>
      </c>
      <c r="AM1519">
        <v>0</v>
      </c>
      <c r="AO1519" t="s">
        <v>144</v>
      </c>
      <c r="AT1519">
        <v>76</v>
      </c>
      <c r="AV1519">
        <v>54.2</v>
      </c>
      <c r="AW1519">
        <v>0.46875</v>
      </c>
      <c r="AX1519">
        <v>3.75</v>
      </c>
      <c r="AY1519">
        <v>72.25</v>
      </c>
      <c r="AZ1519">
        <v>6.375</v>
      </c>
      <c r="BA1519">
        <v>280.58</v>
      </c>
      <c r="BB1519">
        <v>7.02</v>
      </c>
      <c r="BC1519">
        <v>78</v>
      </c>
      <c r="BD1519">
        <v>0.4375</v>
      </c>
      <c r="BE1519">
        <v>3.75</v>
      </c>
      <c r="BF1519">
        <v>62</v>
      </c>
      <c r="BG1519">
        <v>5.875</v>
      </c>
      <c r="BH1519">
        <v>229.58</v>
      </c>
      <c r="BI1519">
        <v>7.16</v>
      </c>
      <c r="BJ1519">
        <v>63</v>
      </c>
      <c r="BL1519">
        <v>510.16</v>
      </c>
      <c r="BM1519">
        <v>140</v>
      </c>
      <c r="BN1519">
        <v>260.36669999999998</v>
      </c>
      <c r="BO1519">
        <v>1531</v>
      </c>
      <c r="BP1519">
        <v>0</v>
      </c>
      <c r="BQ1519">
        <v>70</v>
      </c>
      <c r="BR1519">
        <v>70</v>
      </c>
      <c r="BS1519">
        <v>69.730009999999993</v>
      </c>
      <c r="BT1519">
        <v>0</v>
      </c>
      <c r="BV1519">
        <v>0</v>
      </c>
      <c r="BW1519" t="s">
        <v>655</v>
      </c>
      <c r="BX1519">
        <v>0.17</v>
      </c>
      <c r="BY1519">
        <v>11.854100000000001</v>
      </c>
      <c r="BZ1519">
        <v>0</v>
      </c>
      <c r="CA1519">
        <v>1</v>
      </c>
      <c r="CB1519">
        <v>0.6</v>
      </c>
      <c r="CC1519" s="3">
        <v>7.1269159999999998E-2</v>
      </c>
      <c r="CD1519">
        <v>2.875</v>
      </c>
      <c r="CE1519">
        <v>2.5</v>
      </c>
      <c r="CF1519">
        <v>18</v>
      </c>
      <c r="CG1519">
        <v>6</v>
      </c>
      <c r="CH1519">
        <v>0</v>
      </c>
      <c r="CI1519">
        <v>69.730009999999993</v>
      </c>
      <c r="CJ1519">
        <v>742.95500000000004</v>
      </c>
    </row>
    <row r="1520" spans="1:88">
      <c r="A1520">
        <v>1519</v>
      </c>
      <c r="B1520" t="s">
        <v>13</v>
      </c>
      <c r="C1520" t="s">
        <v>1</v>
      </c>
      <c r="D1520" t="s">
        <v>279</v>
      </c>
      <c r="E1520" t="s">
        <v>131</v>
      </c>
      <c r="F1520" t="s">
        <v>236</v>
      </c>
      <c r="G1520" t="s">
        <v>106</v>
      </c>
      <c r="H1520" t="s">
        <v>143</v>
      </c>
      <c r="J1520">
        <v>2</v>
      </c>
      <c r="K1520" t="s">
        <v>146</v>
      </c>
      <c r="L1520" t="s">
        <v>300</v>
      </c>
      <c r="M1520" t="s">
        <v>271</v>
      </c>
      <c r="N1520" t="s">
        <v>181</v>
      </c>
      <c r="O1520">
        <v>158</v>
      </c>
      <c r="Q1520">
        <v>635</v>
      </c>
      <c r="R1520">
        <v>95</v>
      </c>
      <c r="S1520">
        <v>4.25</v>
      </c>
      <c r="T1520">
        <v>4.2370000000000001</v>
      </c>
      <c r="U1520">
        <v>6.86</v>
      </c>
      <c r="V1520">
        <v>2700.62</v>
      </c>
      <c r="W1520">
        <v>653</v>
      </c>
      <c r="X1520">
        <v>1.3332999999999999</v>
      </c>
      <c r="Y1520">
        <v>485</v>
      </c>
      <c r="Z1520">
        <v>5.57</v>
      </c>
      <c r="AJ1520">
        <v>2</v>
      </c>
      <c r="AK1520">
        <v>18</v>
      </c>
      <c r="AM1520">
        <v>0</v>
      </c>
      <c r="AO1520" t="s">
        <v>206</v>
      </c>
      <c r="AT1520">
        <v>60</v>
      </c>
      <c r="AV1520">
        <v>53.9</v>
      </c>
      <c r="AW1520" t="s">
        <v>6</v>
      </c>
      <c r="AX1520" t="s">
        <v>6</v>
      </c>
      <c r="AY1520" t="s">
        <v>6</v>
      </c>
      <c r="AZ1520" t="s">
        <v>6</v>
      </c>
      <c r="BA1520" t="s">
        <v>6</v>
      </c>
      <c r="BB1520" t="s">
        <v>6</v>
      </c>
      <c r="BC1520" t="s">
        <v>6</v>
      </c>
      <c r="BD1520" t="s">
        <v>6</v>
      </c>
      <c r="BE1520" t="s">
        <v>6</v>
      </c>
      <c r="BF1520" t="s">
        <v>6</v>
      </c>
      <c r="BG1520" t="s">
        <v>6</v>
      </c>
      <c r="BH1520" t="s">
        <v>6</v>
      </c>
      <c r="BI1520" t="s">
        <v>6</v>
      </c>
      <c r="BJ1520" t="s">
        <v>6</v>
      </c>
      <c r="BN1520">
        <v>258.58339999999998</v>
      </c>
      <c r="BO1520">
        <v>1552</v>
      </c>
      <c r="BP1520">
        <v>0</v>
      </c>
      <c r="BQ1520">
        <v>54</v>
      </c>
      <c r="BR1520">
        <v>54</v>
      </c>
      <c r="BS1520">
        <v>54.08</v>
      </c>
      <c r="BT1520">
        <v>0</v>
      </c>
      <c r="BV1520">
        <v>0</v>
      </c>
      <c r="BW1520" t="s">
        <v>655</v>
      </c>
      <c r="BX1520">
        <v>0.17</v>
      </c>
      <c r="BY1520">
        <v>9.1936009999999992</v>
      </c>
      <c r="BZ1520">
        <v>0</v>
      </c>
      <c r="CA1520">
        <v>1</v>
      </c>
      <c r="CB1520">
        <v>0.6</v>
      </c>
      <c r="CC1520" s="3">
        <v>7.1269159999999998E-2</v>
      </c>
      <c r="CD1520">
        <v>2.875</v>
      </c>
      <c r="CE1520">
        <v>2.5</v>
      </c>
      <c r="CF1520">
        <v>18</v>
      </c>
      <c r="CG1520">
        <v>6</v>
      </c>
      <c r="CH1520">
        <v>0</v>
      </c>
      <c r="CI1520">
        <v>54.08</v>
      </c>
      <c r="CJ1520">
        <v>572.35410000000002</v>
      </c>
    </row>
    <row r="1521" spans="1:88">
      <c r="A1521">
        <v>1520</v>
      </c>
      <c r="B1521" t="s">
        <v>0</v>
      </c>
      <c r="C1521" t="s">
        <v>1</v>
      </c>
      <c r="D1521" t="s">
        <v>279</v>
      </c>
      <c r="E1521" t="s">
        <v>14</v>
      </c>
      <c r="F1521" t="s">
        <v>236</v>
      </c>
      <c r="G1521" t="s">
        <v>106</v>
      </c>
      <c r="H1521" t="s">
        <v>143</v>
      </c>
      <c r="J1521">
        <v>2</v>
      </c>
      <c r="K1521" t="s">
        <v>146</v>
      </c>
      <c r="L1521" t="s">
        <v>17</v>
      </c>
      <c r="M1521" t="s">
        <v>18</v>
      </c>
      <c r="N1521" t="s">
        <v>19</v>
      </c>
      <c r="O1521">
        <v>182</v>
      </c>
      <c r="Q1521">
        <v>725</v>
      </c>
      <c r="R1521">
        <v>95</v>
      </c>
      <c r="S1521">
        <v>4.25</v>
      </c>
      <c r="T1521">
        <v>4.7859999999999996</v>
      </c>
      <c r="U1521">
        <v>7.12</v>
      </c>
      <c r="V1521">
        <v>3082.22</v>
      </c>
      <c r="W1521">
        <v>678</v>
      </c>
      <c r="X1521">
        <v>1.3332999999999999</v>
      </c>
      <c r="Y1521">
        <v>504</v>
      </c>
      <c r="Z1521">
        <v>6.11</v>
      </c>
      <c r="AJ1521">
        <v>2</v>
      </c>
      <c r="AK1521">
        <v>18</v>
      </c>
      <c r="AM1521">
        <v>0</v>
      </c>
      <c r="AO1521" t="s">
        <v>206</v>
      </c>
      <c r="AT1521">
        <v>69</v>
      </c>
      <c r="AV1521">
        <v>53.9</v>
      </c>
      <c r="AW1521" t="s">
        <v>6</v>
      </c>
      <c r="AX1521" t="s">
        <v>6</v>
      </c>
      <c r="AY1521" t="s">
        <v>6</v>
      </c>
      <c r="AZ1521" t="s">
        <v>6</v>
      </c>
      <c r="BA1521" t="s">
        <v>6</v>
      </c>
      <c r="BB1521" t="s">
        <v>6</v>
      </c>
      <c r="BC1521" t="s">
        <v>6</v>
      </c>
      <c r="BD1521" t="s">
        <v>6</v>
      </c>
      <c r="BE1521" t="s">
        <v>6</v>
      </c>
      <c r="BF1521" t="s">
        <v>6</v>
      </c>
      <c r="BG1521" t="s">
        <v>6</v>
      </c>
      <c r="BH1521" t="s">
        <v>6</v>
      </c>
      <c r="BI1521" t="s">
        <v>6</v>
      </c>
      <c r="BJ1521" t="s">
        <v>6</v>
      </c>
      <c r="BN1521">
        <v>258.58339999999998</v>
      </c>
      <c r="BO1521">
        <v>1552</v>
      </c>
      <c r="BP1521">
        <v>0</v>
      </c>
      <c r="BQ1521">
        <v>62</v>
      </c>
      <c r="BR1521">
        <v>62</v>
      </c>
      <c r="BS1521">
        <v>62.43</v>
      </c>
      <c r="BT1521">
        <v>0</v>
      </c>
      <c r="BV1521">
        <v>0</v>
      </c>
      <c r="BW1521" t="s">
        <v>655</v>
      </c>
      <c r="BX1521">
        <v>0.17</v>
      </c>
      <c r="BY1521">
        <v>10.613099999999999</v>
      </c>
      <c r="BZ1521">
        <v>0</v>
      </c>
      <c r="CA1521">
        <v>1</v>
      </c>
      <c r="CB1521">
        <v>0.6</v>
      </c>
      <c r="CC1521" s="3">
        <v>7.1269159999999998E-2</v>
      </c>
      <c r="CD1521">
        <v>2.875</v>
      </c>
      <c r="CE1521">
        <v>2.5</v>
      </c>
      <c r="CF1521">
        <v>18</v>
      </c>
      <c r="CG1521">
        <v>6</v>
      </c>
      <c r="CH1521">
        <v>0</v>
      </c>
      <c r="CI1521">
        <v>62.43</v>
      </c>
      <c r="CJ1521">
        <v>660.726</v>
      </c>
    </row>
    <row r="1522" spans="1:88">
      <c r="A1522">
        <v>1521</v>
      </c>
      <c r="B1522" t="s">
        <v>0</v>
      </c>
      <c r="C1522" t="s">
        <v>1</v>
      </c>
      <c r="D1522" t="s">
        <v>165</v>
      </c>
      <c r="E1522" t="s">
        <v>96</v>
      </c>
      <c r="F1522" t="s">
        <v>184</v>
      </c>
      <c r="G1522" t="s">
        <v>106</v>
      </c>
      <c r="H1522" t="s">
        <v>234</v>
      </c>
      <c r="J1522">
        <v>2</v>
      </c>
      <c r="K1522" t="s">
        <v>146</v>
      </c>
      <c r="L1522" t="s">
        <v>293</v>
      </c>
      <c r="M1522" t="s">
        <v>100</v>
      </c>
      <c r="N1522" t="s">
        <v>101</v>
      </c>
      <c r="O1522">
        <v>131</v>
      </c>
      <c r="Q1522">
        <v>506</v>
      </c>
      <c r="R1522">
        <v>91</v>
      </c>
      <c r="S1522">
        <v>4.25</v>
      </c>
      <c r="T1522">
        <v>3.5859999999999999</v>
      </c>
      <c r="U1522">
        <v>6.37</v>
      </c>
      <c r="V1522">
        <v>2150.88</v>
      </c>
      <c r="W1522">
        <v>577</v>
      </c>
      <c r="X1522">
        <v>1.3332999999999999</v>
      </c>
      <c r="Y1522">
        <v>438</v>
      </c>
      <c r="Z1522">
        <v>4.91</v>
      </c>
      <c r="AJ1522">
        <v>2</v>
      </c>
      <c r="AK1522">
        <v>18</v>
      </c>
      <c r="AM1522">
        <v>0</v>
      </c>
      <c r="AO1522" t="s">
        <v>435</v>
      </c>
      <c r="AT1522">
        <v>51</v>
      </c>
      <c r="AV1522">
        <v>51</v>
      </c>
      <c r="AW1522">
        <v>0.46875</v>
      </c>
      <c r="AX1522">
        <v>3.75</v>
      </c>
      <c r="AY1522">
        <v>50.5</v>
      </c>
      <c r="AZ1522">
        <v>4.625</v>
      </c>
      <c r="BA1522">
        <v>401.38</v>
      </c>
      <c r="BB1522">
        <v>4.91</v>
      </c>
      <c r="BC1522">
        <v>54</v>
      </c>
      <c r="BD1522">
        <v>0.25</v>
      </c>
      <c r="BE1522">
        <v>2.75</v>
      </c>
      <c r="BF1522">
        <v>31.375</v>
      </c>
      <c r="BG1522">
        <v>2.5</v>
      </c>
      <c r="BH1522">
        <v>36.67</v>
      </c>
      <c r="BI1522">
        <v>9.3500010000000007</v>
      </c>
      <c r="BJ1522">
        <v>14</v>
      </c>
      <c r="BL1522">
        <v>438.05</v>
      </c>
      <c r="BM1522">
        <v>67</v>
      </c>
      <c r="BN1522">
        <v>244.3167</v>
      </c>
      <c r="BO1522">
        <v>1738</v>
      </c>
      <c r="BP1522">
        <v>0</v>
      </c>
      <c r="BQ1522">
        <v>45</v>
      </c>
      <c r="BR1522">
        <v>45</v>
      </c>
      <c r="BS1522">
        <v>44.69</v>
      </c>
      <c r="BT1522">
        <v>0</v>
      </c>
      <c r="BV1522">
        <v>0</v>
      </c>
      <c r="BW1522" t="s">
        <v>655</v>
      </c>
      <c r="BX1522">
        <v>0.17</v>
      </c>
      <c r="BY1522">
        <v>7.5972999999999997</v>
      </c>
      <c r="BZ1522">
        <v>0</v>
      </c>
      <c r="CA1522">
        <v>1</v>
      </c>
      <c r="CB1522">
        <v>0.6</v>
      </c>
      <c r="CC1522" s="3">
        <v>7.1269159999999998E-2</v>
      </c>
      <c r="CD1522">
        <v>2.875</v>
      </c>
      <c r="CE1522">
        <v>2.5</v>
      </c>
      <c r="CF1522">
        <v>18</v>
      </c>
      <c r="CG1522">
        <v>6</v>
      </c>
      <c r="CH1522">
        <v>0</v>
      </c>
      <c r="CI1522">
        <v>44.69</v>
      </c>
      <c r="CJ1522">
        <v>447.49509999999998</v>
      </c>
    </row>
    <row r="1523" spans="1:88">
      <c r="A1523">
        <v>1522</v>
      </c>
      <c r="B1523" t="s">
        <v>0</v>
      </c>
      <c r="C1523" t="s">
        <v>1</v>
      </c>
      <c r="D1523" t="s">
        <v>470</v>
      </c>
      <c r="E1523" t="s">
        <v>104</v>
      </c>
      <c r="F1523" t="s">
        <v>587</v>
      </c>
      <c r="G1523" t="s">
        <v>15</v>
      </c>
      <c r="H1523" t="s">
        <v>470</v>
      </c>
      <c r="J1523">
        <v>2</v>
      </c>
      <c r="K1523" t="s">
        <v>9</v>
      </c>
      <c r="L1523" t="s">
        <v>109</v>
      </c>
      <c r="M1523" t="s">
        <v>110</v>
      </c>
      <c r="N1523" t="s">
        <v>111</v>
      </c>
      <c r="O1523">
        <v>191</v>
      </c>
      <c r="Q1523">
        <v>1186</v>
      </c>
      <c r="R1523">
        <v>146</v>
      </c>
      <c r="S1523">
        <v>4.25</v>
      </c>
      <c r="T1523">
        <v>4.9850000000000003</v>
      </c>
      <c r="U1523">
        <v>7.27</v>
      </c>
      <c r="V1523">
        <v>5039.99</v>
      </c>
      <c r="W1523">
        <v>1064</v>
      </c>
      <c r="X1523">
        <v>1.3332999999999999</v>
      </c>
      <c r="Y1523">
        <v>799</v>
      </c>
      <c r="Z1523">
        <v>6.31</v>
      </c>
      <c r="AJ1523">
        <v>2</v>
      </c>
      <c r="AK1523">
        <v>18</v>
      </c>
      <c r="AM1523">
        <v>0</v>
      </c>
      <c r="AO1523" t="s">
        <v>588</v>
      </c>
      <c r="AT1523">
        <v>72</v>
      </c>
      <c r="AV1523">
        <v>84.1</v>
      </c>
      <c r="AW1523" t="s">
        <v>6</v>
      </c>
      <c r="AX1523" t="s">
        <v>6</v>
      </c>
      <c r="AY1523" t="s">
        <v>6</v>
      </c>
      <c r="AZ1523" t="s">
        <v>6</v>
      </c>
      <c r="BA1523" t="s">
        <v>6</v>
      </c>
      <c r="BB1523" t="s">
        <v>6</v>
      </c>
      <c r="BC1523" t="s">
        <v>6</v>
      </c>
      <c r="BD1523" t="s">
        <v>6</v>
      </c>
      <c r="BE1523" t="s">
        <v>6</v>
      </c>
      <c r="BF1523" t="s">
        <v>6</v>
      </c>
      <c r="BG1523" t="s">
        <v>6</v>
      </c>
      <c r="BH1523" t="s">
        <v>6</v>
      </c>
      <c r="BI1523" t="s">
        <v>6</v>
      </c>
      <c r="BJ1523" t="s">
        <v>6</v>
      </c>
      <c r="BN1523">
        <v>719.81320000000005</v>
      </c>
      <c r="BO1523">
        <v>2111</v>
      </c>
      <c r="BP1523">
        <v>0</v>
      </c>
      <c r="BQ1523">
        <v>66</v>
      </c>
      <c r="BR1523">
        <v>66</v>
      </c>
      <c r="BS1523">
        <v>65.56</v>
      </c>
      <c r="BT1523">
        <v>0</v>
      </c>
      <c r="BV1523">
        <v>6</v>
      </c>
      <c r="BW1523" t="s">
        <v>655</v>
      </c>
      <c r="BX1523">
        <v>0.27933340000000001</v>
      </c>
      <c r="BY1523">
        <v>18.313089999999999</v>
      </c>
      <c r="BZ1523">
        <v>0</v>
      </c>
      <c r="CA1523">
        <v>1</v>
      </c>
      <c r="CB1523">
        <v>0.6</v>
      </c>
      <c r="CC1523" s="3">
        <v>7.1269159999999998E-2</v>
      </c>
      <c r="CD1523">
        <v>2.875</v>
      </c>
      <c r="CE1523">
        <v>2.5</v>
      </c>
      <c r="CF1523">
        <v>18</v>
      </c>
      <c r="CG1523">
        <v>6</v>
      </c>
      <c r="CH1523">
        <v>0</v>
      </c>
      <c r="CI1523">
        <v>65.56</v>
      </c>
      <c r="CJ1523">
        <v>1083.414</v>
      </c>
    </row>
    <row r="1524" spans="1:88">
      <c r="A1524">
        <v>1523</v>
      </c>
      <c r="B1524" t="s">
        <v>0</v>
      </c>
      <c r="C1524" t="s">
        <v>1</v>
      </c>
      <c r="D1524" t="s">
        <v>113</v>
      </c>
      <c r="E1524" t="s">
        <v>552</v>
      </c>
      <c r="F1524" t="s">
        <v>262</v>
      </c>
      <c r="G1524" t="s">
        <v>106</v>
      </c>
      <c r="H1524" t="s">
        <v>263</v>
      </c>
      <c r="J1524">
        <v>2</v>
      </c>
      <c r="K1524" t="s">
        <v>108</v>
      </c>
      <c r="L1524" t="s">
        <v>104</v>
      </c>
      <c r="M1524" t="s">
        <v>600</v>
      </c>
      <c r="N1524" t="s">
        <v>348</v>
      </c>
      <c r="O1524">
        <v>171</v>
      </c>
      <c r="Q1524">
        <v>790</v>
      </c>
      <c r="R1524">
        <v>109</v>
      </c>
      <c r="S1524">
        <v>4.25</v>
      </c>
      <c r="T1524">
        <v>4.5380000000000003</v>
      </c>
      <c r="U1524">
        <v>6.93</v>
      </c>
      <c r="V1524">
        <v>3358.13</v>
      </c>
      <c r="W1524">
        <v>753</v>
      </c>
      <c r="X1524">
        <v>1.3332999999999999</v>
      </c>
      <c r="Y1524">
        <v>572</v>
      </c>
      <c r="Z1524">
        <v>5.87</v>
      </c>
      <c r="AJ1524">
        <v>2</v>
      </c>
      <c r="AK1524">
        <v>18</v>
      </c>
      <c r="AM1524">
        <v>0</v>
      </c>
      <c r="AO1524" t="s">
        <v>266</v>
      </c>
      <c r="AT1524">
        <v>65</v>
      </c>
      <c r="AV1524">
        <v>62.3</v>
      </c>
      <c r="AW1524" t="s">
        <v>6</v>
      </c>
      <c r="AX1524" t="s">
        <v>6</v>
      </c>
      <c r="AY1524" t="s">
        <v>6</v>
      </c>
      <c r="AZ1524" t="s">
        <v>6</v>
      </c>
      <c r="BA1524" t="s">
        <v>6</v>
      </c>
      <c r="BB1524" t="s">
        <v>6</v>
      </c>
      <c r="BC1524" t="s">
        <v>6</v>
      </c>
      <c r="BD1524" t="s">
        <v>6</v>
      </c>
      <c r="BE1524" t="s">
        <v>6</v>
      </c>
      <c r="BF1524" t="s">
        <v>6</v>
      </c>
      <c r="BG1524" t="s">
        <v>6</v>
      </c>
      <c r="BH1524" t="s">
        <v>6</v>
      </c>
      <c r="BI1524" t="s">
        <v>6</v>
      </c>
      <c r="BJ1524" t="s">
        <v>6</v>
      </c>
      <c r="BN1524">
        <v>299.60000000000002</v>
      </c>
      <c r="BO1524">
        <v>1156</v>
      </c>
      <c r="BP1524">
        <v>0</v>
      </c>
      <c r="BQ1524">
        <v>59</v>
      </c>
      <c r="BR1524">
        <v>59</v>
      </c>
      <c r="BS1524">
        <v>58.6</v>
      </c>
      <c r="BT1524">
        <v>0</v>
      </c>
      <c r="BV1524">
        <v>0</v>
      </c>
      <c r="BW1524" t="s">
        <v>655</v>
      </c>
      <c r="BX1524">
        <v>0.17</v>
      </c>
      <c r="BY1524">
        <v>9.9619999999999997</v>
      </c>
      <c r="BZ1524">
        <v>0</v>
      </c>
      <c r="CA1524">
        <v>1</v>
      </c>
      <c r="CB1524">
        <v>0.6</v>
      </c>
      <c r="CC1524" s="3">
        <v>7.1269159999999998E-2</v>
      </c>
      <c r="CD1524">
        <v>2.875</v>
      </c>
      <c r="CE1524">
        <v>2.5</v>
      </c>
      <c r="CF1524">
        <v>18</v>
      </c>
      <c r="CG1524">
        <v>6</v>
      </c>
      <c r="CH1524">
        <v>0</v>
      </c>
      <c r="CI1524">
        <v>58.6</v>
      </c>
      <c r="CJ1524">
        <v>717.81399999999996</v>
      </c>
    </row>
    <row r="1525" spans="1:88">
      <c r="A1525">
        <v>1524</v>
      </c>
      <c r="B1525" t="s">
        <v>0</v>
      </c>
      <c r="C1525" t="s">
        <v>1</v>
      </c>
      <c r="D1525" t="s">
        <v>153</v>
      </c>
      <c r="E1525" t="s">
        <v>133</v>
      </c>
      <c r="F1525" t="s">
        <v>126</v>
      </c>
      <c r="G1525" t="s">
        <v>106</v>
      </c>
      <c r="H1525" t="s">
        <v>3</v>
      </c>
      <c r="J1525">
        <v>2</v>
      </c>
      <c r="K1525" t="s">
        <v>146</v>
      </c>
      <c r="L1525" t="s">
        <v>353</v>
      </c>
      <c r="M1525" t="s">
        <v>194</v>
      </c>
      <c r="N1525" t="s">
        <v>195</v>
      </c>
      <c r="O1525">
        <v>143</v>
      </c>
      <c r="Q1525">
        <v>464</v>
      </c>
      <c r="R1525">
        <v>78</v>
      </c>
      <c r="S1525">
        <v>4.25</v>
      </c>
      <c r="T1525">
        <v>3.88</v>
      </c>
      <c r="U1525">
        <v>6.6</v>
      </c>
      <c r="V1525">
        <v>1971.78</v>
      </c>
      <c r="W1525">
        <v>515</v>
      </c>
      <c r="X1525">
        <v>1.3332999999999999</v>
      </c>
      <c r="Y1525">
        <v>378</v>
      </c>
      <c r="Z1525">
        <v>5.21</v>
      </c>
      <c r="AJ1525">
        <v>2</v>
      </c>
      <c r="AK1525">
        <v>18</v>
      </c>
      <c r="AM1525">
        <v>0</v>
      </c>
      <c r="AO1525" t="s">
        <v>383</v>
      </c>
      <c r="AT1525">
        <v>55</v>
      </c>
      <c r="AV1525">
        <v>43</v>
      </c>
      <c r="AW1525">
        <v>0</v>
      </c>
      <c r="AX1525">
        <v>0</v>
      </c>
      <c r="AY1525">
        <v>53.625</v>
      </c>
      <c r="AZ1525">
        <v>4.875</v>
      </c>
      <c r="BA1525">
        <v>0</v>
      </c>
      <c r="BB1525">
        <v>0</v>
      </c>
      <c r="BC1525">
        <v>58</v>
      </c>
      <c r="BN1525">
        <v>205.08340000000001</v>
      </c>
      <c r="BO1525">
        <v>2467</v>
      </c>
      <c r="BP1525">
        <v>0</v>
      </c>
      <c r="BQ1525">
        <v>49</v>
      </c>
      <c r="BR1525">
        <v>49</v>
      </c>
      <c r="BS1525">
        <v>48.86</v>
      </c>
      <c r="BT1525">
        <v>0</v>
      </c>
      <c r="BV1525">
        <v>0</v>
      </c>
      <c r="BW1525" t="s">
        <v>655</v>
      </c>
      <c r="BX1525">
        <v>0.17</v>
      </c>
      <c r="BY1525">
        <v>8.3062000000000005</v>
      </c>
      <c r="BZ1525">
        <v>0</v>
      </c>
      <c r="CA1525">
        <v>1</v>
      </c>
      <c r="CB1525">
        <v>0.6</v>
      </c>
      <c r="CC1525" s="3">
        <v>7.1269159999999998E-2</v>
      </c>
      <c r="CD1525">
        <v>2.875</v>
      </c>
      <c r="CE1525">
        <v>2.5</v>
      </c>
      <c r="CF1525">
        <v>18</v>
      </c>
      <c r="CG1525">
        <v>6</v>
      </c>
      <c r="CH1525">
        <v>0</v>
      </c>
      <c r="CI1525">
        <v>48.86</v>
      </c>
      <c r="CJ1525">
        <v>412.642</v>
      </c>
    </row>
    <row r="1526" spans="1:88">
      <c r="A1526">
        <v>1525</v>
      </c>
      <c r="B1526" t="s">
        <v>13</v>
      </c>
      <c r="C1526" t="s">
        <v>1</v>
      </c>
      <c r="D1526" t="s">
        <v>316</v>
      </c>
      <c r="E1526" t="s">
        <v>532</v>
      </c>
      <c r="F1526" t="s">
        <v>349</v>
      </c>
      <c r="G1526" t="s">
        <v>106</v>
      </c>
      <c r="H1526" t="s">
        <v>350</v>
      </c>
      <c r="J1526">
        <v>2</v>
      </c>
      <c r="K1526" t="s">
        <v>108</v>
      </c>
      <c r="L1526" t="s">
        <v>522</v>
      </c>
      <c r="M1526" t="s">
        <v>652</v>
      </c>
      <c r="N1526" t="s">
        <v>10</v>
      </c>
      <c r="O1526">
        <v>220</v>
      </c>
      <c r="Q1526">
        <v>950</v>
      </c>
      <c r="R1526">
        <v>112</v>
      </c>
      <c r="S1526">
        <v>4.25</v>
      </c>
      <c r="T1526">
        <v>5.6070000000000002</v>
      </c>
      <c r="U1526">
        <v>7.57</v>
      </c>
      <c r="V1526">
        <v>4038.01</v>
      </c>
      <c r="W1526">
        <v>849</v>
      </c>
      <c r="X1526">
        <v>1.5</v>
      </c>
      <c r="Y1526">
        <v>569</v>
      </c>
      <c r="Z1526">
        <v>7.1</v>
      </c>
      <c r="AJ1526">
        <v>2</v>
      </c>
      <c r="AK1526">
        <v>18</v>
      </c>
      <c r="AM1526">
        <v>0</v>
      </c>
      <c r="AO1526" t="s">
        <v>352</v>
      </c>
      <c r="AT1526">
        <v>82</v>
      </c>
      <c r="AV1526">
        <v>59.1</v>
      </c>
      <c r="AW1526" t="s">
        <v>6</v>
      </c>
      <c r="AX1526" t="s">
        <v>6</v>
      </c>
      <c r="AY1526" t="s">
        <v>6</v>
      </c>
      <c r="AZ1526" t="s">
        <v>6</v>
      </c>
      <c r="BA1526" t="s">
        <v>6</v>
      </c>
      <c r="BB1526" t="s">
        <v>6</v>
      </c>
      <c r="BC1526" t="s">
        <v>6</v>
      </c>
      <c r="BD1526" t="s">
        <v>6</v>
      </c>
      <c r="BE1526" t="s">
        <v>6</v>
      </c>
      <c r="BF1526" t="s">
        <v>6</v>
      </c>
      <c r="BG1526" t="s">
        <v>6</v>
      </c>
      <c r="BH1526" t="s">
        <v>6</v>
      </c>
      <c r="BI1526" t="s">
        <v>6</v>
      </c>
      <c r="BJ1526" t="s">
        <v>6</v>
      </c>
      <c r="BN1526">
        <v>283.55009999999999</v>
      </c>
      <c r="BO1526">
        <v>1291</v>
      </c>
      <c r="BP1526">
        <v>0</v>
      </c>
      <c r="BQ1526">
        <v>76</v>
      </c>
      <c r="BR1526">
        <v>76</v>
      </c>
      <c r="BS1526">
        <v>75.650000000000006</v>
      </c>
      <c r="BT1526">
        <v>0</v>
      </c>
      <c r="BV1526">
        <v>0</v>
      </c>
      <c r="BW1526" t="s">
        <v>655</v>
      </c>
      <c r="BX1526">
        <v>0.17</v>
      </c>
      <c r="BY1526">
        <v>12.8605</v>
      </c>
      <c r="BZ1526">
        <v>0</v>
      </c>
      <c r="CA1526">
        <v>1</v>
      </c>
      <c r="CB1526">
        <v>0.6</v>
      </c>
      <c r="CC1526" s="3">
        <v>7.1269159999999998E-2</v>
      </c>
      <c r="CD1526">
        <v>2.875</v>
      </c>
      <c r="CE1526">
        <v>2.5</v>
      </c>
      <c r="CF1526">
        <v>18</v>
      </c>
      <c r="CG1526">
        <v>6</v>
      </c>
      <c r="CH1526">
        <v>0</v>
      </c>
      <c r="CI1526">
        <v>75.650000000000006</v>
      </c>
      <c r="CJ1526">
        <v>878.14239999999995</v>
      </c>
    </row>
    <row r="1527" spans="1:88">
      <c r="A1527">
        <v>1526</v>
      </c>
      <c r="B1527" t="s">
        <v>0</v>
      </c>
      <c r="C1527" t="s">
        <v>1</v>
      </c>
      <c r="D1527" t="s">
        <v>559</v>
      </c>
      <c r="E1527" t="s">
        <v>317</v>
      </c>
      <c r="F1527" t="s">
        <v>560</v>
      </c>
      <c r="G1527" t="s">
        <v>106</v>
      </c>
      <c r="H1527" t="s">
        <v>561</v>
      </c>
      <c r="J1527">
        <v>2</v>
      </c>
      <c r="K1527" t="s">
        <v>146</v>
      </c>
      <c r="L1527" t="s">
        <v>169</v>
      </c>
      <c r="M1527" t="s">
        <v>400</v>
      </c>
      <c r="N1527" t="s">
        <v>228</v>
      </c>
      <c r="O1527">
        <v>99</v>
      </c>
      <c r="Q1527">
        <v>153</v>
      </c>
      <c r="R1527">
        <v>36</v>
      </c>
      <c r="S1527">
        <v>4.25</v>
      </c>
      <c r="T1527">
        <v>2.758</v>
      </c>
      <c r="U1527">
        <v>5.88</v>
      </c>
      <c r="V1527">
        <v>650.59</v>
      </c>
      <c r="W1527">
        <v>210</v>
      </c>
      <c r="X1527">
        <v>1.3332999999999999</v>
      </c>
      <c r="Y1527">
        <v>159</v>
      </c>
      <c r="Z1527">
        <v>4.09</v>
      </c>
      <c r="AJ1527">
        <v>2</v>
      </c>
      <c r="AK1527">
        <v>18</v>
      </c>
      <c r="AM1527">
        <v>0</v>
      </c>
      <c r="AO1527" t="s">
        <v>321</v>
      </c>
      <c r="AT1527">
        <v>40</v>
      </c>
      <c r="AV1527">
        <v>19.399999999999999</v>
      </c>
      <c r="AW1527">
        <v>0</v>
      </c>
      <c r="AX1527">
        <v>0</v>
      </c>
      <c r="AY1527">
        <v>40.625</v>
      </c>
      <c r="AZ1527">
        <v>3.125</v>
      </c>
      <c r="BA1527">
        <v>0</v>
      </c>
      <c r="BB1527">
        <v>0</v>
      </c>
      <c r="BC1527">
        <v>36</v>
      </c>
      <c r="BN1527">
        <v>89.166679999999999</v>
      </c>
      <c r="BO1527">
        <v>13052</v>
      </c>
      <c r="BP1527">
        <v>0</v>
      </c>
      <c r="BQ1527">
        <v>34</v>
      </c>
      <c r="BR1527">
        <v>34</v>
      </c>
      <c r="BS1527">
        <v>33.56</v>
      </c>
      <c r="BT1527">
        <v>0</v>
      </c>
      <c r="BV1527">
        <v>0</v>
      </c>
      <c r="BW1527" t="s">
        <v>655</v>
      </c>
      <c r="BX1527">
        <v>0.17</v>
      </c>
      <c r="BY1527">
        <v>5.7051999999999996</v>
      </c>
      <c r="BZ1527">
        <v>0</v>
      </c>
      <c r="CA1527">
        <v>1</v>
      </c>
      <c r="CB1527">
        <v>0.6</v>
      </c>
      <c r="CC1527" s="3">
        <v>7.1269159999999998E-2</v>
      </c>
      <c r="CD1527">
        <v>2.875</v>
      </c>
      <c r="CE1527">
        <v>2.5</v>
      </c>
      <c r="CF1527">
        <v>18</v>
      </c>
      <c r="CG1527">
        <v>6</v>
      </c>
      <c r="CH1527">
        <v>0</v>
      </c>
      <c r="CI1527">
        <v>33.56</v>
      </c>
      <c r="CJ1527">
        <v>127.9609</v>
      </c>
    </row>
    <row r="1528" spans="1:88">
      <c r="A1528">
        <v>1527</v>
      </c>
      <c r="B1528" t="s">
        <v>0</v>
      </c>
      <c r="C1528" t="s">
        <v>1</v>
      </c>
      <c r="D1528" t="s">
        <v>580</v>
      </c>
      <c r="E1528" t="s">
        <v>317</v>
      </c>
      <c r="F1528" t="s">
        <v>371</v>
      </c>
      <c r="G1528" t="s">
        <v>106</v>
      </c>
      <c r="H1528" t="s">
        <v>493</v>
      </c>
      <c r="J1528">
        <v>2</v>
      </c>
      <c r="K1528" t="s">
        <v>146</v>
      </c>
      <c r="L1528" t="s">
        <v>169</v>
      </c>
      <c r="M1528" t="s">
        <v>400</v>
      </c>
      <c r="N1528" t="s">
        <v>228</v>
      </c>
      <c r="O1528">
        <v>99</v>
      </c>
      <c r="Q1528">
        <v>126</v>
      </c>
      <c r="R1528">
        <v>30</v>
      </c>
      <c r="S1528">
        <v>4.25</v>
      </c>
      <c r="T1528">
        <v>2.758</v>
      </c>
      <c r="U1528">
        <v>5.88</v>
      </c>
      <c r="V1528">
        <v>533.5</v>
      </c>
      <c r="W1528">
        <v>176</v>
      </c>
      <c r="X1528">
        <v>1.3332999999999999</v>
      </c>
      <c r="Y1528">
        <v>130</v>
      </c>
      <c r="Z1528">
        <v>4.09</v>
      </c>
      <c r="AJ1528">
        <v>2</v>
      </c>
      <c r="AK1528">
        <v>18</v>
      </c>
      <c r="AM1528">
        <v>0</v>
      </c>
      <c r="AO1528" t="s">
        <v>592</v>
      </c>
      <c r="AT1528">
        <v>40</v>
      </c>
      <c r="AV1528">
        <v>15.7</v>
      </c>
      <c r="AW1528">
        <v>0</v>
      </c>
      <c r="AX1528">
        <v>0</v>
      </c>
      <c r="AY1528">
        <v>19.5</v>
      </c>
      <c r="AZ1528">
        <v>2.5</v>
      </c>
      <c r="BA1528">
        <v>0</v>
      </c>
      <c r="BB1528">
        <v>0</v>
      </c>
      <c r="BC1528">
        <v>15</v>
      </c>
      <c r="BN1528">
        <v>71.333349999999996</v>
      </c>
      <c r="BO1528">
        <v>20393</v>
      </c>
      <c r="BP1528">
        <v>0</v>
      </c>
      <c r="BQ1528">
        <v>34</v>
      </c>
      <c r="BR1528">
        <v>34</v>
      </c>
      <c r="BS1528">
        <v>33.56</v>
      </c>
      <c r="BT1528">
        <v>0</v>
      </c>
      <c r="BV1528">
        <v>0</v>
      </c>
      <c r="BW1528" t="s">
        <v>655</v>
      </c>
      <c r="BX1528">
        <v>0.17</v>
      </c>
      <c r="BY1528">
        <v>5.7051999999999996</v>
      </c>
      <c r="BZ1528">
        <v>0</v>
      </c>
      <c r="CA1528">
        <v>1</v>
      </c>
      <c r="CB1528">
        <v>0.6</v>
      </c>
      <c r="CC1528" s="3">
        <v>7.1269159999999998E-2</v>
      </c>
      <c r="CD1528">
        <v>2.875</v>
      </c>
      <c r="CE1528">
        <v>2.5</v>
      </c>
      <c r="CF1528">
        <v>18</v>
      </c>
      <c r="CG1528">
        <v>6</v>
      </c>
      <c r="CH1528">
        <v>0</v>
      </c>
      <c r="CI1528">
        <v>33.56</v>
      </c>
      <c r="CJ1528">
        <v>104.04300000000001</v>
      </c>
    </row>
    <row r="1529" spans="1:88">
      <c r="A1529">
        <v>1528</v>
      </c>
      <c r="B1529" t="s">
        <v>13</v>
      </c>
      <c r="C1529" t="s">
        <v>1</v>
      </c>
      <c r="D1529" t="s">
        <v>283</v>
      </c>
      <c r="E1529" t="s">
        <v>464</v>
      </c>
      <c r="F1529" t="s">
        <v>243</v>
      </c>
      <c r="G1529" t="s">
        <v>106</v>
      </c>
      <c r="H1529" t="s">
        <v>284</v>
      </c>
      <c r="J1529">
        <v>2</v>
      </c>
      <c r="K1529" t="s">
        <v>146</v>
      </c>
      <c r="L1529" t="s">
        <v>227</v>
      </c>
      <c r="M1529" t="s">
        <v>408</v>
      </c>
      <c r="N1529" t="s">
        <v>317</v>
      </c>
      <c r="O1529">
        <v>96</v>
      </c>
      <c r="Q1529">
        <v>219</v>
      </c>
      <c r="R1529">
        <v>51</v>
      </c>
      <c r="S1529">
        <v>4.25</v>
      </c>
      <c r="T1529">
        <v>2.677</v>
      </c>
      <c r="U1529">
        <v>5.85</v>
      </c>
      <c r="V1529">
        <v>929.17</v>
      </c>
      <c r="W1529">
        <v>296</v>
      </c>
      <c r="X1529">
        <v>1.3332999999999999</v>
      </c>
      <c r="Y1529">
        <v>232</v>
      </c>
      <c r="Z1529">
        <v>4.01</v>
      </c>
      <c r="AJ1529">
        <v>2</v>
      </c>
      <c r="AK1529">
        <v>18</v>
      </c>
      <c r="AM1529">
        <v>0</v>
      </c>
      <c r="AO1529" t="s">
        <v>285</v>
      </c>
      <c r="AT1529">
        <v>39</v>
      </c>
      <c r="AV1529">
        <v>28.8</v>
      </c>
      <c r="AW1529">
        <v>0</v>
      </c>
      <c r="AX1529">
        <v>0</v>
      </c>
      <c r="AY1529">
        <v>27.875</v>
      </c>
      <c r="AZ1529">
        <v>3</v>
      </c>
      <c r="BA1529">
        <v>0</v>
      </c>
      <c r="BB1529">
        <v>0</v>
      </c>
      <c r="BC1529">
        <v>25</v>
      </c>
      <c r="BN1529">
        <v>135.5334</v>
      </c>
      <c r="BO1529">
        <v>5649</v>
      </c>
      <c r="BP1529">
        <v>0</v>
      </c>
      <c r="BQ1529">
        <v>33</v>
      </c>
      <c r="BR1529">
        <v>33</v>
      </c>
      <c r="BS1529">
        <v>32.520000000000003</v>
      </c>
      <c r="BT1529">
        <v>0</v>
      </c>
      <c r="BV1529">
        <v>0</v>
      </c>
      <c r="BW1529" t="s">
        <v>655</v>
      </c>
      <c r="BX1529">
        <v>0.17</v>
      </c>
      <c r="BY1529">
        <v>5.5284000000000004</v>
      </c>
      <c r="BZ1529">
        <v>0</v>
      </c>
      <c r="CA1529">
        <v>1</v>
      </c>
      <c r="CB1529">
        <v>0.6</v>
      </c>
      <c r="CC1529" s="3">
        <v>7.1269159999999998E-2</v>
      </c>
      <c r="CD1529">
        <v>2.875</v>
      </c>
      <c r="CE1529">
        <v>2.5</v>
      </c>
      <c r="CF1529">
        <v>18</v>
      </c>
      <c r="CG1529">
        <v>6</v>
      </c>
      <c r="CH1529">
        <v>0</v>
      </c>
      <c r="CI1529">
        <v>32.520000000000003</v>
      </c>
      <c r="CJ1529">
        <v>184.255</v>
      </c>
    </row>
    <row r="1530" spans="1:88">
      <c r="A1530">
        <v>1529</v>
      </c>
      <c r="B1530" t="s">
        <v>13</v>
      </c>
      <c r="C1530" t="s">
        <v>1</v>
      </c>
      <c r="D1530" t="s">
        <v>454</v>
      </c>
      <c r="E1530" t="s">
        <v>217</v>
      </c>
      <c r="F1530" t="s">
        <v>417</v>
      </c>
      <c r="G1530" t="s">
        <v>106</v>
      </c>
      <c r="H1530" t="s">
        <v>497</v>
      </c>
      <c r="J1530">
        <v>2</v>
      </c>
      <c r="K1530" t="s">
        <v>108</v>
      </c>
      <c r="L1530" t="s">
        <v>153</v>
      </c>
      <c r="M1530" t="s">
        <v>218</v>
      </c>
      <c r="N1530" t="s">
        <v>139</v>
      </c>
      <c r="O1530">
        <v>106</v>
      </c>
      <c r="Q1530">
        <v>565</v>
      </c>
      <c r="R1530">
        <v>120</v>
      </c>
      <c r="S1530">
        <v>4.25</v>
      </c>
      <c r="T1530">
        <v>2.9449999999999998</v>
      </c>
      <c r="U1530">
        <v>6.03</v>
      </c>
      <c r="V1530">
        <v>2401.7600000000002</v>
      </c>
      <c r="W1530">
        <v>726</v>
      </c>
      <c r="X1530">
        <v>1.3332999999999999</v>
      </c>
      <c r="Y1530">
        <v>562</v>
      </c>
      <c r="Z1530">
        <v>4.2699999999999996</v>
      </c>
      <c r="AJ1530">
        <v>2</v>
      </c>
      <c r="AK1530">
        <v>18</v>
      </c>
      <c r="AM1530">
        <v>0</v>
      </c>
      <c r="AO1530" t="s">
        <v>163</v>
      </c>
      <c r="AT1530">
        <v>42</v>
      </c>
      <c r="AV1530">
        <v>69.2</v>
      </c>
      <c r="AW1530">
        <v>0.46875</v>
      </c>
      <c r="AX1530">
        <v>3.75</v>
      </c>
      <c r="AY1530">
        <v>43.875</v>
      </c>
      <c r="AZ1530">
        <v>4</v>
      </c>
      <c r="BA1530">
        <v>461.55</v>
      </c>
      <c r="BB1530">
        <v>4.2699999999999996</v>
      </c>
      <c r="BC1530">
        <v>47</v>
      </c>
      <c r="BD1530">
        <v>0.3125</v>
      </c>
      <c r="BE1530">
        <v>2.75</v>
      </c>
      <c r="BF1530">
        <v>35.625</v>
      </c>
      <c r="BG1530">
        <v>2.625</v>
      </c>
      <c r="BH1530">
        <v>100.91</v>
      </c>
      <c r="BI1530">
        <v>6.33</v>
      </c>
      <c r="BJ1530">
        <v>19</v>
      </c>
      <c r="BL1530">
        <v>562.46</v>
      </c>
      <c r="BM1530">
        <v>66</v>
      </c>
      <c r="BN1530">
        <v>333.48340000000002</v>
      </c>
      <c r="BO1530">
        <v>933</v>
      </c>
      <c r="BP1530">
        <v>0</v>
      </c>
      <c r="BQ1530">
        <v>36</v>
      </c>
      <c r="BR1530">
        <v>36</v>
      </c>
      <c r="BS1530">
        <v>36</v>
      </c>
      <c r="BT1530">
        <v>0</v>
      </c>
      <c r="BV1530">
        <v>0</v>
      </c>
      <c r="BW1530" t="s">
        <v>655</v>
      </c>
      <c r="BX1530">
        <v>0.17</v>
      </c>
      <c r="BY1530">
        <v>6.12</v>
      </c>
      <c r="BZ1530">
        <v>0</v>
      </c>
      <c r="CA1530">
        <v>1</v>
      </c>
      <c r="CB1530">
        <v>0.6</v>
      </c>
      <c r="CC1530" s="3">
        <v>7.1269159999999998E-2</v>
      </c>
      <c r="CD1530">
        <v>2.875</v>
      </c>
      <c r="CE1530">
        <v>2.5</v>
      </c>
      <c r="CF1530">
        <v>18</v>
      </c>
      <c r="CG1530">
        <v>6</v>
      </c>
      <c r="CH1530">
        <v>0</v>
      </c>
      <c r="CI1530">
        <v>36</v>
      </c>
      <c r="CJ1530">
        <v>489.726</v>
      </c>
    </row>
    <row r="1531" spans="1:88">
      <c r="A1531">
        <v>1530</v>
      </c>
      <c r="B1531" t="s">
        <v>13</v>
      </c>
      <c r="C1531" t="s">
        <v>1</v>
      </c>
      <c r="D1531" t="s">
        <v>268</v>
      </c>
      <c r="E1531" t="s">
        <v>103</v>
      </c>
      <c r="F1531" t="s">
        <v>308</v>
      </c>
      <c r="G1531" t="s">
        <v>106</v>
      </c>
      <c r="H1531" t="s">
        <v>174</v>
      </c>
      <c r="J1531">
        <v>2</v>
      </c>
      <c r="K1531" t="s">
        <v>146</v>
      </c>
      <c r="L1531" t="s">
        <v>455</v>
      </c>
      <c r="M1531" t="s">
        <v>315</v>
      </c>
      <c r="N1531" t="s">
        <v>316</v>
      </c>
      <c r="O1531">
        <v>167</v>
      </c>
      <c r="Q1531">
        <v>523</v>
      </c>
      <c r="R1531">
        <v>76</v>
      </c>
      <c r="S1531">
        <v>4.25</v>
      </c>
      <c r="T1531">
        <v>4.4459999999999997</v>
      </c>
      <c r="U1531">
        <v>6.86</v>
      </c>
      <c r="V1531">
        <v>2220.92</v>
      </c>
      <c r="W1531">
        <v>523</v>
      </c>
      <c r="X1531">
        <v>1.3332999999999999</v>
      </c>
      <c r="Y1531">
        <v>385</v>
      </c>
      <c r="Z1531">
        <v>5.77</v>
      </c>
      <c r="AJ1531">
        <v>2</v>
      </c>
      <c r="AK1531">
        <v>18</v>
      </c>
      <c r="AM1531">
        <v>0</v>
      </c>
      <c r="AO1531" t="s">
        <v>312</v>
      </c>
      <c r="AT1531">
        <v>63</v>
      </c>
      <c r="AV1531">
        <v>41.9</v>
      </c>
      <c r="AW1531">
        <v>0.46875</v>
      </c>
      <c r="AX1531">
        <v>3.75</v>
      </c>
      <c r="AY1531">
        <v>59.375</v>
      </c>
      <c r="AZ1531">
        <v>5.375</v>
      </c>
      <c r="BA1531">
        <v>341.56</v>
      </c>
      <c r="BB1531">
        <v>5.77</v>
      </c>
      <c r="BC1531">
        <v>64</v>
      </c>
      <c r="BD1531">
        <v>0.25</v>
      </c>
      <c r="BE1531">
        <v>2.75</v>
      </c>
      <c r="BF1531">
        <v>26.5</v>
      </c>
      <c r="BG1531">
        <v>2.875</v>
      </c>
      <c r="BH1531">
        <v>43.33</v>
      </c>
      <c r="BI1531">
        <v>7.92</v>
      </c>
      <c r="BJ1531">
        <v>12</v>
      </c>
      <c r="BL1531">
        <v>384.89</v>
      </c>
      <c r="BM1531">
        <v>75</v>
      </c>
      <c r="BN1531">
        <v>199.73339999999999</v>
      </c>
      <c r="BO1531">
        <v>2601</v>
      </c>
      <c r="BP1531">
        <v>0</v>
      </c>
      <c r="BQ1531">
        <v>57</v>
      </c>
      <c r="BR1531">
        <v>57</v>
      </c>
      <c r="BS1531">
        <v>57.21</v>
      </c>
      <c r="BT1531">
        <v>0</v>
      </c>
      <c r="BV1531">
        <v>0</v>
      </c>
      <c r="BW1531" t="s">
        <v>655</v>
      </c>
      <c r="BX1531">
        <v>0.17</v>
      </c>
      <c r="BY1531">
        <v>9.7257010000000008</v>
      </c>
      <c r="BZ1531">
        <v>0</v>
      </c>
      <c r="CA1531">
        <v>1</v>
      </c>
      <c r="CB1531">
        <v>0.6</v>
      </c>
      <c r="CC1531" s="3">
        <v>7.1269159999999998E-2</v>
      </c>
      <c r="CD1531">
        <v>2.875</v>
      </c>
      <c r="CE1531">
        <v>2.5</v>
      </c>
      <c r="CF1531">
        <v>18</v>
      </c>
      <c r="CG1531">
        <v>6</v>
      </c>
      <c r="CH1531">
        <v>0</v>
      </c>
      <c r="CI1531">
        <v>57.21</v>
      </c>
      <c r="CJ1531">
        <v>470.92910000000001</v>
      </c>
    </row>
    <row r="1532" spans="1:88">
      <c r="A1532">
        <v>1531</v>
      </c>
      <c r="B1532" t="s">
        <v>13</v>
      </c>
      <c r="C1532" t="s">
        <v>1</v>
      </c>
      <c r="D1532" t="s">
        <v>466</v>
      </c>
      <c r="E1532" t="s">
        <v>143</v>
      </c>
      <c r="F1532" t="s">
        <v>578</v>
      </c>
      <c r="G1532" t="s">
        <v>106</v>
      </c>
      <c r="H1532" t="s">
        <v>607</v>
      </c>
      <c r="J1532">
        <v>2</v>
      </c>
      <c r="K1532" t="s">
        <v>108</v>
      </c>
      <c r="L1532" t="s">
        <v>297</v>
      </c>
      <c r="M1532" t="s">
        <v>206</v>
      </c>
      <c r="N1532" t="s">
        <v>131</v>
      </c>
      <c r="O1532">
        <v>155</v>
      </c>
      <c r="Q1532">
        <v>692</v>
      </c>
      <c r="R1532">
        <v>105</v>
      </c>
      <c r="S1532">
        <v>4.25</v>
      </c>
      <c r="T1532">
        <v>4.1660000000000004</v>
      </c>
      <c r="U1532">
        <v>6.78</v>
      </c>
      <c r="V1532">
        <v>2941.42</v>
      </c>
      <c r="W1532">
        <v>709</v>
      </c>
      <c r="X1532">
        <v>1.3332999999999999</v>
      </c>
      <c r="Y1532">
        <v>536</v>
      </c>
      <c r="Z1532">
        <v>5.49</v>
      </c>
      <c r="AJ1532">
        <v>2</v>
      </c>
      <c r="AK1532">
        <v>18</v>
      </c>
      <c r="AM1532">
        <v>0</v>
      </c>
      <c r="AO1532" t="s">
        <v>349</v>
      </c>
      <c r="AT1532">
        <v>59</v>
      </c>
      <c r="AV1532">
        <v>59.8</v>
      </c>
      <c r="AW1532">
        <v>0.4375</v>
      </c>
      <c r="AX1532">
        <v>3.75</v>
      </c>
      <c r="AY1532">
        <v>48.25</v>
      </c>
      <c r="AZ1532">
        <v>4.75</v>
      </c>
      <c r="BA1532">
        <v>294.67</v>
      </c>
      <c r="BB1532">
        <v>5.58</v>
      </c>
      <c r="BC1532">
        <v>49</v>
      </c>
      <c r="BD1532">
        <v>0.40625</v>
      </c>
      <c r="BE1532">
        <v>3.75</v>
      </c>
      <c r="BF1532">
        <v>40.375</v>
      </c>
      <c r="BG1532">
        <v>4.5</v>
      </c>
      <c r="BH1532">
        <v>241.1</v>
      </c>
      <c r="BI1532">
        <v>5.49</v>
      </c>
      <c r="BJ1532">
        <v>38</v>
      </c>
      <c r="BL1532">
        <v>535.77</v>
      </c>
      <c r="BM1532">
        <v>87</v>
      </c>
      <c r="BN1532">
        <v>287.11669999999998</v>
      </c>
      <c r="BO1532">
        <v>1259</v>
      </c>
      <c r="BP1532">
        <v>0</v>
      </c>
      <c r="BQ1532">
        <v>53</v>
      </c>
      <c r="BR1532">
        <v>53</v>
      </c>
      <c r="BS1532">
        <v>53.04</v>
      </c>
      <c r="BT1532">
        <v>0</v>
      </c>
      <c r="BV1532">
        <v>0</v>
      </c>
      <c r="BW1532" t="s">
        <v>655</v>
      </c>
      <c r="BX1532">
        <v>0.17</v>
      </c>
      <c r="BY1532">
        <v>9.0167999999999999</v>
      </c>
      <c r="BZ1532">
        <v>0</v>
      </c>
      <c r="CA1532">
        <v>1</v>
      </c>
      <c r="CB1532">
        <v>0.6</v>
      </c>
      <c r="CC1532" s="3">
        <v>7.1269159999999998E-2</v>
      </c>
      <c r="CD1532">
        <v>2.875</v>
      </c>
      <c r="CE1532">
        <v>2.5</v>
      </c>
      <c r="CF1532">
        <v>18</v>
      </c>
      <c r="CG1532">
        <v>6</v>
      </c>
      <c r="CH1532">
        <v>0</v>
      </c>
      <c r="CI1532">
        <v>53.04</v>
      </c>
      <c r="CJ1532">
        <v>623.24659999999994</v>
      </c>
    </row>
    <row r="1533" spans="1:88">
      <c r="A1533">
        <v>1532</v>
      </c>
      <c r="B1533" t="s">
        <v>0</v>
      </c>
      <c r="C1533" t="s">
        <v>1</v>
      </c>
      <c r="D1533" t="s">
        <v>169</v>
      </c>
      <c r="E1533" t="s">
        <v>172</v>
      </c>
      <c r="F1533" t="s">
        <v>404</v>
      </c>
      <c r="G1533" t="s">
        <v>106</v>
      </c>
      <c r="H1533" t="s">
        <v>190</v>
      </c>
      <c r="J1533">
        <v>2</v>
      </c>
      <c r="K1533" t="s">
        <v>146</v>
      </c>
      <c r="L1533" t="s">
        <v>233</v>
      </c>
      <c r="M1533" t="s">
        <v>490</v>
      </c>
      <c r="N1533" t="s">
        <v>128</v>
      </c>
      <c r="O1533">
        <v>137</v>
      </c>
      <c r="Q1533">
        <v>420</v>
      </c>
      <c r="R1533">
        <v>74</v>
      </c>
      <c r="S1533">
        <v>4.25</v>
      </c>
      <c r="T1533">
        <v>3.734</v>
      </c>
      <c r="U1533">
        <v>6.48</v>
      </c>
      <c r="V1533">
        <v>1785.68</v>
      </c>
      <c r="W1533">
        <v>479</v>
      </c>
      <c r="X1533">
        <v>1.3332999999999999</v>
      </c>
      <c r="Y1533">
        <v>353</v>
      </c>
      <c r="Z1533">
        <v>5.0599999999999996</v>
      </c>
      <c r="AJ1533">
        <v>2</v>
      </c>
      <c r="AK1533">
        <v>18</v>
      </c>
      <c r="AM1533">
        <v>0</v>
      </c>
      <c r="AO1533" t="s">
        <v>406</v>
      </c>
      <c r="AT1533">
        <v>53</v>
      </c>
      <c r="AV1533">
        <v>40.4</v>
      </c>
      <c r="AW1533">
        <v>0</v>
      </c>
      <c r="AX1533">
        <v>0</v>
      </c>
      <c r="AY1533">
        <v>57.5</v>
      </c>
      <c r="AZ1533">
        <v>4.75</v>
      </c>
      <c r="BA1533">
        <v>0</v>
      </c>
      <c r="BB1533">
        <v>0</v>
      </c>
      <c r="BC1533">
        <v>62</v>
      </c>
      <c r="BN1533">
        <v>192.6</v>
      </c>
      <c r="BO1533">
        <v>2797</v>
      </c>
      <c r="BP1533">
        <v>0</v>
      </c>
      <c r="BQ1533">
        <v>47</v>
      </c>
      <c r="BR1533">
        <v>47</v>
      </c>
      <c r="BS1533">
        <v>46.78</v>
      </c>
      <c r="BT1533">
        <v>0</v>
      </c>
      <c r="BV1533">
        <v>0</v>
      </c>
      <c r="BW1533" t="s">
        <v>655</v>
      </c>
      <c r="BX1533">
        <v>0.17</v>
      </c>
      <c r="BY1533">
        <v>7.9526000000000003</v>
      </c>
      <c r="BZ1533">
        <v>0</v>
      </c>
      <c r="CA1533">
        <v>1</v>
      </c>
      <c r="CB1533">
        <v>0.6</v>
      </c>
      <c r="CC1533" s="3">
        <v>7.1269159999999998E-2</v>
      </c>
      <c r="CD1533">
        <v>2.875</v>
      </c>
      <c r="CE1533">
        <v>2.5</v>
      </c>
      <c r="CF1533">
        <v>18</v>
      </c>
      <c r="CG1533">
        <v>6</v>
      </c>
      <c r="CH1533">
        <v>0</v>
      </c>
      <c r="CI1533">
        <v>46.78</v>
      </c>
      <c r="CJ1533">
        <v>371.73779999999999</v>
      </c>
    </row>
    <row r="1534" spans="1:88">
      <c r="A1534">
        <v>1533</v>
      </c>
      <c r="B1534" t="s">
        <v>13</v>
      </c>
      <c r="C1534" t="s">
        <v>1</v>
      </c>
      <c r="D1534" t="s">
        <v>382</v>
      </c>
      <c r="E1534" t="s">
        <v>139</v>
      </c>
      <c r="F1534" t="s">
        <v>220</v>
      </c>
      <c r="G1534" t="s">
        <v>106</v>
      </c>
      <c r="H1534" t="s">
        <v>317</v>
      </c>
      <c r="J1534">
        <v>2</v>
      </c>
      <c r="K1534" t="s">
        <v>146</v>
      </c>
      <c r="L1534" t="s">
        <v>158</v>
      </c>
      <c r="M1534" t="s">
        <v>385</v>
      </c>
      <c r="N1534" t="s">
        <v>177</v>
      </c>
      <c r="O1534">
        <v>109</v>
      </c>
      <c r="Q1534">
        <v>284</v>
      </c>
      <c r="R1534">
        <v>63</v>
      </c>
      <c r="S1534">
        <v>4.25</v>
      </c>
      <c r="T1534">
        <v>3.024</v>
      </c>
      <c r="U1534">
        <v>6.11</v>
      </c>
      <c r="V1534">
        <v>1207.17</v>
      </c>
      <c r="W1534">
        <v>385</v>
      </c>
      <c r="X1534">
        <v>1.5</v>
      </c>
      <c r="Y1534">
        <v>267</v>
      </c>
      <c r="Z1534">
        <v>4.5199999999999996</v>
      </c>
      <c r="AJ1534">
        <v>2</v>
      </c>
      <c r="AK1534">
        <v>18</v>
      </c>
      <c r="AM1534">
        <v>0</v>
      </c>
      <c r="AO1534" t="s">
        <v>400</v>
      </c>
      <c r="AT1534">
        <v>43</v>
      </c>
      <c r="AV1534">
        <v>33.5</v>
      </c>
      <c r="AW1534">
        <v>0</v>
      </c>
      <c r="AX1534">
        <v>0</v>
      </c>
      <c r="AY1534">
        <v>36.375</v>
      </c>
      <c r="AZ1534">
        <v>3.625</v>
      </c>
      <c r="BA1534">
        <v>0</v>
      </c>
      <c r="BB1534">
        <v>0</v>
      </c>
      <c r="BC1534">
        <v>35</v>
      </c>
      <c r="BN1534">
        <v>158.7167</v>
      </c>
      <c r="BO1534">
        <v>4119</v>
      </c>
      <c r="BP1534">
        <v>0</v>
      </c>
      <c r="BQ1534">
        <v>37</v>
      </c>
      <c r="BR1534">
        <v>37</v>
      </c>
      <c r="BS1534">
        <v>37.04</v>
      </c>
      <c r="BT1534">
        <v>0</v>
      </c>
      <c r="BV1534">
        <v>0</v>
      </c>
      <c r="BW1534" t="s">
        <v>655</v>
      </c>
      <c r="BX1534">
        <v>0.17</v>
      </c>
      <c r="BY1534">
        <v>6.2968000000000002</v>
      </c>
      <c r="BZ1534">
        <v>0</v>
      </c>
      <c r="CA1534">
        <v>1</v>
      </c>
      <c r="CB1534">
        <v>0.6</v>
      </c>
      <c r="CC1534" s="3">
        <v>7.1269159999999998E-2</v>
      </c>
      <c r="CD1534">
        <v>2.875</v>
      </c>
      <c r="CE1534">
        <v>2.5</v>
      </c>
      <c r="CF1534">
        <v>18</v>
      </c>
      <c r="CG1534">
        <v>6</v>
      </c>
      <c r="CH1534">
        <v>0</v>
      </c>
      <c r="CI1534">
        <v>37.04</v>
      </c>
      <c r="CJ1534">
        <v>244.1824</v>
      </c>
    </row>
    <row r="1535" spans="1:88">
      <c r="A1535">
        <v>1534</v>
      </c>
      <c r="B1535" t="s">
        <v>0</v>
      </c>
      <c r="C1535" t="s">
        <v>1</v>
      </c>
      <c r="D1535" t="s">
        <v>178</v>
      </c>
      <c r="E1535" t="s">
        <v>2</v>
      </c>
      <c r="F1535" t="s">
        <v>408</v>
      </c>
      <c r="G1535" t="s">
        <v>106</v>
      </c>
      <c r="H1535" t="s">
        <v>141</v>
      </c>
      <c r="J1535">
        <v>2</v>
      </c>
      <c r="K1535" t="s">
        <v>146</v>
      </c>
      <c r="L1535" t="s">
        <v>122</v>
      </c>
      <c r="M1535" t="s">
        <v>4</v>
      </c>
      <c r="N1535" t="s">
        <v>5</v>
      </c>
      <c r="O1535">
        <v>107</v>
      </c>
      <c r="Q1535">
        <v>265</v>
      </c>
      <c r="R1535">
        <v>60</v>
      </c>
      <c r="S1535">
        <v>4.25</v>
      </c>
      <c r="T1535">
        <v>2.9710000000000001</v>
      </c>
      <c r="U1535">
        <v>6.07</v>
      </c>
      <c r="V1535">
        <v>1124.33</v>
      </c>
      <c r="W1535">
        <v>365</v>
      </c>
      <c r="X1535">
        <v>1.5</v>
      </c>
      <c r="Y1535">
        <v>252</v>
      </c>
      <c r="Z1535">
        <v>4.47</v>
      </c>
      <c r="AJ1535">
        <v>2</v>
      </c>
      <c r="AK1535">
        <v>18</v>
      </c>
      <c r="AM1535">
        <v>0</v>
      </c>
      <c r="AO1535" t="s">
        <v>409</v>
      </c>
      <c r="AT1535">
        <v>42</v>
      </c>
      <c r="AV1535">
        <v>31.7</v>
      </c>
      <c r="AW1535">
        <v>0</v>
      </c>
      <c r="AX1535">
        <v>0</v>
      </c>
      <c r="AY1535">
        <v>38.625</v>
      </c>
      <c r="AZ1535">
        <v>3.625</v>
      </c>
      <c r="BA1535">
        <v>0</v>
      </c>
      <c r="BB1535">
        <v>0</v>
      </c>
      <c r="BC1535">
        <v>37</v>
      </c>
      <c r="BN1535">
        <v>149.80000000000001</v>
      </c>
      <c r="BO1535">
        <v>4624</v>
      </c>
      <c r="BP1535">
        <v>0</v>
      </c>
      <c r="BQ1535">
        <v>36</v>
      </c>
      <c r="BR1535">
        <v>36</v>
      </c>
      <c r="BS1535">
        <v>36.340000000000003</v>
      </c>
      <c r="BT1535">
        <v>0</v>
      </c>
      <c r="BV1535">
        <v>0</v>
      </c>
      <c r="BW1535" t="s">
        <v>655</v>
      </c>
      <c r="BX1535">
        <v>0.17</v>
      </c>
      <c r="BY1535">
        <v>6.1778000000000004</v>
      </c>
      <c r="BZ1535">
        <v>0</v>
      </c>
      <c r="CA1535">
        <v>1</v>
      </c>
      <c r="CB1535">
        <v>0.6</v>
      </c>
      <c r="CC1535" s="3">
        <v>7.1269159999999998E-2</v>
      </c>
      <c r="CD1535">
        <v>2.875</v>
      </c>
      <c r="CE1535">
        <v>2.5</v>
      </c>
      <c r="CF1535">
        <v>18</v>
      </c>
      <c r="CG1535">
        <v>6</v>
      </c>
      <c r="CH1535">
        <v>0</v>
      </c>
      <c r="CI1535">
        <v>36.340000000000003</v>
      </c>
      <c r="CJ1535">
        <v>226.6181</v>
      </c>
    </row>
    <row r="1536" spans="1:88">
      <c r="A1536">
        <v>1535</v>
      </c>
      <c r="B1536" t="s">
        <v>13</v>
      </c>
      <c r="C1536" t="s">
        <v>1</v>
      </c>
      <c r="D1536" t="s">
        <v>491</v>
      </c>
      <c r="E1536" t="s">
        <v>510</v>
      </c>
      <c r="F1536" t="s">
        <v>597</v>
      </c>
      <c r="G1536" t="s">
        <v>106</v>
      </c>
      <c r="H1536" t="s">
        <v>598</v>
      </c>
      <c r="J1536">
        <v>2</v>
      </c>
      <c r="K1536" t="s">
        <v>146</v>
      </c>
      <c r="L1536" t="s">
        <v>176</v>
      </c>
      <c r="M1536" t="s">
        <v>354</v>
      </c>
      <c r="N1536" t="s">
        <v>464</v>
      </c>
      <c r="O1536">
        <v>93</v>
      </c>
      <c r="Q1536">
        <v>108</v>
      </c>
      <c r="R1536">
        <v>28</v>
      </c>
      <c r="S1536">
        <v>4.25</v>
      </c>
      <c r="T1536">
        <v>2.5950000000000002</v>
      </c>
      <c r="U1536">
        <v>5.77</v>
      </c>
      <c r="V1536">
        <v>460.14</v>
      </c>
      <c r="W1536">
        <v>160</v>
      </c>
      <c r="X1536">
        <v>1.3332999999999999</v>
      </c>
      <c r="Y1536">
        <v>117</v>
      </c>
      <c r="Z1536">
        <v>3.92</v>
      </c>
      <c r="AJ1536">
        <v>2</v>
      </c>
      <c r="AK1536">
        <v>18</v>
      </c>
      <c r="AM1536">
        <v>0</v>
      </c>
      <c r="AO1536" t="s">
        <v>599</v>
      </c>
      <c r="AT1536">
        <v>38</v>
      </c>
      <c r="AV1536">
        <v>14.3</v>
      </c>
      <c r="AW1536">
        <v>0</v>
      </c>
      <c r="AX1536">
        <v>0</v>
      </c>
      <c r="AY1536">
        <v>21.75</v>
      </c>
      <c r="AZ1536">
        <v>2.5</v>
      </c>
      <c r="BA1536">
        <v>0</v>
      </c>
      <c r="BB1536">
        <v>0</v>
      </c>
      <c r="BC1536">
        <v>16</v>
      </c>
      <c r="BN1536">
        <v>64.200010000000006</v>
      </c>
      <c r="BO1536">
        <v>25177</v>
      </c>
      <c r="BP1536">
        <v>0</v>
      </c>
      <c r="BQ1536">
        <v>31</v>
      </c>
      <c r="BR1536">
        <v>31</v>
      </c>
      <c r="BS1536">
        <v>31.47</v>
      </c>
      <c r="BT1536">
        <v>0</v>
      </c>
      <c r="BV1536">
        <v>0</v>
      </c>
      <c r="BW1536" t="s">
        <v>655</v>
      </c>
      <c r="BX1536">
        <v>0.17</v>
      </c>
      <c r="BY1536">
        <v>5.3498999999999999</v>
      </c>
      <c r="BZ1536">
        <v>0</v>
      </c>
      <c r="CA1536">
        <v>1</v>
      </c>
      <c r="CB1536">
        <v>0.6</v>
      </c>
      <c r="CC1536" s="3">
        <v>7.1269159999999998E-2</v>
      </c>
      <c r="CD1536">
        <v>2.875</v>
      </c>
      <c r="CE1536">
        <v>2.5</v>
      </c>
      <c r="CF1536">
        <v>18</v>
      </c>
      <c r="CG1536">
        <v>6</v>
      </c>
      <c r="CH1536">
        <v>0</v>
      </c>
      <c r="CI1536">
        <v>31.47</v>
      </c>
      <c r="CJ1536">
        <v>88.592190000000002</v>
      </c>
    </row>
    <row r="1537" spans="1:88">
      <c r="A1537">
        <v>1536</v>
      </c>
      <c r="B1537" t="s">
        <v>0</v>
      </c>
      <c r="C1537" t="s">
        <v>1</v>
      </c>
      <c r="D1537" t="s">
        <v>455</v>
      </c>
      <c r="E1537" t="s">
        <v>103</v>
      </c>
      <c r="F1537" t="s">
        <v>175</v>
      </c>
      <c r="G1537" t="s">
        <v>214</v>
      </c>
      <c r="H1537" t="s">
        <v>653</v>
      </c>
      <c r="J1537">
        <v>2</v>
      </c>
      <c r="K1537" t="s">
        <v>108</v>
      </c>
      <c r="L1537" t="s">
        <v>455</v>
      </c>
      <c r="M1537" t="s">
        <v>315</v>
      </c>
      <c r="N1537" t="s">
        <v>316</v>
      </c>
      <c r="O1537">
        <v>167</v>
      </c>
      <c r="Q1537">
        <v>808</v>
      </c>
      <c r="R1537">
        <v>114</v>
      </c>
      <c r="S1537">
        <v>4.25</v>
      </c>
      <c r="T1537">
        <v>4.4459999999999997</v>
      </c>
      <c r="U1537">
        <v>6.86</v>
      </c>
      <c r="V1537">
        <v>3435.78</v>
      </c>
      <c r="W1537">
        <v>779</v>
      </c>
      <c r="X1537">
        <v>1.3332999999999999</v>
      </c>
      <c r="Y1537">
        <v>595</v>
      </c>
      <c r="Z1537">
        <v>5.77</v>
      </c>
      <c r="AJ1537">
        <v>2</v>
      </c>
      <c r="AK1537">
        <v>18</v>
      </c>
      <c r="AM1537">
        <v>0</v>
      </c>
      <c r="AO1537" t="s">
        <v>114</v>
      </c>
      <c r="AT1537">
        <v>63</v>
      </c>
      <c r="AV1537">
        <v>65.2</v>
      </c>
      <c r="AW1537">
        <v>0.46875</v>
      </c>
      <c r="AX1537">
        <v>3.75</v>
      </c>
      <c r="AY1537">
        <v>61.875</v>
      </c>
      <c r="AZ1537">
        <v>5.375</v>
      </c>
      <c r="BA1537">
        <v>327.49</v>
      </c>
      <c r="BB1537">
        <v>6.01</v>
      </c>
      <c r="BC1537">
        <v>66</v>
      </c>
      <c r="BD1537">
        <v>0.4375</v>
      </c>
      <c r="BE1537">
        <v>3.75</v>
      </c>
      <c r="BF1537">
        <v>53.125</v>
      </c>
      <c r="BG1537">
        <v>5</v>
      </c>
      <c r="BH1537">
        <v>267.95999999999998</v>
      </c>
      <c r="BI1537">
        <v>6.14</v>
      </c>
      <c r="BJ1537">
        <v>54</v>
      </c>
      <c r="BL1537">
        <v>595.45000000000005</v>
      </c>
      <c r="BM1537">
        <v>120</v>
      </c>
      <c r="BN1537">
        <v>316.50670000000002</v>
      </c>
      <c r="BO1537">
        <v>1300</v>
      </c>
      <c r="BP1537">
        <v>0</v>
      </c>
      <c r="BQ1537">
        <v>57</v>
      </c>
      <c r="BR1537">
        <v>57</v>
      </c>
      <c r="BS1537">
        <v>57.21</v>
      </c>
      <c r="BT1537">
        <v>0</v>
      </c>
      <c r="BV1537">
        <v>0</v>
      </c>
      <c r="BW1537" t="s">
        <v>655</v>
      </c>
      <c r="BX1537">
        <v>0.17</v>
      </c>
      <c r="BY1537">
        <v>9.7257010000000008</v>
      </c>
      <c r="BZ1537">
        <v>0</v>
      </c>
      <c r="CA1537">
        <v>1</v>
      </c>
      <c r="CB1537">
        <v>0.6</v>
      </c>
      <c r="CC1537" s="3">
        <v>7.1269159999999998E-2</v>
      </c>
      <c r="CD1537">
        <v>2.875</v>
      </c>
      <c r="CE1537">
        <v>2.5</v>
      </c>
      <c r="CF1537">
        <v>18</v>
      </c>
      <c r="CG1537">
        <v>6</v>
      </c>
      <c r="CH1537">
        <v>0</v>
      </c>
      <c r="CI1537">
        <v>57.21</v>
      </c>
      <c r="CJ1537">
        <v>733.4058</v>
      </c>
    </row>
    <row r="1538" spans="1:88">
      <c r="A1538">
        <v>1537</v>
      </c>
      <c r="B1538" t="s">
        <v>0</v>
      </c>
      <c r="C1538" t="s">
        <v>1</v>
      </c>
      <c r="D1538" t="s">
        <v>619</v>
      </c>
      <c r="E1538" t="s">
        <v>101</v>
      </c>
      <c r="F1538" t="s">
        <v>567</v>
      </c>
      <c r="G1538" t="s">
        <v>15</v>
      </c>
      <c r="H1538" t="s">
        <v>638</v>
      </c>
      <c r="J1538">
        <v>2</v>
      </c>
      <c r="K1538" t="s">
        <v>108</v>
      </c>
      <c r="L1538" t="s">
        <v>145</v>
      </c>
      <c r="M1538" t="s">
        <v>403</v>
      </c>
      <c r="N1538" t="s">
        <v>172</v>
      </c>
      <c r="O1538">
        <v>134</v>
      </c>
      <c r="Q1538">
        <v>819</v>
      </c>
      <c r="R1538">
        <v>141</v>
      </c>
      <c r="S1538">
        <v>4.25</v>
      </c>
      <c r="T1538">
        <v>3.66</v>
      </c>
      <c r="U1538">
        <v>6.41</v>
      </c>
      <c r="V1538">
        <v>3479.34</v>
      </c>
      <c r="W1538">
        <v>906</v>
      </c>
      <c r="X1538">
        <v>1.3332999999999999</v>
      </c>
      <c r="Y1538">
        <v>697</v>
      </c>
      <c r="Z1538">
        <v>4.99</v>
      </c>
      <c r="AJ1538">
        <v>2</v>
      </c>
      <c r="AK1538">
        <v>18</v>
      </c>
      <c r="AM1538">
        <v>0</v>
      </c>
      <c r="AO1538" t="s">
        <v>97</v>
      </c>
      <c r="AT1538">
        <v>52</v>
      </c>
      <c r="AV1538">
        <v>81.2</v>
      </c>
      <c r="AW1538" t="s">
        <v>6</v>
      </c>
      <c r="AX1538" t="s">
        <v>6</v>
      </c>
      <c r="AY1538" t="s">
        <v>6</v>
      </c>
      <c r="AZ1538" t="s">
        <v>6</v>
      </c>
      <c r="BA1538" t="s">
        <v>6</v>
      </c>
      <c r="BB1538" t="s">
        <v>6</v>
      </c>
      <c r="BC1538" t="s">
        <v>6</v>
      </c>
      <c r="BD1538" t="s">
        <v>6</v>
      </c>
      <c r="BE1538" t="s">
        <v>6</v>
      </c>
      <c r="BF1538" t="s">
        <v>6</v>
      </c>
      <c r="BG1538" t="s">
        <v>6</v>
      </c>
      <c r="BH1538" t="s">
        <v>6</v>
      </c>
      <c r="BI1538" t="s">
        <v>6</v>
      </c>
      <c r="BJ1538" t="s">
        <v>6</v>
      </c>
      <c r="BN1538">
        <v>694.5566</v>
      </c>
      <c r="BO1538">
        <v>2267</v>
      </c>
      <c r="BP1538">
        <v>0</v>
      </c>
      <c r="BQ1538">
        <v>46</v>
      </c>
      <c r="BR1538">
        <v>46</v>
      </c>
      <c r="BS1538">
        <v>45.73</v>
      </c>
      <c r="BT1538">
        <v>0</v>
      </c>
      <c r="BV1538">
        <v>0</v>
      </c>
      <c r="BW1538" t="s">
        <v>655</v>
      </c>
      <c r="BX1538">
        <v>0.17</v>
      </c>
      <c r="BY1538">
        <v>7.7740999999999998</v>
      </c>
      <c r="BZ1538">
        <v>0</v>
      </c>
      <c r="CA1538">
        <v>1</v>
      </c>
      <c r="CB1538">
        <v>0.6</v>
      </c>
      <c r="CC1538" s="3">
        <v>7.1269159999999998E-2</v>
      </c>
      <c r="CD1538">
        <v>2.875</v>
      </c>
      <c r="CE1538">
        <v>2.5</v>
      </c>
      <c r="CF1538">
        <v>18</v>
      </c>
      <c r="CG1538">
        <v>6</v>
      </c>
      <c r="CH1538">
        <v>0</v>
      </c>
      <c r="CI1538">
        <v>45.73</v>
      </c>
      <c r="CJ1538">
        <v>729.63959999999997</v>
      </c>
    </row>
    <row r="1539" spans="1:88">
      <c r="A1539">
        <v>1538</v>
      </c>
      <c r="B1539" t="s">
        <v>13</v>
      </c>
      <c r="C1539" t="s">
        <v>1</v>
      </c>
      <c r="D1539" t="s">
        <v>101</v>
      </c>
      <c r="E1539" t="s">
        <v>340</v>
      </c>
      <c r="F1539" t="s">
        <v>339</v>
      </c>
      <c r="G1539" t="s">
        <v>106</v>
      </c>
      <c r="H1539" t="s">
        <v>167</v>
      </c>
      <c r="J1539">
        <v>2</v>
      </c>
      <c r="K1539" t="s">
        <v>146</v>
      </c>
      <c r="L1539" t="s">
        <v>131</v>
      </c>
      <c r="M1539" t="s">
        <v>359</v>
      </c>
      <c r="N1539" t="s">
        <v>259</v>
      </c>
      <c r="O1539">
        <v>138</v>
      </c>
      <c r="Q1539">
        <v>479</v>
      </c>
      <c r="R1539">
        <v>83</v>
      </c>
      <c r="S1539">
        <v>4.25</v>
      </c>
      <c r="T1539">
        <v>3.758</v>
      </c>
      <c r="U1539">
        <v>6.48</v>
      </c>
      <c r="V1539">
        <v>2034.98</v>
      </c>
      <c r="W1539">
        <v>535</v>
      </c>
      <c r="X1539">
        <v>1.3332999999999999</v>
      </c>
      <c r="Y1539">
        <v>400</v>
      </c>
      <c r="Z1539">
        <v>5.09</v>
      </c>
      <c r="AJ1539">
        <v>2</v>
      </c>
      <c r="AK1539">
        <v>18</v>
      </c>
      <c r="AM1539">
        <v>0</v>
      </c>
      <c r="AO1539" t="s">
        <v>327</v>
      </c>
      <c r="AT1539">
        <v>53</v>
      </c>
      <c r="AV1539">
        <v>45.9</v>
      </c>
      <c r="AW1539">
        <v>0.46875</v>
      </c>
      <c r="AX1539">
        <v>3.75</v>
      </c>
      <c r="AY1539">
        <v>52.375</v>
      </c>
      <c r="AZ1539">
        <v>4.75</v>
      </c>
      <c r="BA1539">
        <v>387.19</v>
      </c>
      <c r="BB1539">
        <v>5.09</v>
      </c>
      <c r="BC1539">
        <v>56</v>
      </c>
      <c r="BD1539">
        <v>0.1875</v>
      </c>
      <c r="BE1539">
        <v>2.75</v>
      </c>
      <c r="BF1539">
        <v>21.125</v>
      </c>
      <c r="BG1539">
        <v>1.875</v>
      </c>
      <c r="BH1539">
        <v>12.6</v>
      </c>
      <c r="BI1539">
        <v>12.03</v>
      </c>
      <c r="BJ1539">
        <v>7</v>
      </c>
      <c r="BL1539">
        <v>399.79</v>
      </c>
      <c r="BM1539">
        <v>63</v>
      </c>
      <c r="BN1539">
        <v>219.35</v>
      </c>
      <c r="BO1539">
        <v>2157</v>
      </c>
      <c r="BP1539">
        <v>0</v>
      </c>
      <c r="BQ1539">
        <v>47</v>
      </c>
      <c r="BR1539">
        <v>47</v>
      </c>
      <c r="BS1539">
        <v>47.13</v>
      </c>
      <c r="BT1539">
        <v>0</v>
      </c>
      <c r="BV1539">
        <v>0</v>
      </c>
      <c r="BW1539" t="s">
        <v>655</v>
      </c>
      <c r="BX1539">
        <v>0.17</v>
      </c>
      <c r="BY1539">
        <v>8.0121000000000002</v>
      </c>
      <c r="BZ1539">
        <v>0</v>
      </c>
      <c r="CA1539">
        <v>1</v>
      </c>
      <c r="CB1539">
        <v>0.6</v>
      </c>
      <c r="CC1539" s="3">
        <v>7.1269159999999998E-2</v>
      </c>
      <c r="CD1539">
        <v>2.875</v>
      </c>
      <c r="CE1539">
        <v>2.5</v>
      </c>
      <c r="CF1539">
        <v>18</v>
      </c>
      <c r="CG1539">
        <v>6</v>
      </c>
      <c r="CH1539">
        <v>0</v>
      </c>
      <c r="CI1539">
        <v>47.13</v>
      </c>
      <c r="CJ1539">
        <v>424.90280000000001</v>
      </c>
    </row>
    <row r="1540" spans="1:88">
      <c r="A1540">
        <v>1539</v>
      </c>
      <c r="B1540" t="s">
        <v>13</v>
      </c>
      <c r="C1540" t="s">
        <v>1</v>
      </c>
      <c r="D1540" t="s">
        <v>280</v>
      </c>
      <c r="E1540" t="s">
        <v>176</v>
      </c>
      <c r="F1540" t="s">
        <v>102</v>
      </c>
      <c r="G1540" t="s">
        <v>15</v>
      </c>
      <c r="H1540" t="s">
        <v>423</v>
      </c>
      <c r="J1540">
        <v>2</v>
      </c>
      <c r="K1540" t="s">
        <v>108</v>
      </c>
      <c r="L1540" t="s">
        <v>167</v>
      </c>
      <c r="M1540" t="s">
        <v>226</v>
      </c>
      <c r="N1540" t="s">
        <v>227</v>
      </c>
      <c r="O1540">
        <v>113</v>
      </c>
      <c r="Q1540">
        <v>689</v>
      </c>
      <c r="R1540">
        <v>139</v>
      </c>
      <c r="S1540">
        <v>4.25</v>
      </c>
      <c r="T1540">
        <v>3.1280000000000001</v>
      </c>
      <c r="U1540">
        <v>6.18</v>
      </c>
      <c r="V1540">
        <v>2926.33</v>
      </c>
      <c r="W1540">
        <v>857</v>
      </c>
      <c r="X1540">
        <v>1.3332999999999999</v>
      </c>
      <c r="Y1540">
        <v>656</v>
      </c>
      <c r="Z1540">
        <v>4.46</v>
      </c>
      <c r="AJ1540">
        <v>2</v>
      </c>
      <c r="AK1540">
        <v>18</v>
      </c>
      <c r="AM1540">
        <v>0</v>
      </c>
      <c r="AO1540" t="s">
        <v>424</v>
      </c>
      <c r="AT1540">
        <v>45</v>
      </c>
      <c r="AV1540">
        <v>79.8</v>
      </c>
      <c r="AW1540">
        <v>0.5</v>
      </c>
      <c r="AX1540">
        <v>5.625</v>
      </c>
      <c r="AY1540">
        <v>34.375</v>
      </c>
      <c r="AZ1540">
        <v>4.5</v>
      </c>
      <c r="BA1540">
        <v>521.79</v>
      </c>
      <c r="BB1540">
        <v>4.46</v>
      </c>
      <c r="BC1540">
        <v>61</v>
      </c>
      <c r="BD1540">
        <v>0.3125</v>
      </c>
      <c r="BE1540">
        <v>3.75</v>
      </c>
      <c r="BF1540">
        <v>19</v>
      </c>
      <c r="BG1540">
        <v>2.75</v>
      </c>
      <c r="BH1540">
        <v>134.33000000000001</v>
      </c>
      <c r="BI1540">
        <v>4.75</v>
      </c>
      <c r="BJ1540">
        <v>14</v>
      </c>
      <c r="BL1540">
        <v>656.12</v>
      </c>
      <c r="BM1540">
        <v>75</v>
      </c>
      <c r="BN1540">
        <v>681.92830000000004</v>
      </c>
      <c r="BO1540">
        <v>2352</v>
      </c>
      <c r="BP1540">
        <v>0</v>
      </c>
      <c r="BQ1540">
        <v>38</v>
      </c>
      <c r="BR1540">
        <v>38</v>
      </c>
      <c r="BS1540">
        <v>38.43</v>
      </c>
      <c r="BT1540">
        <v>0</v>
      </c>
      <c r="BV1540">
        <v>0</v>
      </c>
      <c r="BW1540" t="s">
        <v>655</v>
      </c>
      <c r="BX1540">
        <v>0.17</v>
      </c>
      <c r="BY1540">
        <v>6.5331000000000001</v>
      </c>
      <c r="BZ1540">
        <v>0</v>
      </c>
      <c r="CA1540">
        <v>1</v>
      </c>
      <c r="CB1540">
        <v>0.6</v>
      </c>
      <c r="CC1540" s="3">
        <v>7.1269159999999998E-2</v>
      </c>
      <c r="CD1540">
        <v>2.875</v>
      </c>
      <c r="CE1540">
        <v>2.5</v>
      </c>
      <c r="CF1540">
        <v>18</v>
      </c>
      <c r="CG1540">
        <v>6</v>
      </c>
      <c r="CH1540">
        <v>0</v>
      </c>
      <c r="CI1540">
        <v>38.43</v>
      </c>
      <c r="CJ1540">
        <v>602.20979999999997</v>
      </c>
    </row>
    <row r="1541" spans="1:88">
      <c r="A1541">
        <v>1540</v>
      </c>
      <c r="B1541" t="s">
        <v>0</v>
      </c>
      <c r="C1541" t="s">
        <v>1</v>
      </c>
      <c r="D1541" t="s">
        <v>228</v>
      </c>
      <c r="E1541" t="s">
        <v>167</v>
      </c>
      <c r="F1541" t="s">
        <v>370</v>
      </c>
      <c r="G1541" t="s">
        <v>106</v>
      </c>
      <c r="H1541" t="s">
        <v>219</v>
      </c>
      <c r="J1541">
        <v>2</v>
      </c>
      <c r="K1541" t="s">
        <v>146</v>
      </c>
      <c r="L1541" t="s">
        <v>207</v>
      </c>
      <c r="M1541" t="s">
        <v>327</v>
      </c>
      <c r="N1541" t="s">
        <v>330</v>
      </c>
      <c r="O1541">
        <v>133</v>
      </c>
      <c r="Q1541">
        <v>348</v>
      </c>
      <c r="R1541">
        <v>64</v>
      </c>
      <c r="S1541">
        <v>4.25</v>
      </c>
      <c r="T1541">
        <v>3.6349999999999998</v>
      </c>
      <c r="U1541">
        <v>6.41</v>
      </c>
      <c r="V1541">
        <v>1477.76</v>
      </c>
      <c r="W1541">
        <v>412</v>
      </c>
      <c r="X1541">
        <v>1.3332999999999999</v>
      </c>
      <c r="Y1541">
        <v>298</v>
      </c>
      <c r="Z1541">
        <v>4.96</v>
      </c>
      <c r="AJ1541">
        <v>2</v>
      </c>
      <c r="AK1541">
        <v>18</v>
      </c>
      <c r="AM1541">
        <v>0</v>
      </c>
      <c r="AO1541" t="s">
        <v>220</v>
      </c>
      <c r="AT1541">
        <v>52</v>
      </c>
      <c r="AV1541">
        <v>34.299999999999997</v>
      </c>
      <c r="AW1541">
        <v>0</v>
      </c>
      <c r="AX1541">
        <v>0</v>
      </c>
      <c r="AY1541">
        <v>47.75</v>
      </c>
      <c r="AZ1541">
        <v>4.375</v>
      </c>
      <c r="BA1541">
        <v>0</v>
      </c>
      <c r="BB1541">
        <v>0</v>
      </c>
      <c r="BC1541">
        <v>48</v>
      </c>
      <c r="BN1541">
        <v>162.2834</v>
      </c>
      <c r="BO1541">
        <v>3940</v>
      </c>
      <c r="BP1541">
        <v>0</v>
      </c>
      <c r="BQ1541">
        <v>45</v>
      </c>
      <c r="BR1541">
        <v>45</v>
      </c>
      <c r="BS1541">
        <v>45.39</v>
      </c>
      <c r="BT1541">
        <v>0</v>
      </c>
      <c r="BV1541">
        <v>0</v>
      </c>
      <c r="BW1541" t="s">
        <v>655</v>
      </c>
      <c r="BX1541">
        <v>0.17</v>
      </c>
      <c r="BY1541">
        <v>7.7163000000000004</v>
      </c>
      <c r="BZ1541">
        <v>0</v>
      </c>
      <c r="CA1541">
        <v>1</v>
      </c>
      <c r="CB1541">
        <v>0.6</v>
      </c>
      <c r="CC1541" s="3">
        <v>7.1269159999999998E-2</v>
      </c>
      <c r="CD1541">
        <v>2.875</v>
      </c>
      <c r="CE1541">
        <v>2.5</v>
      </c>
      <c r="CF1541">
        <v>18</v>
      </c>
      <c r="CG1541">
        <v>6</v>
      </c>
      <c r="CH1541">
        <v>0</v>
      </c>
      <c r="CI1541">
        <v>45.39</v>
      </c>
      <c r="CJ1541">
        <v>305.69869999999997</v>
      </c>
    </row>
    <row r="1542" spans="1:88">
      <c r="A1542">
        <v>1541</v>
      </c>
      <c r="B1542" t="s">
        <v>13</v>
      </c>
      <c r="C1542" t="s">
        <v>1</v>
      </c>
      <c r="D1542" t="s">
        <v>328</v>
      </c>
      <c r="E1542" t="s">
        <v>181</v>
      </c>
      <c r="F1542" t="s">
        <v>329</v>
      </c>
      <c r="G1542" t="s">
        <v>15</v>
      </c>
      <c r="H1542" t="s">
        <v>328</v>
      </c>
      <c r="J1542">
        <v>2</v>
      </c>
      <c r="K1542" t="s">
        <v>9</v>
      </c>
      <c r="L1542" t="s">
        <v>202</v>
      </c>
      <c r="M1542" t="s">
        <v>313</v>
      </c>
      <c r="N1542" t="s">
        <v>314</v>
      </c>
      <c r="O1542">
        <v>161</v>
      </c>
      <c r="Q1542">
        <v>1062</v>
      </c>
      <c r="R1542">
        <v>154</v>
      </c>
      <c r="S1542">
        <v>4.25</v>
      </c>
      <c r="T1542">
        <v>4.3070000000000004</v>
      </c>
      <c r="U1542">
        <v>6.75</v>
      </c>
      <c r="V1542">
        <v>4514</v>
      </c>
      <c r="W1542">
        <v>1039</v>
      </c>
      <c r="X1542">
        <v>1.3332999999999999</v>
      </c>
      <c r="Y1542">
        <v>800</v>
      </c>
      <c r="Z1542">
        <v>5.64</v>
      </c>
      <c r="AJ1542">
        <v>2</v>
      </c>
      <c r="AK1542">
        <v>18</v>
      </c>
      <c r="AM1542">
        <v>0</v>
      </c>
      <c r="AO1542" t="s">
        <v>331</v>
      </c>
      <c r="AT1542">
        <v>61</v>
      </c>
      <c r="AV1542">
        <v>88.5</v>
      </c>
      <c r="AW1542" t="s">
        <v>6</v>
      </c>
      <c r="AX1542" t="s">
        <v>6</v>
      </c>
      <c r="AY1542" t="s">
        <v>6</v>
      </c>
      <c r="AZ1542" t="s">
        <v>6</v>
      </c>
      <c r="BA1542" t="s">
        <v>6</v>
      </c>
      <c r="BB1542" t="s">
        <v>6</v>
      </c>
      <c r="BC1542" t="s">
        <v>6</v>
      </c>
      <c r="BD1542" t="s">
        <v>6</v>
      </c>
      <c r="BE1542" t="s">
        <v>6</v>
      </c>
      <c r="BF1542" t="s">
        <v>6</v>
      </c>
      <c r="BG1542" t="s">
        <v>6</v>
      </c>
      <c r="BH1542" t="s">
        <v>6</v>
      </c>
      <c r="BI1542" t="s">
        <v>6</v>
      </c>
      <c r="BJ1542" t="s">
        <v>6</v>
      </c>
      <c r="BN1542">
        <v>757.69809999999995</v>
      </c>
      <c r="BO1542">
        <v>1905</v>
      </c>
      <c r="BP1542">
        <v>0</v>
      </c>
      <c r="BQ1542">
        <v>55</v>
      </c>
      <c r="BR1542">
        <v>55</v>
      </c>
      <c r="BS1542">
        <v>55.13</v>
      </c>
      <c r="BT1542">
        <v>0</v>
      </c>
      <c r="BV1542">
        <v>6</v>
      </c>
      <c r="BW1542" t="s">
        <v>655</v>
      </c>
      <c r="BX1542">
        <v>0.27933340000000001</v>
      </c>
      <c r="BY1542">
        <v>15.399649999999999</v>
      </c>
      <c r="BZ1542">
        <v>0</v>
      </c>
      <c r="CA1542">
        <v>1</v>
      </c>
      <c r="CB1542">
        <v>0.6</v>
      </c>
      <c r="CC1542" s="3">
        <v>7.1269159999999998E-2</v>
      </c>
      <c r="CD1542">
        <v>2.875</v>
      </c>
      <c r="CE1542">
        <v>2.5</v>
      </c>
      <c r="CF1542">
        <v>18</v>
      </c>
      <c r="CG1542">
        <v>6</v>
      </c>
      <c r="CH1542">
        <v>0</v>
      </c>
      <c r="CI1542">
        <v>55.13</v>
      </c>
      <c r="CJ1542">
        <v>958.20159999999998</v>
      </c>
    </row>
    <row r="1543" spans="1:88">
      <c r="A1543">
        <v>1542</v>
      </c>
      <c r="B1543" t="s">
        <v>13</v>
      </c>
      <c r="C1543" t="s">
        <v>1</v>
      </c>
      <c r="D1543" t="s">
        <v>96</v>
      </c>
      <c r="E1543" t="s">
        <v>113</v>
      </c>
      <c r="F1543" t="s">
        <v>198</v>
      </c>
      <c r="G1543" t="s">
        <v>106</v>
      </c>
      <c r="H1543" t="s">
        <v>162</v>
      </c>
      <c r="J1543">
        <v>2</v>
      </c>
      <c r="K1543" t="s">
        <v>146</v>
      </c>
      <c r="L1543" t="s">
        <v>116</v>
      </c>
      <c r="M1543" t="s">
        <v>117</v>
      </c>
      <c r="N1543" t="s">
        <v>14</v>
      </c>
      <c r="O1543">
        <v>179</v>
      </c>
      <c r="Q1543">
        <v>596</v>
      </c>
      <c r="R1543">
        <v>81</v>
      </c>
      <c r="S1543">
        <v>4.25</v>
      </c>
      <c r="T1543">
        <v>4.7190000000000003</v>
      </c>
      <c r="U1543">
        <v>7.05</v>
      </c>
      <c r="V1543">
        <v>2531.25</v>
      </c>
      <c r="W1543">
        <v>570</v>
      </c>
      <c r="X1543">
        <v>1.3332999999999999</v>
      </c>
      <c r="Y1543">
        <v>418</v>
      </c>
      <c r="Z1543">
        <v>6.05</v>
      </c>
      <c r="AJ1543">
        <v>2</v>
      </c>
      <c r="AK1543">
        <v>18</v>
      </c>
      <c r="AM1543">
        <v>0</v>
      </c>
      <c r="AO1543" t="s">
        <v>166</v>
      </c>
      <c r="AT1543">
        <v>68</v>
      </c>
      <c r="AV1543">
        <v>44.8</v>
      </c>
      <c r="AW1543">
        <v>0.46875</v>
      </c>
      <c r="AX1543">
        <v>3.75</v>
      </c>
      <c r="AY1543">
        <v>62.25</v>
      </c>
      <c r="AZ1543">
        <v>5.625</v>
      </c>
      <c r="BA1543">
        <v>325.75</v>
      </c>
      <c r="BB1543">
        <v>6.05</v>
      </c>
      <c r="BC1543">
        <v>67</v>
      </c>
      <c r="BD1543">
        <v>0.3125</v>
      </c>
      <c r="BE1543">
        <v>2.75</v>
      </c>
      <c r="BF1543">
        <v>38.875</v>
      </c>
      <c r="BG1543">
        <v>3.75</v>
      </c>
      <c r="BH1543">
        <v>92.63</v>
      </c>
      <c r="BI1543">
        <v>6.9</v>
      </c>
      <c r="BJ1543">
        <v>21</v>
      </c>
      <c r="BL1543">
        <v>418.38</v>
      </c>
      <c r="BM1543">
        <v>87</v>
      </c>
      <c r="BN1543">
        <v>214</v>
      </c>
      <c r="BO1543">
        <v>2266</v>
      </c>
      <c r="BP1543">
        <v>0</v>
      </c>
      <c r="BQ1543">
        <v>61</v>
      </c>
      <c r="BR1543">
        <v>61</v>
      </c>
      <c r="BS1543">
        <v>61.39</v>
      </c>
      <c r="BT1543">
        <v>0</v>
      </c>
      <c r="BV1543">
        <v>0</v>
      </c>
      <c r="BW1543" t="s">
        <v>655</v>
      </c>
      <c r="BX1543">
        <v>0.17</v>
      </c>
      <c r="BY1543">
        <v>10.436299999999999</v>
      </c>
      <c r="BZ1543">
        <v>0</v>
      </c>
      <c r="CA1543">
        <v>1</v>
      </c>
      <c r="CB1543">
        <v>0.6</v>
      </c>
      <c r="CC1543" s="3">
        <v>7.1269159999999998E-2</v>
      </c>
      <c r="CD1543">
        <v>2.875</v>
      </c>
      <c r="CE1543">
        <v>2.5</v>
      </c>
      <c r="CF1543">
        <v>18</v>
      </c>
      <c r="CG1543">
        <v>6</v>
      </c>
      <c r="CH1543">
        <v>0</v>
      </c>
      <c r="CI1543">
        <v>61.39</v>
      </c>
      <c r="CJ1543">
        <v>540.33889999999997</v>
      </c>
    </row>
    <row r="1544" spans="1:88">
      <c r="A1544">
        <v>1543</v>
      </c>
      <c r="B1544" t="s">
        <v>13</v>
      </c>
      <c r="C1544" t="s">
        <v>1</v>
      </c>
      <c r="D1544" t="s">
        <v>172</v>
      </c>
      <c r="E1544" t="s">
        <v>96</v>
      </c>
      <c r="F1544" t="s">
        <v>359</v>
      </c>
      <c r="G1544" t="s">
        <v>106</v>
      </c>
      <c r="H1544" t="s">
        <v>330</v>
      </c>
      <c r="J1544">
        <v>2</v>
      </c>
      <c r="K1544" t="s">
        <v>146</v>
      </c>
      <c r="L1544" t="s">
        <v>293</v>
      </c>
      <c r="M1544" t="s">
        <v>100</v>
      </c>
      <c r="N1544" t="s">
        <v>101</v>
      </c>
      <c r="O1544">
        <v>131</v>
      </c>
      <c r="Q1544">
        <v>467</v>
      </c>
      <c r="R1544">
        <v>84</v>
      </c>
      <c r="S1544">
        <v>4.25</v>
      </c>
      <c r="T1544">
        <v>3.5859999999999999</v>
      </c>
      <c r="U1544">
        <v>6.37</v>
      </c>
      <c r="V1544">
        <v>1984.96</v>
      </c>
      <c r="W1544">
        <v>537</v>
      </c>
      <c r="X1544">
        <v>1.3332999999999999</v>
      </c>
      <c r="Y1544">
        <v>404</v>
      </c>
      <c r="Z1544">
        <v>4.91</v>
      </c>
      <c r="AJ1544">
        <v>2</v>
      </c>
      <c r="AK1544">
        <v>18</v>
      </c>
      <c r="AM1544">
        <v>0</v>
      </c>
      <c r="AO1544" t="s">
        <v>360</v>
      </c>
      <c r="AT1544">
        <v>51</v>
      </c>
      <c r="AV1544">
        <v>47</v>
      </c>
      <c r="AW1544">
        <v>0</v>
      </c>
      <c r="AX1544">
        <v>0</v>
      </c>
      <c r="AY1544">
        <v>50.125</v>
      </c>
      <c r="AZ1544">
        <v>4.625</v>
      </c>
      <c r="BA1544">
        <v>0</v>
      </c>
      <c r="BB1544">
        <v>0</v>
      </c>
      <c r="BC1544">
        <v>54</v>
      </c>
      <c r="BN1544">
        <v>224.70009999999999</v>
      </c>
      <c r="BO1544">
        <v>2055</v>
      </c>
      <c r="BP1544">
        <v>0</v>
      </c>
      <c r="BQ1544">
        <v>45</v>
      </c>
      <c r="BR1544">
        <v>45</v>
      </c>
      <c r="BS1544">
        <v>44.69</v>
      </c>
      <c r="BT1544">
        <v>0</v>
      </c>
      <c r="BV1544">
        <v>0</v>
      </c>
      <c r="BW1544" t="s">
        <v>655</v>
      </c>
      <c r="BX1544">
        <v>0.17</v>
      </c>
      <c r="BY1544">
        <v>7.5972999999999997</v>
      </c>
      <c r="BZ1544">
        <v>0</v>
      </c>
      <c r="CA1544">
        <v>1</v>
      </c>
      <c r="CB1544">
        <v>0.6</v>
      </c>
      <c r="CC1544" s="3">
        <v>7.1269159999999998E-2</v>
      </c>
      <c r="CD1544">
        <v>2.875</v>
      </c>
      <c r="CE1544">
        <v>2.5</v>
      </c>
      <c r="CF1544">
        <v>18</v>
      </c>
      <c r="CG1544">
        <v>6</v>
      </c>
      <c r="CH1544">
        <v>0</v>
      </c>
      <c r="CI1544">
        <v>44.69</v>
      </c>
      <c r="CJ1544">
        <v>412.4599</v>
      </c>
    </row>
    <row r="1545" spans="1:88">
      <c r="A1545">
        <v>1544</v>
      </c>
      <c r="B1545" t="s">
        <v>0</v>
      </c>
      <c r="C1545" t="s">
        <v>1</v>
      </c>
      <c r="D1545" t="s">
        <v>278</v>
      </c>
      <c r="E1545" t="s">
        <v>393</v>
      </c>
      <c r="F1545" t="s">
        <v>239</v>
      </c>
      <c r="G1545" t="s">
        <v>15</v>
      </c>
      <c r="H1545" t="s">
        <v>458</v>
      </c>
      <c r="J1545">
        <v>2</v>
      </c>
      <c r="K1545" t="s">
        <v>108</v>
      </c>
      <c r="L1545" t="s">
        <v>168</v>
      </c>
      <c r="M1545" t="s">
        <v>475</v>
      </c>
      <c r="N1545" t="s">
        <v>466</v>
      </c>
      <c r="O1545">
        <v>169</v>
      </c>
      <c r="Q1545">
        <v>907</v>
      </c>
      <c r="R1545">
        <v>126</v>
      </c>
      <c r="S1545">
        <v>4.25</v>
      </c>
      <c r="T1545">
        <v>4.492</v>
      </c>
      <c r="U1545">
        <v>6.9</v>
      </c>
      <c r="V1545">
        <v>3856.06</v>
      </c>
      <c r="W1545">
        <v>870</v>
      </c>
      <c r="X1545">
        <v>1.3332999999999999</v>
      </c>
      <c r="Y1545">
        <v>663</v>
      </c>
      <c r="Z1545">
        <v>5.82</v>
      </c>
      <c r="AJ1545">
        <v>2</v>
      </c>
      <c r="AK1545">
        <v>18</v>
      </c>
      <c r="AM1545">
        <v>0</v>
      </c>
      <c r="AO1545" t="s">
        <v>401</v>
      </c>
      <c r="AT1545">
        <v>64</v>
      </c>
      <c r="AV1545">
        <v>72.5</v>
      </c>
      <c r="AW1545" t="s">
        <v>6</v>
      </c>
      <c r="AX1545" t="s">
        <v>6</v>
      </c>
      <c r="AY1545" t="s">
        <v>6</v>
      </c>
      <c r="AZ1545" t="s">
        <v>6</v>
      </c>
      <c r="BA1545" t="s">
        <v>6</v>
      </c>
      <c r="BB1545" t="s">
        <v>6</v>
      </c>
      <c r="BC1545" t="s">
        <v>6</v>
      </c>
      <c r="BD1545" t="s">
        <v>6</v>
      </c>
      <c r="BE1545" t="s">
        <v>6</v>
      </c>
      <c r="BF1545" t="s">
        <v>6</v>
      </c>
      <c r="BG1545" t="s">
        <v>6</v>
      </c>
      <c r="BH1545" t="s">
        <v>6</v>
      </c>
      <c r="BI1545" t="s">
        <v>6</v>
      </c>
      <c r="BJ1545" t="s">
        <v>6</v>
      </c>
      <c r="BN1545">
        <v>618.78679999999997</v>
      </c>
      <c r="BO1545">
        <v>2857</v>
      </c>
      <c r="BP1545">
        <v>0</v>
      </c>
      <c r="BQ1545">
        <v>58</v>
      </c>
      <c r="BR1545">
        <v>58</v>
      </c>
      <c r="BS1545">
        <v>57.91</v>
      </c>
      <c r="BT1545">
        <v>0</v>
      </c>
      <c r="BV1545">
        <v>0</v>
      </c>
      <c r="BW1545" t="s">
        <v>655</v>
      </c>
      <c r="BX1545">
        <v>0.17</v>
      </c>
      <c r="BY1545">
        <v>9.8446999999999996</v>
      </c>
      <c r="BZ1545">
        <v>0</v>
      </c>
      <c r="CA1545">
        <v>1</v>
      </c>
      <c r="CB1545">
        <v>0.6</v>
      </c>
      <c r="CC1545" s="3">
        <v>7.1269159999999998E-2</v>
      </c>
      <c r="CD1545">
        <v>2.875</v>
      </c>
      <c r="CE1545">
        <v>2.5</v>
      </c>
      <c r="CF1545">
        <v>18</v>
      </c>
      <c r="CG1545">
        <v>6</v>
      </c>
      <c r="CH1545">
        <v>0</v>
      </c>
      <c r="CI1545">
        <v>57.91</v>
      </c>
      <c r="CJ1545">
        <v>824.92340000000002</v>
      </c>
    </row>
    <row r="1546" spans="1:88">
      <c r="A1546">
        <v>1545</v>
      </c>
      <c r="B1546" t="s">
        <v>0</v>
      </c>
      <c r="C1546" t="s">
        <v>1</v>
      </c>
      <c r="D1546" t="s">
        <v>267</v>
      </c>
      <c r="E1546" t="s">
        <v>14</v>
      </c>
      <c r="F1546" t="s">
        <v>269</v>
      </c>
      <c r="G1546" t="s">
        <v>106</v>
      </c>
      <c r="H1546" t="s">
        <v>131</v>
      </c>
      <c r="J1546">
        <v>2</v>
      </c>
      <c r="K1546" t="s">
        <v>146</v>
      </c>
      <c r="L1546" t="s">
        <v>17</v>
      </c>
      <c r="M1546" t="s">
        <v>18</v>
      </c>
      <c r="N1546" t="s">
        <v>19</v>
      </c>
      <c r="O1546">
        <v>182</v>
      </c>
      <c r="Q1546">
        <v>740</v>
      </c>
      <c r="R1546">
        <v>97</v>
      </c>
      <c r="S1546">
        <v>4.25</v>
      </c>
      <c r="T1546">
        <v>4.7859999999999996</v>
      </c>
      <c r="U1546">
        <v>7.12</v>
      </c>
      <c r="V1546">
        <v>3143.59</v>
      </c>
      <c r="W1546">
        <v>690</v>
      </c>
      <c r="X1546">
        <v>1.3332999999999999</v>
      </c>
      <c r="Y1546">
        <v>514</v>
      </c>
      <c r="Z1546">
        <v>6.11</v>
      </c>
      <c r="AJ1546">
        <v>2</v>
      </c>
      <c r="AK1546">
        <v>18</v>
      </c>
      <c r="AM1546">
        <v>0</v>
      </c>
      <c r="AO1546" t="s">
        <v>271</v>
      </c>
      <c r="AT1546">
        <v>69</v>
      </c>
      <c r="AV1546">
        <v>54.9</v>
      </c>
      <c r="AW1546">
        <v>0.4375</v>
      </c>
      <c r="AX1546">
        <v>3.75</v>
      </c>
      <c r="AY1546">
        <v>55.25</v>
      </c>
      <c r="AZ1546">
        <v>5.375</v>
      </c>
      <c r="BA1546">
        <v>257.24</v>
      </c>
      <c r="BB1546">
        <v>6.39</v>
      </c>
      <c r="BC1546">
        <v>56</v>
      </c>
      <c r="BD1546">
        <v>0.4375</v>
      </c>
      <c r="BE1546">
        <v>3.75</v>
      </c>
      <c r="BF1546">
        <v>55.25</v>
      </c>
      <c r="BG1546">
        <v>5.375</v>
      </c>
      <c r="BH1546">
        <v>257.24</v>
      </c>
      <c r="BI1546">
        <v>6.39</v>
      </c>
      <c r="BJ1546">
        <v>56</v>
      </c>
      <c r="BL1546">
        <v>514.48</v>
      </c>
      <c r="BM1546">
        <v>111</v>
      </c>
      <c r="BN1546">
        <v>263.93340000000001</v>
      </c>
      <c r="BO1546">
        <v>1490</v>
      </c>
      <c r="BP1546">
        <v>0</v>
      </c>
      <c r="BQ1546">
        <v>62</v>
      </c>
      <c r="BR1546">
        <v>62</v>
      </c>
      <c r="BS1546">
        <v>62.43</v>
      </c>
      <c r="BT1546">
        <v>0</v>
      </c>
      <c r="BV1546">
        <v>0</v>
      </c>
      <c r="BW1546" t="s">
        <v>655</v>
      </c>
      <c r="BX1546">
        <v>0.17</v>
      </c>
      <c r="BY1546">
        <v>10.613099999999999</v>
      </c>
      <c r="BZ1546">
        <v>0</v>
      </c>
      <c r="CA1546">
        <v>1</v>
      </c>
      <c r="CB1546">
        <v>0.6</v>
      </c>
      <c r="CC1546" s="3">
        <v>7.1269159999999998E-2</v>
      </c>
      <c r="CD1546">
        <v>2.875</v>
      </c>
      <c r="CE1546">
        <v>2.5</v>
      </c>
      <c r="CF1546">
        <v>18</v>
      </c>
      <c r="CG1546">
        <v>6</v>
      </c>
      <c r="CH1546">
        <v>0</v>
      </c>
      <c r="CI1546">
        <v>62.43</v>
      </c>
      <c r="CJ1546">
        <v>674.07399999999996</v>
      </c>
    </row>
    <row r="1547" spans="1:88">
      <c r="A1547">
        <v>1546</v>
      </c>
      <c r="B1547" t="s">
        <v>13</v>
      </c>
      <c r="C1547" t="s">
        <v>1</v>
      </c>
      <c r="D1547" t="s">
        <v>268</v>
      </c>
      <c r="E1547" t="s">
        <v>96</v>
      </c>
      <c r="F1547" t="s">
        <v>308</v>
      </c>
      <c r="G1547" t="s">
        <v>106</v>
      </c>
      <c r="H1547" t="s">
        <v>174</v>
      </c>
      <c r="J1547">
        <v>2</v>
      </c>
      <c r="K1547" t="s">
        <v>146</v>
      </c>
      <c r="L1547" t="s">
        <v>293</v>
      </c>
      <c r="M1547" t="s">
        <v>100</v>
      </c>
      <c r="N1547" t="s">
        <v>101</v>
      </c>
      <c r="O1547">
        <v>131</v>
      </c>
      <c r="Q1547">
        <v>417</v>
      </c>
      <c r="R1547">
        <v>76</v>
      </c>
      <c r="S1547">
        <v>4.25</v>
      </c>
      <c r="T1547">
        <v>3.5859999999999999</v>
      </c>
      <c r="U1547">
        <v>6.37</v>
      </c>
      <c r="V1547">
        <v>1773.86</v>
      </c>
      <c r="W1547">
        <v>486</v>
      </c>
      <c r="X1547">
        <v>1.3332999999999999</v>
      </c>
      <c r="Y1547">
        <v>361</v>
      </c>
      <c r="Z1547">
        <v>4.91</v>
      </c>
      <c r="AJ1547">
        <v>2</v>
      </c>
      <c r="AK1547">
        <v>18</v>
      </c>
      <c r="AM1547">
        <v>0</v>
      </c>
      <c r="AO1547" t="s">
        <v>312</v>
      </c>
      <c r="AT1547">
        <v>51</v>
      </c>
      <c r="AV1547">
        <v>41.9</v>
      </c>
      <c r="AW1547">
        <v>0</v>
      </c>
      <c r="AX1547">
        <v>0</v>
      </c>
      <c r="AY1547">
        <v>56.125</v>
      </c>
      <c r="AZ1547">
        <v>4.625</v>
      </c>
      <c r="BA1547">
        <v>0</v>
      </c>
      <c r="BB1547">
        <v>0</v>
      </c>
      <c r="BC1547">
        <v>60</v>
      </c>
      <c r="BN1547">
        <v>199.73339999999999</v>
      </c>
      <c r="BO1547">
        <v>2601</v>
      </c>
      <c r="BP1547">
        <v>0</v>
      </c>
      <c r="BQ1547">
        <v>45</v>
      </c>
      <c r="BR1547">
        <v>45</v>
      </c>
      <c r="BS1547">
        <v>44.69</v>
      </c>
      <c r="BT1547">
        <v>0</v>
      </c>
      <c r="BV1547">
        <v>0</v>
      </c>
      <c r="BW1547" t="s">
        <v>655</v>
      </c>
      <c r="BX1547">
        <v>0.17</v>
      </c>
      <c r="BY1547">
        <v>7.5972999999999997</v>
      </c>
      <c r="BZ1547">
        <v>0</v>
      </c>
      <c r="CA1547">
        <v>1</v>
      </c>
      <c r="CB1547">
        <v>0.6</v>
      </c>
      <c r="CC1547" s="3">
        <v>7.1269159999999998E-2</v>
      </c>
      <c r="CD1547">
        <v>2.875</v>
      </c>
      <c r="CE1547">
        <v>2.5</v>
      </c>
      <c r="CF1547">
        <v>18</v>
      </c>
      <c r="CG1547">
        <v>6</v>
      </c>
      <c r="CH1547">
        <v>0</v>
      </c>
      <c r="CI1547">
        <v>44.69</v>
      </c>
      <c r="CJ1547">
        <v>367.86959999999999</v>
      </c>
    </row>
    <row r="1548" spans="1:88">
      <c r="A1548">
        <v>1547</v>
      </c>
      <c r="B1548" t="s">
        <v>0</v>
      </c>
      <c r="C1548" t="s">
        <v>1</v>
      </c>
      <c r="D1548" t="s">
        <v>17</v>
      </c>
      <c r="E1548" t="s">
        <v>8</v>
      </c>
      <c r="F1548" t="s">
        <v>418</v>
      </c>
      <c r="G1548" t="s">
        <v>15</v>
      </c>
      <c r="H1548" t="s">
        <v>419</v>
      </c>
      <c r="J1548">
        <v>2</v>
      </c>
      <c r="K1548" t="s">
        <v>108</v>
      </c>
      <c r="L1548" t="s">
        <v>10</v>
      </c>
      <c r="M1548" t="s">
        <v>11</v>
      </c>
      <c r="N1548" t="s">
        <v>12</v>
      </c>
      <c r="O1548">
        <v>203</v>
      </c>
      <c r="Q1548">
        <v>1051</v>
      </c>
      <c r="R1548">
        <v>134</v>
      </c>
      <c r="S1548">
        <v>4.25</v>
      </c>
      <c r="T1548">
        <v>5.2460000000000004</v>
      </c>
      <c r="U1548">
        <v>7.35</v>
      </c>
      <c r="V1548">
        <v>4466.87</v>
      </c>
      <c r="W1548">
        <v>986</v>
      </c>
      <c r="X1548">
        <v>1.5</v>
      </c>
      <c r="Y1548">
        <v>663</v>
      </c>
      <c r="Z1548">
        <v>6.74</v>
      </c>
      <c r="AJ1548">
        <v>2</v>
      </c>
      <c r="AK1548">
        <v>18</v>
      </c>
      <c r="AM1548">
        <v>0</v>
      </c>
      <c r="AO1548" t="s">
        <v>415</v>
      </c>
      <c r="AT1548">
        <v>76</v>
      </c>
      <c r="AV1548">
        <v>70.7</v>
      </c>
      <c r="AW1548" t="s">
        <v>6</v>
      </c>
      <c r="AX1548" t="s">
        <v>6</v>
      </c>
      <c r="AY1548" t="s">
        <v>6</v>
      </c>
      <c r="AZ1548" t="s">
        <v>6</v>
      </c>
      <c r="BA1548" t="s">
        <v>6</v>
      </c>
      <c r="BB1548" t="s">
        <v>6</v>
      </c>
      <c r="BC1548" t="s">
        <v>6</v>
      </c>
      <c r="BD1548" t="s">
        <v>6</v>
      </c>
      <c r="BE1548" t="s">
        <v>6</v>
      </c>
      <c r="BF1548" t="s">
        <v>6</v>
      </c>
      <c r="BG1548" t="s">
        <v>6</v>
      </c>
      <c r="BH1548" t="s">
        <v>6</v>
      </c>
      <c r="BI1548" t="s">
        <v>6</v>
      </c>
      <c r="BJ1548" t="s">
        <v>6</v>
      </c>
      <c r="BN1548">
        <v>603.00139999999999</v>
      </c>
      <c r="BO1548">
        <v>3008</v>
      </c>
      <c r="BP1548">
        <v>0</v>
      </c>
      <c r="BQ1548">
        <v>70</v>
      </c>
      <c r="BR1548">
        <v>70</v>
      </c>
      <c r="BS1548">
        <v>69.730009999999993</v>
      </c>
      <c r="BT1548">
        <v>0</v>
      </c>
      <c r="BV1548">
        <v>0</v>
      </c>
      <c r="BW1548" t="s">
        <v>655</v>
      </c>
      <c r="BX1548">
        <v>0.17</v>
      </c>
      <c r="BY1548">
        <v>11.854100000000001</v>
      </c>
      <c r="BZ1548">
        <v>0</v>
      </c>
      <c r="CA1548">
        <v>1</v>
      </c>
      <c r="CB1548">
        <v>0.6</v>
      </c>
      <c r="CC1548" s="3">
        <v>7.1269159999999998E-2</v>
      </c>
      <c r="CD1548">
        <v>2.875</v>
      </c>
      <c r="CE1548">
        <v>2.5</v>
      </c>
      <c r="CF1548">
        <v>18</v>
      </c>
      <c r="CG1548">
        <v>6</v>
      </c>
      <c r="CH1548">
        <v>0</v>
      </c>
      <c r="CI1548">
        <v>69.730009999999993</v>
      </c>
      <c r="CJ1548">
        <v>968.45050000000003</v>
      </c>
    </row>
    <row r="1549" spans="1:88">
      <c r="A1549">
        <v>1548</v>
      </c>
      <c r="B1549" t="s">
        <v>13</v>
      </c>
      <c r="C1549" t="s">
        <v>1</v>
      </c>
      <c r="D1549" t="s">
        <v>732</v>
      </c>
      <c r="E1549" t="s">
        <v>96</v>
      </c>
      <c r="F1549" t="s">
        <v>733</v>
      </c>
      <c r="G1549" t="s">
        <v>20</v>
      </c>
      <c r="H1549" t="s">
        <v>732</v>
      </c>
      <c r="J1549">
        <v>2</v>
      </c>
      <c r="K1549" t="s">
        <v>9</v>
      </c>
      <c r="L1549" t="s">
        <v>293</v>
      </c>
      <c r="M1549" t="s">
        <v>100</v>
      </c>
      <c r="N1549" t="s">
        <v>101</v>
      </c>
      <c r="O1549">
        <v>131</v>
      </c>
      <c r="Q1549">
        <v>924</v>
      </c>
      <c r="R1549">
        <v>162</v>
      </c>
      <c r="S1549">
        <v>4.25</v>
      </c>
      <c r="T1549">
        <v>3.5859999999999999</v>
      </c>
      <c r="U1549">
        <v>6.37</v>
      </c>
      <c r="V1549">
        <v>3926.44</v>
      </c>
      <c r="W1549">
        <v>1033</v>
      </c>
      <c r="X1549">
        <v>1.3332999999999999</v>
      </c>
      <c r="Y1549">
        <v>800</v>
      </c>
      <c r="Z1549">
        <v>4.91</v>
      </c>
      <c r="AJ1549">
        <v>2</v>
      </c>
      <c r="AK1549">
        <v>18</v>
      </c>
      <c r="AM1549">
        <v>0</v>
      </c>
      <c r="AO1549" t="s">
        <v>734</v>
      </c>
      <c r="AT1549">
        <v>51</v>
      </c>
      <c r="AV1549">
        <v>93.2</v>
      </c>
      <c r="AW1549" t="s">
        <v>6</v>
      </c>
      <c r="AX1549" t="s">
        <v>6</v>
      </c>
      <c r="AY1549" t="s">
        <v>6</v>
      </c>
      <c r="AZ1549" t="s">
        <v>6</v>
      </c>
      <c r="BA1549" t="s">
        <v>6</v>
      </c>
      <c r="BB1549" t="s">
        <v>6</v>
      </c>
      <c r="BC1549" t="s">
        <v>6</v>
      </c>
      <c r="BD1549" t="s">
        <v>6</v>
      </c>
      <c r="BE1549" t="s">
        <v>6</v>
      </c>
      <c r="BF1549" t="s">
        <v>6</v>
      </c>
      <c r="BG1549" t="s">
        <v>6</v>
      </c>
      <c r="BH1549" t="s">
        <v>6</v>
      </c>
      <c r="BI1549" t="s">
        <v>6</v>
      </c>
      <c r="BJ1549" t="s">
        <v>6</v>
      </c>
      <c r="BN1549">
        <v>699.91399999999999</v>
      </c>
      <c r="BO1549">
        <v>2444</v>
      </c>
      <c r="BP1549">
        <v>0</v>
      </c>
      <c r="BQ1549">
        <v>45</v>
      </c>
      <c r="BR1549">
        <v>45</v>
      </c>
      <c r="BS1549">
        <v>44.69</v>
      </c>
      <c r="BT1549">
        <v>0</v>
      </c>
      <c r="BV1549">
        <v>6</v>
      </c>
      <c r="BW1549" t="s">
        <v>655</v>
      </c>
      <c r="BX1549">
        <v>0.27933340000000001</v>
      </c>
      <c r="BY1549">
        <v>12.483409999999999</v>
      </c>
      <c r="BZ1549">
        <v>0</v>
      </c>
      <c r="CA1549">
        <v>1</v>
      </c>
      <c r="CB1549">
        <v>0.6</v>
      </c>
      <c r="CC1549" s="3">
        <v>7.1269159999999998E-2</v>
      </c>
      <c r="CD1549">
        <v>2.875</v>
      </c>
      <c r="CE1549">
        <v>2.5</v>
      </c>
      <c r="CF1549">
        <v>18</v>
      </c>
      <c r="CG1549">
        <v>6</v>
      </c>
      <c r="CH1549">
        <v>0</v>
      </c>
      <c r="CI1549">
        <v>44.69</v>
      </c>
      <c r="CJ1549">
        <v>818.15160000000003</v>
      </c>
    </row>
    <row r="1550" spans="1:88">
      <c r="A1550">
        <v>1549</v>
      </c>
      <c r="B1550" t="s">
        <v>0</v>
      </c>
      <c r="C1550" t="s">
        <v>1</v>
      </c>
      <c r="D1550" t="s">
        <v>172</v>
      </c>
      <c r="E1550" t="s">
        <v>133</v>
      </c>
      <c r="F1550" t="s">
        <v>359</v>
      </c>
      <c r="G1550" t="s">
        <v>106</v>
      </c>
      <c r="H1550" t="s">
        <v>330</v>
      </c>
      <c r="J1550">
        <v>2</v>
      </c>
      <c r="K1550" t="s">
        <v>146</v>
      </c>
      <c r="L1550" t="s">
        <v>353</v>
      </c>
      <c r="M1550" t="s">
        <v>194</v>
      </c>
      <c r="N1550" t="s">
        <v>195</v>
      </c>
      <c r="O1550">
        <v>143</v>
      </c>
      <c r="Q1550">
        <v>506</v>
      </c>
      <c r="R1550">
        <v>84</v>
      </c>
      <c r="S1550">
        <v>4.25</v>
      </c>
      <c r="T1550">
        <v>3.88</v>
      </c>
      <c r="U1550">
        <v>6.6</v>
      </c>
      <c r="V1550">
        <v>2151.56</v>
      </c>
      <c r="W1550">
        <v>556</v>
      </c>
      <c r="X1550">
        <v>1.3332999999999999</v>
      </c>
      <c r="Y1550">
        <v>413</v>
      </c>
      <c r="Z1550">
        <v>5.21</v>
      </c>
      <c r="AJ1550">
        <v>2</v>
      </c>
      <c r="AK1550">
        <v>18</v>
      </c>
      <c r="AM1550">
        <v>0</v>
      </c>
      <c r="AO1550" t="s">
        <v>360</v>
      </c>
      <c r="AT1550">
        <v>55</v>
      </c>
      <c r="AV1550">
        <v>47</v>
      </c>
      <c r="AW1550">
        <v>0.46875</v>
      </c>
      <c r="AX1550">
        <v>3.75</v>
      </c>
      <c r="AY1550">
        <v>53.625</v>
      </c>
      <c r="AZ1550">
        <v>4.875</v>
      </c>
      <c r="BA1550">
        <v>378.27</v>
      </c>
      <c r="BB1550">
        <v>5.21</v>
      </c>
      <c r="BC1550">
        <v>58</v>
      </c>
      <c r="BD1550">
        <v>0.25</v>
      </c>
      <c r="BE1550">
        <v>2.75</v>
      </c>
      <c r="BF1550">
        <v>33.125</v>
      </c>
      <c r="BG1550">
        <v>2.625</v>
      </c>
      <c r="BH1550">
        <v>34.69</v>
      </c>
      <c r="BI1550">
        <v>9.8900009999999998</v>
      </c>
      <c r="BJ1550">
        <v>14</v>
      </c>
      <c r="BL1550">
        <v>412.96</v>
      </c>
      <c r="BM1550">
        <v>71</v>
      </c>
      <c r="BN1550">
        <v>224.70009999999999</v>
      </c>
      <c r="BO1550">
        <v>2055</v>
      </c>
      <c r="BP1550">
        <v>0</v>
      </c>
      <c r="BQ1550">
        <v>49</v>
      </c>
      <c r="BR1550">
        <v>49</v>
      </c>
      <c r="BS1550">
        <v>48.86</v>
      </c>
      <c r="BT1550">
        <v>0</v>
      </c>
      <c r="BV1550">
        <v>0</v>
      </c>
      <c r="BW1550" t="s">
        <v>655</v>
      </c>
      <c r="BX1550">
        <v>0.17</v>
      </c>
      <c r="BY1550">
        <v>8.3062000000000005</v>
      </c>
      <c r="BZ1550">
        <v>0</v>
      </c>
      <c r="CA1550">
        <v>1</v>
      </c>
      <c r="CB1550">
        <v>0.6</v>
      </c>
      <c r="CC1550" s="3">
        <v>7.1269159999999998E-2</v>
      </c>
      <c r="CD1550">
        <v>2.875</v>
      </c>
      <c r="CE1550">
        <v>2.5</v>
      </c>
      <c r="CF1550">
        <v>18</v>
      </c>
      <c r="CG1550">
        <v>6</v>
      </c>
      <c r="CH1550">
        <v>0</v>
      </c>
      <c r="CI1550">
        <v>48.86</v>
      </c>
      <c r="CJ1550">
        <v>450.94630000000001</v>
      </c>
    </row>
    <row r="1551" spans="1:88">
      <c r="A1551">
        <v>1550</v>
      </c>
      <c r="B1551" t="s">
        <v>0</v>
      </c>
      <c r="C1551" t="s">
        <v>1</v>
      </c>
      <c r="D1551" t="s">
        <v>19</v>
      </c>
      <c r="E1551" t="s">
        <v>212</v>
      </c>
      <c r="F1551" t="s">
        <v>114</v>
      </c>
      <c r="G1551" t="s">
        <v>214</v>
      </c>
      <c r="H1551" t="s">
        <v>115</v>
      </c>
      <c r="J1551">
        <v>2</v>
      </c>
      <c r="K1551" t="s">
        <v>108</v>
      </c>
      <c r="L1551" t="s">
        <v>425</v>
      </c>
      <c r="M1551" t="s">
        <v>453</v>
      </c>
      <c r="N1551" t="s">
        <v>454</v>
      </c>
      <c r="O1551">
        <v>195</v>
      </c>
      <c r="Q1551">
        <v>925</v>
      </c>
      <c r="R1551">
        <v>112</v>
      </c>
      <c r="S1551">
        <v>4.25</v>
      </c>
      <c r="T1551">
        <v>5.0730000000000004</v>
      </c>
      <c r="U1551">
        <v>7.35</v>
      </c>
      <c r="V1551">
        <v>3929.8</v>
      </c>
      <c r="W1551">
        <v>825</v>
      </c>
      <c r="X1551">
        <v>1.3332999999999999</v>
      </c>
      <c r="Y1551">
        <v>614</v>
      </c>
      <c r="Z1551">
        <v>6.4</v>
      </c>
      <c r="AJ1551">
        <v>2</v>
      </c>
      <c r="AK1551">
        <v>18</v>
      </c>
      <c r="AM1551">
        <v>0</v>
      </c>
      <c r="AO1551" t="s">
        <v>118</v>
      </c>
      <c r="AT1551">
        <v>73</v>
      </c>
      <c r="AV1551">
        <v>64.5</v>
      </c>
      <c r="AW1551">
        <v>0.46875</v>
      </c>
      <c r="AX1551">
        <v>3.75</v>
      </c>
      <c r="AY1551">
        <v>66</v>
      </c>
      <c r="AZ1551">
        <v>6</v>
      </c>
      <c r="BA1551">
        <v>307.01</v>
      </c>
      <c r="BB1551">
        <v>6.41</v>
      </c>
      <c r="BC1551">
        <v>71</v>
      </c>
      <c r="BD1551">
        <v>0.46875</v>
      </c>
      <c r="BE1551">
        <v>3.75</v>
      </c>
      <c r="BF1551">
        <v>66</v>
      </c>
      <c r="BG1551">
        <v>6</v>
      </c>
      <c r="BH1551">
        <v>307.01</v>
      </c>
      <c r="BI1551">
        <v>6.41</v>
      </c>
      <c r="BJ1551">
        <v>71</v>
      </c>
      <c r="BL1551">
        <v>614.02</v>
      </c>
      <c r="BM1551">
        <v>141</v>
      </c>
      <c r="BN1551">
        <v>312.91000000000003</v>
      </c>
      <c r="BO1551">
        <v>1330</v>
      </c>
      <c r="BP1551">
        <v>0</v>
      </c>
      <c r="BQ1551">
        <v>67</v>
      </c>
      <c r="BR1551">
        <v>67</v>
      </c>
      <c r="BS1551">
        <v>66.95</v>
      </c>
      <c r="BT1551">
        <v>0</v>
      </c>
      <c r="BV1551">
        <v>0</v>
      </c>
      <c r="BW1551" t="s">
        <v>655</v>
      </c>
      <c r="BX1551">
        <v>0.17</v>
      </c>
      <c r="BY1551">
        <v>11.381500000000001</v>
      </c>
      <c r="BZ1551">
        <v>0</v>
      </c>
      <c r="CA1551">
        <v>1</v>
      </c>
      <c r="CB1551">
        <v>0.6</v>
      </c>
      <c r="CC1551" s="3">
        <v>7.1269159999999998E-2</v>
      </c>
      <c r="CD1551">
        <v>2.875</v>
      </c>
      <c r="CE1551">
        <v>2.5</v>
      </c>
      <c r="CF1551">
        <v>18</v>
      </c>
      <c r="CG1551">
        <v>6</v>
      </c>
      <c r="CH1551">
        <v>0</v>
      </c>
      <c r="CI1551">
        <v>66.95</v>
      </c>
      <c r="CJ1551">
        <v>848.72519999999997</v>
      </c>
    </row>
    <row r="1552" spans="1:88">
      <c r="A1552">
        <v>1551</v>
      </c>
      <c r="B1552" t="s">
        <v>13</v>
      </c>
      <c r="C1552" t="s">
        <v>1</v>
      </c>
      <c r="D1552" t="s">
        <v>2</v>
      </c>
      <c r="E1552" t="s">
        <v>491</v>
      </c>
      <c r="F1552" t="s">
        <v>154</v>
      </c>
      <c r="G1552" t="s">
        <v>106</v>
      </c>
      <c r="H1552" t="s">
        <v>217</v>
      </c>
      <c r="J1552">
        <v>2</v>
      </c>
      <c r="K1552" t="s">
        <v>146</v>
      </c>
      <c r="L1552" t="s">
        <v>537</v>
      </c>
      <c r="M1552" t="s">
        <v>492</v>
      </c>
      <c r="N1552" t="s">
        <v>493</v>
      </c>
      <c r="O1552">
        <v>47</v>
      </c>
      <c r="Q1552">
        <v>148</v>
      </c>
      <c r="R1552">
        <v>67</v>
      </c>
      <c r="S1552">
        <v>4.25</v>
      </c>
      <c r="T1552">
        <v>1.2390000000000001</v>
      </c>
      <c r="U1552">
        <v>5.0599999999999996</v>
      </c>
      <c r="V1552">
        <v>630.87</v>
      </c>
      <c r="W1552">
        <v>339</v>
      </c>
      <c r="X1552">
        <v>1.5</v>
      </c>
      <c r="Y1552">
        <v>231</v>
      </c>
      <c r="Z1552">
        <v>2.73</v>
      </c>
      <c r="AJ1552">
        <v>2</v>
      </c>
      <c r="AK1552">
        <v>18</v>
      </c>
      <c r="AM1552">
        <v>0</v>
      </c>
      <c r="AO1552" t="s">
        <v>218</v>
      </c>
      <c r="AT1552">
        <v>22</v>
      </c>
      <c r="AV1552">
        <v>36.1</v>
      </c>
      <c r="AW1552">
        <v>0</v>
      </c>
      <c r="AX1552">
        <v>0</v>
      </c>
      <c r="AY1552">
        <v>11</v>
      </c>
      <c r="AZ1552">
        <v>1.75</v>
      </c>
      <c r="BA1552">
        <v>0</v>
      </c>
      <c r="BB1552">
        <v>0</v>
      </c>
      <c r="BC1552">
        <v>8</v>
      </c>
      <c r="BN1552">
        <v>171.2</v>
      </c>
      <c r="BO1552">
        <v>3540</v>
      </c>
      <c r="BP1552">
        <v>0</v>
      </c>
      <c r="BQ1552">
        <v>15</v>
      </c>
      <c r="BR1552">
        <v>15</v>
      </c>
      <c r="BS1552">
        <v>15.47</v>
      </c>
      <c r="BT1552">
        <v>0</v>
      </c>
      <c r="BV1552">
        <v>0</v>
      </c>
      <c r="BW1552" t="s">
        <v>655</v>
      </c>
      <c r="BX1552">
        <v>0.17</v>
      </c>
      <c r="BY1552">
        <v>2.6299000000000001</v>
      </c>
      <c r="BZ1552">
        <v>0</v>
      </c>
      <c r="CA1552">
        <v>1</v>
      </c>
      <c r="CB1552">
        <v>0.6</v>
      </c>
      <c r="CC1552" s="3">
        <v>7.1269159999999998E-2</v>
      </c>
      <c r="CD1552">
        <v>2.875</v>
      </c>
      <c r="CE1552">
        <v>2.5</v>
      </c>
      <c r="CF1552">
        <v>18</v>
      </c>
      <c r="CG1552">
        <v>6</v>
      </c>
      <c r="CH1552">
        <v>0</v>
      </c>
      <c r="CI1552">
        <v>15.47</v>
      </c>
      <c r="CJ1552">
        <v>109.7021</v>
      </c>
    </row>
    <row r="1553" spans="1:88">
      <c r="A1553">
        <v>1552</v>
      </c>
      <c r="B1553" t="s">
        <v>0</v>
      </c>
      <c r="C1553" t="s">
        <v>1</v>
      </c>
      <c r="D1553" t="s">
        <v>145</v>
      </c>
      <c r="E1553" t="s">
        <v>283</v>
      </c>
      <c r="F1553" t="s">
        <v>206</v>
      </c>
      <c r="G1553" t="s">
        <v>106</v>
      </c>
      <c r="H1553" t="s">
        <v>207</v>
      </c>
      <c r="J1553">
        <v>2</v>
      </c>
      <c r="K1553" t="s">
        <v>146</v>
      </c>
      <c r="L1553" t="s">
        <v>2</v>
      </c>
      <c r="M1553" t="s">
        <v>374</v>
      </c>
      <c r="N1553" t="s">
        <v>375</v>
      </c>
      <c r="O1553">
        <v>87</v>
      </c>
      <c r="Q1553">
        <v>365</v>
      </c>
      <c r="R1553">
        <v>94</v>
      </c>
      <c r="S1553">
        <v>4.25</v>
      </c>
      <c r="T1553">
        <v>2.4289999999999998</v>
      </c>
      <c r="U1553">
        <v>5.66</v>
      </c>
      <c r="V1553">
        <v>1551.33</v>
      </c>
      <c r="W1553">
        <v>532</v>
      </c>
      <c r="X1553">
        <v>1.3332999999999999</v>
      </c>
      <c r="Y1553">
        <v>413</v>
      </c>
      <c r="Z1553">
        <v>3.76</v>
      </c>
      <c r="AJ1553">
        <v>2</v>
      </c>
      <c r="AK1553">
        <v>18</v>
      </c>
      <c r="AM1553">
        <v>0</v>
      </c>
      <c r="AO1553" t="s">
        <v>211</v>
      </c>
      <c r="AT1553">
        <v>36</v>
      </c>
      <c r="AV1553">
        <v>53.1</v>
      </c>
      <c r="AW1553">
        <v>0</v>
      </c>
      <c r="AX1553">
        <v>0</v>
      </c>
      <c r="AY1553">
        <v>34.5</v>
      </c>
      <c r="AZ1553">
        <v>3.25</v>
      </c>
      <c r="BA1553">
        <v>0</v>
      </c>
      <c r="BB1553">
        <v>0</v>
      </c>
      <c r="BC1553">
        <v>35</v>
      </c>
      <c r="BN1553">
        <v>255.01669999999999</v>
      </c>
      <c r="BO1553">
        <v>1596</v>
      </c>
      <c r="BP1553">
        <v>0</v>
      </c>
      <c r="BQ1553">
        <v>29</v>
      </c>
      <c r="BR1553">
        <v>29</v>
      </c>
      <c r="BS1553">
        <v>29.39</v>
      </c>
      <c r="BT1553">
        <v>0</v>
      </c>
      <c r="BV1553">
        <v>0</v>
      </c>
      <c r="BW1553" t="s">
        <v>655</v>
      </c>
      <c r="BX1553">
        <v>0.17</v>
      </c>
      <c r="BY1553">
        <v>4.9962999999999997</v>
      </c>
      <c r="BZ1553">
        <v>0</v>
      </c>
      <c r="CA1553">
        <v>1</v>
      </c>
      <c r="CB1553">
        <v>0.6</v>
      </c>
      <c r="CC1553" s="3">
        <v>7.1269159999999998E-2</v>
      </c>
      <c r="CD1553">
        <v>2.875</v>
      </c>
      <c r="CE1553">
        <v>2.5</v>
      </c>
      <c r="CF1553">
        <v>18</v>
      </c>
      <c r="CG1553">
        <v>6</v>
      </c>
      <c r="CH1553">
        <v>0</v>
      </c>
      <c r="CI1553">
        <v>29.39</v>
      </c>
      <c r="CJ1553">
        <v>306.85899999999998</v>
      </c>
    </row>
    <row r="1554" spans="1:88">
      <c r="A1554">
        <v>1553</v>
      </c>
      <c r="B1554" t="s">
        <v>0</v>
      </c>
      <c r="C1554" t="s">
        <v>1</v>
      </c>
      <c r="D1554" t="s">
        <v>2</v>
      </c>
      <c r="E1554" t="s">
        <v>369</v>
      </c>
      <c r="F1554" t="s">
        <v>154</v>
      </c>
      <c r="G1554" t="s">
        <v>106</v>
      </c>
      <c r="H1554" t="s">
        <v>217</v>
      </c>
      <c r="J1554">
        <v>2</v>
      </c>
      <c r="K1554" t="s">
        <v>146</v>
      </c>
      <c r="L1554" t="s">
        <v>259</v>
      </c>
      <c r="M1554" t="s">
        <v>480</v>
      </c>
      <c r="N1554" t="s">
        <v>307</v>
      </c>
      <c r="O1554">
        <v>121</v>
      </c>
      <c r="Q1554">
        <v>335</v>
      </c>
      <c r="R1554">
        <v>67</v>
      </c>
      <c r="S1554">
        <v>4.25</v>
      </c>
      <c r="T1554">
        <v>3.3340000000000001</v>
      </c>
      <c r="U1554">
        <v>6.22</v>
      </c>
      <c r="V1554">
        <v>1425.19</v>
      </c>
      <c r="W1554">
        <v>417</v>
      </c>
      <c r="X1554">
        <v>1.3332999999999999</v>
      </c>
      <c r="Y1554">
        <v>306</v>
      </c>
      <c r="Z1554">
        <v>4.66</v>
      </c>
      <c r="AJ1554">
        <v>2</v>
      </c>
      <c r="AK1554">
        <v>18</v>
      </c>
      <c r="AM1554">
        <v>0</v>
      </c>
      <c r="AO1554" t="s">
        <v>218</v>
      </c>
      <c r="AT1554">
        <v>47</v>
      </c>
      <c r="AV1554">
        <v>36.1</v>
      </c>
      <c r="AW1554">
        <v>0</v>
      </c>
      <c r="AX1554">
        <v>0</v>
      </c>
      <c r="AY1554">
        <v>46.5</v>
      </c>
      <c r="AZ1554">
        <v>4.125</v>
      </c>
      <c r="BA1554">
        <v>0</v>
      </c>
      <c r="BB1554">
        <v>0</v>
      </c>
      <c r="BC1554">
        <v>47</v>
      </c>
      <c r="BN1554">
        <v>171.2</v>
      </c>
      <c r="BO1554">
        <v>3540</v>
      </c>
      <c r="BP1554">
        <v>0</v>
      </c>
      <c r="BQ1554">
        <v>41</v>
      </c>
      <c r="BR1554">
        <v>41</v>
      </c>
      <c r="BS1554">
        <v>41.21</v>
      </c>
      <c r="BT1554">
        <v>0</v>
      </c>
      <c r="BV1554">
        <v>0</v>
      </c>
      <c r="BW1554" t="s">
        <v>655</v>
      </c>
      <c r="BX1554">
        <v>0.17</v>
      </c>
      <c r="BY1554">
        <v>7.0057</v>
      </c>
      <c r="BZ1554">
        <v>0</v>
      </c>
      <c r="CA1554">
        <v>1</v>
      </c>
      <c r="CB1554">
        <v>0.6</v>
      </c>
      <c r="CC1554" s="3">
        <v>7.1269159999999998E-2</v>
      </c>
      <c r="CD1554">
        <v>2.875</v>
      </c>
      <c r="CE1554">
        <v>2.5</v>
      </c>
      <c r="CF1554">
        <v>18</v>
      </c>
      <c r="CG1554">
        <v>6</v>
      </c>
      <c r="CH1554">
        <v>0</v>
      </c>
      <c r="CI1554">
        <v>41.21</v>
      </c>
      <c r="CJ1554">
        <v>292.23169999999999</v>
      </c>
    </row>
    <row r="1555" spans="1:88">
      <c r="A1555">
        <v>1554</v>
      </c>
      <c r="B1555" t="s">
        <v>0</v>
      </c>
      <c r="C1555" t="s">
        <v>1</v>
      </c>
      <c r="D1555" t="s">
        <v>341</v>
      </c>
      <c r="E1555" t="s">
        <v>96</v>
      </c>
      <c r="F1555" t="s">
        <v>343</v>
      </c>
      <c r="G1555" t="s">
        <v>106</v>
      </c>
      <c r="H1555" t="s">
        <v>344</v>
      </c>
      <c r="J1555">
        <v>2</v>
      </c>
      <c r="K1555" t="s">
        <v>146</v>
      </c>
      <c r="L1555" t="s">
        <v>293</v>
      </c>
      <c r="M1555" t="s">
        <v>100</v>
      </c>
      <c r="N1555" t="s">
        <v>101</v>
      </c>
      <c r="O1555">
        <v>131</v>
      </c>
      <c r="Q1555">
        <v>275</v>
      </c>
      <c r="R1555">
        <v>48</v>
      </c>
      <c r="S1555">
        <v>4.25</v>
      </c>
      <c r="T1555">
        <v>3.5859999999999999</v>
      </c>
      <c r="U1555">
        <v>6.37</v>
      </c>
      <c r="V1555">
        <v>1170.7</v>
      </c>
      <c r="W1555">
        <v>308</v>
      </c>
      <c r="X1555">
        <v>1.3332999999999999</v>
      </c>
      <c r="Y1555">
        <v>238</v>
      </c>
      <c r="Z1555">
        <v>4.91</v>
      </c>
      <c r="AJ1555">
        <v>2</v>
      </c>
      <c r="AK1555">
        <v>18</v>
      </c>
      <c r="AM1555">
        <v>0</v>
      </c>
      <c r="AO1555" t="s">
        <v>347</v>
      </c>
      <c r="AT1555">
        <v>51</v>
      </c>
      <c r="AV1555">
        <v>27.4</v>
      </c>
      <c r="AW1555">
        <v>0</v>
      </c>
      <c r="AX1555">
        <v>0</v>
      </c>
      <c r="AY1555">
        <v>40.75</v>
      </c>
      <c r="AZ1555">
        <v>4</v>
      </c>
      <c r="BA1555">
        <v>0</v>
      </c>
      <c r="BB1555">
        <v>0</v>
      </c>
      <c r="BC1555">
        <v>39</v>
      </c>
      <c r="BN1555">
        <v>128.4</v>
      </c>
      <c r="BO1555">
        <v>6294</v>
      </c>
      <c r="BP1555">
        <v>0</v>
      </c>
      <c r="BQ1555">
        <v>45</v>
      </c>
      <c r="BR1555">
        <v>45</v>
      </c>
      <c r="BS1555">
        <v>44.69</v>
      </c>
      <c r="BT1555">
        <v>0</v>
      </c>
      <c r="BV1555">
        <v>0</v>
      </c>
      <c r="BW1555" t="s">
        <v>655</v>
      </c>
      <c r="BX1555">
        <v>0.17</v>
      </c>
      <c r="BY1555">
        <v>7.5972999999999997</v>
      </c>
      <c r="BZ1555">
        <v>0</v>
      </c>
      <c r="CA1555">
        <v>1</v>
      </c>
      <c r="CB1555">
        <v>0.6</v>
      </c>
      <c r="CC1555" s="3">
        <v>7.1269159999999998E-2</v>
      </c>
      <c r="CD1555">
        <v>2.875</v>
      </c>
      <c r="CE1555">
        <v>2.5</v>
      </c>
      <c r="CF1555">
        <v>18</v>
      </c>
      <c r="CG1555">
        <v>6</v>
      </c>
      <c r="CH1555">
        <v>0</v>
      </c>
      <c r="CI1555">
        <v>44.69</v>
      </c>
      <c r="CJ1555">
        <v>240.46889999999999</v>
      </c>
    </row>
    <row r="1556" spans="1:88">
      <c r="A1556">
        <v>1555</v>
      </c>
      <c r="B1556" t="s">
        <v>0</v>
      </c>
      <c r="C1556" t="s">
        <v>1</v>
      </c>
      <c r="D1556" t="s">
        <v>143</v>
      </c>
      <c r="E1556" t="s">
        <v>300</v>
      </c>
      <c r="F1556" t="s">
        <v>144</v>
      </c>
      <c r="G1556" t="s">
        <v>106</v>
      </c>
      <c r="H1556" t="s">
        <v>145</v>
      </c>
      <c r="J1556">
        <v>2</v>
      </c>
      <c r="K1556" t="s">
        <v>146</v>
      </c>
      <c r="L1556" t="s">
        <v>454</v>
      </c>
      <c r="M1556" t="s">
        <v>589</v>
      </c>
      <c r="N1556" t="s">
        <v>202</v>
      </c>
      <c r="O1556">
        <v>178</v>
      </c>
      <c r="Q1556">
        <v>706</v>
      </c>
      <c r="R1556">
        <v>95</v>
      </c>
      <c r="S1556">
        <v>4.25</v>
      </c>
      <c r="T1556">
        <v>4.6959999999999997</v>
      </c>
      <c r="U1556">
        <v>7.05</v>
      </c>
      <c r="V1556">
        <v>2998.71</v>
      </c>
      <c r="W1556">
        <v>667</v>
      </c>
      <c r="X1556">
        <v>1.3332999999999999</v>
      </c>
      <c r="Y1556">
        <v>498</v>
      </c>
      <c r="Z1556">
        <v>6.02</v>
      </c>
      <c r="AJ1556">
        <v>2</v>
      </c>
      <c r="AK1556">
        <v>18</v>
      </c>
      <c r="AM1556">
        <v>0</v>
      </c>
      <c r="AO1556" t="s">
        <v>149</v>
      </c>
      <c r="AT1556">
        <v>67</v>
      </c>
      <c r="AV1556">
        <v>53.5</v>
      </c>
      <c r="AW1556">
        <v>0.4375</v>
      </c>
      <c r="AX1556">
        <v>3.75</v>
      </c>
      <c r="AY1556">
        <v>51.875</v>
      </c>
      <c r="AZ1556">
        <v>5.25</v>
      </c>
      <c r="BA1556">
        <v>273.95999999999998</v>
      </c>
      <c r="BB1556">
        <v>6</v>
      </c>
      <c r="BC1556">
        <v>53</v>
      </c>
      <c r="BD1556">
        <v>0.4375</v>
      </c>
      <c r="BE1556">
        <v>3.75</v>
      </c>
      <c r="BF1556">
        <v>63.5</v>
      </c>
      <c r="BG1556">
        <v>5.25</v>
      </c>
      <c r="BH1556">
        <v>224.15</v>
      </c>
      <c r="BI1556">
        <v>7.34</v>
      </c>
      <c r="BJ1556">
        <v>64</v>
      </c>
      <c r="BL1556">
        <v>498.11</v>
      </c>
      <c r="BM1556">
        <v>116</v>
      </c>
      <c r="BN1556">
        <v>256.80009999999999</v>
      </c>
      <c r="BO1556">
        <v>1574</v>
      </c>
      <c r="BP1556">
        <v>0</v>
      </c>
      <c r="BQ1556">
        <v>61</v>
      </c>
      <c r="BR1556">
        <v>61</v>
      </c>
      <c r="BS1556">
        <v>61.04</v>
      </c>
      <c r="BT1556">
        <v>0</v>
      </c>
      <c r="BV1556">
        <v>0</v>
      </c>
      <c r="BW1556" t="s">
        <v>655</v>
      </c>
      <c r="BX1556">
        <v>0.17</v>
      </c>
      <c r="BY1556">
        <v>10.376799999999999</v>
      </c>
      <c r="BZ1556">
        <v>0</v>
      </c>
      <c r="CA1556">
        <v>1</v>
      </c>
      <c r="CB1556">
        <v>0.6</v>
      </c>
      <c r="CC1556" s="3">
        <v>7.1269159999999998E-2</v>
      </c>
      <c r="CD1556">
        <v>2.875</v>
      </c>
      <c r="CE1556">
        <v>2.5</v>
      </c>
      <c r="CF1556">
        <v>18</v>
      </c>
      <c r="CG1556">
        <v>6</v>
      </c>
      <c r="CH1556">
        <v>0</v>
      </c>
      <c r="CI1556">
        <v>61.04</v>
      </c>
      <c r="CJ1556">
        <v>641.66480000000001</v>
      </c>
    </row>
    <row r="1557" spans="1:88">
      <c r="A1557">
        <v>1556</v>
      </c>
      <c r="B1557" t="s">
        <v>13</v>
      </c>
      <c r="C1557" t="s">
        <v>1</v>
      </c>
      <c r="D1557" t="s">
        <v>217</v>
      </c>
      <c r="E1557" t="s">
        <v>235</v>
      </c>
      <c r="F1557" t="s">
        <v>4</v>
      </c>
      <c r="G1557" t="s">
        <v>106</v>
      </c>
      <c r="H1557" t="s">
        <v>231</v>
      </c>
      <c r="J1557">
        <v>2</v>
      </c>
      <c r="K1557" t="s">
        <v>146</v>
      </c>
      <c r="L1557" t="s">
        <v>185</v>
      </c>
      <c r="M1557" t="s">
        <v>198</v>
      </c>
      <c r="N1557" t="s">
        <v>338</v>
      </c>
      <c r="O1557">
        <v>132</v>
      </c>
      <c r="Q1557">
        <v>360</v>
      </c>
      <c r="R1557">
        <v>67</v>
      </c>
      <c r="S1557">
        <v>4.25</v>
      </c>
      <c r="T1557">
        <v>3.61</v>
      </c>
      <c r="U1557">
        <v>6.37</v>
      </c>
      <c r="V1557">
        <v>1528.21</v>
      </c>
      <c r="W1557">
        <v>424</v>
      </c>
      <c r="X1557">
        <v>1.3332999999999999</v>
      </c>
      <c r="Y1557">
        <v>309</v>
      </c>
      <c r="Z1557">
        <v>4.9400000000000004</v>
      </c>
      <c r="AJ1557">
        <v>2</v>
      </c>
      <c r="AK1557">
        <v>18</v>
      </c>
      <c r="AM1557">
        <v>0</v>
      </c>
      <c r="AO1557" t="s">
        <v>405</v>
      </c>
      <c r="AT1557">
        <v>51</v>
      </c>
      <c r="AV1557">
        <v>35.700000000000003</v>
      </c>
      <c r="AW1557">
        <v>0</v>
      </c>
      <c r="AX1557">
        <v>0</v>
      </c>
      <c r="AY1557">
        <v>46</v>
      </c>
      <c r="AZ1557">
        <v>4.375</v>
      </c>
      <c r="BA1557">
        <v>0</v>
      </c>
      <c r="BB1557">
        <v>0</v>
      </c>
      <c r="BC1557">
        <v>47</v>
      </c>
      <c r="BN1557">
        <v>169.41669999999999</v>
      </c>
      <c r="BO1557">
        <v>3615</v>
      </c>
      <c r="BP1557">
        <v>0</v>
      </c>
      <c r="BQ1557">
        <v>45</v>
      </c>
      <c r="BR1557">
        <v>45</v>
      </c>
      <c r="BS1557">
        <v>45.04</v>
      </c>
      <c r="BT1557">
        <v>0</v>
      </c>
      <c r="BV1557">
        <v>0</v>
      </c>
      <c r="BW1557" t="s">
        <v>655</v>
      </c>
      <c r="BX1557">
        <v>0.17</v>
      </c>
      <c r="BY1557">
        <v>7.6568009999999997</v>
      </c>
      <c r="BZ1557">
        <v>0</v>
      </c>
      <c r="CA1557">
        <v>1</v>
      </c>
      <c r="CB1557">
        <v>0.6</v>
      </c>
      <c r="CC1557" s="3">
        <v>7.1269159999999998E-2</v>
      </c>
      <c r="CD1557">
        <v>2.875</v>
      </c>
      <c r="CE1557">
        <v>2.5</v>
      </c>
      <c r="CF1557">
        <v>18</v>
      </c>
      <c r="CG1557">
        <v>6</v>
      </c>
      <c r="CH1557">
        <v>0</v>
      </c>
      <c r="CI1557">
        <v>45.04</v>
      </c>
      <c r="CJ1557">
        <v>316.18130000000002</v>
      </c>
    </row>
    <row r="1558" spans="1:88">
      <c r="A1558">
        <v>1557</v>
      </c>
      <c r="B1558" t="s">
        <v>0</v>
      </c>
      <c r="C1558" t="s">
        <v>1</v>
      </c>
      <c r="D1558" t="s">
        <v>621</v>
      </c>
      <c r="E1558" t="s">
        <v>180</v>
      </c>
      <c r="F1558" t="s">
        <v>549</v>
      </c>
      <c r="G1558" t="s">
        <v>15</v>
      </c>
      <c r="H1558" t="s">
        <v>622</v>
      </c>
      <c r="J1558">
        <v>2</v>
      </c>
      <c r="K1558" t="s">
        <v>108</v>
      </c>
      <c r="L1558" t="s">
        <v>190</v>
      </c>
      <c r="M1558" t="s">
        <v>319</v>
      </c>
      <c r="N1558" t="s">
        <v>219</v>
      </c>
      <c r="O1558">
        <v>98</v>
      </c>
      <c r="Q1558">
        <v>609</v>
      </c>
      <c r="R1558">
        <v>139</v>
      </c>
      <c r="S1558">
        <v>4.25</v>
      </c>
      <c r="T1558">
        <v>2.7309999999999999</v>
      </c>
      <c r="U1558">
        <v>5.88</v>
      </c>
      <c r="V1558">
        <v>2586.5</v>
      </c>
      <c r="W1558">
        <v>820</v>
      </c>
      <c r="X1558">
        <v>1.3332999999999999</v>
      </c>
      <c r="Y1558">
        <v>637</v>
      </c>
      <c r="Z1558">
        <v>4.0599999999999996</v>
      </c>
      <c r="AJ1558">
        <v>2</v>
      </c>
      <c r="AK1558">
        <v>18</v>
      </c>
      <c r="AM1558">
        <v>0</v>
      </c>
      <c r="AO1558" t="s">
        <v>623</v>
      </c>
      <c r="AT1558">
        <v>39</v>
      </c>
      <c r="AV1558">
        <v>80.099999999999994</v>
      </c>
      <c r="AW1558">
        <v>0.46875</v>
      </c>
      <c r="AX1558">
        <v>5.625</v>
      </c>
      <c r="AY1558">
        <v>26.625</v>
      </c>
      <c r="AZ1558">
        <v>3.75</v>
      </c>
      <c r="BA1558">
        <v>485.42</v>
      </c>
      <c r="BB1558">
        <v>4.0599999999999996</v>
      </c>
      <c r="BC1558">
        <v>45</v>
      </c>
      <c r="BD1558">
        <v>0.3125</v>
      </c>
      <c r="BE1558">
        <v>3.75</v>
      </c>
      <c r="BF1558">
        <v>16.875</v>
      </c>
      <c r="BG1558">
        <v>2.5</v>
      </c>
      <c r="BH1558">
        <v>151.63</v>
      </c>
      <c r="BI1558">
        <v>4.21</v>
      </c>
      <c r="BJ1558">
        <v>13</v>
      </c>
      <c r="BL1558">
        <v>637.05010000000004</v>
      </c>
      <c r="BM1558">
        <v>57</v>
      </c>
      <c r="BN1558">
        <v>685.08529999999996</v>
      </c>
      <c r="BO1558">
        <v>2331</v>
      </c>
      <c r="BP1558">
        <v>0</v>
      </c>
      <c r="BQ1558">
        <v>33</v>
      </c>
      <c r="BR1558">
        <v>33</v>
      </c>
      <c r="BS1558">
        <v>33.21</v>
      </c>
      <c r="BT1558">
        <v>0</v>
      </c>
      <c r="BV1558">
        <v>0</v>
      </c>
      <c r="BW1558" t="s">
        <v>655</v>
      </c>
      <c r="BX1558">
        <v>0.17</v>
      </c>
      <c r="BY1558">
        <v>5.6456999999999997</v>
      </c>
      <c r="BZ1558">
        <v>0</v>
      </c>
      <c r="CA1558">
        <v>1</v>
      </c>
      <c r="CB1558">
        <v>0.6</v>
      </c>
      <c r="CC1558" s="3">
        <v>7.1269159999999998E-2</v>
      </c>
      <c r="CD1558">
        <v>2.875</v>
      </c>
      <c r="CE1558">
        <v>2.5</v>
      </c>
      <c r="CF1558">
        <v>18</v>
      </c>
      <c r="CG1558">
        <v>6</v>
      </c>
      <c r="CH1558">
        <v>0</v>
      </c>
      <c r="CI1558">
        <v>33.21</v>
      </c>
      <c r="CJ1558">
        <v>522.77769999999998</v>
      </c>
    </row>
    <row r="1559" spans="1:88">
      <c r="A1559">
        <v>1558</v>
      </c>
      <c r="B1559" t="s">
        <v>0</v>
      </c>
      <c r="C1559" t="s">
        <v>1</v>
      </c>
      <c r="D1559" t="s">
        <v>202</v>
      </c>
      <c r="E1559" t="s">
        <v>197</v>
      </c>
      <c r="F1559" t="s">
        <v>357</v>
      </c>
      <c r="G1559" t="s">
        <v>214</v>
      </c>
      <c r="H1559" t="s">
        <v>358</v>
      </c>
      <c r="J1559">
        <v>2</v>
      </c>
      <c r="K1559" t="s">
        <v>108</v>
      </c>
      <c r="L1559" t="s">
        <v>199</v>
      </c>
      <c r="M1559" t="s">
        <v>200</v>
      </c>
      <c r="N1559" t="s">
        <v>201</v>
      </c>
      <c r="O1559">
        <v>173</v>
      </c>
      <c r="Q1559">
        <v>808</v>
      </c>
      <c r="R1559">
        <v>110</v>
      </c>
      <c r="S1559">
        <v>4.25</v>
      </c>
      <c r="T1559">
        <v>4.5830000000000002</v>
      </c>
      <c r="U1559">
        <v>6.97</v>
      </c>
      <c r="V1559">
        <v>3434.12</v>
      </c>
      <c r="W1559">
        <v>765</v>
      </c>
      <c r="X1559">
        <v>1.3332999999999999</v>
      </c>
      <c r="Y1559">
        <v>581</v>
      </c>
      <c r="Z1559">
        <v>5.91</v>
      </c>
      <c r="AJ1559">
        <v>2</v>
      </c>
      <c r="AK1559">
        <v>18</v>
      </c>
      <c r="AM1559">
        <v>0</v>
      </c>
      <c r="AO1559" t="s">
        <v>262</v>
      </c>
      <c r="AT1559">
        <v>65</v>
      </c>
      <c r="AV1559">
        <v>63.1</v>
      </c>
      <c r="AW1559">
        <v>0.46875</v>
      </c>
      <c r="AX1559">
        <v>3.75</v>
      </c>
      <c r="AY1559">
        <v>63.375</v>
      </c>
      <c r="AZ1559">
        <v>5.5</v>
      </c>
      <c r="BA1559">
        <v>319.58</v>
      </c>
      <c r="BB1559">
        <v>6.16</v>
      </c>
      <c r="BC1559">
        <v>68</v>
      </c>
      <c r="BD1559">
        <v>0.4375</v>
      </c>
      <c r="BE1559">
        <v>3.75</v>
      </c>
      <c r="BF1559">
        <v>54.375</v>
      </c>
      <c r="BG1559">
        <v>5.125</v>
      </c>
      <c r="BH1559">
        <v>261.48</v>
      </c>
      <c r="BI1559">
        <v>6.29</v>
      </c>
      <c r="BJ1559">
        <v>55</v>
      </c>
      <c r="BL1559">
        <v>581.05999999999995</v>
      </c>
      <c r="BM1559">
        <v>123</v>
      </c>
      <c r="BN1559">
        <v>305.7167</v>
      </c>
      <c r="BO1559">
        <v>1393</v>
      </c>
      <c r="BP1559">
        <v>0</v>
      </c>
      <c r="BQ1559">
        <v>59</v>
      </c>
      <c r="BR1559">
        <v>59</v>
      </c>
      <c r="BS1559">
        <v>59.3</v>
      </c>
      <c r="BT1559">
        <v>0</v>
      </c>
      <c r="BV1559">
        <v>0</v>
      </c>
      <c r="BW1559" t="s">
        <v>655</v>
      </c>
      <c r="BX1559">
        <v>0.17</v>
      </c>
      <c r="BY1559">
        <v>10.081</v>
      </c>
      <c r="BZ1559">
        <v>0</v>
      </c>
      <c r="CA1559">
        <v>1</v>
      </c>
      <c r="CB1559">
        <v>0.6</v>
      </c>
      <c r="CC1559" s="3">
        <v>7.1269159999999998E-2</v>
      </c>
      <c r="CD1559">
        <v>2.875</v>
      </c>
      <c r="CE1559">
        <v>2.5</v>
      </c>
      <c r="CF1559">
        <v>18</v>
      </c>
      <c r="CG1559">
        <v>6</v>
      </c>
      <c r="CH1559">
        <v>0</v>
      </c>
      <c r="CI1559">
        <v>59.3</v>
      </c>
      <c r="CJ1559">
        <v>734.84109999999998</v>
      </c>
    </row>
    <row r="1560" spans="1:88">
      <c r="A1560">
        <v>1559</v>
      </c>
      <c r="B1560" t="s">
        <v>0</v>
      </c>
      <c r="C1560" t="s">
        <v>1</v>
      </c>
      <c r="D1560" t="s">
        <v>249</v>
      </c>
      <c r="E1560" t="s">
        <v>185</v>
      </c>
      <c r="F1560" t="s">
        <v>309</v>
      </c>
      <c r="G1560" t="s">
        <v>15</v>
      </c>
      <c r="H1560" t="s">
        <v>310</v>
      </c>
      <c r="J1560">
        <v>2</v>
      </c>
      <c r="K1560" t="s">
        <v>108</v>
      </c>
      <c r="L1560" t="s">
        <v>466</v>
      </c>
      <c r="M1560" t="s">
        <v>294</v>
      </c>
      <c r="N1560" t="s">
        <v>143</v>
      </c>
      <c r="O1560">
        <v>152</v>
      </c>
      <c r="Q1560">
        <v>879</v>
      </c>
      <c r="R1560">
        <v>135</v>
      </c>
      <c r="S1560">
        <v>4.25</v>
      </c>
      <c r="T1560">
        <v>4.0949999999999998</v>
      </c>
      <c r="U1560">
        <v>6.75</v>
      </c>
      <c r="V1560">
        <v>3736.09</v>
      </c>
      <c r="W1560">
        <v>911</v>
      </c>
      <c r="X1560">
        <v>1.3332999999999999</v>
      </c>
      <c r="Y1560">
        <v>689</v>
      </c>
      <c r="Z1560">
        <v>5.42</v>
      </c>
      <c r="AJ1560">
        <v>2</v>
      </c>
      <c r="AK1560">
        <v>18</v>
      </c>
      <c r="AM1560">
        <v>0</v>
      </c>
      <c r="AO1560" t="s">
        <v>311</v>
      </c>
      <c r="AT1560">
        <v>58</v>
      </c>
      <c r="AV1560">
        <v>77.599999999999994</v>
      </c>
      <c r="AW1560" t="s">
        <v>6</v>
      </c>
      <c r="AX1560" t="s">
        <v>6</v>
      </c>
      <c r="AY1560" t="s">
        <v>6</v>
      </c>
      <c r="AZ1560" t="s">
        <v>6</v>
      </c>
      <c r="BA1560" t="s">
        <v>6</v>
      </c>
      <c r="BB1560" t="s">
        <v>6</v>
      </c>
      <c r="BC1560" t="s">
        <v>6</v>
      </c>
      <c r="BD1560" t="s">
        <v>6</v>
      </c>
      <c r="BE1560" t="s">
        <v>6</v>
      </c>
      <c r="BF1560" t="s">
        <v>6</v>
      </c>
      <c r="BG1560" t="s">
        <v>6</v>
      </c>
      <c r="BH1560" t="s">
        <v>6</v>
      </c>
      <c r="BI1560" t="s">
        <v>6</v>
      </c>
      <c r="BJ1560" t="s">
        <v>6</v>
      </c>
      <c r="BN1560">
        <v>662.98580000000004</v>
      </c>
      <c r="BO1560">
        <v>2489</v>
      </c>
      <c r="BP1560">
        <v>0</v>
      </c>
      <c r="BQ1560">
        <v>52</v>
      </c>
      <c r="BR1560">
        <v>52</v>
      </c>
      <c r="BS1560">
        <v>52</v>
      </c>
      <c r="BT1560">
        <v>0</v>
      </c>
      <c r="BV1560">
        <v>0</v>
      </c>
      <c r="BW1560" t="s">
        <v>655</v>
      </c>
      <c r="BX1560">
        <v>0.17</v>
      </c>
      <c r="BY1560">
        <v>8.84</v>
      </c>
      <c r="BZ1560">
        <v>0</v>
      </c>
      <c r="CA1560">
        <v>1</v>
      </c>
      <c r="CB1560">
        <v>0.6</v>
      </c>
      <c r="CC1560" s="3">
        <v>7.1269159999999998E-2</v>
      </c>
      <c r="CD1560">
        <v>2.875</v>
      </c>
      <c r="CE1560">
        <v>2.5</v>
      </c>
      <c r="CF1560">
        <v>18</v>
      </c>
      <c r="CG1560">
        <v>6</v>
      </c>
      <c r="CH1560">
        <v>0</v>
      </c>
      <c r="CI1560">
        <v>52</v>
      </c>
      <c r="CJ1560">
        <v>792.61990000000003</v>
      </c>
    </row>
    <row r="1561" spans="1:88">
      <c r="A1561">
        <v>1560</v>
      </c>
      <c r="B1561" t="s">
        <v>13</v>
      </c>
      <c r="C1561" t="s">
        <v>1</v>
      </c>
      <c r="D1561" t="s">
        <v>616</v>
      </c>
      <c r="E1561" t="s">
        <v>96</v>
      </c>
      <c r="F1561" t="s">
        <v>311</v>
      </c>
      <c r="G1561" t="s">
        <v>15</v>
      </c>
      <c r="H1561" t="s">
        <v>617</v>
      </c>
      <c r="J1561">
        <v>2</v>
      </c>
      <c r="K1561" t="s">
        <v>108</v>
      </c>
      <c r="L1561" t="s">
        <v>293</v>
      </c>
      <c r="M1561" t="s">
        <v>100</v>
      </c>
      <c r="N1561" t="s">
        <v>101</v>
      </c>
      <c r="O1561">
        <v>131</v>
      </c>
      <c r="Q1561">
        <v>759</v>
      </c>
      <c r="R1561">
        <v>134</v>
      </c>
      <c r="S1561">
        <v>4.25</v>
      </c>
      <c r="T1561">
        <v>3.5859999999999999</v>
      </c>
      <c r="U1561">
        <v>6.37</v>
      </c>
      <c r="V1561">
        <v>3227.11</v>
      </c>
      <c r="W1561">
        <v>852</v>
      </c>
      <c r="X1561">
        <v>1.3332999999999999</v>
      </c>
      <c r="Y1561">
        <v>657</v>
      </c>
      <c r="Z1561">
        <v>4.91</v>
      </c>
      <c r="AJ1561">
        <v>2</v>
      </c>
      <c r="AK1561">
        <v>18</v>
      </c>
      <c r="AM1561">
        <v>0</v>
      </c>
      <c r="AO1561" t="s">
        <v>288</v>
      </c>
      <c r="AT1561">
        <v>51</v>
      </c>
      <c r="AV1561">
        <v>76.900000000000006</v>
      </c>
      <c r="AW1561" t="s">
        <v>6</v>
      </c>
      <c r="AX1561" t="s">
        <v>6</v>
      </c>
      <c r="AY1561" t="s">
        <v>6</v>
      </c>
      <c r="AZ1561" t="s">
        <v>6</v>
      </c>
      <c r="BA1561" t="s">
        <v>6</v>
      </c>
      <c r="BB1561" t="s">
        <v>6</v>
      </c>
      <c r="BC1561" t="s">
        <v>6</v>
      </c>
      <c r="BD1561" t="s">
        <v>6</v>
      </c>
      <c r="BE1561" t="s">
        <v>6</v>
      </c>
      <c r="BF1561" t="s">
        <v>6</v>
      </c>
      <c r="BG1561" t="s">
        <v>6</v>
      </c>
      <c r="BH1561" t="s">
        <v>6</v>
      </c>
      <c r="BI1561" t="s">
        <v>6</v>
      </c>
      <c r="BJ1561" t="s">
        <v>6</v>
      </c>
      <c r="BN1561">
        <v>656.67169999999999</v>
      </c>
      <c r="BO1561">
        <v>2537</v>
      </c>
      <c r="BP1561">
        <v>0</v>
      </c>
      <c r="BQ1561">
        <v>45</v>
      </c>
      <c r="BR1561">
        <v>45</v>
      </c>
      <c r="BS1561">
        <v>44.69</v>
      </c>
      <c r="BT1561">
        <v>0</v>
      </c>
      <c r="BV1561">
        <v>0</v>
      </c>
      <c r="BW1561" t="s">
        <v>655</v>
      </c>
      <c r="BX1561">
        <v>0.17</v>
      </c>
      <c r="BY1561">
        <v>7.5972999999999997</v>
      </c>
      <c r="BZ1561">
        <v>0</v>
      </c>
      <c r="CA1561">
        <v>1</v>
      </c>
      <c r="CB1561">
        <v>0.6</v>
      </c>
      <c r="CC1561" s="3">
        <v>7.1269159999999998E-2</v>
      </c>
      <c r="CD1561">
        <v>2.875</v>
      </c>
      <c r="CE1561">
        <v>2.5</v>
      </c>
      <c r="CF1561">
        <v>18</v>
      </c>
      <c r="CG1561">
        <v>6</v>
      </c>
      <c r="CH1561">
        <v>0</v>
      </c>
      <c r="CI1561">
        <v>44.69</v>
      </c>
      <c r="CJ1561">
        <v>674.82579999999996</v>
      </c>
    </row>
    <row r="1562" spans="1:88">
      <c r="A1562">
        <v>1561</v>
      </c>
      <c r="B1562" t="s">
        <v>13</v>
      </c>
      <c r="C1562" t="s">
        <v>1</v>
      </c>
      <c r="D1562" t="s">
        <v>169</v>
      </c>
      <c r="E1562" t="s">
        <v>2</v>
      </c>
      <c r="F1562" t="s">
        <v>404</v>
      </c>
      <c r="G1562" t="s">
        <v>106</v>
      </c>
      <c r="H1562" t="s">
        <v>190</v>
      </c>
      <c r="J1562">
        <v>2</v>
      </c>
      <c r="K1562" t="s">
        <v>146</v>
      </c>
      <c r="L1562" t="s">
        <v>122</v>
      </c>
      <c r="M1562" t="s">
        <v>4</v>
      </c>
      <c r="N1562" t="s">
        <v>5</v>
      </c>
      <c r="O1562">
        <v>107</v>
      </c>
      <c r="Q1562">
        <v>335</v>
      </c>
      <c r="R1562">
        <v>74</v>
      </c>
      <c r="S1562">
        <v>4.25</v>
      </c>
      <c r="T1562">
        <v>2.9710000000000001</v>
      </c>
      <c r="U1562">
        <v>6.07</v>
      </c>
      <c r="V1562">
        <v>1425.53</v>
      </c>
      <c r="W1562">
        <v>449</v>
      </c>
      <c r="X1562">
        <v>1.3332999999999999</v>
      </c>
      <c r="Y1562">
        <v>332</v>
      </c>
      <c r="Z1562">
        <v>4.3</v>
      </c>
      <c r="AJ1562">
        <v>2</v>
      </c>
      <c r="AK1562">
        <v>18</v>
      </c>
      <c r="AM1562">
        <v>0</v>
      </c>
      <c r="AO1562" t="s">
        <v>406</v>
      </c>
      <c r="AT1562">
        <v>42</v>
      </c>
      <c r="AV1562">
        <v>40.4</v>
      </c>
      <c r="AW1562">
        <v>0</v>
      </c>
      <c r="AX1562">
        <v>0</v>
      </c>
      <c r="AY1562">
        <v>42.875</v>
      </c>
      <c r="AZ1562">
        <v>3.75</v>
      </c>
      <c r="BA1562">
        <v>0</v>
      </c>
      <c r="BB1562">
        <v>0</v>
      </c>
      <c r="BC1562">
        <v>43</v>
      </c>
      <c r="BN1562">
        <v>192.6</v>
      </c>
      <c r="BO1562">
        <v>2797</v>
      </c>
      <c r="BP1562">
        <v>0</v>
      </c>
      <c r="BQ1562">
        <v>36</v>
      </c>
      <c r="BR1562">
        <v>36</v>
      </c>
      <c r="BS1562">
        <v>36.340000000000003</v>
      </c>
      <c r="BT1562">
        <v>0</v>
      </c>
      <c r="BV1562">
        <v>0</v>
      </c>
      <c r="BW1562" t="s">
        <v>655</v>
      </c>
      <c r="BX1562">
        <v>0.17</v>
      </c>
      <c r="BY1562">
        <v>6.1778000000000004</v>
      </c>
      <c r="BZ1562">
        <v>0</v>
      </c>
      <c r="CA1562">
        <v>1</v>
      </c>
      <c r="CB1562">
        <v>0.6</v>
      </c>
      <c r="CC1562" s="3">
        <v>7.1269159999999998E-2</v>
      </c>
      <c r="CD1562">
        <v>2.875</v>
      </c>
      <c r="CE1562">
        <v>2.5</v>
      </c>
      <c r="CF1562">
        <v>18</v>
      </c>
      <c r="CG1562">
        <v>6</v>
      </c>
      <c r="CH1562">
        <v>0</v>
      </c>
      <c r="CI1562">
        <v>36.340000000000003</v>
      </c>
      <c r="CJ1562">
        <v>288.77620000000002</v>
      </c>
    </row>
    <row r="1563" spans="1:88">
      <c r="A1563">
        <v>1562</v>
      </c>
      <c r="B1563" t="s">
        <v>0</v>
      </c>
      <c r="C1563" t="s">
        <v>1</v>
      </c>
      <c r="D1563" t="s">
        <v>122</v>
      </c>
      <c r="E1563" t="s">
        <v>113</v>
      </c>
      <c r="F1563" t="s">
        <v>286</v>
      </c>
      <c r="G1563" t="s">
        <v>106</v>
      </c>
      <c r="H1563" t="s">
        <v>153</v>
      </c>
      <c r="J1563">
        <v>2</v>
      </c>
      <c r="K1563" t="s">
        <v>146</v>
      </c>
      <c r="L1563" t="s">
        <v>116</v>
      </c>
      <c r="M1563" t="s">
        <v>117</v>
      </c>
      <c r="N1563" t="s">
        <v>14</v>
      </c>
      <c r="O1563">
        <v>179</v>
      </c>
      <c r="Q1563">
        <v>577</v>
      </c>
      <c r="R1563">
        <v>79</v>
      </c>
      <c r="S1563">
        <v>4.25</v>
      </c>
      <c r="T1563">
        <v>4.7190000000000003</v>
      </c>
      <c r="U1563">
        <v>7.05</v>
      </c>
      <c r="V1563">
        <v>2450.7199999999998</v>
      </c>
      <c r="W1563">
        <v>554</v>
      </c>
      <c r="X1563">
        <v>1.3332999999999999</v>
      </c>
      <c r="Y1563">
        <v>405</v>
      </c>
      <c r="Z1563">
        <v>6.05</v>
      </c>
      <c r="AJ1563">
        <v>2</v>
      </c>
      <c r="AK1563">
        <v>18</v>
      </c>
      <c r="AM1563">
        <v>0</v>
      </c>
      <c r="AO1563" t="s">
        <v>306</v>
      </c>
      <c r="AT1563">
        <v>68</v>
      </c>
      <c r="AV1563">
        <v>43.3</v>
      </c>
      <c r="AW1563">
        <v>0.46875</v>
      </c>
      <c r="AX1563">
        <v>3.75</v>
      </c>
      <c r="AY1563">
        <v>62.25</v>
      </c>
      <c r="AZ1563">
        <v>5.625</v>
      </c>
      <c r="BA1563">
        <v>325.75</v>
      </c>
      <c r="BB1563">
        <v>6.05</v>
      </c>
      <c r="BC1563">
        <v>67</v>
      </c>
      <c r="BD1563">
        <v>0.3125</v>
      </c>
      <c r="BE1563">
        <v>2.75</v>
      </c>
      <c r="BF1563">
        <v>45.375</v>
      </c>
      <c r="BG1563">
        <v>3.75</v>
      </c>
      <c r="BH1563">
        <v>79.319999999999993</v>
      </c>
      <c r="BI1563">
        <v>8.0500000000000007</v>
      </c>
      <c r="BJ1563">
        <v>24</v>
      </c>
      <c r="BL1563">
        <v>405.07</v>
      </c>
      <c r="BM1563">
        <v>90</v>
      </c>
      <c r="BN1563">
        <v>206.86670000000001</v>
      </c>
      <c r="BO1563">
        <v>2425</v>
      </c>
      <c r="BP1563">
        <v>0</v>
      </c>
      <c r="BQ1563">
        <v>61</v>
      </c>
      <c r="BR1563">
        <v>61</v>
      </c>
      <c r="BS1563">
        <v>61.39</v>
      </c>
      <c r="BT1563">
        <v>0</v>
      </c>
      <c r="BV1563">
        <v>0</v>
      </c>
      <c r="BW1563" t="s">
        <v>655</v>
      </c>
      <c r="BX1563">
        <v>0.17</v>
      </c>
      <c r="BY1563">
        <v>10.436299999999999</v>
      </c>
      <c r="BZ1563">
        <v>0</v>
      </c>
      <c r="CA1563">
        <v>1</v>
      </c>
      <c r="CB1563">
        <v>0.6</v>
      </c>
      <c r="CC1563" s="3">
        <v>7.1269159999999998E-2</v>
      </c>
      <c r="CD1563">
        <v>2.875</v>
      </c>
      <c r="CE1563">
        <v>2.5</v>
      </c>
      <c r="CF1563">
        <v>18</v>
      </c>
      <c r="CG1563">
        <v>6</v>
      </c>
      <c r="CH1563">
        <v>0</v>
      </c>
      <c r="CI1563">
        <v>61.39</v>
      </c>
      <c r="CJ1563">
        <v>522.83799999999997</v>
      </c>
    </row>
    <row r="1564" spans="1:88">
      <c r="A1564">
        <v>1563</v>
      </c>
      <c r="B1564" t="s">
        <v>13</v>
      </c>
      <c r="C1564" t="s">
        <v>1</v>
      </c>
      <c r="D1564" t="s">
        <v>143</v>
      </c>
      <c r="E1564" t="s">
        <v>123</v>
      </c>
      <c r="F1564" t="s">
        <v>144</v>
      </c>
      <c r="G1564" t="s">
        <v>106</v>
      </c>
      <c r="H1564" t="s">
        <v>145</v>
      </c>
      <c r="J1564">
        <v>2</v>
      </c>
      <c r="K1564" t="s">
        <v>146</v>
      </c>
      <c r="L1564" t="s">
        <v>8</v>
      </c>
      <c r="M1564" t="s">
        <v>147</v>
      </c>
      <c r="N1564" t="s">
        <v>148</v>
      </c>
      <c r="O1564">
        <v>183</v>
      </c>
      <c r="Q1564">
        <v>724</v>
      </c>
      <c r="R1564">
        <v>95</v>
      </c>
      <c r="S1564">
        <v>4.25</v>
      </c>
      <c r="T1564">
        <v>4.8079999999999998</v>
      </c>
      <c r="U1564">
        <v>7.12</v>
      </c>
      <c r="V1564">
        <v>3077.68</v>
      </c>
      <c r="W1564">
        <v>674</v>
      </c>
      <c r="X1564">
        <v>1.3332999999999999</v>
      </c>
      <c r="Y1564">
        <v>501</v>
      </c>
      <c r="Z1564">
        <v>6.14</v>
      </c>
      <c r="AJ1564">
        <v>2</v>
      </c>
      <c r="AK1564">
        <v>18</v>
      </c>
      <c r="AM1564">
        <v>0</v>
      </c>
      <c r="AO1564" t="s">
        <v>149</v>
      </c>
      <c r="AT1564">
        <v>69</v>
      </c>
      <c r="AV1564">
        <v>53.5</v>
      </c>
      <c r="AW1564" t="s">
        <v>6</v>
      </c>
      <c r="AX1564" t="s">
        <v>6</v>
      </c>
      <c r="AY1564" t="s">
        <v>6</v>
      </c>
      <c r="AZ1564" t="s">
        <v>6</v>
      </c>
      <c r="BA1564" t="s">
        <v>6</v>
      </c>
      <c r="BB1564" t="s">
        <v>6</v>
      </c>
      <c r="BC1564" t="s">
        <v>6</v>
      </c>
      <c r="BD1564" t="s">
        <v>6</v>
      </c>
      <c r="BE1564" t="s">
        <v>6</v>
      </c>
      <c r="BF1564" t="s">
        <v>6</v>
      </c>
      <c r="BG1564" t="s">
        <v>6</v>
      </c>
      <c r="BH1564" t="s">
        <v>6</v>
      </c>
      <c r="BI1564" t="s">
        <v>6</v>
      </c>
      <c r="BJ1564" t="s">
        <v>6</v>
      </c>
      <c r="BN1564">
        <v>256.80009999999999</v>
      </c>
      <c r="BO1564">
        <v>1574</v>
      </c>
      <c r="BP1564">
        <v>0</v>
      </c>
      <c r="BQ1564">
        <v>63</v>
      </c>
      <c r="BR1564">
        <v>63</v>
      </c>
      <c r="BS1564">
        <v>62.78</v>
      </c>
      <c r="BT1564">
        <v>0</v>
      </c>
      <c r="BV1564">
        <v>0</v>
      </c>
      <c r="BW1564" t="s">
        <v>655</v>
      </c>
      <c r="BX1564">
        <v>0.17</v>
      </c>
      <c r="BY1564">
        <v>10.672599999999999</v>
      </c>
      <c r="BZ1564">
        <v>0</v>
      </c>
      <c r="CA1564">
        <v>1</v>
      </c>
      <c r="CB1564">
        <v>0.6</v>
      </c>
      <c r="CC1564" s="3">
        <v>7.1269159999999998E-2</v>
      </c>
      <c r="CD1564">
        <v>2.875</v>
      </c>
      <c r="CE1564">
        <v>2.5</v>
      </c>
      <c r="CF1564">
        <v>18</v>
      </c>
      <c r="CG1564">
        <v>6</v>
      </c>
      <c r="CH1564">
        <v>0</v>
      </c>
      <c r="CI1564">
        <v>62.78</v>
      </c>
      <c r="CJ1564">
        <v>659.95600000000002</v>
      </c>
    </row>
    <row r="1565" spans="1:88">
      <c r="A1565">
        <v>1564</v>
      </c>
      <c r="B1565" t="s">
        <v>0</v>
      </c>
      <c r="C1565" t="s">
        <v>1</v>
      </c>
      <c r="D1565" t="s">
        <v>113</v>
      </c>
      <c r="E1565" t="s">
        <v>8</v>
      </c>
      <c r="F1565" t="s">
        <v>262</v>
      </c>
      <c r="G1565" t="s">
        <v>214</v>
      </c>
      <c r="H1565" t="s">
        <v>263</v>
      </c>
      <c r="J1565">
        <v>2</v>
      </c>
      <c r="K1565" t="s">
        <v>108</v>
      </c>
      <c r="L1565" t="s">
        <v>10</v>
      </c>
      <c r="M1565" t="s">
        <v>11</v>
      </c>
      <c r="N1565" t="s">
        <v>12</v>
      </c>
      <c r="O1565">
        <v>203</v>
      </c>
      <c r="Q1565">
        <v>928</v>
      </c>
      <c r="R1565">
        <v>118</v>
      </c>
      <c r="S1565">
        <v>4.25</v>
      </c>
      <c r="T1565">
        <v>5.2460000000000004</v>
      </c>
      <c r="U1565">
        <v>7.35</v>
      </c>
      <c r="V1565">
        <v>3945.61</v>
      </c>
      <c r="W1565">
        <v>870</v>
      </c>
      <c r="X1565">
        <v>1.5</v>
      </c>
      <c r="Y1565">
        <v>585</v>
      </c>
      <c r="Z1565">
        <v>6.74</v>
      </c>
      <c r="AJ1565">
        <v>2</v>
      </c>
      <c r="AK1565">
        <v>18</v>
      </c>
      <c r="AM1565">
        <v>0</v>
      </c>
      <c r="AO1565" t="s">
        <v>266</v>
      </c>
      <c r="AT1565">
        <v>76</v>
      </c>
      <c r="AV1565">
        <v>62.3</v>
      </c>
      <c r="AW1565">
        <v>0.46875</v>
      </c>
      <c r="AX1565">
        <v>3.75</v>
      </c>
      <c r="AY1565">
        <v>69.25</v>
      </c>
      <c r="AZ1565">
        <v>6.25</v>
      </c>
      <c r="BA1565">
        <v>292.7</v>
      </c>
      <c r="BB1565">
        <v>6.73</v>
      </c>
      <c r="BC1565">
        <v>74</v>
      </c>
      <c r="BD1565">
        <v>0.46875</v>
      </c>
      <c r="BE1565">
        <v>3.75</v>
      </c>
      <c r="BF1565">
        <v>69.25</v>
      </c>
      <c r="BG1565">
        <v>6.25</v>
      </c>
      <c r="BH1565">
        <v>292.7</v>
      </c>
      <c r="BI1565">
        <v>6.73</v>
      </c>
      <c r="BJ1565">
        <v>74</v>
      </c>
      <c r="BL1565">
        <v>585.4</v>
      </c>
      <c r="BM1565">
        <v>148</v>
      </c>
      <c r="BN1565">
        <v>302.12</v>
      </c>
      <c r="BO1565">
        <v>1426</v>
      </c>
      <c r="BP1565">
        <v>0</v>
      </c>
      <c r="BQ1565">
        <v>70</v>
      </c>
      <c r="BR1565">
        <v>70</v>
      </c>
      <c r="BS1565">
        <v>69.730009999999993</v>
      </c>
      <c r="BT1565">
        <v>0</v>
      </c>
      <c r="BV1565">
        <v>0</v>
      </c>
      <c r="BW1565" t="s">
        <v>655</v>
      </c>
      <c r="BX1565">
        <v>0.17</v>
      </c>
      <c r="BY1565">
        <v>11.854100000000001</v>
      </c>
      <c r="BZ1565">
        <v>0</v>
      </c>
      <c r="CA1565">
        <v>1</v>
      </c>
      <c r="CB1565">
        <v>0.6</v>
      </c>
      <c r="CC1565" s="3">
        <v>7.1269159999999998E-2</v>
      </c>
      <c r="CD1565">
        <v>2.875</v>
      </c>
      <c r="CE1565">
        <v>2.5</v>
      </c>
      <c r="CF1565">
        <v>18</v>
      </c>
      <c r="CG1565">
        <v>6</v>
      </c>
      <c r="CH1565">
        <v>0</v>
      </c>
      <c r="CI1565">
        <v>69.730009999999993</v>
      </c>
      <c r="CJ1565">
        <v>854.14970000000005</v>
      </c>
    </row>
    <row r="1566" spans="1:88">
      <c r="A1566">
        <v>1565</v>
      </c>
      <c r="B1566" t="s">
        <v>0</v>
      </c>
      <c r="C1566" t="s">
        <v>1</v>
      </c>
      <c r="D1566" t="s">
        <v>434</v>
      </c>
      <c r="E1566" t="s">
        <v>101</v>
      </c>
      <c r="F1566" t="s">
        <v>494</v>
      </c>
      <c r="G1566" t="s">
        <v>106</v>
      </c>
      <c r="H1566" t="s">
        <v>495</v>
      </c>
      <c r="J1566">
        <v>2</v>
      </c>
      <c r="K1566" t="s">
        <v>108</v>
      </c>
      <c r="L1566" t="s">
        <v>145</v>
      </c>
      <c r="M1566" t="s">
        <v>403</v>
      </c>
      <c r="N1566" t="s">
        <v>172</v>
      </c>
      <c r="O1566">
        <v>134</v>
      </c>
      <c r="Q1566">
        <v>663</v>
      </c>
      <c r="R1566">
        <v>114</v>
      </c>
      <c r="S1566">
        <v>4.25</v>
      </c>
      <c r="T1566">
        <v>3.66</v>
      </c>
      <c r="U1566">
        <v>6.41</v>
      </c>
      <c r="V1566">
        <v>2817.41</v>
      </c>
      <c r="W1566">
        <v>732</v>
      </c>
      <c r="X1566">
        <v>1.3332999999999999</v>
      </c>
      <c r="Y1566">
        <v>565</v>
      </c>
      <c r="Z1566">
        <v>4.99</v>
      </c>
      <c r="AJ1566">
        <v>2</v>
      </c>
      <c r="AK1566">
        <v>18</v>
      </c>
      <c r="AM1566">
        <v>0</v>
      </c>
      <c r="AO1566" t="s">
        <v>496</v>
      </c>
      <c r="AT1566">
        <v>52</v>
      </c>
      <c r="AV1566">
        <v>65.599999999999994</v>
      </c>
      <c r="AW1566" t="s">
        <v>6</v>
      </c>
      <c r="AX1566" t="s">
        <v>6</v>
      </c>
      <c r="AY1566" t="s">
        <v>6</v>
      </c>
      <c r="AZ1566" t="s">
        <v>6</v>
      </c>
      <c r="BA1566" t="s">
        <v>6</v>
      </c>
      <c r="BB1566" t="s">
        <v>6</v>
      </c>
      <c r="BC1566" t="s">
        <v>6</v>
      </c>
      <c r="BD1566" t="s">
        <v>6</v>
      </c>
      <c r="BE1566" t="s">
        <v>6</v>
      </c>
      <c r="BF1566" t="s">
        <v>6</v>
      </c>
      <c r="BG1566" t="s">
        <v>6</v>
      </c>
      <c r="BH1566" t="s">
        <v>6</v>
      </c>
      <c r="BI1566" t="s">
        <v>6</v>
      </c>
      <c r="BJ1566" t="s">
        <v>6</v>
      </c>
      <c r="BN1566">
        <v>315.65010000000001</v>
      </c>
      <c r="BO1566">
        <v>1041</v>
      </c>
      <c r="BP1566">
        <v>0</v>
      </c>
      <c r="BQ1566">
        <v>46</v>
      </c>
      <c r="BR1566">
        <v>46</v>
      </c>
      <c r="BS1566">
        <v>45.73</v>
      </c>
      <c r="BT1566">
        <v>0</v>
      </c>
      <c r="BV1566">
        <v>0</v>
      </c>
      <c r="BW1566" t="s">
        <v>655</v>
      </c>
      <c r="BX1566">
        <v>0.17</v>
      </c>
      <c r="BY1566">
        <v>7.7740999999999998</v>
      </c>
      <c r="BZ1566">
        <v>0</v>
      </c>
      <c r="CA1566">
        <v>1</v>
      </c>
      <c r="CB1566">
        <v>0.6</v>
      </c>
      <c r="CC1566" s="3">
        <v>7.1269159999999998E-2</v>
      </c>
      <c r="CD1566">
        <v>2.875</v>
      </c>
      <c r="CE1566">
        <v>2.5</v>
      </c>
      <c r="CF1566">
        <v>18</v>
      </c>
      <c r="CG1566">
        <v>6</v>
      </c>
      <c r="CH1566">
        <v>0</v>
      </c>
      <c r="CI1566">
        <v>45.73</v>
      </c>
      <c r="CJ1566">
        <v>589.49670000000003</v>
      </c>
    </row>
    <row r="1567" spans="1:88">
      <c r="A1567">
        <v>1566</v>
      </c>
      <c r="B1567" t="s">
        <v>0</v>
      </c>
      <c r="C1567" t="s">
        <v>1</v>
      </c>
      <c r="D1567" t="s">
        <v>104</v>
      </c>
      <c r="E1567" t="s">
        <v>19</v>
      </c>
      <c r="F1567" t="s">
        <v>337</v>
      </c>
      <c r="G1567" t="s">
        <v>15</v>
      </c>
      <c r="H1567" t="s">
        <v>398</v>
      </c>
      <c r="J1567">
        <v>2</v>
      </c>
      <c r="K1567" t="s">
        <v>108</v>
      </c>
      <c r="L1567" t="s">
        <v>302</v>
      </c>
      <c r="M1567" t="s">
        <v>433</v>
      </c>
      <c r="N1567" t="s">
        <v>434</v>
      </c>
      <c r="O1567">
        <v>185</v>
      </c>
      <c r="Q1567">
        <v>909</v>
      </c>
      <c r="R1567">
        <v>116</v>
      </c>
      <c r="S1567">
        <v>4.25</v>
      </c>
      <c r="T1567">
        <v>4.8529999999999998</v>
      </c>
      <c r="U1567">
        <v>7.16</v>
      </c>
      <c r="V1567">
        <v>3864.39</v>
      </c>
      <c r="W1567">
        <v>831</v>
      </c>
      <c r="X1567">
        <v>1.3332999999999999</v>
      </c>
      <c r="Y1567">
        <v>625</v>
      </c>
      <c r="Z1567">
        <v>6.18</v>
      </c>
      <c r="AJ1567">
        <v>2</v>
      </c>
      <c r="AK1567">
        <v>18</v>
      </c>
      <c r="AM1567">
        <v>0</v>
      </c>
      <c r="AO1567" t="s">
        <v>170</v>
      </c>
      <c r="AT1567">
        <v>70</v>
      </c>
      <c r="AV1567">
        <v>66.7</v>
      </c>
      <c r="AW1567" t="s">
        <v>6</v>
      </c>
      <c r="AX1567" t="s">
        <v>6</v>
      </c>
      <c r="AY1567" t="s">
        <v>6</v>
      </c>
      <c r="AZ1567" t="s">
        <v>6</v>
      </c>
      <c r="BA1567" t="s">
        <v>6</v>
      </c>
      <c r="BB1567" t="s">
        <v>6</v>
      </c>
      <c r="BC1567" t="s">
        <v>6</v>
      </c>
      <c r="BD1567" t="s">
        <v>6</v>
      </c>
      <c r="BE1567" t="s">
        <v>6</v>
      </c>
      <c r="BF1567" t="s">
        <v>6</v>
      </c>
      <c r="BG1567" t="s">
        <v>6</v>
      </c>
      <c r="BH1567" t="s">
        <v>6</v>
      </c>
      <c r="BI1567" t="s">
        <v>6</v>
      </c>
      <c r="BJ1567" t="s">
        <v>6</v>
      </c>
      <c r="BN1567">
        <v>568.27359999999999</v>
      </c>
      <c r="BO1567">
        <v>3387</v>
      </c>
      <c r="BP1567">
        <v>0</v>
      </c>
      <c r="BQ1567">
        <v>63</v>
      </c>
      <c r="BR1567">
        <v>63</v>
      </c>
      <c r="BS1567">
        <v>63.47</v>
      </c>
      <c r="BT1567">
        <v>0</v>
      </c>
      <c r="BV1567">
        <v>0</v>
      </c>
      <c r="BW1567" t="s">
        <v>655</v>
      </c>
      <c r="BX1567">
        <v>0.17</v>
      </c>
      <c r="BY1567">
        <v>10.789899999999999</v>
      </c>
      <c r="BZ1567">
        <v>0</v>
      </c>
      <c r="CA1567">
        <v>1</v>
      </c>
      <c r="CB1567">
        <v>0.6</v>
      </c>
      <c r="CC1567" s="3">
        <v>7.1269159999999998E-2</v>
      </c>
      <c r="CD1567">
        <v>2.875</v>
      </c>
      <c r="CE1567">
        <v>2.5</v>
      </c>
      <c r="CF1567">
        <v>18</v>
      </c>
      <c r="CG1567">
        <v>6</v>
      </c>
      <c r="CH1567">
        <v>0</v>
      </c>
      <c r="CI1567">
        <v>63.47</v>
      </c>
      <c r="CJ1567">
        <v>831.75</v>
      </c>
    </row>
    <row r="1568" spans="1:88">
      <c r="A1568">
        <v>1567</v>
      </c>
      <c r="B1568" t="s">
        <v>0</v>
      </c>
      <c r="C1568" t="s">
        <v>1</v>
      </c>
      <c r="D1568" t="s">
        <v>258</v>
      </c>
      <c r="E1568" t="s">
        <v>399</v>
      </c>
      <c r="F1568" t="s">
        <v>571</v>
      </c>
      <c r="G1568" t="s">
        <v>106</v>
      </c>
      <c r="H1568" t="s">
        <v>572</v>
      </c>
      <c r="J1568">
        <v>2</v>
      </c>
      <c r="K1568" t="s">
        <v>108</v>
      </c>
      <c r="L1568" t="s">
        <v>172</v>
      </c>
      <c r="M1568" t="s">
        <v>463</v>
      </c>
      <c r="N1568" t="s">
        <v>229</v>
      </c>
      <c r="O1568">
        <v>117</v>
      </c>
      <c r="Q1568">
        <v>503</v>
      </c>
      <c r="R1568">
        <v>99</v>
      </c>
      <c r="S1568">
        <v>4.25</v>
      </c>
      <c r="T1568">
        <v>3.2320000000000002</v>
      </c>
      <c r="U1568">
        <v>6.26</v>
      </c>
      <c r="V1568">
        <v>2135.62</v>
      </c>
      <c r="W1568">
        <v>619</v>
      </c>
      <c r="X1568">
        <v>1.3332999999999999</v>
      </c>
      <c r="Y1568">
        <v>468</v>
      </c>
      <c r="Z1568">
        <v>4.5599999999999996</v>
      </c>
      <c r="AJ1568">
        <v>2</v>
      </c>
      <c r="AK1568">
        <v>18</v>
      </c>
      <c r="AM1568">
        <v>0</v>
      </c>
      <c r="AO1568" t="s">
        <v>273</v>
      </c>
      <c r="AT1568">
        <v>46</v>
      </c>
      <c r="AV1568">
        <v>56.2</v>
      </c>
      <c r="AW1568">
        <v>0.46875</v>
      </c>
      <c r="AX1568">
        <v>3.75</v>
      </c>
      <c r="AY1568">
        <v>46.875</v>
      </c>
      <c r="AZ1568">
        <v>4.25</v>
      </c>
      <c r="BA1568">
        <v>432.19</v>
      </c>
      <c r="BB1568">
        <v>4.5599999999999996</v>
      </c>
      <c r="BC1568">
        <v>50</v>
      </c>
      <c r="BD1568">
        <v>0.25</v>
      </c>
      <c r="BE1568">
        <v>2.75</v>
      </c>
      <c r="BF1568">
        <v>31.75</v>
      </c>
      <c r="BG1568">
        <v>2.25</v>
      </c>
      <c r="BH1568">
        <v>36.130000000000003</v>
      </c>
      <c r="BI1568">
        <v>9.5</v>
      </c>
      <c r="BJ1568">
        <v>14</v>
      </c>
      <c r="BL1568">
        <v>468.32</v>
      </c>
      <c r="BM1568">
        <v>64</v>
      </c>
      <c r="BN1568">
        <v>269.28339999999997</v>
      </c>
      <c r="BO1568">
        <v>1431</v>
      </c>
      <c r="BP1568">
        <v>0</v>
      </c>
      <c r="BQ1568">
        <v>40</v>
      </c>
      <c r="BR1568">
        <v>40</v>
      </c>
      <c r="BS1568">
        <v>39.82</v>
      </c>
      <c r="BT1568">
        <v>0</v>
      </c>
      <c r="BV1568">
        <v>0</v>
      </c>
      <c r="BW1568" t="s">
        <v>655</v>
      </c>
      <c r="BX1568">
        <v>0.17</v>
      </c>
      <c r="BY1568">
        <v>6.7694000000000001</v>
      </c>
      <c r="BZ1568">
        <v>0</v>
      </c>
      <c r="CA1568">
        <v>1</v>
      </c>
      <c r="CB1568">
        <v>0.6</v>
      </c>
      <c r="CC1568" s="3">
        <v>7.1269159999999998E-2</v>
      </c>
      <c r="CD1568">
        <v>2.875</v>
      </c>
      <c r="CE1568">
        <v>2.5</v>
      </c>
      <c r="CF1568">
        <v>18</v>
      </c>
      <c r="CG1568">
        <v>6</v>
      </c>
      <c r="CH1568">
        <v>0</v>
      </c>
      <c r="CI1568">
        <v>39.82</v>
      </c>
      <c r="CJ1568">
        <v>439.5256</v>
      </c>
    </row>
    <row r="1569" spans="1:88">
      <c r="A1569">
        <v>1568</v>
      </c>
      <c r="B1569" t="s">
        <v>13</v>
      </c>
      <c r="C1569" t="s">
        <v>1</v>
      </c>
      <c r="D1569" t="s">
        <v>231</v>
      </c>
      <c r="E1569" t="s">
        <v>283</v>
      </c>
      <c r="F1569" t="s">
        <v>218</v>
      </c>
      <c r="G1569" t="s">
        <v>106</v>
      </c>
      <c r="H1569" t="s">
        <v>221</v>
      </c>
      <c r="J1569">
        <v>2</v>
      </c>
      <c r="K1569" t="s">
        <v>146</v>
      </c>
      <c r="L1569" t="s">
        <v>2</v>
      </c>
      <c r="M1569" t="s">
        <v>374</v>
      </c>
      <c r="N1569" t="s">
        <v>375</v>
      </c>
      <c r="O1569">
        <v>87</v>
      </c>
      <c r="Q1569">
        <v>245</v>
      </c>
      <c r="R1569">
        <v>66</v>
      </c>
      <c r="S1569">
        <v>4.25</v>
      </c>
      <c r="T1569">
        <v>2.4289999999999998</v>
      </c>
      <c r="U1569">
        <v>5.66</v>
      </c>
      <c r="V1569">
        <v>1039.55</v>
      </c>
      <c r="W1569">
        <v>373</v>
      </c>
      <c r="X1569">
        <v>1.3332999999999999</v>
      </c>
      <c r="Y1569">
        <v>276</v>
      </c>
      <c r="Z1569">
        <v>3.76</v>
      </c>
      <c r="AJ1569">
        <v>2</v>
      </c>
      <c r="AK1569">
        <v>18</v>
      </c>
      <c r="AM1569">
        <v>0</v>
      </c>
      <c r="AO1569" t="s">
        <v>379</v>
      </c>
      <c r="AT1569">
        <v>36</v>
      </c>
      <c r="AV1569">
        <v>35.299999999999997</v>
      </c>
      <c r="AW1569">
        <v>0</v>
      </c>
      <c r="AX1569">
        <v>0</v>
      </c>
      <c r="AY1569">
        <v>23.375</v>
      </c>
      <c r="AZ1569">
        <v>2.875</v>
      </c>
      <c r="BA1569">
        <v>0</v>
      </c>
      <c r="BB1569">
        <v>0</v>
      </c>
      <c r="BC1569">
        <v>21</v>
      </c>
      <c r="BN1569">
        <v>167.63339999999999</v>
      </c>
      <c r="BO1569">
        <v>3693</v>
      </c>
      <c r="BP1569">
        <v>0</v>
      </c>
      <c r="BQ1569">
        <v>29</v>
      </c>
      <c r="BR1569">
        <v>29</v>
      </c>
      <c r="BS1569">
        <v>29.39</v>
      </c>
      <c r="BT1569">
        <v>0</v>
      </c>
      <c r="BV1569">
        <v>0</v>
      </c>
      <c r="BW1569" t="s">
        <v>655</v>
      </c>
      <c r="BX1569">
        <v>0.17</v>
      </c>
      <c r="BY1569">
        <v>4.9962999999999997</v>
      </c>
      <c r="BZ1569">
        <v>0</v>
      </c>
      <c r="CA1569">
        <v>1</v>
      </c>
      <c r="CB1569">
        <v>0.6</v>
      </c>
      <c r="CC1569" s="3">
        <v>7.1269159999999998E-2</v>
      </c>
      <c r="CD1569">
        <v>2.875</v>
      </c>
      <c r="CE1569">
        <v>2.5</v>
      </c>
      <c r="CF1569">
        <v>18</v>
      </c>
      <c r="CG1569">
        <v>6</v>
      </c>
      <c r="CH1569">
        <v>0</v>
      </c>
      <c r="CI1569">
        <v>29.39</v>
      </c>
      <c r="CJ1569">
        <v>204.2235</v>
      </c>
    </row>
    <row r="1570" spans="1:88">
      <c r="A1570">
        <v>1569</v>
      </c>
      <c r="B1570" t="s">
        <v>0</v>
      </c>
      <c r="C1570" t="s">
        <v>1</v>
      </c>
      <c r="D1570" t="s">
        <v>462</v>
      </c>
      <c r="E1570" t="s">
        <v>2</v>
      </c>
      <c r="F1570" t="s">
        <v>347</v>
      </c>
      <c r="G1570" t="s">
        <v>106</v>
      </c>
      <c r="H1570" t="s">
        <v>222</v>
      </c>
      <c r="J1570">
        <v>2</v>
      </c>
      <c r="K1570" t="s">
        <v>146</v>
      </c>
      <c r="L1570" t="s">
        <v>122</v>
      </c>
      <c r="M1570" t="s">
        <v>4</v>
      </c>
      <c r="N1570" t="s">
        <v>5</v>
      </c>
      <c r="O1570">
        <v>107</v>
      </c>
      <c r="Q1570">
        <v>223</v>
      </c>
      <c r="R1570">
        <v>47</v>
      </c>
      <c r="S1570">
        <v>4.25</v>
      </c>
      <c r="T1570">
        <v>2.9710000000000001</v>
      </c>
      <c r="U1570">
        <v>6.07</v>
      </c>
      <c r="V1570">
        <v>948.6</v>
      </c>
      <c r="W1570">
        <v>286</v>
      </c>
      <c r="X1570">
        <v>1.3332999999999999</v>
      </c>
      <c r="Y1570">
        <v>221</v>
      </c>
      <c r="Z1570">
        <v>4.3</v>
      </c>
      <c r="AJ1570">
        <v>2</v>
      </c>
      <c r="AK1570">
        <v>18</v>
      </c>
      <c r="AM1570">
        <v>0</v>
      </c>
      <c r="AO1570" t="s">
        <v>355</v>
      </c>
      <c r="AT1570">
        <v>42</v>
      </c>
      <c r="AV1570">
        <v>26.6</v>
      </c>
      <c r="AW1570">
        <v>0</v>
      </c>
      <c r="AX1570">
        <v>0</v>
      </c>
      <c r="AY1570">
        <v>29.25</v>
      </c>
      <c r="AZ1570">
        <v>3.25</v>
      </c>
      <c r="BA1570">
        <v>0</v>
      </c>
      <c r="BB1570">
        <v>0</v>
      </c>
      <c r="BC1570">
        <v>26</v>
      </c>
      <c r="BN1570">
        <v>124.8334</v>
      </c>
      <c r="BO1570">
        <v>6659</v>
      </c>
      <c r="BP1570">
        <v>0</v>
      </c>
      <c r="BQ1570">
        <v>36</v>
      </c>
      <c r="BR1570">
        <v>36</v>
      </c>
      <c r="BS1570">
        <v>36.340000000000003</v>
      </c>
      <c r="BT1570">
        <v>0</v>
      </c>
      <c r="BV1570">
        <v>0</v>
      </c>
      <c r="BW1570" t="s">
        <v>655</v>
      </c>
      <c r="BX1570">
        <v>0.17</v>
      </c>
      <c r="BY1570">
        <v>6.1778000000000004</v>
      </c>
      <c r="BZ1570">
        <v>0</v>
      </c>
      <c r="CA1570">
        <v>1</v>
      </c>
      <c r="CB1570">
        <v>0.6</v>
      </c>
      <c r="CC1570" s="3">
        <v>7.1269159999999998E-2</v>
      </c>
      <c r="CD1570">
        <v>2.875</v>
      </c>
      <c r="CE1570">
        <v>2.5</v>
      </c>
      <c r="CF1570">
        <v>18</v>
      </c>
      <c r="CG1570">
        <v>6</v>
      </c>
      <c r="CH1570">
        <v>0</v>
      </c>
      <c r="CI1570">
        <v>36.340000000000003</v>
      </c>
      <c r="CJ1570">
        <v>190.35919999999999</v>
      </c>
    </row>
    <row r="1571" spans="1:88">
      <c r="A1571">
        <v>1570</v>
      </c>
      <c r="B1571" t="s">
        <v>13</v>
      </c>
      <c r="C1571" t="s">
        <v>1</v>
      </c>
      <c r="D1571" t="s">
        <v>123</v>
      </c>
      <c r="E1571" t="s">
        <v>113</v>
      </c>
      <c r="F1571" t="s">
        <v>118</v>
      </c>
      <c r="G1571" t="s">
        <v>214</v>
      </c>
      <c r="H1571" t="s">
        <v>386</v>
      </c>
      <c r="J1571">
        <v>2</v>
      </c>
      <c r="K1571" t="s">
        <v>108</v>
      </c>
      <c r="L1571" t="s">
        <v>116</v>
      </c>
      <c r="M1571" t="s">
        <v>117</v>
      </c>
      <c r="N1571" t="s">
        <v>14</v>
      </c>
      <c r="O1571">
        <v>179</v>
      </c>
      <c r="Q1571">
        <v>844</v>
      </c>
      <c r="R1571">
        <v>111</v>
      </c>
      <c r="S1571">
        <v>4.25</v>
      </c>
      <c r="T1571">
        <v>4.7190000000000003</v>
      </c>
      <c r="U1571">
        <v>7.05</v>
      </c>
      <c r="V1571">
        <v>3585.98</v>
      </c>
      <c r="W1571">
        <v>782</v>
      </c>
      <c r="X1571">
        <v>1.3332999999999999</v>
      </c>
      <c r="Y1571">
        <v>593</v>
      </c>
      <c r="Z1571">
        <v>6.05</v>
      </c>
      <c r="AJ1571">
        <v>2</v>
      </c>
      <c r="AK1571">
        <v>18</v>
      </c>
      <c r="AM1571">
        <v>0</v>
      </c>
      <c r="AO1571" t="s">
        <v>357</v>
      </c>
      <c r="AT1571">
        <v>68</v>
      </c>
      <c r="AV1571">
        <v>63.8</v>
      </c>
      <c r="AW1571">
        <v>0.46875</v>
      </c>
      <c r="AX1571">
        <v>3.75</v>
      </c>
      <c r="AY1571">
        <v>62.125</v>
      </c>
      <c r="AZ1571">
        <v>5.625</v>
      </c>
      <c r="BA1571">
        <v>325.99</v>
      </c>
      <c r="BB1571">
        <v>6.04</v>
      </c>
      <c r="BC1571">
        <v>67</v>
      </c>
      <c r="BD1571">
        <v>0.4375</v>
      </c>
      <c r="BE1571">
        <v>3.75</v>
      </c>
      <c r="BF1571">
        <v>53.375</v>
      </c>
      <c r="BG1571">
        <v>5.25</v>
      </c>
      <c r="BH1571">
        <v>266.72000000000003</v>
      </c>
      <c r="BI1571">
        <v>6.16</v>
      </c>
      <c r="BJ1571">
        <v>54</v>
      </c>
      <c r="BL1571">
        <v>592.71</v>
      </c>
      <c r="BM1571">
        <v>120</v>
      </c>
      <c r="BN1571">
        <v>309.31330000000003</v>
      </c>
      <c r="BO1571">
        <v>1361</v>
      </c>
      <c r="BP1571">
        <v>0</v>
      </c>
      <c r="BQ1571">
        <v>61</v>
      </c>
      <c r="BR1571">
        <v>61</v>
      </c>
      <c r="BS1571">
        <v>61.39</v>
      </c>
      <c r="BT1571">
        <v>0</v>
      </c>
      <c r="BV1571">
        <v>0</v>
      </c>
      <c r="BW1571" t="s">
        <v>655</v>
      </c>
      <c r="BX1571">
        <v>0.17</v>
      </c>
      <c r="BY1571">
        <v>10.436299999999999</v>
      </c>
      <c r="BZ1571">
        <v>0</v>
      </c>
      <c r="CA1571">
        <v>1</v>
      </c>
      <c r="CB1571">
        <v>0.6</v>
      </c>
      <c r="CC1571" s="3">
        <v>7.1269159999999998E-2</v>
      </c>
      <c r="CD1571">
        <v>2.875</v>
      </c>
      <c r="CE1571">
        <v>2.5</v>
      </c>
      <c r="CF1571">
        <v>18</v>
      </c>
      <c r="CG1571">
        <v>6</v>
      </c>
      <c r="CH1571">
        <v>0</v>
      </c>
      <c r="CI1571">
        <v>61.39</v>
      </c>
      <c r="CJ1571">
        <v>769.49059999999997</v>
      </c>
    </row>
    <row r="1572" spans="1:88">
      <c r="A1572">
        <v>1571</v>
      </c>
      <c r="B1572" t="s">
        <v>0</v>
      </c>
      <c r="C1572" t="s">
        <v>1</v>
      </c>
      <c r="D1572" t="s">
        <v>302</v>
      </c>
      <c r="E1572" t="s">
        <v>176</v>
      </c>
      <c r="F1572" t="s">
        <v>401</v>
      </c>
      <c r="G1572" t="s">
        <v>214</v>
      </c>
      <c r="H1572" t="s">
        <v>402</v>
      </c>
      <c r="J1572">
        <v>2</v>
      </c>
      <c r="K1572" t="s">
        <v>108</v>
      </c>
      <c r="L1572" t="s">
        <v>167</v>
      </c>
      <c r="M1572" t="s">
        <v>226</v>
      </c>
      <c r="N1572" t="s">
        <v>227</v>
      </c>
      <c r="O1572">
        <v>113</v>
      </c>
      <c r="Q1572">
        <v>620</v>
      </c>
      <c r="R1572">
        <v>125</v>
      </c>
      <c r="S1572">
        <v>4.25</v>
      </c>
      <c r="T1572">
        <v>3.1280000000000001</v>
      </c>
      <c r="U1572">
        <v>6.18</v>
      </c>
      <c r="V1572">
        <v>2636.27</v>
      </c>
      <c r="W1572">
        <v>772</v>
      </c>
      <c r="X1572">
        <v>1.3332999999999999</v>
      </c>
      <c r="Y1572">
        <v>591</v>
      </c>
      <c r="Z1572">
        <v>4.46</v>
      </c>
      <c r="AJ1572">
        <v>2</v>
      </c>
      <c r="AK1572">
        <v>18</v>
      </c>
      <c r="AM1572">
        <v>0</v>
      </c>
      <c r="AO1572" t="s">
        <v>246</v>
      </c>
      <c r="AT1572">
        <v>45</v>
      </c>
      <c r="AV1572">
        <v>71.8</v>
      </c>
      <c r="AW1572">
        <v>0.40625</v>
      </c>
      <c r="AX1572">
        <v>3.75</v>
      </c>
      <c r="AY1572">
        <v>32.875</v>
      </c>
      <c r="AZ1572">
        <v>3.625</v>
      </c>
      <c r="BA1572">
        <v>295.54000000000002</v>
      </c>
      <c r="BB1572">
        <v>4.4800000000000004</v>
      </c>
      <c r="BC1572">
        <v>31</v>
      </c>
      <c r="BD1572">
        <v>0.40625</v>
      </c>
      <c r="BE1572">
        <v>3.75</v>
      </c>
      <c r="BF1572">
        <v>32.875</v>
      </c>
      <c r="BG1572">
        <v>3.625</v>
      </c>
      <c r="BH1572">
        <v>295.54000000000002</v>
      </c>
      <c r="BI1572">
        <v>4.4800000000000004</v>
      </c>
      <c r="BJ1572">
        <v>31</v>
      </c>
      <c r="BL1572">
        <v>591.08000000000004</v>
      </c>
      <c r="BM1572">
        <v>62</v>
      </c>
      <c r="BN1572">
        <v>348.87670000000003</v>
      </c>
      <c r="BO1572">
        <v>1070</v>
      </c>
      <c r="BP1572">
        <v>0</v>
      </c>
      <c r="BQ1572">
        <v>38</v>
      </c>
      <c r="BR1572">
        <v>38</v>
      </c>
      <c r="BS1572">
        <v>38.43</v>
      </c>
      <c r="BT1572">
        <v>0</v>
      </c>
      <c r="BV1572">
        <v>0</v>
      </c>
      <c r="BW1572" t="s">
        <v>655</v>
      </c>
      <c r="BX1572">
        <v>0.17</v>
      </c>
      <c r="BY1572">
        <v>6.5331000000000001</v>
      </c>
      <c r="BZ1572">
        <v>0</v>
      </c>
      <c r="CA1572">
        <v>1</v>
      </c>
      <c r="CB1572">
        <v>0.6</v>
      </c>
      <c r="CC1572" s="3">
        <v>7.1269159999999998E-2</v>
      </c>
      <c r="CD1572">
        <v>2.875</v>
      </c>
      <c r="CE1572">
        <v>2.5</v>
      </c>
      <c r="CF1572">
        <v>18</v>
      </c>
      <c r="CG1572">
        <v>6</v>
      </c>
      <c r="CH1572">
        <v>0</v>
      </c>
      <c r="CI1572">
        <v>38.43</v>
      </c>
      <c r="CJ1572">
        <v>541.95460000000003</v>
      </c>
    </row>
    <row r="1573" spans="1:88">
      <c r="A1573">
        <v>1572</v>
      </c>
      <c r="B1573" t="s">
        <v>13</v>
      </c>
      <c r="C1573" t="s">
        <v>1</v>
      </c>
      <c r="D1573" t="s">
        <v>348</v>
      </c>
      <c r="E1573" t="s">
        <v>381</v>
      </c>
      <c r="F1573" t="s">
        <v>576</v>
      </c>
      <c r="G1573" t="s">
        <v>106</v>
      </c>
      <c r="H1573" t="s">
        <v>577</v>
      </c>
      <c r="J1573">
        <v>2</v>
      </c>
      <c r="K1573" t="s">
        <v>108</v>
      </c>
      <c r="L1573" t="s">
        <v>267</v>
      </c>
      <c r="M1573" t="s">
        <v>384</v>
      </c>
      <c r="N1573" t="s">
        <v>257</v>
      </c>
      <c r="O1573">
        <v>139</v>
      </c>
      <c r="Q1573">
        <v>633</v>
      </c>
      <c r="R1573">
        <v>106</v>
      </c>
      <c r="S1573">
        <v>4.25</v>
      </c>
      <c r="T1573">
        <v>3.7829999999999999</v>
      </c>
      <c r="U1573">
        <v>6.52</v>
      </c>
      <c r="V1573">
        <v>2691.1</v>
      </c>
      <c r="W1573">
        <v>689</v>
      </c>
      <c r="X1573">
        <v>1.3332999999999999</v>
      </c>
      <c r="Y1573">
        <v>527</v>
      </c>
      <c r="Z1573">
        <v>5.1100000000000003</v>
      </c>
      <c r="AJ1573">
        <v>2</v>
      </c>
      <c r="AK1573">
        <v>18</v>
      </c>
      <c r="AM1573">
        <v>0</v>
      </c>
      <c r="AO1573" t="s">
        <v>578</v>
      </c>
      <c r="AT1573">
        <v>54</v>
      </c>
      <c r="AV1573">
        <v>60.5</v>
      </c>
      <c r="AW1573" t="s">
        <v>6</v>
      </c>
      <c r="AX1573" t="s">
        <v>6</v>
      </c>
      <c r="AY1573" t="s">
        <v>6</v>
      </c>
      <c r="AZ1573" t="s">
        <v>6</v>
      </c>
      <c r="BA1573" t="s">
        <v>6</v>
      </c>
      <c r="BB1573" t="s">
        <v>6</v>
      </c>
      <c r="BC1573" t="s">
        <v>6</v>
      </c>
      <c r="BD1573" t="s">
        <v>6</v>
      </c>
      <c r="BE1573" t="s">
        <v>6</v>
      </c>
      <c r="BF1573" t="s">
        <v>6</v>
      </c>
      <c r="BG1573" t="s">
        <v>6</v>
      </c>
      <c r="BH1573" t="s">
        <v>6</v>
      </c>
      <c r="BI1573" t="s">
        <v>6</v>
      </c>
      <c r="BJ1573" t="s">
        <v>6</v>
      </c>
      <c r="BN1573">
        <v>290.68340000000001</v>
      </c>
      <c r="BO1573">
        <v>1228</v>
      </c>
      <c r="BP1573">
        <v>0</v>
      </c>
      <c r="BQ1573">
        <v>47</v>
      </c>
      <c r="BR1573">
        <v>47</v>
      </c>
      <c r="BS1573">
        <v>47.47</v>
      </c>
      <c r="BT1573">
        <v>0</v>
      </c>
      <c r="BV1573">
        <v>0</v>
      </c>
      <c r="BW1573" t="s">
        <v>655</v>
      </c>
      <c r="BX1573">
        <v>0.17</v>
      </c>
      <c r="BY1573">
        <v>8.0699009999999998</v>
      </c>
      <c r="BZ1573">
        <v>0</v>
      </c>
      <c r="CA1573">
        <v>1</v>
      </c>
      <c r="CB1573">
        <v>0.6</v>
      </c>
      <c r="CC1573" s="3">
        <v>7.1269159999999998E-2</v>
      </c>
      <c r="CD1573">
        <v>2.875</v>
      </c>
      <c r="CE1573">
        <v>2.5</v>
      </c>
      <c r="CF1573">
        <v>18</v>
      </c>
      <c r="CG1573">
        <v>6</v>
      </c>
      <c r="CH1573">
        <v>0</v>
      </c>
      <c r="CI1573">
        <v>47.47</v>
      </c>
      <c r="CJ1573">
        <v>564.56259999999997</v>
      </c>
    </row>
    <row r="1574" spans="1:88">
      <c r="A1574">
        <v>1573</v>
      </c>
      <c r="B1574" t="s">
        <v>13</v>
      </c>
      <c r="C1574" t="s">
        <v>1</v>
      </c>
      <c r="D1574" t="s">
        <v>162</v>
      </c>
      <c r="E1574" t="s">
        <v>178</v>
      </c>
      <c r="F1574" t="s">
        <v>100</v>
      </c>
      <c r="G1574" t="s">
        <v>106</v>
      </c>
      <c r="H1574" t="s">
        <v>158</v>
      </c>
      <c r="J1574">
        <v>2</v>
      </c>
      <c r="K1574" t="s">
        <v>146</v>
      </c>
      <c r="L1574" t="s">
        <v>127</v>
      </c>
      <c r="M1574" t="s">
        <v>179</v>
      </c>
      <c r="N1574" t="s">
        <v>180</v>
      </c>
      <c r="O1574">
        <v>95</v>
      </c>
      <c r="Q1574">
        <v>331</v>
      </c>
      <c r="R1574">
        <v>80</v>
      </c>
      <c r="S1574">
        <v>4.25</v>
      </c>
      <c r="T1574">
        <v>2.649</v>
      </c>
      <c r="U1574">
        <v>5.81</v>
      </c>
      <c r="V1574">
        <v>1405.81</v>
      </c>
      <c r="W1574">
        <v>466</v>
      </c>
      <c r="X1574">
        <v>1.3332999999999999</v>
      </c>
      <c r="Y1574">
        <v>353</v>
      </c>
      <c r="Z1574">
        <v>3.98</v>
      </c>
      <c r="AJ1574">
        <v>2</v>
      </c>
      <c r="AK1574">
        <v>18</v>
      </c>
      <c r="AM1574">
        <v>0</v>
      </c>
      <c r="AO1574" t="s">
        <v>121</v>
      </c>
      <c r="AT1574">
        <v>38</v>
      </c>
      <c r="AV1574">
        <v>44.4</v>
      </c>
      <c r="AW1574">
        <v>0</v>
      </c>
      <c r="AX1574">
        <v>0</v>
      </c>
      <c r="AY1574">
        <v>40.25</v>
      </c>
      <c r="AZ1574">
        <v>3.5</v>
      </c>
      <c r="BA1574">
        <v>0</v>
      </c>
      <c r="BB1574">
        <v>0</v>
      </c>
      <c r="BC1574">
        <v>41</v>
      </c>
      <c r="BN1574">
        <v>212.2167</v>
      </c>
      <c r="BO1574">
        <v>2304</v>
      </c>
      <c r="BP1574">
        <v>0</v>
      </c>
      <c r="BQ1574">
        <v>32</v>
      </c>
      <c r="BR1574">
        <v>32</v>
      </c>
      <c r="BS1574">
        <v>32.17</v>
      </c>
      <c r="BT1574">
        <v>0</v>
      </c>
      <c r="BV1574">
        <v>0</v>
      </c>
      <c r="BW1574" t="s">
        <v>655</v>
      </c>
      <c r="BX1574">
        <v>0.17</v>
      </c>
      <c r="BY1574">
        <v>5.4688999999999997</v>
      </c>
      <c r="BZ1574">
        <v>0</v>
      </c>
      <c r="CA1574">
        <v>1</v>
      </c>
      <c r="CB1574">
        <v>0.6</v>
      </c>
      <c r="CC1574" s="3">
        <v>7.1269159999999998E-2</v>
      </c>
      <c r="CD1574">
        <v>2.875</v>
      </c>
      <c r="CE1574">
        <v>2.5</v>
      </c>
      <c r="CF1574">
        <v>18</v>
      </c>
      <c r="CG1574">
        <v>6</v>
      </c>
      <c r="CH1574">
        <v>0</v>
      </c>
      <c r="CI1574">
        <v>32.17</v>
      </c>
      <c r="CJ1574">
        <v>280.85930000000002</v>
      </c>
    </row>
    <row r="1575" spans="1:88">
      <c r="A1575">
        <v>1574</v>
      </c>
      <c r="B1575" t="s">
        <v>13</v>
      </c>
      <c r="C1575" t="s">
        <v>1</v>
      </c>
      <c r="D1575" t="s">
        <v>241</v>
      </c>
      <c r="E1575" t="s">
        <v>2</v>
      </c>
      <c r="F1575" t="s">
        <v>345</v>
      </c>
      <c r="G1575" t="s">
        <v>106</v>
      </c>
      <c r="H1575" t="s">
        <v>283</v>
      </c>
      <c r="J1575">
        <v>2</v>
      </c>
      <c r="K1575" t="s">
        <v>146</v>
      </c>
      <c r="L1575" t="s">
        <v>122</v>
      </c>
      <c r="M1575" t="s">
        <v>4</v>
      </c>
      <c r="N1575" t="s">
        <v>5</v>
      </c>
      <c r="O1575">
        <v>107</v>
      </c>
      <c r="Q1575">
        <v>244</v>
      </c>
      <c r="R1575">
        <v>51</v>
      </c>
      <c r="S1575">
        <v>4.25</v>
      </c>
      <c r="T1575">
        <v>2.9710000000000001</v>
      </c>
      <c r="U1575">
        <v>6.07</v>
      </c>
      <c r="V1575">
        <v>1036.49</v>
      </c>
      <c r="W1575">
        <v>311</v>
      </c>
      <c r="X1575">
        <v>1.3332999999999999</v>
      </c>
      <c r="Y1575">
        <v>241</v>
      </c>
      <c r="Z1575">
        <v>4.3</v>
      </c>
      <c r="AJ1575">
        <v>2</v>
      </c>
      <c r="AK1575">
        <v>18</v>
      </c>
      <c r="AM1575">
        <v>0</v>
      </c>
      <c r="AO1575" t="s">
        <v>374</v>
      </c>
      <c r="AT1575">
        <v>42</v>
      </c>
      <c r="AV1575">
        <v>29.2</v>
      </c>
      <c r="AW1575">
        <v>0</v>
      </c>
      <c r="AX1575">
        <v>0</v>
      </c>
      <c r="AY1575">
        <v>26.75</v>
      </c>
      <c r="AZ1575">
        <v>3.25</v>
      </c>
      <c r="BA1575">
        <v>0</v>
      </c>
      <c r="BB1575">
        <v>0</v>
      </c>
      <c r="BC1575">
        <v>24</v>
      </c>
      <c r="BN1575">
        <v>137.3167</v>
      </c>
      <c r="BO1575">
        <v>5503</v>
      </c>
      <c r="BP1575">
        <v>0</v>
      </c>
      <c r="BQ1575">
        <v>36</v>
      </c>
      <c r="BR1575">
        <v>36</v>
      </c>
      <c r="BS1575">
        <v>36.340000000000003</v>
      </c>
      <c r="BT1575">
        <v>0</v>
      </c>
      <c r="BV1575">
        <v>0</v>
      </c>
      <c r="BW1575" t="s">
        <v>655</v>
      </c>
      <c r="BX1575">
        <v>0.17</v>
      </c>
      <c r="BY1575">
        <v>6.1778000000000004</v>
      </c>
      <c r="BZ1575">
        <v>0</v>
      </c>
      <c r="CA1575">
        <v>1</v>
      </c>
      <c r="CB1575">
        <v>0.6</v>
      </c>
      <c r="CC1575" s="3">
        <v>7.1269159999999998E-2</v>
      </c>
      <c r="CD1575">
        <v>2.875</v>
      </c>
      <c r="CE1575">
        <v>2.5</v>
      </c>
      <c r="CF1575">
        <v>18</v>
      </c>
      <c r="CG1575">
        <v>6</v>
      </c>
      <c r="CH1575">
        <v>0</v>
      </c>
      <c r="CI1575">
        <v>36.340000000000003</v>
      </c>
      <c r="CJ1575">
        <v>208.48869999999999</v>
      </c>
    </row>
    <row r="1576" spans="1:88">
      <c r="A1576">
        <v>1575</v>
      </c>
      <c r="B1576" t="s">
        <v>13</v>
      </c>
      <c r="C1576" t="s">
        <v>1</v>
      </c>
      <c r="D1576" t="s">
        <v>330</v>
      </c>
      <c r="E1576" t="s">
        <v>233</v>
      </c>
      <c r="F1576" t="s">
        <v>490</v>
      </c>
      <c r="G1576" t="s">
        <v>106</v>
      </c>
      <c r="H1576" t="s">
        <v>338</v>
      </c>
      <c r="J1576">
        <v>2</v>
      </c>
      <c r="K1576" t="s">
        <v>146</v>
      </c>
      <c r="L1576" t="s">
        <v>251</v>
      </c>
      <c r="M1576" t="s">
        <v>236</v>
      </c>
      <c r="N1576" t="s">
        <v>272</v>
      </c>
      <c r="O1576">
        <v>157</v>
      </c>
      <c r="Q1576">
        <v>548</v>
      </c>
      <c r="R1576">
        <v>84</v>
      </c>
      <c r="S1576">
        <v>4.25</v>
      </c>
      <c r="T1576">
        <v>4.2130000000000001</v>
      </c>
      <c r="U1576">
        <v>6.82</v>
      </c>
      <c r="V1576">
        <v>2328.27</v>
      </c>
      <c r="W1576">
        <v>571</v>
      </c>
      <c r="X1576">
        <v>1.3332999999999999</v>
      </c>
      <c r="Y1576">
        <v>420</v>
      </c>
      <c r="Z1576">
        <v>5.54</v>
      </c>
      <c r="AJ1576">
        <v>2</v>
      </c>
      <c r="AK1576">
        <v>18</v>
      </c>
      <c r="AM1576">
        <v>0</v>
      </c>
      <c r="AO1576" t="s">
        <v>339</v>
      </c>
      <c r="AT1576">
        <v>60</v>
      </c>
      <c r="AV1576">
        <v>46.6</v>
      </c>
      <c r="AW1576">
        <v>0.40625</v>
      </c>
      <c r="AX1576">
        <v>3.75</v>
      </c>
      <c r="AY1576">
        <v>42.125</v>
      </c>
      <c r="AZ1576">
        <v>4.5</v>
      </c>
      <c r="BA1576">
        <v>231.14</v>
      </c>
      <c r="BB1576">
        <v>5.73</v>
      </c>
      <c r="BC1576">
        <v>40</v>
      </c>
      <c r="BD1576">
        <v>0.375</v>
      </c>
      <c r="BE1576">
        <v>3.75</v>
      </c>
      <c r="BF1576">
        <v>34.125</v>
      </c>
      <c r="BG1576">
        <v>4.125</v>
      </c>
      <c r="BH1576">
        <v>189.12</v>
      </c>
      <c r="BI1576">
        <v>5.69</v>
      </c>
      <c r="BJ1576">
        <v>30</v>
      </c>
      <c r="BL1576">
        <v>420.26</v>
      </c>
      <c r="BM1576">
        <v>70</v>
      </c>
      <c r="BN1576">
        <v>222.91669999999999</v>
      </c>
      <c r="BO1576">
        <v>2088</v>
      </c>
      <c r="BP1576">
        <v>0</v>
      </c>
      <c r="BQ1576">
        <v>54</v>
      </c>
      <c r="BR1576">
        <v>54</v>
      </c>
      <c r="BS1576">
        <v>53.73</v>
      </c>
      <c r="BT1576">
        <v>0</v>
      </c>
      <c r="BV1576">
        <v>0</v>
      </c>
      <c r="BW1576" t="s">
        <v>655</v>
      </c>
      <c r="BX1576">
        <v>0.17</v>
      </c>
      <c r="BY1576">
        <v>9.1341000000000001</v>
      </c>
      <c r="BZ1576">
        <v>0</v>
      </c>
      <c r="CA1576">
        <v>1</v>
      </c>
      <c r="CB1576">
        <v>0.6</v>
      </c>
      <c r="CC1576" s="3">
        <v>7.1269159999999998E-2</v>
      </c>
      <c r="CD1576">
        <v>2.875</v>
      </c>
      <c r="CE1576">
        <v>2.5</v>
      </c>
      <c r="CF1576">
        <v>18</v>
      </c>
      <c r="CG1576">
        <v>6</v>
      </c>
      <c r="CH1576">
        <v>0</v>
      </c>
      <c r="CI1576">
        <v>53.73</v>
      </c>
      <c r="CJ1576">
        <v>492.06400000000002</v>
      </c>
    </row>
    <row r="1577" spans="1:88">
      <c r="A1577">
        <v>1576</v>
      </c>
      <c r="B1577" t="s">
        <v>0</v>
      </c>
      <c r="C1577" t="s">
        <v>1</v>
      </c>
      <c r="D1577" t="s">
        <v>113</v>
      </c>
      <c r="E1577" t="s">
        <v>169</v>
      </c>
      <c r="F1577" t="s">
        <v>262</v>
      </c>
      <c r="G1577" t="s">
        <v>106</v>
      </c>
      <c r="H1577" t="s">
        <v>263</v>
      </c>
      <c r="J1577">
        <v>2</v>
      </c>
      <c r="K1577" t="s">
        <v>108</v>
      </c>
      <c r="L1577" t="s">
        <v>381</v>
      </c>
      <c r="M1577" t="s">
        <v>173</v>
      </c>
      <c r="N1577" t="s">
        <v>174</v>
      </c>
      <c r="O1577">
        <v>119</v>
      </c>
      <c r="Q1577">
        <v>566</v>
      </c>
      <c r="R1577">
        <v>109</v>
      </c>
      <c r="S1577">
        <v>4.25</v>
      </c>
      <c r="T1577">
        <v>3.2829999999999999</v>
      </c>
      <c r="U1577">
        <v>6.15</v>
      </c>
      <c r="V1577">
        <v>2403.84</v>
      </c>
      <c r="W1577">
        <v>668</v>
      </c>
      <c r="X1577">
        <v>1.3332999999999999</v>
      </c>
      <c r="Y1577">
        <v>521</v>
      </c>
      <c r="Z1577">
        <v>4.6100000000000003</v>
      </c>
      <c r="AJ1577">
        <v>2</v>
      </c>
      <c r="AK1577">
        <v>18</v>
      </c>
      <c r="AM1577">
        <v>0</v>
      </c>
      <c r="AO1577" t="s">
        <v>266</v>
      </c>
      <c r="AT1577">
        <v>47</v>
      </c>
      <c r="AV1577">
        <v>62.3</v>
      </c>
      <c r="AW1577">
        <v>0.46875</v>
      </c>
      <c r="AX1577">
        <v>3.75</v>
      </c>
      <c r="AY1577">
        <v>47.375</v>
      </c>
      <c r="AZ1577">
        <v>4.375</v>
      </c>
      <c r="BA1577">
        <v>427.51</v>
      </c>
      <c r="BB1577">
        <v>4.6100000000000003</v>
      </c>
      <c r="BC1577">
        <v>51</v>
      </c>
      <c r="BD1577">
        <v>0.3125</v>
      </c>
      <c r="BE1577">
        <v>2.75</v>
      </c>
      <c r="BF1577">
        <v>38.25</v>
      </c>
      <c r="BG1577">
        <v>2.875</v>
      </c>
      <c r="BH1577">
        <v>93.93</v>
      </c>
      <c r="BI1577">
        <v>6.8</v>
      </c>
      <c r="BJ1577">
        <v>20</v>
      </c>
      <c r="BL1577">
        <v>521.44000000000005</v>
      </c>
      <c r="BM1577">
        <v>71</v>
      </c>
      <c r="BN1577">
        <v>299.60000000000002</v>
      </c>
      <c r="BO1577">
        <v>1156</v>
      </c>
      <c r="BP1577">
        <v>0</v>
      </c>
      <c r="BQ1577">
        <v>41</v>
      </c>
      <c r="BR1577">
        <v>41</v>
      </c>
      <c r="BS1577">
        <v>40.520000000000003</v>
      </c>
      <c r="BT1577">
        <v>0</v>
      </c>
      <c r="BV1577">
        <v>0</v>
      </c>
      <c r="BW1577" t="s">
        <v>655</v>
      </c>
      <c r="BX1577">
        <v>0.17</v>
      </c>
      <c r="BY1577">
        <v>6.8883999999999999</v>
      </c>
      <c r="BZ1577">
        <v>0</v>
      </c>
      <c r="CA1577">
        <v>1</v>
      </c>
      <c r="CB1577">
        <v>0.6</v>
      </c>
      <c r="CC1577" s="3">
        <v>7.1269159999999998E-2</v>
      </c>
      <c r="CD1577">
        <v>2.875</v>
      </c>
      <c r="CE1577">
        <v>2.5</v>
      </c>
      <c r="CF1577">
        <v>18</v>
      </c>
      <c r="CG1577">
        <v>6</v>
      </c>
      <c r="CH1577">
        <v>0</v>
      </c>
      <c r="CI1577">
        <v>40.520000000000003</v>
      </c>
      <c r="CJ1577">
        <v>496.3451</v>
      </c>
    </row>
    <row r="1578" spans="1:88">
      <c r="A1578">
        <v>1577</v>
      </c>
      <c r="B1578" t="s">
        <v>0</v>
      </c>
      <c r="C1578" t="s">
        <v>1</v>
      </c>
      <c r="D1578" t="s">
        <v>348</v>
      </c>
      <c r="E1578" t="s">
        <v>125</v>
      </c>
      <c r="F1578" t="s">
        <v>576</v>
      </c>
      <c r="G1578" t="s">
        <v>106</v>
      </c>
      <c r="H1578" t="s">
        <v>577</v>
      </c>
      <c r="J1578">
        <v>2</v>
      </c>
      <c r="K1578" t="s">
        <v>108</v>
      </c>
      <c r="L1578" t="s">
        <v>434</v>
      </c>
      <c r="M1578" t="s">
        <v>551</v>
      </c>
      <c r="N1578" t="s">
        <v>552</v>
      </c>
      <c r="O1578">
        <v>168</v>
      </c>
      <c r="Q1578">
        <v>755</v>
      </c>
      <c r="R1578">
        <v>106</v>
      </c>
      <c r="S1578">
        <v>4.25</v>
      </c>
      <c r="T1578">
        <v>4.4690000000000003</v>
      </c>
      <c r="U1578">
        <v>6.86</v>
      </c>
      <c r="V1578">
        <v>3208.36</v>
      </c>
      <c r="W1578">
        <v>725</v>
      </c>
      <c r="X1578">
        <v>1.3332999999999999</v>
      </c>
      <c r="Y1578">
        <v>553</v>
      </c>
      <c r="Z1578">
        <v>5.8</v>
      </c>
      <c r="AJ1578">
        <v>2</v>
      </c>
      <c r="AK1578">
        <v>18</v>
      </c>
      <c r="AM1578">
        <v>0</v>
      </c>
      <c r="AO1578" t="s">
        <v>578</v>
      </c>
      <c r="AT1578">
        <v>64</v>
      </c>
      <c r="AV1578">
        <v>60.5</v>
      </c>
      <c r="AW1578">
        <v>0.4375</v>
      </c>
      <c r="AX1578">
        <v>3.75</v>
      </c>
      <c r="AY1578">
        <v>51.5</v>
      </c>
      <c r="AZ1578">
        <v>5.125</v>
      </c>
      <c r="BA1578">
        <v>276.57</v>
      </c>
      <c r="BB1578">
        <v>5.95</v>
      </c>
      <c r="BC1578">
        <v>52</v>
      </c>
      <c r="BD1578">
        <v>0.4375</v>
      </c>
      <c r="BE1578">
        <v>3.75</v>
      </c>
      <c r="BF1578">
        <v>51.5</v>
      </c>
      <c r="BG1578">
        <v>5.125</v>
      </c>
      <c r="BH1578">
        <v>276.57</v>
      </c>
      <c r="BI1578">
        <v>5.95</v>
      </c>
      <c r="BJ1578">
        <v>52</v>
      </c>
      <c r="BL1578">
        <v>553.14</v>
      </c>
      <c r="BM1578">
        <v>104</v>
      </c>
      <c r="BN1578">
        <v>290.68340000000001</v>
      </c>
      <c r="BO1578">
        <v>1228</v>
      </c>
      <c r="BP1578">
        <v>0</v>
      </c>
      <c r="BQ1578">
        <v>58</v>
      </c>
      <c r="BR1578">
        <v>58</v>
      </c>
      <c r="BS1578">
        <v>57.56</v>
      </c>
      <c r="BT1578">
        <v>0</v>
      </c>
      <c r="BV1578">
        <v>0</v>
      </c>
      <c r="BW1578" t="s">
        <v>655</v>
      </c>
      <c r="BX1578">
        <v>0.17</v>
      </c>
      <c r="BY1578">
        <v>9.7851999999999997</v>
      </c>
      <c r="BZ1578">
        <v>0</v>
      </c>
      <c r="CA1578">
        <v>1</v>
      </c>
      <c r="CB1578">
        <v>0.6</v>
      </c>
      <c r="CC1578" s="3">
        <v>7.1269159999999998E-2</v>
      </c>
      <c r="CD1578">
        <v>2.875</v>
      </c>
      <c r="CE1578">
        <v>2.5</v>
      </c>
      <c r="CF1578">
        <v>18</v>
      </c>
      <c r="CG1578">
        <v>6</v>
      </c>
      <c r="CH1578">
        <v>0</v>
      </c>
      <c r="CI1578">
        <v>57.56</v>
      </c>
      <c r="CJ1578">
        <v>684.56349999999998</v>
      </c>
    </row>
    <row r="1579" spans="1:88">
      <c r="A1579">
        <v>1578</v>
      </c>
      <c r="B1579" t="s">
        <v>0</v>
      </c>
      <c r="C1579" t="s">
        <v>1</v>
      </c>
      <c r="D1579" t="s">
        <v>133</v>
      </c>
      <c r="E1579" t="s">
        <v>96</v>
      </c>
      <c r="F1579" t="s">
        <v>298</v>
      </c>
      <c r="G1579" t="s">
        <v>106</v>
      </c>
      <c r="H1579" t="s">
        <v>257</v>
      </c>
      <c r="J1579">
        <v>2</v>
      </c>
      <c r="K1579" t="s">
        <v>146</v>
      </c>
      <c r="L1579" t="s">
        <v>293</v>
      </c>
      <c r="M1579" t="s">
        <v>100</v>
      </c>
      <c r="N1579" t="s">
        <v>101</v>
      </c>
      <c r="O1579">
        <v>131</v>
      </c>
      <c r="Q1579">
        <v>488</v>
      </c>
      <c r="R1579">
        <v>88</v>
      </c>
      <c r="S1579">
        <v>4.25</v>
      </c>
      <c r="T1579">
        <v>3.5859999999999999</v>
      </c>
      <c r="U1579">
        <v>6.37</v>
      </c>
      <c r="V1579">
        <v>2075.44</v>
      </c>
      <c r="W1579">
        <v>559</v>
      </c>
      <c r="X1579">
        <v>1.3332999999999999</v>
      </c>
      <c r="Y1579">
        <v>423</v>
      </c>
      <c r="Z1579">
        <v>4.91</v>
      </c>
      <c r="AJ1579">
        <v>2</v>
      </c>
      <c r="AK1579">
        <v>18</v>
      </c>
      <c r="AM1579">
        <v>0</v>
      </c>
      <c r="AO1579" t="s">
        <v>301</v>
      </c>
      <c r="AT1579">
        <v>51</v>
      </c>
      <c r="AV1579">
        <v>49.1</v>
      </c>
      <c r="AW1579">
        <v>0.46875</v>
      </c>
      <c r="AX1579">
        <v>3.75</v>
      </c>
      <c r="AY1579">
        <v>50.5</v>
      </c>
      <c r="AZ1579">
        <v>4.625</v>
      </c>
      <c r="BA1579">
        <v>401.38</v>
      </c>
      <c r="BB1579">
        <v>4.91</v>
      </c>
      <c r="BC1579">
        <v>54</v>
      </c>
      <c r="BD1579">
        <v>0.1875</v>
      </c>
      <c r="BE1579">
        <v>2.75</v>
      </c>
      <c r="BF1579">
        <v>12.5</v>
      </c>
      <c r="BG1579">
        <v>1.875</v>
      </c>
      <c r="BH1579">
        <v>21.3</v>
      </c>
      <c r="BI1579">
        <v>7.12</v>
      </c>
      <c r="BJ1579">
        <v>4</v>
      </c>
      <c r="BL1579">
        <v>422.68</v>
      </c>
      <c r="BM1579">
        <v>58</v>
      </c>
      <c r="BN1579">
        <v>235.40010000000001</v>
      </c>
      <c r="BO1579">
        <v>1873</v>
      </c>
      <c r="BP1579">
        <v>0</v>
      </c>
      <c r="BQ1579">
        <v>45</v>
      </c>
      <c r="BR1579">
        <v>45</v>
      </c>
      <c r="BS1579">
        <v>44.69</v>
      </c>
      <c r="BT1579">
        <v>0</v>
      </c>
      <c r="BV1579">
        <v>0</v>
      </c>
      <c r="BW1579" t="s">
        <v>655</v>
      </c>
      <c r="BX1579">
        <v>0.17</v>
      </c>
      <c r="BY1579">
        <v>7.5972999999999997</v>
      </c>
      <c r="BZ1579">
        <v>0</v>
      </c>
      <c r="CA1579">
        <v>1</v>
      </c>
      <c r="CB1579">
        <v>0.6</v>
      </c>
      <c r="CC1579" s="3">
        <v>7.1269159999999998E-2</v>
      </c>
      <c r="CD1579">
        <v>2.875</v>
      </c>
      <c r="CE1579">
        <v>2.5</v>
      </c>
      <c r="CF1579">
        <v>18</v>
      </c>
      <c r="CG1579">
        <v>6</v>
      </c>
      <c r="CH1579">
        <v>0</v>
      </c>
      <c r="CI1579">
        <v>44.69</v>
      </c>
      <c r="CJ1579">
        <v>431.57</v>
      </c>
    </row>
    <row r="1580" spans="1:88">
      <c r="A1580">
        <v>1579</v>
      </c>
      <c r="B1580" t="s">
        <v>13</v>
      </c>
      <c r="C1580" t="s">
        <v>1</v>
      </c>
      <c r="D1580" t="s">
        <v>8</v>
      </c>
      <c r="E1580" t="s">
        <v>8</v>
      </c>
      <c r="F1580" t="s">
        <v>246</v>
      </c>
      <c r="G1580" t="s">
        <v>15</v>
      </c>
      <c r="H1580" t="s">
        <v>247</v>
      </c>
      <c r="J1580">
        <v>2</v>
      </c>
      <c r="K1580" t="s">
        <v>108</v>
      </c>
      <c r="L1580" t="s">
        <v>10</v>
      </c>
      <c r="M1580" t="s">
        <v>11</v>
      </c>
      <c r="N1580" t="s">
        <v>12</v>
      </c>
      <c r="O1580">
        <v>203</v>
      </c>
      <c r="Q1580">
        <v>1056</v>
      </c>
      <c r="R1580">
        <v>135</v>
      </c>
      <c r="S1580">
        <v>4.25</v>
      </c>
      <c r="T1580">
        <v>5.2460000000000004</v>
      </c>
      <c r="U1580">
        <v>7.35</v>
      </c>
      <c r="V1580">
        <v>4489.57</v>
      </c>
      <c r="W1580">
        <v>991</v>
      </c>
      <c r="X1580">
        <v>1.5</v>
      </c>
      <c r="Y1580">
        <v>666</v>
      </c>
      <c r="Z1580">
        <v>6.74</v>
      </c>
      <c r="AJ1580">
        <v>2</v>
      </c>
      <c r="AK1580">
        <v>18</v>
      </c>
      <c r="AM1580">
        <v>0</v>
      </c>
      <c r="AO1580" t="s">
        <v>250</v>
      </c>
      <c r="AT1580">
        <v>76</v>
      </c>
      <c r="AV1580">
        <v>71.099999999999994</v>
      </c>
      <c r="AW1580" t="s">
        <v>6</v>
      </c>
      <c r="AX1580" t="s">
        <v>6</v>
      </c>
      <c r="AY1580" t="s">
        <v>6</v>
      </c>
      <c r="AZ1580" t="s">
        <v>6</v>
      </c>
      <c r="BA1580" t="s">
        <v>6</v>
      </c>
      <c r="BB1580" t="s">
        <v>6</v>
      </c>
      <c r="BC1580" t="s">
        <v>6</v>
      </c>
      <c r="BD1580" t="s">
        <v>6</v>
      </c>
      <c r="BE1580" t="s">
        <v>6</v>
      </c>
      <c r="BF1580" t="s">
        <v>6</v>
      </c>
      <c r="BG1580" t="s">
        <v>6</v>
      </c>
      <c r="BH1580" t="s">
        <v>6</v>
      </c>
      <c r="BI1580" t="s">
        <v>6</v>
      </c>
      <c r="BJ1580" t="s">
        <v>6</v>
      </c>
      <c r="BN1580">
        <v>606.1585</v>
      </c>
      <c r="BO1580">
        <v>2977</v>
      </c>
      <c r="BP1580">
        <v>0</v>
      </c>
      <c r="BQ1580">
        <v>70</v>
      </c>
      <c r="BR1580">
        <v>70</v>
      </c>
      <c r="BS1580">
        <v>69.730009999999993</v>
      </c>
      <c r="BT1580">
        <v>0</v>
      </c>
      <c r="BV1580">
        <v>0</v>
      </c>
      <c r="BW1580" t="s">
        <v>655</v>
      </c>
      <c r="BX1580">
        <v>0.17</v>
      </c>
      <c r="BY1580">
        <v>11.854100000000001</v>
      </c>
      <c r="BZ1580">
        <v>0</v>
      </c>
      <c r="CA1580">
        <v>1</v>
      </c>
      <c r="CB1580">
        <v>0.6</v>
      </c>
      <c r="CC1580" s="3">
        <v>7.1269159999999998E-2</v>
      </c>
      <c r="CD1580">
        <v>2.875</v>
      </c>
      <c r="CE1580">
        <v>2.5</v>
      </c>
      <c r="CF1580">
        <v>18</v>
      </c>
      <c r="CG1580">
        <v>6</v>
      </c>
      <c r="CH1580">
        <v>0</v>
      </c>
      <c r="CI1580">
        <v>69.730009999999993</v>
      </c>
      <c r="CJ1580">
        <v>973.42010000000005</v>
      </c>
    </row>
    <row r="1581" spans="1:88">
      <c r="A1581">
        <v>1580</v>
      </c>
      <c r="B1581" t="s">
        <v>13</v>
      </c>
      <c r="C1581" t="s">
        <v>1</v>
      </c>
      <c r="D1581" t="s">
        <v>317</v>
      </c>
      <c r="E1581" t="s">
        <v>317</v>
      </c>
      <c r="F1581" t="s">
        <v>318</v>
      </c>
      <c r="G1581" t="s">
        <v>106</v>
      </c>
      <c r="H1581" t="s">
        <v>180</v>
      </c>
      <c r="J1581">
        <v>2</v>
      </c>
      <c r="K1581" t="s">
        <v>146</v>
      </c>
      <c r="L1581" t="s">
        <v>169</v>
      </c>
      <c r="M1581" t="s">
        <v>400</v>
      </c>
      <c r="N1581" t="s">
        <v>228</v>
      </c>
      <c r="O1581">
        <v>99</v>
      </c>
      <c r="Q1581">
        <v>258</v>
      </c>
      <c r="R1581">
        <v>62</v>
      </c>
      <c r="S1581">
        <v>4.25</v>
      </c>
      <c r="T1581">
        <v>2.758</v>
      </c>
      <c r="U1581">
        <v>5.88</v>
      </c>
      <c r="V1581">
        <v>1095.48</v>
      </c>
      <c r="W1581">
        <v>367</v>
      </c>
      <c r="X1581">
        <v>1.3332999999999999</v>
      </c>
      <c r="Y1581">
        <v>268</v>
      </c>
      <c r="Z1581">
        <v>4.09</v>
      </c>
      <c r="AJ1581">
        <v>2</v>
      </c>
      <c r="AK1581">
        <v>18</v>
      </c>
      <c r="AM1581">
        <v>0</v>
      </c>
      <c r="AO1581" t="s">
        <v>319</v>
      </c>
      <c r="AT1581">
        <v>40</v>
      </c>
      <c r="AV1581">
        <v>33.200000000000003</v>
      </c>
      <c r="AW1581">
        <v>0</v>
      </c>
      <c r="AX1581">
        <v>0</v>
      </c>
      <c r="AY1581">
        <v>36.375</v>
      </c>
      <c r="AZ1581">
        <v>3.375</v>
      </c>
      <c r="BA1581">
        <v>0</v>
      </c>
      <c r="BB1581">
        <v>0</v>
      </c>
      <c r="BC1581">
        <v>34</v>
      </c>
      <c r="BN1581">
        <v>156.93340000000001</v>
      </c>
      <c r="BO1581">
        <v>4213</v>
      </c>
      <c r="BP1581">
        <v>0</v>
      </c>
      <c r="BQ1581">
        <v>34</v>
      </c>
      <c r="BR1581">
        <v>34</v>
      </c>
      <c r="BS1581">
        <v>33.56</v>
      </c>
      <c r="BT1581">
        <v>0</v>
      </c>
      <c r="BV1581">
        <v>0</v>
      </c>
      <c r="BW1581" t="s">
        <v>655</v>
      </c>
      <c r="BX1581">
        <v>0.17</v>
      </c>
      <c r="BY1581">
        <v>5.7051999999999996</v>
      </c>
      <c r="BZ1581">
        <v>0</v>
      </c>
      <c r="CA1581">
        <v>1</v>
      </c>
      <c r="CB1581">
        <v>0.6</v>
      </c>
      <c r="CC1581" s="3">
        <v>7.1269159999999998E-2</v>
      </c>
      <c r="CD1581">
        <v>2.875</v>
      </c>
      <c r="CE1581">
        <v>2.5</v>
      </c>
      <c r="CF1581">
        <v>18</v>
      </c>
      <c r="CG1581">
        <v>6</v>
      </c>
      <c r="CH1581">
        <v>0</v>
      </c>
      <c r="CI1581">
        <v>33.56</v>
      </c>
      <c r="CJ1581">
        <v>218.84909999999999</v>
      </c>
    </row>
    <row r="1582" spans="1:88">
      <c r="A1582">
        <v>1581</v>
      </c>
      <c r="B1582" t="s">
        <v>13</v>
      </c>
      <c r="C1582" t="s">
        <v>1</v>
      </c>
      <c r="D1582" t="s">
        <v>491</v>
      </c>
      <c r="E1582" t="s">
        <v>491</v>
      </c>
      <c r="F1582" t="s">
        <v>597</v>
      </c>
      <c r="G1582" t="s">
        <v>106</v>
      </c>
      <c r="H1582" t="s">
        <v>598</v>
      </c>
      <c r="J1582">
        <v>2</v>
      </c>
      <c r="K1582" t="s">
        <v>146</v>
      </c>
      <c r="L1582" t="s">
        <v>537</v>
      </c>
      <c r="M1582" t="s">
        <v>492</v>
      </c>
      <c r="N1582" t="s">
        <v>493</v>
      </c>
      <c r="O1582">
        <v>47</v>
      </c>
      <c r="Q1582">
        <v>61</v>
      </c>
      <c r="R1582">
        <v>28</v>
      </c>
      <c r="S1582">
        <v>4.25</v>
      </c>
      <c r="T1582">
        <v>1.2390000000000001</v>
      </c>
      <c r="U1582">
        <v>5.0599999999999996</v>
      </c>
      <c r="V1582">
        <v>257.12</v>
      </c>
      <c r="W1582">
        <v>140</v>
      </c>
      <c r="X1582">
        <v>1.5</v>
      </c>
      <c r="Y1582">
        <v>94</v>
      </c>
      <c r="Z1582">
        <v>2.73</v>
      </c>
      <c r="AJ1582">
        <v>2</v>
      </c>
      <c r="AK1582">
        <v>18</v>
      </c>
      <c r="AM1582">
        <v>0</v>
      </c>
      <c r="AO1582" t="s">
        <v>599</v>
      </c>
      <c r="AT1582">
        <v>22</v>
      </c>
      <c r="AV1582">
        <v>14.3</v>
      </c>
      <c r="AW1582">
        <v>0</v>
      </c>
      <c r="AX1582">
        <v>0</v>
      </c>
      <c r="AY1582">
        <v>12.25</v>
      </c>
      <c r="AZ1582">
        <v>1.375</v>
      </c>
      <c r="BA1582">
        <v>0</v>
      </c>
      <c r="BB1582">
        <v>0</v>
      </c>
      <c r="BC1582">
        <v>5</v>
      </c>
      <c r="BN1582">
        <v>64.200010000000006</v>
      </c>
      <c r="BO1582">
        <v>25177</v>
      </c>
      <c r="BP1582">
        <v>0</v>
      </c>
      <c r="BQ1582">
        <v>15</v>
      </c>
      <c r="BR1582">
        <v>15</v>
      </c>
      <c r="BS1582">
        <v>15.47</v>
      </c>
      <c r="BT1582">
        <v>0</v>
      </c>
      <c r="BV1582">
        <v>0</v>
      </c>
      <c r="BW1582" t="s">
        <v>655</v>
      </c>
      <c r="BX1582">
        <v>0.17</v>
      </c>
      <c r="BY1582">
        <v>2.6299000000000001</v>
      </c>
      <c r="BZ1582">
        <v>0</v>
      </c>
      <c r="CA1582">
        <v>1</v>
      </c>
      <c r="CB1582">
        <v>0.6</v>
      </c>
      <c r="CC1582" s="3">
        <v>7.1269159999999998E-2</v>
      </c>
      <c r="CD1582">
        <v>2.875</v>
      </c>
      <c r="CE1582">
        <v>2.5</v>
      </c>
      <c r="CF1582">
        <v>18</v>
      </c>
      <c r="CG1582">
        <v>6</v>
      </c>
      <c r="CH1582">
        <v>0</v>
      </c>
      <c r="CI1582">
        <v>15.47</v>
      </c>
      <c r="CJ1582">
        <v>43.550089999999997</v>
      </c>
    </row>
    <row r="1583" spans="1:88">
      <c r="A1583">
        <v>1582</v>
      </c>
      <c r="B1583" t="s">
        <v>13</v>
      </c>
      <c r="C1583" t="s">
        <v>1</v>
      </c>
      <c r="D1583" t="s">
        <v>96</v>
      </c>
      <c r="E1583" t="s">
        <v>234</v>
      </c>
      <c r="F1583" t="s">
        <v>198</v>
      </c>
      <c r="G1583" t="s">
        <v>106</v>
      </c>
      <c r="H1583" t="s">
        <v>162</v>
      </c>
      <c r="J1583">
        <v>2</v>
      </c>
      <c r="K1583" t="s">
        <v>146</v>
      </c>
      <c r="L1583" t="s">
        <v>103</v>
      </c>
      <c r="M1583" t="s">
        <v>435</v>
      </c>
      <c r="N1583" t="s">
        <v>295</v>
      </c>
      <c r="O1583">
        <v>147</v>
      </c>
      <c r="Q1583">
        <v>496</v>
      </c>
      <c r="R1583">
        <v>81</v>
      </c>
      <c r="S1583">
        <v>4.25</v>
      </c>
      <c r="T1583">
        <v>3.976</v>
      </c>
      <c r="U1583">
        <v>6.67</v>
      </c>
      <c r="V1583">
        <v>2106.85</v>
      </c>
      <c r="W1583">
        <v>539</v>
      </c>
      <c r="X1583">
        <v>1.3332999999999999</v>
      </c>
      <c r="Y1583">
        <v>398</v>
      </c>
      <c r="Z1583">
        <v>5.3</v>
      </c>
      <c r="AJ1583">
        <v>2</v>
      </c>
      <c r="AK1583">
        <v>18</v>
      </c>
      <c r="AM1583">
        <v>0</v>
      </c>
      <c r="AO1583" t="s">
        <v>166</v>
      </c>
      <c r="AT1583">
        <v>56</v>
      </c>
      <c r="AV1583">
        <v>44.8</v>
      </c>
      <c r="AW1583">
        <v>0.46875</v>
      </c>
      <c r="AX1583">
        <v>3.75</v>
      </c>
      <c r="AY1583">
        <v>54.5</v>
      </c>
      <c r="AZ1583">
        <v>5</v>
      </c>
      <c r="BA1583">
        <v>371.85</v>
      </c>
      <c r="BB1583">
        <v>5.3</v>
      </c>
      <c r="BC1583">
        <v>59</v>
      </c>
      <c r="BD1583">
        <v>0.25</v>
      </c>
      <c r="BE1583">
        <v>2.75</v>
      </c>
      <c r="BF1583">
        <v>44.75</v>
      </c>
      <c r="BG1583">
        <v>2.625</v>
      </c>
      <c r="BH1583">
        <v>25.66</v>
      </c>
      <c r="BI1583">
        <v>13.38</v>
      </c>
      <c r="BJ1583">
        <v>20</v>
      </c>
      <c r="BL1583">
        <v>397.51</v>
      </c>
      <c r="BM1583">
        <v>78</v>
      </c>
      <c r="BN1583">
        <v>214</v>
      </c>
      <c r="BO1583">
        <v>2266</v>
      </c>
      <c r="BP1583">
        <v>0</v>
      </c>
      <c r="BQ1583">
        <v>50</v>
      </c>
      <c r="BR1583">
        <v>50</v>
      </c>
      <c r="BS1583">
        <v>50.26</v>
      </c>
      <c r="BT1583">
        <v>0</v>
      </c>
      <c r="BV1583">
        <v>0</v>
      </c>
      <c r="BW1583" t="s">
        <v>655</v>
      </c>
      <c r="BX1583">
        <v>0.17</v>
      </c>
      <c r="BY1583">
        <v>8.5442</v>
      </c>
      <c r="BZ1583">
        <v>0</v>
      </c>
      <c r="CA1583">
        <v>1</v>
      </c>
      <c r="CB1583">
        <v>0.6</v>
      </c>
      <c r="CC1583" s="3">
        <v>7.1269159999999998E-2</v>
      </c>
      <c r="CD1583">
        <v>2.875</v>
      </c>
      <c r="CE1583">
        <v>2.5</v>
      </c>
      <c r="CF1583">
        <v>18</v>
      </c>
      <c r="CG1583">
        <v>6</v>
      </c>
      <c r="CH1583">
        <v>0</v>
      </c>
      <c r="CI1583">
        <v>50.26</v>
      </c>
      <c r="CJ1583">
        <v>442.37549999999999</v>
      </c>
    </row>
    <row r="1584" spans="1:88">
      <c r="A1584">
        <v>1583</v>
      </c>
      <c r="B1584" t="s">
        <v>0</v>
      </c>
      <c r="C1584" t="s">
        <v>1</v>
      </c>
      <c r="D1584" t="s">
        <v>96</v>
      </c>
      <c r="E1584" t="s">
        <v>259</v>
      </c>
      <c r="F1584" t="s">
        <v>198</v>
      </c>
      <c r="G1584" t="s">
        <v>106</v>
      </c>
      <c r="H1584" t="s">
        <v>162</v>
      </c>
      <c r="J1584">
        <v>2</v>
      </c>
      <c r="K1584" t="s">
        <v>146</v>
      </c>
      <c r="L1584" t="s">
        <v>181</v>
      </c>
      <c r="M1584" t="s">
        <v>261</v>
      </c>
      <c r="N1584" t="s">
        <v>364</v>
      </c>
      <c r="O1584">
        <v>141</v>
      </c>
      <c r="Q1584">
        <v>477</v>
      </c>
      <c r="R1584">
        <v>81</v>
      </c>
      <c r="S1584">
        <v>4.25</v>
      </c>
      <c r="T1584">
        <v>3.831</v>
      </c>
      <c r="U1584">
        <v>6.56</v>
      </c>
      <c r="V1584">
        <v>2027.16</v>
      </c>
      <c r="W1584">
        <v>530</v>
      </c>
      <c r="X1584">
        <v>1.3332999999999999</v>
      </c>
      <c r="Y1584">
        <v>393</v>
      </c>
      <c r="Z1584">
        <v>5.16</v>
      </c>
      <c r="AJ1584">
        <v>2</v>
      </c>
      <c r="AK1584">
        <v>18</v>
      </c>
      <c r="AM1584">
        <v>0</v>
      </c>
      <c r="AO1584" t="s">
        <v>166</v>
      </c>
      <c r="AT1584">
        <v>54</v>
      </c>
      <c r="AV1584">
        <v>44.8</v>
      </c>
      <c r="AW1584">
        <v>0.46875</v>
      </c>
      <c r="AX1584">
        <v>3.75</v>
      </c>
      <c r="AY1584">
        <v>53.125</v>
      </c>
      <c r="AZ1584">
        <v>4.875</v>
      </c>
      <c r="BA1584">
        <v>381.94</v>
      </c>
      <c r="BB1584">
        <v>5.16</v>
      </c>
      <c r="BC1584">
        <v>57</v>
      </c>
      <c r="BD1584">
        <v>0.1875</v>
      </c>
      <c r="BE1584">
        <v>2.75</v>
      </c>
      <c r="BF1584">
        <v>24.375</v>
      </c>
      <c r="BG1584">
        <v>1.875</v>
      </c>
      <c r="BH1584">
        <v>10.91</v>
      </c>
      <c r="BI1584">
        <v>13.9</v>
      </c>
      <c r="BJ1584">
        <v>8</v>
      </c>
      <c r="BL1584">
        <v>392.85</v>
      </c>
      <c r="BM1584">
        <v>65</v>
      </c>
      <c r="BN1584">
        <v>214</v>
      </c>
      <c r="BO1584">
        <v>2266</v>
      </c>
      <c r="BP1584">
        <v>0</v>
      </c>
      <c r="BQ1584">
        <v>48</v>
      </c>
      <c r="BR1584">
        <v>48</v>
      </c>
      <c r="BS1584">
        <v>48.17</v>
      </c>
      <c r="BT1584">
        <v>0</v>
      </c>
      <c r="BV1584">
        <v>0</v>
      </c>
      <c r="BW1584" t="s">
        <v>655</v>
      </c>
      <c r="BX1584">
        <v>0.17</v>
      </c>
      <c r="BY1584">
        <v>8.1889000000000003</v>
      </c>
      <c r="BZ1584">
        <v>0</v>
      </c>
      <c r="CA1584">
        <v>1</v>
      </c>
      <c r="CB1584">
        <v>0.6</v>
      </c>
      <c r="CC1584" s="3">
        <v>7.1269159999999998E-2</v>
      </c>
      <c r="CD1584">
        <v>2.875</v>
      </c>
      <c r="CE1584">
        <v>2.5</v>
      </c>
      <c r="CF1584">
        <v>18</v>
      </c>
      <c r="CG1584">
        <v>6</v>
      </c>
      <c r="CH1584">
        <v>0</v>
      </c>
      <c r="CI1584">
        <v>48.17</v>
      </c>
      <c r="CJ1584">
        <v>423.97989999999999</v>
      </c>
    </row>
    <row r="1585" spans="1:88">
      <c r="A1585">
        <v>1584</v>
      </c>
      <c r="B1585" t="s">
        <v>0</v>
      </c>
      <c r="C1585" t="s">
        <v>1</v>
      </c>
      <c r="D1585" t="s">
        <v>122</v>
      </c>
      <c r="E1585" t="s">
        <v>139</v>
      </c>
      <c r="F1585" t="s">
        <v>286</v>
      </c>
      <c r="G1585" t="s">
        <v>106</v>
      </c>
      <c r="H1585" t="s">
        <v>153</v>
      </c>
      <c r="J1585">
        <v>2</v>
      </c>
      <c r="K1585" t="s">
        <v>146</v>
      </c>
      <c r="L1585" t="s">
        <v>158</v>
      </c>
      <c r="M1585" t="s">
        <v>385</v>
      </c>
      <c r="N1585" t="s">
        <v>177</v>
      </c>
      <c r="O1585">
        <v>109</v>
      </c>
      <c r="Q1585">
        <v>365</v>
      </c>
      <c r="R1585">
        <v>79</v>
      </c>
      <c r="S1585">
        <v>4.25</v>
      </c>
      <c r="T1585">
        <v>3.024</v>
      </c>
      <c r="U1585">
        <v>6.11</v>
      </c>
      <c r="V1585">
        <v>1551.76</v>
      </c>
      <c r="W1585">
        <v>480</v>
      </c>
      <c r="X1585">
        <v>1.3332999999999999</v>
      </c>
      <c r="Y1585">
        <v>357</v>
      </c>
      <c r="Z1585">
        <v>4.3499999999999996</v>
      </c>
      <c r="AJ1585">
        <v>2</v>
      </c>
      <c r="AK1585">
        <v>18</v>
      </c>
      <c r="AM1585">
        <v>0</v>
      </c>
      <c r="AO1585" t="s">
        <v>306</v>
      </c>
      <c r="AT1585">
        <v>43</v>
      </c>
      <c r="AV1585">
        <v>43.3</v>
      </c>
      <c r="AW1585">
        <v>0</v>
      </c>
      <c r="AX1585">
        <v>0</v>
      </c>
      <c r="AY1585">
        <v>39.875</v>
      </c>
      <c r="AZ1585">
        <v>3.75</v>
      </c>
      <c r="BA1585">
        <v>0</v>
      </c>
      <c r="BB1585">
        <v>0</v>
      </c>
      <c r="BC1585">
        <v>40</v>
      </c>
      <c r="BN1585">
        <v>206.86670000000001</v>
      </c>
      <c r="BO1585">
        <v>2425</v>
      </c>
      <c r="BP1585">
        <v>0</v>
      </c>
      <c r="BQ1585">
        <v>37</v>
      </c>
      <c r="BR1585">
        <v>37</v>
      </c>
      <c r="BS1585">
        <v>37.04</v>
      </c>
      <c r="BT1585">
        <v>0</v>
      </c>
      <c r="BV1585">
        <v>0</v>
      </c>
      <c r="BW1585" t="s">
        <v>655</v>
      </c>
      <c r="BX1585">
        <v>0.17</v>
      </c>
      <c r="BY1585">
        <v>6.2968000000000002</v>
      </c>
      <c r="BZ1585">
        <v>0</v>
      </c>
      <c r="CA1585">
        <v>1</v>
      </c>
      <c r="CB1585">
        <v>0.6</v>
      </c>
      <c r="CC1585" s="3">
        <v>7.1269159999999998E-2</v>
      </c>
      <c r="CD1585">
        <v>2.875</v>
      </c>
      <c r="CE1585">
        <v>2.5</v>
      </c>
      <c r="CF1585">
        <v>18</v>
      </c>
      <c r="CG1585">
        <v>6</v>
      </c>
      <c r="CH1585">
        <v>0</v>
      </c>
      <c r="CI1585">
        <v>37.04</v>
      </c>
      <c r="CJ1585">
        <v>315.45729999999998</v>
      </c>
    </row>
    <row r="1586" spans="1:88">
      <c r="A1586">
        <v>1585</v>
      </c>
      <c r="B1586" t="s">
        <v>13</v>
      </c>
      <c r="C1586" t="s">
        <v>1</v>
      </c>
      <c r="D1586" t="s">
        <v>143</v>
      </c>
      <c r="E1586" t="s">
        <v>176</v>
      </c>
      <c r="F1586" t="s">
        <v>144</v>
      </c>
      <c r="G1586" t="s">
        <v>106</v>
      </c>
      <c r="H1586" t="s">
        <v>145</v>
      </c>
      <c r="J1586">
        <v>2</v>
      </c>
      <c r="K1586" t="s">
        <v>146</v>
      </c>
      <c r="L1586" t="s">
        <v>167</v>
      </c>
      <c r="M1586" t="s">
        <v>226</v>
      </c>
      <c r="N1586" t="s">
        <v>227</v>
      </c>
      <c r="O1586">
        <v>113</v>
      </c>
      <c r="Q1586">
        <v>464</v>
      </c>
      <c r="R1586">
        <v>95</v>
      </c>
      <c r="S1586">
        <v>4.25</v>
      </c>
      <c r="T1586">
        <v>3.1280000000000001</v>
      </c>
      <c r="U1586">
        <v>6.18</v>
      </c>
      <c r="V1586">
        <v>1972.21</v>
      </c>
      <c r="W1586">
        <v>585</v>
      </c>
      <c r="X1586">
        <v>1.3332999999999999</v>
      </c>
      <c r="Y1586">
        <v>442</v>
      </c>
      <c r="Z1586">
        <v>4.46</v>
      </c>
      <c r="AJ1586">
        <v>2</v>
      </c>
      <c r="AK1586">
        <v>18</v>
      </c>
      <c r="AM1586">
        <v>0</v>
      </c>
      <c r="AO1586" t="s">
        <v>149</v>
      </c>
      <c r="AT1586">
        <v>45</v>
      </c>
      <c r="AV1586">
        <v>53.5</v>
      </c>
      <c r="AW1586">
        <v>0</v>
      </c>
      <c r="AX1586">
        <v>0</v>
      </c>
      <c r="AY1586">
        <v>45.875</v>
      </c>
      <c r="AZ1586">
        <v>4.125</v>
      </c>
      <c r="BA1586">
        <v>0</v>
      </c>
      <c r="BB1586">
        <v>0</v>
      </c>
      <c r="BC1586">
        <v>49</v>
      </c>
      <c r="BN1586">
        <v>256.80009999999999</v>
      </c>
      <c r="BO1586">
        <v>1574</v>
      </c>
      <c r="BP1586">
        <v>0</v>
      </c>
      <c r="BQ1586">
        <v>38</v>
      </c>
      <c r="BR1586">
        <v>38</v>
      </c>
      <c r="BS1586">
        <v>38.43</v>
      </c>
      <c r="BT1586">
        <v>0</v>
      </c>
      <c r="BV1586">
        <v>0</v>
      </c>
      <c r="BW1586" t="s">
        <v>655</v>
      </c>
      <c r="BX1586">
        <v>0.17</v>
      </c>
      <c r="BY1586">
        <v>6.5331000000000001</v>
      </c>
      <c r="BZ1586">
        <v>0</v>
      </c>
      <c r="CA1586">
        <v>1</v>
      </c>
      <c r="CB1586">
        <v>0.6</v>
      </c>
      <c r="CC1586" s="3">
        <v>7.1269159999999998E-2</v>
      </c>
      <c r="CD1586">
        <v>2.875</v>
      </c>
      <c r="CE1586">
        <v>2.5</v>
      </c>
      <c r="CF1586">
        <v>18</v>
      </c>
      <c r="CG1586">
        <v>6</v>
      </c>
      <c r="CH1586">
        <v>0</v>
      </c>
      <c r="CI1586">
        <v>38.43</v>
      </c>
      <c r="CJ1586">
        <v>403.98379999999997</v>
      </c>
    </row>
    <row r="1587" spans="1:88">
      <c r="A1587">
        <v>1586</v>
      </c>
      <c r="B1587" t="s">
        <v>13</v>
      </c>
      <c r="C1587" t="s">
        <v>1</v>
      </c>
      <c r="D1587" t="s">
        <v>139</v>
      </c>
      <c r="E1587" t="s">
        <v>165</v>
      </c>
      <c r="F1587" t="s">
        <v>155</v>
      </c>
      <c r="G1587" t="s">
        <v>106</v>
      </c>
      <c r="H1587" t="s">
        <v>151</v>
      </c>
      <c r="J1587">
        <v>2</v>
      </c>
      <c r="K1587" t="s">
        <v>146</v>
      </c>
      <c r="L1587" t="s">
        <v>125</v>
      </c>
      <c r="M1587" t="s">
        <v>252</v>
      </c>
      <c r="N1587" t="s">
        <v>293</v>
      </c>
      <c r="O1587">
        <v>148</v>
      </c>
      <c r="Q1587">
        <v>411</v>
      </c>
      <c r="R1587">
        <v>68</v>
      </c>
      <c r="S1587">
        <v>4.25</v>
      </c>
      <c r="T1587">
        <v>4</v>
      </c>
      <c r="U1587">
        <v>6.67</v>
      </c>
      <c r="V1587">
        <v>1748.74</v>
      </c>
      <c r="W1587">
        <v>455</v>
      </c>
      <c r="X1587">
        <v>1.3332999999999999</v>
      </c>
      <c r="Y1587">
        <v>328</v>
      </c>
      <c r="Z1587">
        <v>5.33</v>
      </c>
      <c r="AJ1587">
        <v>2</v>
      </c>
      <c r="AK1587">
        <v>18</v>
      </c>
      <c r="AM1587">
        <v>0</v>
      </c>
      <c r="AO1587" t="s">
        <v>154</v>
      </c>
      <c r="AT1587">
        <v>57</v>
      </c>
      <c r="AV1587">
        <v>36.799999999999997</v>
      </c>
      <c r="AW1587">
        <v>0</v>
      </c>
      <c r="AX1587">
        <v>0</v>
      </c>
      <c r="AY1587">
        <v>61.75</v>
      </c>
      <c r="AZ1587">
        <v>5</v>
      </c>
      <c r="BA1587">
        <v>0</v>
      </c>
      <c r="BB1587">
        <v>0</v>
      </c>
      <c r="BC1587">
        <v>66</v>
      </c>
      <c r="BN1587">
        <v>174.76669999999999</v>
      </c>
      <c r="BO1587">
        <v>3397</v>
      </c>
      <c r="BP1587">
        <v>0</v>
      </c>
      <c r="BQ1587">
        <v>51</v>
      </c>
      <c r="BR1587">
        <v>51</v>
      </c>
      <c r="BS1587">
        <v>50.6</v>
      </c>
      <c r="BT1587">
        <v>0</v>
      </c>
      <c r="BV1587">
        <v>0</v>
      </c>
      <c r="BW1587" t="s">
        <v>655</v>
      </c>
      <c r="BX1587">
        <v>0.17</v>
      </c>
      <c r="BY1587">
        <v>8.6019989999999993</v>
      </c>
      <c r="BZ1587">
        <v>0</v>
      </c>
      <c r="CA1587">
        <v>1</v>
      </c>
      <c r="CB1587">
        <v>0.6</v>
      </c>
      <c r="CC1587" s="3">
        <v>7.1269159999999998E-2</v>
      </c>
      <c r="CD1587">
        <v>2.875</v>
      </c>
      <c r="CE1587">
        <v>2.5</v>
      </c>
      <c r="CF1587">
        <v>18</v>
      </c>
      <c r="CG1587">
        <v>6</v>
      </c>
      <c r="CH1587">
        <v>0</v>
      </c>
      <c r="CI1587">
        <v>50.6</v>
      </c>
      <c r="CJ1587">
        <v>366.03129999999999</v>
      </c>
    </row>
    <row r="1588" spans="1:88">
      <c r="A1588">
        <v>1587</v>
      </c>
      <c r="B1588" t="s">
        <v>13</v>
      </c>
      <c r="C1588" t="s">
        <v>1</v>
      </c>
      <c r="D1588" t="s">
        <v>133</v>
      </c>
      <c r="E1588" t="s">
        <v>8</v>
      </c>
      <c r="F1588" t="s">
        <v>298</v>
      </c>
      <c r="G1588" t="s">
        <v>106</v>
      </c>
      <c r="H1588" t="s">
        <v>257</v>
      </c>
      <c r="J1588">
        <v>2</v>
      </c>
      <c r="K1588" t="s">
        <v>146</v>
      </c>
      <c r="L1588" t="s">
        <v>10</v>
      </c>
      <c r="M1588" t="s">
        <v>11</v>
      </c>
      <c r="N1588" t="s">
        <v>12</v>
      </c>
      <c r="O1588">
        <v>203</v>
      </c>
      <c r="Q1588">
        <v>734</v>
      </c>
      <c r="R1588">
        <v>93</v>
      </c>
      <c r="S1588">
        <v>4.25</v>
      </c>
      <c r="T1588">
        <v>5.2460000000000004</v>
      </c>
      <c r="U1588">
        <v>7.35</v>
      </c>
      <c r="V1588">
        <v>3121.24</v>
      </c>
      <c r="W1588">
        <v>686</v>
      </c>
      <c r="X1588">
        <v>1.5</v>
      </c>
      <c r="Y1588">
        <v>463</v>
      </c>
      <c r="Z1588">
        <v>6.74</v>
      </c>
      <c r="AJ1588">
        <v>2</v>
      </c>
      <c r="AK1588">
        <v>18</v>
      </c>
      <c r="AM1588">
        <v>0</v>
      </c>
      <c r="AO1588" t="s">
        <v>301</v>
      </c>
      <c r="AT1588">
        <v>76</v>
      </c>
      <c r="AV1588">
        <v>49.1</v>
      </c>
      <c r="AW1588">
        <v>0.4375</v>
      </c>
      <c r="AX1588">
        <v>3.75</v>
      </c>
      <c r="AY1588">
        <v>61.5</v>
      </c>
      <c r="AZ1588">
        <v>5.875</v>
      </c>
      <c r="BA1588">
        <v>231.54</v>
      </c>
      <c r="BB1588">
        <v>7.1</v>
      </c>
      <c r="BC1588">
        <v>62</v>
      </c>
      <c r="BD1588">
        <v>0.4375</v>
      </c>
      <c r="BE1588">
        <v>3.75</v>
      </c>
      <c r="BF1588">
        <v>61.5</v>
      </c>
      <c r="BG1588">
        <v>5.875</v>
      </c>
      <c r="BH1588">
        <v>231.54</v>
      </c>
      <c r="BI1588">
        <v>7.1</v>
      </c>
      <c r="BJ1588">
        <v>62</v>
      </c>
      <c r="BL1588">
        <v>463.08</v>
      </c>
      <c r="BM1588">
        <v>124</v>
      </c>
      <c r="BN1588">
        <v>235.40010000000001</v>
      </c>
      <c r="BO1588">
        <v>1873</v>
      </c>
      <c r="BP1588">
        <v>0</v>
      </c>
      <c r="BQ1588">
        <v>70</v>
      </c>
      <c r="BR1588">
        <v>70</v>
      </c>
      <c r="BS1588">
        <v>69.730009999999993</v>
      </c>
      <c r="BT1588">
        <v>0</v>
      </c>
      <c r="BV1588">
        <v>0</v>
      </c>
      <c r="BW1588" t="s">
        <v>655</v>
      </c>
      <c r="BX1588">
        <v>0.17</v>
      </c>
      <c r="BY1588">
        <v>11.854100000000001</v>
      </c>
      <c r="BZ1588">
        <v>0</v>
      </c>
      <c r="CA1588">
        <v>1</v>
      </c>
      <c r="CB1588">
        <v>0.6</v>
      </c>
      <c r="CC1588" s="3">
        <v>7.1269159999999998E-2</v>
      </c>
      <c r="CD1588">
        <v>2.875</v>
      </c>
      <c r="CE1588">
        <v>2.5</v>
      </c>
      <c r="CF1588">
        <v>18</v>
      </c>
      <c r="CG1588">
        <v>6</v>
      </c>
      <c r="CH1588">
        <v>0</v>
      </c>
      <c r="CI1588">
        <v>69.730009999999993</v>
      </c>
      <c r="CJ1588">
        <v>673.38059999999996</v>
      </c>
    </row>
    <row r="1589" spans="1:88">
      <c r="A1589">
        <v>1588</v>
      </c>
      <c r="B1589" t="s">
        <v>0</v>
      </c>
      <c r="C1589" t="s">
        <v>1</v>
      </c>
      <c r="D1589" t="s">
        <v>342</v>
      </c>
      <c r="E1589" t="s">
        <v>219</v>
      </c>
      <c r="F1589" t="s">
        <v>484</v>
      </c>
      <c r="G1589" t="s">
        <v>106</v>
      </c>
      <c r="H1589" t="s">
        <v>241</v>
      </c>
      <c r="J1589">
        <v>2</v>
      </c>
      <c r="K1589" t="s">
        <v>146</v>
      </c>
      <c r="L1589" t="s">
        <v>369</v>
      </c>
      <c r="M1589" t="s">
        <v>220</v>
      </c>
      <c r="N1589" t="s">
        <v>221</v>
      </c>
      <c r="O1589">
        <v>101</v>
      </c>
      <c r="Q1589">
        <v>234</v>
      </c>
      <c r="R1589">
        <v>52</v>
      </c>
      <c r="S1589">
        <v>4.25</v>
      </c>
      <c r="T1589">
        <v>2.8119999999999998</v>
      </c>
      <c r="U1589">
        <v>5.92</v>
      </c>
      <c r="V1589">
        <v>996.19</v>
      </c>
      <c r="W1589">
        <v>306</v>
      </c>
      <c r="X1589">
        <v>1.3332999999999999</v>
      </c>
      <c r="Y1589">
        <v>241</v>
      </c>
      <c r="Z1589">
        <v>4.1399999999999997</v>
      </c>
      <c r="AJ1589">
        <v>2</v>
      </c>
      <c r="AK1589">
        <v>18</v>
      </c>
      <c r="AM1589">
        <v>0</v>
      </c>
      <c r="AO1589" t="s">
        <v>243</v>
      </c>
      <c r="AT1589">
        <v>40</v>
      </c>
      <c r="AV1589">
        <v>29.5</v>
      </c>
      <c r="AW1589">
        <v>0</v>
      </c>
      <c r="AX1589">
        <v>0</v>
      </c>
      <c r="AY1589">
        <v>26.875</v>
      </c>
      <c r="AZ1589">
        <v>3.125</v>
      </c>
      <c r="BA1589">
        <v>0</v>
      </c>
      <c r="BB1589">
        <v>0</v>
      </c>
      <c r="BC1589">
        <v>24</v>
      </c>
      <c r="BN1589">
        <v>139.1</v>
      </c>
      <c r="BO1589">
        <v>5363</v>
      </c>
      <c r="BP1589">
        <v>0</v>
      </c>
      <c r="BQ1589">
        <v>34</v>
      </c>
      <c r="BR1589">
        <v>34</v>
      </c>
      <c r="BS1589">
        <v>34.26</v>
      </c>
      <c r="BT1589">
        <v>0</v>
      </c>
      <c r="BV1589">
        <v>0</v>
      </c>
      <c r="BW1589" t="s">
        <v>655</v>
      </c>
      <c r="BX1589">
        <v>0.17</v>
      </c>
      <c r="BY1589">
        <v>5.8242000000000003</v>
      </c>
      <c r="BZ1589">
        <v>0</v>
      </c>
      <c r="CA1589">
        <v>1</v>
      </c>
      <c r="CB1589">
        <v>0.6</v>
      </c>
      <c r="CC1589" s="3">
        <v>7.1269159999999998E-2</v>
      </c>
      <c r="CD1589">
        <v>2.875</v>
      </c>
      <c r="CE1589">
        <v>2.5</v>
      </c>
      <c r="CF1589">
        <v>18</v>
      </c>
      <c r="CG1589">
        <v>6</v>
      </c>
      <c r="CH1589">
        <v>0</v>
      </c>
      <c r="CI1589">
        <v>34.26</v>
      </c>
      <c r="CJ1589">
        <v>198.99700000000001</v>
      </c>
    </row>
    <row r="1590" spans="1:88">
      <c r="A1590">
        <v>1589</v>
      </c>
      <c r="B1590" t="s">
        <v>13</v>
      </c>
      <c r="C1590" t="s">
        <v>1</v>
      </c>
      <c r="D1590" t="s">
        <v>283</v>
      </c>
      <c r="E1590" t="s">
        <v>366</v>
      </c>
      <c r="F1590" t="s">
        <v>243</v>
      </c>
      <c r="G1590" t="s">
        <v>106</v>
      </c>
      <c r="H1590" t="s">
        <v>284</v>
      </c>
      <c r="J1590">
        <v>2</v>
      </c>
      <c r="K1590" t="s">
        <v>146</v>
      </c>
      <c r="L1590" t="s">
        <v>268</v>
      </c>
      <c r="M1590" t="s">
        <v>370</v>
      </c>
      <c r="N1590" t="s">
        <v>217</v>
      </c>
      <c r="O1590">
        <v>103</v>
      </c>
      <c r="Q1590">
        <v>233</v>
      </c>
      <c r="R1590">
        <v>51</v>
      </c>
      <c r="S1590">
        <v>4.25</v>
      </c>
      <c r="T1590">
        <v>2.8650000000000002</v>
      </c>
      <c r="U1590">
        <v>5.96</v>
      </c>
      <c r="V1590">
        <v>989.44</v>
      </c>
      <c r="W1590">
        <v>302</v>
      </c>
      <c r="X1590">
        <v>1.3332999999999999</v>
      </c>
      <c r="Y1590">
        <v>236</v>
      </c>
      <c r="Z1590">
        <v>4.1900000000000004</v>
      </c>
      <c r="AJ1590">
        <v>2</v>
      </c>
      <c r="AK1590">
        <v>18</v>
      </c>
      <c r="AM1590">
        <v>0</v>
      </c>
      <c r="AO1590" t="s">
        <v>285</v>
      </c>
      <c r="AT1590">
        <v>41</v>
      </c>
      <c r="AV1590">
        <v>28.8</v>
      </c>
      <c r="AW1590">
        <v>0</v>
      </c>
      <c r="AX1590">
        <v>0</v>
      </c>
      <c r="AY1590">
        <v>27.375</v>
      </c>
      <c r="AZ1590">
        <v>3.125</v>
      </c>
      <c r="BA1590">
        <v>0</v>
      </c>
      <c r="BB1590">
        <v>0</v>
      </c>
      <c r="BC1590">
        <v>24</v>
      </c>
      <c r="BN1590">
        <v>135.5334</v>
      </c>
      <c r="BO1590">
        <v>5649</v>
      </c>
      <c r="BP1590">
        <v>0</v>
      </c>
      <c r="BQ1590">
        <v>35</v>
      </c>
      <c r="BR1590">
        <v>35</v>
      </c>
      <c r="BS1590">
        <v>34.950000000000003</v>
      </c>
      <c r="BT1590">
        <v>0</v>
      </c>
      <c r="BV1590">
        <v>0</v>
      </c>
      <c r="BW1590" t="s">
        <v>655</v>
      </c>
      <c r="BX1590">
        <v>0.17</v>
      </c>
      <c r="BY1590">
        <v>5.9414999999999996</v>
      </c>
      <c r="BZ1590">
        <v>0</v>
      </c>
      <c r="CA1590">
        <v>1</v>
      </c>
      <c r="CB1590">
        <v>0.6</v>
      </c>
      <c r="CC1590" s="3">
        <v>7.1269159999999998E-2</v>
      </c>
      <c r="CD1590">
        <v>2.875</v>
      </c>
      <c r="CE1590">
        <v>2.5</v>
      </c>
      <c r="CF1590">
        <v>18</v>
      </c>
      <c r="CG1590">
        <v>6</v>
      </c>
      <c r="CH1590">
        <v>0</v>
      </c>
      <c r="CI1590">
        <v>34.950000000000003</v>
      </c>
      <c r="CJ1590">
        <v>198.0231</v>
      </c>
    </row>
    <row r="1591" spans="1:88">
      <c r="A1591">
        <v>1590</v>
      </c>
      <c r="B1591" t="s">
        <v>0</v>
      </c>
      <c r="C1591" t="s">
        <v>1</v>
      </c>
      <c r="D1591" t="s">
        <v>96</v>
      </c>
      <c r="E1591" t="s">
        <v>338</v>
      </c>
      <c r="F1591" t="s">
        <v>198</v>
      </c>
      <c r="G1591" t="s">
        <v>106</v>
      </c>
      <c r="H1591" t="s">
        <v>162</v>
      </c>
      <c r="J1591">
        <v>2</v>
      </c>
      <c r="K1591" t="s">
        <v>146</v>
      </c>
      <c r="L1591" t="s">
        <v>143</v>
      </c>
      <c r="M1591" t="s">
        <v>339</v>
      </c>
      <c r="N1591" t="s">
        <v>340</v>
      </c>
      <c r="O1591">
        <v>135</v>
      </c>
      <c r="Q1591">
        <v>458</v>
      </c>
      <c r="R1591">
        <v>81</v>
      </c>
      <c r="S1591">
        <v>4.25</v>
      </c>
      <c r="T1591">
        <v>3.6850000000000001</v>
      </c>
      <c r="U1591">
        <v>6.45</v>
      </c>
      <c r="V1591">
        <v>1947.47</v>
      </c>
      <c r="W1591">
        <v>521</v>
      </c>
      <c r="X1591">
        <v>1.3332999999999999</v>
      </c>
      <c r="Y1591">
        <v>389</v>
      </c>
      <c r="Z1591">
        <v>5.01</v>
      </c>
      <c r="AJ1591">
        <v>2</v>
      </c>
      <c r="AK1591">
        <v>18</v>
      </c>
      <c r="AM1591">
        <v>0</v>
      </c>
      <c r="AO1591" t="s">
        <v>166</v>
      </c>
      <c r="AT1591">
        <v>52</v>
      </c>
      <c r="AV1591">
        <v>44.8</v>
      </c>
      <c r="AW1591">
        <v>0</v>
      </c>
      <c r="AX1591">
        <v>0</v>
      </c>
      <c r="AY1591">
        <v>52.125</v>
      </c>
      <c r="AZ1591">
        <v>4.75</v>
      </c>
      <c r="BA1591">
        <v>0</v>
      </c>
      <c r="BB1591">
        <v>0</v>
      </c>
      <c r="BC1591">
        <v>56</v>
      </c>
      <c r="BN1591">
        <v>214</v>
      </c>
      <c r="BO1591">
        <v>2266</v>
      </c>
      <c r="BP1591">
        <v>0</v>
      </c>
      <c r="BQ1591">
        <v>46</v>
      </c>
      <c r="BR1591">
        <v>46</v>
      </c>
      <c r="BS1591">
        <v>46.08</v>
      </c>
      <c r="BT1591">
        <v>0</v>
      </c>
      <c r="BV1591">
        <v>0</v>
      </c>
      <c r="BW1591" t="s">
        <v>655</v>
      </c>
      <c r="BX1591">
        <v>0.17</v>
      </c>
      <c r="BY1591">
        <v>7.8336009999999998</v>
      </c>
      <c r="BZ1591">
        <v>0</v>
      </c>
      <c r="CA1591">
        <v>1</v>
      </c>
      <c r="CB1591">
        <v>0.6</v>
      </c>
      <c r="CC1591" s="3">
        <v>7.1269159999999998E-2</v>
      </c>
      <c r="CD1591">
        <v>2.875</v>
      </c>
      <c r="CE1591">
        <v>2.5</v>
      </c>
      <c r="CF1591">
        <v>18</v>
      </c>
      <c r="CG1591">
        <v>6</v>
      </c>
      <c r="CH1591">
        <v>0</v>
      </c>
      <c r="CI1591">
        <v>46.08</v>
      </c>
      <c r="CJ1591">
        <v>405.58420000000001</v>
      </c>
    </row>
    <row r="1592" spans="1:88">
      <c r="A1592">
        <v>1591</v>
      </c>
      <c r="B1592" t="s">
        <v>0</v>
      </c>
      <c r="C1592" t="s">
        <v>1</v>
      </c>
      <c r="D1592" t="s">
        <v>123</v>
      </c>
      <c r="E1592" t="s">
        <v>113</v>
      </c>
      <c r="F1592" t="s">
        <v>118</v>
      </c>
      <c r="G1592" t="s">
        <v>214</v>
      </c>
      <c r="H1592" t="s">
        <v>386</v>
      </c>
      <c r="J1592">
        <v>2</v>
      </c>
      <c r="K1592" t="s">
        <v>108</v>
      </c>
      <c r="L1592" t="s">
        <v>116</v>
      </c>
      <c r="M1592" t="s">
        <v>117</v>
      </c>
      <c r="N1592" t="s">
        <v>14</v>
      </c>
      <c r="O1592">
        <v>179</v>
      </c>
      <c r="Q1592">
        <v>844</v>
      </c>
      <c r="R1592">
        <v>111</v>
      </c>
      <c r="S1592">
        <v>4.25</v>
      </c>
      <c r="T1592">
        <v>4.7190000000000003</v>
      </c>
      <c r="U1592">
        <v>7.05</v>
      </c>
      <c r="V1592">
        <v>3585.98</v>
      </c>
      <c r="W1592">
        <v>782</v>
      </c>
      <c r="X1592">
        <v>1.3332999999999999</v>
      </c>
      <c r="Y1592">
        <v>593</v>
      </c>
      <c r="Z1592">
        <v>6.05</v>
      </c>
      <c r="AJ1592">
        <v>2</v>
      </c>
      <c r="AK1592">
        <v>18</v>
      </c>
      <c r="AM1592">
        <v>0</v>
      </c>
      <c r="AO1592" t="s">
        <v>357</v>
      </c>
      <c r="AT1592">
        <v>68</v>
      </c>
      <c r="AV1592">
        <v>63.8</v>
      </c>
      <c r="AW1592">
        <v>0.46875</v>
      </c>
      <c r="AX1592">
        <v>3.75</v>
      </c>
      <c r="AY1592">
        <v>62.125</v>
      </c>
      <c r="AZ1592">
        <v>5.625</v>
      </c>
      <c r="BA1592">
        <v>325.99</v>
      </c>
      <c r="BB1592">
        <v>6.04</v>
      </c>
      <c r="BC1592">
        <v>67</v>
      </c>
      <c r="BD1592">
        <v>0.4375</v>
      </c>
      <c r="BE1592">
        <v>3.75</v>
      </c>
      <c r="BF1592">
        <v>53.375</v>
      </c>
      <c r="BG1592">
        <v>5.25</v>
      </c>
      <c r="BH1592">
        <v>266.72000000000003</v>
      </c>
      <c r="BI1592">
        <v>6.16</v>
      </c>
      <c r="BJ1592">
        <v>54</v>
      </c>
      <c r="BL1592">
        <v>592.71</v>
      </c>
      <c r="BM1592">
        <v>120</v>
      </c>
      <c r="BN1592">
        <v>309.31330000000003</v>
      </c>
      <c r="BO1592">
        <v>1361</v>
      </c>
      <c r="BP1592">
        <v>0</v>
      </c>
      <c r="BQ1592">
        <v>61</v>
      </c>
      <c r="BR1592">
        <v>61</v>
      </c>
      <c r="BS1592">
        <v>61.39</v>
      </c>
      <c r="BT1592">
        <v>0</v>
      </c>
      <c r="BV1592">
        <v>0</v>
      </c>
      <c r="BW1592" t="s">
        <v>655</v>
      </c>
      <c r="BX1592">
        <v>0.17</v>
      </c>
      <c r="BY1592">
        <v>10.436299999999999</v>
      </c>
      <c r="BZ1592">
        <v>0</v>
      </c>
      <c r="CA1592">
        <v>1</v>
      </c>
      <c r="CB1592">
        <v>0.6</v>
      </c>
      <c r="CC1592" s="3">
        <v>7.1269159999999998E-2</v>
      </c>
      <c r="CD1592">
        <v>2.875</v>
      </c>
      <c r="CE1592">
        <v>2.5</v>
      </c>
      <c r="CF1592">
        <v>18</v>
      </c>
      <c r="CG1592">
        <v>6</v>
      </c>
      <c r="CH1592">
        <v>0</v>
      </c>
      <c r="CI1592">
        <v>61.39</v>
      </c>
      <c r="CJ1592">
        <v>769.49059999999997</v>
      </c>
    </row>
    <row r="1593" spans="1:88">
      <c r="A1593">
        <v>1592</v>
      </c>
      <c r="B1593" t="s">
        <v>0</v>
      </c>
      <c r="C1593" t="s">
        <v>1</v>
      </c>
      <c r="D1593" t="s">
        <v>101</v>
      </c>
      <c r="E1593" t="s">
        <v>338</v>
      </c>
      <c r="F1593" t="s">
        <v>339</v>
      </c>
      <c r="G1593" t="s">
        <v>106</v>
      </c>
      <c r="H1593" t="s">
        <v>167</v>
      </c>
      <c r="J1593">
        <v>2</v>
      </c>
      <c r="K1593" t="s">
        <v>146</v>
      </c>
      <c r="L1593" t="s">
        <v>143</v>
      </c>
      <c r="M1593" t="s">
        <v>339</v>
      </c>
      <c r="N1593" t="s">
        <v>340</v>
      </c>
      <c r="O1593">
        <v>135</v>
      </c>
      <c r="Q1593">
        <v>469</v>
      </c>
      <c r="R1593">
        <v>83</v>
      </c>
      <c r="S1593">
        <v>4.25</v>
      </c>
      <c r="T1593">
        <v>3.6850000000000001</v>
      </c>
      <c r="U1593">
        <v>6.45</v>
      </c>
      <c r="V1593">
        <v>1994.01</v>
      </c>
      <c r="W1593">
        <v>533</v>
      </c>
      <c r="X1593">
        <v>1.3332999999999999</v>
      </c>
      <c r="Y1593">
        <v>398</v>
      </c>
      <c r="Z1593">
        <v>5.01</v>
      </c>
      <c r="AJ1593">
        <v>2</v>
      </c>
      <c r="AK1593">
        <v>18</v>
      </c>
      <c r="AM1593">
        <v>0</v>
      </c>
      <c r="AO1593" t="s">
        <v>327</v>
      </c>
      <c r="AT1593">
        <v>52</v>
      </c>
      <c r="AV1593">
        <v>45.9</v>
      </c>
      <c r="AW1593">
        <v>0</v>
      </c>
      <c r="AX1593">
        <v>0</v>
      </c>
      <c r="AY1593">
        <v>50.875</v>
      </c>
      <c r="AZ1593">
        <v>4.75</v>
      </c>
      <c r="BA1593">
        <v>0</v>
      </c>
      <c r="BB1593">
        <v>0</v>
      </c>
      <c r="BC1593">
        <v>55</v>
      </c>
      <c r="BN1593">
        <v>219.35</v>
      </c>
      <c r="BO1593">
        <v>2157</v>
      </c>
      <c r="BP1593">
        <v>0</v>
      </c>
      <c r="BQ1593">
        <v>46</v>
      </c>
      <c r="BR1593">
        <v>46</v>
      </c>
      <c r="BS1593">
        <v>46.08</v>
      </c>
      <c r="BT1593">
        <v>0</v>
      </c>
      <c r="BV1593">
        <v>0</v>
      </c>
      <c r="BW1593" t="s">
        <v>655</v>
      </c>
      <c r="BX1593">
        <v>0.17</v>
      </c>
      <c r="BY1593">
        <v>7.8336009999999998</v>
      </c>
      <c r="BZ1593">
        <v>0</v>
      </c>
      <c r="CA1593">
        <v>1</v>
      </c>
      <c r="CB1593">
        <v>0.6</v>
      </c>
      <c r="CC1593" s="3">
        <v>7.1269159999999998E-2</v>
      </c>
      <c r="CD1593">
        <v>2.875</v>
      </c>
      <c r="CE1593">
        <v>2.5</v>
      </c>
      <c r="CF1593">
        <v>18</v>
      </c>
      <c r="CG1593">
        <v>6</v>
      </c>
      <c r="CH1593">
        <v>0</v>
      </c>
      <c r="CI1593">
        <v>46.08</v>
      </c>
      <c r="CJ1593">
        <v>415.43650000000002</v>
      </c>
    </row>
    <row r="1594" spans="1:88">
      <c r="A1594">
        <v>1593</v>
      </c>
      <c r="B1594" t="s">
        <v>0</v>
      </c>
      <c r="C1594" t="s">
        <v>1</v>
      </c>
      <c r="D1594" t="s">
        <v>5</v>
      </c>
      <c r="E1594" t="s">
        <v>369</v>
      </c>
      <c r="F1594" t="s">
        <v>159</v>
      </c>
      <c r="G1594" t="s">
        <v>106</v>
      </c>
      <c r="H1594" t="s">
        <v>139</v>
      </c>
      <c r="J1594">
        <v>2</v>
      </c>
      <c r="K1594" t="s">
        <v>146</v>
      </c>
      <c r="L1594" t="s">
        <v>259</v>
      </c>
      <c r="M1594" t="s">
        <v>480</v>
      </c>
      <c r="N1594" t="s">
        <v>307</v>
      </c>
      <c r="O1594">
        <v>121</v>
      </c>
      <c r="Q1594">
        <v>345</v>
      </c>
      <c r="R1594">
        <v>69</v>
      </c>
      <c r="S1594">
        <v>4.25</v>
      </c>
      <c r="T1594">
        <v>3.3340000000000001</v>
      </c>
      <c r="U1594">
        <v>6.22</v>
      </c>
      <c r="V1594">
        <v>1467.27</v>
      </c>
      <c r="W1594">
        <v>428</v>
      </c>
      <c r="X1594">
        <v>1.3332999999999999</v>
      </c>
      <c r="Y1594">
        <v>315</v>
      </c>
      <c r="Z1594">
        <v>4.66</v>
      </c>
      <c r="AJ1594">
        <v>2</v>
      </c>
      <c r="AK1594">
        <v>18</v>
      </c>
      <c r="AM1594">
        <v>0</v>
      </c>
      <c r="AO1594" t="s">
        <v>385</v>
      </c>
      <c r="AT1594">
        <v>47</v>
      </c>
      <c r="AV1594">
        <v>37.200000000000003</v>
      </c>
      <c r="AW1594">
        <v>0</v>
      </c>
      <c r="AX1594">
        <v>0</v>
      </c>
      <c r="AY1594">
        <v>45.25</v>
      </c>
      <c r="AZ1594">
        <v>4.125</v>
      </c>
      <c r="BA1594">
        <v>0</v>
      </c>
      <c r="BB1594">
        <v>0</v>
      </c>
      <c r="BC1594">
        <v>46</v>
      </c>
      <c r="BN1594">
        <v>176.55</v>
      </c>
      <c r="BO1594">
        <v>3329</v>
      </c>
      <c r="BP1594">
        <v>0</v>
      </c>
      <c r="BQ1594">
        <v>41</v>
      </c>
      <c r="BR1594">
        <v>41</v>
      </c>
      <c r="BS1594">
        <v>41.21</v>
      </c>
      <c r="BT1594">
        <v>0</v>
      </c>
      <c r="BV1594">
        <v>0</v>
      </c>
      <c r="BW1594" t="s">
        <v>655</v>
      </c>
      <c r="BX1594">
        <v>0.17</v>
      </c>
      <c r="BY1594">
        <v>7.0057</v>
      </c>
      <c r="BZ1594">
        <v>0</v>
      </c>
      <c r="CA1594">
        <v>1</v>
      </c>
      <c r="CB1594">
        <v>0.6</v>
      </c>
      <c r="CC1594" s="3">
        <v>7.1269159999999998E-2</v>
      </c>
      <c r="CD1594">
        <v>2.875</v>
      </c>
      <c r="CE1594">
        <v>2.5</v>
      </c>
      <c r="CF1594">
        <v>18</v>
      </c>
      <c r="CG1594">
        <v>6</v>
      </c>
      <c r="CH1594">
        <v>0</v>
      </c>
      <c r="CI1594">
        <v>41.21</v>
      </c>
      <c r="CJ1594">
        <v>301.04270000000002</v>
      </c>
    </row>
    <row r="1595" spans="1:88">
      <c r="A1595">
        <v>1594</v>
      </c>
      <c r="B1595" t="s">
        <v>0</v>
      </c>
      <c r="C1595" t="s">
        <v>1</v>
      </c>
      <c r="D1595" t="s">
        <v>178</v>
      </c>
      <c r="E1595" t="s">
        <v>227</v>
      </c>
      <c r="F1595" t="s">
        <v>408</v>
      </c>
      <c r="G1595" t="s">
        <v>106</v>
      </c>
      <c r="H1595" t="s">
        <v>141</v>
      </c>
      <c r="J1595">
        <v>2</v>
      </c>
      <c r="K1595" t="s">
        <v>146</v>
      </c>
      <c r="L1595" t="s">
        <v>330</v>
      </c>
      <c r="M1595" t="s">
        <v>129</v>
      </c>
      <c r="N1595" t="s">
        <v>169</v>
      </c>
      <c r="O1595">
        <v>116</v>
      </c>
      <c r="Q1595">
        <v>285</v>
      </c>
      <c r="R1595">
        <v>60</v>
      </c>
      <c r="S1595">
        <v>4.25</v>
      </c>
      <c r="T1595">
        <v>3.206</v>
      </c>
      <c r="U1595">
        <v>6.22</v>
      </c>
      <c r="V1595">
        <v>1209.55</v>
      </c>
      <c r="W1595">
        <v>374</v>
      </c>
      <c r="X1595">
        <v>1.5</v>
      </c>
      <c r="Y1595">
        <v>257</v>
      </c>
      <c r="Z1595">
        <v>4.7</v>
      </c>
      <c r="AJ1595">
        <v>2</v>
      </c>
      <c r="AK1595">
        <v>18</v>
      </c>
      <c r="AM1595">
        <v>0</v>
      </c>
      <c r="AO1595" t="s">
        <v>409</v>
      </c>
      <c r="AT1595">
        <v>46</v>
      </c>
      <c r="AV1595">
        <v>31.7</v>
      </c>
      <c r="AW1595">
        <v>0</v>
      </c>
      <c r="AX1595">
        <v>0</v>
      </c>
      <c r="AY1595">
        <v>37.75</v>
      </c>
      <c r="AZ1595">
        <v>3.875</v>
      </c>
      <c r="BA1595">
        <v>0</v>
      </c>
      <c r="BB1595">
        <v>0</v>
      </c>
      <c r="BC1595">
        <v>36</v>
      </c>
      <c r="BN1595">
        <v>149.80000000000001</v>
      </c>
      <c r="BO1595">
        <v>4624</v>
      </c>
      <c r="BP1595">
        <v>0</v>
      </c>
      <c r="BQ1595">
        <v>39</v>
      </c>
      <c r="BR1595">
        <v>39</v>
      </c>
      <c r="BS1595">
        <v>39.47</v>
      </c>
      <c r="BT1595">
        <v>0</v>
      </c>
      <c r="BV1595">
        <v>0</v>
      </c>
      <c r="BW1595" t="s">
        <v>655</v>
      </c>
      <c r="BX1595">
        <v>0.17</v>
      </c>
      <c r="BY1595">
        <v>6.7099010000000003</v>
      </c>
      <c r="BZ1595">
        <v>0</v>
      </c>
      <c r="CA1595">
        <v>1</v>
      </c>
      <c r="CB1595">
        <v>0.6</v>
      </c>
      <c r="CC1595" s="3">
        <v>7.1269159999999998E-2</v>
      </c>
      <c r="CD1595">
        <v>2.875</v>
      </c>
      <c r="CE1595">
        <v>2.5</v>
      </c>
      <c r="CF1595">
        <v>18</v>
      </c>
      <c r="CG1595">
        <v>6</v>
      </c>
      <c r="CH1595">
        <v>0</v>
      </c>
      <c r="CI1595">
        <v>39.47</v>
      </c>
      <c r="CJ1595">
        <v>246.1369</v>
      </c>
    </row>
    <row r="1596" spans="1:88">
      <c r="A1596">
        <v>1595</v>
      </c>
      <c r="B1596" t="s">
        <v>13</v>
      </c>
      <c r="C1596" t="s">
        <v>1</v>
      </c>
      <c r="D1596" t="s">
        <v>514</v>
      </c>
      <c r="E1596" t="s">
        <v>131</v>
      </c>
      <c r="F1596" t="s">
        <v>515</v>
      </c>
      <c r="G1596" t="s">
        <v>15</v>
      </c>
      <c r="H1596" t="s">
        <v>514</v>
      </c>
      <c r="J1596">
        <v>2</v>
      </c>
      <c r="K1596" t="s">
        <v>9</v>
      </c>
      <c r="L1596" t="s">
        <v>300</v>
      </c>
      <c r="M1596" t="s">
        <v>271</v>
      </c>
      <c r="N1596" t="s">
        <v>181</v>
      </c>
      <c r="O1596">
        <v>158</v>
      </c>
      <c r="Q1596">
        <v>980</v>
      </c>
      <c r="R1596">
        <v>144</v>
      </c>
      <c r="S1596">
        <v>4.25</v>
      </c>
      <c r="T1596">
        <v>4.2370000000000001</v>
      </c>
      <c r="U1596">
        <v>6.86</v>
      </c>
      <c r="V1596">
        <v>4166.3100000000004</v>
      </c>
      <c r="W1596">
        <v>991</v>
      </c>
      <c r="X1596">
        <v>1.3332999999999999</v>
      </c>
      <c r="Y1596">
        <v>748</v>
      </c>
      <c r="Z1596">
        <v>5.57</v>
      </c>
      <c r="AJ1596">
        <v>2</v>
      </c>
      <c r="AK1596">
        <v>18</v>
      </c>
      <c r="AM1596">
        <v>0</v>
      </c>
      <c r="AO1596" t="s">
        <v>516</v>
      </c>
      <c r="AT1596">
        <v>60</v>
      </c>
      <c r="AV1596">
        <v>83</v>
      </c>
      <c r="AW1596" t="s">
        <v>6</v>
      </c>
      <c r="AX1596" t="s">
        <v>6</v>
      </c>
      <c r="AY1596" t="s">
        <v>6</v>
      </c>
      <c r="AZ1596" t="s">
        <v>6</v>
      </c>
      <c r="BA1596" t="s">
        <v>6</v>
      </c>
      <c r="BB1596" t="s">
        <v>6</v>
      </c>
      <c r="BC1596" t="s">
        <v>6</v>
      </c>
      <c r="BD1596" t="s">
        <v>6</v>
      </c>
      <c r="BE1596" t="s">
        <v>6</v>
      </c>
      <c r="BF1596" t="s">
        <v>6</v>
      </c>
      <c r="BG1596" t="s">
        <v>6</v>
      </c>
      <c r="BH1596" t="s">
        <v>6</v>
      </c>
      <c r="BI1596" t="s">
        <v>6</v>
      </c>
      <c r="BJ1596" t="s">
        <v>6</v>
      </c>
      <c r="BN1596">
        <v>710.34199999999998</v>
      </c>
      <c r="BO1596">
        <v>2168</v>
      </c>
      <c r="BP1596">
        <v>0</v>
      </c>
      <c r="BQ1596">
        <v>54</v>
      </c>
      <c r="BR1596">
        <v>54</v>
      </c>
      <c r="BS1596">
        <v>54.08</v>
      </c>
      <c r="BT1596">
        <v>0</v>
      </c>
      <c r="BV1596">
        <v>6</v>
      </c>
      <c r="BW1596" t="s">
        <v>655</v>
      </c>
      <c r="BX1596">
        <v>0.27933340000000001</v>
      </c>
      <c r="BY1596">
        <v>15.106350000000001</v>
      </c>
      <c r="BZ1596">
        <v>0</v>
      </c>
      <c r="CA1596">
        <v>1</v>
      </c>
      <c r="CB1596">
        <v>0.6</v>
      </c>
      <c r="CC1596" s="3">
        <v>7.1269159999999998E-2</v>
      </c>
      <c r="CD1596">
        <v>2.875</v>
      </c>
      <c r="CE1596">
        <v>2.5</v>
      </c>
      <c r="CF1596">
        <v>18</v>
      </c>
      <c r="CG1596">
        <v>6</v>
      </c>
      <c r="CH1596">
        <v>0</v>
      </c>
      <c r="CI1596">
        <v>54.08</v>
      </c>
      <c r="CJ1596">
        <v>882.13829999999996</v>
      </c>
    </row>
    <row r="1597" spans="1:88">
      <c r="A1597">
        <v>1596</v>
      </c>
      <c r="B1597" t="s">
        <v>0</v>
      </c>
      <c r="C1597" t="s">
        <v>1</v>
      </c>
      <c r="D1597" t="s">
        <v>522</v>
      </c>
      <c r="E1597" t="s">
        <v>14</v>
      </c>
      <c r="F1597" t="s">
        <v>691</v>
      </c>
      <c r="G1597" t="s">
        <v>15</v>
      </c>
      <c r="H1597" t="s">
        <v>522</v>
      </c>
      <c r="J1597">
        <v>2</v>
      </c>
      <c r="K1597" t="s">
        <v>9</v>
      </c>
      <c r="L1597" t="s">
        <v>17</v>
      </c>
      <c r="M1597" t="s">
        <v>18</v>
      </c>
      <c r="N1597" t="s">
        <v>19</v>
      </c>
      <c r="O1597">
        <v>182</v>
      </c>
      <c r="Q1597">
        <v>1138</v>
      </c>
      <c r="R1597">
        <v>147</v>
      </c>
      <c r="S1597">
        <v>4.25</v>
      </c>
      <c r="T1597">
        <v>4.7859999999999996</v>
      </c>
      <c r="U1597">
        <v>7.12</v>
      </c>
      <c r="V1597">
        <v>4836.92</v>
      </c>
      <c r="W1597">
        <v>1046</v>
      </c>
      <c r="X1597">
        <v>1.3332999999999999</v>
      </c>
      <c r="Y1597">
        <v>792</v>
      </c>
      <c r="Z1597">
        <v>6.11</v>
      </c>
      <c r="AJ1597">
        <v>2</v>
      </c>
      <c r="AK1597">
        <v>18</v>
      </c>
      <c r="AM1597">
        <v>0</v>
      </c>
      <c r="AO1597" t="s">
        <v>695</v>
      </c>
      <c r="AT1597">
        <v>69</v>
      </c>
      <c r="AV1597">
        <v>84.5</v>
      </c>
      <c r="AW1597" t="s">
        <v>6</v>
      </c>
      <c r="AX1597" t="s">
        <v>6</v>
      </c>
      <c r="AY1597" t="s">
        <v>6</v>
      </c>
      <c r="AZ1597" t="s">
        <v>6</v>
      </c>
      <c r="BA1597" t="s">
        <v>6</v>
      </c>
      <c r="BB1597" t="s">
        <v>6</v>
      </c>
      <c r="BC1597" t="s">
        <v>6</v>
      </c>
      <c r="BD1597" t="s">
        <v>6</v>
      </c>
      <c r="BE1597" t="s">
        <v>6</v>
      </c>
      <c r="BF1597" t="s">
        <v>6</v>
      </c>
      <c r="BG1597" t="s">
        <v>6</v>
      </c>
      <c r="BH1597" t="s">
        <v>6</v>
      </c>
      <c r="BI1597" t="s">
        <v>6</v>
      </c>
      <c r="BJ1597" t="s">
        <v>6</v>
      </c>
      <c r="BN1597">
        <v>722.97029999999995</v>
      </c>
      <c r="BO1597">
        <v>2093</v>
      </c>
      <c r="BP1597">
        <v>0</v>
      </c>
      <c r="BQ1597">
        <v>62</v>
      </c>
      <c r="BR1597">
        <v>62</v>
      </c>
      <c r="BS1597">
        <v>62.43</v>
      </c>
      <c r="BT1597">
        <v>0</v>
      </c>
      <c r="BV1597">
        <v>6</v>
      </c>
      <c r="BW1597" t="s">
        <v>655</v>
      </c>
      <c r="BX1597">
        <v>0.27933340000000001</v>
      </c>
      <c r="BY1597">
        <v>17.438780000000001</v>
      </c>
      <c r="BZ1597">
        <v>0</v>
      </c>
      <c r="CA1597">
        <v>1</v>
      </c>
      <c r="CB1597">
        <v>0.6</v>
      </c>
      <c r="CC1597" s="3">
        <v>7.1269159999999998E-2</v>
      </c>
      <c r="CD1597">
        <v>2.875</v>
      </c>
      <c r="CE1597">
        <v>2.5</v>
      </c>
      <c r="CF1597">
        <v>18</v>
      </c>
      <c r="CG1597">
        <v>6</v>
      </c>
      <c r="CH1597">
        <v>0</v>
      </c>
      <c r="CI1597">
        <v>62.43</v>
      </c>
      <c r="CJ1597">
        <v>1036.1389999999999</v>
      </c>
    </row>
    <row r="1598" spans="1:88">
      <c r="A1598">
        <v>1597</v>
      </c>
      <c r="B1598" t="s">
        <v>0</v>
      </c>
      <c r="C1598" t="s">
        <v>1</v>
      </c>
      <c r="D1598" t="s">
        <v>280</v>
      </c>
      <c r="E1598" t="s">
        <v>143</v>
      </c>
      <c r="F1598" t="s">
        <v>102</v>
      </c>
      <c r="G1598" t="s">
        <v>15</v>
      </c>
      <c r="H1598" t="s">
        <v>423</v>
      </c>
      <c r="J1598">
        <v>2</v>
      </c>
      <c r="K1598" t="s">
        <v>108</v>
      </c>
      <c r="L1598" t="s">
        <v>297</v>
      </c>
      <c r="M1598" t="s">
        <v>206</v>
      </c>
      <c r="N1598" t="s">
        <v>131</v>
      </c>
      <c r="O1598">
        <v>155</v>
      </c>
      <c r="Q1598">
        <v>920</v>
      </c>
      <c r="R1598">
        <v>139</v>
      </c>
      <c r="S1598">
        <v>4.25</v>
      </c>
      <c r="T1598">
        <v>4.1660000000000004</v>
      </c>
      <c r="U1598">
        <v>6.78</v>
      </c>
      <c r="V1598">
        <v>3909.87</v>
      </c>
      <c r="W1598">
        <v>941</v>
      </c>
      <c r="X1598">
        <v>1.3332999999999999</v>
      </c>
      <c r="Y1598">
        <v>712</v>
      </c>
      <c r="Z1598">
        <v>5.49</v>
      </c>
      <c r="AJ1598">
        <v>2</v>
      </c>
      <c r="AK1598">
        <v>18</v>
      </c>
      <c r="AM1598">
        <v>0</v>
      </c>
      <c r="AO1598" t="s">
        <v>424</v>
      </c>
      <c r="AT1598">
        <v>59</v>
      </c>
      <c r="AV1598">
        <v>79.8</v>
      </c>
      <c r="AW1598" t="s">
        <v>6</v>
      </c>
      <c r="AX1598" t="s">
        <v>6</v>
      </c>
      <c r="AY1598" t="s">
        <v>6</v>
      </c>
      <c r="AZ1598" t="s">
        <v>6</v>
      </c>
      <c r="BA1598" t="s">
        <v>6</v>
      </c>
      <c r="BB1598" t="s">
        <v>6</v>
      </c>
      <c r="BC1598" t="s">
        <v>6</v>
      </c>
      <c r="BD1598" t="s">
        <v>6</v>
      </c>
      <c r="BE1598" t="s">
        <v>6</v>
      </c>
      <c r="BF1598" t="s">
        <v>6</v>
      </c>
      <c r="BG1598" t="s">
        <v>6</v>
      </c>
      <c r="BH1598" t="s">
        <v>6</v>
      </c>
      <c r="BI1598" t="s">
        <v>6</v>
      </c>
      <c r="BJ1598" t="s">
        <v>6</v>
      </c>
      <c r="BN1598">
        <v>681.92830000000004</v>
      </c>
      <c r="BO1598">
        <v>2352</v>
      </c>
      <c r="BP1598">
        <v>0</v>
      </c>
      <c r="BQ1598">
        <v>53</v>
      </c>
      <c r="BR1598">
        <v>53</v>
      </c>
      <c r="BS1598">
        <v>53.04</v>
      </c>
      <c r="BT1598">
        <v>0</v>
      </c>
      <c r="BV1598">
        <v>0</v>
      </c>
      <c r="BW1598" t="s">
        <v>655</v>
      </c>
      <c r="BX1598">
        <v>0.17</v>
      </c>
      <c r="BY1598">
        <v>9.0167999999999999</v>
      </c>
      <c r="BZ1598">
        <v>0</v>
      </c>
      <c r="CA1598">
        <v>1</v>
      </c>
      <c r="CB1598">
        <v>0.6</v>
      </c>
      <c r="CC1598" s="3">
        <v>7.1269159999999998E-2</v>
      </c>
      <c r="CD1598">
        <v>2.875</v>
      </c>
      <c r="CE1598">
        <v>2.5</v>
      </c>
      <c r="CF1598">
        <v>18</v>
      </c>
      <c r="CG1598">
        <v>6</v>
      </c>
      <c r="CH1598">
        <v>0</v>
      </c>
      <c r="CI1598">
        <v>53.04</v>
      </c>
      <c r="CJ1598">
        <v>831.15300000000002</v>
      </c>
    </row>
    <row r="1599" spans="1:88">
      <c r="A1599">
        <v>1598</v>
      </c>
      <c r="B1599" t="s">
        <v>13</v>
      </c>
      <c r="C1599" t="s">
        <v>1</v>
      </c>
      <c r="D1599" t="s">
        <v>96</v>
      </c>
      <c r="E1599" t="s">
        <v>122</v>
      </c>
      <c r="F1599" t="s">
        <v>198</v>
      </c>
      <c r="G1599" t="s">
        <v>106</v>
      </c>
      <c r="H1599" t="s">
        <v>162</v>
      </c>
      <c r="J1599">
        <v>2</v>
      </c>
      <c r="K1599" t="s">
        <v>146</v>
      </c>
      <c r="L1599" t="s">
        <v>234</v>
      </c>
      <c r="M1599" t="s">
        <v>126</v>
      </c>
      <c r="N1599" t="s">
        <v>162</v>
      </c>
      <c r="O1599">
        <v>127</v>
      </c>
      <c r="Q1599">
        <v>433</v>
      </c>
      <c r="R1599">
        <v>81</v>
      </c>
      <c r="S1599">
        <v>4.25</v>
      </c>
      <c r="T1599">
        <v>3.4860000000000002</v>
      </c>
      <c r="U1599">
        <v>6.3</v>
      </c>
      <c r="V1599">
        <v>1841.48</v>
      </c>
      <c r="W1599">
        <v>509</v>
      </c>
      <c r="X1599">
        <v>1.3332999999999999</v>
      </c>
      <c r="Y1599">
        <v>383</v>
      </c>
      <c r="Z1599">
        <v>4.8099999999999996</v>
      </c>
      <c r="AJ1599">
        <v>2</v>
      </c>
      <c r="AK1599">
        <v>18</v>
      </c>
      <c r="AM1599">
        <v>0</v>
      </c>
      <c r="AO1599" t="s">
        <v>166</v>
      </c>
      <c r="AT1599">
        <v>49</v>
      </c>
      <c r="AV1599">
        <v>44.8</v>
      </c>
      <c r="AW1599">
        <v>0</v>
      </c>
      <c r="AX1599">
        <v>0</v>
      </c>
      <c r="AY1599">
        <v>53</v>
      </c>
      <c r="AZ1599">
        <v>4.5</v>
      </c>
      <c r="BA1599">
        <v>0</v>
      </c>
      <c r="BB1599">
        <v>0</v>
      </c>
      <c r="BC1599">
        <v>57</v>
      </c>
      <c r="BN1599">
        <v>214</v>
      </c>
      <c r="BO1599">
        <v>2266</v>
      </c>
      <c r="BP1599">
        <v>0</v>
      </c>
      <c r="BQ1599">
        <v>43</v>
      </c>
      <c r="BR1599">
        <v>43</v>
      </c>
      <c r="BS1599">
        <v>43.3</v>
      </c>
      <c r="BT1599">
        <v>0</v>
      </c>
      <c r="BV1599">
        <v>0</v>
      </c>
      <c r="BW1599" t="s">
        <v>655</v>
      </c>
      <c r="BX1599">
        <v>0.17</v>
      </c>
      <c r="BY1599">
        <v>7.3609999999999998</v>
      </c>
      <c r="BZ1599">
        <v>0</v>
      </c>
      <c r="CA1599">
        <v>1</v>
      </c>
      <c r="CB1599">
        <v>0.6</v>
      </c>
      <c r="CC1599" s="3">
        <v>7.1269159999999998E-2</v>
      </c>
      <c r="CD1599">
        <v>2.875</v>
      </c>
      <c r="CE1599">
        <v>2.5</v>
      </c>
      <c r="CF1599">
        <v>18</v>
      </c>
      <c r="CG1599">
        <v>6</v>
      </c>
      <c r="CH1599">
        <v>0</v>
      </c>
      <c r="CI1599">
        <v>43.3</v>
      </c>
      <c r="CJ1599">
        <v>381.11540000000002</v>
      </c>
    </row>
    <row r="1600" spans="1:88">
      <c r="A1600">
        <v>1599</v>
      </c>
      <c r="B1600" t="s">
        <v>13</v>
      </c>
      <c r="C1600" t="s">
        <v>1</v>
      </c>
      <c r="D1600" t="s">
        <v>113</v>
      </c>
      <c r="E1600" t="s">
        <v>8</v>
      </c>
      <c r="F1600" t="s">
        <v>262</v>
      </c>
      <c r="G1600" t="s">
        <v>214</v>
      </c>
      <c r="H1600" t="s">
        <v>263</v>
      </c>
      <c r="J1600">
        <v>2</v>
      </c>
      <c r="K1600" t="s">
        <v>108</v>
      </c>
      <c r="L1600" t="s">
        <v>10</v>
      </c>
      <c r="M1600" t="s">
        <v>11</v>
      </c>
      <c r="N1600" t="s">
        <v>12</v>
      </c>
      <c r="O1600">
        <v>203</v>
      </c>
      <c r="Q1600">
        <v>928</v>
      </c>
      <c r="R1600">
        <v>118</v>
      </c>
      <c r="S1600">
        <v>4.25</v>
      </c>
      <c r="T1600">
        <v>5.2460000000000004</v>
      </c>
      <c r="U1600">
        <v>7.35</v>
      </c>
      <c r="V1600">
        <v>3945.61</v>
      </c>
      <c r="W1600">
        <v>870</v>
      </c>
      <c r="X1600">
        <v>1.5</v>
      </c>
      <c r="Y1600">
        <v>585</v>
      </c>
      <c r="Z1600">
        <v>6.74</v>
      </c>
      <c r="AJ1600">
        <v>2</v>
      </c>
      <c r="AK1600">
        <v>18</v>
      </c>
      <c r="AM1600">
        <v>0</v>
      </c>
      <c r="AO1600" t="s">
        <v>266</v>
      </c>
      <c r="AT1600">
        <v>76</v>
      </c>
      <c r="AV1600">
        <v>62.3</v>
      </c>
      <c r="AW1600">
        <v>0.46875</v>
      </c>
      <c r="AX1600">
        <v>3.75</v>
      </c>
      <c r="AY1600">
        <v>69.25</v>
      </c>
      <c r="AZ1600">
        <v>6.25</v>
      </c>
      <c r="BA1600">
        <v>292.7</v>
      </c>
      <c r="BB1600">
        <v>6.73</v>
      </c>
      <c r="BC1600">
        <v>74</v>
      </c>
      <c r="BD1600">
        <v>0.46875</v>
      </c>
      <c r="BE1600">
        <v>3.75</v>
      </c>
      <c r="BF1600">
        <v>69.25</v>
      </c>
      <c r="BG1600">
        <v>6.25</v>
      </c>
      <c r="BH1600">
        <v>292.7</v>
      </c>
      <c r="BI1600">
        <v>6.73</v>
      </c>
      <c r="BJ1600">
        <v>74</v>
      </c>
      <c r="BL1600">
        <v>585.4</v>
      </c>
      <c r="BM1600">
        <v>148</v>
      </c>
      <c r="BN1600">
        <v>302.12</v>
      </c>
      <c r="BO1600">
        <v>1426</v>
      </c>
      <c r="BP1600">
        <v>0</v>
      </c>
      <c r="BQ1600">
        <v>70</v>
      </c>
      <c r="BR1600">
        <v>70</v>
      </c>
      <c r="BS1600">
        <v>69.730009999999993</v>
      </c>
      <c r="BT1600">
        <v>0</v>
      </c>
      <c r="BV1600">
        <v>0</v>
      </c>
      <c r="BW1600" t="s">
        <v>655</v>
      </c>
      <c r="BX1600">
        <v>0.17</v>
      </c>
      <c r="BY1600">
        <v>11.854100000000001</v>
      </c>
      <c r="BZ1600">
        <v>0</v>
      </c>
      <c r="CA1600">
        <v>1</v>
      </c>
      <c r="CB1600">
        <v>0.6</v>
      </c>
      <c r="CC1600" s="3">
        <v>7.1269159999999998E-2</v>
      </c>
      <c r="CD1600">
        <v>2.875</v>
      </c>
      <c r="CE1600">
        <v>2.5</v>
      </c>
      <c r="CF1600">
        <v>18</v>
      </c>
      <c r="CG1600">
        <v>6</v>
      </c>
      <c r="CH1600">
        <v>0</v>
      </c>
      <c r="CI1600">
        <v>69.730009999999993</v>
      </c>
      <c r="CJ1600">
        <v>854.14970000000005</v>
      </c>
    </row>
    <row r="1601" spans="1:88">
      <c r="A1601">
        <v>1600</v>
      </c>
      <c r="B1601" t="s">
        <v>0</v>
      </c>
      <c r="C1601" t="s">
        <v>1</v>
      </c>
      <c r="D1601" t="s">
        <v>167</v>
      </c>
      <c r="E1601" t="s">
        <v>167</v>
      </c>
      <c r="F1601" t="s">
        <v>403</v>
      </c>
      <c r="G1601" t="s">
        <v>106</v>
      </c>
      <c r="H1601" t="s">
        <v>235</v>
      </c>
      <c r="J1601">
        <v>2</v>
      </c>
      <c r="K1601" t="s">
        <v>146</v>
      </c>
      <c r="L1601" t="s">
        <v>207</v>
      </c>
      <c r="M1601" t="s">
        <v>327</v>
      </c>
      <c r="N1601" t="s">
        <v>330</v>
      </c>
      <c r="O1601">
        <v>133</v>
      </c>
      <c r="Q1601">
        <v>459</v>
      </c>
      <c r="R1601">
        <v>82</v>
      </c>
      <c r="S1601">
        <v>4.25</v>
      </c>
      <c r="T1601">
        <v>3.6349999999999998</v>
      </c>
      <c r="U1601">
        <v>6.41</v>
      </c>
      <c r="V1601">
        <v>1951.77</v>
      </c>
      <c r="W1601">
        <v>526</v>
      </c>
      <c r="X1601">
        <v>1.3332999999999999</v>
      </c>
      <c r="Y1601">
        <v>394</v>
      </c>
      <c r="Z1601">
        <v>4.96</v>
      </c>
      <c r="AJ1601">
        <v>2</v>
      </c>
      <c r="AK1601">
        <v>18</v>
      </c>
      <c r="AM1601">
        <v>0</v>
      </c>
      <c r="AO1601" t="s">
        <v>198</v>
      </c>
      <c r="AT1601">
        <v>52</v>
      </c>
      <c r="AV1601">
        <v>45.5</v>
      </c>
      <c r="AW1601">
        <v>0</v>
      </c>
      <c r="AX1601">
        <v>0</v>
      </c>
      <c r="AY1601">
        <v>51.5</v>
      </c>
      <c r="AZ1601">
        <v>4.625</v>
      </c>
      <c r="BA1601">
        <v>0</v>
      </c>
      <c r="BB1601">
        <v>0</v>
      </c>
      <c r="BC1601">
        <v>55</v>
      </c>
      <c r="BN1601">
        <v>217.5667</v>
      </c>
      <c r="BO1601">
        <v>2192</v>
      </c>
      <c r="BP1601">
        <v>0</v>
      </c>
      <c r="BQ1601">
        <v>45</v>
      </c>
      <c r="BR1601">
        <v>45</v>
      </c>
      <c r="BS1601">
        <v>45.39</v>
      </c>
      <c r="BT1601">
        <v>0</v>
      </c>
      <c r="BV1601">
        <v>0</v>
      </c>
      <c r="BW1601" t="s">
        <v>655</v>
      </c>
      <c r="BX1601">
        <v>0.17</v>
      </c>
      <c r="BY1601">
        <v>7.7163000000000004</v>
      </c>
      <c r="BZ1601">
        <v>0</v>
      </c>
      <c r="CA1601">
        <v>1</v>
      </c>
      <c r="CB1601">
        <v>0.6</v>
      </c>
      <c r="CC1601" s="3">
        <v>7.1269159999999998E-2</v>
      </c>
      <c r="CD1601">
        <v>2.875</v>
      </c>
      <c r="CE1601">
        <v>2.5</v>
      </c>
      <c r="CF1601">
        <v>18</v>
      </c>
      <c r="CG1601">
        <v>6</v>
      </c>
      <c r="CH1601">
        <v>0</v>
      </c>
      <c r="CI1601">
        <v>45.39</v>
      </c>
      <c r="CJ1601">
        <v>405.98079999999999</v>
      </c>
    </row>
    <row r="1602" spans="1:88">
      <c r="A1602">
        <v>1601</v>
      </c>
      <c r="B1602" t="s">
        <v>0</v>
      </c>
      <c r="C1602" t="s">
        <v>1</v>
      </c>
      <c r="D1602" t="s">
        <v>150</v>
      </c>
      <c r="E1602" t="s">
        <v>96</v>
      </c>
      <c r="F1602" t="s">
        <v>152</v>
      </c>
      <c r="G1602" t="s">
        <v>106</v>
      </c>
      <c r="H1602" t="s">
        <v>5</v>
      </c>
      <c r="J1602">
        <v>2</v>
      </c>
      <c r="K1602" t="s">
        <v>146</v>
      </c>
      <c r="L1602" t="s">
        <v>293</v>
      </c>
      <c r="M1602" t="s">
        <v>100</v>
      </c>
      <c r="N1602" t="s">
        <v>101</v>
      </c>
      <c r="O1602">
        <v>131</v>
      </c>
      <c r="Q1602">
        <v>375</v>
      </c>
      <c r="R1602">
        <v>69</v>
      </c>
      <c r="S1602">
        <v>4.25</v>
      </c>
      <c r="T1602">
        <v>3.5859999999999999</v>
      </c>
      <c r="U1602">
        <v>6.37</v>
      </c>
      <c r="V1602">
        <v>1592.89</v>
      </c>
      <c r="W1602">
        <v>442</v>
      </c>
      <c r="X1602">
        <v>1.3332999999999999</v>
      </c>
      <c r="Y1602">
        <v>324</v>
      </c>
      <c r="Z1602">
        <v>4.91</v>
      </c>
      <c r="AJ1602">
        <v>2</v>
      </c>
      <c r="AK1602">
        <v>18</v>
      </c>
      <c r="AM1602">
        <v>0</v>
      </c>
      <c r="AO1602" t="s">
        <v>155</v>
      </c>
      <c r="AT1602">
        <v>51</v>
      </c>
      <c r="AV1602">
        <v>37.5</v>
      </c>
      <c r="AW1602">
        <v>0</v>
      </c>
      <c r="AX1602">
        <v>0</v>
      </c>
      <c r="AY1602">
        <v>43.875</v>
      </c>
      <c r="AZ1602">
        <v>4.25</v>
      </c>
      <c r="BA1602">
        <v>0</v>
      </c>
      <c r="BB1602">
        <v>0</v>
      </c>
      <c r="BC1602">
        <v>44</v>
      </c>
      <c r="BN1602">
        <v>178.33340000000001</v>
      </c>
      <c r="BO1602">
        <v>3263</v>
      </c>
      <c r="BP1602">
        <v>0</v>
      </c>
      <c r="BQ1602">
        <v>45</v>
      </c>
      <c r="BR1602">
        <v>45</v>
      </c>
      <c r="BS1602">
        <v>44.69</v>
      </c>
      <c r="BT1602">
        <v>0</v>
      </c>
      <c r="BV1602">
        <v>0</v>
      </c>
      <c r="BW1602" t="s">
        <v>655</v>
      </c>
      <c r="BX1602">
        <v>0.17</v>
      </c>
      <c r="BY1602">
        <v>7.5972999999999997</v>
      </c>
      <c r="BZ1602">
        <v>0</v>
      </c>
      <c r="CA1602">
        <v>1</v>
      </c>
      <c r="CB1602">
        <v>0.6</v>
      </c>
      <c r="CC1602" s="3">
        <v>7.1269159999999998E-2</v>
      </c>
      <c r="CD1602">
        <v>2.875</v>
      </c>
      <c r="CE1602">
        <v>2.5</v>
      </c>
      <c r="CF1602">
        <v>18</v>
      </c>
      <c r="CG1602">
        <v>6</v>
      </c>
      <c r="CH1602">
        <v>0</v>
      </c>
      <c r="CI1602">
        <v>44.69</v>
      </c>
      <c r="CJ1602">
        <v>329.64940000000001</v>
      </c>
    </row>
    <row r="1603" spans="1:88">
      <c r="A1603">
        <v>1602</v>
      </c>
      <c r="B1603" t="s">
        <v>0</v>
      </c>
      <c r="C1603" t="s">
        <v>1</v>
      </c>
      <c r="D1603" t="s">
        <v>317</v>
      </c>
      <c r="E1603" t="s">
        <v>190</v>
      </c>
      <c r="F1603" t="s">
        <v>318</v>
      </c>
      <c r="G1603" t="s">
        <v>106</v>
      </c>
      <c r="H1603" t="s">
        <v>180</v>
      </c>
      <c r="J1603">
        <v>2</v>
      </c>
      <c r="K1603" t="s">
        <v>146</v>
      </c>
      <c r="L1603" t="s">
        <v>340</v>
      </c>
      <c r="M1603" t="s">
        <v>406</v>
      </c>
      <c r="N1603" t="s">
        <v>369</v>
      </c>
      <c r="O1603">
        <v>118</v>
      </c>
      <c r="Q1603">
        <v>302</v>
      </c>
      <c r="R1603">
        <v>62</v>
      </c>
      <c r="S1603">
        <v>4.25</v>
      </c>
      <c r="T1603">
        <v>3.2570000000000001</v>
      </c>
      <c r="U1603">
        <v>6.15</v>
      </c>
      <c r="V1603">
        <v>1283.45</v>
      </c>
      <c r="W1603">
        <v>384</v>
      </c>
      <c r="X1603">
        <v>1.3332999999999999</v>
      </c>
      <c r="Y1603">
        <v>280</v>
      </c>
      <c r="Z1603">
        <v>4.59</v>
      </c>
      <c r="AJ1603">
        <v>2</v>
      </c>
      <c r="AK1603">
        <v>18</v>
      </c>
      <c r="AM1603">
        <v>0</v>
      </c>
      <c r="AO1603" t="s">
        <v>319</v>
      </c>
      <c r="AT1603">
        <v>46</v>
      </c>
      <c r="AV1603">
        <v>33.200000000000003</v>
      </c>
      <c r="AW1603">
        <v>0</v>
      </c>
      <c r="AX1603">
        <v>0</v>
      </c>
      <c r="AY1603">
        <v>34.75</v>
      </c>
      <c r="AZ1603">
        <v>3.75</v>
      </c>
      <c r="BA1603">
        <v>0</v>
      </c>
      <c r="BB1603">
        <v>0</v>
      </c>
      <c r="BC1603">
        <v>33</v>
      </c>
      <c r="BN1603">
        <v>156.93340000000001</v>
      </c>
      <c r="BO1603">
        <v>4213</v>
      </c>
      <c r="BP1603">
        <v>0</v>
      </c>
      <c r="BQ1603">
        <v>40</v>
      </c>
      <c r="BR1603">
        <v>40</v>
      </c>
      <c r="BS1603">
        <v>40.17</v>
      </c>
      <c r="BT1603">
        <v>0</v>
      </c>
      <c r="BV1603">
        <v>0</v>
      </c>
      <c r="BW1603" t="s">
        <v>655</v>
      </c>
      <c r="BX1603">
        <v>0.17</v>
      </c>
      <c r="BY1603">
        <v>6.8289</v>
      </c>
      <c r="BZ1603">
        <v>0</v>
      </c>
      <c r="CA1603">
        <v>1</v>
      </c>
      <c r="CB1603">
        <v>0.6</v>
      </c>
      <c r="CC1603" s="3">
        <v>7.1269159999999998E-2</v>
      </c>
      <c r="CD1603">
        <v>2.875</v>
      </c>
      <c r="CE1603">
        <v>2.5</v>
      </c>
      <c r="CF1603">
        <v>18</v>
      </c>
      <c r="CG1603">
        <v>6</v>
      </c>
      <c r="CH1603">
        <v>0</v>
      </c>
      <c r="CI1603">
        <v>40.17</v>
      </c>
      <c r="CJ1603">
        <v>261.95370000000003</v>
      </c>
    </row>
    <row r="1604" spans="1:88">
      <c r="A1604">
        <v>1603</v>
      </c>
      <c r="B1604" t="s">
        <v>0</v>
      </c>
      <c r="C1604" t="s">
        <v>1</v>
      </c>
      <c r="D1604" t="s">
        <v>470</v>
      </c>
      <c r="E1604" t="s">
        <v>197</v>
      </c>
      <c r="F1604" t="s">
        <v>587</v>
      </c>
      <c r="G1604" t="s">
        <v>15</v>
      </c>
      <c r="H1604" t="s">
        <v>470</v>
      </c>
      <c r="J1604">
        <v>2</v>
      </c>
      <c r="K1604" t="s">
        <v>9</v>
      </c>
      <c r="L1604" t="s">
        <v>199</v>
      </c>
      <c r="M1604" t="s">
        <v>200</v>
      </c>
      <c r="N1604" t="s">
        <v>201</v>
      </c>
      <c r="O1604">
        <v>173</v>
      </c>
      <c r="Q1604">
        <v>1081</v>
      </c>
      <c r="R1604">
        <v>146</v>
      </c>
      <c r="S1604">
        <v>4.25</v>
      </c>
      <c r="T1604">
        <v>4.5830000000000002</v>
      </c>
      <c r="U1604">
        <v>6.97</v>
      </c>
      <c r="V1604">
        <v>4592.8900000000003</v>
      </c>
      <c r="W1604">
        <v>1020</v>
      </c>
      <c r="X1604">
        <v>1.3332999999999999</v>
      </c>
      <c r="Y1604">
        <v>777</v>
      </c>
      <c r="Z1604">
        <v>5.91</v>
      </c>
      <c r="AJ1604">
        <v>2</v>
      </c>
      <c r="AK1604">
        <v>18</v>
      </c>
      <c r="AM1604">
        <v>0</v>
      </c>
      <c r="AO1604" t="s">
        <v>588</v>
      </c>
      <c r="AT1604">
        <v>65</v>
      </c>
      <c r="AV1604">
        <v>84.1</v>
      </c>
      <c r="AW1604" t="s">
        <v>6</v>
      </c>
      <c r="AX1604" t="s">
        <v>6</v>
      </c>
      <c r="AY1604" t="s">
        <v>6</v>
      </c>
      <c r="AZ1604" t="s">
        <v>6</v>
      </c>
      <c r="BA1604" t="s">
        <v>6</v>
      </c>
      <c r="BB1604" t="s">
        <v>6</v>
      </c>
      <c r="BC1604" t="s">
        <v>6</v>
      </c>
      <c r="BD1604" t="s">
        <v>6</v>
      </c>
      <c r="BE1604" t="s">
        <v>6</v>
      </c>
      <c r="BF1604" t="s">
        <v>6</v>
      </c>
      <c r="BG1604" t="s">
        <v>6</v>
      </c>
      <c r="BH1604" t="s">
        <v>6</v>
      </c>
      <c r="BI1604" t="s">
        <v>6</v>
      </c>
      <c r="BJ1604" t="s">
        <v>6</v>
      </c>
      <c r="BN1604">
        <v>719.81320000000005</v>
      </c>
      <c r="BO1604">
        <v>2111</v>
      </c>
      <c r="BP1604">
        <v>0</v>
      </c>
      <c r="BQ1604">
        <v>59</v>
      </c>
      <c r="BR1604">
        <v>59</v>
      </c>
      <c r="BS1604">
        <v>59.3</v>
      </c>
      <c r="BT1604">
        <v>0</v>
      </c>
      <c r="BV1604">
        <v>6</v>
      </c>
      <c r="BW1604" t="s">
        <v>655</v>
      </c>
      <c r="BX1604">
        <v>0.27933330000000001</v>
      </c>
      <c r="BY1604">
        <v>16.56447</v>
      </c>
      <c r="BZ1604">
        <v>0</v>
      </c>
      <c r="CA1604">
        <v>1</v>
      </c>
      <c r="CB1604">
        <v>0.6</v>
      </c>
      <c r="CC1604" s="3">
        <v>7.1269159999999998E-2</v>
      </c>
      <c r="CD1604">
        <v>2.875</v>
      </c>
      <c r="CE1604">
        <v>2.5</v>
      </c>
      <c r="CF1604">
        <v>18</v>
      </c>
      <c r="CG1604">
        <v>6</v>
      </c>
      <c r="CH1604">
        <v>0</v>
      </c>
      <c r="CI1604">
        <v>59.3</v>
      </c>
      <c r="CJ1604">
        <v>979.96420000000001</v>
      </c>
    </row>
    <row r="1605" spans="1:88">
      <c r="A1605">
        <v>1604</v>
      </c>
      <c r="B1605" t="s">
        <v>0</v>
      </c>
      <c r="C1605" t="s">
        <v>1</v>
      </c>
      <c r="D1605" t="s">
        <v>491</v>
      </c>
      <c r="E1605" t="s">
        <v>178</v>
      </c>
      <c r="F1605" t="s">
        <v>597</v>
      </c>
      <c r="G1605" t="s">
        <v>106</v>
      </c>
      <c r="H1605" t="s">
        <v>598</v>
      </c>
      <c r="J1605">
        <v>2</v>
      </c>
      <c r="K1605" t="s">
        <v>146</v>
      </c>
      <c r="L1605" t="s">
        <v>127</v>
      </c>
      <c r="M1605" t="s">
        <v>179</v>
      </c>
      <c r="N1605" t="s">
        <v>180</v>
      </c>
      <c r="O1605">
        <v>95</v>
      </c>
      <c r="Q1605">
        <v>110</v>
      </c>
      <c r="R1605">
        <v>28</v>
      </c>
      <c r="S1605">
        <v>4.25</v>
      </c>
      <c r="T1605">
        <v>2.649</v>
      </c>
      <c r="U1605">
        <v>5.81</v>
      </c>
      <c r="V1605">
        <v>469.03</v>
      </c>
      <c r="W1605">
        <v>161</v>
      </c>
      <c r="X1605">
        <v>1.3332999999999999</v>
      </c>
      <c r="Y1605">
        <v>118</v>
      </c>
      <c r="Z1605">
        <v>3.98</v>
      </c>
      <c r="AJ1605">
        <v>2</v>
      </c>
      <c r="AK1605">
        <v>18</v>
      </c>
      <c r="AM1605">
        <v>0</v>
      </c>
      <c r="AO1605" t="s">
        <v>599</v>
      </c>
      <c r="AT1605">
        <v>38</v>
      </c>
      <c r="AV1605">
        <v>14.3</v>
      </c>
      <c r="AW1605">
        <v>0</v>
      </c>
      <c r="AX1605">
        <v>0</v>
      </c>
      <c r="AY1605">
        <v>21.625</v>
      </c>
      <c r="AZ1605">
        <v>2.5</v>
      </c>
      <c r="BA1605">
        <v>0</v>
      </c>
      <c r="BB1605">
        <v>0</v>
      </c>
      <c r="BC1605">
        <v>16</v>
      </c>
      <c r="BN1605">
        <v>64.200010000000006</v>
      </c>
      <c r="BO1605">
        <v>25177</v>
      </c>
      <c r="BP1605">
        <v>0</v>
      </c>
      <c r="BQ1605">
        <v>32</v>
      </c>
      <c r="BR1605">
        <v>32</v>
      </c>
      <c r="BS1605">
        <v>32.17</v>
      </c>
      <c r="BT1605">
        <v>0</v>
      </c>
      <c r="BV1605">
        <v>0</v>
      </c>
      <c r="BW1605" t="s">
        <v>655</v>
      </c>
      <c r="BX1605">
        <v>0.17</v>
      </c>
      <c r="BY1605">
        <v>5.4688999999999997</v>
      </c>
      <c r="BZ1605">
        <v>0</v>
      </c>
      <c r="CA1605">
        <v>1</v>
      </c>
      <c r="CB1605">
        <v>0.6</v>
      </c>
      <c r="CC1605" s="3">
        <v>7.1269159999999998E-2</v>
      </c>
      <c r="CD1605">
        <v>2.875</v>
      </c>
      <c r="CE1605">
        <v>2.5</v>
      </c>
      <c r="CF1605">
        <v>18</v>
      </c>
      <c r="CG1605">
        <v>6</v>
      </c>
      <c r="CH1605">
        <v>0</v>
      </c>
      <c r="CI1605">
        <v>32.17</v>
      </c>
      <c r="CJ1605">
        <v>90.562780000000004</v>
      </c>
    </row>
    <row r="1606" spans="1:88">
      <c r="A1606">
        <v>1605</v>
      </c>
      <c r="B1606" t="s">
        <v>0</v>
      </c>
      <c r="C1606" t="s">
        <v>1</v>
      </c>
      <c r="D1606" t="s">
        <v>267</v>
      </c>
      <c r="E1606" t="s">
        <v>143</v>
      </c>
      <c r="F1606" t="s">
        <v>269</v>
      </c>
      <c r="G1606" t="s">
        <v>106</v>
      </c>
      <c r="H1606" t="s">
        <v>131</v>
      </c>
      <c r="J1606">
        <v>2</v>
      </c>
      <c r="K1606" t="s">
        <v>146</v>
      </c>
      <c r="L1606" t="s">
        <v>297</v>
      </c>
      <c r="M1606" t="s">
        <v>206</v>
      </c>
      <c r="N1606" t="s">
        <v>131</v>
      </c>
      <c r="O1606">
        <v>155</v>
      </c>
      <c r="Q1606">
        <v>637</v>
      </c>
      <c r="R1606">
        <v>97</v>
      </c>
      <c r="S1606">
        <v>4.25</v>
      </c>
      <c r="T1606">
        <v>4.1660000000000004</v>
      </c>
      <c r="U1606">
        <v>6.78</v>
      </c>
      <c r="V1606">
        <v>2705.93</v>
      </c>
      <c r="W1606">
        <v>657</v>
      </c>
      <c r="X1606">
        <v>1.3332999999999999</v>
      </c>
      <c r="Y1606">
        <v>493</v>
      </c>
      <c r="Z1606">
        <v>5.49</v>
      </c>
      <c r="AJ1606">
        <v>2</v>
      </c>
      <c r="AK1606">
        <v>18</v>
      </c>
      <c r="AM1606">
        <v>0</v>
      </c>
      <c r="AO1606" t="s">
        <v>271</v>
      </c>
      <c r="AT1606">
        <v>59</v>
      </c>
      <c r="AV1606">
        <v>54.9</v>
      </c>
      <c r="AW1606" t="s">
        <v>6</v>
      </c>
      <c r="AX1606" t="s">
        <v>6</v>
      </c>
      <c r="AY1606" t="s">
        <v>6</v>
      </c>
      <c r="AZ1606" t="s">
        <v>6</v>
      </c>
      <c r="BA1606" t="s">
        <v>6</v>
      </c>
      <c r="BB1606" t="s">
        <v>6</v>
      </c>
      <c r="BC1606" t="s">
        <v>6</v>
      </c>
      <c r="BD1606" t="s">
        <v>6</v>
      </c>
      <c r="BE1606" t="s">
        <v>6</v>
      </c>
      <c r="BF1606" t="s">
        <v>6</v>
      </c>
      <c r="BG1606" t="s">
        <v>6</v>
      </c>
      <c r="BH1606" t="s">
        <v>6</v>
      </c>
      <c r="BI1606" t="s">
        <v>6</v>
      </c>
      <c r="BJ1606" t="s">
        <v>6</v>
      </c>
      <c r="BN1606">
        <v>263.93340000000001</v>
      </c>
      <c r="BO1606">
        <v>1490</v>
      </c>
      <c r="BP1606">
        <v>0</v>
      </c>
      <c r="BQ1606">
        <v>53</v>
      </c>
      <c r="BR1606">
        <v>53</v>
      </c>
      <c r="BS1606">
        <v>53.04</v>
      </c>
      <c r="BT1606">
        <v>0</v>
      </c>
      <c r="BV1606">
        <v>0</v>
      </c>
      <c r="BW1606" t="s">
        <v>655</v>
      </c>
      <c r="BX1606">
        <v>0.17</v>
      </c>
      <c r="BY1606">
        <v>9.0167999999999999</v>
      </c>
      <c r="BZ1606">
        <v>0</v>
      </c>
      <c r="CA1606">
        <v>1</v>
      </c>
      <c r="CB1606">
        <v>0.6</v>
      </c>
      <c r="CC1606" s="3">
        <v>7.1269159999999998E-2</v>
      </c>
      <c r="CD1606">
        <v>2.875</v>
      </c>
      <c r="CE1606">
        <v>2.5</v>
      </c>
      <c r="CF1606">
        <v>18</v>
      </c>
      <c r="CG1606">
        <v>6</v>
      </c>
      <c r="CH1606">
        <v>0</v>
      </c>
      <c r="CI1606">
        <v>53.04</v>
      </c>
      <c r="CJ1606">
        <v>572.68759999999997</v>
      </c>
    </row>
    <row r="1607" spans="1:88">
      <c r="A1607">
        <v>1606</v>
      </c>
      <c r="B1607" t="s">
        <v>13</v>
      </c>
      <c r="C1607" t="s">
        <v>1</v>
      </c>
      <c r="D1607" t="s">
        <v>113</v>
      </c>
      <c r="E1607" t="s">
        <v>233</v>
      </c>
      <c r="F1607" t="s">
        <v>262</v>
      </c>
      <c r="G1607" t="s">
        <v>106</v>
      </c>
      <c r="H1607" t="s">
        <v>263</v>
      </c>
      <c r="J1607">
        <v>2</v>
      </c>
      <c r="K1607" t="s">
        <v>108</v>
      </c>
      <c r="L1607" t="s">
        <v>251</v>
      </c>
      <c r="M1607" t="s">
        <v>236</v>
      </c>
      <c r="N1607" t="s">
        <v>272</v>
      </c>
      <c r="O1607">
        <v>157</v>
      </c>
      <c r="Q1607">
        <v>730</v>
      </c>
      <c r="R1607">
        <v>109</v>
      </c>
      <c r="S1607">
        <v>4.25</v>
      </c>
      <c r="T1607">
        <v>4.2130000000000001</v>
      </c>
      <c r="U1607">
        <v>6.82</v>
      </c>
      <c r="V1607">
        <v>3101.09</v>
      </c>
      <c r="W1607">
        <v>741</v>
      </c>
      <c r="X1607">
        <v>1.3332999999999999</v>
      </c>
      <c r="Y1607">
        <v>560</v>
      </c>
      <c r="Z1607">
        <v>5.54</v>
      </c>
      <c r="AJ1607">
        <v>2</v>
      </c>
      <c r="AK1607">
        <v>18</v>
      </c>
      <c r="AM1607">
        <v>0</v>
      </c>
      <c r="AO1607" t="s">
        <v>266</v>
      </c>
      <c r="AT1607">
        <v>60</v>
      </c>
      <c r="AV1607">
        <v>62.3</v>
      </c>
      <c r="AW1607" t="s">
        <v>6</v>
      </c>
      <c r="AX1607" t="s">
        <v>6</v>
      </c>
      <c r="AY1607" t="s">
        <v>6</v>
      </c>
      <c r="AZ1607" t="s">
        <v>6</v>
      </c>
      <c r="BA1607" t="s">
        <v>6</v>
      </c>
      <c r="BB1607" t="s">
        <v>6</v>
      </c>
      <c r="BC1607" t="s">
        <v>6</v>
      </c>
      <c r="BD1607" t="s">
        <v>6</v>
      </c>
      <c r="BE1607" t="s">
        <v>6</v>
      </c>
      <c r="BF1607" t="s">
        <v>6</v>
      </c>
      <c r="BG1607" t="s">
        <v>6</v>
      </c>
      <c r="BH1607" t="s">
        <v>6</v>
      </c>
      <c r="BI1607" t="s">
        <v>6</v>
      </c>
      <c r="BJ1607" t="s">
        <v>6</v>
      </c>
      <c r="BN1607">
        <v>299.60000000000002</v>
      </c>
      <c r="BO1607">
        <v>1156</v>
      </c>
      <c r="BP1607">
        <v>0</v>
      </c>
      <c r="BQ1607">
        <v>54</v>
      </c>
      <c r="BR1607">
        <v>54</v>
      </c>
      <c r="BS1607">
        <v>53.73</v>
      </c>
      <c r="BT1607">
        <v>0</v>
      </c>
      <c r="BV1607">
        <v>0</v>
      </c>
      <c r="BW1607" t="s">
        <v>655</v>
      </c>
      <c r="BX1607">
        <v>0.17</v>
      </c>
      <c r="BY1607">
        <v>9.1341000000000001</v>
      </c>
      <c r="BZ1607">
        <v>0</v>
      </c>
      <c r="CA1607">
        <v>1</v>
      </c>
      <c r="CB1607">
        <v>0.6</v>
      </c>
      <c r="CC1607" s="3">
        <v>7.1269159999999998E-2</v>
      </c>
      <c r="CD1607">
        <v>2.875</v>
      </c>
      <c r="CE1607">
        <v>2.5</v>
      </c>
      <c r="CF1607">
        <v>18</v>
      </c>
      <c r="CG1607">
        <v>6</v>
      </c>
      <c r="CH1607">
        <v>0</v>
      </c>
      <c r="CI1607">
        <v>53.73</v>
      </c>
      <c r="CJ1607">
        <v>658.15949999999998</v>
      </c>
    </row>
    <row r="1608" spans="1:88">
      <c r="A1608">
        <v>1607</v>
      </c>
      <c r="B1608" t="s">
        <v>0</v>
      </c>
      <c r="C1608" t="s">
        <v>1</v>
      </c>
      <c r="D1608" t="s">
        <v>366</v>
      </c>
      <c r="E1608" t="s">
        <v>330</v>
      </c>
      <c r="F1608" t="s">
        <v>379</v>
      </c>
      <c r="G1608" t="s">
        <v>106</v>
      </c>
      <c r="H1608" t="s">
        <v>228</v>
      </c>
      <c r="J1608">
        <v>2</v>
      </c>
      <c r="K1608" t="s">
        <v>146</v>
      </c>
      <c r="L1608" t="s">
        <v>279</v>
      </c>
      <c r="M1608" t="s">
        <v>360</v>
      </c>
      <c r="N1608" t="s">
        <v>381</v>
      </c>
      <c r="O1608">
        <v>136</v>
      </c>
      <c r="Q1608">
        <v>359</v>
      </c>
      <c r="R1608">
        <v>65</v>
      </c>
      <c r="S1608">
        <v>4.25</v>
      </c>
      <c r="T1608">
        <v>3.7090000000000001</v>
      </c>
      <c r="U1608">
        <v>6.45</v>
      </c>
      <c r="V1608">
        <v>1523.88</v>
      </c>
      <c r="W1608">
        <v>418</v>
      </c>
      <c r="X1608">
        <v>1.3332999999999999</v>
      </c>
      <c r="Y1608">
        <v>302</v>
      </c>
      <c r="Z1608">
        <v>5.04</v>
      </c>
      <c r="AJ1608">
        <v>2</v>
      </c>
      <c r="AK1608">
        <v>18</v>
      </c>
      <c r="AM1608">
        <v>0</v>
      </c>
      <c r="AO1608" t="s">
        <v>230</v>
      </c>
      <c r="AT1608">
        <v>53</v>
      </c>
      <c r="AV1608">
        <v>34.6</v>
      </c>
      <c r="AW1608">
        <v>0</v>
      </c>
      <c r="AX1608">
        <v>0</v>
      </c>
      <c r="AY1608">
        <v>47</v>
      </c>
      <c r="AZ1608">
        <v>4.375</v>
      </c>
      <c r="BA1608">
        <v>0</v>
      </c>
      <c r="BB1608">
        <v>0</v>
      </c>
      <c r="BC1608">
        <v>48</v>
      </c>
      <c r="BN1608">
        <v>164.0667</v>
      </c>
      <c r="BO1608">
        <v>3855</v>
      </c>
      <c r="BP1608">
        <v>0</v>
      </c>
      <c r="BQ1608">
        <v>46</v>
      </c>
      <c r="BR1608">
        <v>46</v>
      </c>
      <c r="BS1608">
        <v>46.43</v>
      </c>
      <c r="BT1608">
        <v>0</v>
      </c>
      <c r="BV1608">
        <v>0</v>
      </c>
      <c r="BW1608" t="s">
        <v>655</v>
      </c>
      <c r="BX1608">
        <v>0.17</v>
      </c>
      <c r="BY1608">
        <v>7.8931009999999997</v>
      </c>
      <c r="BZ1608">
        <v>0</v>
      </c>
      <c r="CA1608">
        <v>1</v>
      </c>
      <c r="CB1608">
        <v>0.6</v>
      </c>
      <c r="CC1608" s="3">
        <v>7.1269159999999998E-2</v>
      </c>
      <c r="CD1608">
        <v>2.875</v>
      </c>
      <c r="CE1608">
        <v>2.5</v>
      </c>
      <c r="CF1608">
        <v>18</v>
      </c>
      <c r="CG1608">
        <v>6</v>
      </c>
      <c r="CH1608">
        <v>0</v>
      </c>
      <c r="CI1608">
        <v>46.43</v>
      </c>
      <c r="CJ1608">
        <v>316.01209999999998</v>
      </c>
    </row>
    <row r="1609" spans="1:88">
      <c r="A1609">
        <v>1608</v>
      </c>
      <c r="B1609" t="s">
        <v>0</v>
      </c>
      <c r="C1609" t="s">
        <v>1</v>
      </c>
      <c r="D1609" t="s">
        <v>234</v>
      </c>
      <c r="E1609" t="s">
        <v>143</v>
      </c>
      <c r="F1609" t="s">
        <v>252</v>
      </c>
      <c r="G1609" t="s">
        <v>106</v>
      </c>
      <c r="H1609" t="s">
        <v>195</v>
      </c>
      <c r="J1609">
        <v>2</v>
      </c>
      <c r="K1609" t="s">
        <v>146</v>
      </c>
      <c r="L1609" t="s">
        <v>297</v>
      </c>
      <c r="M1609" t="s">
        <v>206</v>
      </c>
      <c r="N1609" t="s">
        <v>131</v>
      </c>
      <c r="O1609">
        <v>155</v>
      </c>
      <c r="Q1609">
        <v>587</v>
      </c>
      <c r="R1609">
        <v>90</v>
      </c>
      <c r="S1609">
        <v>4.25</v>
      </c>
      <c r="T1609">
        <v>4.1660000000000004</v>
      </c>
      <c r="U1609">
        <v>6.78</v>
      </c>
      <c r="V1609">
        <v>2494.62</v>
      </c>
      <c r="W1609">
        <v>610</v>
      </c>
      <c r="X1609">
        <v>1.3332999999999999</v>
      </c>
      <c r="Y1609">
        <v>454</v>
      </c>
      <c r="Z1609">
        <v>5.49</v>
      </c>
      <c r="AJ1609">
        <v>2</v>
      </c>
      <c r="AK1609">
        <v>18</v>
      </c>
      <c r="AM1609">
        <v>0</v>
      </c>
      <c r="AO1609" t="s">
        <v>256</v>
      </c>
      <c r="AT1609">
        <v>59</v>
      </c>
      <c r="AV1609">
        <v>50.6</v>
      </c>
      <c r="AW1609">
        <v>0.46875</v>
      </c>
      <c r="AX1609">
        <v>3.75</v>
      </c>
      <c r="AY1609">
        <v>56.5</v>
      </c>
      <c r="AZ1609">
        <v>5.125</v>
      </c>
      <c r="BA1609">
        <v>358.98</v>
      </c>
      <c r="BB1609">
        <v>5.49</v>
      </c>
      <c r="BC1609">
        <v>61</v>
      </c>
      <c r="BD1609">
        <v>0.3125</v>
      </c>
      <c r="BE1609">
        <v>2.75</v>
      </c>
      <c r="BF1609">
        <v>37.75</v>
      </c>
      <c r="BG1609">
        <v>3.375</v>
      </c>
      <c r="BH1609">
        <v>95.41001</v>
      </c>
      <c r="BI1609">
        <v>6.69</v>
      </c>
      <c r="BJ1609">
        <v>20</v>
      </c>
      <c r="BL1609">
        <v>454.39</v>
      </c>
      <c r="BM1609">
        <v>80</v>
      </c>
      <c r="BN1609">
        <v>242.5334</v>
      </c>
      <c r="BO1609">
        <v>1764</v>
      </c>
      <c r="BP1609">
        <v>0</v>
      </c>
      <c r="BQ1609">
        <v>53</v>
      </c>
      <c r="BR1609">
        <v>53</v>
      </c>
      <c r="BS1609">
        <v>53.04</v>
      </c>
      <c r="BT1609">
        <v>0</v>
      </c>
      <c r="BV1609">
        <v>0</v>
      </c>
      <c r="BW1609" t="s">
        <v>655</v>
      </c>
      <c r="BX1609">
        <v>0.17</v>
      </c>
      <c r="BY1609">
        <v>9.0167999999999999</v>
      </c>
      <c r="BZ1609">
        <v>0</v>
      </c>
      <c r="CA1609">
        <v>1</v>
      </c>
      <c r="CB1609">
        <v>0.6</v>
      </c>
      <c r="CC1609" s="3">
        <v>7.1269159999999998E-2</v>
      </c>
      <c r="CD1609">
        <v>2.875</v>
      </c>
      <c r="CE1609">
        <v>2.5</v>
      </c>
      <c r="CF1609">
        <v>18</v>
      </c>
      <c r="CG1609">
        <v>6</v>
      </c>
      <c r="CH1609">
        <v>0</v>
      </c>
      <c r="CI1609">
        <v>53.04</v>
      </c>
      <c r="CJ1609">
        <v>527.32619999999997</v>
      </c>
    </row>
    <row r="1610" spans="1:88">
      <c r="A1610">
        <v>1609</v>
      </c>
      <c r="B1610" t="s">
        <v>0</v>
      </c>
      <c r="C1610" t="s">
        <v>1</v>
      </c>
      <c r="D1610" t="s">
        <v>176</v>
      </c>
      <c r="E1610" t="s">
        <v>172</v>
      </c>
      <c r="F1610" t="s">
        <v>134</v>
      </c>
      <c r="G1610" t="s">
        <v>106</v>
      </c>
      <c r="H1610" t="s">
        <v>177</v>
      </c>
      <c r="J1610">
        <v>2</v>
      </c>
      <c r="K1610" t="s">
        <v>146</v>
      </c>
      <c r="L1610" t="s">
        <v>233</v>
      </c>
      <c r="M1610" t="s">
        <v>490</v>
      </c>
      <c r="N1610" t="s">
        <v>128</v>
      </c>
      <c r="O1610">
        <v>137</v>
      </c>
      <c r="Q1610">
        <v>398</v>
      </c>
      <c r="R1610">
        <v>71</v>
      </c>
      <c r="S1610">
        <v>4.25</v>
      </c>
      <c r="T1610">
        <v>3.734</v>
      </c>
      <c r="U1610">
        <v>6.48</v>
      </c>
      <c r="V1610">
        <v>1691.37</v>
      </c>
      <c r="W1610">
        <v>457</v>
      </c>
      <c r="X1610">
        <v>1.3332999999999999</v>
      </c>
      <c r="Y1610">
        <v>334</v>
      </c>
      <c r="Z1610">
        <v>5.0599999999999996</v>
      </c>
      <c r="AJ1610">
        <v>2</v>
      </c>
      <c r="AK1610">
        <v>18</v>
      </c>
      <c r="AM1610">
        <v>0</v>
      </c>
      <c r="AO1610" t="s">
        <v>152</v>
      </c>
      <c r="AT1610">
        <v>53</v>
      </c>
      <c r="AV1610">
        <v>38.200000000000003</v>
      </c>
      <c r="AW1610">
        <v>0</v>
      </c>
      <c r="AX1610">
        <v>0</v>
      </c>
      <c r="AY1610">
        <v>60.625</v>
      </c>
      <c r="AZ1610">
        <v>4.75</v>
      </c>
      <c r="BA1610">
        <v>0</v>
      </c>
      <c r="BB1610">
        <v>0</v>
      </c>
      <c r="BC1610">
        <v>65</v>
      </c>
      <c r="BN1610">
        <v>181.9</v>
      </c>
      <c r="BO1610">
        <v>3136</v>
      </c>
      <c r="BP1610">
        <v>0</v>
      </c>
      <c r="BQ1610">
        <v>47</v>
      </c>
      <c r="BR1610">
        <v>47</v>
      </c>
      <c r="BS1610">
        <v>46.78</v>
      </c>
      <c r="BT1610">
        <v>0</v>
      </c>
      <c r="BV1610">
        <v>0</v>
      </c>
      <c r="BW1610" t="s">
        <v>655</v>
      </c>
      <c r="BX1610">
        <v>0.17</v>
      </c>
      <c r="BY1610">
        <v>7.9526000000000003</v>
      </c>
      <c r="BZ1610">
        <v>0</v>
      </c>
      <c r="CA1610">
        <v>1</v>
      </c>
      <c r="CB1610">
        <v>0.6</v>
      </c>
      <c r="CC1610" s="3">
        <v>7.1269159999999998E-2</v>
      </c>
      <c r="CD1610">
        <v>2.875</v>
      </c>
      <c r="CE1610">
        <v>2.5</v>
      </c>
      <c r="CF1610">
        <v>18</v>
      </c>
      <c r="CG1610">
        <v>6</v>
      </c>
      <c r="CH1610">
        <v>0</v>
      </c>
      <c r="CI1610">
        <v>46.78</v>
      </c>
      <c r="CJ1610">
        <v>351.73399999999998</v>
      </c>
    </row>
    <row r="1611" spans="1:88">
      <c r="A1611">
        <v>1610</v>
      </c>
      <c r="B1611" t="s">
        <v>13</v>
      </c>
      <c r="C1611" t="s">
        <v>1</v>
      </c>
      <c r="D1611" t="s">
        <v>432</v>
      </c>
      <c r="E1611" t="s">
        <v>113</v>
      </c>
      <c r="F1611" t="s">
        <v>677</v>
      </c>
      <c r="G1611" t="s">
        <v>20</v>
      </c>
      <c r="H1611" t="s">
        <v>432</v>
      </c>
      <c r="J1611">
        <v>2</v>
      </c>
      <c r="K1611" t="s">
        <v>9</v>
      </c>
      <c r="L1611" t="s">
        <v>116</v>
      </c>
      <c r="M1611" t="s">
        <v>117</v>
      </c>
      <c r="N1611" t="s">
        <v>14</v>
      </c>
      <c r="O1611">
        <v>179</v>
      </c>
      <c r="Q1611">
        <v>1230</v>
      </c>
      <c r="R1611">
        <v>161</v>
      </c>
      <c r="S1611">
        <v>4.25</v>
      </c>
      <c r="T1611">
        <v>4.7190000000000003</v>
      </c>
      <c r="U1611">
        <v>7.05</v>
      </c>
      <c r="V1611">
        <v>5225.5</v>
      </c>
      <c r="W1611">
        <v>1138</v>
      </c>
      <c r="X1611">
        <v>1.3332999999999999</v>
      </c>
      <c r="Y1611">
        <v>864</v>
      </c>
      <c r="Z1611">
        <v>6.05</v>
      </c>
      <c r="AJ1611">
        <v>2</v>
      </c>
      <c r="AK1611">
        <v>18</v>
      </c>
      <c r="AM1611">
        <v>0</v>
      </c>
      <c r="AO1611" t="s">
        <v>678</v>
      </c>
      <c r="AT1611">
        <v>68</v>
      </c>
      <c r="AV1611">
        <v>92.8</v>
      </c>
      <c r="AW1611" t="s">
        <v>6</v>
      </c>
      <c r="AX1611" t="s">
        <v>6</v>
      </c>
      <c r="AY1611" t="s">
        <v>6</v>
      </c>
      <c r="AZ1611" t="s">
        <v>6</v>
      </c>
      <c r="BA1611" t="s">
        <v>6</v>
      </c>
      <c r="BB1611" t="s">
        <v>6</v>
      </c>
      <c r="BC1611" t="s">
        <v>6</v>
      </c>
      <c r="BD1611" t="s">
        <v>6</v>
      </c>
      <c r="BE1611" t="s">
        <v>6</v>
      </c>
      <c r="BF1611" t="s">
        <v>6</v>
      </c>
      <c r="BG1611" t="s">
        <v>6</v>
      </c>
      <c r="BH1611" t="s">
        <v>6</v>
      </c>
      <c r="BI1611" t="s">
        <v>6</v>
      </c>
      <c r="BJ1611" t="s">
        <v>6</v>
      </c>
      <c r="BN1611">
        <v>697.14750000000004</v>
      </c>
      <c r="BO1611">
        <v>2464</v>
      </c>
      <c r="BP1611">
        <v>0</v>
      </c>
      <c r="BQ1611">
        <v>61</v>
      </c>
      <c r="BR1611">
        <v>61</v>
      </c>
      <c r="BS1611">
        <v>61.39</v>
      </c>
      <c r="BT1611">
        <v>0</v>
      </c>
      <c r="BV1611">
        <v>6</v>
      </c>
      <c r="BW1611" t="s">
        <v>655</v>
      </c>
      <c r="BX1611">
        <v>0.27933330000000001</v>
      </c>
      <c r="BY1611">
        <v>17.14827</v>
      </c>
      <c r="BZ1611">
        <v>0</v>
      </c>
      <c r="CA1611">
        <v>1</v>
      </c>
      <c r="CB1611">
        <v>0.6</v>
      </c>
      <c r="CC1611" s="3">
        <v>7.1269159999999998E-2</v>
      </c>
      <c r="CD1611">
        <v>2.875</v>
      </c>
      <c r="CE1611">
        <v>2.5</v>
      </c>
      <c r="CF1611">
        <v>18</v>
      </c>
      <c r="CG1611">
        <v>6</v>
      </c>
      <c r="CH1611">
        <v>0</v>
      </c>
      <c r="CI1611">
        <v>61.39</v>
      </c>
      <c r="CJ1611">
        <v>1119.508</v>
      </c>
    </row>
    <row r="1612" spans="1:88">
      <c r="A1612">
        <v>1611</v>
      </c>
      <c r="B1612" t="s">
        <v>13</v>
      </c>
      <c r="C1612" t="s">
        <v>1</v>
      </c>
      <c r="D1612" t="s">
        <v>363</v>
      </c>
      <c r="E1612" t="s">
        <v>167</v>
      </c>
      <c r="F1612" t="s">
        <v>256</v>
      </c>
      <c r="G1612" t="s">
        <v>106</v>
      </c>
      <c r="H1612" t="s">
        <v>364</v>
      </c>
      <c r="J1612">
        <v>2</v>
      </c>
      <c r="K1612" t="s">
        <v>146</v>
      </c>
      <c r="L1612" t="s">
        <v>207</v>
      </c>
      <c r="M1612" t="s">
        <v>327</v>
      </c>
      <c r="N1612" t="s">
        <v>330</v>
      </c>
      <c r="O1612">
        <v>133</v>
      </c>
      <c r="Q1612">
        <v>502</v>
      </c>
      <c r="R1612">
        <v>89</v>
      </c>
      <c r="S1612">
        <v>4.25</v>
      </c>
      <c r="T1612">
        <v>3.6349999999999998</v>
      </c>
      <c r="U1612">
        <v>6.41</v>
      </c>
      <c r="V1612">
        <v>2135.2800000000002</v>
      </c>
      <c r="W1612">
        <v>570</v>
      </c>
      <c r="X1612">
        <v>1.3332999999999999</v>
      </c>
      <c r="Y1612">
        <v>431</v>
      </c>
      <c r="Z1612">
        <v>4.96</v>
      </c>
      <c r="AJ1612">
        <v>2</v>
      </c>
      <c r="AK1612">
        <v>18</v>
      </c>
      <c r="AM1612">
        <v>0</v>
      </c>
      <c r="AO1612" t="s">
        <v>298</v>
      </c>
      <c r="AT1612">
        <v>52</v>
      </c>
      <c r="AV1612">
        <v>49.9</v>
      </c>
      <c r="AW1612">
        <v>0.46875</v>
      </c>
      <c r="AX1612">
        <v>3.75</v>
      </c>
      <c r="AY1612">
        <v>51</v>
      </c>
      <c r="AZ1612">
        <v>4.625</v>
      </c>
      <c r="BA1612">
        <v>397.34</v>
      </c>
      <c r="BB1612">
        <v>4.96</v>
      </c>
      <c r="BC1612">
        <v>55</v>
      </c>
      <c r="BD1612">
        <v>0.25</v>
      </c>
      <c r="BE1612">
        <v>2.75</v>
      </c>
      <c r="BF1612">
        <v>34.625</v>
      </c>
      <c r="BG1612">
        <v>2.5</v>
      </c>
      <c r="BH1612">
        <v>33.159999999999997</v>
      </c>
      <c r="BI1612">
        <v>10.35</v>
      </c>
      <c r="BJ1612">
        <v>15</v>
      </c>
      <c r="BL1612">
        <v>430.5</v>
      </c>
      <c r="BM1612">
        <v>69</v>
      </c>
      <c r="BN1612">
        <v>238.9667</v>
      </c>
      <c r="BO1612">
        <v>1817</v>
      </c>
      <c r="BP1612">
        <v>0</v>
      </c>
      <c r="BQ1612">
        <v>45</v>
      </c>
      <c r="BR1612">
        <v>45</v>
      </c>
      <c r="BS1612">
        <v>45.39</v>
      </c>
      <c r="BT1612">
        <v>0</v>
      </c>
      <c r="BV1612">
        <v>0</v>
      </c>
      <c r="BW1612" t="s">
        <v>655</v>
      </c>
      <c r="BX1612">
        <v>0.17</v>
      </c>
      <c r="BY1612">
        <v>7.7163000000000004</v>
      </c>
      <c r="BZ1612">
        <v>0</v>
      </c>
      <c r="CA1612">
        <v>1</v>
      </c>
      <c r="CB1612">
        <v>0.6</v>
      </c>
      <c r="CC1612" s="3">
        <v>7.1269159999999998E-2</v>
      </c>
      <c r="CD1612">
        <v>2.875</v>
      </c>
      <c r="CE1612">
        <v>2.5</v>
      </c>
      <c r="CF1612">
        <v>18</v>
      </c>
      <c r="CG1612">
        <v>6</v>
      </c>
      <c r="CH1612">
        <v>0</v>
      </c>
      <c r="CI1612">
        <v>45.39</v>
      </c>
      <c r="CJ1612">
        <v>444.79969999999997</v>
      </c>
    </row>
    <row r="1613" spans="1:88">
      <c r="A1613">
        <v>1612</v>
      </c>
      <c r="B1613" t="s">
        <v>13</v>
      </c>
      <c r="C1613" t="s">
        <v>1</v>
      </c>
      <c r="D1613" t="s">
        <v>14</v>
      </c>
      <c r="E1613" t="s">
        <v>148</v>
      </c>
      <c r="F1613" t="s">
        <v>192</v>
      </c>
      <c r="G1613" t="s">
        <v>214</v>
      </c>
      <c r="H1613" t="s">
        <v>193</v>
      </c>
      <c r="J1613">
        <v>2</v>
      </c>
      <c r="K1613" t="s">
        <v>108</v>
      </c>
      <c r="L1613" t="s">
        <v>12</v>
      </c>
      <c r="M1613" t="s">
        <v>529</v>
      </c>
      <c r="N1613" t="s">
        <v>168</v>
      </c>
      <c r="O1613">
        <v>186</v>
      </c>
      <c r="Q1613">
        <v>870</v>
      </c>
      <c r="R1613">
        <v>110</v>
      </c>
      <c r="S1613">
        <v>4.25</v>
      </c>
      <c r="T1613">
        <v>4.875</v>
      </c>
      <c r="U1613">
        <v>7.2</v>
      </c>
      <c r="V1613">
        <v>3696.3</v>
      </c>
      <c r="W1613">
        <v>794</v>
      </c>
      <c r="X1613">
        <v>1.3332999999999999</v>
      </c>
      <c r="Y1613">
        <v>596</v>
      </c>
      <c r="Z1613">
        <v>6.2</v>
      </c>
      <c r="AJ1613">
        <v>2</v>
      </c>
      <c r="AK1613">
        <v>18</v>
      </c>
      <c r="AM1613">
        <v>0</v>
      </c>
      <c r="AO1613" t="s">
        <v>196</v>
      </c>
      <c r="AT1613">
        <v>70</v>
      </c>
      <c r="AV1613">
        <v>63.4</v>
      </c>
      <c r="AW1613" t="s">
        <v>6</v>
      </c>
      <c r="AX1613" t="s">
        <v>6</v>
      </c>
      <c r="AY1613" t="s">
        <v>6</v>
      </c>
      <c r="AZ1613" t="s">
        <v>6</v>
      </c>
      <c r="BA1613" t="s">
        <v>6</v>
      </c>
      <c r="BB1613" t="s">
        <v>6</v>
      </c>
      <c r="BC1613" t="s">
        <v>6</v>
      </c>
      <c r="BD1613" t="s">
        <v>6</v>
      </c>
      <c r="BE1613" t="s">
        <v>6</v>
      </c>
      <c r="BF1613" t="s">
        <v>6</v>
      </c>
      <c r="BG1613" t="s">
        <v>6</v>
      </c>
      <c r="BH1613" t="s">
        <v>6</v>
      </c>
      <c r="BI1613" t="s">
        <v>6</v>
      </c>
      <c r="BJ1613" t="s">
        <v>6</v>
      </c>
      <c r="BN1613">
        <v>307.51499999999999</v>
      </c>
      <c r="BO1613">
        <v>1377</v>
      </c>
      <c r="BP1613">
        <v>0</v>
      </c>
      <c r="BQ1613">
        <v>64</v>
      </c>
      <c r="BR1613">
        <v>64</v>
      </c>
      <c r="BS1613">
        <v>63.82</v>
      </c>
      <c r="BT1613">
        <v>0</v>
      </c>
      <c r="BV1613">
        <v>0</v>
      </c>
      <c r="BW1613" t="s">
        <v>655</v>
      </c>
      <c r="BX1613">
        <v>0.17</v>
      </c>
      <c r="BY1613">
        <v>10.849399999999999</v>
      </c>
      <c r="BZ1613">
        <v>0</v>
      </c>
      <c r="CA1613">
        <v>1</v>
      </c>
      <c r="CB1613">
        <v>0.6</v>
      </c>
      <c r="CC1613" s="3">
        <v>7.1269159999999998E-2</v>
      </c>
      <c r="CD1613">
        <v>2.875</v>
      </c>
      <c r="CE1613">
        <v>2.5</v>
      </c>
      <c r="CF1613">
        <v>18</v>
      </c>
      <c r="CG1613">
        <v>6</v>
      </c>
      <c r="CH1613">
        <v>0</v>
      </c>
      <c r="CI1613">
        <v>63.82</v>
      </c>
      <c r="CJ1613">
        <v>795.40099999999995</v>
      </c>
    </row>
    <row r="1614" spans="1:88">
      <c r="A1614">
        <v>1613</v>
      </c>
      <c r="B1614" t="s">
        <v>13</v>
      </c>
      <c r="C1614" t="s">
        <v>1</v>
      </c>
      <c r="D1614" t="s">
        <v>235</v>
      </c>
      <c r="E1614" t="s">
        <v>113</v>
      </c>
      <c r="F1614" t="s">
        <v>327</v>
      </c>
      <c r="G1614" t="s">
        <v>106</v>
      </c>
      <c r="H1614" t="s">
        <v>96</v>
      </c>
      <c r="J1614">
        <v>2</v>
      </c>
      <c r="K1614" t="s">
        <v>146</v>
      </c>
      <c r="L1614" t="s">
        <v>116</v>
      </c>
      <c r="M1614" t="s">
        <v>117</v>
      </c>
      <c r="N1614" t="s">
        <v>14</v>
      </c>
      <c r="O1614">
        <v>179</v>
      </c>
      <c r="Q1614">
        <v>600</v>
      </c>
      <c r="R1614">
        <v>81</v>
      </c>
      <c r="S1614">
        <v>4.25</v>
      </c>
      <c r="T1614">
        <v>4.7190000000000003</v>
      </c>
      <c r="U1614">
        <v>7.05</v>
      </c>
      <c r="V1614">
        <v>2551.44</v>
      </c>
      <c r="W1614">
        <v>574</v>
      </c>
      <c r="X1614">
        <v>1.3332999999999999</v>
      </c>
      <c r="Y1614">
        <v>422</v>
      </c>
      <c r="Z1614">
        <v>6.05</v>
      </c>
      <c r="AJ1614">
        <v>2</v>
      </c>
      <c r="AK1614">
        <v>18</v>
      </c>
      <c r="AM1614">
        <v>0</v>
      </c>
      <c r="AO1614" t="s">
        <v>100</v>
      </c>
      <c r="AT1614">
        <v>68</v>
      </c>
      <c r="AV1614">
        <v>45.1</v>
      </c>
      <c r="AW1614">
        <v>0.46875</v>
      </c>
      <c r="AX1614">
        <v>3.75</v>
      </c>
      <c r="AY1614">
        <v>62.25</v>
      </c>
      <c r="AZ1614">
        <v>5.625</v>
      </c>
      <c r="BA1614">
        <v>325.75</v>
      </c>
      <c r="BB1614">
        <v>6.05</v>
      </c>
      <c r="BC1614">
        <v>67</v>
      </c>
      <c r="BD1614">
        <v>0.3125</v>
      </c>
      <c r="BE1614">
        <v>2.75</v>
      </c>
      <c r="BF1614">
        <v>37.5</v>
      </c>
      <c r="BG1614">
        <v>3.75</v>
      </c>
      <c r="BH1614">
        <v>95.97</v>
      </c>
      <c r="BI1614">
        <v>6.66</v>
      </c>
      <c r="BJ1614">
        <v>20</v>
      </c>
      <c r="BL1614">
        <v>421.72</v>
      </c>
      <c r="BM1614">
        <v>86</v>
      </c>
      <c r="BN1614">
        <v>215.7834</v>
      </c>
      <c r="BO1614">
        <v>2229</v>
      </c>
      <c r="BP1614">
        <v>0</v>
      </c>
      <c r="BQ1614">
        <v>61</v>
      </c>
      <c r="BR1614">
        <v>61</v>
      </c>
      <c r="BS1614">
        <v>61.39</v>
      </c>
      <c r="BT1614">
        <v>0</v>
      </c>
      <c r="BV1614">
        <v>0</v>
      </c>
      <c r="BW1614" t="s">
        <v>655</v>
      </c>
      <c r="BX1614">
        <v>0.17</v>
      </c>
      <c r="BY1614">
        <v>10.436299999999999</v>
      </c>
      <c r="BZ1614">
        <v>0</v>
      </c>
      <c r="CA1614">
        <v>1</v>
      </c>
      <c r="CB1614">
        <v>0.6</v>
      </c>
      <c r="CC1614" s="3">
        <v>7.1269159999999998E-2</v>
      </c>
      <c r="CD1614">
        <v>2.875</v>
      </c>
      <c r="CE1614">
        <v>2.5</v>
      </c>
      <c r="CF1614">
        <v>18</v>
      </c>
      <c r="CG1614">
        <v>6</v>
      </c>
      <c r="CH1614">
        <v>0</v>
      </c>
      <c r="CI1614">
        <v>61.39</v>
      </c>
      <c r="CJ1614">
        <v>544.71410000000003</v>
      </c>
    </row>
    <row r="1615" spans="1:88">
      <c r="A1615">
        <v>1614</v>
      </c>
      <c r="B1615" t="s">
        <v>0</v>
      </c>
      <c r="C1615" t="s">
        <v>1</v>
      </c>
      <c r="D1615" t="s">
        <v>169</v>
      </c>
      <c r="E1615" t="s">
        <v>169</v>
      </c>
      <c r="F1615" t="s">
        <v>404</v>
      </c>
      <c r="G1615" t="s">
        <v>106</v>
      </c>
      <c r="H1615" t="s">
        <v>190</v>
      </c>
      <c r="J1615">
        <v>2</v>
      </c>
      <c r="K1615" t="s">
        <v>146</v>
      </c>
      <c r="L1615" t="s">
        <v>381</v>
      </c>
      <c r="M1615" t="s">
        <v>173</v>
      </c>
      <c r="N1615" t="s">
        <v>174</v>
      </c>
      <c r="O1615">
        <v>119</v>
      </c>
      <c r="Q1615">
        <v>369</v>
      </c>
      <c r="R1615">
        <v>74</v>
      </c>
      <c r="S1615">
        <v>4.25</v>
      </c>
      <c r="T1615">
        <v>3.2829999999999999</v>
      </c>
      <c r="U1615">
        <v>6.15</v>
      </c>
      <c r="V1615">
        <v>1569.73</v>
      </c>
      <c r="W1615">
        <v>455</v>
      </c>
      <c r="X1615">
        <v>1.3332999999999999</v>
      </c>
      <c r="Y1615">
        <v>341</v>
      </c>
      <c r="Z1615">
        <v>4.6100000000000003</v>
      </c>
      <c r="AJ1615">
        <v>2</v>
      </c>
      <c r="AK1615">
        <v>18</v>
      </c>
      <c r="AM1615">
        <v>0</v>
      </c>
      <c r="AO1615" t="s">
        <v>406</v>
      </c>
      <c r="AT1615">
        <v>47</v>
      </c>
      <c r="AV1615">
        <v>40.4</v>
      </c>
      <c r="AW1615">
        <v>0</v>
      </c>
      <c r="AX1615">
        <v>0</v>
      </c>
      <c r="AY1615">
        <v>41.75</v>
      </c>
      <c r="AZ1615">
        <v>4</v>
      </c>
      <c r="BA1615">
        <v>0</v>
      </c>
      <c r="BB1615">
        <v>0</v>
      </c>
      <c r="BC1615">
        <v>42</v>
      </c>
      <c r="BN1615">
        <v>192.6</v>
      </c>
      <c r="BO1615">
        <v>2797</v>
      </c>
      <c r="BP1615">
        <v>0</v>
      </c>
      <c r="BQ1615">
        <v>41</v>
      </c>
      <c r="BR1615">
        <v>41</v>
      </c>
      <c r="BS1615">
        <v>40.520000000000003</v>
      </c>
      <c r="BT1615">
        <v>0</v>
      </c>
      <c r="BV1615">
        <v>0</v>
      </c>
      <c r="BW1615" t="s">
        <v>655</v>
      </c>
      <c r="BX1615">
        <v>0.17</v>
      </c>
      <c r="BY1615">
        <v>6.8883999999999999</v>
      </c>
      <c r="BZ1615">
        <v>0</v>
      </c>
      <c r="CA1615">
        <v>1</v>
      </c>
      <c r="CB1615">
        <v>0.6</v>
      </c>
      <c r="CC1615" s="3">
        <v>7.1269159999999998E-2</v>
      </c>
      <c r="CD1615">
        <v>2.875</v>
      </c>
      <c r="CE1615">
        <v>2.5</v>
      </c>
      <c r="CF1615">
        <v>18</v>
      </c>
      <c r="CG1615">
        <v>6</v>
      </c>
      <c r="CH1615">
        <v>0</v>
      </c>
      <c r="CI1615">
        <v>40.520000000000003</v>
      </c>
      <c r="CJ1615">
        <v>321.99259999999998</v>
      </c>
    </row>
    <row r="1616" spans="1:88">
      <c r="A1616">
        <v>1615</v>
      </c>
      <c r="B1616" t="s">
        <v>0</v>
      </c>
      <c r="C1616" t="s">
        <v>1</v>
      </c>
      <c r="D1616" t="s">
        <v>195</v>
      </c>
      <c r="E1616" t="s">
        <v>133</v>
      </c>
      <c r="F1616" t="s">
        <v>435</v>
      </c>
      <c r="G1616" t="s">
        <v>106</v>
      </c>
      <c r="H1616" t="s">
        <v>363</v>
      </c>
      <c r="J1616">
        <v>2</v>
      </c>
      <c r="K1616" t="s">
        <v>146</v>
      </c>
      <c r="L1616" t="s">
        <v>353</v>
      </c>
      <c r="M1616" t="s">
        <v>194</v>
      </c>
      <c r="N1616" t="s">
        <v>195</v>
      </c>
      <c r="O1616">
        <v>143</v>
      </c>
      <c r="Q1616">
        <v>541</v>
      </c>
      <c r="R1616">
        <v>89</v>
      </c>
      <c r="S1616">
        <v>4.25</v>
      </c>
      <c r="T1616">
        <v>3.88</v>
      </c>
      <c r="U1616">
        <v>6.6</v>
      </c>
      <c r="V1616">
        <v>2298.65</v>
      </c>
      <c r="W1616">
        <v>590</v>
      </c>
      <c r="X1616">
        <v>1.3332999999999999</v>
      </c>
      <c r="Y1616">
        <v>441</v>
      </c>
      <c r="Z1616">
        <v>5.21</v>
      </c>
      <c r="AJ1616">
        <v>2</v>
      </c>
      <c r="AK1616">
        <v>18</v>
      </c>
      <c r="AM1616">
        <v>0</v>
      </c>
      <c r="AO1616" t="s">
        <v>461</v>
      </c>
      <c r="AT1616">
        <v>55</v>
      </c>
      <c r="AV1616">
        <v>50.2</v>
      </c>
      <c r="AW1616">
        <v>0.46875</v>
      </c>
      <c r="AX1616">
        <v>3.75</v>
      </c>
      <c r="AY1616">
        <v>53.625</v>
      </c>
      <c r="AZ1616">
        <v>4.875</v>
      </c>
      <c r="BA1616">
        <v>378.27</v>
      </c>
      <c r="BB1616">
        <v>5.21</v>
      </c>
      <c r="BC1616">
        <v>58</v>
      </c>
      <c r="BD1616">
        <v>0.25</v>
      </c>
      <c r="BE1616">
        <v>2.75</v>
      </c>
      <c r="BF1616">
        <v>18.25</v>
      </c>
      <c r="BG1616">
        <v>2.625</v>
      </c>
      <c r="BH1616">
        <v>62.92</v>
      </c>
      <c r="BI1616">
        <v>5.45</v>
      </c>
      <c r="BJ1616">
        <v>8</v>
      </c>
      <c r="BL1616">
        <v>441.19</v>
      </c>
      <c r="BM1616">
        <v>65</v>
      </c>
      <c r="BN1616">
        <v>240.75</v>
      </c>
      <c r="BO1616">
        <v>1790</v>
      </c>
      <c r="BP1616">
        <v>0</v>
      </c>
      <c r="BQ1616">
        <v>49</v>
      </c>
      <c r="BR1616">
        <v>49</v>
      </c>
      <c r="BS1616">
        <v>48.86</v>
      </c>
      <c r="BT1616">
        <v>0</v>
      </c>
      <c r="BV1616">
        <v>0</v>
      </c>
      <c r="BW1616" t="s">
        <v>655</v>
      </c>
      <c r="BX1616">
        <v>0.17</v>
      </c>
      <c r="BY1616">
        <v>8.3062000000000005</v>
      </c>
      <c r="BZ1616">
        <v>0</v>
      </c>
      <c r="CA1616">
        <v>1</v>
      </c>
      <c r="CB1616">
        <v>0.6</v>
      </c>
      <c r="CC1616" s="3">
        <v>7.1269159999999998E-2</v>
      </c>
      <c r="CD1616">
        <v>2.875</v>
      </c>
      <c r="CE1616">
        <v>2.5</v>
      </c>
      <c r="CF1616">
        <v>18</v>
      </c>
      <c r="CG1616">
        <v>6</v>
      </c>
      <c r="CH1616">
        <v>0</v>
      </c>
      <c r="CI1616">
        <v>48.86</v>
      </c>
      <c r="CJ1616">
        <v>482.28620000000001</v>
      </c>
    </row>
    <row r="1617" spans="1:88">
      <c r="A1617">
        <v>1616</v>
      </c>
      <c r="B1617" t="s">
        <v>13</v>
      </c>
      <c r="C1617" t="s">
        <v>1</v>
      </c>
      <c r="D1617" t="s">
        <v>136</v>
      </c>
      <c r="E1617" t="s">
        <v>169</v>
      </c>
      <c r="F1617" t="s">
        <v>407</v>
      </c>
      <c r="G1617" t="s">
        <v>106</v>
      </c>
      <c r="H1617" t="s">
        <v>375</v>
      </c>
      <c r="J1617">
        <v>2</v>
      </c>
      <c r="K1617" t="s">
        <v>146</v>
      </c>
      <c r="L1617" t="s">
        <v>381</v>
      </c>
      <c r="M1617" t="s">
        <v>173</v>
      </c>
      <c r="N1617" t="s">
        <v>174</v>
      </c>
      <c r="O1617">
        <v>119</v>
      </c>
      <c r="Q1617">
        <v>278</v>
      </c>
      <c r="R1617">
        <v>53</v>
      </c>
      <c r="S1617">
        <v>4.25</v>
      </c>
      <c r="T1617">
        <v>3.2829999999999999</v>
      </c>
      <c r="U1617">
        <v>6.15</v>
      </c>
      <c r="V1617">
        <v>1182.8599999999999</v>
      </c>
      <c r="W1617">
        <v>325</v>
      </c>
      <c r="X1617">
        <v>1.3332999999999999</v>
      </c>
      <c r="Y1617">
        <v>257</v>
      </c>
      <c r="Z1617">
        <v>4.6100000000000003</v>
      </c>
      <c r="AJ1617">
        <v>2</v>
      </c>
      <c r="AK1617">
        <v>18</v>
      </c>
      <c r="AM1617">
        <v>0</v>
      </c>
      <c r="AO1617" t="s">
        <v>484</v>
      </c>
      <c r="AT1617">
        <v>47</v>
      </c>
      <c r="AV1617">
        <v>30.3</v>
      </c>
      <c r="AW1617">
        <v>0</v>
      </c>
      <c r="AX1617">
        <v>0</v>
      </c>
      <c r="AY1617">
        <v>37.875</v>
      </c>
      <c r="AZ1617">
        <v>3.75</v>
      </c>
      <c r="BA1617">
        <v>0</v>
      </c>
      <c r="BB1617">
        <v>0</v>
      </c>
      <c r="BC1617">
        <v>36</v>
      </c>
      <c r="BN1617">
        <v>142.66669999999999</v>
      </c>
      <c r="BO1617">
        <v>5098</v>
      </c>
      <c r="BP1617">
        <v>0</v>
      </c>
      <c r="BQ1617">
        <v>41</v>
      </c>
      <c r="BR1617">
        <v>41</v>
      </c>
      <c r="BS1617">
        <v>40.520000000000003</v>
      </c>
      <c r="BT1617">
        <v>0</v>
      </c>
      <c r="BV1617">
        <v>0</v>
      </c>
      <c r="BW1617" t="s">
        <v>655</v>
      </c>
      <c r="BX1617">
        <v>0.17</v>
      </c>
      <c r="BY1617">
        <v>6.8883999999999999</v>
      </c>
      <c r="BZ1617">
        <v>0</v>
      </c>
      <c r="CA1617">
        <v>1</v>
      </c>
      <c r="CB1617">
        <v>0.6</v>
      </c>
      <c r="CC1617" s="3">
        <v>7.1269159999999998E-2</v>
      </c>
      <c r="CD1617">
        <v>2.875</v>
      </c>
      <c r="CE1617">
        <v>2.5</v>
      </c>
      <c r="CF1617">
        <v>18</v>
      </c>
      <c r="CG1617">
        <v>6</v>
      </c>
      <c r="CH1617">
        <v>0</v>
      </c>
      <c r="CI1617">
        <v>40.520000000000003</v>
      </c>
      <c r="CJ1617">
        <v>241.1335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OVAL Results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J-Moriarty</dc:creator>
  <cp:lastModifiedBy>J-Moriarty</cp:lastModifiedBy>
  <dcterms:created xsi:type="dcterms:W3CDTF">2017-07-06T15:44:40Z</dcterms:created>
  <dcterms:modified xsi:type="dcterms:W3CDTF">2017-08-09T15:32:51Z</dcterms:modified>
</cp:coreProperties>
</file>